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2.xml" ContentType="application/vnd.openxmlformats-officedocument.themeOverrid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3.xml" ContentType="application/vnd.openxmlformats-officedocument.themeOverride+xml"/>
  <Override PartName="/xl/drawings/drawing3.xml" ContentType="application/vnd.openxmlformats-officedocument.drawing+xml"/>
  <Override PartName="/xl/charts/chartEx7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8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9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0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5.xml" ContentType="application/vnd.openxmlformats-officedocument.themeOverride+xml"/>
  <Override PartName="/xl/charts/chartEx1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6.xml" ContentType="application/vnd.openxmlformats-officedocument.themeOverride+xml"/>
  <Override PartName="/xl/drawings/drawing4.xml" ContentType="application/vnd.openxmlformats-officedocument.drawing+xml"/>
  <Override PartName="/xl/charts/chartEx13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14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15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16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8.xml" ContentType="application/vnd.openxmlformats-officedocument.themeOverride+xml"/>
  <Override PartName="/xl/charts/chartEx17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Ex18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5.xml" ContentType="application/vnd.openxmlformats-officedocument.drawing+xml"/>
  <Override PartName="/xl/charts/chartEx19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20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21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harts/chartEx22.xml" ContentType="application/vnd.ms-office.chartex+xml"/>
  <Override PartName="/xl/charts/style31.xml" ContentType="application/vnd.ms-office.chartstyle+xml"/>
  <Override PartName="/xl/charts/colors31.xml" ContentType="application/vnd.ms-office.chartcolorstyle+xml"/>
  <Override PartName="/xl/charts/chart1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11.xml" ContentType="application/vnd.openxmlformats-officedocument.themeOverride+xml"/>
  <Override PartName="/xl/charts/chartEx23.xml" ContentType="application/vnd.ms-office.chartex+xml"/>
  <Override PartName="/xl/charts/style34.xml" ContentType="application/vnd.ms-office.chartstyle+xml"/>
  <Override PartName="/xl/charts/colors34.xml" ContentType="application/vnd.ms-office.chartcolorstyle+xml"/>
  <Override PartName="/xl/charts/chartEx24.xml" ContentType="application/vnd.ms-office.chartex+xml"/>
  <Override PartName="/xl/charts/style35.xml" ContentType="application/vnd.ms-office.chartstyle+xml"/>
  <Override PartName="/xl/charts/colors35.xml" ContentType="application/vnd.ms-office.chartcolorstyle+xml"/>
  <Override PartName="/xl/charts/chart12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12.xml" ContentType="application/vnd.openxmlformats-officedocument.themeOverride+xml"/>
  <Override PartName="/xl/drawings/drawing6.xml" ContentType="application/vnd.openxmlformats-officedocument.drawing+xml"/>
  <Override PartName="/xl/charts/chartEx25.xml" ContentType="application/vnd.ms-office.chartex+xml"/>
  <Override PartName="/xl/charts/style37.xml" ContentType="application/vnd.ms-office.chartstyle+xml"/>
  <Override PartName="/xl/charts/colors37.xml" ContentType="application/vnd.ms-office.chartcolorstyle+xml"/>
  <Override PartName="/xl/charts/chartEx26.xml" ContentType="application/vnd.ms-office.chartex+xml"/>
  <Override PartName="/xl/charts/style38.xml" ContentType="application/vnd.ms-office.chartstyle+xml"/>
  <Override PartName="/xl/charts/colors38.xml" ContentType="application/vnd.ms-office.chartcolorstyle+xml"/>
  <Override PartName="/xl/charts/chartEx27.xml" ContentType="application/vnd.ms-office.chartex+xml"/>
  <Override PartName="/xl/charts/style39.xml" ContentType="application/vnd.ms-office.chartstyle+xml"/>
  <Override PartName="/xl/charts/colors39.xml" ContentType="application/vnd.ms-office.chartcolorstyle+xml"/>
  <Override PartName="/xl/charts/chartEx28.xml" ContentType="application/vnd.ms-office.chartex+xml"/>
  <Override PartName="/xl/charts/style40.xml" ContentType="application/vnd.ms-office.chartstyle+xml"/>
  <Override PartName="/xl/charts/colors40.xml" ContentType="application/vnd.ms-office.chartcolorstyle+xml"/>
  <Override PartName="/xl/charts/chart1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14.xml" ContentType="application/vnd.openxmlformats-officedocument.themeOverride+xml"/>
  <Override PartName="/xl/charts/chartEx29.xml" ContentType="application/vnd.ms-office.chartex+xml"/>
  <Override PartName="/xl/charts/style43.xml" ContentType="application/vnd.ms-office.chartstyle+xml"/>
  <Override PartName="/xl/charts/colors43.xml" ContentType="application/vnd.ms-office.chartcolorstyle+xml"/>
  <Override PartName="/xl/charts/chartEx30.xml" ContentType="application/vnd.ms-office.chartex+xml"/>
  <Override PartName="/xl/charts/style44.xml" ContentType="application/vnd.ms-office.chartstyle+xml"/>
  <Override PartName="/xl/charts/colors44.xml" ContentType="application/vnd.ms-office.chartcolorstyle+xml"/>
  <Override PartName="/xl/charts/chart1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15.xml" ContentType="application/vnd.openxmlformats-officedocument.themeOverride+xml"/>
  <Override PartName="/xl/drawings/drawing7.xml" ContentType="application/vnd.openxmlformats-officedocument.drawing+xml"/>
  <Override PartName="/xl/charts/chartEx31.xml" ContentType="application/vnd.ms-office.chartex+xml"/>
  <Override PartName="/xl/charts/style46.xml" ContentType="application/vnd.ms-office.chartstyle+xml"/>
  <Override PartName="/xl/charts/colors46.xml" ContentType="application/vnd.ms-office.chartcolorstyle+xml"/>
  <Override PartName="/xl/charts/chartEx32.xml" ContentType="application/vnd.ms-office.chartex+xml"/>
  <Override PartName="/xl/charts/style47.xml" ContentType="application/vnd.ms-office.chartstyle+xml"/>
  <Override PartName="/xl/charts/colors47.xml" ContentType="application/vnd.ms-office.chartcolorstyle+xml"/>
  <Override PartName="/xl/charts/chartEx33.xml" ContentType="application/vnd.ms-office.chartex+xml"/>
  <Override PartName="/xl/charts/style48.xml" ContentType="application/vnd.ms-office.chartstyle+xml"/>
  <Override PartName="/xl/charts/colors48.xml" ContentType="application/vnd.ms-office.chartcolorstyle+xml"/>
  <Override PartName="/xl/charts/chartEx34.xml" ContentType="application/vnd.ms-office.chartex+xml"/>
  <Override PartName="/xl/charts/style49.xml" ContentType="application/vnd.ms-office.chartstyle+xml"/>
  <Override PartName="/xl/charts/colors49.xml" ContentType="application/vnd.ms-office.chartcolorstyle+xml"/>
  <Override PartName="/xl/charts/chart16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16.xml" ContentType="application/vnd.openxmlformats-officedocument.themeOverride+xml"/>
  <Override PartName="/xl/charts/chart17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7.xml" ContentType="application/vnd.openxmlformats-officedocument.themeOverride+xml"/>
  <Override PartName="/xl/charts/chartEx35.xml" ContentType="application/vnd.ms-office.chartex+xml"/>
  <Override PartName="/xl/charts/style52.xml" ContentType="application/vnd.ms-office.chartstyle+xml"/>
  <Override PartName="/xl/charts/colors52.xml" ContentType="application/vnd.ms-office.chartcolorstyle+xml"/>
  <Override PartName="/xl/charts/chartEx36.xml" ContentType="application/vnd.ms-office.chartex+xml"/>
  <Override PartName="/xl/charts/style53.xml" ContentType="application/vnd.ms-office.chartstyle+xml"/>
  <Override PartName="/xl/charts/colors53.xml" ContentType="application/vnd.ms-office.chartcolorstyle+xml"/>
  <Override PartName="/xl/charts/chart18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18.xml" ContentType="application/vnd.openxmlformats-officedocument.themeOverride+xml"/>
  <Override PartName="/xl/drawings/drawing8.xml" ContentType="application/vnd.openxmlformats-officedocument.drawing+xml"/>
  <Override PartName="/xl/charts/chartEx37.xml" ContentType="application/vnd.ms-office.chartex+xml"/>
  <Override PartName="/xl/charts/style55.xml" ContentType="application/vnd.ms-office.chartstyle+xml"/>
  <Override PartName="/xl/charts/colors55.xml" ContentType="application/vnd.ms-office.chartcolorstyle+xml"/>
  <Override PartName="/xl/charts/chartEx38.xml" ContentType="application/vnd.ms-office.chartex+xml"/>
  <Override PartName="/xl/charts/style56.xml" ContentType="application/vnd.ms-office.chartstyle+xml"/>
  <Override PartName="/xl/charts/colors56.xml" ContentType="application/vnd.ms-office.chartcolorstyle+xml"/>
  <Override PartName="/xl/charts/chartEx39.xml" ContentType="application/vnd.ms-office.chartex+xml"/>
  <Override PartName="/xl/charts/style57.xml" ContentType="application/vnd.ms-office.chartstyle+xml"/>
  <Override PartName="/xl/charts/colors57.xml" ContentType="application/vnd.ms-office.chartcolorstyle+xml"/>
  <Override PartName="/xl/charts/chartEx40.xml" ContentType="application/vnd.ms-office.chartex+xml"/>
  <Override PartName="/xl/charts/style58.xml" ContentType="application/vnd.ms-office.chartstyle+xml"/>
  <Override PartName="/xl/charts/colors58.xml" ContentType="application/vnd.ms-office.chartcolorstyle+xml"/>
  <Override PartName="/xl/charts/chart1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19.xml" ContentType="application/vnd.openxmlformats-officedocument.themeOverride+xml"/>
  <Override PartName="/xl/charts/chart2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20.xml" ContentType="application/vnd.openxmlformats-officedocument.themeOverride+xml"/>
  <Override PartName="/xl/charts/chartEx41.xml" ContentType="application/vnd.ms-office.chartex+xml"/>
  <Override PartName="/xl/charts/style61.xml" ContentType="application/vnd.ms-office.chartstyle+xml"/>
  <Override PartName="/xl/charts/colors61.xml" ContentType="application/vnd.ms-office.chartcolorstyle+xml"/>
  <Override PartName="/xl/charts/chartEx42.xml" ContentType="application/vnd.ms-office.chartex+xml"/>
  <Override PartName="/xl/charts/style62.xml" ContentType="application/vnd.ms-office.chartstyle+xml"/>
  <Override PartName="/xl/charts/colors62.xml" ContentType="application/vnd.ms-office.chartcolorstyle+xml"/>
  <Override PartName="/xl/charts/chart21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heme/themeOverride21.xml" ContentType="application/vnd.openxmlformats-officedocument.themeOverride+xml"/>
  <Override PartName="/xl/drawings/drawing9.xml" ContentType="application/vnd.openxmlformats-officedocument.drawing+xml"/>
  <Override PartName="/xl/charts/chartEx43.xml" ContentType="application/vnd.ms-office.chartex+xml"/>
  <Override PartName="/xl/charts/style64.xml" ContentType="application/vnd.ms-office.chartstyle+xml"/>
  <Override PartName="/xl/charts/colors64.xml" ContentType="application/vnd.ms-office.chartcolorstyle+xml"/>
  <Override PartName="/xl/charts/chartEx44.xml" ContentType="application/vnd.ms-office.chartex+xml"/>
  <Override PartName="/xl/charts/style65.xml" ContentType="application/vnd.ms-office.chartstyle+xml"/>
  <Override PartName="/xl/charts/colors65.xml" ContentType="application/vnd.ms-office.chartcolorstyle+xml"/>
  <Override PartName="/xl/charts/chartEx45.xml" ContentType="application/vnd.ms-office.chartex+xml"/>
  <Override PartName="/xl/charts/style66.xml" ContentType="application/vnd.ms-office.chartstyle+xml"/>
  <Override PartName="/xl/charts/colors66.xml" ContentType="application/vnd.ms-office.chartcolorstyle+xml"/>
  <Override PartName="/xl/charts/chartEx46.xml" ContentType="application/vnd.ms-office.chartex+xml"/>
  <Override PartName="/xl/charts/style67.xml" ContentType="application/vnd.ms-office.chartstyle+xml"/>
  <Override PartName="/xl/charts/colors67.xml" ContentType="application/vnd.ms-office.chartcolorstyle+xml"/>
  <Override PartName="/xl/charts/chart22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theme/themeOverride22.xml" ContentType="application/vnd.openxmlformats-officedocument.themeOverride+xml"/>
  <Override PartName="/xl/charts/chart23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theme/themeOverride23.xml" ContentType="application/vnd.openxmlformats-officedocument.themeOverride+xml"/>
  <Override PartName="/xl/charts/chartEx47.xml" ContentType="application/vnd.ms-office.chartex+xml"/>
  <Override PartName="/xl/charts/style70.xml" ContentType="application/vnd.ms-office.chartstyle+xml"/>
  <Override PartName="/xl/charts/colors70.xml" ContentType="application/vnd.ms-office.chartcolorstyle+xml"/>
  <Override PartName="/xl/charts/chartEx48.xml" ContentType="application/vnd.ms-office.chartex+xml"/>
  <Override PartName="/xl/charts/style71.xml" ContentType="application/vnd.ms-office.chartstyle+xml"/>
  <Override PartName="/xl/charts/colors71.xml" ContentType="application/vnd.ms-office.chartcolorstyle+xml"/>
  <Override PartName="/xl/charts/chart24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theme/themeOverride24.xml" ContentType="application/vnd.openxmlformats-officedocument.themeOverride+xml"/>
  <Override PartName="/xl/drawings/drawing10.xml" ContentType="application/vnd.openxmlformats-officedocument.drawing+xml"/>
  <Override PartName="/xl/charts/chartEx49.xml" ContentType="application/vnd.ms-office.chartex+xml"/>
  <Override PartName="/xl/charts/style73.xml" ContentType="application/vnd.ms-office.chartstyle+xml"/>
  <Override PartName="/xl/charts/colors73.xml" ContentType="application/vnd.ms-office.chartcolorstyle+xml"/>
  <Override PartName="/xl/charts/chartEx50.xml" ContentType="application/vnd.ms-office.chartex+xml"/>
  <Override PartName="/xl/charts/style74.xml" ContentType="application/vnd.ms-office.chartstyle+xml"/>
  <Override PartName="/xl/charts/colors74.xml" ContentType="application/vnd.ms-office.chartcolorstyle+xml"/>
  <Override PartName="/xl/charts/chartEx51.xml" ContentType="application/vnd.ms-office.chartex+xml"/>
  <Override PartName="/xl/charts/style75.xml" ContentType="application/vnd.ms-office.chartstyle+xml"/>
  <Override PartName="/xl/charts/colors75.xml" ContentType="application/vnd.ms-office.chartcolorstyle+xml"/>
  <Override PartName="/xl/charts/chartEx52.xml" ContentType="application/vnd.ms-office.chartex+xml"/>
  <Override PartName="/xl/charts/style76.xml" ContentType="application/vnd.ms-office.chartstyle+xml"/>
  <Override PartName="/xl/charts/colors76.xml" ContentType="application/vnd.ms-office.chartcolorstyle+xml"/>
  <Override PartName="/xl/charts/chart25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theme/themeOverride25.xml" ContentType="application/vnd.openxmlformats-officedocument.themeOverride+xml"/>
  <Override PartName="/xl/charts/chart26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theme/themeOverride26.xml" ContentType="application/vnd.openxmlformats-officedocument.themeOverride+xml"/>
  <Override PartName="/xl/charts/chartEx53.xml" ContentType="application/vnd.ms-office.chartex+xml"/>
  <Override PartName="/xl/charts/style79.xml" ContentType="application/vnd.ms-office.chartstyle+xml"/>
  <Override PartName="/xl/charts/colors79.xml" ContentType="application/vnd.ms-office.chartcolorstyle+xml"/>
  <Override PartName="/xl/charts/chartEx54.xml" ContentType="application/vnd.ms-office.chartex+xml"/>
  <Override PartName="/xl/charts/style80.xml" ContentType="application/vnd.ms-office.chartstyle+xml"/>
  <Override PartName="/xl/charts/colors80.xml" ContentType="application/vnd.ms-office.chartcolorstyle+xml"/>
  <Override PartName="/xl/charts/chart27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theme/themeOverride27.xml" ContentType="application/vnd.openxmlformats-officedocument.themeOverride+xml"/>
  <Override PartName="/xl/drawings/drawing11.xml" ContentType="application/vnd.openxmlformats-officedocument.drawing+xml"/>
  <Override PartName="/xl/charts/chartEx55.xml" ContentType="application/vnd.ms-office.chartex+xml"/>
  <Override PartName="/xl/charts/style82.xml" ContentType="application/vnd.ms-office.chartstyle+xml"/>
  <Override PartName="/xl/charts/colors82.xml" ContentType="application/vnd.ms-office.chartcolorstyle+xml"/>
  <Override PartName="/xl/charts/chartEx56.xml" ContentType="application/vnd.ms-office.chartex+xml"/>
  <Override PartName="/xl/charts/style83.xml" ContentType="application/vnd.ms-office.chartstyle+xml"/>
  <Override PartName="/xl/charts/colors83.xml" ContentType="application/vnd.ms-office.chartcolorstyle+xml"/>
  <Override PartName="/xl/charts/chartEx57.xml" ContentType="application/vnd.ms-office.chartex+xml"/>
  <Override PartName="/xl/charts/style84.xml" ContentType="application/vnd.ms-office.chartstyle+xml"/>
  <Override PartName="/xl/charts/colors84.xml" ContentType="application/vnd.ms-office.chartcolorstyle+xml"/>
  <Override PartName="/xl/charts/chartEx58.xml" ContentType="application/vnd.ms-office.chartex+xml"/>
  <Override PartName="/xl/charts/style85.xml" ContentType="application/vnd.ms-office.chartstyle+xml"/>
  <Override PartName="/xl/charts/colors85.xml" ContentType="application/vnd.ms-office.chartcolorstyle+xml"/>
  <Override PartName="/xl/charts/chart28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theme/themeOverride28.xml" ContentType="application/vnd.openxmlformats-officedocument.themeOverride+xml"/>
  <Override PartName="/xl/charts/chart29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theme/themeOverride29.xml" ContentType="application/vnd.openxmlformats-officedocument.themeOverride+xml"/>
  <Override PartName="/xl/charts/chartEx59.xml" ContentType="application/vnd.ms-office.chartex+xml"/>
  <Override PartName="/xl/charts/style88.xml" ContentType="application/vnd.ms-office.chartstyle+xml"/>
  <Override PartName="/xl/charts/colors88.xml" ContentType="application/vnd.ms-office.chartcolorstyle+xml"/>
  <Override PartName="/xl/charts/chartEx60.xml" ContentType="application/vnd.ms-office.chartex+xml"/>
  <Override PartName="/xl/charts/style89.xml" ContentType="application/vnd.ms-office.chartstyle+xml"/>
  <Override PartName="/xl/charts/colors89.xml" ContentType="application/vnd.ms-office.chartcolorstyle+xml"/>
  <Override PartName="/xl/charts/chart3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theme/themeOverride30.xml" ContentType="application/vnd.openxmlformats-officedocument.themeOverride+xml"/>
  <Override PartName="/xl/drawings/drawing12.xml" ContentType="application/vnd.openxmlformats-officedocument.drawing+xml"/>
  <Override PartName="/xl/charts/chartEx61.xml" ContentType="application/vnd.ms-office.chartex+xml"/>
  <Override PartName="/xl/charts/style91.xml" ContentType="application/vnd.ms-office.chartstyle+xml"/>
  <Override PartName="/xl/charts/colors91.xml" ContentType="application/vnd.ms-office.chartcolorstyle+xml"/>
  <Override PartName="/xl/charts/chartEx62.xml" ContentType="application/vnd.ms-office.chartex+xml"/>
  <Override PartName="/xl/charts/style92.xml" ContentType="application/vnd.ms-office.chartstyle+xml"/>
  <Override PartName="/xl/charts/colors92.xml" ContentType="application/vnd.ms-office.chartcolorstyle+xml"/>
  <Override PartName="/xl/charts/chartEx63.xml" ContentType="application/vnd.ms-office.chartex+xml"/>
  <Override PartName="/xl/charts/style93.xml" ContentType="application/vnd.ms-office.chartstyle+xml"/>
  <Override PartName="/xl/charts/colors93.xml" ContentType="application/vnd.ms-office.chartcolorstyle+xml"/>
  <Override PartName="/xl/charts/chartEx64.xml" ContentType="application/vnd.ms-office.chartex+xml"/>
  <Override PartName="/xl/charts/style94.xml" ContentType="application/vnd.ms-office.chartstyle+xml"/>
  <Override PartName="/xl/charts/colors94.xml" ContentType="application/vnd.ms-office.chartcolorstyle+xml"/>
  <Override PartName="/xl/charts/chart31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theme/themeOverride31.xml" ContentType="application/vnd.openxmlformats-officedocument.themeOverride+xml"/>
  <Override PartName="/xl/charts/chart32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theme/themeOverride32.xml" ContentType="application/vnd.openxmlformats-officedocument.themeOverride+xml"/>
  <Override PartName="/xl/charts/chartEx65.xml" ContentType="application/vnd.ms-office.chartex+xml"/>
  <Override PartName="/xl/charts/style97.xml" ContentType="application/vnd.ms-office.chartstyle+xml"/>
  <Override PartName="/xl/charts/colors97.xml" ContentType="application/vnd.ms-office.chartcolorstyle+xml"/>
  <Override PartName="/xl/charts/chartEx66.xml" ContentType="application/vnd.ms-office.chartex+xml"/>
  <Override PartName="/xl/charts/style98.xml" ContentType="application/vnd.ms-office.chartstyle+xml"/>
  <Override PartName="/xl/charts/colors98.xml" ContentType="application/vnd.ms-office.chartcolorstyle+xml"/>
  <Override PartName="/xl/charts/chart33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theme/themeOverride33.xml" ContentType="application/vnd.openxmlformats-officedocument.themeOverride+xml"/>
  <Override PartName="/xl/drawings/drawing13.xml" ContentType="application/vnd.openxmlformats-officedocument.drawing+xml"/>
  <Override PartName="/xl/charts/chart34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35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36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37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38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39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40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41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Ex67.xml" ContentType="application/vnd.ms-office.chartex+xml"/>
  <Override PartName="/xl/charts/style108.xml" ContentType="application/vnd.ms-office.chartstyle+xml"/>
  <Override PartName="/xl/charts/colors108.xml" ContentType="application/vnd.ms-office.chartcolorstyle+xml"/>
  <Override PartName="/xl/charts/chartEx68.xml" ContentType="application/vnd.ms-office.chartex+xml"/>
  <Override PartName="/xl/charts/style109.xml" ContentType="application/vnd.ms-office.chartstyle+xml"/>
  <Override PartName="/xl/charts/colors109.xml" ContentType="application/vnd.ms-office.chartcolorstyle+xml"/>
  <Override PartName="/xl/charts/chartEx69.xml" ContentType="application/vnd.ms-office.chartex+xml"/>
  <Override PartName="/xl/charts/style110.xml" ContentType="application/vnd.ms-office.chartstyle+xml"/>
  <Override PartName="/xl/charts/colors110.xml" ContentType="application/vnd.ms-office.chartcolorstyle+xml"/>
  <Override PartName="/xl/charts/chartEx70.xml" ContentType="application/vnd.ms-office.chartex+xml"/>
  <Override PartName="/xl/charts/style111.xml" ContentType="application/vnd.ms-office.chartstyle+xml"/>
  <Override PartName="/xl/charts/colors111.xml" ContentType="application/vnd.ms-office.chartcolorstyle+xml"/>
  <Override PartName="/xl/charts/chartEx71.xml" ContentType="application/vnd.ms-office.chartex+xml"/>
  <Override PartName="/xl/charts/style112.xml" ContentType="application/vnd.ms-office.chartstyle+xml"/>
  <Override PartName="/xl/charts/colors112.xml" ContentType="application/vnd.ms-office.chartcolorstyle+xml"/>
  <Override PartName="/xl/charts/chart42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4.xml" ContentType="application/vnd.openxmlformats-officedocument.drawing+xml"/>
  <Override PartName="/xl/charts/chartEx72.xml" ContentType="application/vnd.ms-office.chartex+xml"/>
  <Override PartName="/xl/charts/style114.xml" ContentType="application/vnd.ms-office.chartstyle+xml"/>
  <Override PartName="/xl/charts/colors114.xml" ContentType="application/vnd.ms-office.chartcolorstyle+xml"/>
  <Override PartName="/xl/charts/chartEx73.xml" ContentType="application/vnd.ms-office.chartex+xml"/>
  <Override PartName="/xl/charts/style115.xml" ContentType="application/vnd.ms-office.chartstyle+xml"/>
  <Override PartName="/xl/charts/colors115.xml" ContentType="application/vnd.ms-office.chartcolorstyle+xml"/>
  <Override PartName="/xl/charts/chartEx74.xml" ContentType="application/vnd.ms-office.chartex+xml"/>
  <Override PartName="/xl/charts/style116.xml" ContentType="application/vnd.ms-office.chartstyle+xml"/>
  <Override PartName="/xl/charts/colors116.xml" ContentType="application/vnd.ms-office.chartcolorstyle+xml"/>
  <Override PartName="/xl/charts/chartEx75.xml" ContentType="application/vnd.ms-office.chartex+xml"/>
  <Override PartName="/xl/charts/style117.xml" ContentType="application/vnd.ms-office.chartstyle+xml"/>
  <Override PartName="/xl/charts/colors117.xml" ContentType="application/vnd.ms-office.chartcolorstyle+xml"/>
  <Override PartName="/xl/charts/chart43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44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Ex76.xml" ContentType="application/vnd.ms-office.chartex+xml"/>
  <Override PartName="/xl/charts/style120.xml" ContentType="application/vnd.ms-office.chartstyle+xml"/>
  <Override PartName="/xl/charts/colors120.xml" ContentType="application/vnd.ms-office.chartcolorstyle+xml"/>
  <Override PartName="/xl/charts/chartEx77.xml" ContentType="application/vnd.ms-office.chartex+xml"/>
  <Override PartName="/xl/charts/style121.xml" ContentType="application/vnd.ms-office.chartstyle+xml"/>
  <Override PartName="/xl/charts/colors121.xml" ContentType="application/vnd.ms-office.chartcolorstyle+xml"/>
  <Override PartName="/xl/charts/chart45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46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47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48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49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50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51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52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53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54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55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56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57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58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59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60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5.xml" ContentType="application/vnd.openxmlformats-officedocument.drawing+xml"/>
  <Override PartName="/xl/charts/chart61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62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63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16.xml" ContentType="application/vnd.openxmlformats-officedocument.drawing+xml"/>
  <Override PartName="/xl/charts/chart64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65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66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67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68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69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70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71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72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73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74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drawings/drawing17.xml" ContentType="application/vnd.openxmlformats-officedocument.drawing+xml"/>
  <Override PartName="/xl/charts/chart75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theme/themeOverride34.xml" ContentType="application/vnd.openxmlformats-officedocument.themeOverride+xml"/>
  <Override PartName="/xl/drawings/drawing18.xml" ContentType="application/vnd.openxmlformats-officedocument.drawing+xml"/>
  <Override PartName="/xl/charts/chart76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theme/themeOverride35.xml" ContentType="application/vnd.openxmlformats-officedocument.themeOverride+xml"/>
  <Override PartName="/xl/drawings/drawing19.xml" ContentType="application/vnd.openxmlformats-officedocument.drawing+xml"/>
  <Override PartName="/xl/charts/chart77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theme/themeOverride36.xml" ContentType="application/vnd.openxmlformats-officedocument.themeOverride+xml"/>
  <Override PartName="/xl/drawings/drawing20.xml" ContentType="application/vnd.openxmlformats-officedocument.drawing+xml"/>
  <Override PartName="/xl/charts/chart78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theme/themeOverride37.xml" ContentType="application/vnd.openxmlformats-officedocument.themeOverride+xml"/>
  <Override PartName="/xl/drawings/drawing21.xml" ContentType="application/vnd.openxmlformats-officedocument.drawing+xml"/>
  <Override PartName="/xl/charts/chart79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theme/themeOverride38.xml" ContentType="application/vnd.openxmlformats-officedocument.themeOverride+xml"/>
  <Override PartName="/xl/drawings/drawing22.xml" ContentType="application/vnd.openxmlformats-officedocument.drawing+xml"/>
  <Override PartName="/xl/charts/chart80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theme/themeOverride39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ene\Dropbox\POLIMI\Semestre 4\Thesis\"/>
    </mc:Choice>
  </mc:AlternateContent>
  <xr:revisionPtr revIDLastSave="0" documentId="13_ncr:1_{57CB42FF-9C18-4BAA-9AC4-D92312C4E51D}" xr6:coauthVersionLast="47" xr6:coauthVersionMax="47" xr10:uidLastSave="{00000000-0000-0000-0000-000000000000}"/>
  <bookViews>
    <workbookView xWindow="-108" yWindow="-108" windowWidth="23256" windowHeight="12456" tabRatio="596" firstSheet="11" activeTab="15" xr2:uid="{572EABBF-3D77-4AEE-9061-4BCC4D405464}"/>
  </bookViews>
  <sheets>
    <sheet name="Sample_size" sheetId="6" r:id="rId1"/>
    <sheet name="77_Seeds" sheetId="9" r:id="rId2"/>
    <sheet name="88_Seeds" sheetId="17" r:id="rId3"/>
    <sheet name="88T_Seeds" sheetId="12" r:id="rId4"/>
    <sheet name="91T_Seeds" sheetId="18" r:id="rId5"/>
    <sheet name="01T_Seeds" sheetId="14" r:id="rId6"/>
    <sheet name="07E_Seeds" sheetId="20" r:id="rId7"/>
    <sheet name="11E_Seeds" sheetId="21" r:id="rId8"/>
    <sheet name="15O_Seeds" sheetId="23" r:id="rId9"/>
    <sheet name="19O_Seeds" sheetId="24" r:id="rId10"/>
    <sheet name="19M_Seeds" sheetId="25" r:id="rId11"/>
    <sheet name="24M_Seeds" sheetId="26" r:id="rId12"/>
    <sheet name="RRB_all" sheetId="27" r:id="rId13"/>
    <sheet name="RRB_Stats" sheetId="41" r:id="rId14"/>
    <sheet name="RRB_PA_HC" sheetId="39" r:id="rId15"/>
    <sheet name="RRB_PA_Change" sheetId="40" r:id="rId16"/>
    <sheet name="Cumulative" sheetId="35" r:id="rId17"/>
    <sheet name="Spectral" sheetId="30" r:id="rId18"/>
    <sheet name="PA-UA Plot" sheetId="28" r:id="rId19"/>
    <sheet name="PA-UA Plot C" sheetId="36" r:id="rId20"/>
    <sheet name="PA-CV Plot" sheetId="31" r:id="rId21"/>
    <sheet name="PA-CV Plot C" sheetId="37" r:id="rId22"/>
    <sheet name="CV-UA Plot C" sheetId="38" r:id="rId23"/>
    <sheet name="CV-UA Plot" sheetId="32" r:id="rId24"/>
  </sheets>
  <externalReferences>
    <externalReference r:id="rId25"/>
  </externalReferences>
  <definedNames>
    <definedName name="_xlnm._FilterDatabase" localSheetId="4" hidden="1">'91T_Seeds'!$BE$39:$BE$58</definedName>
    <definedName name="_xlnm._FilterDatabase" localSheetId="13" hidden="1">RRB_Stats!$G$134:$Q$147</definedName>
    <definedName name="_xlchart.v1.0" hidden="1">'77_Seeds'!$AD$16:$AD$105</definedName>
    <definedName name="_xlchart.v1.1" hidden="1">'77_Seeds'!$AD$16:$AD$115</definedName>
    <definedName name="_xlchart.v1.10" hidden="1">'77_Seeds'!$AD$16:$AD$76</definedName>
    <definedName name="_xlchart.v1.100" hidden="1">'88_Seeds'!$AE$16:$AE$20</definedName>
    <definedName name="_xlchart.v1.101" hidden="1">'88_Seeds'!$AE$16:$AE$215</definedName>
    <definedName name="_xlchart.v1.102" hidden="1">'88_Seeds'!$AE$16:$AE$25</definedName>
    <definedName name="_xlchart.v1.103" hidden="1">'88_Seeds'!$AE$16:$AE$35</definedName>
    <definedName name="_xlchart.v1.104" hidden="1">'88_Seeds'!$AE$16:$AE$45</definedName>
    <definedName name="_xlchart.v1.105" hidden="1">'88_Seeds'!$AE$16:$AE$55</definedName>
    <definedName name="_xlchart.v1.106" hidden="1">'88_Seeds'!$AE$16:$AE$65</definedName>
    <definedName name="_xlchart.v1.107" hidden="1">'88_Seeds'!$AE$16:$AE$75</definedName>
    <definedName name="_xlchart.v1.108" hidden="1">'88_Seeds'!$AE$16:$AE$85</definedName>
    <definedName name="_xlchart.v1.109" hidden="1">'88_Seeds'!$AE$16:$AE$95</definedName>
    <definedName name="_xlchart.v1.11" hidden="1">'77_Seeds'!$AD$16:$AD$85</definedName>
    <definedName name="_xlchart.v1.110" hidden="1">'88_Seeds'!$AH$10</definedName>
    <definedName name="_xlchart.v1.111" hidden="1">'88_Seeds'!$AH$11</definedName>
    <definedName name="_xlchart.v1.112" hidden="1">'88_Seeds'!$AH$12</definedName>
    <definedName name="_xlchart.v1.113" hidden="1">'88_Seeds'!$AH$13</definedName>
    <definedName name="_xlchart.v1.114" hidden="1">'88_Seeds'!$AH$14</definedName>
    <definedName name="_xlchart.v1.115" hidden="1">'88_Seeds'!$AH$2</definedName>
    <definedName name="_xlchart.v1.116" hidden="1">'88_Seeds'!$AH$3</definedName>
    <definedName name="_xlchart.v1.117" hidden="1">'88_Seeds'!$AH$4</definedName>
    <definedName name="_xlchart.v1.118" hidden="1">'88_Seeds'!$AH$5</definedName>
    <definedName name="_xlchart.v1.119" hidden="1">'88_Seeds'!$AH$6</definedName>
    <definedName name="_xlchart.v1.12" hidden="1">'77_Seeds'!$AD$16:$AD$95</definedName>
    <definedName name="_xlchart.v1.120" hidden="1">'88_Seeds'!$AH$7</definedName>
    <definedName name="_xlchart.v1.121" hidden="1">'88_Seeds'!$AH$8</definedName>
    <definedName name="_xlchart.v1.122" hidden="1">'88_Seeds'!$AH$9</definedName>
    <definedName name="_xlchart.v1.123" hidden="1">'88_Seeds'!$U$394</definedName>
    <definedName name="_xlchart.v1.124" hidden="1">'88_Seeds'!$AE$16:$AE$215</definedName>
    <definedName name="_xlchart.v1.125" hidden="1">'88_Seeds'!$AE$16:$AE$35</definedName>
    <definedName name="_xlchart.v1.126" hidden="1">'88_Seeds'!$AH$14</definedName>
    <definedName name="_xlchart.v1.127" hidden="1">'88_Seeds'!$AH$4</definedName>
    <definedName name="_xlchart.v1.128" hidden="1">'88_Seeds'!$AE$16:$AE$35</definedName>
    <definedName name="_xlchart.v1.129" hidden="1">'88_Seeds'!$AH$4</definedName>
    <definedName name="_xlchart.v1.13" hidden="1">'77_Seeds'!$AG$10</definedName>
    <definedName name="_xlchart.v1.130" hidden="1">'88_Seeds'!$AD$16:$AD$65</definedName>
    <definedName name="_xlchart.v1.131" hidden="1">'88_Seeds'!$AG$7</definedName>
    <definedName name="_xlchart.v1.132" hidden="1">'88T_Seeds'!$AE$16:$AE$35</definedName>
    <definedName name="_xlchart.v1.133" hidden="1">'88T_Seeds'!$AH$4</definedName>
    <definedName name="_xlchart.v1.134" hidden="1">'88T_Seeds'!$AD$16:$AD$35</definedName>
    <definedName name="_xlchart.v1.135" hidden="1">'88T_Seeds'!$AG$4</definedName>
    <definedName name="_xlchart.v1.136" hidden="1">'88T_Seeds'!$AD$16:$AD$115</definedName>
    <definedName name="_xlchart.v1.137" hidden="1">'88T_Seeds'!$AG$12</definedName>
    <definedName name="_xlchart.v1.138" hidden="1">'88T_Seeds'!$AE$16:$AE$115</definedName>
    <definedName name="_xlchart.v1.139" hidden="1">'88T_Seeds'!$AH$12</definedName>
    <definedName name="_xlchart.v1.14" hidden="1">'77_Seeds'!$AG$11</definedName>
    <definedName name="_xlchart.v1.140" hidden="1">'88T_Seeds'!$AD$16:$AD$105</definedName>
    <definedName name="_xlchart.v1.141" hidden="1">'88T_Seeds'!$AD$16:$AD$115</definedName>
    <definedName name="_xlchart.v1.142" hidden="1">'88T_Seeds'!$AD$16:$AD$20</definedName>
    <definedName name="_xlchart.v1.143" hidden="1">'88T_Seeds'!$AD$16:$AD$25</definedName>
    <definedName name="_xlchart.v1.144" hidden="1">'88T_Seeds'!$AD$16:$AD$35</definedName>
    <definedName name="_xlchart.v1.145" hidden="1">'88T_Seeds'!$AD$16:$AD$45</definedName>
    <definedName name="_xlchart.v1.146" hidden="1">'88T_Seeds'!$AD$16:$AD$55</definedName>
    <definedName name="_xlchart.v1.147" hidden="1">'88T_Seeds'!$AD$16:$AD$65</definedName>
    <definedName name="_xlchart.v1.148" hidden="1">'88T_Seeds'!$AD$16:$AD$76</definedName>
    <definedName name="_xlchart.v1.149" hidden="1">'88T_Seeds'!$AD$16:$AD$85</definedName>
    <definedName name="_xlchart.v1.15" hidden="1">'77_Seeds'!$AG$12</definedName>
    <definedName name="_xlchart.v1.150" hidden="1">'88T_Seeds'!$AD$16:$AD$95</definedName>
    <definedName name="_xlchart.v1.151" hidden="1">'88T_Seeds'!$AG$10</definedName>
    <definedName name="_xlchart.v1.152" hidden="1">'88T_Seeds'!$AG$11</definedName>
    <definedName name="_xlchart.v1.153" hidden="1">'88T_Seeds'!$AG$12</definedName>
    <definedName name="_xlchart.v1.154" hidden="1">'88T_Seeds'!$AG$2</definedName>
    <definedName name="_xlchart.v1.155" hidden="1">'88T_Seeds'!$AG$3</definedName>
    <definedName name="_xlchart.v1.156" hidden="1">'88T_Seeds'!$AG$4</definedName>
    <definedName name="_xlchart.v1.157" hidden="1">'88T_Seeds'!$AG$5</definedName>
    <definedName name="_xlchart.v1.158" hidden="1">'88T_Seeds'!$AG$6</definedName>
    <definedName name="_xlchart.v1.159" hidden="1">'88T_Seeds'!$AG$7</definedName>
    <definedName name="_xlchart.v1.16" hidden="1">'77_Seeds'!$AG$13</definedName>
    <definedName name="_xlchart.v1.160" hidden="1">'88T_Seeds'!$AG$8</definedName>
    <definedName name="_xlchart.v1.161" hidden="1">'88T_Seeds'!$AG$9</definedName>
    <definedName name="_xlchart.v1.162" hidden="1">'88T_Seeds'!$U$394</definedName>
    <definedName name="_xlchart.v1.163" hidden="1">'88T_Seeds'!$AE$16:$AE$105</definedName>
    <definedName name="_xlchart.v1.164" hidden="1">'88T_Seeds'!$AE$16:$AE$115</definedName>
    <definedName name="_xlchart.v1.165" hidden="1">'88T_Seeds'!$AE$16:$AE$20</definedName>
    <definedName name="_xlchart.v1.166" hidden="1">'88T_Seeds'!$AE$16:$AE$25</definedName>
    <definedName name="_xlchart.v1.167" hidden="1">'88T_Seeds'!$AE$16:$AE$35</definedName>
    <definedName name="_xlchart.v1.168" hidden="1">'88T_Seeds'!$AE$16:$AE$45</definedName>
    <definedName name="_xlchart.v1.169" hidden="1">'88T_Seeds'!$AE$16:$AE$55</definedName>
    <definedName name="_xlchart.v1.17" hidden="1">'77_Seeds'!$AG$14</definedName>
    <definedName name="_xlchart.v1.170" hidden="1">'88T_Seeds'!$AE$16:$AE$65</definedName>
    <definedName name="_xlchart.v1.171" hidden="1">'88T_Seeds'!$AE$16:$AE$75</definedName>
    <definedName name="_xlchart.v1.172" hidden="1">'88T_Seeds'!$AE$16:$AE$85</definedName>
    <definedName name="_xlchart.v1.173" hidden="1">'88T_Seeds'!$AE$16:$AE$95</definedName>
    <definedName name="_xlchart.v1.174" hidden="1">'88T_Seeds'!$AH$10</definedName>
    <definedName name="_xlchart.v1.175" hidden="1">'88T_Seeds'!$AH$11</definedName>
    <definedName name="_xlchart.v1.176" hidden="1">'88T_Seeds'!$AH$12</definedName>
    <definedName name="_xlchart.v1.177" hidden="1">'88T_Seeds'!$AH$2</definedName>
    <definedName name="_xlchart.v1.178" hidden="1">'88T_Seeds'!$AH$3</definedName>
    <definedName name="_xlchart.v1.179" hidden="1">'88T_Seeds'!$AH$4</definedName>
    <definedName name="_xlchart.v1.18" hidden="1">'77_Seeds'!$AG$2</definedName>
    <definedName name="_xlchart.v1.180" hidden="1">'88T_Seeds'!$AH$5</definedName>
    <definedName name="_xlchart.v1.181" hidden="1">'88T_Seeds'!$AH$6</definedName>
    <definedName name="_xlchart.v1.182" hidden="1">'88T_Seeds'!$AH$7</definedName>
    <definedName name="_xlchart.v1.183" hidden="1">'88T_Seeds'!$AH$8</definedName>
    <definedName name="_xlchart.v1.184" hidden="1">'88T_Seeds'!$AH$9</definedName>
    <definedName name="_xlchart.v1.185" hidden="1">'88T_Seeds'!$U$394</definedName>
    <definedName name="_xlchart.v1.186" hidden="1">'91T_Seeds'!$AD$16:$AD$105</definedName>
    <definedName name="_xlchart.v1.187" hidden="1">'91T_Seeds'!$AD$16:$AD$115</definedName>
    <definedName name="_xlchart.v1.188" hidden="1">'91T_Seeds'!$AD$16:$AD$20</definedName>
    <definedName name="_xlchart.v1.189" hidden="1">'91T_Seeds'!$AD$16:$AD$25</definedName>
    <definedName name="_xlchart.v1.19" hidden="1">'77_Seeds'!$AG$3</definedName>
    <definedName name="_xlchart.v1.190" hidden="1">'91T_Seeds'!$AD$16:$AD$35</definedName>
    <definedName name="_xlchart.v1.191" hidden="1">'91T_Seeds'!$AD$16:$AD$45</definedName>
    <definedName name="_xlchart.v1.192" hidden="1">'91T_Seeds'!$AD$16:$AD$55</definedName>
    <definedName name="_xlchart.v1.193" hidden="1">'91T_Seeds'!$AD$16:$AD$65</definedName>
    <definedName name="_xlchart.v1.194" hidden="1">'91T_Seeds'!$AD$16:$AD$76</definedName>
    <definedName name="_xlchart.v1.195" hidden="1">'91T_Seeds'!$AD$16:$AD$85</definedName>
    <definedName name="_xlchart.v1.196" hidden="1">'91T_Seeds'!$AD$16:$AD$95</definedName>
    <definedName name="_xlchart.v1.197" hidden="1">'91T_Seeds'!$AG$10</definedName>
    <definedName name="_xlchart.v1.198" hidden="1">'91T_Seeds'!$AG$11</definedName>
    <definedName name="_xlchart.v1.199" hidden="1">'91T_Seeds'!$AG$12</definedName>
    <definedName name="_xlchart.v1.2" hidden="1">'77_Seeds'!$AD$16:$AD$165</definedName>
    <definedName name="_xlchart.v1.20" hidden="1">'77_Seeds'!$AG$4</definedName>
    <definedName name="_xlchart.v1.200" hidden="1">'91T_Seeds'!$AG$2</definedName>
    <definedName name="_xlchart.v1.201" hidden="1">'91T_Seeds'!$AG$3</definedName>
    <definedName name="_xlchart.v1.202" hidden="1">'91T_Seeds'!$AG$4</definedName>
    <definedName name="_xlchart.v1.203" hidden="1">'91T_Seeds'!$AG$5</definedName>
    <definedName name="_xlchart.v1.204" hidden="1">'91T_Seeds'!$AG$6</definedName>
    <definedName name="_xlchart.v1.205" hidden="1">'91T_Seeds'!$AG$7</definedName>
    <definedName name="_xlchart.v1.206" hidden="1">'91T_Seeds'!$AG$8</definedName>
    <definedName name="_xlchart.v1.207" hidden="1">'91T_Seeds'!$AG$9</definedName>
    <definedName name="_xlchart.v1.208" hidden="1">'91T_Seeds'!$U$394</definedName>
    <definedName name="_xlchart.v1.209" hidden="1">'91T_Seeds'!$AE$16:$AE$105</definedName>
    <definedName name="_xlchart.v1.21" hidden="1">'77_Seeds'!$AG$5</definedName>
    <definedName name="_xlchart.v1.210" hidden="1">'91T_Seeds'!$AE$16:$AE$115</definedName>
    <definedName name="_xlchart.v1.211" hidden="1">'91T_Seeds'!$AE$16:$AE$20</definedName>
    <definedName name="_xlchart.v1.212" hidden="1">'91T_Seeds'!$AE$16:$AE$25</definedName>
    <definedName name="_xlchart.v1.213" hidden="1">'91T_Seeds'!$AE$16:$AE$35</definedName>
    <definedName name="_xlchart.v1.214" hidden="1">'91T_Seeds'!$AE$16:$AE$45</definedName>
    <definedName name="_xlchart.v1.215" hidden="1">'91T_Seeds'!$AE$16:$AE$55</definedName>
    <definedName name="_xlchart.v1.216" hidden="1">'91T_Seeds'!$AE$16:$AE$65</definedName>
    <definedName name="_xlchart.v1.217" hidden="1">'91T_Seeds'!$AE$16:$AE$75</definedName>
    <definedName name="_xlchart.v1.218" hidden="1">'91T_Seeds'!$AE$16:$AE$85</definedName>
    <definedName name="_xlchart.v1.219" hidden="1">'91T_Seeds'!$AE$16:$AE$95</definedName>
    <definedName name="_xlchart.v1.22" hidden="1">'77_Seeds'!$AG$6</definedName>
    <definedName name="_xlchart.v1.220" hidden="1">'91T_Seeds'!$AH$10</definedName>
    <definedName name="_xlchart.v1.221" hidden="1">'91T_Seeds'!$AH$11</definedName>
    <definedName name="_xlchart.v1.222" hidden="1">'91T_Seeds'!$AH$12</definedName>
    <definedName name="_xlchart.v1.223" hidden="1">'91T_Seeds'!$AH$2</definedName>
    <definedName name="_xlchart.v1.224" hidden="1">'91T_Seeds'!$AH$3</definedName>
    <definedName name="_xlchart.v1.225" hidden="1">'91T_Seeds'!$AH$4</definedName>
    <definedName name="_xlchart.v1.226" hidden="1">'91T_Seeds'!$AH$5</definedName>
    <definedName name="_xlchart.v1.227" hidden="1">'91T_Seeds'!$AH$6</definedName>
    <definedName name="_xlchart.v1.228" hidden="1">'91T_Seeds'!$AH$7</definedName>
    <definedName name="_xlchart.v1.229" hidden="1">'91T_Seeds'!$AH$8</definedName>
    <definedName name="_xlchart.v1.23" hidden="1">'77_Seeds'!$AG$7</definedName>
    <definedName name="_xlchart.v1.230" hidden="1">'91T_Seeds'!$AH$9</definedName>
    <definedName name="_xlchart.v1.231" hidden="1">'91T_Seeds'!$U$394</definedName>
    <definedName name="_xlchart.v1.232" hidden="1">'91T_Seeds'!$AD$16:$AD$115</definedName>
    <definedName name="_xlchart.v1.233" hidden="1">'91T_Seeds'!$AG$12</definedName>
    <definedName name="_xlchart.v1.234" hidden="1">'91T_Seeds'!$AD$16:$AD$35</definedName>
    <definedName name="_xlchart.v1.235" hidden="1">'91T_Seeds'!$AG$4</definedName>
    <definedName name="_xlchart.v1.236" hidden="1">'91T_Seeds'!$AE$16:$AE$35</definedName>
    <definedName name="_xlchart.v1.237" hidden="1">'91T_Seeds'!$AH$4</definedName>
    <definedName name="_xlchart.v1.238" hidden="1">'91T_Seeds'!$AE$16:$AE$115</definedName>
    <definedName name="_xlchart.v1.239" hidden="1">'91T_Seeds'!$AH$12</definedName>
    <definedName name="_xlchart.v1.24" hidden="1">'77_Seeds'!$AG$8</definedName>
    <definedName name="_xlchart.v1.240" hidden="1">'01T_Seeds'!$AE$16:$AE$115</definedName>
    <definedName name="_xlchart.v1.241" hidden="1">'01T_Seeds'!$AH$12</definedName>
    <definedName name="_xlchart.v1.242" hidden="1">'01T_Seeds'!$AD$16:$AD$115</definedName>
    <definedName name="_xlchart.v1.243" hidden="1">'01T_Seeds'!$AG$12</definedName>
    <definedName name="_xlchart.v1.244" hidden="1">'01T_Seeds'!$AD$16:$AD$35</definedName>
    <definedName name="_xlchart.v1.245" hidden="1">'01T_Seeds'!$AG$4</definedName>
    <definedName name="_xlchart.v1.246" hidden="1">'01T_Seeds'!$AE$16:$AE$105</definedName>
    <definedName name="_xlchart.v1.247" hidden="1">'01T_Seeds'!$AE$16:$AE$115</definedName>
    <definedName name="_xlchart.v1.248" hidden="1">'01T_Seeds'!$AE$16:$AE$20</definedName>
    <definedName name="_xlchart.v1.249" hidden="1">'01T_Seeds'!$AE$16:$AE$25</definedName>
    <definedName name="_xlchart.v1.25" hidden="1">'77_Seeds'!$AG$9</definedName>
    <definedName name="_xlchart.v1.250" hidden="1">'01T_Seeds'!$AE$16:$AE$35</definedName>
    <definedName name="_xlchart.v1.251" hidden="1">'01T_Seeds'!$AE$16:$AE$45</definedName>
    <definedName name="_xlchart.v1.252" hidden="1">'01T_Seeds'!$AE$16:$AE$55</definedName>
    <definedName name="_xlchart.v1.253" hidden="1">'01T_Seeds'!$AE$16:$AE$65</definedName>
    <definedName name="_xlchart.v1.254" hidden="1">'01T_Seeds'!$AE$16:$AE$75</definedName>
    <definedName name="_xlchart.v1.255" hidden="1">'01T_Seeds'!$AE$16:$AE$85</definedName>
    <definedName name="_xlchart.v1.256" hidden="1">'01T_Seeds'!$AE$16:$AE$95</definedName>
    <definedName name="_xlchart.v1.257" hidden="1">'01T_Seeds'!$AH$10</definedName>
    <definedName name="_xlchart.v1.258" hidden="1">'01T_Seeds'!$AH$11</definedName>
    <definedName name="_xlchart.v1.259" hidden="1">'01T_Seeds'!$AH$12</definedName>
    <definedName name="_xlchart.v1.26" hidden="1">'77_Seeds'!$U$394</definedName>
    <definedName name="_xlchart.v1.260" hidden="1">'01T_Seeds'!$AH$2</definedName>
    <definedName name="_xlchart.v1.261" hidden="1">'01T_Seeds'!$AH$3</definedName>
    <definedName name="_xlchart.v1.262" hidden="1">'01T_Seeds'!$AH$4</definedName>
    <definedName name="_xlchart.v1.263" hidden="1">'01T_Seeds'!$AH$5</definedName>
    <definedName name="_xlchart.v1.264" hidden="1">'01T_Seeds'!$AH$6</definedName>
    <definedName name="_xlchart.v1.265" hidden="1">'01T_Seeds'!$AH$7</definedName>
    <definedName name="_xlchart.v1.266" hidden="1">'01T_Seeds'!$AH$8</definedName>
    <definedName name="_xlchart.v1.267" hidden="1">'01T_Seeds'!$AH$9</definedName>
    <definedName name="_xlchart.v1.268" hidden="1">'01T_Seeds'!$U$394</definedName>
    <definedName name="_xlchart.v1.269" hidden="1">'01T_Seeds'!$AE$16:$AE$35</definedName>
    <definedName name="_xlchart.v1.27" hidden="1">'77_Seeds'!$AD$16:$AD$215</definedName>
    <definedName name="_xlchart.v1.270" hidden="1">'01T_Seeds'!$AH$4</definedName>
    <definedName name="_xlchart.v1.271" hidden="1">'01T_Seeds'!$AD$16:$AD$105</definedName>
    <definedName name="_xlchart.v1.272" hidden="1">'01T_Seeds'!$AD$16:$AD$115</definedName>
    <definedName name="_xlchart.v1.273" hidden="1">'01T_Seeds'!$AD$16:$AD$20</definedName>
    <definedName name="_xlchart.v1.274" hidden="1">'01T_Seeds'!$AD$16:$AD$25</definedName>
    <definedName name="_xlchart.v1.275" hidden="1">'01T_Seeds'!$AD$16:$AD$35</definedName>
    <definedName name="_xlchart.v1.276" hidden="1">'01T_Seeds'!$AD$16:$AD$45</definedName>
    <definedName name="_xlchart.v1.277" hidden="1">'01T_Seeds'!$AD$16:$AD$55</definedName>
    <definedName name="_xlchart.v1.278" hidden="1">'01T_Seeds'!$AD$16:$AD$65</definedName>
    <definedName name="_xlchart.v1.279" hidden="1">'01T_Seeds'!$AD$16:$AD$76</definedName>
    <definedName name="_xlchart.v1.28" hidden="1">'77_Seeds'!$AG$14</definedName>
    <definedName name="_xlchart.v1.280" hidden="1">'01T_Seeds'!$AD$16:$AD$85</definedName>
    <definedName name="_xlchart.v1.281" hidden="1">'01T_Seeds'!$AD$16:$AD$95</definedName>
    <definedName name="_xlchart.v1.282" hidden="1">'01T_Seeds'!$AG$10</definedName>
    <definedName name="_xlchart.v1.283" hidden="1">'01T_Seeds'!$AG$11</definedName>
    <definedName name="_xlchart.v1.284" hidden="1">'01T_Seeds'!$AG$12</definedName>
    <definedName name="_xlchart.v1.285" hidden="1">'01T_Seeds'!$AG$2</definedName>
    <definedName name="_xlchart.v1.286" hidden="1">'01T_Seeds'!$AG$3</definedName>
    <definedName name="_xlchart.v1.287" hidden="1">'01T_Seeds'!$AG$4</definedName>
    <definedName name="_xlchart.v1.288" hidden="1">'01T_Seeds'!$AG$5</definedName>
    <definedName name="_xlchart.v1.289" hidden="1">'01T_Seeds'!$AG$6</definedName>
    <definedName name="_xlchart.v1.29" hidden="1">'77_Seeds'!$AE$16:$AE$105</definedName>
    <definedName name="_xlchart.v1.290" hidden="1">'01T_Seeds'!$AG$7</definedName>
    <definedName name="_xlchart.v1.291" hidden="1">'01T_Seeds'!$AG$8</definedName>
    <definedName name="_xlchart.v1.292" hidden="1">'01T_Seeds'!$AG$9</definedName>
    <definedName name="_xlchart.v1.293" hidden="1">'01T_Seeds'!$U$394</definedName>
    <definedName name="_xlchart.v1.294" hidden="1">'07E_Seeds'!$AE$16:$AE$115</definedName>
    <definedName name="_xlchart.v1.295" hidden="1">'07E_Seeds'!$AH$12</definedName>
    <definedName name="_xlchart.v1.296" hidden="1">'07E_Seeds'!$AD$16:$AD$35</definedName>
    <definedName name="_xlchart.v1.297" hidden="1">'07E_Seeds'!$AG$4</definedName>
    <definedName name="_xlchart.v1.298" hidden="1">'07E_Seeds'!$AD$16:$AD$115</definedName>
    <definedName name="_xlchart.v1.299" hidden="1">'07E_Seeds'!$AG$12</definedName>
    <definedName name="_xlchart.v1.3" hidden="1">'77_Seeds'!$AD$16:$AD$20</definedName>
    <definedName name="_xlchart.v1.30" hidden="1">'77_Seeds'!$AE$16:$AE$115</definedName>
    <definedName name="_xlchart.v1.300" hidden="1">'07E_Seeds'!$AE$16:$AE$35</definedName>
    <definedName name="_xlchart.v1.301" hidden="1">'07E_Seeds'!$AH$4</definedName>
    <definedName name="_xlchart.v1.302" hidden="1">'07E_Seeds'!$AE$16:$AE$105</definedName>
    <definedName name="_xlchart.v1.303" hidden="1">'07E_Seeds'!$AE$16:$AE$115</definedName>
    <definedName name="_xlchart.v1.304" hidden="1">'07E_Seeds'!$AE$16:$AE$20</definedName>
    <definedName name="_xlchart.v1.305" hidden="1">'07E_Seeds'!$AE$16:$AE$25</definedName>
    <definedName name="_xlchart.v1.306" hidden="1">'07E_Seeds'!$AE$16:$AE$35</definedName>
    <definedName name="_xlchart.v1.307" hidden="1">'07E_Seeds'!$AE$16:$AE$45</definedName>
    <definedName name="_xlchart.v1.308" hidden="1">'07E_Seeds'!$AE$16:$AE$55</definedName>
    <definedName name="_xlchart.v1.309" hidden="1">'07E_Seeds'!$AE$16:$AE$65</definedName>
    <definedName name="_xlchart.v1.31" hidden="1">'77_Seeds'!$AE$16:$AE$165</definedName>
    <definedName name="_xlchart.v1.310" hidden="1">'07E_Seeds'!$AE$16:$AE$75</definedName>
    <definedName name="_xlchart.v1.311" hidden="1">'07E_Seeds'!$AE$16:$AE$85</definedName>
    <definedName name="_xlchart.v1.312" hidden="1">'07E_Seeds'!$AE$16:$AE$95</definedName>
    <definedName name="_xlchart.v1.313" hidden="1">'07E_Seeds'!$AH$10</definedName>
    <definedName name="_xlchart.v1.314" hidden="1">'07E_Seeds'!$AH$11</definedName>
    <definedName name="_xlchart.v1.315" hidden="1">'07E_Seeds'!$AH$12</definedName>
    <definedName name="_xlchart.v1.316" hidden="1">'07E_Seeds'!$AH$2</definedName>
    <definedName name="_xlchart.v1.317" hidden="1">'07E_Seeds'!$AH$3</definedName>
    <definedName name="_xlchart.v1.318" hidden="1">'07E_Seeds'!$AH$4</definedName>
    <definedName name="_xlchart.v1.319" hidden="1">'07E_Seeds'!$AH$5</definedName>
    <definedName name="_xlchart.v1.32" hidden="1">'77_Seeds'!$AE$16:$AE$20</definedName>
    <definedName name="_xlchart.v1.320" hidden="1">'07E_Seeds'!$AH$6</definedName>
    <definedName name="_xlchart.v1.321" hidden="1">'07E_Seeds'!$AH$7</definedName>
    <definedName name="_xlchart.v1.322" hidden="1">'07E_Seeds'!$AH$8</definedName>
    <definedName name="_xlchart.v1.323" hidden="1">'07E_Seeds'!$AH$9</definedName>
    <definedName name="_xlchart.v1.324" hidden="1">'07E_Seeds'!$U$394</definedName>
    <definedName name="_xlchart.v1.325" hidden="1">'07E_Seeds'!$AD$16:$AD$105</definedName>
    <definedName name="_xlchart.v1.326" hidden="1">'07E_Seeds'!$AD$16:$AD$115</definedName>
    <definedName name="_xlchart.v1.327" hidden="1">'07E_Seeds'!$AD$16:$AD$20</definedName>
    <definedName name="_xlchart.v1.328" hidden="1">'07E_Seeds'!$AD$16:$AD$25</definedName>
    <definedName name="_xlchart.v1.329" hidden="1">'07E_Seeds'!$AD$16:$AD$35</definedName>
    <definedName name="_xlchart.v1.33" hidden="1">'77_Seeds'!$AE$16:$AE$215</definedName>
    <definedName name="_xlchart.v1.330" hidden="1">'07E_Seeds'!$AD$16:$AD$45</definedName>
    <definedName name="_xlchart.v1.331" hidden="1">'07E_Seeds'!$AD$16:$AD$55</definedName>
    <definedName name="_xlchart.v1.332" hidden="1">'07E_Seeds'!$AD$16:$AD$65</definedName>
    <definedName name="_xlchart.v1.333" hidden="1">'07E_Seeds'!$AD$16:$AD$76</definedName>
    <definedName name="_xlchart.v1.334" hidden="1">'07E_Seeds'!$AD$16:$AD$85</definedName>
    <definedName name="_xlchart.v1.335" hidden="1">'07E_Seeds'!$AD$16:$AD$95</definedName>
    <definedName name="_xlchart.v1.336" hidden="1">'07E_Seeds'!$AG$10</definedName>
    <definedName name="_xlchart.v1.337" hidden="1">'07E_Seeds'!$AG$11</definedName>
    <definedName name="_xlchart.v1.338" hidden="1">'07E_Seeds'!$AG$12</definedName>
    <definedName name="_xlchart.v1.339" hidden="1">'07E_Seeds'!$AG$2</definedName>
    <definedName name="_xlchart.v1.34" hidden="1">'77_Seeds'!$AE$16:$AE$25</definedName>
    <definedName name="_xlchart.v1.340" hidden="1">'07E_Seeds'!$AG$3</definedName>
    <definedName name="_xlchart.v1.341" hidden="1">'07E_Seeds'!$AG$4</definedName>
    <definedName name="_xlchart.v1.342" hidden="1">'07E_Seeds'!$AG$5</definedName>
    <definedName name="_xlchart.v1.343" hidden="1">'07E_Seeds'!$AG$6</definedName>
    <definedName name="_xlchart.v1.344" hidden="1">'07E_Seeds'!$AG$7</definedName>
    <definedName name="_xlchart.v1.345" hidden="1">'07E_Seeds'!$AG$8</definedName>
    <definedName name="_xlchart.v1.346" hidden="1">'07E_Seeds'!$AG$9</definedName>
    <definedName name="_xlchart.v1.347" hidden="1">'07E_Seeds'!$U$394</definedName>
    <definedName name="_xlchart.v1.348" hidden="1">'11E_Seeds'!$AE$16:$AE$105</definedName>
    <definedName name="_xlchart.v1.349" hidden="1">'11E_Seeds'!$AE$16:$AE$115</definedName>
    <definedName name="_xlchart.v1.35" hidden="1">'77_Seeds'!$AE$16:$AE$35</definedName>
    <definedName name="_xlchart.v1.350" hidden="1">'11E_Seeds'!$AE$16:$AE$20</definedName>
    <definedName name="_xlchart.v1.351" hidden="1">'11E_Seeds'!$AE$16:$AE$25</definedName>
    <definedName name="_xlchart.v1.352" hidden="1">'11E_Seeds'!$AE$16:$AE$35</definedName>
    <definedName name="_xlchart.v1.353" hidden="1">'11E_Seeds'!$AE$16:$AE$45</definedName>
    <definedName name="_xlchart.v1.354" hidden="1">'11E_Seeds'!$AE$16:$AE$55</definedName>
    <definedName name="_xlchart.v1.355" hidden="1">'11E_Seeds'!$AE$16:$AE$65</definedName>
    <definedName name="_xlchart.v1.356" hidden="1">'11E_Seeds'!$AE$16:$AE$75</definedName>
    <definedName name="_xlchart.v1.357" hidden="1">'11E_Seeds'!$AE$16:$AE$85</definedName>
    <definedName name="_xlchart.v1.358" hidden="1">'11E_Seeds'!$AE$16:$AE$95</definedName>
    <definedName name="_xlchart.v1.359" hidden="1">'11E_Seeds'!$AH$10</definedName>
    <definedName name="_xlchart.v1.36" hidden="1">'77_Seeds'!$AE$16:$AE$45</definedName>
    <definedName name="_xlchart.v1.360" hidden="1">'11E_Seeds'!$AH$11</definedName>
    <definedName name="_xlchart.v1.361" hidden="1">'11E_Seeds'!$AH$12</definedName>
    <definedName name="_xlchart.v1.362" hidden="1">'11E_Seeds'!$AH$2</definedName>
    <definedName name="_xlchart.v1.363" hidden="1">'11E_Seeds'!$AH$3</definedName>
    <definedName name="_xlchart.v1.364" hidden="1">'11E_Seeds'!$AH$4</definedName>
    <definedName name="_xlchart.v1.365" hidden="1">'11E_Seeds'!$AH$5</definedName>
    <definedName name="_xlchart.v1.366" hidden="1">'11E_Seeds'!$AH$6</definedName>
    <definedName name="_xlchart.v1.367" hidden="1">'11E_Seeds'!$AH$7</definedName>
    <definedName name="_xlchart.v1.368" hidden="1">'11E_Seeds'!$AH$8</definedName>
    <definedName name="_xlchart.v1.369" hidden="1">'11E_Seeds'!$AH$9</definedName>
    <definedName name="_xlchart.v1.37" hidden="1">'77_Seeds'!$AE$16:$AE$55</definedName>
    <definedName name="_xlchart.v1.370" hidden="1">'11E_Seeds'!$U$394</definedName>
    <definedName name="_xlchart.v1.371" hidden="1">'11E_Seeds'!$AD$16:$AD$105</definedName>
    <definedName name="_xlchart.v1.372" hidden="1">'11E_Seeds'!$AD$16:$AD$115</definedName>
    <definedName name="_xlchart.v1.373" hidden="1">'11E_Seeds'!$AD$16:$AD$20</definedName>
    <definedName name="_xlchart.v1.374" hidden="1">'11E_Seeds'!$AD$16:$AD$25</definedName>
    <definedName name="_xlchart.v1.375" hidden="1">'11E_Seeds'!$AD$16:$AD$35</definedName>
    <definedName name="_xlchart.v1.376" hidden="1">'11E_Seeds'!$AD$16:$AD$45</definedName>
    <definedName name="_xlchart.v1.377" hidden="1">'11E_Seeds'!$AD$16:$AD$55</definedName>
    <definedName name="_xlchart.v1.378" hidden="1">'11E_Seeds'!$AD$16:$AD$65</definedName>
    <definedName name="_xlchart.v1.379" hidden="1">'11E_Seeds'!$AD$16:$AD$76</definedName>
    <definedName name="_xlchart.v1.38" hidden="1">'77_Seeds'!$AE$16:$AE$65</definedName>
    <definedName name="_xlchart.v1.380" hidden="1">'11E_Seeds'!$AD$16:$AD$85</definedName>
    <definedName name="_xlchart.v1.381" hidden="1">'11E_Seeds'!$AD$16:$AD$95</definedName>
    <definedName name="_xlchart.v1.382" hidden="1">'11E_Seeds'!$AG$10</definedName>
    <definedName name="_xlchart.v1.383" hidden="1">'11E_Seeds'!$AG$11</definedName>
    <definedName name="_xlchart.v1.384" hidden="1">'11E_Seeds'!$AG$12</definedName>
    <definedName name="_xlchart.v1.385" hidden="1">'11E_Seeds'!$AG$2</definedName>
    <definedName name="_xlchart.v1.386" hidden="1">'11E_Seeds'!$AG$3</definedName>
    <definedName name="_xlchart.v1.387" hidden="1">'11E_Seeds'!$AG$4</definedName>
    <definedName name="_xlchart.v1.388" hidden="1">'11E_Seeds'!$AG$5</definedName>
    <definedName name="_xlchart.v1.389" hidden="1">'11E_Seeds'!$AG$6</definedName>
    <definedName name="_xlchart.v1.39" hidden="1">'77_Seeds'!$AE$16:$AE$75</definedName>
    <definedName name="_xlchart.v1.390" hidden="1">'11E_Seeds'!$AG$7</definedName>
    <definedName name="_xlchart.v1.391" hidden="1">'11E_Seeds'!$AG$8</definedName>
    <definedName name="_xlchart.v1.392" hidden="1">'11E_Seeds'!$AG$9</definedName>
    <definedName name="_xlchart.v1.393" hidden="1">'11E_Seeds'!$U$394</definedName>
    <definedName name="_xlchart.v1.394" hidden="1">'11E_Seeds'!$AD$16:$AD$115</definedName>
    <definedName name="_xlchart.v1.395" hidden="1">'11E_Seeds'!$AG$12</definedName>
    <definedName name="_xlchart.v1.396" hidden="1">'11E_Seeds'!$AE$16:$AE$115</definedName>
    <definedName name="_xlchart.v1.397" hidden="1">'11E_Seeds'!$AH$12</definedName>
    <definedName name="_xlchart.v1.398" hidden="1">'11E_Seeds'!$AE$16:$AE$35</definedName>
    <definedName name="_xlchart.v1.399" hidden="1">'11E_Seeds'!$AH$4</definedName>
    <definedName name="_xlchart.v1.4" hidden="1">'77_Seeds'!$AD$16:$AD$215</definedName>
    <definedName name="_xlchart.v1.40" hidden="1">'77_Seeds'!$AE$16:$AE$85</definedName>
    <definedName name="_xlchart.v1.400" hidden="1">'11E_Seeds'!$AD$16:$AD$35</definedName>
    <definedName name="_xlchart.v1.401" hidden="1">'11E_Seeds'!$AG$4</definedName>
    <definedName name="_xlchart.v1.402" hidden="1">'15O_Seeds'!$AE$16:$AE$35</definedName>
    <definedName name="_xlchart.v1.403" hidden="1">'15O_Seeds'!$AH$4</definedName>
    <definedName name="_xlchart.v1.404" hidden="1">'15O_Seeds'!$AE$16:$AE$105</definedName>
    <definedName name="_xlchart.v1.405" hidden="1">'15O_Seeds'!$AE$16:$AE$115</definedName>
    <definedName name="_xlchart.v1.406" hidden="1">'15O_Seeds'!$AE$16:$AE$20</definedName>
    <definedName name="_xlchart.v1.407" hidden="1">'15O_Seeds'!$AE$16:$AE$25</definedName>
    <definedName name="_xlchart.v1.408" hidden="1">'15O_Seeds'!$AE$16:$AE$35</definedName>
    <definedName name="_xlchart.v1.409" hidden="1">'15O_Seeds'!$AE$16:$AE$45</definedName>
    <definedName name="_xlchart.v1.41" hidden="1">'77_Seeds'!$AE$16:$AE$95</definedName>
    <definedName name="_xlchart.v1.410" hidden="1">'15O_Seeds'!$AE$16:$AE$55</definedName>
    <definedName name="_xlchart.v1.411" hidden="1">'15O_Seeds'!$AE$16:$AE$65</definedName>
    <definedName name="_xlchart.v1.412" hidden="1">'15O_Seeds'!$AE$16:$AE$75</definedName>
    <definedName name="_xlchart.v1.413" hidden="1">'15O_Seeds'!$AE$16:$AE$85</definedName>
    <definedName name="_xlchart.v1.414" hidden="1">'15O_Seeds'!$AE$16:$AE$95</definedName>
    <definedName name="_xlchart.v1.415" hidden="1">'15O_Seeds'!$AH$10</definedName>
    <definedName name="_xlchart.v1.416" hidden="1">'15O_Seeds'!$AH$11</definedName>
    <definedName name="_xlchart.v1.417" hidden="1">'15O_Seeds'!$AH$12</definedName>
    <definedName name="_xlchart.v1.418" hidden="1">'15O_Seeds'!$AH$2</definedName>
    <definedName name="_xlchart.v1.419" hidden="1">'15O_Seeds'!$AH$3</definedName>
    <definedName name="_xlchart.v1.42" hidden="1">'77_Seeds'!$AH$10</definedName>
    <definedName name="_xlchart.v1.420" hidden="1">'15O_Seeds'!$AH$4</definedName>
    <definedName name="_xlchart.v1.421" hidden="1">'15O_Seeds'!$AH$5</definedName>
    <definedName name="_xlchart.v1.422" hidden="1">'15O_Seeds'!$AH$6</definedName>
    <definedName name="_xlchart.v1.423" hidden="1">'15O_Seeds'!$AH$7</definedName>
    <definedName name="_xlchart.v1.424" hidden="1">'15O_Seeds'!$AH$8</definedName>
    <definedName name="_xlchart.v1.425" hidden="1">'15O_Seeds'!$AH$9</definedName>
    <definedName name="_xlchart.v1.426" hidden="1">'15O_Seeds'!$U$394</definedName>
    <definedName name="_xlchart.v1.427" hidden="1">'15O_Seeds'!$AD$16:$AD$105</definedName>
    <definedName name="_xlchart.v1.428" hidden="1">'15O_Seeds'!$AD$16:$AD$115</definedName>
    <definedName name="_xlchart.v1.429" hidden="1">'15O_Seeds'!$AD$16:$AD$20</definedName>
    <definedName name="_xlchart.v1.43" hidden="1">'77_Seeds'!$AH$11</definedName>
    <definedName name="_xlchart.v1.430" hidden="1">'15O_Seeds'!$AD$16:$AD$25</definedName>
    <definedName name="_xlchart.v1.431" hidden="1">'15O_Seeds'!$AD$16:$AD$35</definedName>
    <definedName name="_xlchart.v1.432" hidden="1">'15O_Seeds'!$AD$16:$AD$45</definedName>
    <definedName name="_xlchart.v1.433" hidden="1">'15O_Seeds'!$AD$16:$AD$55</definedName>
    <definedName name="_xlchart.v1.434" hidden="1">'15O_Seeds'!$AD$16:$AD$65</definedName>
    <definedName name="_xlchart.v1.435" hidden="1">'15O_Seeds'!$AD$16:$AD$76</definedName>
    <definedName name="_xlchart.v1.436" hidden="1">'15O_Seeds'!$AD$16:$AD$85</definedName>
    <definedName name="_xlchart.v1.437" hidden="1">'15O_Seeds'!$AD$16:$AD$95</definedName>
    <definedName name="_xlchart.v1.438" hidden="1">'15O_Seeds'!$AG$10</definedName>
    <definedName name="_xlchart.v1.439" hidden="1">'15O_Seeds'!$AG$11</definedName>
    <definedName name="_xlchart.v1.44" hidden="1">'77_Seeds'!$AH$12</definedName>
    <definedName name="_xlchart.v1.440" hidden="1">'15O_Seeds'!$AG$12</definedName>
    <definedName name="_xlchart.v1.441" hidden="1">'15O_Seeds'!$AG$2</definedName>
    <definedName name="_xlchart.v1.442" hidden="1">'15O_Seeds'!$AG$3</definedName>
    <definedName name="_xlchart.v1.443" hidden="1">'15O_Seeds'!$AG$4</definedName>
    <definedName name="_xlchart.v1.444" hidden="1">'15O_Seeds'!$AG$5</definedName>
    <definedName name="_xlchart.v1.445" hidden="1">'15O_Seeds'!$AG$6</definedName>
    <definedName name="_xlchart.v1.446" hidden="1">'15O_Seeds'!$AG$7</definedName>
    <definedName name="_xlchart.v1.447" hidden="1">'15O_Seeds'!$AG$8</definedName>
    <definedName name="_xlchart.v1.448" hidden="1">'15O_Seeds'!$AG$9</definedName>
    <definedName name="_xlchart.v1.449" hidden="1">'15O_Seeds'!$U$394</definedName>
    <definedName name="_xlchart.v1.45" hidden="1">'77_Seeds'!$AH$13</definedName>
    <definedName name="_xlchart.v1.450" hidden="1">'15O_Seeds'!$AD$16:$AD$115</definedName>
    <definedName name="_xlchart.v1.451" hidden="1">'15O_Seeds'!$AG$12</definedName>
    <definedName name="_xlchart.v1.452" hidden="1">'15O_Seeds'!$AE$16:$AE$115</definedName>
    <definedName name="_xlchart.v1.453" hidden="1">'15O_Seeds'!$AH$12</definedName>
    <definedName name="_xlchart.v1.454" hidden="1">'15O_Seeds'!$AD$16:$AD$35</definedName>
    <definedName name="_xlchart.v1.455" hidden="1">'15O_Seeds'!$AG$4</definedName>
    <definedName name="_xlchart.v1.456" hidden="1">'19O_Seeds'!$AE$16:$AE$105</definedName>
    <definedName name="_xlchart.v1.457" hidden="1">'19O_Seeds'!$AE$16:$AE$115</definedName>
    <definedName name="_xlchart.v1.458" hidden="1">'19O_Seeds'!$AE$16:$AE$20</definedName>
    <definedName name="_xlchart.v1.459" hidden="1">'19O_Seeds'!$AE$16:$AE$25</definedName>
    <definedName name="_xlchart.v1.46" hidden="1">'77_Seeds'!$AH$14</definedName>
    <definedName name="_xlchart.v1.460" hidden="1">'19O_Seeds'!$AE$16:$AE$35</definedName>
    <definedName name="_xlchart.v1.461" hidden="1">'19O_Seeds'!$AE$16:$AE$45</definedName>
    <definedName name="_xlchart.v1.462" hidden="1">'19O_Seeds'!$AE$16:$AE$55</definedName>
    <definedName name="_xlchart.v1.463" hidden="1">'19O_Seeds'!$AE$16:$AE$65</definedName>
    <definedName name="_xlchart.v1.464" hidden="1">'19O_Seeds'!$AE$16:$AE$75</definedName>
    <definedName name="_xlchart.v1.465" hidden="1">'19O_Seeds'!$AE$16:$AE$85</definedName>
    <definedName name="_xlchart.v1.466" hidden="1">'19O_Seeds'!$AE$16:$AE$95</definedName>
    <definedName name="_xlchart.v1.467" hidden="1">'19O_Seeds'!$AH$10</definedName>
    <definedName name="_xlchart.v1.468" hidden="1">'19O_Seeds'!$AH$11</definedName>
    <definedName name="_xlchart.v1.469" hidden="1">'19O_Seeds'!$AH$12</definedName>
    <definedName name="_xlchart.v1.47" hidden="1">'77_Seeds'!$AH$2</definedName>
    <definedName name="_xlchart.v1.470" hidden="1">'19O_Seeds'!$AH$2</definedName>
    <definedName name="_xlchart.v1.471" hidden="1">'19O_Seeds'!$AH$3</definedName>
    <definedName name="_xlchart.v1.472" hidden="1">'19O_Seeds'!$AH$4</definedName>
    <definedName name="_xlchart.v1.473" hidden="1">'19O_Seeds'!$AH$5</definedName>
    <definedName name="_xlchart.v1.474" hidden="1">'19O_Seeds'!$AH$6</definedName>
    <definedName name="_xlchart.v1.475" hidden="1">'19O_Seeds'!$AH$7</definedName>
    <definedName name="_xlchart.v1.476" hidden="1">'19O_Seeds'!$AH$8</definedName>
    <definedName name="_xlchart.v1.477" hidden="1">'19O_Seeds'!$AH$9</definedName>
    <definedName name="_xlchart.v1.478" hidden="1">'19O_Seeds'!$U$394</definedName>
    <definedName name="_xlchart.v1.479" hidden="1">'19O_Seeds'!$AD$16:$AD$115</definedName>
    <definedName name="_xlchart.v1.48" hidden="1">'77_Seeds'!$AH$3</definedName>
    <definedName name="_xlchart.v1.480" hidden="1">'19O_Seeds'!$AG$12</definedName>
    <definedName name="_xlchart.v1.481" hidden="1">'19O_Seeds'!$AE$16:$AE$115</definedName>
    <definedName name="_xlchart.v1.482" hidden="1">'19O_Seeds'!$AH$12</definedName>
    <definedName name="_xlchart.v1.483" hidden="1">'19O_Seeds'!$AD$16:$AD$105</definedName>
    <definedName name="_xlchart.v1.484" hidden="1">'19O_Seeds'!$AD$16:$AD$115</definedName>
    <definedName name="_xlchart.v1.485" hidden="1">'19O_Seeds'!$AD$16:$AD$20</definedName>
    <definedName name="_xlchart.v1.486" hidden="1">'19O_Seeds'!$AD$16:$AD$25</definedName>
    <definedName name="_xlchart.v1.487" hidden="1">'19O_Seeds'!$AD$16:$AD$35</definedName>
    <definedName name="_xlchart.v1.488" hidden="1">'19O_Seeds'!$AD$16:$AD$45</definedName>
    <definedName name="_xlchart.v1.489" hidden="1">'19O_Seeds'!$AD$16:$AD$55</definedName>
    <definedName name="_xlchart.v1.49" hidden="1">'77_Seeds'!$AH$4</definedName>
    <definedName name="_xlchart.v1.490" hidden="1">'19O_Seeds'!$AD$16:$AD$65</definedName>
    <definedName name="_xlchart.v1.491" hidden="1">'19O_Seeds'!$AD$16:$AD$76</definedName>
    <definedName name="_xlchart.v1.492" hidden="1">'19O_Seeds'!$AD$16:$AD$85</definedName>
    <definedName name="_xlchart.v1.493" hidden="1">'19O_Seeds'!$AD$16:$AD$95</definedName>
    <definedName name="_xlchart.v1.494" hidden="1">'19O_Seeds'!$AG$10</definedName>
    <definedName name="_xlchart.v1.495" hidden="1">'19O_Seeds'!$AG$11</definedName>
    <definedName name="_xlchart.v1.496" hidden="1">'19O_Seeds'!$AG$12</definedName>
    <definedName name="_xlchart.v1.497" hidden="1">'19O_Seeds'!$AG$2</definedName>
    <definedName name="_xlchart.v1.498" hidden="1">'19O_Seeds'!$AG$3</definedName>
    <definedName name="_xlchart.v1.499" hidden="1">'19O_Seeds'!$AG$4</definedName>
    <definedName name="_xlchart.v1.5" hidden="1">'77_Seeds'!$AD$16:$AD$25</definedName>
    <definedName name="_xlchart.v1.50" hidden="1">'77_Seeds'!$AH$5</definedName>
    <definedName name="_xlchart.v1.500" hidden="1">'19O_Seeds'!$AG$5</definedName>
    <definedName name="_xlchart.v1.501" hidden="1">'19O_Seeds'!$AG$6</definedName>
    <definedName name="_xlchart.v1.502" hidden="1">'19O_Seeds'!$AG$7</definedName>
    <definedName name="_xlchart.v1.503" hidden="1">'19O_Seeds'!$AG$8</definedName>
    <definedName name="_xlchart.v1.504" hidden="1">'19O_Seeds'!$AG$9</definedName>
    <definedName name="_xlchart.v1.505" hidden="1">'19O_Seeds'!$U$394</definedName>
    <definedName name="_xlchart.v1.506" hidden="1">'19O_Seeds'!$AD$16:$AD$35</definedName>
    <definedName name="_xlchart.v1.507" hidden="1">'19O_Seeds'!$AG$4</definedName>
    <definedName name="_xlchart.v1.508" hidden="1">'19O_Seeds'!$AE$16:$AE$35</definedName>
    <definedName name="_xlchart.v1.509" hidden="1">'19O_Seeds'!$AH$4</definedName>
    <definedName name="_xlchart.v1.51" hidden="1">'77_Seeds'!$AH$6</definedName>
    <definedName name="_xlchart.v1.510" hidden="1">'19M_Seeds'!$AD$16:$AD$115</definedName>
    <definedName name="_xlchart.v1.511" hidden="1">'19M_Seeds'!$AG$12</definedName>
    <definedName name="_xlchart.v1.512" hidden="1">'19M_Seeds'!$AE$16:$AE$115</definedName>
    <definedName name="_xlchart.v1.513" hidden="1">'19M_Seeds'!$AH$12</definedName>
    <definedName name="_xlchart.v1.514" hidden="1">'19M_Seeds'!$AE$16:$AE$35</definedName>
    <definedName name="_xlchart.v1.515" hidden="1">'19M_Seeds'!$AH$4</definedName>
    <definedName name="_xlchart.v1.516" hidden="1">'19M_Seeds'!$AD$16:$AD$35</definedName>
    <definedName name="_xlchart.v1.517" hidden="1">'19M_Seeds'!$AG$4</definedName>
    <definedName name="_xlchart.v1.518" hidden="1">'19M_Seeds'!$AD$16:$AD$105</definedName>
    <definedName name="_xlchart.v1.519" hidden="1">'19M_Seeds'!$AD$16:$AD$115</definedName>
    <definedName name="_xlchart.v1.52" hidden="1">'77_Seeds'!$AH$7</definedName>
    <definedName name="_xlchart.v1.520" hidden="1">'19M_Seeds'!$AD$16:$AD$20</definedName>
    <definedName name="_xlchart.v1.521" hidden="1">'19M_Seeds'!$AD$16:$AD$25</definedName>
    <definedName name="_xlchart.v1.522" hidden="1">'19M_Seeds'!$AD$16:$AD$35</definedName>
    <definedName name="_xlchart.v1.523" hidden="1">'19M_Seeds'!$AD$16:$AD$45</definedName>
    <definedName name="_xlchart.v1.524" hidden="1">'19M_Seeds'!$AD$16:$AD$55</definedName>
    <definedName name="_xlchart.v1.525" hidden="1">'19M_Seeds'!$AD$16:$AD$65</definedName>
    <definedName name="_xlchart.v1.526" hidden="1">'19M_Seeds'!$AD$16:$AD$76</definedName>
    <definedName name="_xlchart.v1.527" hidden="1">'19M_Seeds'!$AD$16:$AD$85</definedName>
    <definedName name="_xlchart.v1.528" hidden="1">'19M_Seeds'!$AD$16:$AD$95</definedName>
    <definedName name="_xlchart.v1.529" hidden="1">'19M_Seeds'!$AG$10</definedName>
    <definedName name="_xlchart.v1.53" hidden="1">'77_Seeds'!$AH$8</definedName>
    <definedName name="_xlchart.v1.530" hidden="1">'19M_Seeds'!$AG$11</definedName>
    <definedName name="_xlchart.v1.531" hidden="1">'19M_Seeds'!$AG$12</definedName>
    <definedName name="_xlchart.v1.532" hidden="1">'19M_Seeds'!$AG$2</definedName>
    <definedName name="_xlchart.v1.533" hidden="1">'19M_Seeds'!$AG$3</definedName>
    <definedName name="_xlchart.v1.534" hidden="1">'19M_Seeds'!$AG$4</definedName>
    <definedName name="_xlchart.v1.535" hidden="1">'19M_Seeds'!$AG$5</definedName>
    <definedName name="_xlchart.v1.536" hidden="1">'19M_Seeds'!$AG$6</definedName>
    <definedName name="_xlchart.v1.537" hidden="1">'19M_Seeds'!$AG$7</definedName>
    <definedName name="_xlchart.v1.538" hidden="1">'19M_Seeds'!$AG$8</definedName>
    <definedName name="_xlchart.v1.539" hidden="1">'19M_Seeds'!$AG$9</definedName>
    <definedName name="_xlchart.v1.54" hidden="1">'77_Seeds'!$AH$9</definedName>
    <definedName name="_xlchart.v1.540" hidden="1">'19M_Seeds'!$U$394</definedName>
    <definedName name="_xlchart.v1.541" hidden="1">'19M_Seeds'!$AE$16:$AE$105</definedName>
    <definedName name="_xlchart.v1.542" hidden="1">'19M_Seeds'!$AE$16:$AE$115</definedName>
    <definedName name="_xlchart.v1.543" hidden="1">'19M_Seeds'!$AE$16:$AE$20</definedName>
    <definedName name="_xlchart.v1.544" hidden="1">'19M_Seeds'!$AE$16:$AE$25</definedName>
    <definedName name="_xlchart.v1.545" hidden="1">'19M_Seeds'!$AE$16:$AE$35</definedName>
    <definedName name="_xlchart.v1.546" hidden="1">'19M_Seeds'!$AE$16:$AE$45</definedName>
    <definedName name="_xlchart.v1.547" hidden="1">'19M_Seeds'!$AE$16:$AE$55</definedName>
    <definedName name="_xlchart.v1.548" hidden="1">'19M_Seeds'!$AE$16:$AE$65</definedName>
    <definedName name="_xlchart.v1.549" hidden="1">'19M_Seeds'!$AE$16:$AE$75</definedName>
    <definedName name="_xlchart.v1.55" hidden="1">'77_Seeds'!$U$394</definedName>
    <definedName name="_xlchart.v1.550" hidden="1">'19M_Seeds'!$AE$16:$AE$85</definedName>
    <definedName name="_xlchart.v1.551" hidden="1">'19M_Seeds'!$AE$16:$AE$95</definedName>
    <definedName name="_xlchart.v1.552" hidden="1">'19M_Seeds'!$AH$10</definedName>
    <definedName name="_xlchart.v1.553" hidden="1">'19M_Seeds'!$AH$11</definedName>
    <definedName name="_xlchart.v1.554" hidden="1">'19M_Seeds'!$AH$12</definedName>
    <definedName name="_xlchart.v1.555" hidden="1">'19M_Seeds'!$AH$2</definedName>
    <definedName name="_xlchart.v1.556" hidden="1">'19M_Seeds'!$AH$3</definedName>
    <definedName name="_xlchart.v1.557" hidden="1">'19M_Seeds'!$AH$4</definedName>
    <definedName name="_xlchart.v1.558" hidden="1">'19M_Seeds'!$AH$5</definedName>
    <definedName name="_xlchart.v1.559" hidden="1">'19M_Seeds'!$AH$6</definedName>
    <definedName name="_xlchart.v1.56" hidden="1">'77_Seeds'!$AE$16:$AE$35</definedName>
    <definedName name="_xlchart.v1.560" hidden="1">'19M_Seeds'!$AH$7</definedName>
    <definedName name="_xlchart.v1.561" hidden="1">'19M_Seeds'!$AH$8</definedName>
    <definedName name="_xlchart.v1.562" hidden="1">'19M_Seeds'!$AH$9</definedName>
    <definedName name="_xlchart.v1.563" hidden="1">'19M_Seeds'!$U$394</definedName>
    <definedName name="_xlchart.v1.564" hidden="1">'24M_Seeds'!$AD$16:$AD$105</definedName>
    <definedName name="_xlchart.v1.565" hidden="1">'24M_Seeds'!$AD$16:$AD$115</definedName>
    <definedName name="_xlchart.v1.566" hidden="1">'24M_Seeds'!$AD$16:$AD$20</definedName>
    <definedName name="_xlchart.v1.567" hidden="1">'24M_Seeds'!$AD$16:$AD$25</definedName>
    <definedName name="_xlchart.v1.568" hidden="1">'24M_Seeds'!$AD$16:$AD$35</definedName>
    <definedName name="_xlchart.v1.569" hidden="1">'24M_Seeds'!$AD$16:$AD$45</definedName>
    <definedName name="_xlchart.v1.57" hidden="1">'77_Seeds'!$AH$4</definedName>
    <definedName name="_xlchart.v1.570" hidden="1">'24M_Seeds'!$AD$16:$AD$55</definedName>
    <definedName name="_xlchart.v1.571" hidden="1">'24M_Seeds'!$AD$16:$AD$65</definedName>
    <definedName name="_xlchart.v1.572" hidden="1">'24M_Seeds'!$AD$16:$AD$76</definedName>
    <definedName name="_xlchart.v1.573" hidden="1">'24M_Seeds'!$AD$16:$AD$85</definedName>
    <definedName name="_xlchart.v1.574" hidden="1">'24M_Seeds'!$AD$16:$AD$95</definedName>
    <definedName name="_xlchart.v1.575" hidden="1">'24M_Seeds'!$AG$10</definedName>
    <definedName name="_xlchart.v1.576" hidden="1">'24M_Seeds'!$AG$11</definedName>
    <definedName name="_xlchart.v1.577" hidden="1">'24M_Seeds'!$AG$12</definedName>
    <definedName name="_xlchart.v1.578" hidden="1">'24M_Seeds'!$AG$2</definedName>
    <definedName name="_xlchart.v1.579" hidden="1">'24M_Seeds'!$AG$3</definedName>
    <definedName name="_xlchart.v1.58" hidden="1">'77_Seeds'!$AD$16:$AD$65</definedName>
    <definedName name="_xlchart.v1.580" hidden="1">'24M_Seeds'!$AG$4</definedName>
    <definedName name="_xlchart.v1.581" hidden="1">'24M_Seeds'!$AG$5</definedName>
    <definedName name="_xlchart.v1.582" hidden="1">'24M_Seeds'!$AG$6</definedName>
    <definedName name="_xlchart.v1.583" hidden="1">'24M_Seeds'!$AG$7</definedName>
    <definedName name="_xlchart.v1.584" hidden="1">'24M_Seeds'!$AG$8</definedName>
    <definedName name="_xlchart.v1.585" hidden="1">'24M_Seeds'!$AG$9</definedName>
    <definedName name="_xlchart.v1.586" hidden="1">'24M_Seeds'!$U$394</definedName>
    <definedName name="_xlchart.v1.587" hidden="1">'24M_Seeds'!$AE$16:$AE$115</definedName>
    <definedName name="_xlchart.v1.588" hidden="1">'24M_Seeds'!$AH$12</definedName>
    <definedName name="_xlchart.v1.589" hidden="1">'24M_Seeds'!$AE$16:$AE$35</definedName>
    <definedName name="_xlchart.v1.59" hidden="1">'77_Seeds'!$AG$7</definedName>
    <definedName name="_xlchart.v1.590" hidden="1">'24M_Seeds'!$AH$4</definedName>
    <definedName name="_xlchart.v1.591" hidden="1">'24M_Seeds'!$AD$16:$AD$35</definedName>
    <definedName name="_xlchart.v1.592" hidden="1">'24M_Seeds'!$AG$4</definedName>
    <definedName name="_xlchart.v1.593" hidden="1">'24M_Seeds'!$AE$16:$AE$105</definedName>
    <definedName name="_xlchart.v1.594" hidden="1">'24M_Seeds'!$AE$16:$AE$115</definedName>
    <definedName name="_xlchart.v1.595" hidden="1">'24M_Seeds'!$AE$16:$AE$20</definedName>
    <definedName name="_xlchart.v1.596" hidden="1">'24M_Seeds'!$AE$16:$AE$25</definedName>
    <definedName name="_xlchart.v1.597" hidden="1">'24M_Seeds'!$AE$16:$AE$35</definedName>
    <definedName name="_xlchart.v1.598" hidden="1">'24M_Seeds'!$AE$16:$AE$45</definedName>
    <definedName name="_xlchart.v1.599" hidden="1">'24M_Seeds'!$AE$16:$AE$55</definedName>
    <definedName name="_xlchart.v1.6" hidden="1">'77_Seeds'!$AD$16:$AD$35</definedName>
    <definedName name="_xlchart.v1.60" hidden="1">'77_Seeds'!$AE$16:$AE$215</definedName>
    <definedName name="_xlchart.v1.600" hidden="1">'24M_Seeds'!$AE$16:$AE$65</definedName>
    <definedName name="_xlchart.v1.601" hidden="1">'24M_Seeds'!$AE$16:$AE$75</definedName>
    <definedName name="_xlchart.v1.602" hidden="1">'24M_Seeds'!$AE$16:$AE$85</definedName>
    <definedName name="_xlchart.v1.603" hidden="1">'24M_Seeds'!$AE$16:$AE$95</definedName>
    <definedName name="_xlchart.v1.604" hidden="1">'24M_Seeds'!$AH$10</definedName>
    <definedName name="_xlchart.v1.605" hidden="1">'24M_Seeds'!$AH$11</definedName>
    <definedName name="_xlchart.v1.606" hidden="1">'24M_Seeds'!$AH$12</definedName>
    <definedName name="_xlchart.v1.607" hidden="1">'24M_Seeds'!$AH$2</definedName>
    <definedName name="_xlchart.v1.608" hidden="1">'24M_Seeds'!$AH$3</definedName>
    <definedName name="_xlchart.v1.609" hidden="1">'24M_Seeds'!$AH$4</definedName>
    <definedName name="_xlchart.v1.61" hidden="1">'77_Seeds'!$AE$16:$AE$35</definedName>
    <definedName name="_xlchart.v1.610" hidden="1">'24M_Seeds'!$AH$5</definedName>
    <definedName name="_xlchart.v1.611" hidden="1">'24M_Seeds'!$AH$6</definedName>
    <definedName name="_xlchart.v1.612" hidden="1">'24M_Seeds'!$AH$7</definedName>
    <definedName name="_xlchart.v1.613" hidden="1">'24M_Seeds'!$AH$8</definedName>
    <definedName name="_xlchart.v1.614" hidden="1">'24M_Seeds'!$AH$9</definedName>
    <definedName name="_xlchart.v1.615" hidden="1">'24M_Seeds'!$U$394</definedName>
    <definedName name="_xlchart.v1.616" hidden="1">'24M_Seeds'!$AD$16:$AD$115</definedName>
    <definedName name="_xlchart.v1.617" hidden="1">'24M_Seeds'!$AG$12</definedName>
    <definedName name="_xlchart.v1.618" hidden="1">'77_Seeds'!$U$394</definedName>
    <definedName name="_xlchart.v1.619" hidden="1">RRB_all!$B$560</definedName>
    <definedName name="_xlchart.v1.62" hidden="1">'77_Seeds'!$AH$14</definedName>
    <definedName name="_xlchart.v1.620" hidden="1">RRB_all!$B$570</definedName>
    <definedName name="_xlchart.v1.621" hidden="1">RRB_all!$B$581</definedName>
    <definedName name="_xlchart.v1.622" hidden="1">RRB_all!$B$592</definedName>
    <definedName name="_xlchart.v1.623" hidden="1">RRB_all!$B$603</definedName>
    <definedName name="_xlchart.v1.624" hidden="1">RRB_all!$E$558:$E$568</definedName>
    <definedName name="_xlchart.v1.625" hidden="1">RRB_all!$E$569:$E$579</definedName>
    <definedName name="_xlchart.v1.626" hidden="1">RRB_all!$E$580:$E$590</definedName>
    <definedName name="_xlchart.v1.627" hidden="1">RRB_all!$E$591:$E$601</definedName>
    <definedName name="_xlchart.v1.628" hidden="1">RRB_all!$E$602:$E$612</definedName>
    <definedName name="_xlchart.v1.629" hidden="1">'77_Seeds'!$U$394</definedName>
    <definedName name="_xlchart.v1.63" hidden="1">'77_Seeds'!$AH$4</definedName>
    <definedName name="_xlchart.v1.630" hidden="1">RRB_all!$B$560</definedName>
    <definedName name="_xlchart.v1.631" hidden="1">RRB_all!$B$570</definedName>
    <definedName name="_xlchart.v1.632" hidden="1">RRB_all!$B$581</definedName>
    <definedName name="_xlchart.v1.633" hidden="1">RRB_all!$B$592</definedName>
    <definedName name="_xlchart.v1.634" hidden="1">RRB_all!$B$603</definedName>
    <definedName name="_xlchart.v1.635" hidden="1">RRB_all!$G$558:$G$568</definedName>
    <definedName name="_xlchart.v1.636" hidden="1">RRB_all!$G$569:$G$579</definedName>
    <definedName name="_xlchart.v1.637" hidden="1">RRB_all!$G$580:$G$590</definedName>
    <definedName name="_xlchart.v1.638" hidden="1">RRB_all!$G$591:$G$601</definedName>
    <definedName name="_xlchart.v1.639" hidden="1">RRB_all!$G$602:$G$612</definedName>
    <definedName name="_xlchart.v1.64" hidden="1">'77_Seeds'!$AE$16:$AE$215</definedName>
    <definedName name="_xlchart.v1.640" hidden="1">'77_Seeds'!$U$394</definedName>
    <definedName name="_xlchart.v1.641" hidden="1">RRB_all!$B$560</definedName>
    <definedName name="_xlchart.v1.642" hidden="1">RRB_all!$B$570</definedName>
    <definedName name="_xlchart.v1.643" hidden="1">RRB_all!$B$581</definedName>
    <definedName name="_xlchart.v1.644" hidden="1">RRB_all!$B$592</definedName>
    <definedName name="_xlchart.v1.645" hidden="1">RRB_all!$B$603</definedName>
    <definedName name="_xlchart.v1.646" hidden="1">RRB_all!$H$558:$H$568</definedName>
    <definedName name="_xlchart.v1.647" hidden="1">RRB_all!$H$569:$H$579</definedName>
    <definedName name="_xlchart.v1.648" hidden="1">RRB_all!$H$580:$H$590</definedName>
    <definedName name="_xlchart.v1.649" hidden="1">RRB_all!$H$591:$H$601</definedName>
    <definedName name="_xlchart.v1.65" hidden="1">'77_Seeds'!$AE$16:$AE$35</definedName>
    <definedName name="_xlchart.v1.650" hidden="1">RRB_all!$H$602:$H$612</definedName>
    <definedName name="_xlchart.v1.651" hidden="1">'77_Seeds'!$U$394</definedName>
    <definedName name="_xlchart.v1.652" hidden="1">RRB_all!$B$560</definedName>
    <definedName name="_xlchart.v1.653" hidden="1">RRB_all!$B$570</definedName>
    <definedName name="_xlchart.v1.654" hidden="1">RRB_all!$B$581</definedName>
    <definedName name="_xlchart.v1.655" hidden="1">RRB_all!$B$592</definedName>
    <definedName name="_xlchart.v1.656" hidden="1">RRB_all!$B$603</definedName>
    <definedName name="_xlchart.v1.657" hidden="1">RRB_all!$D$558:$D$568</definedName>
    <definedName name="_xlchart.v1.658" hidden="1">RRB_all!$D$569:$D$579</definedName>
    <definedName name="_xlchart.v1.659" hidden="1">RRB_all!$D$580:$D$590</definedName>
    <definedName name="_xlchart.v1.66" hidden="1">'77_Seeds'!$AH$14</definedName>
    <definedName name="_xlchart.v1.660" hidden="1">RRB_all!$D$591:$D$601</definedName>
    <definedName name="_xlchart.v1.661" hidden="1">RRB_all!$D$602:$D$612</definedName>
    <definedName name="_xlchart.v1.662" hidden="1">'77_Seeds'!$U$394</definedName>
    <definedName name="_xlchart.v1.663" hidden="1">RRB_all!$B$560</definedName>
    <definedName name="_xlchart.v1.664" hidden="1">RRB_all!$B$570</definedName>
    <definedName name="_xlchart.v1.665" hidden="1">RRB_all!$B$581</definedName>
    <definedName name="_xlchart.v1.666" hidden="1">RRB_all!$B$592</definedName>
    <definedName name="_xlchart.v1.667" hidden="1">RRB_all!$B$603</definedName>
    <definedName name="_xlchart.v1.668" hidden="1">RRB_all!$F$558:$F$568</definedName>
    <definedName name="_xlchart.v1.669" hidden="1">RRB_all!$F$569:$F$579</definedName>
    <definedName name="_xlchart.v1.67" hidden="1">'77_Seeds'!$AH$4</definedName>
    <definedName name="_xlchart.v1.670" hidden="1">RRB_all!$F$580:$F$590</definedName>
    <definedName name="_xlchart.v1.671" hidden="1">RRB_all!$F$591:$F$601</definedName>
    <definedName name="_xlchart.v1.672" hidden="1">RRB_all!$F$602:$F$612</definedName>
    <definedName name="_xlchart.v1.673" hidden="1">RRB_PA_HC!$D$279</definedName>
    <definedName name="_xlchart.v1.674" hidden="1">RRB_PA_HC!$D$280:$D$290</definedName>
    <definedName name="_xlchart.v1.675" hidden="1">RRB_PA_HC!$E$279</definedName>
    <definedName name="_xlchart.v1.676" hidden="1">RRB_PA_HC!$E$280:$E$290</definedName>
    <definedName name="_xlchart.v1.677" hidden="1">RRB_PA_HC!$F$279</definedName>
    <definedName name="_xlchart.v1.678" hidden="1">RRB_PA_HC!$F$280:$F$290</definedName>
    <definedName name="_xlchart.v1.679" hidden="1">RRB_PA_HC!$G$279</definedName>
    <definedName name="_xlchart.v1.68" hidden="1">'88_Seeds'!$AD$16:$AD$215</definedName>
    <definedName name="_xlchart.v1.680" hidden="1">RRB_PA_HC!$G$280:$G$290</definedName>
    <definedName name="_xlchart.v1.681" hidden="1">RRB_PA_HC!$H$279</definedName>
    <definedName name="_xlchart.v1.682" hidden="1">RRB_PA_HC!$H$280:$H$290</definedName>
    <definedName name="_xlchart.v1.683" hidden="1">RRB_PA_HC!$D$292</definedName>
    <definedName name="_xlchart.v1.684" hidden="1">RRB_PA_HC!$D$293:$D$303</definedName>
    <definedName name="_xlchart.v1.685" hidden="1">RRB_PA_HC!$E$292</definedName>
    <definedName name="_xlchart.v1.686" hidden="1">RRB_PA_HC!$E$293:$E$303</definedName>
    <definedName name="_xlchart.v1.687" hidden="1">RRB_PA_HC!$F$292</definedName>
    <definedName name="_xlchart.v1.688" hidden="1">RRB_PA_HC!$F$293:$F$303</definedName>
    <definedName name="_xlchart.v1.689" hidden="1">RRB_PA_HC!$G$292</definedName>
    <definedName name="_xlchart.v1.69" hidden="1">'88_Seeds'!$AG$14</definedName>
    <definedName name="_xlchart.v1.690" hidden="1">RRB_PA_HC!$G$293:$G$303</definedName>
    <definedName name="_xlchart.v1.691" hidden="1">RRB_PA_HC!$H$292</definedName>
    <definedName name="_xlchart.v1.692" hidden="1">RRB_PA_HC!$H$293:$H$303</definedName>
    <definedName name="_xlchart.v1.693" hidden="1">RRB_PA_HC!$Q$292</definedName>
    <definedName name="_xlchart.v1.694" hidden="1">RRB_PA_HC!$Q$293:$Q$303</definedName>
    <definedName name="_xlchart.v1.695" hidden="1">RRB_PA_HC!$R$292</definedName>
    <definedName name="_xlchart.v1.696" hidden="1">RRB_PA_HC!$R$293:$R$303</definedName>
    <definedName name="_xlchart.v1.697" hidden="1">RRB_PA_HC!$S$292</definedName>
    <definedName name="_xlchart.v1.698" hidden="1">RRB_PA_HC!$S$293:$S$303</definedName>
    <definedName name="_xlchart.v1.699" hidden="1">RRB_PA_HC!$T$292</definedName>
    <definedName name="_xlchart.v1.7" hidden="1">'77_Seeds'!$AD$16:$AD$45</definedName>
    <definedName name="_xlchart.v1.70" hidden="1">'88_Seeds'!$AD$16:$AD$105</definedName>
    <definedName name="_xlchart.v1.700" hidden="1">RRB_PA_HC!$T$293:$T$303</definedName>
    <definedName name="_xlchart.v1.701" hidden="1">RRB_PA_HC!$U$292</definedName>
    <definedName name="_xlchart.v1.702" hidden="1">RRB_PA_HC!$U$293:$U$303</definedName>
    <definedName name="_xlchart.v1.703" hidden="1">RRB_PA_HC!$AD$279</definedName>
    <definedName name="_xlchart.v1.704" hidden="1">RRB_PA_HC!$AD$280:$AD$290</definedName>
    <definedName name="_xlchart.v1.705" hidden="1">RRB_PA_HC!$AE$279</definedName>
    <definedName name="_xlchart.v1.706" hidden="1">RRB_PA_HC!$AE$280:$AE$290</definedName>
    <definedName name="_xlchart.v1.707" hidden="1">RRB_PA_HC!$AF$279</definedName>
    <definedName name="_xlchart.v1.708" hidden="1">RRB_PA_HC!$AF$280:$AF$290</definedName>
    <definedName name="_xlchart.v1.709" hidden="1">RRB_PA_HC!$AG$279</definedName>
    <definedName name="_xlchart.v1.71" hidden="1">'88_Seeds'!$AD$16:$AD$115</definedName>
    <definedName name="_xlchart.v1.710" hidden="1">RRB_PA_HC!$AG$280:$AG$290</definedName>
    <definedName name="_xlchart.v1.711" hidden="1">RRB_PA_HC!$AH$279</definedName>
    <definedName name="_xlchart.v1.712" hidden="1">RRB_PA_HC!$AH$280:$AH$290</definedName>
    <definedName name="_xlchart.v1.713" hidden="1">RRB_PA_HC!$AD$292</definedName>
    <definedName name="_xlchart.v1.714" hidden="1">RRB_PA_HC!$AD$293:$AD$303</definedName>
    <definedName name="_xlchart.v1.715" hidden="1">RRB_PA_HC!$AE$292</definedName>
    <definedName name="_xlchart.v1.716" hidden="1">RRB_PA_HC!$AE$293:$AE$303</definedName>
    <definedName name="_xlchart.v1.717" hidden="1">RRB_PA_HC!$AF$292</definedName>
    <definedName name="_xlchart.v1.718" hidden="1">RRB_PA_HC!$AF$293:$AF$303</definedName>
    <definedName name="_xlchart.v1.719" hidden="1">RRB_PA_HC!$AG$292</definedName>
    <definedName name="_xlchart.v1.72" hidden="1">'88_Seeds'!$AD$16:$AD$165</definedName>
    <definedName name="_xlchart.v1.720" hidden="1">RRB_PA_HC!$AG$293:$AG$303</definedName>
    <definedName name="_xlchart.v1.721" hidden="1">RRB_PA_HC!$AH$292</definedName>
    <definedName name="_xlchart.v1.722" hidden="1">RRB_PA_HC!$AH$293:$AH$303</definedName>
    <definedName name="_xlchart.v1.723" hidden="1">RRB_PA_HC!$Q$279</definedName>
    <definedName name="_xlchart.v1.724" hidden="1">RRB_PA_HC!$Q$280:$Q$290</definedName>
    <definedName name="_xlchart.v1.725" hidden="1">RRB_PA_HC!$R$279</definedName>
    <definedName name="_xlchart.v1.726" hidden="1">RRB_PA_HC!$R$280:$R$290</definedName>
    <definedName name="_xlchart.v1.727" hidden="1">RRB_PA_HC!$S$279</definedName>
    <definedName name="_xlchart.v1.728" hidden="1">RRB_PA_HC!$S$280:$S$290</definedName>
    <definedName name="_xlchart.v1.729" hidden="1">RRB_PA_HC!$T$279</definedName>
    <definedName name="_xlchart.v1.73" hidden="1">'88_Seeds'!$AD$16:$AD$20</definedName>
    <definedName name="_xlchart.v1.730" hidden="1">RRB_PA_HC!$T$280:$T$290</definedName>
    <definedName name="_xlchart.v1.731" hidden="1">RRB_PA_HC!$U$279</definedName>
    <definedName name="_xlchart.v1.732" hidden="1">RRB_PA_HC!$U$280:$U$290</definedName>
    <definedName name="_xlchart.v1.74" hidden="1">'88_Seeds'!$AD$16:$AD$215</definedName>
    <definedName name="_xlchart.v1.75" hidden="1">'88_Seeds'!$AD$16:$AD$25</definedName>
    <definedName name="_xlchart.v1.76" hidden="1">'88_Seeds'!$AD$16:$AD$35</definedName>
    <definedName name="_xlchart.v1.77" hidden="1">'88_Seeds'!$AD$16:$AD$45</definedName>
    <definedName name="_xlchart.v1.78" hidden="1">'88_Seeds'!$AD$16:$AD$55</definedName>
    <definedName name="_xlchart.v1.79" hidden="1">'88_Seeds'!$AD$16:$AD$65</definedName>
    <definedName name="_xlchart.v1.8" hidden="1">'77_Seeds'!$AD$16:$AD$55</definedName>
    <definedName name="_xlchart.v1.80" hidden="1">'88_Seeds'!$AD$16:$AD$76</definedName>
    <definedName name="_xlchart.v1.81" hidden="1">'88_Seeds'!$AD$16:$AD$85</definedName>
    <definedName name="_xlchart.v1.82" hidden="1">'88_Seeds'!$AD$16:$AD$95</definedName>
    <definedName name="_xlchart.v1.83" hidden="1">'88_Seeds'!$AG$10</definedName>
    <definedName name="_xlchart.v1.84" hidden="1">'88_Seeds'!$AG$11</definedName>
    <definedName name="_xlchart.v1.85" hidden="1">'88_Seeds'!$AG$12</definedName>
    <definedName name="_xlchart.v1.86" hidden="1">'88_Seeds'!$AG$13</definedName>
    <definedName name="_xlchart.v1.87" hidden="1">'88_Seeds'!$AG$14</definedName>
    <definedName name="_xlchart.v1.88" hidden="1">'88_Seeds'!$AG$2</definedName>
    <definedName name="_xlchart.v1.89" hidden="1">'88_Seeds'!$AG$3</definedName>
    <definedName name="_xlchart.v1.9" hidden="1">'77_Seeds'!$AD$16:$AD$65</definedName>
    <definedName name="_xlchart.v1.90" hidden="1">'88_Seeds'!$AG$4</definedName>
    <definedName name="_xlchart.v1.91" hidden="1">'88_Seeds'!$AG$5</definedName>
    <definedName name="_xlchart.v1.92" hidden="1">'88_Seeds'!$AG$6</definedName>
    <definedName name="_xlchart.v1.93" hidden="1">'88_Seeds'!$AG$7</definedName>
    <definedName name="_xlchart.v1.94" hidden="1">'88_Seeds'!$AG$8</definedName>
    <definedName name="_xlchart.v1.95" hidden="1">'88_Seeds'!$AG$9</definedName>
    <definedName name="_xlchart.v1.96" hidden="1">'88_Seeds'!$U$394</definedName>
    <definedName name="_xlchart.v1.97" hidden="1">'88_Seeds'!$AE$16:$AE$105</definedName>
    <definedName name="_xlchart.v1.98" hidden="1">'88_Seeds'!$AE$16:$AE$115</definedName>
    <definedName name="_xlchart.v1.99" hidden="1">'88_Seeds'!$AE$16:$AE$165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1" i="35" l="1"/>
  <c r="D17" i="39"/>
  <c r="D18" i="39" s="1"/>
  <c r="H99" i="40" l="1"/>
  <c r="L93" i="40"/>
  <c r="I93" i="40"/>
  <c r="E93" i="40"/>
  <c r="P93" i="40" s="1"/>
  <c r="E92" i="40" l="1"/>
  <c r="L92" i="40"/>
  <c r="I92" i="40"/>
  <c r="AP100" i="26" l="1"/>
  <c r="AO100" i="26"/>
  <c r="AN100" i="26"/>
  <c r="AM100" i="26"/>
  <c r="AL100" i="26"/>
  <c r="AP100" i="25"/>
  <c r="AO100" i="25"/>
  <c r="AN100" i="25"/>
  <c r="AM100" i="25"/>
  <c r="AL100" i="25"/>
  <c r="AP100" i="24"/>
  <c r="AO100" i="24"/>
  <c r="AN100" i="24"/>
  <c r="AM100" i="24"/>
  <c r="AL100" i="24"/>
  <c r="AP100" i="23"/>
  <c r="AO100" i="23"/>
  <c r="AN100" i="23"/>
  <c r="AM100" i="23"/>
  <c r="AL100" i="23"/>
  <c r="AP100" i="21"/>
  <c r="AO100" i="21"/>
  <c r="AN100" i="21"/>
  <c r="AM100" i="21"/>
  <c r="AL100" i="21"/>
  <c r="AP100" i="20"/>
  <c r="AO100" i="20"/>
  <c r="AN100" i="20"/>
  <c r="AM100" i="20"/>
  <c r="AL100" i="20"/>
  <c r="AP100" i="14"/>
  <c r="AO100" i="14"/>
  <c r="AN100" i="14"/>
  <c r="AM100" i="14"/>
  <c r="AL100" i="14"/>
  <c r="AP100" i="18"/>
  <c r="AO100" i="18"/>
  <c r="AN100" i="18"/>
  <c r="AM100" i="18"/>
  <c r="AL100" i="18"/>
  <c r="AP100" i="12"/>
  <c r="AO100" i="12"/>
  <c r="AN100" i="12"/>
  <c r="AM100" i="12"/>
  <c r="AL100" i="12"/>
  <c r="AP100" i="17"/>
  <c r="AO100" i="17"/>
  <c r="AN100" i="17"/>
  <c r="AM100" i="17"/>
  <c r="AL100" i="17"/>
  <c r="AP100" i="9"/>
  <c r="AO100" i="9"/>
  <c r="AN100" i="9"/>
  <c r="AM100" i="9"/>
  <c r="AL100" i="9"/>
  <c r="D67" i="30"/>
  <c r="D66" i="30"/>
  <c r="D65" i="30"/>
  <c r="D64" i="30"/>
  <c r="D63" i="30"/>
  <c r="D62" i="30"/>
  <c r="D57" i="30"/>
  <c r="D56" i="30"/>
  <c r="D55" i="30"/>
  <c r="D54" i="30"/>
  <c r="D53" i="30"/>
  <c r="D52" i="30"/>
  <c r="D47" i="30"/>
  <c r="D46" i="30"/>
  <c r="D45" i="30"/>
  <c r="D44" i="30"/>
  <c r="D43" i="30"/>
  <c r="D42" i="30"/>
  <c r="D37" i="30"/>
  <c r="D36" i="30"/>
  <c r="D35" i="30"/>
  <c r="D34" i="30"/>
  <c r="D33" i="30"/>
  <c r="D32" i="30"/>
  <c r="D27" i="30"/>
  <c r="D26" i="30"/>
  <c r="D25" i="30"/>
  <c r="D24" i="30"/>
  <c r="D23" i="30"/>
  <c r="D22" i="30"/>
  <c r="P99" i="40"/>
  <c r="S100" i="40"/>
  <c r="W99" i="40" s="1"/>
  <c r="K100" i="40"/>
  <c r="O99" i="40" s="1"/>
  <c r="C100" i="40"/>
  <c r="G99" i="40" s="1"/>
  <c r="S98" i="40"/>
  <c r="K98" i="40"/>
  <c r="O98" i="40" s="1"/>
  <c r="C98" i="40"/>
  <c r="S97" i="40"/>
  <c r="K97" i="40"/>
  <c r="C97" i="40"/>
  <c r="G98" i="40"/>
  <c r="W97" i="40"/>
  <c r="G97" i="40"/>
  <c r="E97" i="40"/>
  <c r="U100" i="40"/>
  <c r="M100" i="40"/>
  <c r="E100" i="40"/>
  <c r="U99" i="40"/>
  <c r="M99" i="40"/>
  <c r="E99" i="40"/>
  <c r="U98" i="40"/>
  <c r="W98" i="40"/>
  <c r="M98" i="40"/>
  <c r="E98" i="40"/>
  <c r="U97" i="40"/>
  <c r="X99" i="40" l="1"/>
  <c r="Z251" i="41" l="1"/>
  <c r="Z250" i="41"/>
  <c r="Z249" i="41"/>
  <c r="W250" i="41"/>
  <c r="W249" i="41"/>
  <c r="T249" i="41"/>
  <c r="AM244" i="41"/>
  <c r="AL244" i="41"/>
  <c r="AK244" i="41"/>
  <c r="AJ244" i="41"/>
  <c r="AI244" i="41"/>
  <c r="AH244" i="41"/>
  <c r="AG244" i="41"/>
  <c r="AF244" i="41"/>
  <c r="AE244" i="41"/>
  <c r="AL243" i="41"/>
  <c r="AK243" i="41"/>
  <c r="AJ243" i="41"/>
  <c r="AI243" i="41"/>
  <c r="AH243" i="41"/>
  <c r="AG243" i="41"/>
  <c r="AF243" i="41"/>
  <c r="AE243" i="41"/>
  <c r="AK242" i="41"/>
  <c r="AJ242" i="41"/>
  <c r="AI242" i="41"/>
  <c r="AH242" i="41"/>
  <c r="AG242" i="41"/>
  <c r="AF242" i="41"/>
  <c r="AE242" i="41"/>
  <c r="AJ241" i="41"/>
  <c r="AI241" i="41"/>
  <c r="AH241" i="41"/>
  <c r="AG241" i="41"/>
  <c r="AF241" i="41"/>
  <c r="AE241" i="41"/>
  <c r="AI240" i="41"/>
  <c r="AH240" i="41"/>
  <c r="AG240" i="41"/>
  <c r="AF240" i="41"/>
  <c r="AE240" i="41"/>
  <c r="AH239" i="41"/>
  <c r="AG239" i="41"/>
  <c r="AF239" i="41"/>
  <c r="AE239" i="41"/>
  <c r="AG238" i="41"/>
  <c r="AF238" i="41"/>
  <c r="AE238" i="41"/>
  <c r="AF237" i="41"/>
  <c r="AE237" i="41"/>
  <c r="AE236" i="41"/>
  <c r="AM228" i="41"/>
  <c r="AL228" i="41"/>
  <c r="AK228" i="41"/>
  <c r="AJ228" i="41"/>
  <c r="AI228" i="41"/>
  <c r="AH228" i="41"/>
  <c r="AG228" i="41"/>
  <c r="AF228" i="41"/>
  <c r="AE228" i="41"/>
  <c r="AL227" i="41"/>
  <c r="AK227" i="41"/>
  <c r="AJ227" i="41"/>
  <c r="AI227" i="41"/>
  <c r="AH227" i="41"/>
  <c r="AG227" i="41"/>
  <c r="AF227" i="41"/>
  <c r="AE227" i="41"/>
  <c r="AK226" i="41"/>
  <c r="AJ226" i="41"/>
  <c r="AI226" i="41"/>
  <c r="AH226" i="41"/>
  <c r="AG226" i="41"/>
  <c r="AF226" i="41"/>
  <c r="AE226" i="41"/>
  <c r="AJ225" i="41"/>
  <c r="AI225" i="41"/>
  <c r="AH225" i="41"/>
  <c r="AG225" i="41"/>
  <c r="AF225" i="41"/>
  <c r="AE225" i="41"/>
  <c r="AI224" i="41"/>
  <c r="AH224" i="41"/>
  <c r="AG224" i="41"/>
  <c r="AF224" i="41"/>
  <c r="AE224" i="41"/>
  <c r="AH223" i="41"/>
  <c r="AG223" i="41"/>
  <c r="AF223" i="41"/>
  <c r="AE223" i="41"/>
  <c r="AG222" i="41"/>
  <c r="AF222" i="41"/>
  <c r="AE222" i="41"/>
  <c r="AF221" i="41"/>
  <c r="AE221" i="41"/>
  <c r="AE220" i="41"/>
  <c r="AM212" i="41"/>
  <c r="AL212" i="41"/>
  <c r="AK212" i="41"/>
  <c r="AJ212" i="41"/>
  <c r="AI212" i="41"/>
  <c r="AH212" i="41"/>
  <c r="AG212" i="41"/>
  <c r="AF212" i="41"/>
  <c r="AE212" i="41"/>
  <c r="AL211" i="41"/>
  <c r="AK211" i="41"/>
  <c r="AJ211" i="41"/>
  <c r="AI211" i="41"/>
  <c r="AH211" i="41"/>
  <c r="AG211" i="41"/>
  <c r="AF211" i="41"/>
  <c r="AE211" i="41"/>
  <c r="AK210" i="41"/>
  <c r="AJ210" i="41"/>
  <c r="AI210" i="41"/>
  <c r="AH210" i="41"/>
  <c r="AG210" i="41"/>
  <c r="AF210" i="41"/>
  <c r="AE210" i="41"/>
  <c r="AJ209" i="41"/>
  <c r="AI209" i="41"/>
  <c r="AH209" i="41"/>
  <c r="AG209" i="41"/>
  <c r="AF209" i="41"/>
  <c r="AE209" i="41"/>
  <c r="AI208" i="41"/>
  <c r="AH208" i="41"/>
  <c r="AG208" i="41"/>
  <c r="AF208" i="41"/>
  <c r="AE208" i="41"/>
  <c r="AH207" i="41"/>
  <c r="AG207" i="41"/>
  <c r="AF207" i="41"/>
  <c r="AE207" i="41"/>
  <c r="AG206" i="41"/>
  <c r="AF206" i="41"/>
  <c r="AE206" i="41"/>
  <c r="AF205" i="41"/>
  <c r="AE205" i="41"/>
  <c r="AE204" i="41"/>
  <c r="AM196" i="41"/>
  <c r="AL196" i="41"/>
  <c r="AK196" i="41"/>
  <c r="AJ196" i="41"/>
  <c r="AI196" i="41"/>
  <c r="AH196" i="41"/>
  <c r="AG196" i="41"/>
  <c r="AF196" i="41"/>
  <c r="AE196" i="41"/>
  <c r="AL195" i="41"/>
  <c r="AK195" i="41"/>
  <c r="AJ195" i="41"/>
  <c r="AI195" i="41"/>
  <c r="AH195" i="41"/>
  <c r="AG195" i="41"/>
  <c r="AF195" i="41"/>
  <c r="AE195" i="41"/>
  <c r="AK194" i="41"/>
  <c r="AJ194" i="41"/>
  <c r="AI194" i="41"/>
  <c r="AH194" i="41"/>
  <c r="AG194" i="41"/>
  <c r="AF194" i="41"/>
  <c r="AE194" i="41"/>
  <c r="AJ193" i="41"/>
  <c r="AI193" i="41"/>
  <c r="AH193" i="41"/>
  <c r="AG193" i="41"/>
  <c r="AF193" i="41"/>
  <c r="AE193" i="41"/>
  <c r="AI192" i="41"/>
  <c r="AH192" i="41"/>
  <c r="AG192" i="41"/>
  <c r="AF192" i="41"/>
  <c r="AE192" i="41"/>
  <c r="AH191" i="41"/>
  <c r="AG191" i="41"/>
  <c r="AF191" i="41"/>
  <c r="AE191" i="41"/>
  <c r="AG190" i="41"/>
  <c r="AF190" i="41"/>
  <c r="AE190" i="41"/>
  <c r="AF189" i="41"/>
  <c r="AE189" i="41"/>
  <c r="AE188" i="41"/>
  <c r="AM180" i="41"/>
  <c r="AL180" i="41"/>
  <c r="AK180" i="41"/>
  <c r="AJ180" i="41"/>
  <c r="AI180" i="41"/>
  <c r="AH180" i="41"/>
  <c r="AG180" i="41"/>
  <c r="AF180" i="41"/>
  <c r="AE180" i="41"/>
  <c r="AL179" i="41"/>
  <c r="AK179" i="41"/>
  <c r="AJ179" i="41"/>
  <c r="AI179" i="41"/>
  <c r="AH179" i="41"/>
  <c r="AG179" i="41"/>
  <c r="AF179" i="41"/>
  <c r="AE179" i="41"/>
  <c r="AK178" i="41"/>
  <c r="AJ178" i="41"/>
  <c r="AI178" i="41"/>
  <c r="AH178" i="41"/>
  <c r="AG178" i="41"/>
  <c r="AF178" i="41"/>
  <c r="AE178" i="41"/>
  <c r="AJ177" i="41"/>
  <c r="AI177" i="41"/>
  <c r="AH177" i="41"/>
  <c r="AG177" i="41"/>
  <c r="AF177" i="41"/>
  <c r="AE177" i="41"/>
  <c r="AI176" i="41"/>
  <c r="AH176" i="41"/>
  <c r="AG176" i="41"/>
  <c r="AF176" i="41"/>
  <c r="AE176" i="41"/>
  <c r="AH175" i="41"/>
  <c r="AG175" i="41"/>
  <c r="AF175" i="41"/>
  <c r="AE175" i="41"/>
  <c r="AG174" i="41"/>
  <c r="AF174" i="41"/>
  <c r="AE174" i="41"/>
  <c r="AF173" i="41"/>
  <c r="AE173" i="41"/>
  <c r="AE172" i="41"/>
  <c r="AC163" i="41"/>
  <c r="AC162" i="41"/>
  <c r="AB162" i="41"/>
  <c r="AC161" i="41"/>
  <c r="AB161" i="41"/>
  <c r="AA161" i="41"/>
  <c r="AC160" i="41"/>
  <c r="AB160" i="41"/>
  <c r="AA160" i="41"/>
  <c r="Z160" i="41"/>
  <c r="AC159" i="41"/>
  <c r="AB159" i="41"/>
  <c r="AA159" i="41"/>
  <c r="Z159" i="41"/>
  <c r="Y159" i="41"/>
  <c r="AC158" i="41"/>
  <c r="AB158" i="41"/>
  <c r="AA158" i="41"/>
  <c r="Z158" i="41"/>
  <c r="Y158" i="41"/>
  <c r="X158" i="41"/>
  <c r="AC157" i="41"/>
  <c r="AB157" i="41"/>
  <c r="AA157" i="41"/>
  <c r="Z157" i="41"/>
  <c r="Y157" i="41"/>
  <c r="X157" i="41"/>
  <c r="W157" i="41"/>
  <c r="E157" i="41"/>
  <c r="AC156" i="41"/>
  <c r="AB156" i="41"/>
  <c r="AA156" i="41"/>
  <c r="Z156" i="41"/>
  <c r="Y156" i="41"/>
  <c r="X156" i="41"/>
  <c r="W156" i="41"/>
  <c r="V156" i="41"/>
  <c r="AC155" i="41"/>
  <c r="AB155" i="41"/>
  <c r="AA155" i="41"/>
  <c r="Z155" i="41"/>
  <c r="Y155" i="41"/>
  <c r="X155" i="41"/>
  <c r="W155" i="41"/>
  <c r="V155" i="41"/>
  <c r="U155" i="41"/>
  <c r="AC154" i="41"/>
  <c r="AB154" i="41"/>
  <c r="AA154" i="41"/>
  <c r="Z154" i="41"/>
  <c r="Y154" i="41"/>
  <c r="X154" i="41"/>
  <c r="W154" i="41"/>
  <c r="V154" i="41"/>
  <c r="U154" i="41"/>
  <c r="T154" i="41"/>
  <c r="AM147" i="41"/>
  <c r="AL147" i="41"/>
  <c r="AK147" i="41"/>
  <c r="AJ147" i="41"/>
  <c r="AI147" i="41"/>
  <c r="AH147" i="41"/>
  <c r="AG147" i="41"/>
  <c r="AF147" i="41"/>
  <c r="AE147" i="41"/>
  <c r="AC147" i="41"/>
  <c r="AN147" i="41" s="1"/>
  <c r="AN146" i="41"/>
  <c r="AL146" i="41"/>
  <c r="AK146" i="41"/>
  <c r="AJ146" i="41"/>
  <c r="AI146" i="41"/>
  <c r="AH146" i="41"/>
  <c r="AG146" i="41"/>
  <c r="AF146" i="41"/>
  <c r="AE146" i="41"/>
  <c r="AC146" i="41"/>
  <c r="AB146" i="41"/>
  <c r="AM146" i="41" s="1"/>
  <c r="AK145" i="41"/>
  <c r="AJ145" i="41"/>
  <c r="AI145" i="41"/>
  <c r="AH145" i="41"/>
  <c r="AG145" i="41"/>
  <c r="AF145" i="41"/>
  <c r="AE145" i="41"/>
  <c r="AC145" i="41"/>
  <c r="AN145" i="41" s="1"/>
  <c r="AB145" i="41"/>
  <c r="AM145" i="41" s="1"/>
  <c r="AA145" i="41"/>
  <c r="AL145" i="41" s="1"/>
  <c r="AN144" i="41"/>
  <c r="AJ144" i="41"/>
  <c r="AI144" i="41"/>
  <c r="AH144" i="41"/>
  <c r="AG144" i="41"/>
  <c r="AF144" i="41"/>
  <c r="AE144" i="41"/>
  <c r="AC144" i="41"/>
  <c r="AB144" i="41"/>
  <c r="AM144" i="41" s="1"/>
  <c r="AA144" i="41"/>
  <c r="AL144" i="41" s="1"/>
  <c r="Z144" i="41"/>
  <c r="AK144" i="41" s="1"/>
  <c r="AI143" i="41"/>
  <c r="AH143" i="41"/>
  <c r="AG143" i="41"/>
  <c r="AF143" i="41"/>
  <c r="AE143" i="41"/>
  <c r="AC143" i="41"/>
  <c r="AN143" i="41" s="1"/>
  <c r="AB143" i="41"/>
  <c r="AM143" i="41" s="1"/>
  <c r="AA143" i="41"/>
  <c r="AL143" i="41" s="1"/>
  <c r="Z143" i="41"/>
  <c r="AK143" i="41" s="1"/>
  <c r="Y143" i="41"/>
  <c r="AJ143" i="41" s="1"/>
  <c r="AH142" i="41"/>
  <c r="AG142" i="41"/>
  <c r="AF142" i="41"/>
  <c r="AE142" i="41"/>
  <c r="AC142" i="41"/>
  <c r="AN142" i="41" s="1"/>
  <c r="AB142" i="41"/>
  <c r="AM142" i="41" s="1"/>
  <c r="AA142" i="41"/>
  <c r="AL142" i="41" s="1"/>
  <c r="Z142" i="41"/>
  <c r="AK142" i="41" s="1"/>
  <c r="Y142" i="41"/>
  <c r="AJ142" i="41" s="1"/>
  <c r="X142" i="41"/>
  <c r="AI142" i="41" s="1"/>
  <c r="AG141" i="41"/>
  <c r="AF141" i="41"/>
  <c r="AE141" i="41"/>
  <c r="AC141" i="41"/>
  <c r="AN141" i="41" s="1"/>
  <c r="AB141" i="41"/>
  <c r="AM141" i="41" s="1"/>
  <c r="AA141" i="41"/>
  <c r="AL141" i="41" s="1"/>
  <c r="Z141" i="41"/>
  <c r="AK141" i="41" s="1"/>
  <c r="Y141" i="41"/>
  <c r="AJ141" i="41" s="1"/>
  <c r="X141" i="41"/>
  <c r="AI141" i="41" s="1"/>
  <c r="W141" i="41"/>
  <c r="AH141" i="41" s="1"/>
  <c r="E141" i="41"/>
  <c r="AN140" i="41"/>
  <c r="AF140" i="41"/>
  <c r="AE140" i="41"/>
  <c r="AC140" i="41"/>
  <c r="AB140" i="41"/>
  <c r="AM140" i="41" s="1"/>
  <c r="AA140" i="41"/>
  <c r="AL140" i="41" s="1"/>
  <c r="Z140" i="41"/>
  <c r="AK140" i="41" s="1"/>
  <c r="Y140" i="41"/>
  <c r="AJ140" i="41" s="1"/>
  <c r="X140" i="41"/>
  <c r="AI140" i="41" s="1"/>
  <c r="W140" i="41"/>
  <c r="AH140" i="41" s="1"/>
  <c r="V140" i="41"/>
  <c r="AG140" i="41" s="1"/>
  <c r="AL139" i="41"/>
  <c r="AE139" i="41"/>
  <c r="AC139" i="41"/>
  <c r="AN139" i="41" s="1"/>
  <c r="AB139" i="41"/>
  <c r="AM139" i="41" s="1"/>
  <c r="AA139" i="41"/>
  <c r="Z139" i="41"/>
  <c r="AK139" i="41" s="1"/>
  <c r="Y139" i="41"/>
  <c r="AJ139" i="41" s="1"/>
  <c r="X139" i="41"/>
  <c r="AI139" i="41" s="1"/>
  <c r="W139" i="41"/>
  <c r="AH139" i="41" s="1"/>
  <c r="V139" i="41"/>
  <c r="AG139" i="41" s="1"/>
  <c r="U139" i="41"/>
  <c r="AF139" i="41" s="1"/>
  <c r="AC138" i="41"/>
  <c r="AN138" i="41" s="1"/>
  <c r="AB138" i="41"/>
  <c r="AM138" i="41" s="1"/>
  <c r="AA138" i="41"/>
  <c r="AL138" i="41" s="1"/>
  <c r="Z138" i="41"/>
  <c r="AK138" i="41" s="1"/>
  <c r="Y138" i="41"/>
  <c r="AJ138" i="41" s="1"/>
  <c r="X138" i="41"/>
  <c r="AI138" i="41" s="1"/>
  <c r="W138" i="41"/>
  <c r="AH138" i="41" s="1"/>
  <c r="V138" i="41"/>
  <c r="AG138" i="41" s="1"/>
  <c r="U138" i="41"/>
  <c r="AF138" i="41" s="1"/>
  <c r="T138" i="41"/>
  <c r="AE138" i="41" s="1"/>
  <c r="AC130" i="41"/>
  <c r="AC129" i="41"/>
  <c r="AB129" i="41"/>
  <c r="AC128" i="41"/>
  <c r="AB128" i="41"/>
  <c r="AA128" i="41"/>
  <c r="AC127" i="41"/>
  <c r="AB127" i="41"/>
  <c r="AA127" i="41"/>
  <c r="Z127" i="41"/>
  <c r="AC126" i="41"/>
  <c r="AB126" i="41"/>
  <c r="AA126" i="41"/>
  <c r="Z126" i="41"/>
  <c r="Y126" i="41"/>
  <c r="AC125" i="41"/>
  <c r="AB125" i="41"/>
  <c r="AA125" i="41"/>
  <c r="Z125" i="41"/>
  <c r="Y125" i="41"/>
  <c r="X125" i="41"/>
  <c r="AC124" i="41"/>
  <c r="AB124" i="41"/>
  <c r="AA124" i="41"/>
  <c r="Z124" i="41"/>
  <c r="Y124" i="41"/>
  <c r="X124" i="41"/>
  <c r="W124" i="41"/>
  <c r="E124" i="41"/>
  <c r="AC123" i="41"/>
  <c r="AB123" i="41"/>
  <c r="AA123" i="41"/>
  <c r="Z123" i="41"/>
  <c r="Y123" i="41"/>
  <c r="X123" i="41"/>
  <c r="W123" i="41"/>
  <c r="V123" i="41"/>
  <c r="AC122" i="41"/>
  <c r="AB122" i="41"/>
  <c r="AA122" i="41"/>
  <c r="Z122" i="41"/>
  <c r="Y122" i="41"/>
  <c r="X122" i="41"/>
  <c r="W122" i="41"/>
  <c r="V122" i="41"/>
  <c r="U122" i="41"/>
  <c r="AC121" i="41"/>
  <c r="AB121" i="41"/>
  <c r="AA121" i="41"/>
  <c r="Z121" i="41"/>
  <c r="Y121" i="41"/>
  <c r="X121" i="41"/>
  <c r="W121" i="41"/>
  <c r="V121" i="41"/>
  <c r="U121" i="41"/>
  <c r="T121" i="41"/>
  <c r="AM114" i="41"/>
  <c r="AL114" i="41"/>
  <c r="AK114" i="41"/>
  <c r="AJ114" i="41"/>
  <c r="AI114" i="41"/>
  <c r="AH114" i="41"/>
  <c r="AG114" i="41"/>
  <c r="AF114" i="41"/>
  <c r="AE114" i="41"/>
  <c r="AC114" i="41"/>
  <c r="AN114" i="41" s="1"/>
  <c r="AL113" i="41"/>
  <c r="AK113" i="41"/>
  <c r="AJ113" i="41"/>
  <c r="AI113" i="41"/>
  <c r="AH113" i="41"/>
  <c r="AG113" i="41"/>
  <c r="AF113" i="41"/>
  <c r="AE113" i="41"/>
  <c r="AC113" i="41"/>
  <c r="AN113" i="41" s="1"/>
  <c r="AB113" i="41"/>
  <c r="AM113" i="41" s="1"/>
  <c r="AK112" i="41"/>
  <c r="AJ112" i="41"/>
  <c r="AI112" i="41"/>
  <c r="AH112" i="41"/>
  <c r="AG112" i="41"/>
  <c r="AF112" i="41"/>
  <c r="AE112" i="41"/>
  <c r="AC112" i="41"/>
  <c r="AN112" i="41" s="1"/>
  <c r="AB112" i="41"/>
  <c r="AM112" i="41" s="1"/>
  <c r="AA112" i="41"/>
  <c r="AL112" i="41" s="1"/>
  <c r="AJ111" i="41"/>
  <c r="AI111" i="41"/>
  <c r="AH111" i="41"/>
  <c r="AG111" i="41"/>
  <c r="AF111" i="41"/>
  <c r="AE111" i="41"/>
  <c r="AC111" i="41"/>
  <c r="AN111" i="41" s="1"/>
  <c r="AB111" i="41"/>
  <c r="AM111" i="41" s="1"/>
  <c r="AA111" i="41"/>
  <c r="AL111" i="41" s="1"/>
  <c r="Z111" i="41"/>
  <c r="AK111" i="41" s="1"/>
  <c r="AI110" i="41"/>
  <c r="AH110" i="41"/>
  <c r="AG110" i="41"/>
  <c r="AF110" i="41"/>
  <c r="AE110" i="41"/>
  <c r="AC110" i="41"/>
  <c r="AN110" i="41" s="1"/>
  <c r="AB110" i="41"/>
  <c r="AM110" i="41" s="1"/>
  <c r="AA110" i="41"/>
  <c r="AL110" i="41" s="1"/>
  <c r="Z110" i="41"/>
  <c r="AK110" i="41" s="1"/>
  <c r="Y110" i="41"/>
  <c r="AJ110" i="41" s="1"/>
  <c r="AH109" i="41"/>
  <c r="AG109" i="41"/>
  <c r="AF109" i="41"/>
  <c r="AE109" i="41"/>
  <c r="AC109" i="41"/>
  <c r="AN109" i="41" s="1"/>
  <c r="AB109" i="41"/>
  <c r="AM109" i="41" s="1"/>
  <c r="AA109" i="41"/>
  <c r="AL109" i="41" s="1"/>
  <c r="Z109" i="41"/>
  <c r="AK109" i="41" s="1"/>
  <c r="Y109" i="41"/>
  <c r="AJ109" i="41" s="1"/>
  <c r="X109" i="41"/>
  <c r="AI109" i="41" s="1"/>
  <c r="AG108" i="41"/>
  <c r="AF108" i="41"/>
  <c r="AE108" i="41"/>
  <c r="AC108" i="41"/>
  <c r="AN108" i="41" s="1"/>
  <c r="AB108" i="41"/>
  <c r="AM108" i="41" s="1"/>
  <c r="AA108" i="41"/>
  <c r="AL108" i="41" s="1"/>
  <c r="Z108" i="41"/>
  <c r="AK108" i="41" s="1"/>
  <c r="Y108" i="41"/>
  <c r="AJ108" i="41" s="1"/>
  <c r="X108" i="41"/>
  <c r="AI108" i="41" s="1"/>
  <c r="W108" i="41"/>
  <c r="AH108" i="41" s="1"/>
  <c r="E108" i="41"/>
  <c r="AF107" i="41"/>
  <c r="AE107" i="41"/>
  <c r="AC107" i="41"/>
  <c r="AN107" i="41" s="1"/>
  <c r="AB107" i="41"/>
  <c r="AM107" i="41" s="1"/>
  <c r="AA107" i="41"/>
  <c r="AL107" i="41" s="1"/>
  <c r="Z107" i="41"/>
  <c r="AK107" i="41" s="1"/>
  <c r="Y107" i="41"/>
  <c r="AJ107" i="41" s="1"/>
  <c r="X107" i="41"/>
  <c r="AI107" i="41" s="1"/>
  <c r="W107" i="41"/>
  <c r="AH107" i="41" s="1"/>
  <c r="V107" i="41"/>
  <c r="AG107" i="41" s="1"/>
  <c r="AE106" i="41"/>
  <c r="AC106" i="41"/>
  <c r="AN106" i="41" s="1"/>
  <c r="AB106" i="41"/>
  <c r="AM106" i="41" s="1"/>
  <c r="AA106" i="41"/>
  <c r="AL106" i="41" s="1"/>
  <c r="Z106" i="41"/>
  <c r="AK106" i="41" s="1"/>
  <c r="Y106" i="41"/>
  <c r="AJ106" i="41" s="1"/>
  <c r="X106" i="41"/>
  <c r="AI106" i="41" s="1"/>
  <c r="W106" i="41"/>
  <c r="AH106" i="41" s="1"/>
  <c r="V106" i="41"/>
  <c r="AG106" i="41" s="1"/>
  <c r="U106" i="41"/>
  <c r="AF106" i="41" s="1"/>
  <c r="AK105" i="41"/>
  <c r="AC105" i="41"/>
  <c r="AN105" i="41" s="1"/>
  <c r="AB105" i="41"/>
  <c r="AM105" i="41" s="1"/>
  <c r="AA105" i="41"/>
  <c r="AL105" i="41" s="1"/>
  <c r="Z105" i="41"/>
  <c r="Y105" i="41"/>
  <c r="AJ105" i="41" s="1"/>
  <c r="X105" i="41"/>
  <c r="AI105" i="41" s="1"/>
  <c r="W105" i="41"/>
  <c r="AH105" i="41" s="1"/>
  <c r="V105" i="41"/>
  <c r="AG105" i="41" s="1"/>
  <c r="U105" i="41"/>
  <c r="AF105" i="41" s="1"/>
  <c r="T105" i="41"/>
  <c r="AE105" i="41" s="1"/>
  <c r="AC97" i="41"/>
  <c r="AC96" i="41"/>
  <c r="AB96" i="41"/>
  <c r="AC95" i="41"/>
  <c r="AB95" i="41"/>
  <c r="AA95" i="41"/>
  <c r="AC94" i="41"/>
  <c r="AB94" i="41"/>
  <c r="AA94" i="41"/>
  <c r="Z94" i="41"/>
  <c r="AC93" i="41"/>
  <c r="AB93" i="41"/>
  <c r="AA93" i="41"/>
  <c r="Z93" i="41"/>
  <c r="Y93" i="41"/>
  <c r="AC92" i="41"/>
  <c r="AB92" i="41"/>
  <c r="AA92" i="41"/>
  <c r="Z92" i="41"/>
  <c r="Y92" i="41"/>
  <c r="X92" i="41"/>
  <c r="AC91" i="41"/>
  <c r="AB91" i="41"/>
  <c r="AA91" i="41"/>
  <c r="Z91" i="41"/>
  <c r="Y91" i="41"/>
  <c r="X91" i="41"/>
  <c r="W91" i="41"/>
  <c r="E91" i="41"/>
  <c r="AC90" i="41"/>
  <c r="AB90" i="41"/>
  <c r="AA90" i="41"/>
  <c r="Z90" i="41"/>
  <c r="Y90" i="41"/>
  <c r="X90" i="41"/>
  <c r="W90" i="41"/>
  <c r="V90" i="41"/>
  <c r="AC89" i="41"/>
  <c r="AB89" i="41"/>
  <c r="AA89" i="41"/>
  <c r="Z89" i="41"/>
  <c r="Y89" i="41"/>
  <c r="X89" i="41"/>
  <c r="W89" i="41"/>
  <c r="V89" i="41"/>
  <c r="U89" i="41"/>
  <c r="AC88" i="41"/>
  <c r="AB88" i="41"/>
  <c r="AA88" i="41"/>
  <c r="Z88" i="41"/>
  <c r="Y88" i="41"/>
  <c r="X88" i="41"/>
  <c r="W88" i="41"/>
  <c r="V88" i="41"/>
  <c r="U88" i="41"/>
  <c r="T88" i="41"/>
  <c r="AM81" i="41"/>
  <c r="AL81" i="41"/>
  <c r="AK81" i="41"/>
  <c r="AJ81" i="41"/>
  <c r="AI81" i="41"/>
  <c r="AH81" i="41"/>
  <c r="AG81" i="41"/>
  <c r="AF81" i="41"/>
  <c r="AE81" i="41"/>
  <c r="AC81" i="41"/>
  <c r="AN81" i="41" s="1"/>
  <c r="AN80" i="41"/>
  <c r="AL80" i="41"/>
  <c r="AK80" i="41"/>
  <c r="AJ80" i="41"/>
  <c r="AI80" i="41"/>
  <c r="AH80" i="41"/>
  <c r="AG80" i="41"/>
  <c r="AF80" i="41"/>
  <c r="AE80" i="41"/>
  <c r="AC80" i="41"/>
  <c r="AB80" i="41"/>
  <c r="AM80" i="41" s="1"/>
  <c r="AM79" i="41"/>
  <c r="AK79" i="41"/>
  <c r="AJ79" i="41"/>
  <c r="AI79" i="41"/>
  <c r="AH79" i="41"/>
  <c r="AG79" i="41"/>
  <c r="AF79" i="41"/>
  <c r="AE79" i="41"/>
  <c r="AC79" i="41"/>
  <c r="AN79" i="41" s="1"/>
  <c r="AB79" i="41"/>
  <c r="AA79" i="41"/>
  <c r="AL79" i="41" s="1"/>
  <c r="AN78" i="41"/>
  <c r="AJ78" i="41"/>
  <c r="AI78" i="41"/>
  <c r="AH78" i="41"/>
  <c r="AG78" i="41"/>
  <c r="AF78" i="41"/>
  <c r="AE78" i="41"/>
  <c r="AC78" i="41"/>
  <c r="AB78" i="41"/>
  <c r="AM78" i="41" s="1"/>
  <c r="AA78" i="41"/>
  <c r="AL78" i="41" s="1"/>
  <c r="Z78" i="41"/>
  <c r="AK78" i="41" s="1"/>
  <c r="AI77" i="41"/>
  <c r="AH77" i="41"/>
  <c r="AG77" i="41"/>
  <c r="AF77" i="41"/>
  <c r="AE77" i="41"/>
  <c r="AC77" i="41"/>
  <c r="AN77" i="41" s="1"/>
  <c r="AB77" i="41"/>
  <c r="AM77" i="41" s="1"/>
  <c r="AA77" i="41"/>
  <c r="AL77" i="41" s="1"/>
  <c r="Z77" i="41"/>
  <c r="AK77" i="41" s="1"/>
  <c r="Y77" i="41"/>
  <c r="AJ77" i="41" s="1"/>
  <c r="AL76" i="41"/>
  <c r="AH76" i="41"/>
  <c r="AG76" i="41"/>
  <c r="AF76" i="41"/>
  <c r="AE76" i="41"/>
  <c r="AC76" i="41"/>
  <c r="AN76" i="41" s="1"/>
  <c r="AB76" i="41"/>
  <c r="AM76" i="41" s="1"/>
  <c r="AA76" i="41"/>
  <c r="Z76" i="41"/>
  <c r="AK76" i="41" s="1"/>
  <c r="Y76" i="41"/>
  <c r="AJ76" i="41" s="1"/>
  <c r="X76" i="41"/>
  <c r="AI76" i="41" s="1"/>
  <c r="AG75" i="41"/>
  <c r="AF75" i="41"/>
  <c r="AE75" i="41"/>
  <c r="AC75" i="41"/>
  <c r="AN75" i="41" s="1"/>
  <c r="AB75" i="41"/>
  <c r="AM75" i="41" s="1"/>
  <c r="AA75" i="41"/>
  <c r="AL75" i="41" s="1"/>
  <c r="Z75" i="41"/>
  <c r="AK75" i="41" s="1"/>
  <c r="Y75" i="41"/>
  <c r="AJ75" i="41" s="1"/>
  <c r="X75" i="41"/>
  <c r="AI75" i="41" s="1"/>
  <c r="W75" i="41"/>
  <c r="AH75" i="41" s="1"/>
  <c r="E75" i="41"/>
  <c r="AF74" i="41"/>
  <c r="AE74" i="41"/>
  <c r="AC74" i="41"/>
  <c r="AN74" i="41" s="1"/>
  <c r="AB74" i="41"/>
  <c r="AM74" i="41" s="1"/>
  <c r="AA74" i="41"/>
  <c r="AL74" i="41" s="1"/>
  <c r="Z74" i="41"/>
  <c r="AK74" i="41" s="1"/>
  <c r="Y74" i="41"/>
  <c r="AJ74" i="41" s="1"/>
  <c r="X74" i="41"/>
  <c r="AI74" i="41" s="1"/>
  <c r="W74" i="41"/>
  <c r="AH74" i="41" s="1"/>
  <c r="V74" i="41"/>
  <c r="AG74" i="41" s="1"/>
  <c r="AE73" i="41"/>
  <c r="AC73" i="41"/>
  <c r="AN73" i="41" s="1"/>
  <c r="AB73" i="41"/>
  <c r="AM73" i="41" s="1"/>
  <c r="AA73" i="41"/>
  <c r="AL73" i="41" s="1"/>
  <c r="Z73" i="41"/>
  <c r="AK73" i="41" s="1"/>
  <c r="Y73" i="41"/>
  <c r="AJ73" i="41" s="1"/>
  <c r="X73" i="41"/>
  <c r="AI73" i="41" s="1"/>
  <c r="W73" i="41"/>
  <c r="AH73" i="41" s="1"/>
  <c r="V73" i="41"/>
  <c r="AG73" i="41" s="1"/>
  <c r="U73" i="41"/>
  <c r="AF73" i="41" s="1"/>
  <c r="AC72" i="41"/>
  <c r="AN72" i="41" s="1"/>
  <c r="AB72" i="41"/>
  <c r="AM72" i="41" s="1"/>
  <c r="AA72" i="41"/>
  <c r="AL72" i="41" s="1"/>
  <c r="Z72" i="41"/>
  <c r="AK72" i="41" s="1"/>
  <c r="Y72" i="41"/>
  <c r="AJ72" i="41" s="1"/>
  <c r="X72" i="41"/>
  <c r="AI72" i="41" s="1"/>
  <c r="W72" i="41"/>
  <c r="AH72" i="41" s="1"/>
  <c r="V72" i="41"/>
  <c r="AG72" i="41" s="1"/>
  <c r="U72" i="41"/>
  <c r="AF72" i="41" s="1"/>
  <c r="T72" i="41"/>
  <c r="AE72" i="41" s="1"/>
  <c r="AC64" i="41"/>
  <c r="AC63" i="41"/>
  <c r="AB63" i="41"/>
  <c r="AC62" i="41"/>
  <c r="AB62" i="41"/>
  <c r="AA62" i="41"/>
  <c r="AC61" i="41"/>
  <c r="AB61" i="41"/>
  <c r="AA61" i="41"/>
  <c r="Z61" i="41"/>
  <c r="AC60" i="41"/>
  <c r="AB60" i="41"/>
  <c r="AA60" i="41"/>
  <c r="Z60" i="41"/>
  <c r="Y60" i="41"/>
  <c r="AC59" i="41"/>
  <c r="AB59" i="41"/>
  <c r="AA59" i="41"/>
  <c r="Z59" i="41"/>
  <c r="Y59" i="41"/>
  <c r="X59" i="41"/>
  <c r="AC58" i="41"/>
  <c r="AB58" i="41"/>
  <c r="AA58" i="41"/>
  <c r="Z58" i="41"/>
  <c r="Y58" i="41"/>
  <c r="X58" i="41"/>
  <c r="W58" i="41"/>
  <c r="E58" i="41"/>
  <c r="AC57" i="41"/>
  <c r="AB57" i="41"/>
  <c r="AA57" i="41"/>
  <c r="Z57" i="41"/>
  <c r="Y57" i="41"/>
  <c r="X57" i="41"/>
  <c r="W57" i="41"/>
  <c r="V57" i="41"/>
  <c r="AC56" i="41"/>
  <c r="AB56" i="41"/>
  <c r="AA56" i="41"/>
  <c r="Z56" i="41"/>
  <c r="Y56" i="41"/>
  <c r="X56" i="41"/>
  <c r="W56" i="41"/>
  <c r="V56" i="41"/>
  <c r="U56" i="41"/>
  <c r="AC55" i="41"/>
  <c r="AB55" i="41"/>
  <c r="AA55" i="41"/>
  <c r="Z55" i="41"/>
  <c r="Y55" i="41"/>
  <c r="X55" i="41"/>
  <c r="W55" i="41"/>
  <c r="V55" i="41"/>
  <c r="U55" i="41"/>
  <c r="T55" i="41"/>
  <c r="AM48" i="41"/>
  <c r="AL48" i="41"/>
  <c r="AK48" i="41"/>
  <c r="AJ48" i="41"/>
  <c r="AI48" i="41"/>
  <c r="AH48" i="41"/>
  <c r="AG48" i="41"/>
  <c r="AF48" i="41"/>
  <c r="AE48" i="41"/>
  <c r="AC48" i="41"/>
  <c r="AN48" i="41" s="1"/>
  <c r="AL47" i="41"/>
  <c r="AK47" i="41"/>
  <c r="AJ47" i="41"/>
  <c r="AI47" i="41"/>
  <c r="AH47" i="41"/>
  <c r="AG47" i="41"/>
  <c r="AF47" i="41"/>
  <c r="AE47" i="41"/>
  <c r="AC47" i="41"/>
  <c r="AN47" i="41" s="1"/>
  <c r="AB47" i="41"/>
  <c r="AM47" i="41" s="1"/>
  <c r="AK46" i="41"/>
  <c r="AJ46" i="41"/>
  <c r="AI46" i="41"/>
  <c r="AH46" i="41"/>
  <c r="AG46" i="41"/>
  <c r="AF46" i="41"/>
  <c r="AE46" i="41"/>
  <c r="AC46" i="41"/>
  <c r="AN46" i="41" s="1"/>
  <c r="AB46" i="41"/>
  <c r="AM46" i="41" s="1"/>
  <c r="AA46" i="41"/>
  <c r="AL46" i="41" s="1"/>
  <c r="AJ45" i="41"/>
  <c r="AI45" i="41"/>
  <c r="AH45" i="41"/>
  <c r="AG45" i="41"/>
  <c r="AF45" i="41"/>
  <c r="AE45" i="41"/>
  <c r="AC45" i="41"/>
  <c r="AN45" i="41" s="1"/>
  <c r="AB45" i="41"/>
  <c r="AM45" i="41" s="1"/>
  <c r="AA45" i="41"/>
  <c r="AL45" i="41" s="1"/>
  <c r="Z45" i="41"/>
  <c r="AK45" i="41" s="1"/>
  <c r="AI44" i="41"/>
  <c r="AH44" i="41"/>
  <c r="AG44" i="41"/>
  <c r="AF44" i="41"/>
  <c r="AE44" i="41"/>
  <c r="AC44" i="41"/>
  <c r="AN44" i="41" s="1"/>
  <c r="AB44" i="41"/>
  <c r="AM44" i="41" s="1"/>
  <c r="AA44" i="41"/>
  <c r="AL44" i="41" s="1"/>
  <c r="Z44" i="41"/>
  <c r="AK44" i="41" s="1"/>
  <c r="Y44" i="41"/>
  <c r="AJ44" i="41" s="1"/>
  <c r="AH43" i="41"/>
  <c r="AG43" i="41"/>
  <c r="AF43" i="41"/>
  <c r="AE43" i="41"/>
  <c r="AC43" i="41"/>
  <c r="AN43" i="41" s="1"/>
  <c r="AB43" i="41"/>
  <c r="AM43" i="41" s="1"/>
  <c r="AA43" i="41"/>
  <c r="AL43" i="41" s="1"/>
  <c r="Z43" i="41"/>
  <c r="AK43" i="41" s="1"/>
  <c r="Y43" i="41"/>
  <c r="AJ43" i="41" s="1"/>
  <c r="X43" i="41"/>
  <c r="AI43" i="41" s="1"/>
  <c r="AG42" i="41"/>
  <c r="AF42" i="41"/>
  <c r="AE42" i="41"/>
  <c r="AC42" i="41"/>
  <c r="AN42" i="41" s="1"/>
  <c r="AB42" i="41"/>
  <c r="AM42" i="41" s="1"/>
  <c r="AA42" i="41"/>
  <c r="AL42" i="41" s="1"/>
  <c r="Z42" i="41"/>
  <c r="AK42" i="41" s="1"/>
  <c r="Y42" i="41"/>
  <c r="AJ42" i="41" s="1"/>
  <c r="X42" i="41"/>
  <c r="AI42" i="41" s="1"/>
  <c r="W42" i="41"/>
  <c r="AH42" i="41" s="1"/>
  <c r="E42" i="41"/>
  <c r="AF41" i="41"/>
  <c r="AE41" i="41"/>
  <c r="AC41" i="41"/>
  <c r="AN41" i="41" s="1"/>
  <c r="AB41" i="41"/>
  <c r="AM41" i="41" s="1"/>
  <c r="AA41" i="41"/>
  <c r="AL41" i="41" s="1"/>
  <c r="Z41" i="41"/>
  <c r="AK41" i="41" s="1"/>
  <c r="Y41" i="41"/>
  <c r="AJ41" i="41" s="1"/>
  <c r="X41" i="41"/>
  <c r="AI41" i="41" s="1"/>
  <c r="W41" i="41"/>
  <c r="AH41" i="41" s="1"/>
  <c r="V41" i="41"/>
  <c r="AG41" i="41" s="1"/>
  <c r="AE40" i="41"/>
  <c r="AC40" i="41"/>
  <c r="AN40" i="41" s="1"/>
  <c r="AB40" i="41"/>
  <c r="AM40" i="41" s="1"/>
  <c r="AA40" i="41"/>
  <c r="AL40" i="41" s="1"/>
  <c r="Z40" i="41"/>
  <c r="AK40" i="41" s="1"/>
  <c r="Y40" i="41"/>
  <c r="AJ40" i="41" s="1"/>
  <c r="X40" i="41"/>
  <c r="AI40" i="41" s="1"/>
  <c r="W40" i="41"/>
  <c r="AH40" i="41" s="1"/>
  <c r="V40" i="41"/>
  <c r="AG40" i="41" s="1"/>
  <c r="U40" i="41"/>
  <c r="AF40" i="41" s="1"/>
  <c r="AC39" i="41"/>
  <c r="AN39" i="41" s="1"/>
  <c r="AB39" i="41"/>
  <c r="AM39" i="41" s="1"/>
  <c r="AA39" i="41"/>
  <c r="AL39" i="41" s="1"/>
  <c r="Z39" i="41"/>
  <c r="AK39" i="41" s="1"/>
  <c r="Y39" i="41"/>
  <c r="AJ39" i="41" s="1"/>
  <c r="X39" i="41"/>
  <c r="AI39" i="41" s="1"/>
  <c r="W39" i="41"/>
  <c r="AH39" i="41" s="1"/>
  <c r="V39" i="41"/>
  <c r="AG39" i="41" s="1"/>
  <c r="U39" i="41"/>
  <c r="AF39" i="41" s="1"/>
  <c r="T39" i="41"/>
  <c r="AE39" i="41" s="1"/>
  <c r="AC31" i="41"/>
  <c r="AC30" i="41"/>
  <c r="AB30" i="41"/>
  <c r="AC29" i="41"/>
  <c r="AB29" i="41"/>
  <c r="AA29" i="41"/>
  <c r="AC28" i="41"/>
  <c r="AB28" i="41"/>
  <c r="AA28" i="41"/>
  <c r="Z28" i="41"/>
  <c r="AC27" i="41"/>
  <c r="AB27" i="41"/>
  <c r="AA27" i="41"/>
  <c r="Z27" i="41"/>
  <c r="Y27" i="41"/>
  <c r="AC26" i="41"/>
  <c r="AB26" i="41"/>
  <c r="AA26" i="41"/>
  <c r="Z26" i="41"/>
  <c r="Y26" i="41"/>
  <c r="X26" i="41"/>
  <c r="AC25" i="41"/>
  <c r="AB25" i="41"/>
  <c r="AA25" i="41"/>
  <c r="Z25" i="41"/>
  <c r="Y25" i="41"/>
  <c r="X25" i="41"/>
  <c r="W25" i="41"/>
  <c r="E25" i="41"/>
  <c r="AC24" i="41"/>
  <c r="AB24" i="41"/>
  <c r="AA24" i="41"/>
  <c r="Z24" i="41"/>
  <c r="Y24" i="41"/>
  <c r="X24" i="41"/>
  <c r="W24" i="41"/>
  <c r="V24" i="41"/>
  <c r="AC23" i="41"/>
  <c r="AB23" i="41"/>
  <c r="AA23" i="41"/>
  <c r="Z23" i="41"/>
  <c r="Y23" i="41"/>
  <c r="X23" i="41"/>
  <c r="W23" i="41"/>
  <c r="V23" i="41"/>
  <c r="U23" i="41"/>
  <c r="AC22" i="41"/>
  <c r="AB22" i="41"/>
  <c r="AA22" i="41"/>
  <c r="Z22" i="41"/>
  <c r="Y22" i="41"/>
  <c r="X22" i="41"/>
  <c r="W22" i="41"/>
  <c r="V22" i="41"/>
  <c r="U22" i="41"/>
  <c r="T22" i="41"/>
  <c r="AM15" i="41"/>
  <c r="AL15" i="41"/>
  <c r="AK15" i="41"/>
  <c r="AJ15" i="41"/>
  <c r="AI15" i="41"/>
  <c r="AH15" i="41"/>
  <c r="AG15" i="41"/>
  <c r="AF15" i="41"/>
  <c r="AE15" i="41"/>
  <c r="AC15" i="41"/>
  <c r="AN15" i="41" s="1"/>
  <c r="AL14" i="41"/>
  <c r="AK14" i="41"/>
  <c r="AJ14" i="41"/>
  <c r="AI14" i="41"/>
  <c r="AH14" i="41"/>
  <c r="AG14" i="41"/>
  <c r="AF14" i="41"/>
  <c r="AE14" i="41"/>
  <c r="AC14" i="41"/>
  <c r="AN14" i="41" s="1"/>
  <c r="AB14" i="41"/>
  <c r="AM14" i="41" s="1"/>
  <c r="AK13" i="41"/>
  <c r="AJ13" i="41"/>
  <c r="AI13" i="41"/>
  <c r="AH13" i="41"/>
  <c r="AG13" i="41"/>
  <c r="AF13" i="41"/>
  <c r="AE13" i="41"/>
  <c r="AC13" i="41"/>
  <c r="AN13" i="41" s="1"/>
  <c r="AB13" i="41"/>
  <c r="AM13" i="41" s="1"/>
  <c r="AA13" i="41"/>
  <c r="AL13" i="41" s="1"/>
  <c r="AJ12" i="41"/>
  <c r="AI12" i="41"/>
  <c r="AH12" i="41"/>
  <c r="AG12" i="41"/>
  <c r="AF12" i="41"/>
  <c r="AE12" i="41"/>
  <c r="AC12" i="41"/>
  <c r="AN12" i="41" s="1"/>
  <c r="AB12" i="41"/>
  <c r="AM12" i="41" s="1"/>
  <c r="AA12" i="41"/>
  <c r="AL12" i="41" s="1"/>
  <c r="AL209" i="41" s="1"/>
  <c r="AA209" i="41" s="1"/>
  <c r="Z12" i="41"/>
  <c r="AK12" i="41" s="1"/>
  <c r="AI11" i="41"/>
  <c r="AH11" i="41"/>
  <c r="AG11" i="41"/>
  <c r="AF11" i="41"/>
  <c r="AE11" i="41"/>
  <c r="AC11" i="41"/>
  <c r="AN11" i="41" s="1"/>
  <c r="AB11" i="41"/>
  <c r="AM11" i="41" s="1"/>
  <c r="AA11" i="41"/>
  <c r="AL11" i="41" s="1"/>
  <c r="Z11" i="41"/>
  <c r="AK11" i="41" s="1"/>
  <c r="Y11" i="41"/>
  <c r="AJ11" i="41" s="1"/>
  <c r="AH10" i="41"/>
  <c r="AG10" i="41"/>
  <c r="AF10" i="41"/>
  <c r="AE10" i="41"/>
  <c r="AC10" i="41"/>
  <c r="AN10" i="41" s="1"/>
  <c r="AB10" i="41"/>
  <c r="AM10" i="41" s="1"/>
  <c r="AA10" i="41"/>
  <c r="AL10" i="41" s="1"/>
  <c r="Z10" i="41"/>
  <c r="AK10" i="41" s="1"/>
  <c r="Y10" i="41"/>
  <c r="AJ10" i="41" s="1"/>
  <c r="X10" i="41"/>
  <c r="AI10" i="41" s="1"/>
  <c r="AG9" i="41"/>
  <c r="AF9" i="41"/>
  <c r="AE9" i="41"/>
  <c r="AC9" i="41"/>
  <c r="AN9" i="41" s="1"/>
  <c r="AB9" i="41"/>
  <c r="AM9" i="41" s="1"/>
  <c r="AA9" i="41"/>
  <c r="AL9" i="41" s="1"/>
  <c r="Z9" i="41"/>
  <c r="AK9" i="41" s="1"/>
  <c r="Y9" i="41"/>
  <c r="AJ9" i="41" s="1"/>
  <c r="X9" i="41"/>
  <c r="AI9" i="41" s="1"/>
  <c r="W9" i="41"/>
  <c r="AH9" i="41" s="1"/>
  <c r="E9" i="41"/>
  <c r="AJ8" i="41"/>
  <c r="AF8" i="41"/>
  <c r="AE8" i="41"/>
  <c r="AC8" i="41"/>
  <c r="AN8" i="41" s="1"/>
  <c r="AB8" i="41"/>
  <c r="AM8" i="41" s="1"/>
  <c r="AA8" i="41"/>
  <c r="AL8" i="41" s="1"/>
  <c r="Z8" i="41"/>
  <c r="AK8" i="41" s="1"/>
  <c r="Y8" i="41"/>
  <c r="X8" i="41"/>
  <c r="AI8" i="41" s="1"/>
  <c r="W8" i="41"/>
  <c r="AH8" i="41" s="1"/>
  <c r="V8" i="41"/>
  <c r="AG8" i="41" s="1"/>
  <c r="AM7" i="41"/>
  <c r="AG7" i="41"/>
  <c r="AE7" i="41"/>
  <c r="AC7" i="41"/>
  <c r="AN7" i="41" s="1"/>
  <c r="AB7" i="41"/>
  <c r="AA7" i="41"/>
  <c r="AL7" i="41" s="1"/>
  <c r="Z7" i="41"/>
  <c r="AK7" i="41" s="1"/>
  <c r="Y7" i="41"/>
  <c r="AJ7" i="41" s="1"/>
  <c r="X7" i="41"/>
  <c r="AI7" i="41" s="1"/>
  <c r="W7" i="41"/>
  <c r="AH7" i="41" s="1"/>
  <c r="V7" i="41"/>
  <c r="U7" i="41"/>
  <c r="AF7" i="41" s="1"/>
  <c r="AJ6" i="41"/>
  <c r="AI6" i="41"/>
  <c r="AC6" i="41"/>
  <c r="AN6" i="41" s="1"/>
  <c r="AB6" i="41"/>
  <c r="AM6" i="41" s="1"/>
  <c r="AA6" i="41"/>
  <c r="AL6" i="41" s="1"/>
  <c r="Z6" i="41"/>
  <c r="AK6" i="41" s="1"/>
  <c r="Y6" i="41"/>
  <c r="X6" i="41"/>
  <c r="W6" i="41"/>
  <c r="AH6" i="41" s="1"/>
  <c r="V6" i="41"/>
  <c r="AG6" i="41" s="1"/>
  <c r="U6" i="41"/>
  <c r="AF6" i="41" s="1"/>
  <c r="T6" i="41"/>
  <c r="AE6" i="41" s="1"/>
  <c r="K4" i="40"/>
  <c r="V36" i="40" s="1"/>
  <c r="K3" i="40"/>
  <c r="M61" i="40" s="1"/>
  <c r="K2" i="40"/>
  <c r="F30" i="40" s="1"/>
  <c r="T61" i="40"/>
  <c r="V54" i="40"/>
  <c r="U54" i="40"/>
  <c r="T54" i="40"/>
  <c r="N54" i="40"/>
  <c r="M58" i="40" s="1"/>
  <c r="M54" i="40"/>
  <c r="L54" i="40"/>
  <c r="F54" i="40"/>
  <c r="E58" i="40" s="1"/>
  <c r="E54" i="40"/>
  <c r="D54" i="40"/>
  <c r="V53" i="40"/>
  <c r="N53" i="40"/>
  <c r="F53" i="40"/>
  <c r="X52" i="40"/>
  <c r="V52" i="40"/>
  <c r="P52" i="40"/>
  <c r="N52" i="40"/>
  <c r="H52" i="40"/>
  <c r="F52" i="40"/>
  <c r="T46" i="40"/>
  <c r="L46" i="40"/>
  <c r="D46" i="40"/>
  <c r="T45" i="40"/>
  <c r="L45" i="40"/>
  <c r="D45" i="40"/>
  <c r="T44" i="40"/>
  <c r="L44" i="40"/>
  <c r="D44" i="40"/>
  <c r="T43" i="40"/>
  <c r="L43" i="40"/>
  <c r="D43" i="40"/>
  <c r="T42" i="40"/>
  <c r="L42" i="40"/>
  <c r="D42" i="40"/>
  <c r="T40" i="40"/>
  <c r="U39" i="40" s="1"/>
  <c r="L40" i="40"/>
  <c r="M36" i="40" s="1"/>
  <c r="D40" i="40"/>
  <c r="E30" i="40" s="1"/>
  <c r="V38" i="40"/>
  <c r="V34" i="40"/>
  <c r="F26" i="40"/>
  <c r="E18" i="40"/>
  <c r="D18" i="40"/>
  <c r="M17" i="40"/>
  <c r="V10" i="40"/>
  <c r="U10" i="40"/>
  <c r="T10" i="40"/>
  <c r="N10" i="40"/>
  <c r="L14" i="40" s="1"/>
  <c r="M10" i="40"/>
  <c r="L10" i="40"/>
  <c r="F10" i="40"/>
  <c r="D14" i="40" s="1"/>
  <c r="E10" i="40"/>
  <c r="D10" i="40"/>
  <c r="V9" i="40"/>
  <c r="N9" i="40"/>
  <c r="F9" i="40"/>
  <c r="X8" i="40"/>
  <c r="V8" i="40"/>
  <c r="P8" i="40"/>
  <c r="N8" i="40"/>
  <c r="H8" i="40"/>
  <c r="F8" i="40"/>
  <c r="AJ236" i="41" l="1"/>
  <c r="Y236" i="41" s="1"/>
  <c r="AF219" i="41"/>
  <c r="U219" i="41" s="1"/>
  <c r="AI219" i="41"/>
  <c r="X219" i="41" s="1"/>
  <c r="AK220" i="41"/>
  <c r="Z220" i="41" s="1"/>
  <c r="AG221" i="41"/>
  <c r="V221" i="41" s="1"/>
  <c r="AJ235" i="41"/>
  <c r="Y235" i="41" s="1"/>
  <c r="AI204" i="41"/>
  <c r="X204" i="41" s="1"/>
  <c r="AL220" i="41"/>
  <c r="AA220" i="41" s="1"/>
  <c r="AM172" i="41"/>
  <c r="AB172" i="41" s="1"/>
  <c r="AE203" i="41"/>
  <c r="T203" i="41" s="1"/>
  <c r="AM222" i="41"/>
  <c r="AB222" i="41" s="1"/>
  <c r="AM242" i="41"/>
  <c r="AB242" i="41" s="1"/>
  <c r="AN243" i="41"/>
  <c r="AC243" i="41" s="1"/>
  <c r="AN244" i="41"/>
  <c r="AC244" i="41" s="1"/>
  <c r="AN222" i="41"/>
  <c r="AC222" i="41" s="1"/>
  <c r="AJ206" i="41"/>
  <c r="Y206" i="41" s="1"/>
  <c r="AM220" i="41"/>
  <c r="AB220" i="41" s="1"/>
  <c r="AM243" i="41"/>
  <c r="AB243" i="41" s="1"/>
  <c r="AN236" i="41"/>
  <c r="AC236" i="41" s="1"/>
  <c r="AL222" i="41"/>
  <c r="AA222" i="41" s="1"/>
  <c r="AI239" i="41"/>
  <c r="X239" i="41" s="1"/>
  <c r="AJ239" i="41"/>
  <c r="Y239" i="41" s="1"/>
  <c r="AK223" i="41"/>
  <c r="Z223" i="41" s="1"/>
  <c r="AK239" i="41"/>
  <c r="Z239" i="41" s="1"/>
  <c r="AN220" i="41"/>
  <c r="AC220" i="41" s="1"/>
  <c r="AK222" i="41"/>
  <c r="Z222" i="41" s="1"/>
  <c r="AK235" i="41"/>
  <c r="Z235" i="41" s="1"/>
  <c r="AL238" i="41"/>
  <c r="AA238" i="41" s="1"/>
  <c r="AH219" i="41"/>
  <c r="W219" i="41" s="1"/>
  <c r="AL239" i="41"/>
  <c r="AA239" i="41" s="1"/>
  <c r="AJ223" i="41"/>
  <c r="Y223" i="41" s="1"/>
  <c r="AG173" i="41"/>
  <c r="V173" i="41" s="1"/>
  <c r="AN208" i="41"/>
  <c r="AC208" i="41" s="1"/>
  <c r="AN177" i="41"/>
  <c r="AC177" i="41" s="1"/>
  <c r="AJ204" i="41"/>
  <c r="Y204" i="41" s="1"/>
  <c r="AJ190" i="41"/>
  <c r="Y190" i="41" s="1"/>
  <c r="AK204" i="41"/>
  <c r="Z204" i="41" s="1"/>
  <c r="AL204" i="41"/>
  <c r="AA204" i="41" s="1"/>
  <c r="AN171" i="41"/>
  <c r="AC171" i="41" s="1"/>
  <c r="AJ174" i="41"/>
  <c r="Y174" i="41" s="1"/>
  <c r="AE187" i="41"/>
  <c r="T187" i="41" s="1"/>
  <c r="AM176" i="41"/>
  <c r="AB176" i="41" s="1"/>
  <c r="AL226" i="41"/>
  <c r="AA226" i="41" s="1"/>
  <c r="AL242" i="41"/>
  <c r="AA242" i="41" s="1"/>
  <c r="AM225" i="41"/>
  <c r="AB225" i="41" s="1"/>
  <c r="AM241" i="41"/>
  <c r="AB241" i="41" s="1"/>
  <c r="AI175" i="41"/>
  <c r="X175" i="41" s="1"/>
  <c r="AI207" i="41"/>
  <c r="X207" i="41" s="1"/>
  <c r="AI191" i="41"/>
  <c r="X191" i="41" s="1"/>
  <c r="AL178" i="41"/>
  <c r="AA178" i="41" s="1"/>
  <c r="AJ175" i="41"/>
  <c r="Y175" i="41" s="1"/>
  <c r="AJ191" i="41"/>
  <c r="Y191" i="41" s="1"/>
  <c r="AJ207" i="41"/>
  <c r="Y207" i="41" s="1"/>
  <c r="AM178" i="41"/>
  <c r="AB178" i="41" s="1"/>
  <c r="AM210" i="41"/>
  <c r="AB210" i="41" s="1"/>
  <c r="AM194" i="41"/>
  <c r="AB194" i="41" s="1"/>
  <c r="AL224" i="41"/>
  <c r="AA224" i="41" s="1"/>
  <c r="AL240" i="41"/>
  <c r="AA240" i="41" s="1"/>
  <c r="AI222" i="41"/>
  <c r="X222" i="41" s="1"/>
  <c r="AI238" i="41"/>
  <c r="X238" i="41" s="1"/>
  <c r="AI174" i="41"/>
  <c r="X174" i="41" s="1"/>
  <c r="AM177" i="41"/>
  <c r="AB177" i="41" s="1"/>
  <c r="AN178" i="41"/>
  <c r="AC178" i="41" s="1"/>
  <c r="AN210" i="41"/>
  <c r="AC210" i="41" s="1"/>
  <c r="AN194" i="41"/>
  <c r="AC194" i="41" s="1"/>
  <c r="AM224" i="41"/>
  <c r="AB224" i="41" s="1"/>
  <c r="AM240" i="41"/>
  <c r="AB240" i="41" s="1"/>
  <c r="AN180" i="41"/>
  <c r="AC180" i="41" s="1"/>
  <c r="AN212" i="41"/>
  <c r="AC212" i="41" s="1"/>
  <c r="AN196" i="41"/>
  <c r="AC196" i="41" s="1"/>
  <c r="AG220" i="41"/>
  <c r="V220" i="41" s="1"/>
  <c r="AG236" i="41"/>
  <c r="V236" i="41" s="1"/>
  <c r="AG172" i="41"/>
  <c r="V172" i="41" s="1"/>
  <c r="AN179" i="41"/>
  <c r="AC179" i="41" s="1"/>
  <c r="AN211" i="41"/>
  <c r="AC211" i="41" s="1"/>
  <c r="AN195" i="41"/>
  <c r="AC195" i="41" s="1"/>
  <c r="AF203" i="41"/>
  <c r="U203" i="41" s="1"/>
  <c r="AF171" i="41"/>
  <c r="U171" i="41" s="1"/>
  <c r="AF187" i="41"/>
  <c r="U187" i="41" s="1"/>
  <c r="AH188" i="41"/>
  <c r="W188" i="41" s="1"/>
  <c r="AG219" i="41"/>
  <c r="V219" i="41" s="1"/>
  <c r="AM221" i="41"/>
  <c r="AB221" i="41" s="1"/>
  <c r="AM237" i="41"/>
  <c r="AB237" i="41" s="1"/>
  <c r="AM173" i="41"/>
  <c r="AB173" i="41" s="1"/>
  <c r="AN224" i="41"/>
  <c r="AC224" i="41" s="1"/>
  <c r="AN240" i="41"/>
  <c r="AC240" i="41" s="1"/>
  <c r="AG203" i="41"/>
  <c r="V203" i="41" s="1"/>
  <c r="AG171" i="41"/>
  <c r="V171" i="41" s="1"/>
  <c r="AG187" i="41"/>
  <c r="V187" i="41" s="1"/>
  <c r="AK206" i="41"/>
  <c r="Z206" i="41" s="1"/>
  <c r="AK190" i="41"/>
  <c r="Z190" i="41" s="1"/>
  <c r="AK174" i="41"/>
  <c r="Z174" i="41" s="1"/>
  <c r="AE235" i="41"/>
  <c r="T235" i="41" s="1"/>
  <c r="AE219" i="41"/>
  <c r="T219" i="41" s="1"/>
  <c r="AN221" i="41"/>
  <c r="AC221" i="41" s="1"/>
  <c r="AN237" i="41"/>
  <c r="AC237" i="41" s="1"/>
  <c r="AN189" i="41"/>
  <c r="AC189" i="41" s="1"/>
  <c r="AH171" i="41"/>
  <c r="W171" i="41" s="1"/>
  <c r="AH203" i="41"/>
  <c r="W203" i="41" s="1"/>
  <c r="AH187" i="41"/>
  <c r="W187" i="41" s="1"/>
  <c r="AL206" i="41"/>
  <c r="AA206" i="41" s="1"/>
  <c r="AL174" i="41"/>
  <c r="AA174" i="41" s="1"/>
  <c r="AL190" i="41"/>
  <c r="AA190" i="41" s="1"/>
  <c r="AM190" i="41"/>
  <c r="AB190" i="41" s="1"/>
  <c r="AM174" i="41"/>
  <c r="AB174" i="41" s="1"/>
  <c r="AM206" i="41"/>
  <c r="AB206" i="41" s="1"/>
  <c r="AN174" i="41"/>
  <c r="AC174" i="41" s="1"/>
  <c r="AN206" i="41"/>
  <c r="AC206" i="41" s="1"/>
  <c r="AN190" i="41"/>
  <c r="AC190" i="41" s="1"/>
  <c r="AN173" i="41"/>
  <c r="AC173" i="41" s="1"/>
  <c r="AH174" i="41"/>
  <c r="W174" i="41" s="1"/>
  <c r="AK177" i="41"/>
  <c r="Z177" i="41" s="1"/>
  <c r="AH235" i="41"/>
  <c r="W235" i="41" s="1"/>
  <c r="AN225" i="41"/>
  <c r="AC225" i="41" s="1"/>
  <c r="AN226" i="41"/>
  <c r="AC226" i="41" s="1"/>
  <c r="AH220" i="41"/>
  <c r="W220" i="41" s="1"/>
  <c r="AH236" i="41"/>
  <c r="W236" i="41" s="1"/>
  <c r="AK225" i="41"/>
  <c r="Z225" i="41" s="1"/>
  <c r="AK241" i="41"/>
  <c r="Z241" i="41" s="1"/>
  <c r="AM179" i="41"/>
  <c r="AB179" i="41" s="1"/>
  <c r="AM211" i="41"/>
  <c r="AB211" i="41" s="1"/>
  <c r="AM195" i="41"/>
  <c r="AB195" i="41" s="1"/>
  <c r="AH221" i="41"/>
  <c r="W221" i="41" s="1"/>
  <c r="AH222" i="41"/>
  <c r="W222" i="41" s="1"/>
  <c r="AH238" i="41"/>
  <c r="W238" i="41" s="1"/>
  <c r="AL225" i="41"/>
  <c r="AA225" i="41" s="1"/>
  <c r="AL241" i="41"/>
  <c r="AA241" i="41" s="1"/>
  <c r="AI235" i="41"/>
  <c r="X235" i="41" s="1"/>
  <c r="AI221" i="41"/>
  <c r="X221" i="41" s="1"/>
  <c r="AL171" i="41"/>
  <c r="AA171" i="41" s="1"/>
  <c r="AL203" i="41"/>
  <c r="AA203" i="41" s="1"/>
  <c r="AL187" i="41"/>
  <c r="AA187" i="41" s="1"/>
  <c r="AN172" i="41"/>
  <c r="AC172" i="41" s="1"/>
  <c r="AN188" i="41"/>
  <c r="AC188" i="41" s="1"/>
  <c r="AN204" i="41"/>
  <c r="AC204" i="41" s="1"/>
  <c r="AM223" i="41"/>
  <c r="AB223" i="41" s="1"/>
  <c r="AM239" i="41"/>
  <c r="AB239" i="41" s="1"/>
  <c r="AI188" i="41"/>
  <c r="X188" i="41" s="1"/>
  <c r="AJ189" i="41"/>
  <c r="Y189" i="41" s="1"/>
  <c r="AJ173" i="41"/>
  <c r="Y173" i="41" s="1"/>
  <c r="AJ205" i="41"/>
  <c r="Y205" i="41" s="1"/>
  <c r="AN175" i="41"/>
  <c r="AC175" i="41" s="1"/>
  <c r="AN191" i="41"/>
  <c r="AC191" i="41" s="1"/>
  <c r="AN207" i="41"/>
  <c r="AC207" i="41" s="1"/>
  <c r="AL219" i="41"/>
  <c r="AA219" i="41" s="1"/>
  <c r="AL235" i="41"/>
  <c r="AA235" i="41" s="1"/>
  <c r="AJ221" i="41"/>
  <c r="Y221" i="41" s="1"/>
  <c r="AN223" i="41"/>
  <c r="AC223" i="41" s="1"/>
  <c r="AN239" i="41"/>
  <c r="AC239" i="41" s="1"/>
  <c r="AL223" i="41"/>
  <c r="AA223" i="41" s="1"/>
  <c r="AH172" i="41"/>
  <c r="W172" i="41" s="1"/>
  <c r="AJ188" i="41"/>
  <c r="Y188" i="41" s="1"/>
  <c r="AG205" i="41"/>
  <c r="V205" i="41" s="1"/>
  <c r="AG237" i="41"/>
  <c r="V237" i="41" s="1"/>
  <c r="AM238" i="41"/>
  <c r="AB238" i="41" s="1"/>
  <c r="AG189" i="41"/>
  <c r="V189" i="41" s="1"/>
  <c r="AM219" i="41"/>
  <c r="AB219" i="41" s="1"/>
  <c r="AM235" i="41"/>
  <c r="AB235" i="41" s="1"/>
  <c r="AE171" i="41"/>
  <c r="T171" i="41" s="1"/>
  <c r="AI172" i="41"/>
  <c r="X172" i="41" s="1"/>
  <c r="AK188" i="41"/>
  <c r="Z188" i="41" s="1"/>
  <c r="AL193" i="41"/>
  <c r="AA193" i="41" s="1"/>
  <c r="AL194" i="41"/>
  <c r="AA194" i="41" s="1"/>
  <c r="AM209" i="41"/>
  <c r="AB209" i="41" s="1"/>
  <c r="AL210" i="41"/>
  <c r="AA210" i="41" s="1"/>
  <c r="AM226" i="41"/>
  <c r="AB226" i="41" s="1"/>
  <c r="AM227" i="41"/>
  <c r="AB227" i="41" s="1"/>
  <c r="AN228" i="41"/>
  <c r="AC228" i="41" s="1"/>
  <c r="AH237" i="41"/>
  <c r="W237" i="41" s="1"/>
  <c r="AN238" i="41"/>
  <c r="AC238" i="41" s="1"/>
  <c r="AI173" i="41"/>
  <c r="X173" i="41" s="1"/>
  <c r="AI189" i="41"/>
  <c r="X189" i="41" s="1"/>
  <c r="AI205" i="41"/>
  <c r="X205" i="41" s="1"/>
  <c r="AN242" i="41"/>
  <c r="AC242" i="41" s="1"/>
  <c r="AM189" i="41"/>
  <c r="AB189" i="41" s="1"/>
  <c r="AM205" i="41"/>
  <c r="AB205" i="41" s="1"/>
  <c r="AN205" i="41"/>
  <c r="AC205" i="41" s="1"/>
  <c r="AH190" i="41"/>
  <c r="W190" i="41" s="1"/>
  <c r="AJ172" i="41"/>
  <c r="Y172" i="41" s="1"/>
  <c r="AL188" i="41"/>
  <c r="AA188" i="41" s="1"/>
  <c r="AN192" i="41"/>
  <c r="AC192" i="41" s="1"/>
  <c r="AM193" i="41"/>
  <c r="AB193" i="41" s="1"/>
  <c r="AN209" i="41"/>
  <c r="AC209" i="41" s="1"/>
  <c r="AN227" i="41"/>
  <c r="AC227" i="41" s="1"/>
  <c r="AI237" i="41"/>
  <c r="X237" i="41" s="1"/>
  <c r="AK176" i="41"/>
  <c r="Z176" i="41" s="1"/>
  <c r="AK192" i="41"/>
  <c r="Z192" i="41" s="1"/>
  <c r="AK208" i="41"/>
  <c r="Z208" i="41" s="1"/>
  <c r="AI171" i="41"/>
  <c r="X171" i="41" s="1"/>
  <c r="AI187" i="41"/>
  <c r="X187" i="41" s="1"/>
  <c r="AI203" i="41"/>
  <c r="X203" i="41" s="1"/>
  <c r="AK173" i="41"/>
  <c r="Z173" i="41" s="1"/>
  <c r="AK189" i="41"/>
  <c r="Z189" i="41" s="1"/>
  <c r="AK205" i="41"/>
  <c r="Z205" i="41" s="1"/>
  <c r="AK172" i="41"/>
  <c r="Z172" i="41" s="1"/>
  <c r="AM188" i="41"/>
  <c r="AB188" i="41" s="1"/>
  <c r="AN193" i="41"/>
  <c r="AC193" i="41" s="1"/>
  <c r="AJ222" i="41"/>
  <c r="Y222" i="41" s="1"/>
  <c r="AJ238" i="41"/>
  <c r="Y238" i="41" s="1"/>
  <c r="AJ237" i="41"/>
  <c r="Y237" i="41" s="1"/>
  <c r="AL172" i="41"/>
  <c r="AA172" i="41" s="1"/>
  <c r="AM175" i="41"/>
  <c r="AB175" i="41" s="1"/>
  <c r="AM191" i="41"/>
  <c r="AB191" i="41" s="1"/>
  <c r="AM207" i="41"/>
  <c r="AB207" i="41" s="1"/>
  <c r="AL173" i="41"/>
  <c r="AA173" i="41" s="1"/>
  <c r="AL189" i="41"/>
  <c r="AA189" i="41" s="1"/>
  <c r="AL205" i="41"/>
  <c r="AA205" i="41" s="1"/>
  <c r="AI206" i="41"/>
  <c r="X206" i="41" s="1"/>
  <c r="AK221" i="41"/>
  <c r="Z221" i="41" s="1"/>
  <c r="AK237" i="41"/>
  <c r="Z237" i="41" s="1"/>
  <c r="AK238" i="41"/>
  <c r="Z238" i="41" s="1"/>
  <c r="AJ220" i="41"/>
  <c r="Y220" i="41" s="1"/>
  <c r="AK236" i="41"/>
  <c r="Z236" i="41" s="1"/>
  <c r="AJ176" i="41"/>
  <c r="Y176" i="41" s="1"/>
  <c r="AJ192" i="41"/>
  <c r="Y192" i="41" s="1"/>
  <c r="AJ208" i="41"/>
  <c r="Y208" i="41" s="1"/>
  <c r="AN241" i="41"/>
  <c r="AC241" i="41" s="1"/>
  <c r="AM171" i="41"/>
  <c r="AB171" i="41" s="1"/>
  <c r="AM187" i="41"/>
  <c r="AB187" i="41" s="1"/>
  <c r="AM203" i="41"/>
  <c r="AB203" i="41" s="1"/>
  <c r="AJ171" i="41"/>
  <c r="Y171" i="41" s="1"/>
  <c r="AJ187" i="41"/>
  <c r="Y187" i="41" s="1"/>
  <c r="AJ203" i="41"/>
  <c r="Y203" i="41" s="1"/>
  <c r="AK187" i="41"/>
  <c r="Z187" i="41" s="1"/>
  <c r="AK171" i="41"/>
  <c r="Z171" i="41" s="1"/>
  <c r="AK203" i="41"/>
  <c r="Z203" i="41" s="1"/>
  <c r="AG188" i="41"/>
  <c r="V188" i="41" s="1"/>
  <c r="AG204" i="41"/>
  <c r="V204" i="41" s="1"/>
  <c r="AN187" i="41"/>
  <c r="AC187" i="41" s="1"/>
  <c r="AN203" i="41"/>
  <c r="AC203" i="41" s="1"/>
  <c r="AH204" i="41"/>
  <c r="W204" i="41" s="1"/>
  <c r="AJ219" i="41"/>
  <c r="Y219" i="41" s="1"/>
  <c r="AL221" i="41"/>
  <c r="AA221" i="41" s="1"/>
  <c r="AL237" i="41"/>
  <c r="AA237" i="41" s="1"/>
  <c r="AN176" i="41"/>
  <c r="AC176" i="41" s="1"/>
  <c r="AL177" i="41"/>
  <c r="AA177" i="41" s="1"/>
  <c r="AF235" i="41"/>
  <c r="U235" i="41" s="1"/>
  <c r="AL236" i="41"/>
  <c r="AA236" i="41" s="1"/>
  <c r="AF220" i="41"/>
  <c r="U220" i="41" s="1"/>
  <c r="AF236" i="41"/>
  <c r="U236" i="41" s="1"/>
  <c r="AH173" i="41"/>
  <c r="W173" i="41" s="1"/>
  <c r="AH189" i="41"/>
  <c r="W189" i="41" s="1"/>
  <c r="AH205" i="41"/>
  <c r="W205" i="41" s="1"/>
  <c r="AK175" i="41"/>
  <c r="Z175" i="41" s="1"/>
  <c r="AK191" i="41"/>
  <c r="Z191" i="41" s="1"/>
  <c r="AK207" i="41"/>
  <c r="Z207" i="41" s="1"/>
  <c r="AL176" i="41"/>
  <c r="AA176" i="41" s="1"/>
  <c r="AL192" i="41"/>
  <c r="AA192" i="41" s="1"/>
  <c r="AL208" i="41"/>
  <c r="AA208" i="41" s="1"/>
  <c r="AK193" i="41"/>
  <c r="Z193" i="41" s="1"/>
  <c r="AK219" i="41"/>
  <c r="Z219" i="41" s="1"/>
  <c r="AJ224" i="41"/>
  <c r="Y224" i="41" s="1"/>
  <c r="AJ240" i="41"/>
  <c r="Y240" i="41" s="1"/>
  <c r="AI190" i="41"/>
  <c r="X190" i="41" s="1"/>
  <c r="AM204" i="41"/>
  <c r="AB204" i="41" s="1"/>
  <c r="AG235" i="41"/>
  <c r="V235" i="41" s="1"/>
  <c r="AM236" i="41"/>
  <c r="AB236" i="41" s="1"/>
  <c r="AI220" i="41"/>
  <c r="X220" i="41" s="1"/>
  <c r="AI236" i="41"/>
  <c r="X236" i="41" s="1"/>
  <c r="AF172" i="41"/>
  <c r="U172" i="41" s="1"/>
  <c r="AF188" i="41"/>
  <c r="U188" i="41" s="1"/>
  <c r="AF204" i="41"/>
  <c r="U204" i="41" s="1"/>
  <c r="AL175" i="41"/>
  <c r="AA175" i="41" s="1"/>
  <c r="AL191" i="41"/>
  <c r="AA191" i="41" s="1"/>
  <c r="AL207" i="41"/>
  <c r="AA207" i="41" s="1"/>
  <c r="AM192" i="41"/>
  <c r="AB192" i="41" s="1"/>
  <c r="AN219" i="41"/>
  <c r="AC219" i="41" s="1"/>
  <c r="AN235" i="41"/>
  <c r="AC235" i="41" s="1"/>
  <c r="AK224" i="41"/>
  <c r="Z224" i="41" s="1"/>
  <c r="AK240" i="41"/>
  <c r="Z240" i="41" s="1"/>
  <c r="AI223" i="41"/>
  <c r="X223" i="41" s="1"/>
  <c r="AH206" i="41"/>
  <c r="W206" i="41" s="1"/>
  <c r="AM208" i="41"/>
  <c r="AB208" i="41" s="1"/>
  <c r="AK209" i="41"/>
  <c r="Z209" i="41" s="1"/>
  <c r="L13" i="40"/>
  <c r="M57" i="40"/>
  <c r="L58" i="40"/>
  <c r="N58" i="40" s="1"/>
  <c r="L57" i="40"/>
  <c r="X44" i="40"/>
  <c r="X46" i="40" s="1"/>
  <c r="T47" i="40"/>
  <c r="U42" i="40" s="1"/>
  <c r="U30" i="40"/>
  <c r="U28" i="40"/>
  <c r="U34" i="40"/>
  <c r="U38" i="40"/>
  <c r="U24" i="40"/>
  <c r="U26" i="40"/>
  <c r="U32" i="40"/>
  <c r="U36" i="40"/>
  <c r="M30" i="40"/>
  <c r="M34" i="40"/>
  <c r="M26" i="40"/>
  <c r="M24" i="40"/>
  <c r="M38" i="40"/>
  <c r="H44" i="40"/>
  <c r="H46" i="40" s="1"/>
  <c r="E28" i="40"/>
  <c r="E38" i="40"/>
  <c r="E34" i="40"/>
  <c r="E24" i="40"/>
  <c r="E32" i="40"/>
  <c r="E26" i="40"/>
  <c r="F18" i="40"/>
  <c r="E14" i="40"/>
  <c r="F14" i="40" s="1"/>
  <c r="D13" i="40"/>
  <c r="E13" i="40"/>
  <c r="H13" i="40" s="1"/>
  <c r="N34" i="40"/>
  <c r="N44" i="40"/>
  <c r="L18" i="40"/>
  <c r="P17" i="40" s="1"/>
  <c r="V30" i="40"/>
  <c r="F36" i="40"/>
  <c r="L62" i="40"/>
  <c r="N62" i="40" s="1"/>
  <c r="V44" i="40"/>
  <c r="U61" i="40"/>
  <c r="M18" i="40"/>
  <c r="V26" i="40"/>
  <c r="N36" i="40"/>
  <c r="V41" i="40"/>
  <c r="X41" i="40" s="1"/>
  <c r="N45" i="40"/>
  <c r="F55" i="40"/>
  <c r="H55" i="40" s="1"/>
  <c r="M62" i="40"/>
  <c r="N30" i="40"/>
  <c r="F46" i="40"/>
  <c r="F32" i="40"/>
  <c r="N55" i="40"/>
  <c r="P55" i="40" s="1"/>
  <c r="T62" i="40"/>
  <c r="U62" i="40"/>
  <c r="F24" i="40"/>
  <c r="V42" i="40"/>
  <c r="H10" i="40"/>
  <c r="N28" i="40"/>
  <c r="N46" i="40"/>
  <c r="N41" i="40"/>
  <c r="P41" i="40" s="1"/>
  <c r="F28" i="40"/>
  <c r="N24" i="40"/>
  <c r="V32" i="40"/>
  <c r="F38" i="40"/>
  <c r="F43" i="40"/>
  <c r="V46" i="40"/>
  <c r="N32" i="40"/>
  <c r="D17" i="40"/>
  <c r="F17" i="40" s="1"/>
  <c r="V28" i="40"/>
  <c r="N43" i="40"/>
  <c r="N26" i="40"/>
  <c r="N42" i="40"/>
  <c r="E17" i="40"/>
  <c r="H17" i="40" s="1"/>
  <c r="V24" i="40"/>
  <c r="F34" i="40"/>
  <c r="N38" i="40"/>
  <c r="L61" i="40"/>
  <c r="N61" i="40" s="1"/>
  <c r="P62" i="40" s="1"/>
  <c r="L17" i="40"/>
  <c r="N17" i="40" s="1"/>
  <c r="L47" i="40"/>
  <c r="M46" i="40" s="1"/>
  <c r="D47" i="40"/>
  <c r="E43" i="40" s="1"/>
  <c r="F42" i="40"/>
  <c r="P10" i="40"/>
  <c r="M14" i="40"/>
  <c r="N14" i="40" s="1"/>
  <c r="M13" i="40"/>
  <c r="P13" i="40" s="1"/>
  <c r="E39" i="40"/>
  <c r="E33" i="40"/>
  <c r="E29" i="40"/>
  <c r="E35" i="40"/>
  <c r="E31" i="40"/>
  <c r="E27" i="40"/>
  <c r="E25" i="40"/>
  <c r="E37" i="40"/>
  <c r="V11" i="40"/>
  <c r="X11" i="40" s="1"/>
  <c r="X10" i="40"/>
  <c r="U14" i="40"/>
  <c r="U13" i="40"/>
  <c r="T14" i="40"/>
  <c r="T13" i="40"/>
  <c r="V55" i="40"/>
  <c r="X55" i="40" s="1"/>
  <c r="U58" i="40"/>
  <c r="U57" i="40"/>
  <c r="T58" i="40"/>
  <c r="T57" i="40"/>
  <c r="E36" i="40"/>
  <c r="P44" i="40"/>
  <c r="P46" i="40" s="1"/>
  <c r="M28" i="40"/>
  <c r="M32" i="40"/>
  <c r="X54" i="40"/>
  <c r="M39" i="40"/>
  <c r="M37" i="40"/>
  <c r="M35" i="40"/>
  <c r="M33" i="40"/>
  <c r="M31" i="40"/>
  <c r="M29" i="40"/>
  <c r="M27" i="40"/>
  <c r="M25" i="40"/>
  <c r="F39" i="40"/>
  <c r="H54" i="40"/>
  <c r="F27" i="40"/>
  <c r="F31" i="40"/>
  <c r="F35" i="40"/>
  <c r="V45" i="40"/>
  <c r="N11" i="40"/>
  <c r="P11" i="40" s="1"/>
  <c r="T17" i="40"/>
  <c r="T18" i="40"/>
  <c r="V43" i="40"/>
  <c r="U17" i="40"/>
  <c r="U18" i="40"/>
  <c r="N25" i="40"/>
  <c r="N27" i="40"/>
  <c r="N29" i="40"/>
  <c r="N31" i="40"/>
  <c r="N33" i="40"/>
  <c r="N35" i="40"/>
  <c r="N37" i="40"/>
  <c r="N39" i="40"/>
  <c r="F41" i="40"/>
  <c r="H41" i="40" s="1"/>
  <c r="D57" i="40"/>
  <c r="D58" i="40"/>
  <c r="F58" i="40" s="1"/>
  <c r="D61" i="40"/>
  <c r="D62" i="40"/>
  <c r="F11" i="40"/>
  <c r="H11" i="40" s="1"/>
  <c r="F25" i="40"/>
  <c r="F29" i="40"/>
  <c r="F33" i="40"/>
  <c r="F37" i="40"/>
  <c r="U25" i="40"/>
  <c r="U27" i="40"/>
  <c r="U29" i="40"/>
  <c r="U31" i="40"/>
  <c r="U33" i="40"/>
  <c r="U35" i="40"/>
  <c r="U37" i="40"/>
  <c r="P54" i="40"/>
  <c r="E57" i="40"/>
  <c r="E61" i="40"/>
  <c r="E62" i="40"/>
  <c r="V25" i="40"/>
  <c r="V27" i="40"/>
  <c r="V29" i="40"/>
  <c r="V31" i="40"/>
  <c r="V33" i="40"/>
  <c r="V35" i="40"/>
  <c r="V37" i="40"/>
  <c r="V39" i="40"/>
  <c r="F44" i="40"/>
  <c r="F45" i="40"/>
  <c r="M97" i="40" l="1"/>
  <c r="V57" i="40"/>
  <c r="P61" i="40"/>
  <c r="N57" i="40"/>
  <c r="P58" i="40" s="1"/>
  <c r="P57" i="40"/>
  <c r="U43" i="40"/>
  <c r="U46" i="40"/>
  <c r="U44" i="40"/>
  <c r="U45" i="40"/>
  <c r="U40" i="40"/>
  <c r="M45" i="40"/>
  <c r="M44" i="40"/>
  <c r="M43" i="40"/>
  <c r="M42" i="40"/>
  <c r="N47" i="40"/>
  <c r="M40" i="40"/>
  <c r="E42" i="40"/>
  <c r="E40" i="40"/>
  <c r="V17" i="40"/>
  <c r="V14" i="40"/>
  <c r="V13" i="40"/>
  <c r="X14" i="40" s="1"/>
  <c r="H18" i="40"/>
  <c r="F13" i="40"/>
  <c r="H14" i="40" s="1"/>
  <c r="V40" i="40"/>
  <c r="F40" i="40"/>
  <c r="V62" i="40"/>
  <c r="X61" i="40"/>
  <c r="F47" i="40"/>
  <c r="N40" i="40"/>
  <c r="V47" i="40"/>
  <c r="V61" i="40"/>
  <c r="N18" i="40"/>
  <c r="P18" i="40" s="1"/>
  <c r="V18" i="40"/>
  <c r="X18" i="40"/>
  <c r="E46" i="40"/>
  <c r="E45" i="40"/>
  <c r="H45" i="40" s="1"/>
  <c r="E44" i="40"/>
  <c r="X13" i="40"/>
  <c r="N13" i="40"/>
  <c r="P14" i="40" s="1"/>
  <c r="H61" i="40"/>
  <c r="H57" i="40"/>
  <c r="F62" i="40"/>
  <c r="F61" i="40"/>
  <c r="H62" i="40" s="1"/>
  <c r="X17" i="40"/>
  <c r="V58" i="40"/>
  <c r="F57" i="40"/>
  <c r="H58" i="40" s="1"/>
  <c r="X57" i="40"/>
  <c r="X62" i="40" l="1"/>
  <c r="X58" i="40"/>
  <c r="U47" i="40"/>
  <c r="X45" i="40"/>
  <c r="M47" i="40"/>
  <c r="P45" i="40"/>
  <c r="E47" i="40"/>
  <c r="U440" i="39" l="1"/>
  <c r="Q319" i="39"/>
  <c r="Q301" i="39"/>
  <c r="Q300" i="39"/>
  <c r="Q298" i="39"/>
  <c r="Q297" i="39"/>
  <c r="Q296" i="39"/>
  <c r="Q295" i="39"/>
  <c r="Q288" i="39"/>
  <c r="Q287" i="39"/>
  <c r="Q285" i="39"/>
  <c r="Q284" i="39"/>
  <c r="Q283" i="39"/>
  <c r="Q212" i="39"/>
  <c r="Q187" i="39"/>
  <c r="Q137" i="39"/>
  <c r="Q87" i="39"/>
  <c r="Q37" i="39"/>
  <c r="Q294" i="39"/>
  <c r="Q282" i="39"/>
  <c r="Q62" i="39"/>
  <c r="AD294" i="39"/>
  <c r="AD301" i="39"/>
  <c r="AD288" i="39"/>
  <c r="AD281" i="39"/>
  <c r="AE285" i="39"/>
  <c r="AI7" i="39"/>
  <c r="N257" i="39"/>
  <c r="I257" i="39" s="1"/>
  <c r="I159" i="39"/>
  <c r="R265" i="39" l="1"/>
  <c r="S265" i="39"/>
  <c r="T265" i="39"/>
  <c r="U265" i="39"/>
  <c r="Q265" i="39"/>
  <c r="R263" i="39"/>
  <c r="S263" i="39"/>
  <c r="T263" i="39"/>
  <c r="U263" i="39"/>
  <c r="Q263" i="39"/>
  <c r="R257" i="39"/>
  <c r="S257" i="39"/>
  <c r="T257" i="39"/>
  <c r="U257" i="39"/>
  <c r="Q257" i="39"/>
  <c r="E265" i="39"/>
  <c r="F265" i="39"/>
  <c r="G265" i="39"/>
  <c r="H265" i="39"/>
  <c r="D265" i="39"/>
  <c r="E263" i="39"/>
  <c r="F263" i="39"/>
  <c r="G263" i="39"/>
  <c r="H263" i="39"/>
  <c r="D263" i="39"/>
  <c r="N263" i="39" s="1"/>
  <c r="E257" i="39"/>
  <c r="F257" i="39"/>
  <c r="G257" i="39"/>
  <c r="H257" i="39"/>
  <c r="D257" i="39"/>
  <c r="R240" i="39"/>
  <c r="S240" i="39"/>
  <c r="T240" i="39"/>
  <c r="U240" i="39"/>
  <c r="Q240" i="39"/>
  <c r="R238" i="39"/>
  <c r="S238" i="39"/>
  <c r="T238" i="39"/>
  <c r="U238" i="39"/>
  <c r="Q238" i="39"/>
  <c r="R232" i="39"/>
  <c r="S232" i="39"/>
  <c r="T232" i="39"/>
  <c r="U232" i="39"/>
  <c r="Q232" i="39"/>
  <c r="D240" i="39"/>
  <c r="E240" i="39"/>
  <c r="F240" i="39"/>
  <c r="G240" i="39"/>
  <c r="H240" i="39"/>
  <c r="E238" i="39"/>
  <c r="F238" i="39"/>
  <c r="G238" i="39"/>
  <c r="N238" i="39" s="1"/>
  <c r="H238" i="39"/>
  <c r="D238" i="39"/>
  <c r="E232" i="39"/>
  <c r="F232" i="39"/>
  <c r="G232" i="39"/>
  <c r="H232" i="39"/>
  <c r="D232" i="39"/>
  <c r="R215" i="39"/>
  <c r="S215" i="39"/>
  <c r="T215" i="39"/>
  <c r="U215" i="39"/>
  <c r="Q215" i="39"/>
  <c r="R213" i="39"/>
  <c r="S213" i="39"/>
  <c r="T213" i="39"/>
  <c r="U213" i="39"/>
  <c r="Q213" i="39"/>
  <c r="R207" i="39"/>
  <c r="S207" i="39"/>
  <c r="T207" i="39"/>
  <c r="U207" i="39"/>
  <c r="Q207" i="39"/>
  <c r="E215" i="39"/>
  <c r="F215" i="39"/>
  <c r="G215" i="39"/>
  <c r="H215" i="39"/>
  <c r="D215" i="39"/>
  <c r="E213" i="39"/>
  <c r="F213" i="39"/>
  <c r="G213" i="39"/>
  <c r="H213" i="39"/>
  <c r="D213" i="39"/>
  <c r="E207" i="39"/>
  <c r="F207" i="39"/>
  <c r="G207" i="39"/>
  <c r="H207" i="39"/>
  <c r="D207" i="39"/>
  <c r="R190" i="39"/>
  <c r="S190" i="39"/>
  <c r="T190" i="39"/>
  <c r="U190" i="39"/>
  <c r="Q190" i="39"/>
  <c r="R188" i="39"/>
  <c r="S188" i="39"/>
  <c r="T188" i="39"/>
  <c r="U188" i="39"/>
  <c r="Q188" i="39"/>
  <c r="R182" i="39"/>
  <c r="S182" i="39"/>
  <c r="T182" i="39"/>
  <c r="U182" i="39"/>
  <c r="Q182" i="39"/>
  <c r="E190" i="39"/>
  <c r="F190" i="39"/>
  <c r="G190" i="39"/>
  <c r="H190" i="39"/>
  <c r="D190" i="39"/>
  <c r="E188" i="39"/>
  <c r="F188" i="39"/>
  <c r="G188" i="39"/>
  <c r="H188" i="39"/>
  <c r="D188" i="39"/>
  <c r="E182" i="39"/>
  <c r="F182" i="39"/>
  <c r="G182" i="39"/>
  <c r="H182" i="39"/>
  <c r="D182" i="39"/>
  <c r="R165" i="39"/>
  <c r="S165" i="39"/>
  <c r="T165" i="39"/>
  <c r="U165" i="39"/>
  <c r="Q165" i="39"/>
  <c r="R163" i="39"/>
  <c r="S163" i="39"/>
  <c r="T163" i="39"/>
  <c r="U163" i="39"/>
  <c r="Q163" i="39"/>
  <c r="R157" i="39"/>
  <c r="S157" i="39"/>
  <c r="T157" i="39"/>
  <c r="U157" i="39"/>
  <c r="Q157" i="39"/>
  <c r="D165" i="39"/>
  <c r="E165" i="39"/>
  <c r="F165" i="39"/>
  <c r="G165" i="39"/>
  <c r="H165" i="39"/>
  <c r="E163" i="39"/>
  <c r="F163" i="39"/>
  <c r="G163" i="39"/>
  <c r="H163" i="39"/>
  <c r="D163" i="39"/>
  <c r="E157" i="39"/>
  <c r="F157" i="39"/>
  <c r="G157" i="39"/>
  <c r="H157" i="39"/>
  <c r="D157" i="39"/>
  <c r="R140" i="39"/>
  <c r="S140" i="39"/>
  <c r="T140" i="39"/>
  <c r="U140" i="39"/>
  <c r="Q140" i="39"/>
  <c r="R138" i="39"/>
  <c r="S138" i="39"/>
  <c r="T138" i="39"/>
  <c r="U138" i="39"/>
  <c r="Q138" i="39"/>
  <c r="R132" i="39"/>
  <c r="S132" i="39"/>
  <c r="T132" i="39"/>
  <c r="U132" i="39"/>
  <c r="Q132" i="39"/>
  <c r="E140" i="39"/>
  <c r="F140" i="39"/>
  <c r="G140" i="39"/>
  <c r="H140" i="39"/>
  <c r="D140" i="39"/>
  <c r="E138" i="39"/>
  <c r="F138" i="39"/>
  <c r="N138" i="39" s="1"/>
  <c r="G138" i="39"/>
  <c r="H138" i="39"/>
  <c r="D138" i="39"/>
  <c r="E132" i="39"/>
  <c r="F132" i="39"/>
  <c r="G132" i="39"/>
  <c r="H132" i="39"/>
  <c r="D132" i="39"/>
  <c r="R115" i="39"/>
  <c r="S115" i="39"/>
  <c r="T115" i="39"/>
  <c r="U115" i="39"/>
  <c r="Q115" i="39"/>
  <c r="R113" i="39"/>
  <c r="S113" i="39"/>
  <c r="T113" i="39"/>
  <c r="U113" i="39"/>
  <c r="Q113" i="39"/>
  <c r="R107" i="39"/>
  <c r="S107" i="39"/>
  <c r="T107" i="39"/>
  <c r="U107" i="39"/>
  <c r="Q107" i="39"/>
  <c r="D115" i="39"/>
  <c r="E115" i="39"/>
  <c r="F115" i="39"/>
  <c r="G115" i="39"/>
  <c r="H115" i="39"/>
  <c r="E113" i="39"/>
  <c r="F113" i="39"/>
  <c r="G113" i="39"/>
  <c r="H113" i="39"/>
  <c r="D113" i="39"/>
  <c r="E107" i="39"/>
  <c r="F107" i="39"/>
  <c r="G107" i="39"/>
  <c r="H107" i="39"/>
  <c r="D107" i="39"/>
  <c r="R90" i="39"/>
  <c r="S90" i="39"/>
  <c r="T90" i="39"/>
  <c r="U90" i="39"/>
  <c r="Q90" i="39"/>
  <c r="R88" i="39"/>
  <c r="S88" i="39"/>
  <c r="T88" i="39"/>
  <c r="U88" i="39"/>
  <c r="Q88" i="39"/>
  <c r="R82" i="39"/>
  <c r="S82" i="39"/>
  <c r="T82" i="39"/>
  <c r="U82" i="39"/>
  <c r="Q82" i="39"/>
  <c r="E90" i="39"/>
  <c r="F90" i="39"/>
  <c r="G90" i="39"/>
  <c r="H90" i="39"/>
  <c r="D90" i="39"/>
  <c r="E88" i="39"/>
  <c r="F88" i="39"/>
  <c r="G88" i="39"/>
  <c r="H88" i="39"/>
  <c r="D88" i="39"/>
  <c r="E82" i="39"/>
  <c r="F82" i="39"/>
  <c r="G82" i="39"/>
  <c r="H82" i="39"/>
  <c r="D82" i="39"/>
  <c r="R65" i="39"/>
  <c r="S65" i="39"/>
  <c r="T65" i="39"/>
  <c r="U65" i="39"/>
  <c r="Q65" i="39"/>
  <c r="R63" i="39"/>
  <c r="S63" i="39"/>
  <c r="T63" i="39"/>
  <c r="U63" i="39"/>
  <c r="Q63" i="39"/>
  <c r="R57" i="39"/>
  <c r="S57" i="39"/>
  <c r="T57" i="39"/>
  <c r="U57" i="39"/>
  <c r="Q57" i="39"/>
  <c r="E65" i="39"/>
  <c r="F65" i="39"/>
  <c r="G65" i="39"/>
  <c r="H65" i="39"/>
  <c r="D65" i="39"/>
  <c r="E63" i="39"/>
  <c r="N63" i="39" s="1"/>
  <c r="F63" i="39"/>
  <c r="G63" i="39"/>
  <c r="H63" i="39"/>
  <c r="D63" i="39"/>
  <c r="E57" i="39"/>
  <c r="F57" i="39"/>
  <c r="G57" i="39"/>
  <c r="H57" i="39"/>
  <c r="D57" i="39"/>
  <c r="R40" i="39"/>
  <c r="S40" i="39"/>
  <c r="T40" i="39"/>
  <c r="U40" i="39"/>
  <c r="Q40" i="39"/>
  <c r="R38" i="39"/>
  <c r="S38" i="39"/>
  <c r="T38" i="39"/>
  <c r="U38" i="39"/>
  <c r="Q38" i="39"/>
  <c r="R32" i="39"/>
  <c r="S32" i="39"/>
  <c r="T32" i="39"/>
  <c r="U32" i="39"/>
  <c r="Q32" i="39"/>
  <c r="E40" i="39"/>
  <c r="F40" i="39"/>
  <c r="G40" i="39"/>
  <c r="H40" i="39"/>
  <c r="D40" i="39"/>
  <c r="E38" i="39"/>
  <c r="F38" i="39"/>
  <c r="G38" i="39"/>
  <c r="H38" i="39"/>
  <c r="D38" i="39"/>
  <c r="E32" i="39"/>
  <c r="F32" i="39"/>
  <c r="G32" i="39"/>
  <c r="H32" i="39"/>
  <c r="D32" i="39"/>
  <c r="R15" i="39"/>
  <c r="S15" i="39"/>
  <c r="T15" i="39"/>
  <c r="U15" i="39"/>
  <c r="Q15" i="39"/>
  <c r="R13" i="39"/>
  <c r="S13" i="39"/>
  <c r="T13" i="39"/>
  <c r="U13" i="39"/>
  <c r="Q13" i="39"/>
  <c r="Q7" i="39"/>
  <c r="R7" i="39"/>
  <c r="S7" i="39"/>
  <c r="T7" i="39"/>
  <c r="U7" i="39"/>
  <c r="E15" i="39"/>
  <c r="F15" i="39"/>
  <c r="G15" i="39"/>
  <c r="H15" i="39"/>
  <c r="D15" i="39"/>
  <c r="D13" i="39"/>
  <c r="N13" i="39" s="1"/>
  <c r="I13" i="39" s="1"/>
  <c r="E13" i="39"/>
  <c r="F13" i="39"/>
  <c r="G13" i="39"/>
  <c r="H13" i="39"/>
  <c r="N213" i="39"/>
  <c r="N188" i="39"/>
  <c r="N113" i="39"/>
  <c r="N7" i="39"/>
  <c r="D7" i="39"/>
  <c r="N3" i="39"/>
  <c r="N2" i="39"/>
  <c r="E7" i="39"/>
  <c r="F7" i="39"/>
  <c r="G7" i="39"/>
  <c r="H7" i="39"/>
  <c r="N163" i="39" l="1"/>
  <c r="N88" i="39"/>
  <c r="N38" i="39"/>
  <c r="E528" i="27"/>
  <c r="F528" i="27"/>
  <c r="G528" i="27"/>
  <c r="H528" i="27"/>
  <c r="D528" i="27"/>
  <c r="D530" i="27" s="1"/>
  <c r="D531" i="27" s="1"/>
  <c r="E526" i="27"/>
  <c r="F526" i="27"/>
  <c r="G526" i="27"/>
  <c r="H526" i="27"/>
  <c r="D526" i="27"/>
  <c r="E524" i="27"/>
  <c r="F524" i="27"/>
  <c r="G524" i="27"/>
  <c r="H524" i="27"/>
  <c r="D524" i="27"/>
  <c r="E519" i="27"/>
  <c r="F519" i="27"/>
  <c r="G519" i="27"/>
  <c r="H519" i="27"/>
  <c r="D519" i="27"/>
  <c r="D521" i="27" s="1"/>
  <c r="D522" i="27" s="1"/>
  <c r="E517" i="27"/>
  <c r="F517" i="27"/>
  <c r="G517" i="27"/>
  <c r="H517" i="27"/>
  <c r="D517" i="27"/>
  <c r="E515" i="27"/>
  <c r="F515" i="27"/>
  <c r="G515" i="27"/>
  <c r="H515" i="27"/>
  <c r="D515" i="27"/>
  <c r="E510" i="27"/>
  <c r="F510" i="27"/>
  <c r="G510" i="27"/>
  <c r="H510" i="27"/>
  <c r="D510" i="27"/>
  <c r="E508" i="27"/>
  <c r="F508" i="27"/>
  <c r="G508" i="27"/>
  <c r="H508" i="27"/>
  <c r="D508" i="27"/>
  <c r="D509" i="27" s="1"/>
  <c r="E506" i="27"/>
  <c r="F506" i="27"/>
  <c r="G506" i="27"/>
  <c r="H506" i="27"/>
  <c r="D506" i="27"/>
  <c r="E501" i="27"/>
  <c r="F501" i="27"/>
  <c r="G501" i="27"/>
  <c r="H501" i="27"/>
  <c r="D501" i="27"/>
  <c r="D503" i="27" s="1"/>
  <c r="D504" i="27" s="1"/>
  <c r="H500" i="27"/>
  <c r="E500" i="27"/>
  <c r="F500" i="27"/>
  <c r="G500" i="27"/>
  <c r="D500" i="27"/>
  <c r="D488" i="27"/>
  <c r="E488" i="27"/>
  <c r="F488" i="27"/>
  <c r="G488" i="27"/>
  <c r="H488" i="27"/>
  <c r="D489" i="27"/>
  <c r="E489" i="27"/>
  <c r="F489" i="27"/>
  <c r="G489" i="27"/>
  <c r="H489" i="27"/>
  <c r="D490" i="27"/>
  <c r="E490" i="27"/>
  <c r="F490" i="27"/>
  <c r="G490" i="27"/>
  <c r="H490" i="27"/>
  <c r="D491" i="27"/>
  <c r="E491" i="27"/>
  <c r="F491" i="27"/>
  <c r="G491" i="27"/>
  <c r="H491" i="27"/>
  <c r="D492" i="27"/>
  <c r="E492" i="27"/>
  <c r="F492" i="27"/>
  <c r="G492" i="27"/>
  <c r="H492" i="27"/>
  <c r="D493" i="27"/>
  <c r="E493" i="27"/>
  <c r="F493" i="27"/>
  <c r="G493" i="27"/>
  <c r="H493" i="27"/>
  <c r="K493" i="27" s="1"/>
  <c r="D494" i="27"/>
  <c r="E494" i="27"/>
  <c r="K494" i="27" s="1"/>
  <c r="F494" i="27"/>
  <c r="G494" i="27"/>
  <c r="H494" i="27"/>
  <c r="E486" i="27"/>
  <c r="F486" i="27"/>
  <c r="G486" i="27"/>
  <c r="H486" i="27"/>
  <c r="D486" i="27"/>
  <c r="D527" i="27"/>
  <c r="D525" i="27"/>
  <c r="D518" i="27"/>
  <c r="D516" i="27"/>
  <c r="D512" i="27"/>
  <c r="D513" i="27" s="1"/>
  <c r="D507" i="27"/>
  <c r="D502" i="27"/>
  <c r="E480" i="27"/>
  <c r="F480" i="27"/>
  <c r="G480" i="27"/>
  <c r="H480" i="27"/>
  <c r="D480" i="27"/>
  <c r="D482" i="27" s="1"/>
  <c r="D483" i="27" s="1"/>
  <c r="E478" i="27"/>
  <c r="F478" i="27"/>
  <c r="G478" i="27"/>
  <c r="H478" i="27"/>
  <c r="D478" i="27"/>
  <c r="E476" i="27"/>
  <c r="F476" i="27"/>
  <c r="G476" i="27"/>
  <c r="H476" i="27"/>
  <c r="D476" i="27"/>
  <c r="E471" i="27"/>
  <c r="F471" i="27"/>
  <c r="G471" i="27"/>
  <c r="H471" i="27"/>
  <c r="D471" i="27"/>
  <c r="D472" i="27" s="1"/>
  <c r="E469" i="27"/>
  <c r="F469" i="27"/>
  <c r="G469" i="27"/>
  <c r="H469" i="27"/>
  <c r="D469" i="27"/>
  <c r="D470" i="27" s="1"/>
  <c r="E467" i="27"/>
  <c r="F467" i="27"/>
  <c r="G467" i="27"/>
  <c r="H467" i="27"/>
  <c r="D467" i="27"/>
  <c r="D468" i="27" s="1"/>
  <c r="E462" i="27"/>
  <c r="F462" i="27"/>
  <c r="G462" i="27"/>
  <c r="H462" i="27"/>
  <c r="D462" i="27"/>
  <c r="D464" i="27" s="1"/>
  <c r="D465" i="27" s="1"/>
  <c r="E460" i="27"/>
  <c r="F460" i="27"/>
  <c r="G460" i="27"/>
  <c r="H460" i="27"/>
  <c r="D460" i="27"/>
  <c r="E458" i="27"/>
  <c r="F458" i="27"/>
  <c r="G458" i="27"/>
  <c r="H458" i="27"/>
  <c r="D458" i="27"/>
  <c r="E453" i="27"/>
  <c r="F453" i="27"/>
  <c r="G453" i="27"/>
  <c r="H453" i="27"/>
  <c r="D453" i="27"/>
  <c r="E452" i="27"/>
  <c r="F452" i="27"/>
  <c r="G452" i="27"/>
  <c r="H452" i="27"/>
  <c r="D452" i="27"/>
  <c r="D440" i="27"/>
  <c r="E440" i="27"/>
  <c r="F440" i="27"/>
  <c r="G440" i="27"/>
  <c r="H440" i="27"/>
  <c r="D441" i="27"/>
  <c r="E441" i="27"/>
  <c r="F441" i="27"/>
  <c r="G441" i="27"/>
  <c r="H441" i="27"/>
  <c r="D442" i="27"/>
  <c r="E442" i="27"/>
  <c r="F442" i="27"/>
  <c r="G442" i="27"/>
  <c r="H442" i="27"/>
  <c r="D443" i="27"/>
  <c r="E443" i="27"/>
  <c r="F443" i="27"/>
  <c r="G443" i="27"/>
  <c r="H443" i="27"/>
  <c r="D444" i="27"/>
  <c r="E444" i="27"/>
  <c r="F444" i="27"/>
  <c r="G444" i="27"/>
  <c r="H444" i="27"/>
  <c r="D445" i="27"/>
  <c r="E445" i="27"/>
  <c r="F445" i="27"/>
  <c r="G445" i="27"/>
  <c r="K445" i="27" s="1"/>
  <c r="H445" i="27"/>
  <c r="D446" i="27"/>
  <c r="E446" i="27"/>
  <c r="F446" i="27"/>
  <c r="G446" i="27"/>
  <c r="H446" i="27"/>
  <c r="E438" i="27"/>
  <c r="F438" i="27"/>
  <c r="G438" i="27"/>
  <c r="H438" i="27"/>
  <c r="D438" i="27"/>
  <c r="D479" i="27"/>
  <c r="D477" i="27"/>
  <c r="D463" i="27"/>
  <c r="D461" i="27"/>
  <c r="D459" i="27"/>
  <c r="D455" i="27"/>
  <c r="D456" i="27" s="1"/>
  <c r="D447" i="27"/>
  <c r="E432" i="27"/>
  <c r="F432" i="27"/>
  <c r="G432" i="27"/>
  <c r="H432" i="27"/>
  <c r="D432" i="27"/>
  <c r="D434" i="27" s="1"/>
  <c r="D435" i="27" s="1"/>
  <c r="E430" i="27"/>
  <c r="F430" i="27"/>
  <c r="G430" i="27"/>
  <c r="H430" i="27"/>
  <c r="D430" i="27"/>
  <c r="D431" i="27" s="1"/>
  <c r="E428" i="27"/>
  <c r="F428" i="27"/>
  <c r="G428" i="27"/>
  <c r="H428" i="27"/>
  <c r="D428" i="27"/>
  <c r="K428" i="27" s="1"/>
  <c r="E423" i="27"/>
  <c r="F423" i="27"/>
  <c r="G423" i="27"/>
  <c r="H423" i="27"/>
  <c r="D423" i="27"/>
  <c r="E421" i="27"/>
  <c r="F421" i="27"/>
  <c r="G421" i="27"/>
  <c r="H421" i="27"/>
  <c r="D421" i="27"/>
  <c r="E419" i="27"/>
  <c r="F419" i="27"/>
  <c r="G419" i="27"/>
  <c r="H419" i="27"/>
  <c r="D419" i="27"/>
  <c r="E414" i="27"/>
  <c r="F414" i="27"/>
  <c r="G414" i="27"/>
  <c r="H414" i="27"/>
  <c r="D414" i="27"/>
  <c r="E412" i="27"/>
  <c r="F412" i="27"/>
  <c r="G412" i="27"/>
  <c r="H412" i="27"/>
  <c r="D412" i="27"/>
  <c r="D413" i="27" s="1"/>
  <c r="E410" i="27"/>
  <c r="F410" i="27"/>
  <c r="G410" i="27"/>
  <c r="H410" i="27"/>
  <c r="D410" i="27"/>
  <c r="E405" i="27"/>
  <c r="F405" i="27"/>
  <c r="G405" i="27"/>
  <c r="H405" i="27"/>
  <c r="D405" i="27"/>
  <c r="D407" i="27" s="1"/>
  <c r="D408" i="27" s="1"/>
  <c r="E404" i="27"/>
  <c r="F404" i="27"/>
  <c r="G404" i="27"/>
  <c r="H404" i="27"/>
  <c r="D404" i="27"/>
  <c r="D392" i="27"/>
  <c r="E392" i="27"/>
  <c r="F392" i="27"/>
  <c r="G392" i="27"/>
  <c r="H392" i="27"/>
  <c r="D393" i="27"/>
  <c r="E393" i="27"/>
  <c r="F393" i="27"/>
  <c r="G393" i="27"/>
  <c r="H393" i="27"/>
  <c r="D394" i="27"/>
  <c r="E394" i="27"/>
  <c r="F394" i="27"/>
  <c r="G394" i="27"/>
  <c r="H394" i="27"/>
  <c r="D395" i="27"/>
  <c r="E395" i="27"/>
  <c r="F395" i="27"/>
  <c r="G395" i="27"/>
  <c r="H395" i="27"/>
  <c r="D396" i="27"/>
  <c r="E396" i="27"/>
  <c r="F396" i="27"/>
  <c r="G396" i="27"/>
  <c r="H396" i="27"/>
  <c r="D397" i="27"/>
  <c r="E397" i="27"/>
  <c r="K397" i="27" s="1"/>
  <c r="F397" i="27"/>
  <c r="G397" i="27"/>
  <c r="H397" i="27"/>
  <c r="D398" i="27"/>
  <c r="D399" i="27" s="1"/>
  <c r="E398" i="27"/>
  <c r="F398" i="27"/>
  <c r="G398" i="27"/>
  <c r="H398" i="27"/>
  <c r="E390" i="27"/>
  <c r="F390" i="27"/>
  <c r="G390" i="27"/>
  <c r="H390" i="27"/>
  <c r="D390" i="27"/>
  <c r="D425" i="27"/>
  <c r="D426" i="27" s="1"/>
  <c r="D422" i="27"/>
  <c r="D420" i="27"/>
  <c r="D416" i="27"/>
  <c r="D417" i="27" s="1"/>
  <c r="K410" i="27"/>
  <c r="E384" i="27"/>
  <c r="F384" i="27"/>
  <c r="G384" i="27"/>
  <c r="H384" i="27"/>
  <c r="D384" i="27"/>
  <c r="D386" i="27" s="1"/>
  <c r="D387" i="27" s="1"/>
  <c r="E382" i="27"/>
  <c r="F382" i="27"/>
  <c r="K382" i="27" s="1"/>
  <c r="G382" i="27"/>
  <c r="H382" i="27"/>
  <c r="D382" i="27"/>
  <c r="E380" i="27"/>
  <c r="F380" i="27"/>
  <c r="G380" i="27"/>
  <c r="H380" i="27"/>
  <c r="D380" i="27"/>
  <c r="E375" i="27"/>
  <c r="F375" i="27"/>
  <c r="G375" i="27"/>
  <c r="H375" i="27"/>
  <c r="D375" i="27"/>
  <c r="D377" i="27" s="1"/>
  <c r="D378" i="27" s="1"/>
  <c r="E373" i="27"/>
  <c r="F373" i="27"/>
  <c r="G373" i="27"/>
  <c r="H373" i="27"/>
  <c r="D373" i="27"/>
  <c r="E371" i="27"/>
  <c r="F371" i="27"/>
  <c r="G371" i="27"/>
  <c r="H371" i="27"/>
  <c r="D371" i="27"/>
  <c r="E366" i="27"/>
  <c r="F366" i="27"/>
  <c r="G366" i="27"/>
  <c r="H366" i="27"/>
  <c r="D366" i="27"/>
  <c r="D368" i="27" s="1"/>
  <c r="D369" i="27" s="1"/>
  <c r="E364" i="27"/>
  <c r="F364" i="27"/>
  <c r="G364" i="27"/>
  <c r="H364" i="27"/>
  <c r="D364" i="27"/>
  <c r="E362" i="27"/>
  <c r="F362" i="27"/>
  <c r="G362" i="27"/>
  <c r="H362" i="27"/>
  <c r="D362" i="27"/>
  <c r="E357" i="27"/>
  <c r="F357" i="27"/>
  <c r="G357" i="27"/>
  <c r="H357" i="27"/>
  <c r="D357" i="27"/>
  <c r="E356" i="27"/>
  <c r="F356" i="27"/>
  <c r="G356" i="27"/>
  <c r="H356" i="27"/>
  <c r="D356" i="27"/>
  <c r="D344" i="27"/>
  <c r="E344" i="27"/>
  <c r="F344" i="27"/>
  <c r="G344" i="27"/>
  <c r="H344" i="27"/>
  <c r="D345" i="27"/>
  <c r="E345" i="27"/>
  <c r="F345" i="27"/>
  <c r="G345" i="27"/>
  <c r="H345" i="27"/>
  <c r="D346" i="27"/>
  <c r="E346" i="27"/>
  <c r="F346" i="27"/>
  <c r="G346" i="27"/>
  <c r="H346" i="27"/>
  <c r="D347" i="27"/>
  <c r="E347" i="27"/>
  <c r="F347" i="27"/>
  <c r="G347" i="27"/>
  <c r="H347" i="27"/>
  <c r="D348" i="27"/>
  <c r="E348" i="27"/>
  <c r="F348" i="27"/>
  <c r="G348" i="27"/>
  <c r="H348" i="27"/>
  <c r="D349" i="27"/>
  <c r="E349" i="27"/>
  <c r="K349" i="27" s="1"/>
  <c r="F349" i="27"/>
  <c r="G349" i="27"/>
  <c r="H349" i="27"/>
  <c r="D350" i="27"/>
  <c r="E350" i="27"/>
  <c r="F350" i="27"/>
  <c r="K350" i="27" s="1"/>
  <c r="G350" i="27"/>
  <c r="H350" i="27"/>
  <c r="D351" i="27"/>
  <c r="E342" i="27"/>
  <c r="F342" i="27"/>
  <c r="G342" i="27"/>
  <c r="H342" i="27"/>
  <c r="D342" i="27"/>
  <c r="D383" i="27"/>
  <c r="D381" i="27"/>
  <c r="D374" i="27"/>
  <c r="D372" i="27"/>
  <c r="K364" i="27"/>
  <c r="D363" i="27"/>
  <c r="D359" i="27"/>
  <c r="D360" i="27" s="1"/>
  <c r="D358" i="27"/>
  <c r="E336" i="27"/>
  <c r="F336" i="27"/>
  <c r="G336" i="27"/>
  <c r="H336" i="27"/>
  <c r="D336" i="27"/>
  <c r="D338" i="27" s="1"/>
  <c r="D339" i="27" s="1"/>
  <c r="E334" i="27"/>
  <c r="F334" i="27"/>
  <c r="G334" i="27"/>
  <c r="H334" i="27"/>
  <c r="D334" i="27"/>
  <c r="D335" i="27" s="1"/>
  <c r="E332" i="27"/>
  <c r="F332" i="27"/>
  <c r="G332" i="27"/>
  <c r="H332" i="27"/>
  <c r="D332" i="27"/>
  <c r="E327" i="27"/>
  <c r="F327" i="27"/>
  <c r="G327" i="27"/>
  <c r="H327" i="27"/>
  <c r="D327" i="27"/>
  <c r="E325" i="27"/>
  <c r="F325" i="27"/>
  <c r="G325" i="27"/>
  <c r="H325" i="27"/>
  <c r="D325" i="27"/>
  <c r="D326" i="27" s="1"/>
  <c r="E323" i="27"/>
  <c r="F323" i="27"/>
  <c r="G323" i="27"/>
  <c r="H323" i="27"/>
  <c r="D323" i="27"/>
  <c r="E318" i="27"/>
  <c r="F318" i="27"/>
  <c r="G318" i="27"/>
  <c r="H318" i="27"/>
  <c r="D318" i="27"/>
  <c r="E316" i="27"/>
  <c r="F316" i="27"/>
  <c r="G316" i="27"/>
  <c r="H316" i="27"/>
  <c r="D316" i="27"/>
  <c r="D317" i="27" s="1"/>
  <c r="E314" i="27"/>
  <c r="F314" i="27"/>
  <c r="G314" i="27"/>
  <c r="H314" i="27"/>
  <c r="D314" i="27"/>
  <c r="K314" i="27" s="1"/>
  <c r="E309" i="27"/>
  <c r="F309" i="27"/>
  <c r="G309" i="27"/>
  <c r="H309" i="27"/>
  <c r="D309" i="27"/>
  <c r="E308" i="27"/>
  <c r="F308" i="27"/>
  <c r="G308" i="27"/>
  <c r="H308" i="27"/>
  <c r="D308" i="27"/>
  <c r="D296" i="27"/>
  <c r="E296" i="27"/>
  <c r="F296" i="27"/>
  <c r="G296" i="27"/>
  <c r="H296" i="27"/>
  <c r="D297" i="27"/>
  <c r="E297" i="27"/>
  <c r="F297" i="27"/>
  <c r="G297" i="27"/>
  <c r="H297" i="27"/>
  <c r="D298" i="27"/>
  <c r="E298" i="27"/>
  <c r="F298" i="27"/>
  <c r="G298" i="27"/>
  <c r="H298" i="27"/>
  <c r="D299" i="27"/>
  <c r="E299" i="27"/>
  <c r="F299" i="27"/>
  <c r="G299" i="27"/>
  <c r="H299" i="27"/>
  <c r="D300" i="27"/>
  <c r="E300" i="27"/>
  <c r="F300" i="27"/>
  <c r="G300" i="27"/>
  <c r="H300" i="27"/>
  <c r="D301" i="27"/>
  <c r="K301" i="27" s="1"/>
  <c r="E301" i="27"/>
  <c r="F301" i="27"/>
  <c r="G301" i="27"/>
  <c r="H301" i="27"/>
  <c r="D302" i="27"/>
  <c r="D303" i="27" s="1"/>
  <c r="E302" i="27"/>
  <c r="F302" i="27"/>
  <c r="G302" i="27"/>
  <c r="H302" i="27"/>
  <c r="E294" i="27"/>
  <c r="F294" i="27"/>
  <c r="G294" i="27"/>
  <c r="H294" i="27"/>
  <c r="D294" i="27"/>
  <c r="D333" i="27"/>
  <c r="D329" i="27"/>
  <c r="D330" i="27" s="1"/>
  <c r="D324" i="27"/>
  <c r="D320" i="27"/>
  <c r="D321" i="27" s="1"/>
  <c r="D311" i="27"/>
  <c r="D312" i="27" s="1"/>
  <c r="D310" i="27"/>
  <c r="E288" i="27"/>
  <c r="F288" i="27"/>
  <c r="G288" i="27"/>
  <c r="H288" i="27"/>
  <c r="D288" i="27"/>
  <c r="D290" i="27" s="1"/>
  <c r="D291" i="27" s="1"/>
  <c r="E286" i="27"/>
  <c r="F286" i="27"/>
  <c r="G286" i="27"/>
  <c r="H286" i="27"/>
  <c r="D286" i="27"/>
  <c r="E284" i="27"/>
  <c r="F284" i="27"/>
  <c r="G284" i="27"/>
  <c r="H284" i="27"/>
  <c r="D284" i="27"/>
  <c r="D285" i="27" s="1"/>
  <c r="E279" i="27"/>
  <c r="F279" i="27"/>
  <c r="G279" i="27"/>
  <c r="H279" i="27"/>
  <c r="D279" i="27"/>
  <c r="D280" i="27" s="1"/>
  <c r="E277" i="27"/>
  <c r="F277" i="27"/>
  <c r="G277" i="27"/>
  <c r="H277" i="27"/>
  <c r="D277" i="27"/>
  <c r="D278" i="27" s="1"/>
  <c r="E275" i="27"/>
  <c r="F275" i="27"/>
  <c r="G275" i="27"/>
  <c r="H275" i="27"/>
  <c r="D275" i="27"/>
  <c r="D276" i="27" s="1"/>
  <c r="E270" i="27"/>
  <c r="F270" i="27"/>
  <c r="G270" i="27"/>
  <c r="H270" i="27"/>
  <c r="D270" i="27"/>
  <c r="D272" i="27" s="1"/>
  <c r="D273" i="27" s="1"/>
  <c r="E268" i="27"/>
  <c r="F268" i="27"/>
  <c r="G268" i="27"/>
  <c r="H268" i="27"/>
  <c r="D268" i="27"/>
  <c r="D269" i="27" s="1"/>
  <c r="E266" i="27"/>
  <c r="F266" i="27"/>
  <c r="G266" i="27"/>
  <c r="H266" i="27"/>
  <c r="D266" i="27"/>
  <c r="E261" i="27"/>
  <c r="F261" i="27"/>
  <c r="G261" i="27"/>
  <c r="H261" i="27"/>
  <c r="D261" i="27"/>
  <c r="D263" i="27" s="1"/>
  <c r="D264" i="27" s="1"/>
  <c r="E260" i="27"/>
  <c r="F260" i="27"/>
  <c r="G260" i="27"/>
  <c r="H260" i="27"/>
  <c r="D260" i="27"/>
  <c r="D248" i="27"/>
  <c r="E248" i="27"/>
  <c r="F248" i="27"/>
  <c r="G248" i="27"/>
  <c r="H248" i="27"/>
  <c r="D249" i="27"/>
  <c r="E249" i="27"/>
  <c r="F249" i="27"/>
  <c r="G249" i="27"/>
  <c r="H249" i="27"/>
  <c r="D250" i="27"/>
  <c r="E250" i="27"/>
  <c r="F250" i="27"/>
  <c r="G250" i="27"/>
  <c r="H250" i="27"/>
  <c r="D251" i="27"/>
  <c r="E251" i="27"/>
  <c r="F251" i="27"/>
  <c r="G251" i="27"/>
  <c r="H251" i="27"/>
  <c r="D252" i="27"/>
  <c r="E252" i="27"/>
  <c r="F252" i="27"/>
  <c r="G252" i="27"/>
  <c r="H252" i="27"/>
  <c r="D253" i="27"/>
  <c r="E253" i="27"/>
  <c r="F253" i="27"/>
  <c r="G253" i="27"/>
  <c r="H253" i="27"/>
  <c r="D254" i="27"/>
  <c r="E254" i="27"/>
  <c r="K254" i="27" s="1"/>
  <c r="F254" i="27"/>
  <c r="G254" i="27"/>
  <c r="H254" i="27"/>
  <c r="E246" i="27"/>
  <c r="F246" i="27"/>
  <c r="G246" i="27"/>
  <c r="H246" i="27"/>
  <c r="D246" i="27"/>
  <c r="D287" i="27"/>
  <c r="K253" i="27"/>
  <c r="E240" i="27"/>
  <c r="F240" i="27"/>
  <c r="G240" i="27"/>
  <c r="H240" i="27"/>
  <c r="D240" i="27"/>
  <c r="D242" i="27" s="1"/>
  <c r="D243" i="27" s="1"/>
  <c r="E238" i="27"/>
  <c r="F238" i="27"/>
  <c r="G238" i="27"/>
  <c r="H238" i="27"/>
  <c r="D238" i="27"/>
  <c r="E236" i="27"/>
  <c r="F236" i="27"/>
  <c r="G236" i="27"/>
  <c r="H236" i="27"/>
  <c r="D236" i="27"/>
  <c r="D237" i="27" s="1"/>
  <c r="E231" i="27"/>
  <c r="F231" i="27"/>
  <c r="G231" i="27"/>
  <c r="H231" i="27"/>
  <c r="D231" i="27"/>
  <c r="D232" i="27" s="1"/>
  <c r="E229" i="27"/>
  <c r="F229" i="27"/>
  <c r="G229" i="27"/>
  <c r="H229" i="27"/>
  <c r="D229" i="27"/>
  <c r="D230" i="27" s="1"/>
  <c r="E227" i="27"/>
  <c r="F227" i="27"/>
  <c r="G227" i="27"/>
  <c r="H227" i="27"/>
  <c r="D227" i="27"/>
  <c r="E222" i="27"/>
  <c r="F222" i="27"/>
  <c r="G222" i="27"/>
  <c r="H222" i="27"/>
  <c r="D222" i="27"/>
  <c r="D224" i="27" s="1"/>
  <c r="D225" i="27" s="1"/>
  <c r="E220" i="27"/>
  <c r="F220" i="27"/>
  <c r="K220" i="27" s="1"/>
  <c r="G220" i="27"/>
  <c r="H220" i="27"/>
  <c r="D220" i="27"/>
  <c r="D221" i="27" s="1"/>
  <c r="E218" i="27"/>
  <c r="F218" i="27"/>
  <c r="G218" i="27"/>
  <c r="H218" i="27"/>
  <c r="D218" i="27"/>
  <c r="K218" i="27" s="1"/>
  <c r="E213" i="27"/>
  <c r="F213" i="27"/>
  <c r="G213" i="27"/>
  <c r="H213" i="27"/>
  <c r="D213" i="27"/>
  <c r="E212" i="27"/>
  <c r="F212" i="27"/>
  <c r="G212" i="27"/>
  <c r="H212" i="27"/>
  <c r="D212" i="27"/>
  <c r="D200" i="27"/>
  <c r="E200" i="27"/>
  <c r="F200" i="27"/>
  <c r="G200" i="27"/>
  <c r="H200" i="27"/>
  <c r="D201" i="27"/>
  <c r="E201" i="27"/>
  <c r="F201" i="27"/>
  <c r="G201" i="27"/>
  <c r="H201" i="27"/>
  <c r="D202" i="27"/>
  <c r="E202" i="27"/>
  <c r="F202" i="27"/>
  <c r="G202" i="27"/>
  <c r="H202" i="27"/>
  <c r="D203" i="27"/>
  <c r="E203" i="27"/>
  <c r="F203" i="27"/>
  <c r="G203" i="27"/>
  <c r="H203" i="27"/>
  <c r="D204" i="27"/>
  <c r="E204" i="27"/>
  <c r="F204" i="27"/>
  <c r="G204" i="27"/>
  <c r="H204" i="27"/>
  <c r="D205" i="27"/>
  <c r="E205" i="27"/>
  <c r="F205" i="27"/>
  <c r="G205" i="27"/>
  <c r="H205" i="27"/>
  <c r="K205" i="27" s="1"/>
  <c r="D206" i="27"/>
  <c r="D207" i="27" s="1"/>
  <c r="E206" i="27"/>
  <c r="F206" i="27"/>
  <c r="G206" i="27"/>
  <c r="H206" i="27"/>
  <c r="E198" i="27"/>
  <c r="F198" i="27"/>
  <c r="G198" i="27"/>
  <c r="H198" i="27"/>
  <c r="D198" i="27"/>
  <c r="D239" i="27"/>
  <c r="D233" i="27"/>
  <c r="D234" i="27" s="1"/>
  <c r="D228" i="27"/>
  <c r="D215" i="27"/>
  <c r="D216" i="27" s="1"/>
  <c r="D214" i="27"/>
  <c r="E192" i="27"/>
  <c r="F192" i="27"/>
  <c r="G192" i="27"/>
  <c r="H192" i="27"/>
  <c r="D192" i="27"/>
  <c r="D193" i="27" s="1"/>
  <c r="E190" i="27"/>
  <c r="F190" i="27"/>
  <c r="F191" i="27" s="1"/>
  <c r="G190" i="27"/>
  <c r="G191" i="27" s="1"/>
  <c r="H190" i="27"/>
  <c r="H191" i="27" s="1"/>
  <c r="E191" i="27"/>
  <c r="D190" i="27"/>
  <c r="D191" i="27" s="1"/>
  <c r="E188" i="27"/>
  <c r="F188" i="27"/>
  <c r="G188" i="27"/>
  <c r="H188" i="27"/>
  <c r="D188" i="27"/>
  <c r="K188" i="27" s="1"/>
  <c r="E183" i="27"/>
  <c r="F183" i="27"/>
  <c r="F184" i="27" s="1"/>
  <c r="G183" i="27"/>
  <c r="H183" i="27"/>
  <c r="D183" i="27"/>
  <c r="D185" i="27" s="1"/>
  <c r="D186" i="27" s="1"/>
  <c r="E181" i="27"/>
  <c r="E182" i="27" s="1"/>
  <c r="F181" i="27"/>
  <c r="F182" i="27" s="1"/>
  <c r="G181" i="27"/>
  <c r="G182" i="27" s="1"/>
  <c r="H181" i="27"/>
  <c r="D181" i="27"/>
  <c r="E179" i="27"/>
  <c r="F179" i="27"/>
  <c r="G179" i="27"/>
  <c r="H179" i="27"/>
  <c r="D179" i="27"/>
  <c r="E174" i="27"/>
  <c r="E176" i="27" s="1"/>
  <c r="E177" i="27" s="1"/>
  <c r="F174" i="27"/>
  <c r="F175" i="27" s="1"/>
  <c r="G174" i="27"/>
  <c r="G176" i="27" s="1"/>
  <c r="G177" i="27" s="1"/>
  <c r="H174" i="27"/>
  <c r="H176" i="27" s="1"/>
  <c r="H177" i="27" s="1"/>
  <c r="D174" i="27"/>
  <c r="E172" i="27"/>
  <c r="F172" i="27"/>
  <c r="G172" i="27"/>
  <c r="H172" i="27"/>
  <c r="D172" i="27"/>
  <c r="D173" i="27" s="1"/>
  <c r="E170" i="27"/>
  <c r="F170" i="27"/>
  <c r="F171" i="27" s="1"/>
  <c r="G170" i="27"/>
  <c r="G171" i="27" s="1"/>
  <c r="H170" i="27"/>
  <c r="D170" i="27"/>
  <c r="E165" i="27"/>
  <c r="F165" i="27"/>
  <c r="G165" i="27"/>
  <c r="H165" i="27"/>
  <c r="D165" i="27"/>
  <c r="D166" i="27"/>
  <c r="D167" i="27"/>
  <c r="D168" i="27" s="1"/>
  <c r="E164" i="27"/>
  <c r="F164" i="27"/>
  <c r="G164" i="27"/>
  <c r="H164" i="27"/>
  <c r="D164" i="27"/>
  <c r="D158" i="27"/>
  <c r="D152" i="27"/>
  <c r="E152" i="27"/>
  <c r="F152" i="27"/>
  <c r="G152" i="27"/>
  <c r="H152" i="27"/>
  <c r="D153" i="27"/>
  <c r="E153" i="27"/>
  <c r="F153" i="27"/>
  <c r="G153" i="27"/>
  <c r="H153" i="27"/>
  <c r="D154" i="27"/>
  <c r="E154" i="27"/>
  <c r="F154" i="27"/>
  <c r="G154" i="27"/>
  <c r="H154" i="27"/>
  <c r="D155" i="27"/>
  <c r="E155" i="27"/>
  <c r="F155" i="27"/>
  <c r="G155" i="27"/>
  <c r="H155" i="27"/>
  <c r="D156" i="27"/>
  <c r="E156" i="27"/>
  <c r="F156" i="27"/>
  <c r="G156" i="27"/>
  <c r="H156" i="27"/>
  <c r="D157" i="27"/>
  <c r="E157" i="27"/>
  <c r="F157" i="27"/>
  <c r="G157" i="27"/>
  <c r="K157" i="27" s="1"/>
  <c r="H157" i="27"/>
  <c r="D159" i="27"/>
  <c r="E158" i="27"/>
  <c r="F158" i="27"/>
  <c r="F159" i="27" s="1"/>
  <c r="G158" i="27"/>
  <c r="H158" i="27"/>
  <c r="E159" i="27"/>
  <c r="G159" i="27"/>
  <c r="H159" i="27"/>
  <c r="E150" i="27"/>
  <c r="F150" i="27"/>
  <c r="G150" i="27"/>
  <c r="H150" i="27"/>
  <c r="D150" i="27"/>
  <c r="H194" i="27"/>
  <c r="H195" i="27" s="1"/>
  <c r="D194" i="27"/>
  <c r="D195" i="27" s="1"/>
  <c r="H193" i="27"/>
  <c r="G194" i="27"/>
  <c r="G195" i="27" s="1"/>
  <c r="F193" i="27"/>
  <c r="E193" i="27"/>
  <c r="F189" i="27"/>
  <c r="E189" i="27"/>
  <c r="H189" i="27"/>
  <c r="G189" i="27"/>
  <c r="H185" i="27"/>
  <c r="H186" i="27" s="1"/>
  <c r="G185" i="27"/>
  <c r="G186" i="27" s="1"/>
  <c r="H184" i="27"/>
  <c r="G184" i="27"/>
  <c r="E185" i="27"/>
  <c r="E186" i="27" s="1"/>
  <c r="H182" i="27"/>
  <c r="H180" i="27"/>
  <c r="G180" i="27"/>
  <c r="F180" i="27"/>
  <c r="E180" i="27"/>
  <c r="D180" i="27"/>
  <c r="D176" i="27"/>
  <c r="D177" i="27" s="1"/>
  <c r="D175" i="27"/>
  <c r="H173" i="27"/>
  <c r="G173" i="27"/>
  <c r="F173" i="27"/>
  <c r="E173" i="27"/>
  <c r="H171" i="27"/>
  <c r="D171" i="27"/>
  <c r="H167" i="27"/>
  <c r="H168" i="27" s="1"/>
  <c r="H166" i="27"/>
  <c r="G167" i="27"/>
  <c r="G168" i="27" s="1"/>
  <c r="F166" i="27"/>
  <c r="E166" i="27"/>
  <c r="E144" i="27"/>
  <c r="F144" i="27"/>
  <c r="G144" i="27"/>
  <c r="G145" i="27" s="1"/>
  <c r="H144" i="27"/>
  <c r="D144" i="27"/>
  <c r="E142" i="27"/>
  <c r="F142" i="27"/>
  <c r="F143" i="27" s="1"/>
  <c r="G142" i="27"/>
  <c r="G143" i="27" s="1"/>
  <c r="H142" i="27"/>
  <c r="D142" i="27"/>
  <c r="D143" i="27" s="1"/>
  <c r="E140" i="27"/>
  <c r="E141" i="27" s="1"/>
  <c r="F140" i="27"/>
  <c r="F141" i="27" s="1"/>
  <c r="G140" i="27"/>
  <c r="K140" i="27" s="1"/>
  <c r="H140" i="27"/>
  <c r="H141" i="27" s="1"/>
  <c r="D140" i="27"/>
  <c r="D141" i="27" s="1"/>
  <c r="E135" i="27"/>
  <c r="E137" i="27" s="1"/>
  <c r="E138" i="27" s="1"/>
  <c r="F135" i="27"/>
  <c r="G135" i="27"/>
  <c r="H135" i="27"/>
  <c r="D135" i="27"/>
  <c r="D137" i="27" s="1"/>
  <c r="D138" i="27" s="1"/>
  <c r="E133" i="27"/>
  <c r="E134" i="27" s="1"/>
  <c r="F133" i="27"/>
  <c r="K133" i="27" s="1"/>
  <c r="G133" i="27"/>
  <c r="H133" i="27"/>
  <c r="H134" i="27" s="1"/>
  <c r="D133" i="27"/>
  <c r="D134" i="27" s="1"/>
  <c r="E131" i="27"/>
  <c r="F131" i="27"/>
  <c r="G131" i="27"/>
  <c r="H131" i="27"/>
  <c r="D131" i="27"/>
  <c r="D132" i="27" s="1"/>
  <c r="E126" i="27"/>
  <c r="E128" i="27" s="1"/>
  <c r="E129" i="27" s="1"/>
  <c r="F126" i="27"/>
  <c r="F128" i="27" s="1"/>
  <c r="F129" i="27" s="1"/>
  <c r="G126" i="27"/>
  <c r="H126" i="27"/>
  <c r="D126" i="27"/>
  <c r="D128" i="27" s="1"/>
  <c r="D129" i="27" s="1"/>
  <c r="E124" i="27"/>
  <c r="F124" i="27"/>
  <c r="F125" i="27" s="1"/>
  <c r="G124" i="27"/>
  <c r="H124" i="27"/>
  <c r="H125" i="27" s="1"/>
  <c r="E125" i="27"/>
  <c r="D124" i="27"/>
  <c r="E122" i="27"/>
  <c r="F122" i="27"/>
  <c r="K122" i="27" s="1"/>
  <c r="G122" i="27"/>
  <c r="G123" i="27" s="1"/>
  <c r="H122" i="27"/>
  <c r="D122" i="27"/>
  <c r="D123" i="27" s="1"/>
  <c r="E117" i="27"/>
  <c r="F117" i="27"/>
  <c r="G117" i="27"/>
  <c r="H117" i="27"/>
  <c r="D117" i="27"/>
  <c r="D119" i="27" s="1"/>
  <c r="D120" i="27" s="1"/>
  <c r="E116" i="27"/>
  <c r="F116" i="27"/>
  <c r="G116" i="27"/>
  <c r="H116" i="27"/>
  <c r="K116" i="27"/>
  <c r="D116" i="27"/>
  <c r="D104" i="27"/>
  <c r="E104" i="27"/>
  <c r="F104" i="27"/>
  <c r="G104" i="27"/>
  <c r="H104" i="27"/>
  <c r="D105" i="27"/>
  <c r="E105" i="27"/>
  <c r="F105" i="27"/>
  <c r="G105" i="27"/>
  <c r="H105" i="27"/>
  <c r="D106" i="27"/>
  <c r="E106" i="27"/>
  <c r="F106" i="27"/>
  <c r="G106" i="27"/>
  <c r="H106" i="27"/>
  <c r="D107" i="27"/>
  <c r="E107" i="27"/>
  <c r="F107" i="27"/>
  <c r="G107" i="27"/>
  <c r="H107" i="27"/>
  <c r="D108" i="27"/>
  <c r="E108" i="27"/>
  <c r="F108" i="27"/>
  <c r="G108" i="27"/>
  <c r="H108" i="27"/>
  <c r="D109" i="27"/>
  <c r="E109" i="27"/>
  <c r="F109" i="27"/>
  <c r="G109" i="27"/>
  <c r="H109" i="27"/>
  <c r="K109" i="27" s="1"/>
  <c r="D110" i="27"/>
  <c r="E110" i="27"/>
  <c r="F110" i="27"/>
  <c r="K110" i="27" s="1"/>
  <c r="G110" i="27"/>
  <c r="G111" i="27" s="1"/>
  <c r="H110" i="27"/>
  <c r="E111" i="27"/>
  <c r="E102" i="27"/>
  <c r="F102" i="27"/>
  <c r="G102" i="27"/>
  <c r="H102" i="27"/>
  <c r="D102" i="27"/>
  <c r="H146" i="27"/>
  <c r="H147" i="27" s="1"/>
  <c r="G146" i="27"/>
  <c r="G147" i="27" s="1"/>
  <c r="E146" i="27"/>
  <c r="E147" i="27" s="1"/>
  <c r="H145" i="27"/>
  <c r="F145" i="27"/>
  <c r="F146" i="27"/>
  <c r="F147" i="27" s="1"/>
  <c r="E145" i="27"/>
  <c r="D145" i="27"/>
  <c r="H143" i="27"/>
  <c r="E143" i="27"/>
  <c r="K142" i="27"/>
  <c r="H137" i="27"/>
  <c r="H138" i="27" s="1"/>
  <c r="G137" i="27"/>
  <c r="G138" i="27" s="1"/>
  <c r="F137" i="27"/>
  <c r="F138" i="27" s="1"/>
  <c r="H136" i="27"/>
  <c r="G136" i="27"/>
  <c r="F136" i="27"/>
  <c r="G134" i="27"/>
  <c r="H132" i="27"/>
  <c r="G132" i="27"/>
  <c r="F132" i="27"/>
  <c r="K131" i="27"/>
  <c r="E132" i="27"/>
  <c r="E127" i="27"/>
  <c r="H128" i="27"/>
  <c r="H129" i="27" s="1"/>
  <c r="G128" i="27"/>
  <c r="G129" i="27" s="1"/>
  <c r="D125" i="27"/>
  <c r="G125" i="27"/>
  <c r="H123" i="27"/>
  <c r="E123" i="27"/>
  <c r="H119" i="27"/>
  <c r="H120" i="27" s="1"/>
  <c r="G119" i="27"/>
  <c r="G120" i="27" s="1"/>
  <c r="E119" i="27"/>
  <c r="E120" i="27" s="1"/>
  <c r="H118" i="27"/>
  <c r="G118" i="27"/>
  <c r="F118" i="27"/>
  <c r="F119" i="27"/>
  <c r="F120" i="27" s="1"/>
  <c r="E118" i="27"/>
  <c r="D118" i="27"/>
  <c r="H111" i="27"/>
  <c r="D111" i="27"/>
  <c r="K487" i="27"/>
  <c r="K486" i="27"/>
  <c r="K438" i="27"/>
  <c r="K439" i="27"/>
  <c r="K390" i="27"/>
  <c r="K391" i="27"/>
  <c r="K342" i="27"/>
  <c r="K343" i="27"/>
  <c r="K294" i="27"/>
  <c r="K295" i="27"/>
  <c r="K246" i="27"/>
  <c r="K247" i="27"/>
  <c r="K198" i="27"/>
  <c r="K199" i="27"/>
  <c r="K150" i="27"/>
  <c r="K151" i="27"/>
  <c r="K102" i="27"/>
  <c r="K103" i="27"/>
  <c r="K2" i="27"/>
  <c r="H75" i="27" s="1"/>
  <c r="K74" i="27"/>
  <c r="E96" i="27"/>
  <c r="E97" i="27" s="1"/>
  <c r="F96" i="27"/>
  <c r="F97" i="27" s="1"/>
  <c r="G96" i="27"/>
  <c r="H96" i="27"/>
  <c r="H98" i="27" s="1"/>
  <c r="H99" i="27" s="1"/>
  <c r="D96" i="27"/>
  <c r="E94" i="27"/>
  <c r="E95" i="27" s="1"/>
  <c r="F94" i="27"/>
  <c r="F95" i="27" s="1"/>
  <c r="G94" i="27"/>
  <c r="H94" i="27"/>
  <c r="D94" i="27"/>
  <c r="D95" i="27" s="1"/>
  <c r="E92" i="27"/>
  <c r="F92" i="27"/>
  <c r="G92" i="27"/>
  <c r="H92" i="27"/>
  <c r="H93" i="27" s="1"/>
  <c r="D92" i="27"/>
  <c r="E87" i="27"/>
  <c r="E88" i="27" s="1"/>
  <c r="F87" i="27"/>
  <c r="F88" i="27" s="1"/>
  <c r="G87" i="27"/>
  <c r="G88" i="27" s="1"/>
  <c r="H87" i="27"/>
  <c r="H89" i="27" s="1"/>
  <c r="H90" i="27" s="1"/>
  <c r="D87" i="27"/>
  <c r="D88" i="27" s="1"/>
  <c r="E85" i="27"/>
  <c r="E86" i="27" s="1"/>
  <c r="F85" i="27"/>
  <c r="F86" i="27" s="1"/>
  <c r="G85" i="27"/>
  <c r="H85" i="27"/>
  <c r="H86" i="27" s="1"/>
  <c r="G86" i="27"/>
  <c r="D85" i="27"/>
  <c r="E83" i="27"/>
  <c r="E84" i="27" s="1"/>
  <c r="F83" i="27"/>
  <c r="F84" i="27" s="1"/>
  <c r="G83" i="27"/>
  <c r="H83" i="27"/>
  <c r="D83" i="27"/>
  <c r="E78" i="27"/>
  <c r="F78" i="27"/>
  <c r="G78" i="27"/>
  <c r="H78" i="27"/>
  <c r="D78" i="27"/>
  <c r="D79" i="27" s="1"/>
  <c r="E76" i="27"/>
  <c r="E77" i="27" s="1"/>
  <c r="F76" i="27"/>
  <c r="G76" i="27"/>
  <c r="H76" i="27"/>
  <c r="D76" i="27"/>
  <c r="E74" i="27"/>
  <c r="F74" i="27"/>
  <c r="G74" i="27"/>
  <c r="H74" i="27"/>
  <c r="D74" i="27"/>
  <c r="D69" i="27"/>
  <c r="E69" i="27"/>
  <c r="E70" i="27" s="1"/>
  <c r="F69" i="27"/>
  <c r="F70" i="27" s="1"/>
  <c r="G69" i="27"/>
  <c r="G71" i="27" s="1"/>
  <c r="G72" i="27" s="1"/>
  <c r="H69" i="27"/>
  <c r="H71" i="27" s="1"/>
  <c r="H72" i="27" s="1"/>
  <c r="E68" i="27"/>
  <c r="K68" i="27" s="1"/>
  <c r="F68" i="27"/>
  <c r="G68" i="27"/>
  <c r="H68" i="27"/>
  <c r="D68" i="27"/>
  <c r="K55" i="27"/>
  <c r="K54" i="27"/>
  <c r="D56" i="27"/>
  <c r="E56" i="27"/>
  <c r="F56" i="27"/>
  <c r="G56" i="27"/>
  <c r="H56" i="27"/>
  <c r="D57" i="27"/>
  <c r="E57" i="27"/>
  <c r="F57" i="27"/>
  <c r="G57" i="27"/>
  <c r="H57" i="27"/>
  <c r="D58" i="27"/>
  <c r="E58" i="27"/>
  <c r="F58" i="27"/>
  <c r="G58" i="27"/>
  <c r="H58" i="27"/>
  <c r="D59" i="27"/>
  <c r="E59" i="27"/>
  <c r="F59" i="27"/>
  <c r="G59" i="27"/>
  <c r="H59" i="27"/>
  <c r="D60" i="27"/>
  <c r="E60" i="27"/>
  <c r="F60" i="27"/>
  <c r="G60" i="27"/>
  <c r="H60" i="27"/>
  <c r="D61" i="27"/>
  <c r="K61" i="27" s="1"/>
  <c r="I61" i="27" s="1"/>
  <c r="E61" i="27"/>
  <c r="F61" i="27"/>
  <c r="G61" i="27"/>
  <c r="H61" i="27"/>
  <c r="D62" i="27"/>
  <c r="E62" i="27"/>
  <c r="E63" i="27" s="1"/>
  <c r="F62" i="27"/>
  <c r="F63" i="27" s="1"/>
  <c r="G62" i="27"/>
  <c r="H62" i="27"/>
  <c r="D63" i="27"/>
  <c r="E54" i="27"/>
  <c r="F54" i="27"/>
  <c r="G54" i="27"/>
  <c r="H54" i="27"/>
  <c r="D54" i="27"/>
  <c r="G97" i="27"/>
  <c r="D97" i="27"/>
  <c r="G98" i="27"/>
  <c r="G99" i="27" s="1"/>
  <c r="D98" i="27"/>
  <c r="D99" i="27" s="1"/>
  <c r="H95" i="27"/>
  <c r="G95" i="27"/>
  <c r="G93" i="27"/>
  <c r="F93" i="27"/>
  <c r="E93" i="27"/>
  <c r="D93" i="27"/>
  <c r="D86" i="27"/>
  <c r="H84" i="27"/>
  <c r="G84" i="27"/>
  <c r="D84" i="27"/>
  <c r="G79" i="27"/>
  <c r="F79" i="27"/>
  <c r="E79" i="27"/>
  <c r="H79" i="27"/>
  <c r="D70" i="27"/>
  <c r="E71" i="27"/>
  <c r="E72" i="27" s="1"/>
  <c r="D71" i="27"/>
  <c r="D72" i="27" s="1"/>
  <c r="H63" i="27"/>
  <c r="G63" i="27"/>
  <c r="E48" i="27"/>
  <c r="F48" i="27"/>
  <c r="F50" i="27" s="1"/>
  <c r="F51" i="27" s="1"/>
  <c r="G48" i="27"/>
  <c r="H48" i="27"/>
  <c r="H49" i="27" s="1"/>
  <c r="D48" i="27"/>
  <c r="D50" i="27" s="1"/>
  <c r="D51" i="27" s="1"/>
  <c r="E46" i="27"/>
  <c r="F46" i="27"/>
  <c r="F47" i="27" s="1"/>
  <c r="G46" i="27"/>
  <c r="G47" i="27" s="1"/>
  <c r="H46" i="27"/>
  <c r="H47" i="27" s="1"/>
  <c r="D46" i="27"/>
  <c r="E44" i="27"/>
  <c r="E45" i="27" s="1"/>
  <c r="F44" i="27"/>
  <c r="F45" i="27" s="1"/>
  <c r="G44" i="27"/>
  <c r="H44" i="27"/>
  <c r="D44" i="27"/>
  <c r="D45" i="27" s="1"/>
  <c r="E39" i="27"/>
  <c r="E40" i="27" s="1"/>
  <c r="F39" i="27"/>
  <c r="F40" i="27" s="1"/>
  <c r="G39" i="27"/>
  <c r="G40" i="27" s="1"/>
  <c r="H39" i="27"/>
  <c r="H41" i="27" s="1"/>
  <c r="H42" i="27" s="1"/>
  <c r="D39" i="27"/>
  <c r="D40" i="27" s="1"/>
  <c r="E37" i="27"/>
  <c r="F37" i="27"/>
  <c r="G37" i="27"/>
  <c r="H37" i="27"/>
  <c r="D37" i="27"/>
  <c r="E35" i="27"/>
  <c r="F35" i="27"/>
  <c r="F36" i="27" s="1"/>
  <c r="G35" i="27"/>
  <c r="H35" i="27"/>
  <c r="D35" i="27"/>
  <c r="D36" i="27" s="1"/>
  <c r="E30" i="27"/>
  <c r="E31" i="27" s="1"/>
  <c r="F30" i="27"/>
  <c r="G30" i="27"/>
  <c r="H30" i="27"/>
  <c r="H31" i="27" s="1"/>
  <c r="D30" i="27"/>
  <c r="E28" i="27"/>
  <c r="F28" i="27"/>
  <c r="G28" i="27"/>
  <c r="H28" i="27"/>
  <c r="D28" i="27"/>
  <c r="E26" i="27"/>
  <c r="F26" i="27"/>
  <c r="G26" i="27"/>
  <c r="H26" i="27"/>
  <c r="D26" i="27"/>
  <c r="K526" i="27"/>
  <c r="K524" i="27"/>
  <c r="K515" i="27"/>
  <c r="K508" i="27"/>
  <c r="K506" i="27"/>
  <c r="K500" i="27"/>
  <c r="K478" i="27"/>
  <c r="K476" i="27"/>
  <c r="K469" i="27"/>
  <c r="K467" i="27"/>
  <c r="K460" i="27"/>
  <c r="K458" i="27"/>
  <c r="K452" i="27"/>
  <c r="K446" i="27"/>
  <c r="K430" i="27"/>
  <c r="K421" i="27"/>
  <c r="K404" i="27"/>
  <c r="K398" i="27"/>
  <c r="K380" i="27"/>
  <c r="K373" i="27"/>
  <c r="K371" i="27"/>
  <c r="K362" i="27"/>
  <c r="K356" i="27"/>
  <c r="K334" i="27"/>
  <c r="K308" i="27"/>
  <c r="K302" i="27"/>
  <c r="K286" i="27"/>
  <c r="K284" i="27"/>
  <c r="K277" i="27"/>
  <c r="K275" i="27"/>
  <c r="K268" i="27"/>
  <c r="K260" i="27"/>
  <c r="K238" i="27"/>
  <c r="K236" i="27"/>
  <c r="E20" i="27"/>
  <c r="F20" i="27"/>
  <c r="G20" i="27"/>
  <c r="H20" i="27"/>
  <c r="E21" i="27"/>
  <c r="E22" i="27" s="1"/>
  <c r="F21" i="27"/>
  <c r="G21" i="27"/>
  <c r="H21" i="27"/>
  <c r="H22" i="27" s="1"/>
  <c r="D21" i="27"/>
  <c r="D23" i="27" s="1"/>
  <c r="D24" i="27" s="1"/>
  <c r="D20" i="27"/>
  <c r="K7" i="27"/>
  <c r="K6" i="27"/>
  <c r="D8" i="27"/>
  <c r="E8" i="27"/>
  <c r="F8" i="27"/>
  <c r="G8" i="27"/>
  <c r="H8" i="27"/>
  <c r="D9" i="27"/>
  <c r="E9" i="27"/>
  <c r="F9" i="27"/>
  <c r="G9" i="27"/>
  <c r="H9" i="27"/>
  <c r="D10" i="27"/>
  <c r="E10" i="27"/>
  <c r="F10" i="27"/>
  <c r="G10" i="27"/>
  <c r="H10" i="27"/>
  <c r="D11" i="27"/>
  <c r="E11" i="27"/>
  <c r="F11" i="27"/>
  <c r="G11" i="27"/>
  <c r="H11" i="27"/>
  <c r="D12" i="27"/>
  <c r="E12" i="27"/>
  <c r="F12" i="27"/>
  <c r="G12" i="27"/>
  <c r="H12" i="27"/>
  <c r="D13" i="27"/>
  <c r="E13" i="27"/>
  <c r="F13" i="27"/>
  <c r="G13" i="27"/>
  <c r="K13" i="27" s="1"/>
  <c r="I13" i="27" s="1"/>
  <c r="H13" i="27"/>
  <c r="D14" i="27"/>
  <c r="D15" i="27" s="1"/>
  <c r="E14" i="27"/>
  <c r="E15" i="27" s="1"/>
  <c r="F14" i="27"/>
  <c r="G14" i="27"/>
  <c r="H14" i="27"/>
  <c r="F15" i="27"/>
  <c r="H15" i="27"/>
  <c r="E6" i="27"/>
  <c r="F6" i="27"/>
  <c r="G6" i="27"/>
  <c r="H6" i="27"/>
  <c r="D6" i="27"/>
  <c r="G49" i="27"/>
  <c r="E49" i="27"/>
  <c r="H50" i="27"/>
  <c r="H51" i="27" s="1"/>
  <c r="G50" i="27"/>
  <c r="G51" i="27" s="1"/>
  <c r="E50" i="27"/>
  <c r="E51" i="27" s="1"/>
  <c r="E47" i="27"/>
  <c r="D47" i="27"/>
  <c r="H45" i="27"/>
  <c r="G45" i="27"/>
  <c r="F41" i="27"/>
  <c r="F42" i="27" s="1"/>
  <c r="D41" i="27"/>
  <c r="D42" i="27" s="1"/>
  <c r="H38" i="27"/>
  <c r="G38" i="27"/>
  <c r="F38" i="27"/>
  <c r="E38" i="27"/>
  <c r="D38" i="27"/>
  <c r="H36" i="27"/>
  <c r="G36" i="27"/>
  <c r="E36" i="27"/>
  <c r="G31" i="27"/>
  <c r="H32" i="27"/>
  <c r="H33" i="27" s="1"/>
  <c r="F23" i="27"/>
  <c r="F24" i="27" s="1"/>
  <c r="G22" i="27"/>
  <c r="F22" i="27"/>
  <c r="H23" i="27"/>
  <c r="H24" i="27" s="1"/>
  <c r="G23" i="27"/>
  <c r="G24" i="27" s="1"/>
  <c r="G15" i="27"/>
  <c r="K76" i="27" l="1"/>
  <c r="K212" i="27"/>
  <c r="K316" i="27"/>
  <c r="D520" i="27"/>
  <c r="D495" i="27"/>
  <c r="D511" i="27"/>
  <c r="D529" i="27"/>
  <c r="K517" i="27"/>
  <c r="D473" i="27"/>
  <c r="D474" i="27" s="1"/>
  <c r="D454" i="27"/>
  <c r="D481" i="27"/>
  <c r="D429" i="27"/>
  <c r="K419" i="27"/>
  <c r="K412" i="27"/>
  <c r="D411" i="27"/>
  <c r="D424" i="27"/>
  <c r="D415" i="27"/>
  <c r="D406" i="27"/>
  <c r="D433" i="27"/>
  <c r="D376" i="27"/>
  <c r="D365" i="27"/>
  <c r="D367" i="27"/>
  <c r="D385" i="27"/>
  <c r="D337" i="27"/>
  <c r="K323" i="27"/>
  <c r="D328" i="27"/>
  <c r="D315" i="27"/>
  <c r="K325" i="27"/>
  <c r="K332" i="27"/>
  <c r="D319" i="27"/>
  <c r="K266" i="27"/>
  <c r="D255" i="27"/>
  <c r="D281" i="27"/>
  <c r="D282" i="27" s="1"/>
  <c r="D271" i="27"/>
  <c r="D267" i="27"/>
  <c r="D262" i="27"/>
  <c r="D289" i="27"/>
  <c r="D219" i="27"/>
  <c r="K206" i="27"/>
  <c r="K227" i="27"/>
  <c r="K229" i="27"/>
  <c r="D223" i="27"/>
  <c r="D241" i="27"/>
  <c r="D189" i="27"/>
  <c r="K181" i="27"/>
  <c r="F176" i="27"/>
  <c r="F177" i="27" s="1"/>
  <c r="E175" i="27"/>
  <c r="K170" i="27"/>
  <c r="K164" i="27"/>
  <c r="E171" i="27"/>
  <c r="E184" i="27"/>
  <c r="K190" i="27"/>
  <c r="G166" i="27"/>
  <c r="F185" i="27"/>
  <c r="F186" i="27" s="1"/>
  <c r="G193" i="27"/>
  <c r="E167" i="27"/>
  <c r="E168" i="27" s="1"/>
  <c r="E194" i="27"/>
  <c r="E195" i="27" s="1"/>
  <c r="F167" i="27"/>
  <c r="F168" i="27" s="1"/>
  <c r="G175" i="27"/>
  <c r="F194" i="27"/>
  <c r="F195" i="27" s="1"/>
  <c r="K158" i="27"/>
  <c r="H175" i="27"/>
  <c r="D184" i="27"/>
  <c r="D182" i="27"/>
  <c r="K172" i="27"/>
  <c r="K179" i="27"/>
  <c r="F134" i="27"/>
  <c r="F127" i="27"/>
  <c r="D127" i="27"/>
  <c r="F123" i="27"/>
  <c r="F111" i="27"/>
  <c r="D146" i="27"/>
  <c r="D147" i="27" s="1"/>
  <c r="K124" i="27"/>
  <c r="G127" i="27"/>
  <c r="G141" i="27"/>
  <c r="H127" i="27"/>
  <c r="D136" i="27"/>
  <c r="E136" i="27"/>
  <c r="E80" i="27"/>
  <c r="E81" i="27" s="1"/>
  <c r="D32" i="27"/>
  <c r="D33" i="27" s="1"/>
  <c r="F80" i="27"/>
  <c r="F81" i="27" s="1"/>
  <c r="D75" i="27"/>
  <c r="E27" i="27"/>
  <c r="I76" i="27"/>
  <c r="I77" i="27" s="1"/>
  <c r="F29" i="27"/>
  <c r="G75" i="27"/>
  <c r="E32" i="27"/>
  <c r="E33" i="27" s="1"/>
  <c r="D77" i="27"/>
  <c r="G27" i="27"/>
  <c r="D27" i="27"/>
  <c r="J27" i="27" s="1"/>
  <c r="G80" i="27"/>
  <c r="G81" i="27" s="1"/>
  <c r="H27" i="27"/>
  <c r="F32" i="27"/>
  <c r="F33" i="27" s="1"/>
  <c r="F75" i="27"/>
  <c r="E29" i="27"/>
  <c r="E75" i="27"/>
  <c r="F27" i="27"/>
  <c r="G29" i="27"/>
  <c r="H77" i="27"/>
  <c r="H29" i="27"/>
  <c r="D29" i="27"/>
  <c r="G77" i="27"/>
  <c r="G32" i="27"/>
  <c r="G33" i="27" s="1"/>
  <c r="E98" i="27"/>
  <c r="E99" i="27" s="1"/>
  <c r="F98" i="27"/>
  <c r="F99" i="27" s="1"/>
  <c r="K94" i="27"/>
  <c r="I94" i="27" s="1"/>
  <c r="I95" i="27" s="1"/>
  <c r="J95" i="27" s="1"/>
  <c r="E89" i="27"/>
  <c r="E90" i="27" s="1"/>
  <c r="G89" i="27"/>
  <c r="G90" i="27" s="1"/>
  <c r="F89" i="27"/>
  <c r="F90" i="27" s="1"/>
  <c r="D89" i="27"/>
  <c r="D90" i="27" s="1"/>
  <c r="K85" i="27"/>
  <c r="I85" i="27" s="1"/>
  <c r="I86" i="27" s="1"/>
  <c r="J86" i="27" s="1"/>
  <c r="D80" i="27"/>
  <c r="D81" i="27" s="1"/>
  <c r="F77" i="27"/>
  <c r="F71" i="27"/>
  <c r="F72" i="27" s="1"/>
  <c r="G70" i="27"/>
  <c r="H97" i="27"/>
  <c r="H70" i="27"/>
  <c r="H88" i="27"/>
  <c r="K62" i="27"/>
  <c r="I62" i="27" s="1"/>
  <c r="I63" i="27" s="1"/>
  <c r="J63" i="27" s="1"/>
  <c r="I74" i="27"/>
  <c r="I75" i="27" s="1"/>
  <c r="H80" i="27"/>
  <c r="H81" i="27" s="1"/>
  <c r="K83" i="27"/>
  <c r="I83" i="27" s="1"/>
  <c r="I84" i="27" s="1"/>
  <c r="J84" i="27" s="1"/>
  <c r="K92" i="27"/>
  <c r="I92" i="27" s="1"/>
  <c r="I93" i="27" s="1"/>
  <c r="J93" i="27" s="1"/>
  <c r="F49" i="27"/>
  <c r="D49" i="27"/>
  <c r="E41" i="27"/>
  <c r="E42" i="27" s="1"/>
  <c r="G41" i="27"/>
  <c r="G42" i="27" s="1"/>
  <c r="H40" i="27"/>
  <c r="F31" i="27"/>
  <c r="D31" i="27"/>
  <c r="E23" i="27"/>
  <c r="E24" i="27" s="1"/>
  <c r="K20" i="27"/>
  <c r="D22" i="27"/>
  <c r="J47" i="27"/>
  <c r="K14" i="27"/>
  <c r="I14" i="27" s="1"/>
  <c r="I15" i="27" s="1"/>
  <c r="J15" i="27" s="1"/>
  <c r="K26" i="27"/>
  <c r="I26" i="27" s="1"/>
  <c r="I27" i="27" s="1"/>
  <c r="K35" i="27"/>
  <c r="I35" i="27" s="1"/>
  <c r="I36" i="27" s="1"/>
  <c r="J36" i="27" s="1"/>
  <c r="K44" i="27"/>
  <c r="I44" i="27" s="1"/>
  <c r="I45" i="27" s="1"/>
  <c r="J45" i="27" s="1"/>
  <c r="K28" i="27"/>
  <c r="I28" i="27" s="1"/>
  <c r="I29" i="27" s="1"/>
  <c r="K37" i="27"/>
  <c r="I37" i="27" s="1"/>
  <c r="I38" i="27" s="1"/>
  <c r="J38" i="27" s="1"/>
  <c r="K46" i="27"/>
  <c r="I46" i="27" s="1"/>
  <c r="I47" i="27" s="1"/>
  <c r="AL124" i="12"/>
  <c r="AL129" i="17"/>
  <c r="AL124" i="17"/>
  <c r="AL125" i="17"/>
  <c r="AL119" i="17"/>
  <c r="AS110" i="9"/>
  <c r="AS109" i="9"/>
  <c r="AS110" i="17"/>
  <c r="AS109" i="17"/>
  <c r="AR100" i="17"/>
  <c r="J10" i="12"/>
  <c r="I10" i="12"/>
  <c r="K9" i="12"/>
  <c r="J10" i="23"/>
  <c r="I10" i="23"/>
  <c r="K9" i="23"/>
  <c r="J10" i="24"/>
  <c r="I10" i="24"/>
  <c r="K9" i="24"/>
  <c r="J10" i="25"/>
  <c r="I10" i="25"/>
  <c r="K9" i="25"/>
  <c r="AM366" i="39"/>
  <c r="AL366" i="39"/>
  <c r="AK366" i="39"/>
  <c r="AJ366" i="39"/>
  <c r="AI366" i="39"/>
  <c r="AH366" i="39"/>
  <c r="AG366" i="39"/>
  <c r="AF366" i="39"/>
  <c r="AE366" i="39"/>
  <c r="AD366" i="39"/>
  <c r="Z366" i="39"/>
  <c r="Y366" i="39"/>
  <c r="X366" i="39"/>
  <c r="W366" i="39"/>
  <c r="V366" i="39"/>
  <c r="U366" i="39"/>
  <c r="T366" i="39"/>
  <c r="S366" i="39"/>
  <c r="R366" i="39"/>
  <c r="Q366" i="39"/>
  <c r="M366" i="39"/>
  <c r="L366" i="39"/>
  <c r="K366" i="39"/>
  <c r="J366" i="39"/>
  <c r="I366" i="39"/>
  <c r="H366" i="39"/>
  <c r="G366" i="39"/>
  <c r="F366" i="39"/>
  <c r="E366" i="39"/>
  <c r="D366" i="39"/>
  <c r="AM365" i="39"/>
  <c r="AL365" i="39"/>
  <c r="AK365" i="39"/>
  <c r="AJ365" i="39"/>
  <c r="AI365" i="39"/>
  <c r="AH365" i="39"/>
  <c r="AG365" i="39"/>
  <c r="AF365" i="39"/>
  <c r="AE365" i="39"/>
  <c r="AD365" i="39"/>
  <c r="Z365" i="39"/>
  <c r="Y365" i="39"/>
  <c r="X365" i="39"/>
  <c r="W365" i="39"/>
  <c r="V365" i="39"/>
  <c r="U365" i="39"/>
  <c r="T365" i="39"/>
  <c r="S365" i="39"/>
  <c r="R365" i="39"/>
  <c r="Q365" i="39"/>
  <c r="M365" i="39"/>
  <c r="L365" i="39"/>
  <c r="K365" i="39"/>
  <c r="J365" i="39"/>
  <c r="I365" i="39"/>
  <c r="H365" i="39"/>
  <c r="G365" i="39"/>
  <c r="F365" i="39"/>
  <c r="E365" i="39"/>
  <c r="D365" i="39"/>
  <c r="AM364" i="39"/>
  <c r="AL364" i="39"/>
  <c r="AK364" i="39"/>
  <c r="AJ364" i="39"/>
  <c r="AI364" i="39"/>
  <c r="AH364" i="39"/>
  <c r="AG364" i="39"/>
  <c r="AF364" i="39"/>
  <c r="AE364" i="39"/>
  <c r="AD364" i="39"/>
  <c r="Z364" i="39"/>
  <c r="Y364" i="39"/>
  <c r="X364" i="39"/>
  <c r="W364" i="39"/>
  <c r="V364" i="39"/>
  <c r="U364" i="39"/>
  <c r="T364" i="39"/>
  <c r="S364" i="39"/>
  <c r="R364" i="39"/>
  <c r="Q364" i="39"/>
  <c r="M364" i="39"/>
  <c r="L364" i="39"/>
  <c r="K364" i="39"/>
  <c r="J364" i="39"/>
  <c r="I364" i="39"/>
  <c r="H364" i="39"/>
  <c r="G364" i="39"/>
  <c r="F364" i="39"/>
  <c r="E364" i="39"/>
  <c r="D364" i="39"/>
  <c r="AM363" i="39"/>
  <c r="AL363" i="39"/>
  <c r="AK363" i="39"/>
  <c r="AJ363" i="39"/>
  <c r="AI363" i="39"/>
  <c r="AH363" i="39"/>
  <c r="AG363" i="39"/>
  <c r="AF363" i="39"/>
  <c r="AE363" i="39"/>
  <c r="AD363" i="39"/>
  <c r="Z363" i="39"/>
  <c r="Y363" i="39"/>
  <c r="X363" i="39"/>
  <c r="W363" i="39"/>
  <c r="V363" i="39"/>
  <c r="U363" i="39"/>
  <c r="T363" i="39"/>
  <c r="S363" i="39"/>
  <c r="R363" i="39"/>
  <c r="Q363" i="39"/>
  <c r="M363" i="39"/>
  <c r="L363" i="39"/>
  <c r="K363" i="39"/>
  <c r="J363" i="39"/>
  <c r="I363" i="39"/>
  <c r="H363" i="39"/>
  <c r="G363" i="39"/>
  <c r="F363" i="39"/>
  <c r="E363" i="39"/>
  <c r="D363" i="39"/>
  <c r="AM362" i="39"/>
  <c r="AL362" i="39"/>
  <c r="AK362" i="39"/>
  <c r="AJ362" i="39"/>
  <c r="AI362" i="39"/>
  <c r="AH362" i="39"/>
  <c r="AG362" i="39"/>
  <c r="AF362" i="39"/>
  <c r="AE362" i="39"/>
  <c r="AD362" i="39"/>
  <c r="Z362" i="39"/>
  <c r="Y362" i="39"/>
  <c r="X362" i="39"/>
  <c r="W362" i="39"/>
  <c r="V362" i="39"/>
  <c r="U362" i="39"/>
  <c r="T362" i="39"/>
  <c r="S362" i="39"/>
  <c r="R362" i="39"/>
  <c r="Q362" i="39"/>
  <c r="M362" i="39"/>
  <c r="L362" i="39"/>
  <c r="K362" i="39"/>
  <c r="J362" i="39"/>
  <c r="I362" i="39"/>
  <c r="H362" i="39"/>
  <c r="G362" i="39"/>
  <c r="F362" i="39"/>
  <c r="E362" i="39"/>
  <c r="D362" i="39"/>
  <c r="AM361" i="39"/>
  <c r="AL361" i="39"/>
  <c r="AK361" i="39"/>
  <c r="AJ361" i="39"/>
  <c r="AI361" i="39"/>
  <c r="AH361" i="39"/>
  <c r="AG361" i="39"/>
  <c r="AF361" i="39"/>
  <c r="AE361" i="39"/>
  <c r="AD361" i="39"/>
  <c r="Z361" i="39"/>
  <c r="Y361" i="39"/>
  <c r="X361" i="39"/>
  <c r="W361" i="39"/>
  <c r="V361" i="39"/>
  <c r="U361" i="39"/>
  <c r="T361" i="39"/>
  <c r="S361" i="39"/>
  <c r="R361" i="39"/>
  <c r="Q361" i="39"/>
  <c r="M361" i="39"/>
  <c r="L361" i="39"/>
  <c r="K361" i="39"/>
  <c r="J361" i="39"/>
  <c r="I361" i="39"/>
  <c r="H361" i="39"/>
  <c r="G361" i="39"/>
  <c r="F361" i="39"/>
  <c r="E361" i="39"/>
  <c r="D361" i="39"/>
  <c r="AM360" i="39"/>
  <c r="AL360" i="39"/>
  <c r="AK360" i="39"/>
  <c r="AJ360" i="39"/>
  <c r="AI360" i="39"/>
  <c r="AH360" i="39"/>
  <c r="AG360" i="39"/>
  <c r="AF360" i="39"/>
  <c r="AE360" i="39"/>
  <c r="AD360" i="39"/>
  <c r="Z360" i="39"/>
  <c r="Y360" i="39"/>
  <c r="X360" i="39"/>
  <c r="W360" i="39"/>
  <c r="V360" i="39"/>
  <c r="U360" i="39"/>
  <c r="T360" i="39"/>
  <c r="S360" i="39"/>
  <c r="R360" i="39"/>
  <c r="Q360" i="39"/>
  <c r="M360" i="39"/>
  <c r="L360" i="39"/>
  <c r="K360" i="39"/>
  <c r="J360" i="39"/>
  <c r="I360" i="39"/>
  <c r="H360" i="39"/>
  <c r="G360" i="39"/>
  <c r="F360" i="39"/>
  <c r="E360" i="39"/>
  <c r="D360" i="39"/>
  <c r="AM359" i="39"/>
  <c r="AL359" i="39"/>
  <c r="AK359" i="39"/>
  <c r="AJ359" i="39"/>
  <c r="AI359" i="39"/>
  <c r="AH359" i="39"/>
  <c r="AG359" i="39"/>
  <c r="AF359" i="39"/>
  <c r="AE359" i="39"/>
  <c r="AD359" i="39"/>
  <c r="Z359" i="39"/>
  <c r="Y359" i="39"/>
  <c r="X359" i="39"/>
  <c r="W359" i="39"/>
  <c r="V359" i="39"/>
  <c r="U359" i="39"/>
  <c r="T359" i="39"/>
  <c r="S359" i="39"/>
  <c r="R359" i="39"/>
  <c r="Q359" i="39"/>
  <c r="M359" i="39"/>
  <c r="L359" i="39"/>
  <c r="K359" i="39"/>
  <c r="J359" i="39"/>
  <c r="I359" i="39"/>
  <c r="H359" i="39"/>
  <c r="G359" i="39"/>
  <c r="F359" i="39"/>
  <c r="E359" i="39"/>
  <c r="D359" i="39"/>
  <c r="AM358" i="39"/>
  <c r="AL358" i="39"/>
  <c r="AK358" i="39"/>
  <c r="AJ358" i="39"/>
  <c r="AI358" i="39"/>
  <c r="AH358" i="39"/>
  <c r="AG358" i="39"/>
  <c r="AF358" i="39"/>
  <c r="AE358" i="39"/>
  <c r="AD358" i="39"/>
  <c r="Z358" i="39"/>
  <c r="Y358" i="39"/>
  <c r="X358" i="39"/>
  <c r="W358" i="39"/>
  <c r="V358" i="39"/>
  <c r="U358" i="39"/>
  <c r="T358" i="39"/>
  <c r="S358" i="39"/>
  <c r="R358" i="39"/>
  <c r="Q358" i="39"/>
  <c r="M358" i="39"/>
  <c r="L358" i="39"/>
  <c r="K358" i="39"/>
  <c r="J358" i="39"/>
  <c r="I358" i="39"/>
  <c r="H358" i="39"/>
  <c r="G358" i="39"/>
  <c r="F358" i="39"/>
  <c r="E358" i="39"/>
  <c r="D358" i="39"/>
  <c r="AM357" i="39"/>
  <c r="AL357" i="39"/>
  <c r="AK357" i="39"/>
  <c r="AJ357" i="39"/>
  <c r="AI357" i="39"/>
  <c r="AH357" i="39"/>
  <c r="AG357" i="39"/>
  <c r="AF357" i="39"/>
  <c r="AE357" i="39"/>
  <c r="AD357" i="39"/>
  <c r="Z357" i="39"/>
  <c r="Y357" i="39"/>
  <c r="X357" i="39"/>
  <c r="W357" i="39"/>
  <c r="V357" i="39"/>
  <c r="U357" i="39"/>
  <c r="T357" i="39"/>
  <c r="S357" i="39"/>
  <c r="R357" i="39"/>
  <c r="Q357" i="39"/>
  <c r="M357" i="39"/>
  <c r="L357" i="39"/>
  <c r="K357" i="39"/>
  <c r="J357" i="39"/>
  <c r="I357" i="39"/>
  <c r="H357" i="39"/>
  <c r="G357" i="39"/>
  <c r="F357" i="39"/>
  <c r="E357" i="39"/>
  <c r="D357" i="39"/>
  <c r="AM356" i="39"/>
  <c r="AL356" i="39"/>
  <c r="AK356" i="39"/>
  <c r="AJ356" i="39"/>
  <c r="AI356" i="39"/>
  <c r="AH356" i="39"/>
  <c r="AG356" i="39"/>
  <c r="AF356" i="39"/>
  <c r="AE356" i="39"/>
  <c r="AD356" i="39"/>
  <c r="Z356" i="39"/>
  <c r="Y356" i="39"/>
  <c r="X356" i="39"/>
  <c r="W356" i="39"/>
  <c r="V356" i="39"/>
  <c r="U356" i="39"/>
  <c r="T356" i="39"/>
  <c r="S356" i="39"/>
  <c r="R356" i="39"/>
  <c r="Q356" i="39"/>
  <c r="M356" i="39"/>
  <c r="L356" i="39"/>
  <c r="K356" i="39"/>
  <c r="J356" i="39"/>
  <c r="I356" i="39"/>
  <c r="H356" i="39"/>
  <c r="G356" i="39"/>
  <c r="F356" i="39"/>
  <c r="E356" i="39"/>
  <c r="D356" i="39"/>
  <c r="D270" i="39"/>
  <c r="AH267" i="39"/>
  <c r="AG267" i="39"/>
  <c r="AF267" i="39"/>
  <c r="AE267" i="39"/>
  <c r="AD267" i="39"/>
  <c r="U267" i="39"/>
  <c r="T267" i="39"/>
  <c r="S267" i="39"/>
  <c r="R267" i="39"/>
  <c r="Q267" i="39"/>
  <c r="H267" i="39"/>
  <c r="G267" i="39"/>
  <c r="F267" i="39"/>
  <c r="E267" i="39"/>
  <c r="D267" i="39"/>
  <c r="U266" i="39"/>
  <c r="T266" i="39"/>
  <c r="S266" i="39"/>
  <c r="R266" i="39"/>
  <c r="Q266" i="39"/>
  <c r="H266" i="39"/>
  <c r="G266" i="39"/>
  <c r="F266" i="39"/>
  <c r="E266" i="39"/>
  <c r="D266" i="39"/>
  <c r="U264" i="39"/>
  <c r="T264" i="39"/>
  <c r="S264" i="39"/>
  <c r="R264" i="39"/>
  <c r="Q264" i="39"/>
  <c r="H264" i="39"/>
  <c r="G264" i="39"/>
  <c r="F264" i="39"/>
  <c r="E264" i="39"/>
  <c r="D264" i="39"/>
  <c r="AA263" i="39"/>
  <c r="V263" i="39" s="1"/>
  <c r="V264" i="39" s="1"/>
  <c r="I263" i="39"/>
  <c r="I264" i="39" s="1"/>
  <c r="AH261" i="39"/>
  <c r="AH262" i="39" s="1"/>
  <c r="AH303" i="39" s="1"/>
  <c r="AG261" i="39"/>
  <c r="AG262" i="39" s="1"/>
  <c r="AF261" i="39"/>
  <c r="AL261" i="39" s="1"/>
  <c r="AL262" i="39" s="1"/>
  <c r="AE261" i="39"/>
  <c r="AE262" i="39" s="1"/>
  <c r="AE303" i="39" s="1"/>
  <c r="AD261" i="39"/>
  <c r="U261" i="39"/>
  <c r="U262" i="39" s="1"/>
  <c r="T261" i="39"/>
  <c r="S261" i="39"/>
  <c r="S268" i="39" s="1"/>
  <c r="R261" i="39"/>
  <c r="R269" i="39" s="1"/>
  <c r="Q261" i="39"/>
  <c r="H261" i="39"/>
  <c r="H272" i="39" s="1"/>
  <c r="G261" i="39"/>
  <c r="G262" i="39" s="1"/>
  <c r="F261" i="39"/>
  <c r="E261" i="39"/>
  <c r="D261" i="39"/>
  <c r="AH260" i="39"/>
  <c r="AM353" i="39" s="1"/>
  <c r="AG260" i="39"/>
  <c r="AL353" i="39" s="1"/>
  <c r="AF260" i="39"/>
  <c r="AK353" i="39" s="1"/>
  <c r="AE260" i="39"/>
  <c r="AJ353" i="39" s="1"/>
  <c r="AD260" i="39"/>
  <c r="AI353" i="39" s="1"/>
  <c r="U260" i="39"/>
  <c r="Z353" i="39" s="1"/>
  <c r="T260" i="39"/>
  <c r="Y353" i="39" s="1"/>
  <c r="S260" i="39"/>
  <c r="X353" i="39" s="1"/>
  <c r="R260" i="39"/>
  <c r="W353" i="39" s="1"/>
  <c r="Q260" i="39"/>
  <c r="H260" i="39"/>
  <c r="M353" i="39" s="1"/>
  <c r="G260" i="39"/>
  <c r="L353" i="39" s="1"/>
  <c r="F260" i="39"/>
  <c r="K353" i="39" s="1"/>
  <c r="E260" i="39"/>
  <c r="J353" i="39" s="1"/>
  <c r="D260" i="39"/>
  <c r="I353" i="39" s="1"/>
  <c r="AN259" i="39"/>
  <c r="AL259" i="39"/>
  <c r="AG463" i="39" s="1"/>
  <c r="AK259" i="39"/>
  <c r="AJ259" i="39"/>
  <c r="AJ260" i="39" s="1"/>
  <c r="AA259" i="39"/>
  <c r="Y259" i="39"/>
  <c r="T463" i="39" s="1"/>
  <c r="X259" i="39"/>
  <c r="S463" i="39" s="1"/>
  <c r="W259" i="39"/>
  <c r="W260" i="39" s="1"/>
  <c r="L259" i="39"/>
  <c r="G463" i="39" s="1"/>
  <c r="K259" i="39"/>
  <c r="F463" i="39" s="1"/>
  <c r="J259" i="39"/>
  <c r="J260" i="39" s="1"/>
  <c r="AH258" i="39"/>
  <c r="AH353" i="39" s="1"/>
  <c r="AG258" i="39"/>
  <c r="AG353" i="39" s="1"/>
  <c r="AF258" i="39"/>
  <c r="AF353" i="39" s="1"/>
  <c r="AE258" i="39"/>
  <c r="AE353" i="39" s="1"/>
  <c r="AD258" i="39"/>
  <c r="AD353" i="39" s="1"/>
  <c r="U258" i="39"/>
  <c r="U353" i="39" s="1"/>
  <c r="T258" i="39"/>
  <c r="T353" i="39" s="1"/>
  <c r="S258" i="39"/>
  <c r="S353" i="39" s="1"/>
  <c r="R258" i="39"/>
  <c r="Q258" i="39"/>
  <c r="Q353" i="39" s="1"/>
  <c r="H258" i="39"/>
  <c r="H353" i="39" s="1"/>
  <c r="G258" i="39"/>
  <c r="G353" i="39" s="1"/>
  <c r="F258" i="39"/>
  <c r="F353" i="39" s="1"/>
  <c r="E258" i="39"/>
  <c r="E353" i="39" s="1"/>
  <c r="D258" i="39"/>
  <c r="D353" i="39" s="1"/>
  <c r="AN257" i="39"/>
  <c r="AL257" i="39"/>
  <c r="AK257" i="39"/>
  <c r="AD463" i="39" s="1"/>
  <c r="AA257" i="39"/>
  <c r="V257" i="39" s="1"/>
  <c r="U463" i="39" s="1"/>
  <c r="Y257" i="39"/>
  <c r="R463" i="39" s="1"/>
  <c r="X257" i="39"/>
  <c r="Q463" i="39" s="1"/>
  <c r="L257" i="39"/>
  <c r="K257" i="39"/>
  <c r="I259" i="39"/>
  <c r="AG245" i="39"/>
  <c r="AH242" i="39"/>
  <c r="AG242" i="39"/>
  <c r="AE246" i="39" s="1"/>
  <c r="AF242" i="39"/>
  <c r="AE242" i="39"/>
  <c r="AD242" i="39"/>
  <c r="U242" i="39"/>
  <c r="T242" i="39"/>
  <c r="S242" i="39"/>
  <c r="R242" i="39"/>
  <c r="Q242" i="39"/>
  <c r="H242" i="39"/>
  <c r="G242" i="39"/>
  <c r="F242" i="39"/>
  <c r="E242" i="39"/>
  <c r="D242" i="39"/>
  <c r="U241" i="39"/>
  <c r="T241" i="39"/>
  <c r="S241" i="39"/>
  <c r="R241" i="39"/>
  <c r="Q241" i="39"/>
  <c r="H241" i="39"/>
  <c r="G241" i="39"/>
  <c r="F241" i="39"/>
  <c r="E241" i="39"/>
  <c r="D241" i="39"/>
  <c r="U239" i="39"/>
  <c r="T239" i="39"/>
  <c r="S239" i="39"/>
  <c r="R239" i="39"/>
  <c r="Q239" i="39"/>
  <c r="H239" i="39"/>
  <c r="G239" i="39"/>
  <c r="F239" i="39"/>
  <c r="E239" i="39"/>
  <c r="D239" i="39"/>
  <c r="AA238" i="39"/>
  <c r="V238" i="39" s="1"/>
  <c r="V239" i="39" s="1"/>
  <c r="I238" i="39"/>
  <c r="I239" i="39" s="1"/>
  <c r="AH236" i="39"/>
  <c r="AH246" i="39" s="1"/>
  <c r="AG236" i="39"/>
  <c r="AF236" i="39"/>
  <c r="AF237" i="39" s="1"/>
  <c r="AE236" i="39"/>
  <c r="AD236" i="39"/>
  <c r="U236" i="39"/>
  <c r="T236" i="39"/>
  <c r="S236" i="39"/>
  <c r="S245" i="39" s="1"/>
  <c r="R236" i="39"/>
  <c r="Q236" i="39"/>
  <c r="H236" i="39"/>
  <c r="H237" i="39" s="1"/>
  <c r="G236" i="39"/>
  <c r="F236" i="39"/>
  <c r="F246" i="39" s="1"/>
  <c r="E236" i="39"/>
  <c r="D236" i="39"/>
  <c r="D247" i="39" s="1"/>
  <c r="AL235" i="39"/>
  <c r="AG449" i="39" s="1"/>
  <c r="AH235" i="39"/>
  <c r="AM352" i="39" s="1"/>
  <c r="AG235" i="39"/>
  <c r="AL352" i="39" s="1"/>
  <c r="AF235" i="39"/>
  <c r="AK352" i="39" s="1"/>
  <c r="AE235" i="39"/>
  <c r="AJ352" i="39" s="1"/>
  <c r="AD235" i="39"/>
  <c r="AI352" i="39" s="1"/>
  <c r="U235" i="39"/>
  <c r="Z352" i="39" s="1"/>
  <c r="T235" i="39"/>
  <c r="Y352" i="39" s="1"/>
  <c r="S235" i="39"/>
  <c r="X352" i="39" s="1"/>
  <c r="R235" i="39"/>
  <c r="W352" i="39" s="1"/>
  <c r="Q235" i="39"/>
  <c r="V352" i="39" s="1"/>
  <c r="H235" i="39"/>
  <c r="M352" i="39" s="1"/>
  <c r="G235" i="39"/>
  <c r="F235" i="39"/>
  <c r="K352" i="39" s="1"/>
  <c r="E235" i="39"/>
  <c r="J352" i="39" s="1"/>
  <c r="D235" i="39"/>
  <c r="I352" i="39" s="1"/>
  <c r="AN234" i="39"/>
  <c r="AL234" i="39"/>
  <c r="AG462" i="39" s="1"/>
  <c r="AK234" i="39"/>
  <c r="AF462" i="39" s="1"/>
  <c r="AJ234" i="39"/>
  <c r="AJ235" i="39" s="1"/>
  <c r="AA234" i="39"/>
  <c r="Y234" i="39"/>
  <c r="T462" i="39" s="1"/>
  <c r="X234" i="39"/>
  <c r="S462" i="39" s="1"/>
  <c r="W234" i="39"/>
  <c r="W235" i="39" s="1"/>
  <c r="N234" i="39"/>
  <c r="L234" i="39"/>
  <c r="G462" i="39" s="1"/>
  <c r="K234" i="39"/>
  <c r="F462" i="39" s="1"/>
  <c r="J234" i="39"/>
  <c r="J235" i="39" s="1"/>
  <c r="AH233" i="39"/>
  <c r="AH352" i="39" s="1"/>
  <c r="AG233" i="39"/>
  <c r="AG352" i="39" s="1"/>
  <c r="AF233" i="39"/>
  <c r="AE233" i="39"/>
  <c r="AE352" i="39" s="1"/>
  <c r="AD233" i="39"/>
  <c r="AD352" i="39" s="1"/>
  <c r="Y233" i="39"/>
  <c r="R449" i="39" s="1"/>
  <c r="U233" i="39"/>
  <c r="U352" i="39" s="1"/>
  <c r="T233" i="39"/>
  <c r="T352" i="39" s="1"/>
  <c r="S233" i="39"/>
  <c r="S352" i="39" s="1"/>
  <c r="R233" i="39"/>
  <c r="R352" i="39" s="1"/>
  <c r="Q233" i="39"/>
  <c r="H233" i="39"/>
  <c r="H352" i="39" s="1"/>
  <c r="G233" i="39"/>
  <c r="G352" i="39" s="1"/>
  <c r="F233" i="39"/>
  <c r="F352" i="39" s="1"/>
  <c r="E233" i="39"/>
  <c r="E352" i="39" s="1"/>
  <c r="D233" i="39"/>
  <c r="D352" i="39" s="1"/>
  <c r="AN232" i="39"/>
  <c r="AI232" i="39" s="1"/>
  <c r="AL232" i="39"/>
  <c r="AE462" i="39" s="1"/>
  <c r="AK232" i="39"/>
  <c r="AA232" i="39"/>
  <c r="Y232" i="39"/>
  <c r="R462" i="39" s="1"/>
  <c r="X232" i="39"/>
  <c r="X233" i="39" s="1"/>
  <c r="Q449" i="39" s="1"/>
  <c r="V232" i="39"/>
  <c r="U462" i="39" s="1"/>
  <c r="N232" i="39"/>
  <c r="L232" i="39"/>
  <c r="E462" i="39" s="1"/>
  <c r="K232" i="39"/>
  <c r="J228" i="39"/>
  <c r="J227" i="39"/>
  <c r="AH217" i="39"/>
  <c r="AG217" i="39"/>
  <c r="AF221" i="39" s="1"/>
  <c r="AF217" i="39"/>
  <c r="AE217" i="39"/>
  <c r="AD217" i="39"/>
  <c r="U217" i="39"/>
  <c r="T217" i="39"/>
  <c r="S217" i="39"/>
  <c r="R217" i="39"/>
  <c r="Q217" i="39"/>
  <c r="H217" i="39"/>
  <c r="G217" i="39"/>
  <c r="F217" i="39"/>
  <c r="E217" i="39"/>
  <c r="D217" i="39"/>
  <c r="U216" i="39"/>
  <c r="T216" i="39"/>
  <c r="S216" i="39"/>
  <c r="R216" i="39"/>
  <c r="Q216" i="39"/>
  <c r="H216" i="39"/>
  <c r="G216" i="39"/>
  <c r="F216" i="39"/>
  <c r="E216" i="39"/>
  <c r="D216" i="39"/>
  <c r="U214" i="39"/>
  <c r="T214" i="39"/>
  <c r="S214" i="39"/>
  <c r="R214" i="39"/>
  <c r="Q214" i="39"/>
  <c r="H214" i="39"/>
  <c r="G214" i="39"/>
  <c r="F214" i="39"/>
  <c r="E214" i="39"/>
  <c r="D214" i="39"/>
  <c r="AA213" i="39"/>
  <c r="V213" i="39" s="1"/>
  <c r="V214" i="39" s="1"/>
  <c r="I213" i="39"/>
  <c r="I214" i="39" s="1"/>
  <c r="AF212" i="39"/>
  <c r="AH211" i="39"/>
  <c r="AG211" i="39"/>
  <c r="AF211" i="39"/>
  <c r="AL211" i="39" s="1"/>
  <c r="AL212" i="39" s="1"/>
  <c r="AE211" i="39"/>
  <c r="AE212" i="39" s="1"/>
  <c r="AD211" i="39"/>
  <c r="AD212" i="39" s="1"/>
  <c r="U211" i="39"/>
  <c r="U212" i="39" s="1"/>
  <c r="U301" i="39" s="1"/>
  <c r="T211" i="39"/>
  <c r="S211" i="39"/>
  <c r="Y211" i="39" s="1"/>
  <c r="Y212" i="39" s="1"/>
  <c r="R211" i="39"/>
  <c r="Q211" i="39"/>
  <c r="H211" i="39"/>
  <c r="H212" i="39" s="1"/>
  <c r="H301" i="39" s="1"/>
  <c r="G211" i="39"/>
  <c r="G222" i="39" s="1"/>
  <c r="F211" i="39"/>
  <c r="F222" i="39" s="1"/>
  <c r="E211" i="39"/>
  <c r="E212" i="39" s="1"/>
  <c r="D211" i="39"/>
  <c r="AL210" i="39"/>
  <c r="AH210" i="39"/>
  <c r="AM351" i="39" s="1"/>
  <c r="AG210" i="39"/>
  <c r="AL351" i="39" s="1"/>
  <c r="AF210" i="39"/>
  <c r="AK351" i="39" s="1"/>
  <c r="AE210" i="39"/>
  <c r="AJ351" i="39" s="1"/>
  <c r="AD210" i="39"/>
  <c r="AI351" i="39" s="1"/>
  <c r="U210" i="39"/>
  <c r="Z351" i="39" s="1"/>
  <c r="T210" i="39"/>
  <c r="Y351" i="39" s="1"/>
  <c r="S210" i="39"/>
  <c r="X351" i="39" s="1"/>
  <c r="R210" i="39"/>
  <c r="W351" i="39" s="1"/>
  <c r="Q210" i="39"/>
  <c r="V351" i="39" s="1"/>
  <c r="H210" i="39"/>
  <c r="M351" i="39" s="1"/>
  <c r="G210" i="39"/>
  <c r="L351" i="39" s="1"/>
  <c r="F210" i="39"/>
  <c r="E210" i="39"/>
  <c r="J351" i="39" s="1"/>
  <c r="D210" i="39"/>
  <c r="I351" i="39" s="1"/>
  <c r="AN209" i="39"/>
  <c r="AL209" i="39"/>
  <c r="AG461" i="39" s="1"/>
  <c r="AK209" i="39"/>
  <c r="AF461" i="39" s="1"/>
  <c r="AJ209" i="39"/>
  <c r="AJ210" i="39" s="1"/>
  <c r="AA209" i="39"/>
  <c r="Y209" i="39"/>
  <c r="T461" i="39" s="1"/>
  <c r="X209" i="39"/>
  <c r="S461" i="39" s="1"/>
  <c r="W209" i="39"/>
  <c r="W210" i="39" s="1"/>
  <c r="N209" i="39"/>
  <c r="L209" i="39"/>
  <c r="G461" i="39" s="1"/>
  <c r="K209" i="39"/>
  <c r="F461" i="39" s="1"/>
  <c r="J209" i="39"/>
  <c r="J210" i="39" s="1"/>
  <c r="AH208" i="39"/>
  <c r="AH351" i="39" s="1"/>
  <c r="AG208" i="39"/>
  <c r="AG351" i="39" s="1"/>
  <c r="AF208" i="39"/>
  <c r="AE208" i="39"/>
  <c r="AE351" i="39" s="1"/>
  <c r="AD208" i="39"/>
  <c r="AD351" i="39" s="1"/>
  <c r="Y208" i="39"/>
  <c r="R448" i="39" s="1"/>
  <c r="U208" i="39"/>
  <c r="U351" i="39" s="1"/>
  <c r="T208" i="39"/>
  <c r="T351" i="39" s="1"/>
  <c r="S208" i="39"/>
  <c r="S351" i="39" s="1"/>
  <c r="R208" i="39"/>
  <c r="R351" i="39" s="1"/>
  <c r="Q208" i="39"/>
  <c r="Q351" i="39" s="1"/>
  <c r="H208" i="39"/>
  <c r="H351" i="39" s="1"/>
  <c r="G208" i="39"/>
  <c r="G351" i="39" s="1"/>
  <c r="F208" i="39"/>
  <c r="F351" i="39" s="1"/>
  <c r="E208" i="39"/>
  <c r="E351" i="39" s="1"/>
  <c r="D208" i="39"/>
  <c r="D351" i="39" s="1"/>
  <c r="AN207" i="39"/>
  <c r="AI207" i="39" s="1"/>
  <c r="AL207" i="39"/>
  <c r="AE461" i="39" s="1"/>
  <c r="AK207" i="39"/>
  <c r="AA207" i="39"/>
  <c r="V207" i="39" s="1"/>
  <c r="U461" i="39" s="1"/>
  <c r="Y207" i="39"/>
  <c r="R461" i="39" s="1"/>
  <c r="X207" i="39"/>
  <c r="N207" i="39"/>
  <c r="I207" i="39" s="1"/>
  <c r="I208" i="39" s="1"/>
  <c r="L207" i="39"/>
  <c r="E461" i="39" s="1"/>
  <c r="K207" i="39"/>
  <c r="D461" i="39" s="1"/>
  <c r="E194" i="39"/>
  <c r="AH192" i="39"/>
  <c r="AG192" i="39"/>
  <c r="AD196" i="39" s="1"/>
  <c r="AF192" i="39"/>
  <c r="AD195" i="39" s="1"/>
  <c r="AE192" i="39"/>
  <c r="AD192" i="39"/>
  <c r="U192" i="39"/>
  <c r="T192" i="39"/>
  <c r="S192" i="39"/>
  <c r="R192" i="39"/>
  <c r="Q192" i="39"/>
  <c r="H192" i="39"/>
  <c r="G192" i="39"/>
  <c r="F192" i="39"/>
  <c r="E192" i="39"/>
  <c r="D192" i="39"/>
  <c r="I192" i="39" s="1"/>
  <c r="U191" i="39"/>
  <c r="T191" i="39"/>
  <c r="S191" i="39"/>
  <c r="R191" i="39"/>
  <c r="Q191" i="39"/>
  <c r="H191" i="39"/>
  <c r="G191" i="39"/>
  <c r="F191" i="39"/>
  <c r="E191" i="39"/>
  <c r="D191" i="39"/>
  <c r="U189" i="39"/>
  <c r="T189" i="39"/>
  <c r="S189" i="39"/>
  <c r="R189" i="39"/>
  <c r="Q189" i="39"/>
  <c r="H189" i="39"/>
  <c r="G189" i="39"/>
  <c r="F189" i="39"/>
  <c r="E189" i="39"/>
  <c r="D189" i="39"/>
  <c r="AA188" i="39"/>
  <c r="V188" i="39" s="1"/>
  <c r="V189" i="39" s="1"/>
  <c r="I188" i="39"/>
  <c r="I189" i="39" s="1"/>
  <c r="AH186" i="39"/>
  <c r="AG186" i="39"/>
  <c r="AG197" i="39" s="1"/>
  <c r="AF186" i="39"/>
  <c r="AE186" i="39"/>
  <c r="AD186" i="39"/>
  <c r="U186" i="39"/>
  <c r="U194" i="39" s="1"/>
  <c r="T186" i="39"/>
  <c r="T194" i="39" s="1"/>
  <c r="S186" i="39"/>
  <c r="S187" i="39" s="1"/>
  <c r="R186" i="39"/>
  <c r="R194" i="39" s="1"/>
  <c r="Q186" i="39"/>
  <c r="H186" i="39"/>
  <c r="G186" i="39"/>
  <c r="F186" i="39"/>
  <c r="F187" i="39" s="1"/>
  <c r="E186" i="39"/>
  <c r="E187" i="39" s="1"/>
  <c r="D186" i="39"/>
  <c r="AH185" i="39"/>
  <c r="AM350" i="39" s="1"/>
  <c r="AG185" i="39"/>
  <c r="AL350" i="39" s="1"/>
  <c r="AF185" i="39"/>
  <c r="AK350" i="39" s="1"/>
  <c r="AE185" i="39"/>
  <c r="AJ350" i="39" s="1"/>
  <c r="AD185" i="39"/>
  <c r="AI350" i="39" s="1"/>
  <c r="U185" i="39"/>
  <c r="Z350" i="39" s="1"/>
  <c r="T185" i="39"/>
  <c r="Y350" i="39" s="1"/>
  <c r="S185" i="39"/>
  <c r="X350" i="39" s="1"/>
  <c r="R185" i="39"/>
  <c r="W350" i="39" s="1"/>
  <c r="Q185" i="39"/>
  <c r="V350" i="39" s="1"/>
  <c r="H185" i="39"/>
  <c r="M350" i="39" s="1"/>
  <c r="G185" i="39"/>
  <c r="L350" i="39" s="1"/>
  <c r="F185" i="39"/>
  <c r="K350" i="39" s="1"/>
  <c r="E185" i="39"/>
  <c r="J350" i="39" s="1"/>
  <c r="D185" i="39"/>
  <c r="AN184" i="39"/>
  <c r="AL184" i="39"/>
  <c r="AG460" i="39" s="1"/>
  <c r="AK184" i="39"/>
  <c r="AJ184" i="39"/>
  <c r="AJ185" i="39" s="1"/>
  <c r="AA184" i="39"/>
  <c r="Y184" i="39"/>
  <c r="T460" i="39" s="1"/>
  <c r="X184" i="39"/>
  <c r="S460" i="39" s="1"/>
  <c r="W184" i="39"/>
  <c r="W185" i="39" s="1"/>
  <c r="N184" i="39"/>
  <c r="L184" i="39"/>
  <c r="K184" i="39"/>
  <c r="F460" i="39" s="1"/>
  <c r="J184" i="39"/>
  <c r="J185" i="39" s="1"/>
  <c r="AH183" i="39"/>
  <c r="AH350" i="39" s="1"/>
  <c r="AG183" i="39"/>
  <c r="AG350" i="39" s="1"/>
  <c r="AF183" i="39"/>
  <c r="AF350" i="39" s="1"/>
  <c r="AE183" i="39"/>
  <c r="AE350" i="39" s="1"/>
  <c r="AD183" i="39"/>
  <c r="U183" i="39"/>
  <c r="U350" i="39" s="1"/>
  <c r="T183" i="39"/>
  <c r="T350" i="39" s="1"/>
  <c r="S183" i="39"/>
  <c r="S350" i="39" s="1"/>
  <c r="R183" i="39"/>
  <c r="R350" i="39" s="1"/>
  <c r="Q183" i="39"/>
  <c r="H183" i="39"/>
  <c r="H350" i="39" s="1"/>
  <c r="G183" i="39"/>
  <c r="G350" i="39" s="1"/>
  <c r="F183" i="39"/>
  <c r="F350" i="39" s="1"/>
  <c r="E183" i="39"/>
  <c r="E350" i="39" s="1"/>
  <c r="D183" i="39"/>
  <c r="D350" i="39" s="1"/>
  <c r="AN182" i="39"/>
  <c r="AI182" i="39" s="1"/>
  <c r="AI184" i="39" s="1"/>
  <c r="AL182" i="39"/>
  <c r="AE460" i="39" s="1"/>
  <c r="AK182" i="39"/>
  <c r="AA182" i="39"/>
  <c r="V182" i="39" s="1"/>
  <c r="Y182" i="39"/>
  <c r="X182" i="39"/>
  <c r="Q460" i="39" s="1"/>
  <c r="N182" i="39"/>
  <c r="I182" i="39" s="1"/>
  <c r="I184" i="39" s="1"/>
  <c r="L182" i="39"/>
  <c r="E460" i="39" s="1"/>
  <c r="K182" i="39"/>
  <c r="K183" i="39" s="1"/>
  <c r="D447" i="39" s="1"/>
  <c r="AH167" i="39"/>
  <c r="AG167" i="39"/>
  <c r="AF167" i="39"/>
  <c r="AE167" i="39"/>
  <c r="AH169" i="39" s="1"/>
  <c r="AD167" i="39"/>
  <c r="U167" i="39"/>
  <c r="T167" i="39"/>
  <c r="S167" i="39"/>
  <c r="R167" i="39"/>
  <c r="Q167" i="39"/>
  <c r="H167" i="39"/>
  <c r="G167" i="39"/>
  <c r="F167" i="39"/>
  <c r="E167" i="39"/>
  <c r="D167" i="39"/>
  <c r="U166" i="39"/>
  <c r="T166" i="39"/>
  <c r="S166" i="39"/>
  <c r="R166" i="39"/>
  <c r="Q166" i="39"/>
  <c r="H166" i="39"/>
  <c r="G166" i="39"/>
  <c r="F166" i="39"/>
  <c r="E166" i="39"/>
  <c r="D166" i="39"/>
  <c r="U164" i="39"/>
  <c r="T164" i="39"/>
  <c r="S164" i="39"/>
  <c r="R164" i="39"/>
  <c r="Q164" i="39"/>
  <c r="H164" i="39"/>
  <c r="G164" i="39"/>
  <c r="F164" i="39"/>
  <c r="E164" i="39"/>
  <c r="D164" i="39"/>
  <c r="AA163" i="39"/>
  <c r="V163" i="39" s="1"/>
  <c r="V164" i="39" s="1"/>
  <c r="I163" i="39"/>
  <c r="I164" i="39" s="1"/>
  <c r="AH161" i="39"/>
  <c r="AH162" i="39" s="1"/>
  <c r="AG161" i="39"/>
  <c r="AF161" i="39"/>
  <c r="AE161" i="39"/>
  <c r="AD161" i="39"/>
  <c r="U161" i="39"/>
  <c r="T161" i="39"/>
  <c r="T162" i="39" s="1"/>
  <c r="S161" i="39"/>
  <c r="R161" i="39"/>
  <c r="R172" i="39" s="1"/>
  <c r="Q161" i="39"/>
  <c r="Q162" i="39" s="1"/>
  <c r="H161" i="39"/>
  <c r="G161" i="39"/>
  <c r="F161" i="39"/>
  <c r="F168" i="39" s="1"/>
  <c r="E161" i="39"/>
  <c r="D161" i="39"/>
  <c r="AH160" i="39"/>
  <c r="AM349" i="39" s="1"/>
  <c r="AG160" i="39"/>
  <c r="AL349" i="39" s="1"/>
  <c r="AF160" i="39"/>
  <c r="AK349" i="39" s="1"/>
  <c r="AE160" i="39"/>
  <c r="AJ349" i="39" s="1"/>
  <c r="AD160" i="39"/>
  <c r="AI349" i="39" s="1"/>
  <c r="U160" i="39"/>
  <c r="Z349" i="39" s="1"/>
  <c r="T160" i="39"/>
  <c r="Y349" i="39" s="1"/>
  <c r="S160" i="39"/>
  <c r="X349" i="39" s="1"/>
  <c r="R160" i="39"/>
  <c r="W349" i="39" s="1"/>
  <c r="Q160" i="39"/>
  <c r="V349" i="39" s="1"/>
  <c r="H160" i="39"/>
  <c r="M349" i="39" s="1"/>
  <c r="G160" i="39"/>
  <c r="L349" i="39" s="1"/>
  <c r="F160" i="39"/>
  <c r="K349" i="39" s="1"/>
  <c r="E160" i="39"/>
  <c r="J349" i="39" s="1"/>
  <c r="D160" i="39"/>
  <c r="AN159" i="39"/>
  <c r="AL159" i="39"/>
  <c r="AG459" i="39" s="1"/>
  <c r="AK159" i="39"/>
  <c r="AF459" i="39" s="1"/>
  <c r="AJ159" i="39"/>
  <c r="AJ160" i="39" s="1"/>
  <c r="AA159" i="39"/>
  <c r="Y159" i="39"/>
  <c r="T459" i="39" s="1"/>
  <c r="X159" i="39"/>
  <c r="S459" i="39" s="1"/>
  <c r="W159" i="39"/>
  <c r="W160" i="39" s="1"/>
  <c r="N159" i="39"/>
  <c r="L159" i="39"/>
  <c r="G459" i="39" s="1"/>
  <c r="K159" i="39"/>
  <c r="J159" i="39"/>
  <c r="J160" i="39" s="1"/>
  <c r="AH158" i="39"/>
  <c r="AH349" i="39" s="1"/>
  <c r="AG158" i="39"/>
  <c r="AG349" i="39" s="1"/>
  <c r="AF158" i="39"/>
  <c r="AF349" i="39" s="1"/>
  <c r="AE158" i="39"/>
  <c r="AE349" i="39" s="1"/>
  <c r="AD158" i="39"/>
  <c r="AD349" i="39" s="1"/>
  <c r="U158" i="39"/>
  <c r="U349" i="39" s="1"/>
  <c r="T158" i="39"/>
  <c r="T349" i="39" s="1"/>
  <c r="S158" i="39"/>
  <c r="S349" i="39" s="1"/>
  <c r="R158" i="39"/>
  <c r="Q158" i="39"/>
  <c r="Q349" i="39" s="1"/>
  <c r="H158" i="39"/>
  <c r="H349" i="39" s="1"/>
  <c r="G158" i="39"/>
  <c r="G349" i="39" s="1"/>
  <c r="F158" i="39"/>
  <c r="F349" i="39" s="1"/>
  <c r="E158" i="39"/>
  <c r="E349" i="39" s="1"/>
  <c r="D158" i="39"/>
  <c r="D349" i="39" s="1"/>
  <c r="AN157" i="39"/>
  <c r="AL157" i="39"/>
  <c r="AK157" i="39"/>
  <c r="AD459" i="39" s="1"/>
  <c r="AA157" i="39"/>
  <c r="V157" i="39" s="1"/>
  <c r="U459" i="39" s="1"/>
  <c r="Y157" i="39"/>
  <c r="X157" i="39"/>
  <c r="N157" i="39"/>
  <c r="L157" i="39"/>
  <c r="E459" i="39" s="1"/>
  <c r="K157" i="39"/>
  <c r="D459" i="39" s="1"/>
  <c r="I157" i="39"/>
  <c r="I158" i="39" s="1"/>
  <c r="H446" i="39" s="1"/>
  <c r="AH142" i="39"/>
  <c r="AG142" i="39"/>
  <c r="AF142" i="39"/>
  <c r="AE142" i="39"/>
  <c r="AD142" i="39"/>
  <c r="AH143" i="39" s="1"/>
  <c r="U142" i="39"/>
  <c r="T142" i="39"/>
  <c r="S142" i="39"/>
  <c r="R142" i="39"/>
  <c r="Q142" i="39"/>
  <c r="H142" i="39"/>
  <c r="G142" i="39"/>
  <c r="F142" i="39"/>
  <c r="E142" i="39"/>
  <c r="D142" i="39"/>
  <c r="U141" i="39"/>
  <c r="T141" i="39"/>
  <c r="S141" i="39"/>
  <c r="R141" i="39"/>
  <c r="Q141" i="39"/>
  <c r="H141" i="39"/>
  <c r="G141" i="39"/>
  <c r="F141" i="39"/>
  <c r="E141" i="39"/>
  <c r="D141" i="39"/>
  <c r="U139" i="39"/>
  <c r="T139" i="39"/>
  <c r="S139" i="39"/>
  <c r="R139" i="39"/>
  <c r="Q139" i="39"/>
  <c r="H139" i="39"/>
  <c r="G139" i="39"/>
  <c r="F139" i="39"/>
  <c r="E139" i="39"/>
  <c r="D139" i="39"/>
  <c r="AA138" i="39"/>
  <c r="V138" i="39" s="1"/>
  <c r="V139" i="39" s="1"/>
  <c r="I138" i="39"/>
  <c r="I139" i="39" s="1"/>
  <c r="AH136" i="39"/>
  <c r="AH137" i="39" s="1"/>
  <c r="AG136" i="39"/>
  <c r="AG137" i="39" s="1"/>
  <c r="AF136" i="39"/>
  <c r="AL136" i="39" s="1"/>
  <c r="AL137" i="39" s="1"/>
  <c r="AE136" i="39"/>
  <c r="AE137" i="39" s="1"/>
  <c r="AD136" i="39"/>
  <c r="U136" i="39"/>
  <c r="T136" i="39"/>
  <c r="S136" i="39"/>
  <c r="Y136" i="39" s="1"/>
  <c r="Y137" i="39" s="1"/>
  <c r="R136" i="39"/>
  <c r="Q136" i="39"/>
  <c r="H136" i="39"/>
  <c r="H137" i="39" s="1"/>
  <c r="G136" i="39"/>
  <c r="F136" i="39"/>
  <c r="L136" i="39" s="1"/>
  <c r="L137" i="39" s="1"/>
  <c r="E136" i="39"/>
  <c r="D136" i="39"/>
  <c r="D137" i="39" s="1"/>
  <c r="AH135" i="39"/>
  <c r="AM348" i="39" s="1"/>
  <c r="AG135" i="39"/>
  <c r="AL348" i="39" s="1"/>
  <c r="AF135" i="39"/>
  <c r="AK348" i="39" s="1"/>
  <c r="AE135" i="39"/>
  <c r="AJ348" i="39" s="1"/>
  <c r="AD135" i="39"/>
  <c r="AI348" i="39" s="1"/>
  <c r="W135" i="39"/>
  <c r="U135" i="39"/>
  <c r="Z348" i="39" s="1"/>
  <c r="T135" i="39"/>
  <c r="Y348" i="39" s="1"/>
  <c r="S135" i="39"/>
  <c r="X348" i="39" s="1"/>
  <c r="R135" i="39"/>
  <c r="W348" i="39" s="1"/>
  <c r="Q135" i="39"/>
  <c r="V348" i="39" s="1"/>
  <c r="H135" i="39"/>
  <c r="M348" i="39" s="1"/>
  <c r="G135" i="39"/>
  <c r="L348" i="39" s="1"/>
  <c r="F135" i="39"/>
  <c r="K348" i="39" s="1"/>
  <c r="E135" i="39"/>
  <c r="J348" i="39" s="1"/>
  <c r="D135" i="39"/>
  <c r="I348" i="39" s="1"/>
  <c r="AN134" i="39"/>
  <c r="AL134" i="39"/>
  <c r="AG458" i="39" s="1"/>
  <c r="AK134" i="39"/>
  <c r="AF458" i="39" s="1"/>
  <c r="AJ134" i="39"/>
  <c r="AJ135" i="39" s="1"/>
  <c r="AA134" i="39"/>
  <c r="Y134" i="39"/>
  <c r="T458" i="39" s="1"/>
  <c r="X134" i="39"/>
  <c r="S458" i="39" s="1"/>
  <c r="W134" i="39"/>
  <c r="N134" i="39"/>
  <c r="L134" i="39"/>
  <c r="G458" i="39" s="1"/>
  <c r="K134" i="39"/>
  <c r="F458" i="39" s="1"/>
  <c r="J134" i="39"/>
  <c r="J135" i="39" s="1"/>
  <c r="AH133" i="39"/>
  <c r="AH348" i="39" s="1"/>
  <c r="AG133" i="39"/>
  <c r="AG348" i="39" s="1"/>
  <c r="AF133" i="39"/>
  <c r="AF348" i="39" s="1"/>
  <c r="AE133" i="39"/>
  <c r="AE348" i="39" s="1"/>
  <c r="AD133" i="39"/>
  <c r="AD348" i="39" s="1"/>
  <c r="U133" i="39"/>
  <c r="U348" i="39" s="1"/>
  <c r="T133" i="39"/>
  <c r="T348" i="39" s="1"/>
  <c r="S133" i="39"/>
  <c r="S348" i="39" s="1"/>
  <c r="R133" i="39"/>
  <c r="R348" i="39" s="1"/>
  <c r="Q133" i="39"/>
  <c r="Q348" i="39" s="1"/>
  <c r="H133" i="39"/>
  <c r="H348" i="39" s="1"/>
  <c r="G133" i="39"/>
  <c r="G348" i="39" s="1"/>
  <c r="F133" i="39"/>
  <c r="F348" i="39" s="1"/>
  <c r="E133" i="39"/>
  <c r="D133" i="39"/>
  <c r="D348" i="39" s="1"/>
  <c r="AN132" i="39"/>
  <c r="AI132" i="39" s="1"/>
  <c r="AH458" i="39" s="1"/>
  <c r="AL132" i="39"/>
  <c r="AE458" i="39" s="1"/>
  <c r="AK132" i="39"/>
  <c r="AD458" i="39" s="1"/>
  <c r="AA132" i="39"/>
  <c r="V132" i="39" s="1"/>
  <c r="U458" i="39" s="1"/>
  <c r="Y132" i="39"/>
  <c r="R458" i="39" s="1"/>
  <c r="X132" i="39"/>
  <c r="Q458" i="39" s="1"/>
  <c r="N132" i="39"/>
  <c r="L132" i="39"/>
  <c r="E458" i="39" s="1"/>
  <c r="K132" i="39"/>
  <c r="AH117" i="39"/>
  <c r="AG122" i="39" s="1"/>
  <c r="AG117" i="39"/>
  <c r="AG121" i="39" s="1"/>
  <c r="AF117" i="39"/>
  <c r="AF120" i="39" s="1"/>
  <c r="AE117" i="39"/>
  <c r="AD117" i="39"/>
  <c r="AG118" i="39" s="1"/>
  <c r="U117" i="39"/>
  <c r="T117" i="39"/>
  <c r="S117" i="39"/>
  <c r="R117" i="39"/>
  <c r="Q117" i="39"/>
  <c r="H117" i="39"/>
  <c r="G117" i="39"/>
  <c r="F117" i="39"/>
  <c r="E117" i="39"/>
  <c r="D117" i="39"/>
  <c r="U116" i="39"/>
  <c r="T116" i="39"/>
  <c r="S116" i="39"/>
  <c r="R116" i="39"/>
  <c r="Q116" i="39"/>
  <c r="H116" i="39"/>
  <c r="G116" i="39"/>
  <c r="F116" i="39"/>
  <c r="E116" i="39"/>
  <c r="D116" i="39"/>
  <c r="U114" i="39"/>
  <c r="T114" i="39"/>
  <c r="S114" i="39"/>
  <c r="R114" i="39"/>
  <c r="Q114" i="39"/>
  <c r="H114" i="39"/>
  <c r="G114" i="39"/>
  <c r="F114" i="39"/>
  <c r="E114" i="39"/>
  <c r="D114" i="39"/>
  <c r="AA113" i="39"/>
  <c r="V113" i="39" s="1"/>
  <c r="V114" i="39" s="1"/>
  <c r="I113" i="39"/>
  <c r="I114" i="39" s="1"/>
  <c r="AG112" i="39"/>
  <c r="AF112" i="39"/>
  <c r="AE112" i="39"/>
  <c r="AL111" i="39"/>
  <c r="AL112" i="39" s="1"/>
  <c r="AH111" i="39"/>
  <c r="AG111" i="39"/>
  <c r="AF111" i="39"/>
  <c r="AE111" i="39"/>
  <c r="AD111" i="39"/>
  <c r="U111" i="39"/>
  <c r="T111" i="39"/>
  <c r="S111" i="39"/>
  <c r="S121" i="39" s="1"/>
  <c r="R111" i="39"/>
  <c r="Q111" i="39"/>
  <c r="Q112" i="39" s="1"/>
  <c r="H111" i="39"/>
  <c r="G111" i="39"/>
  <c r="F111" i="39"/>
  <c r="F112" i="39" s="1"/>
  <c r="E111" i="39"/>
  <c r="D111" i="39"/>
  <c r="AH110" i="39"/>
  <c r="AM347" i="39" s="1"/>
  <c r="AG110" i="39"/>
  <c r="AL347" i="39" s="1"/>
  <c r="AF110" i="39"/>
  <c r="AK347" i="39" s="1"/>
  <c r="AE110" i="39"/>
  <c r="AJ347" i="39" s="1"/>
  <c r="AD110" i="39"/>
  <c r="AI347" i="39" s="1"/>
  <c r="U110" i="39"/>
  <c r="Z347" i="39" s="1"/>
  <c r="T110" i="39"/>
  <c r="Y347" i="39" s="1"/>
  <c r="S110" i="39"/>
  <c r="X347" i="39" s="1"/>
  <c r="R110" i="39"/>
  <c r="W347" i="39" s="1"/>
  <c r="Q110" i="39"/>
  <c r="V347" i="39" s="1"/>
  <c r="H110" i="39"/>
  <c r="M347" i="39" s="1"/>
  <c r="G110" i="39"/>
  <c r="L347" i="39" s="1"/>
  <c r="F110" i="39"/>
  <c r="K347" i="39" s="1"/>
  <c r="E110" i="39"/>
  <c r="J347" i="39" s="1"/>
  <c r="D110" i="39"/>
  <c r="I347" i="39" s="1"/>
  <c r="AN109" i="39"/>
  <c r="AL109" i="39"/>
  <c r="AG457" i="39" s="1"/>
  <c r="AK109" i="39"/>
  <c r="AF457" i="39" s="1"/>
  <c r="AJ109" i="39"/>
  <c r="AJ110" i="39" s="1"/>
  <c r="AA109" i="39"/>
  <c r="Y109" i="39"/>
  <c r="T457" i="39" s="1"/>
  <c r="X109" i="39"/>
  <c r="S457" i="39" s="1"/>
  <c r="W109" i="39"/>
  <c r="W110" i="39" s="1"/>
  <c r="N109" i="39"/>
  <c r="N110" i="39" s="1"/>
  <c r="L109" i="39"/>
  <c r="G457" i="39" s="1"/>
  <c r="K109" i="39"/>
  <c r="F457" i="39" s="1"/>
  <c r="J109" i="39"/>
  <c r="J110" i="39" s="1"/>
  <c r="AH108" i="39"/>
  <c r="AH347" i="39" s="1"/>
  <c r="AG108" i="39"/>
  <c r="AG347" i="39" s="1"/>
  <c r="AF108" i="39"/>
  <c r="AF347" i="39" s="1"/>
  <c r="AE108" i="39"/>
  <c r="AE347" i="39" s="1"/>
  <c r="AD108" i="39"/>
  <c r="AD347" i="39" s="1"/>
  <c r="U108" i="39"/>
  <c r="U347" i="39" s="1"/>
  <c r="T108" i="39"/>
  <c r="T347" i="39" s="1"/>
  <c r="S108" i="39"/>
  <c r="S347" i="39" s="1"/>
  <c r="R108" i="39"/>
  <c r="R347" i="39" s="1"/>
  <c r="Q108" i="39"/>
  <c r="Q347" i="39" s="1"/>
  <c r="H108" i="39"/>
  <c r="H347" i="39" s="1"/>
  <c r="G108" i="39"/>
  <c r="G347" i="39" s="1"/>
  <c r="F108" i="39"/>
  <c r="F347" i="39" s="1"/>
  <c r="E108" i="39"/>
  <c r="E347" i="39" s="1"/>
  <c r="D108" i="39"/>
  <c r="D347" i="39" s="1"/>
  <c r="AN107" i="39"/>
  <c r="AL107" i="39"/>
  <c r="AE457" i="39" s="1"/>
  <c r="AK107" i="39"/>
  <c r="AD457" i="39" s="1"/>
  <c r="AA107" i="39"/>
  <c r="V107" i="39" s="1"/>
  <c r="Y107" i="39"/>
  <c r="R457" i="39" s="1"/>
  <c r="X107" i="39"/>
  <c r="Q457" i="39" s="1"/>
  <c r="N107" i="39"/>
  <c r="I107" i="39" s="1"/>
  <c r="L107" i="39"/>
  <c r="E457" i="39" s="1"/>
  <c r="K107" i="39"/>
  <c r="D93" i="39"/>
  <c r="AH92" i="39"/>
  <c r="AG92" i="39"/>
  <c r="AF92" i="39"/>
  <c r="AE92" i="39"/>
  <c r="AH94" i="39" s="1"/>
  <c r="AD92" i="39"/>
  <c r="U92" i="39"/>
  <c r="T92" i="39"/>
  <c r="U96" i="39" s="1"/>
  <c r="S92" i="39"/>
  <c r="R92" i="39"/>
  <c r="U94" i="39" s="1"/>
  <c r="Q92" i="39"/>
  <c r="U93" i="39" s="1"/>
  <c r="H92" i="39"/>
  <c r="G92" i="39"/>
  <c r="D96" i="39" s="1"/>
  <c r="F92" i="39"/>
  <c r="E92" i="39"/>
  <c r="D92" i="39"/>
  <c r="U91" i="39"/>
  <c r="T91" i="39"/>
  <c r="S91" i="39"/>
  <c r="R91" i="39"/>
  <c r="Q91" i="39"/>
  <c r="H91" i="39"/>
  <c r="G91" i="39"/>
  <c r="F91" i="39"/>
  <c r="E91" i="39"/>
  <c r="D91" i="39"/>
  <c r="U89" i="39"/>
  <c r="T89" i="39"/>
  <c r="S89" i="39"/>
  <c r="R89" i="39"/>
  <c r="Q89" i="39"/>
  <c r="H89" i="39"/>
  <c r="G89" i="39"/>
  <c r="F89" i="39"/>
  <c r="E89" i="39"/>
  <c r="D89" i="39"/>
  <c r="AA88" i="39"/>
  <c r="V88" i="39" s="1"/>
  <c r="V89" i="39" s="1"/>
  <c r="I88" i="39"/>
  <c r="I89" i="39" s="1"/>
  <c r="AH86" i="39"/>
  <c r="AH87" i="39" s="1"/>
  <c r="AG86" i="39"/>
  <c r="AF86" i="39"/>
  <c r="AL86" i="39" s="1"/>
  <c r="AL87" i="39" s="1"/>
  <c r="AE86" i="39"/>
  <c r="AD86" i="39"/>
  <c r="AD96" i="39" s="1"/>
  <c r="U86" i="39"/>
  <c r="U87" i="39" s="1"/>
  <c r="T86" i="39"/>
  <c r="S86" i="39"/>
  <c r="R86" i="39"/>
  <c r="R87" i="39" s="1"/>
  <c r="Q86" i="39"/>
  <c r="H86" i="39"/>
  <c r="G86" i="39"/>
  <c r="G97" i="39" s="1"/>
  <c r="F86" i="39"/>
  <c r="F97" i="39" s="1"/>
  <c r="E86" i="39"/>
  <c r="D86" i="39"/>
  <c r="D87" i="39" s="1"/>
  <c r="AH85" i="39"/>
  <c r="AM346" i="39" s="1"/>
  <c r="AG85" i="39"/>
  <c r="AL346" i="39" s="1"/>
  <c r="AF85" i="39"/>
  <c r="AK346" i="39" s="1"/>
  <c r="AE85" i="39"/>
  <c r="AJ346" i="39" s="1"/>
  <c r="AD85" i="39"/>
  <c r="W85" i="39"/>
  <c r="U85" i="39"/>
  <c r="Z346" i="39" s="1"/>
  <c r="T85" i="39"/>
  <c r="Y346" i="39" s="1"/>
  <c r="S85" i="39"/>
  <c r="X346" i="39" s="1"/>
  <c r="R85" i="39"/>
  <c r="W346" i="39" s="1"/>
  <c r="Q85" i="39"/>
  <c r="V346" i="39" s="1"/>
  <c r="H85" i="39"/>
  <c r="M346" i="39" s="1"/>
  <c r="G85" i="39"/>
  <c r="L346" i="39" s="1"/>
  <c r="F85" i="39"/>
  <c r="K346" i="39" s="1"/>
  <c r="E85" i="39"/>
  <c r="D85" i="39"/>
  <c r="I346" i="39" s="1"/>
  <c r="AN84" i="39"/>
  <c r="AL84" i="39"/>
  <c r="AK84" i="39"/>
  <c r="AF456" i="39" s="1"/>
  <c r="AJ84" i="39"/>
  <c r="AJ85" i="39" s="1"/>
  <c r="AA84" i="39"/>
  <c r="Y84" i="39"/>
  <c r="X84" i="39"/>
  <c r="S456" i="39" s="1"/>
  <c r="W84" i="39"/>
  <c r="N84" i="39"/>
  <c r="L84" i="39"/>
  <c r="G456" i="39" s="1"/>
  <c r="K84" i="39"/>
  <c r="F456" i="39" s="1"/>
  <c r="J84" i="39"/>
  <c r="J85" i="39" s="1"/>
  <c r="AH83" i="39"/>
  <c r="AH346" i="39" s="1"/>
  <c r="AG83" i="39"/>
  <c r="AG346" i="39" s="1"/>
  <c r="AF83" i="39"/>
  <c r="AF346" i="39" s="1"/>
  <c r="AE83" i="39"/>
  <c r="AE346" i="39" s="1"/>
  <c r="AD83" i="39"/>
  <c r="AD346" i="39" s="1"/>
  <c r="U83" i="39"/>
  <c r="U346" i="39" s="1"/>
  <c r="T83" i="39"/>
  <c r="T346" i="39" s="1"/>
  <c r="S83" i="39"/>
  <c r="S346" i="39" s="1"/>
  <c r="R83" i="39"/>
  <c r="R346" i="39" s="1"/>
  <c r="Q83" i="39"/>
  <c r="H83" i="39"/>
  <c r="H346" i="39" s="1"/>
  <c r="G83" i="39"/>
  <c r="G346" i="39" s="1"/>
  <c r="F83" i="39"/>
  <c r="F346" i="39" s="1"/>
  <c r="E83" i="39"/>
  <c r="E346" i="39" s="1"/>
  <c r="D83" i="39"/>
  <c r="D346" i="39" s="1"/>
  <c r="AN82" i="39"/>
  <c r="AI82" i="39" s="1"/>
  <c r="AL82" i="39"/>
  <c r="AE456" i="39" s="1"/>
  <c r="AK82" i="39"/>
  <c r="AA82" i="39"/>
  <c r="V82" i="39" s="1"/>
  <c r="Y82" i="39"/>
  <c r="R456" i="39" s="1"/>
  <c r="X82" i="39"/>
  <c r="Q456" i="39" s="1"/>
  <c r="N82" i="39"/>
  <c r="L82" i="39"/>
  <c r="E456" i="39" s="1"/>
  <c r="K82" i="39"/>
  <c r="D456" i="39" s="1"/>
  <c r="I82" i="39"/>
  <c r="H456" i="39" s="1"/>
  <c r="AH67" i="39"/>
  <c r="AD72" i="39" s="1"/>
  <c r="AG67" i="39"/>
  <c r="AF67" i="39"/>
  <c r="AE67" i="39"/>
  <c r="AD67" i="39"/>
  <c r="U67" i="39"/>
  <c r="T67" i="39"/>
  <c r="S67" i="39"/>
  <c r="R67" i="39"/>
  <c r="Q67" i="39"/>
  <c r="H67" i="39"/>
  <c r="G67" i="39"/>
  <c r="F67" i="39"/>
  <c r="E67" i="39"/>
  <c r="D67" i="39"/>
  <c r="U66" i="39"/>
  <c r="T66" i="39"/>
  <c r="S66" i="39"/>
  <c r="R66" i="39"/>
  <c r="Q66" i="39"/>
  <c r="H66" i="39"/>
  <c r="G66" i="39"/>
  <c r="F66" i="39"/>
  <c r="E66" i="39"/>
  <c r="D66" i="39"/>
  <c r="U64" i="39"/>
  <c r="T64" i="39"/>
  <c r="S64" i="39"/>
  <c r="R64" i="39"/>
  <c r="Q64" i="39"/>
  <c r="H64" i="39"/>
  <c r="G64" i="39"/>
  <c r="F64" i="39"/>
  <c r="E64" i="39"/>
  <c r="D64" i="39"/>
  <c r="AA63" i="39"/>
  <c r="V63" i="39" s="1"/>
  <c r="V64" i="39" s="1"/>
  <c r="I63" i="39"/>
  <c r="I64" i="39" s="1"/>
  <c r="AH61" i="39"/>
  <c r="AG61" i="39"/>
  <c r="AF61" i="39"/>
  <c r="AF62" i="39" s="1"/>
  <c r="AE61" i="39"/>
  <c r="AE70" i="39" s="1"/>
  <c r="AD61" i="39"/>
  <c r="U61" i="39"/>
  <c r="T61" i="39"/>
  <c r="T69" i="39" s="1"/>
  <c r="S61" i="39"/>
  <c r="Y61" i="39" s="1"/>
  <c r="Y62" i="39" s="1"/>
  <c r="R61" i="39"/>
  <c r="Q61" i="39"/>
  <c r="H61" i="39"/>
  <c r="G61" i="39"/>
  <c r="F61" i="39"/>
  <c r="L61" i="39" s="1"/>
  <c r="L62" i="39" s="1"/>
  <c r="E61" i="39"/>
  <c r="E68" i="39" s="1"/>
  <c r="D61" i="39"/>
  <c r="AH60" i="39"/>
  <c r="AM345" i="39" s="1"/>
  <c r="AG60" i="39"/>
  <c r="AL345" i="39" s="1"/>
  <c r="AF60" i="39"/>
  <c r="AK345" i="39" s="1"/>
  <c r="AE60" i="39"/>
  <c r="AD60" i="39"/>
  <c r="AI345" i="39" s="1"/>
  <c r="U60" i="39"/>
  <c r="Z345" i="39" s="1"/>
  <c r="T60" i="39"/>
  <c r="Y345" i="39" s="1"/>
  <c r="S60" i="39"/>
  <c r="X345" i="39" s="1"/>
  <c r="R60" i="39"/>
  <c r="W345" i="39" s="1"/>
  <c r="Q60" i="39"/>
  <c r="V345" i="39" s="1"/>
  <c r="H60" i="39"/>
  <c r="M345" i="39" s="1"/>
  <c r="G60" i="39"/>
  <c r="L345" i="39" s="1"/>
  <c r="F60" i="39"/>
  <c r="K345" i="39" s="1"/>
  <c r="E60" i="39"/>
  <c r="J345" i="39" s="1"/>
  <c r="D60" i="39"/>
  <c r="AN59" i="39"/>
  <c r="AL59" i="39"/>
  <c r="AG455" i="39" s="1"/>
  <c r="AK59" i="39"/>
  <c r="AF455" i="39" s="1"/>
  <c r="AJ59" i="39"/>
  <c r="AJ60" i="39" s="1"/>
  <c r="AA59" i="39"/>
  <c r="Y59" i="39"/>
  <c r="X59" i="39"/>
  <c r="W59" i="39"/>
  <c r="W60" i="39" s="1"/>
  <c r="N59" i="39"/>
  <c r="L59" i="39"/>
  <c r="G455" i="39" s="1"/>
  <c r="K59" i="39"/>
  <c r="J59" i="39"/>
  <c r="J60" i="39" s="1"/>
  <c r="AH58" i="39"/>
  <c r="AH345" i="39" s="1"/>
  <c r="AG58" i="39"/>
  <c r="AG345" i="39" s="1"/>
  <c r="AF58" i="39"/>
  <c r="AF345" i="39" s="1"/>
  <c r="AE58" i="39"/>
  <c r="AE345" i="39" s="1"/>
  <c r="AD58" i="39"/>
  <c r="AD345" i="39" s="1"/>
  <c r="U58" i="39"/>
  <c r="U345" i="39" s="1"/>
  <c r="T58" i="39"/>
  <c r="T345" i="39" s="1"/>
  <c r="S58" i="39"/>
  <c r="S345" i="39" s="1"/>
  <c r="R58" i="39"/>
  <c r="R345" i="39" s="1"/>
  <c r="Q58" i="39"/>
  <c r="Q345" i="39" s="1"/>
  <c r="L58" i="39"/>
  <c r="E442" i="39" s="1"/>
  <c r="H58" i="39"/>
  <c r="H345" i="39" s="1"/>
  <c r="G58" i="39"/>
  <c r="G345" i="39" s="1"/>
  <c r="F58" i="39"/>
  <c r="F345" i="39" s="1"/>
  <c r="E58" i="39"/>
  <c r="E345" i="39" s="1"/>
  <c r="D58" i="39"/>
  <c r="D345" i="39" s="1"/>
  <c r="AN57" i="39"/>
  <c r="AI57" i="39" s="1"/>
  <c r="AL57" i="39"/>
  <c r="AK57" i="39"/>
  <c r="AA57" i="39"/>
  <c r="Y57" i="39"/>
  <c r="X57" i="39"/>
  <c r="N57" i="39"/>
  <c r="I57" i="39" s="1"/>
  <c r="I58" i="39" s="1"/>
  <c r="L57" i="39"/>
  <c r="E455" i="39" s="1"/>
  <c r="K57" i="39"/>
  <c r="D455" i="39" s="1"/>
  <c r="AH42" i="39"/>
  <c r="AE47" i="39" s="1"/>
  <c r="AG42" i="39"/>
  <c r="AF42" i="39"/>
  <c r="AE42" i="39"/>
  <c r="AD42" i="39"/>
  <c r="U42" i="39"/>
  <c r="T42" i="39"/>
  <c r="R46" i="39" s="1"/>
  <c r="S42" i="39"/>
  <c r="R42" i="39"/>
  <c r="Q42" i="39"/>
  <c r="H42" i="39"/>
  <c r="G42" i="39"/>
  <c r="F42" i="39"/>
  <c r="E42" i="39"/>
  <c r="D42" i="39"/>
  <c r="U41" i="39"/>
  <c r="T41" i="39"/>
  <c r="S41" i="39"/>
  <c r="R41" i="39"/>
  <c r="Q41" i="39"/>
  <c r="H41" i="39"/>
  <c r="G41" i="39"/>
  <c r="F41" i="39"/>
  <c r="E41" i="39"/>
  <c r="D41" i="39"/>
  <c r="U39" i="39"/>
  <c r="T39" i="39"/>
  <c r="S39" i="39"/>
  <c r="R39" i="39"/>
  <c r="Q39" i="39"/>
  <c r="H39" i="39"/>
  <c r="G39" i="39"/>
  <c r="F39" i="39"/>
  <c r="E39" i="39"/>
  <c r="D39" i="39"/>
  <c r="AA38" i="39"/>
  <c r="V38" i="39" s="1"/>
  <c r="V39" i="39" s="1"/>
  <c r="I38" i="39"/>
  <c r="I39" i="39" s="1"/>
  <c r="AH36" i="39"/>
  <c r="AG36" i="39"/>
  <c r="AF36" i="39"/>
  <c r="AE36" i="39"/>
  <c r="AD36" i="39"/>
  <c r="AD37" i="39" s="1"/>
  <c r="U36" i="39"/>
  <c r="T36" i="39"/>
  <c r="T37" i="39" s="1"/>
  <c r="S36" i="39"/>
  <c r="R36" i="39"/>
  <c r="R37" i="39" s="1"/>
  <c r="Q36" i="39"/>
  <c r="H36" i="39"/>
  <c r="H37" i="39" s="1"/>
  <c r="G36" i="39"/>
  <c r="F36" i="39"/>
  <c r="E36" i="39"/>
  <c r="D36" i="39"/>
  <c r="D43" i="39" s="1"/>
  <c r="AH35" i="39"/>
  <c r="AM344" i="39" s="1"/>
  <c r="AG35" i="39"/>
  <c r="AL344" i="39" s="1"/>
  <c r="AF35" i="39"/>
  <c r="AK344" i="39" s="1"/>
  <c r="AE35" i="39"/>
  <c r="AJ344" i="39" s="1"/>
  <c r="AD35" i="39"/>
  <c r="AI344" i="39" s="1"/>
  <c r="U35" i="39"/>
  <c r="Z344" i="39" s="1"/>
  <c r="T35" i="39"/>
  <c r="Y344" i="39" s="1"/>
  <c r="S35" i="39"/>
  <c r="X344" i="39" s="1"/>
  <c r="R35" i="39"/>
  <c r="W344" i="39" s="1"/>
  <c r="Q35" i="39"/>
  <c r="V344" i="39" s="1"/>
  <c r="H35" i="39"/>
  <c r="M344" i="39" s="1"/>
  <c r="G35" i="39"/>
  <c r="L344" i="39" s="1"/>
  <c r="F35" i="39"/>
  <c r="K344" i="39" s="1"/>
  <c r="E35" i="39"/>
  <c r="J344" i="39" s="1"/>
  <c r="D35" i="39"/>
  <c r="I344" i="39" s="1"/>
  <c r="AN34" i="39"/>
  <c r="AL34" i="39"/>
  <c r="AG454" i="39" s="1"/>
  <c r="AK34" i="39"/>
  <c r="AF454" i="39" s="1"/>
  <c r="AJ34" i="39"/>
  <c r="AJ35" i="39" s="1"/>
  <c r="AA34" i="39"/>
  <c r="Y34" i="39"/>
  <c r="T454" i="39" s="1"/>
  <c r="X34" i="39"/>
  <c r="S454" i="39" s="1"/>
  <c r="W34" i="39"/>
  <c r="W35" i="39" s="1"/>
  <c r="N34" i="39"/>
  <c r="N35" i="39" s="1"/>
  <c r="L34" i="39"/>
  <c r="G454" i="39" s="1"/>
  <c r="K34" i="39"/>
  <c r="F454" i="39" s="1"/>
  <c r="J34" i="39"/>
  <c r="J35" i="39" s="1"/>
  <c r="AL33" i="39"/>
  <c r="AE441" i="39" s="1"/>
  <c r="AK33" i="39"/>
  <c r="AD441" i="39" s="1"/>
  <c r="AH33" i="39"/>
  <c r="AH344" i="39" s="1"/>
  <c r="AG33" i="39"/>
  <c r="AG344" i="39" s="1"/>
  <c r="AF33" i="39"/>
  <c r="AF344" i="39" s="1"/>
  <c r="AE33" i="39"/>
  <c r="AE344" i="39" s="1"/>
  <c r="AD33" i="39"/>
  <c r="AD344" i="39" s="1"/>
  <c r="U33" i="39"/>
  <c r="U344" i="39" s="1"/>
  <c r="T33" i="39"/>
  <c r="T344" i="39" s="1"/>
  <c r="S33" i="39"/>
  <c r="S344" i="39" s="1"/>
  <c r="R33" i="39"/>
  <c r="R344" i="39" s="1"/>
  <c r="Q33" i="39"/>
  <c r="Q344" i="39" s="1"/>
  <c r="H33" i="39"/>
  <c r="H344" i="39" s="1"/>
  <c r="G33" i="39"/>
  <c r="G344" i="39" s="1"/>
  <c r="F33" i="39"/>
  <c r="F344" i="39" s="1"/>
  <c r="E33" i="39"/>
  <c r="E344" i="39" s="1"/>
  <c r="D33" i="39"/>
  <c r="D344" i="39" s="1"/>
  <c r="AN32" i="39"/>
  <c r="AI32" i="39" s="1"/>
  <c r="AH454" i="39" s="1"/>
  <c r="AL32" i="39"/>
  <c r="AE454" i="39" s="1"/>
  <c r="AK32" i="39"/>
  <c r="AD454" i="39" s="1"/>
  <c r="AA32" i="39"/>
  <c r="V32" i="39" s="1"/>
  <c r="U454" i="39" s="1"/>
  <c r="Y32" i="39"/>
  <c r="R454" i="39" s="1"/>
  <c r="X32" i="39"/>
  <c r="Q454" i="39" s="1"/>
  <c r="N32" i="39"/>
  <c r="L32" i="39"/>
  <c r="E454" i="39" s="1"/>
  <c r="K32" i="39"/>
  <c r="D454" i="39" s="1"/>
  <c r="I32" i="39"/>
  <c r="H454" i="39" s="1"/>
  <c r="AH17" i="39"/>
  <c r="AG17" i="39"/>
  <c r="AG21" i="39" s="1"/>
  <c r="AF17" i="39"/>
  <c r="AE17" i="39"/>
  <c r="AD17" i="39"/>
  <c r="U17" i="39"/>
  <c r="T17" i="39"/>
  <c r="S17" i="39"/>
  <c r="R17" i="39"/>
  <c r="Q17" i="39"/>
  <c r="V17" i="39" s="1"/>
  <c r="H17" i="39"/>
  <c r="G17" i="39"/>
  <c r="F17" i="39"/>
  <c r="E17" i="39"/>
  <c r="U16" i="39"/>
  <c r="T16" i="39"/>
  <c r="S16" i="39"/>
  <c r="R16" i="39"/>
  <c r="Q16" i="39"/>
  <c r="H16" i="39"/>
  <c r="G16" i="39"/>
  <c r="F16" i="39"/>
  <c r="E16" i="39"/>
  <c r="D16" i="39"/>
  <c r="U14" i="39"/>
  <c r="T14" i="39"/>
  <c r="S14" i="39"/>
  <c r="R14" i="39"/>
  <c r="Q14" i="39"/>
  <c r="H14" i="39"/>
  <c r="G14" i="39"/>
  <c r="F14" i="39"/>
  <c r="E14" i="39"/>
  <c r="D14" i="39"/>
  <c r="AA13" i="39"/>
  <c r="V13" i="39"/>
  <c r="V14" i="39" s="1"/>
  <c r="I14" i="39"/>
  <c r="F12" i="39"/>
  <c r="AH11" i="39"/>
  <c r="AG11" i="39"/>
  <c r="AF11" i="39"/>
  <c r="AE11" i="39"/>
  <c r="AD11" i="39"/>
  <c r="U11" i="39"/>
  <c r="T11" i="39"/>
  <c r="T12" i="39" s="1"/>
  <c r="S11" i="39"/>
  <c r="S12" i="39" s="1"/>
  <c r="R11" i="39"/>
  <c r="R12" i="39" s="1"/>
  <c r="Q11" i="39"/>
  <c r="Q22" i="39" s="1"/>
  <c r="H11" i="39"/>
  <c r="G11" i="39"/>
  <c r="G12" i="39" s="1"/>
  <c r="F11" i="39"/>
  <c r="E11" i="39"/>
  <c r="D11" i="39"/>
  <c r="D19" i="39" s="1"/>
  <c r="AH10" i="39"/>
  <c r="AM343" i="39" s="1"/>
  <c r="AG10" i="39"/>
  <c r="AL343" i="39" s="1"/>
  <c r="AF10" i="39"/>
  <c r="AK343" i="39" s="1"/>
  <c r="AE10" i="39"/>
  <c r="AJ343" i="39" s="1"/>
  <c r="AD10" i="39"/>
  <c r="AI343" i="39" s="1"/>
  <c r="U10" i="39"/>
  <c r="T10" i="39"/>
  <c r="S10" i="39"/>
  <c r="R10" i="39"/>
  <c r="Q10" i="39"/>
  <c r="H10" i="39"/>
  <c r="M343" i="39" s="1"/>
  <c r="G10" i="39"/>
  <c r="L343" i="39" s="1"/>
  <c r="F10" i="39"/>
  <c r="K343" i="39" s="1"/>
  <c r="E10" i="39"/>
  <c r="J343" i="39" s="1"/>
  <c r="D10" i="39"/>
  <c r="I343" i="39" s="1"/>
  <c r="AN9" i="39"/>
  <c r="AN10" i="39" s="1"/>
  <c r="AL9" i="39"/>
  <c r="AG453" i="39" s="1"/>
  <c r="AK9" i="39"/>
  <c r="AF453" i="39" s="1"/>
  <c r="AJ9" i="39"/>
  <c r="AJ10" i="39" s="1"/>
  <c r="AA9" i="39"/>
  <c r="Y9" i="39"/>
  <c r="X9" i="39"/>
  <c r="W9" i="39"/>
  <c r="W10" i="39" s="1"/>
  <c r="N9" i="39"/>
  <c r="L9" i="39"/>
  <c r="G453" i="39" s="1"/>
  <c r="K9" i="39"/>
  <c r="F453" i="39" s="1"/>
  <c r="J9" i="39"/>
  <c r="J10" i="39" s="1"/>
  <c r="AK8" i="39"/>
  <c r="AD440" i="39" s="1"/>
  <c r="AH8" i="39"/>
  <c r="AH343" i="39" s="1"/>
  <c r="AG8" i="39"/>
  <c r="AG343" i="39" s="1"/>
  <c r="AF8" i="39"/>
  <c r="AF343" i="39" s="1"/>
  <c r="AE8" i="39"/>
  <c r="AE343" i="39" s="1"/>
  <c r="AD8" i="39"/>
  <c r="AD343" i="39" s="1"/>
  <c r="U8" i="39"/>
  <c r="T8" i="39"/>
  <c r="S8" i="39"/>
  <c r="R8" i="39"/>
  <c r="Q8" i="39"/>
  <c r="H8" i="39"/>
  <c r="H343" i="39" s="1"/>
  <c r="G8" i="39"/>
  <c r="G343" i="39" s="1"/>
  <c r="F8" i="39"/>
  <c r="F343" i="39" s="1"/>
  <c r="E8" i="39"/>
  <c r="E343" i="39" s="1"/>
  <c r="D8" i="39"/>
  <c r="D343" i="39" s="1"/>
  <c r="AN7" i="39"/>
  <c r="AL7" i="39"/>
  <c r="AE453" i="39" s="1"/>
  <c r="AK7" i="39"/>
  <c r="AD453" i="39" s="1"/>
  <c r="AA7" i="39"/>
  <c r="V7" i="39" s="1"/>
  <c r="U453" i="39" s="1"/>
  <c r="Y7" i="39"/>
  <c r="X7" i="39"/>
  <c r="L7" i="39"/>
  <c r="E453" i="39" s="1"/>
  <c r="K7" i="39"/>
  <c r="D453" i="39" s="1"/>
  <c r="X260" i="39" l="1"/>
  <c r="S450" i="39" s="1"/>
  <c r="U221" i="39"/>
  <c r="S197" i="39"/>
  <c r="Q143" i="39"/>
  <c r="Q118" i="39"/>
  <c r="U97" i="39"/>
  <c r="X85" i="39"/>
  <c r="S443" i="39" s="1"/>
  <c r="T71" i="39"/>
  <c r="X35" i="39"/>
  <c r="S441" i="39" s="1"/>
  <c r="AH270" i="39"/>
  <c r="AH271" i="39"/>
  <c r="AG268" i="39"/>
  <c r="AG272" i="39"/>
  <c r="AF262" i="39"/>
  <c r="AF303" i="39" s="1"/>
  <c r="AE272" i="39"/>
  <c r="AK258" i="39"/>
  <c r="AD450" i="39" s="1"/>
  <c r="AE268" i="39"/>
  <c r="AF270" i="39"/>
  <c r="AE270" i="39"/>
  <c r="AG270" i="39"/>
  <c r="AG271" i="39"/>
  <c r="AE243" i="39"/>
  <c r="AH244" i="39"/>
  <c r="AG247" i="39"/>
  <c r="AH245" i="39"/>
  <c r="AG237" i="39"/>
  <c r="AG289" i="39" s="1"/>
  <c r="AG246" i="39"/>
  <c r="AL236" i="39"/>
  <c r="AL237" i="39" s="1"/>
  <c r="AF245" i="39"/>
  <c r="AF247" i="39"/>
  <c r="AN235" i="39"/>
  <c r="AI242" i="39"/>
  <c r="AG244" i="39"/>
  <c r="AD243" i="39"/>
  <c r="AE245" i="39"/>
  <c r="AE244" i="39"/>
  <c r="AK210" i="39"/>
  <c r="AF448" i="39" s="1"/>
  <c r="AE220" i="39"/>
  <c r="AI217" i="39"/>
  <c r="AD220" i="39"/>
  <c r="AF220" i="39"/>
  <c r="AN210" i="39"/>
  <c r="AE218" i="39"/>
  <c r="AD219" i="39"/>
  <c r="AE219" i="39"/>
  <c r="AE222" i="39"/>
  <c r="AF219" i="39"/>
  <c r="AG219" i="39"/>
  <c r="AH219" i="39"/>
  <c r="AL185" i="39"/>
  <c r="AH193" i="39"/>
  <c r="AH194" i="39"/>
  <c r="AG187" i="39"/>
  <c r="AG300" i="39" s="1"/>
  <c r="AE196" i="39"/>
  <c r="AN185" i="39"/>
  <c r="AL183" i="39"/>
  <c r="AE447" i="39" s="1"/>
  <c r="AF194" i="39"/>
  <c r="AD194" i="39"/>
  <c r="AH196" i="39"/>
  <c r="AI192" i="39"/>
  <c r="AH172" i="39"/>
  <c r="AK160" i="39"/>
  <c r="AF446" i="39" s="1"/>
  <c r="AG170" i="39"/>
  <c r="AN160" i="39"/>
  <c r="AL160" i="39"/>
  <c r="AH168" i="39"/>
  <c r="AK161" i="39"/>
  <c r="AK162" i="39" s="1"/>
  <c r="AG168" i="39"/>
  <c r="AG172" i="39"/>
  <c r="AH171" i="39"/>
  <c r="AI157" i="39"/>
  <c r="AI158" i="39" s="1"/>
  <c r="AF169" i="39"/>
  <c r="AD169" i="39"/>
  <c r="AE169" i="39"/>
  <c r="AF172" i="39"/>
  <c r="AK158" i="39"/>
  <c r="AD446" i="39" s="1"/>
  <c r="AH145" i="39"/>
  <c r="AH146" i="39"/>
  <c r="AH147" i="39"/>
  <c r="AK133" i="39"/>
  <c r="AD445" i="39" s="1"/>
  <c r="AD145" i="39"/>
  <c r="AF137" i="39"/>
  <c r="AF144" i="39"/>
  <c r="AL133" i="39"/>
  <c r="AE445" i="39" s="1"/>
  <c r="AE143" i="39"/>
  <c r="AE147" i="39"/>
  <c r="AH144" i="39"/>
  <c r="AH148" i="39" s="1"/>
  <c r="AN135" i="39"/>
  <c r="AE146" i="39"/>
  <c r="AF145" i="39"/>
  <c r="AI142" i="39"/>
  <c r="AF143" i="39"/>
  <c r="AF146" i="39"/>
  <c r="AG144" i="39"/>
  <c r="AD144" i="39"/>
  <c r="AE144" i="39"/>
  <c r="AL110" i="39"/>
  <c r="AK110" i="39"/>
  <c r="AF444" i="39" s="1"/>
  <c r="AL108" i="39"/>
  <c r="AE444" i="39" s="1"/>
  <c r="AD120" i="39"/>
  <c r="AG120" i="39"/>
  <c r="AE120" i="39"/>
  <c r="AD118" i="39"/>
  <c r="AK85" i="39"/>
  <c r="AF443" i="39" s="1"/>
  <c r="AK60" i="39"/>
  <c r="AF442" i="39" s="1"/>
  <c r="AK61" i="39"/>
  <c r="AK62" i="39" s="1"/>
  <c r="AH69" i="39"/>
  <c r="AG71" i="39"/>
  <c r="AG72" i="39"/>
  <c r="AI67" i="39"/>
  <c r="AF69" i="39"/>
  <c r="AL61" i="39"/>
  <c r="AL62" i="39" s="1"/>
  <c r="AF70" i="39"/>
  <c r="AN60" i="39"/>
  <c r="AD68" i="39"/>
  <c r="AD69" i="39"/>
  <c r="AG68" i="39"/>
  <c r="AD46" i="39"/>
  <c r="AN35" i="39"/>
  <c r="AE44" i="39"/>
  <c r="AF45" i="39"/>
  <c r="AG44" i="39"/>
  <c r="AH44" i="39"/>
  <c r="AK10" i="39"/>
  <c r="AF440" i="39" s="1"/>
  <c r="AD20" i="39"/>
  <c r="AF19" i="39"/>
  <c r="AG19" i="39"/>
  <c r="AH19" i="39"/>
  <c r="AG12" i="39"/>
  <c r="AG280" i="39" s="1"/>
  <c r="AL11" i="39"/>
  <c r="AL12" i="39" s="1"/>
  <c r="AE20" i="39"/>
  <c r="AE97" i="39"/>
  <c r="AG97" i="39"/>
  <c r="AD95" i="39"/>
  <c r="AE95" i="39"/>
  <c r="AG95" i="39"/>
  <c r="AE96" i="39"/>
  <c r="AE93" i="39"/>
  <c r="AK11" i="39"/>
  <c r="AK12" i="39" s="1"/>
  <c r="AH21" i="39"/>
  <c r="AF12" i="39"/>
  <c r="AF280" i="39" s="1"/>
  <c r="AH18" i="39"/>
  <c r="AH12" i="39"/>
  <c r="AH280" i="39" s="1"/>
  <c r="AH20" i="39"/>
  <c r="AD22" i="39"/>
  <c r="AD18" i="39"/>
  <c r="AL10" i="39"/>
  <c r="AF20" i="39"/>
  <c r="AE21" i="39"/>
  <c r="AE46" i="39"/>
  <c r="AH47" i="39"/>
  <c r="AH45" i="39"/>
  <c r="AH46" i="39"/>
  <c r="AG47" i="39"/>
  <c r="AG43" i="39"/>
  <c r="AH43" i="39"/>
  <c r="AF44" i="39"/>
  <c r="AG37" i="39"/>
  <c r="AG294" i="39" s="1"/>
  <c r="AH37" i="39"/>
  <c r="AE45" i="39"/>
  <c r="H243" i="39"/>
  <c r="F237" i="39"/>
  <c r="F302" i="39" s="1"/>
  <c r="L210" i="39"/>
  <c r="G448" i="39" s="1"/>
  <c r="K185" i="39"/>
  <c r="F447" i="39" s="1"/>
  <c r="E170" i="39"/>
  <c r="E62" i="39"/>
  <c r="E70" i="39"/>
  <c r="E71" i="39"/>
  <c r="E72" i="39"/>
  <c r="L35" i="39"/>
  <c r="G441" i="39" s="1"/>
  <c r="E21" i="39"/>
  <c r="V267" i="39"/>
  <c r="Y258" i="39"/>
  <c r="R450" i="39" s="1"/>
  <c r="U271" i="39"/>
  <c r="Q272" i="39"/>
  <c r="S272" i="39"/>
  <c r="Q269" i="39"/>
  <c r="T269" i="39"/>
  <c r="X258" i="39"/>
  <c r="Q450" i="39" s="1"/>
  <c r="AA260" i="39"/>
  <c r="R271" i="39"/>
  <c r="I267" i="39"/>
  <c r="G269" i="39"/>
  <c r="D269" i="39"/>
  <c r="F271" i="39"/>
  <c r="G270" i="39"/>
  <c r="G272" i="39"/>
  <c r="D262" i="39"/>
  <c r="D303" i="39" s="1"/>
  <c r="T245" i="39"/>
  <c r="Y236" i="39"/>
  <c r="Y237" i="39" s="1"/>
  <c r="S244" i="39"/>
  <c r="AA235" i="39"/>
  <c r="Q243" i="39"/>
  <c r="H244" i="39"/>
  <c r="E245" i="39"/>
  <c r="I242" i="39"/>
  <c r="F245" i="39"/>
  <c r="G247" i="39"/>
  <c r="H246" i="39"/>
  <c r="U218" i="39"/>
  <c r="T219" i="39"/>
  <c r="U220" i="39"/>
  <c r="AA210" i="39"/>
  <c r="Q221" i="39"/>
  <c r="R221" i="39"/>
  <c r="T220" i="39"/>
  <c r="K211" i="39"/>
  <c r="K212" i="39" s="1"/>
  <c r="G212" i="39"/>
  <c r="G288" i="39" s="1"/>
  <c r="E222" i="39"/>
  <c r="N210" i="39"/>
  <c r="H222" i="39"/>
  <c r="E220" i="39"/>
  <c r="E221" i="39"/>
  <c r="E218" i="39"/>
  <c r="H221" i="39"/>
  <c r="I217" i="39"/>
  <c r="D219" i="39"/>
  <c r="E219" i="39"/>
  <c r="X183" i="39"/>
  <c r="Q447" i="39" s="1"/>
  <c r="AA185" i="39"/>
  <c r="Q195" i="39"/>
  <c r="E197" i="39"/>
  <c r="F196" i="39"/>
  <c r="G197" i="39"/>
  <c r="L183" i="39"/>
  <c r="E447" i="39" s="1"/>
  <c r="F197" i="39"/>
  <c r="L186" i="39"/>
  <c r="L187" i="39" s="1"/>
  <c r="G187" i="39"/>
  <c r="F194" i="39"/>
  <c r="N185" i="39"/>
  <c r="T169" i="39"/>
  <c r="U172" i="39"/>
  <c r="S170" i="39"/>
  <c r="G171" i="39"/>
  <c r="N160" i="39"/>
  <c r="E168" i="39"/>
  <c r="K158" i="39"/>
  <c r="D446" i="39" s="1"/>
  <c r="D168" i="39"/>
  <c r="F172" i="39"/>
  <c r="G170" i="39"/>
  <c r="H171" i="39"/>
  <c r="AA135" i="39"/>
  <c r="R144" i="39"/>
  <c r="S145" i="39"/>
  <c r="Y133" i="39"/>
  <c r="R445" i="39" s="1"/>
  <c r="Q147" i="39"/>
  <c r="X133" i="39"/>
  <c r="Q445" i="39" s="1"/>
  <c r="H147" i="39"/>
  <c r="D147" i="39"/>
  <c r="F147" i="39"/>
  <c r="E147" i="39"/>
  <c r="G147" i="39"/>
  <c r="U120" i="39"/>
  <c r="S118" i="39"/>
  <c r="S122" i="39"/>
  <c r="X108" i="39"/>
  <c r="Q444" i="39" s="1"/>
  <c r="V117" i="39"/>
  <c r="AA110" i="39"/>
  <c r="Q120" i="39"/>
  <c r="D119" i="39"/>
  <c r="E120" i="39"/>
  <c r="G122" i="39"/>
  <c r="H122" i="39"/>
  <c r="Y83" i="39"/>
  <c r="R443" i="39" s="1"/>
  <c r="T96" i="39"/>
  <c r="Q96" i="39"/>
  <c r="S97" i="39"/>
  <c r="Q94" i="39"/>
  <c r="S95" i="39"/>
  <c r="T95" i="39"/>
  <c r="U95" i="39"/>
  <c r="Q93" i="39"/>
  <c r="S93" i="39"/>
  <c r="G87" i="39"/>
  <c r="L83" i="39"/>
  <c r="E443" i="39" s="1"/>
  <c r="G95" i="39"/>
  <c r="I92" i="39"/>
  <c r="G96" i="39"/>
  <c r="N85" i="39"/>
  <c r="G93" i="39"/>
  <c r="E95" i="39"/>
  <c r="R71" i="39"/>
  <c r="U70" i="39"/>
  <c r="V67" i="39"/>
  <c r="S68" i="39"/>
  <c r="Q72" i="39"/>
  <c r="K58" i="39"/>
  <c r="D442" i="39" s="1"/>
  <c r="D70" i="39"/>
  <c r="H70" i="39"/>
  <c r="K61" i="39"/>
  <c r="K62" i="39" s="1"/>
  <c r="N60" i="39"/>
  <c r="AA35" i="39"/>
  <c r="T43" i="39"/>
  <c r="Y33" i="39"/>
  <c r="R441" i="39" s="1"/>
  <c r="T44" i="39"/>
  <c r="Q46" i="39"/>
  <c r="S44" i="39"/>
  <c r="U44" i="39"/>
  <c r="L33" i="39"/>
  <c r="E441" i="39" s="1"/>
  <c r="G43" i="39"/>
  <c r="D46" i="39"/>
  <c r="D47" i="39"/>
  <c r="I42" i="39"/>
  <c r="E46" i="39"/>
  <c r="F47" i="39"/>
  <c r="G44" i="39"/>
  <c r="D37" i="39"/>
  <c r="D294" i="39" s="1"/>
  <c r="H45" i="39"/>
  <c r="Q262" i="39"/>
  <c r="Q303" i="39" s="1"/>
  <c r="Q270" i="39"/>
  <c r="Y261" i="39"/>
  <c r="Y262" i="39" s="1"/>
  <c r="R268" i="39"/>
  <c r="R272" i="39"/>
  <c r="T244" i="39"/>
  <c r="T212" i="39"/>
  <c r="Q220" i="39"/>
  <c r="S220" i="39"/>
  <c r="Q218" i="39"/>
  <c r="S221" i="39"/>
  <c r="S218" i="39"/>
  <c r="T221" i="39"/>
  <c r="S212" i="39"/>
  <c r="X185" i="39"/>
  <c r="S447" i="39" s="1"/>
  <c r="Q193" i="39"/>
  <c r="Y185" i="39"/>
  <c r="Q311" i="39" s="1"/>
  <c r="S193" i="39"/>
  <c r="U193" i="39"/>
  <c r="Q197" i="39"/>
  <c r="U195" i="39"/>
  <c r="U197" i="39"/>
  <c r="R187" i="39"/>
  <c r="R287" i="39" s="1"/>
  <c r="Q194" i="39"/>
  <c r="U187" i="39"/>
  <c r="U300" i="39" s="1"/>
  <c r="X186" i="39"/>
  <c r="X187" i="39" s="1"/>
  <c r="R162" i="39"/>
  <c r="R299" i="39" s="1"/>
  <c r="Q171" i="39"/>
  <c r="S172" i="39"/>
  <c r="S168" i="39"/>
  <c r="R169" i="39"/>
  <c r="R171" i="39"/>
  <c r="T170" i="39"/>
  <c r="T171" i="39"/>
  <c r="S146" i="39"/>
  <c r="X135" i="39"/>
  <c r="S445" i="39" s="1"/>
  <c r="Y135" i="39"/>
  <c r="T445" i="39" s="1"/>
  <c r="Q144" i="39"/>
  <c r="S137" i="39"/>
  <c r="S298" i="39" s="1"/>
  <c r="X136" i="39"/>
  <c r="X137" i="39" s="1"/>
  <c r="U118" i="39"/>
  <c r="S119" i="39"/>
  <c r="Q121" i="39"/>
  <c r="Q122" i="39"/>
  <c r="U122" i="39"/>
  <c r="Y86" i="39"/>
  <c r="Y87" i="39" s="1"/>
  <c r="Q97" i="39"/>
  <c r="U98" i="39"/>
  <c r="T87" i="39"/>
  <c r="T283" i="39" s="1"/>
  <c r="T70" i="39"/>
  <c r="S71" i="39"/>
  <c r="S69" i="39"/>
  <c r="S72" i="39"/>
  <c r="S62" i="39"/>
  <c r="S282" i="39" s="1"/>
  <c r="T62" i="39"/>
  <c r="T295" i="39" s="1"/>
  <c r="S70" i="39"/>
  <c r="Y36" i="39"/>
  <c r="Y37" i="39" s="1"/>
  <c r="Q47" i="39"/>
  <c r="Y35" i="39"/>
  <c r="Q306" i="39" s="1"/>
  <c r="T19" i="39"/>
  <c r="S20" i="39"/>
  <c r="T22" i="39"/>
  <c r="T21" i="39"/>
  <c r="U21" i="39"/>
  <c r="Y8" i="39"/>
  <c r="AA10" i="39"/>
  <c r="R22" i="39"/>
  <c r="R18" i="39"/>
  <c r="T18" i="39"/>
  <c r="S19" i="39"/>
  <c r="H21" i="39"/>
  <c r="H270" i="39"/>
  <c r="L260" i="39"/>
  <c r="G450" i="39" s="1"/>
  <c r="H269" i="39"/>
  <c r="H262" i="39"/>
  <c r="H303" i="39" s="1"/>
  <c r="L235" i="39"/>
  <c r="D313" i="39" s="1"/>
  <c r="H245" i="39"/>
  <c r="H248" i="39" s="1"/>
  <c r="N235" i="39"/>
  <c r="H247" i="39"/>
  <c r="D237" i="39"/>
  <c r="D289" i="39" s="1"/>
  <c r="D245" i="39"/>
  <c r="H220" i="39"/>
  <c r="H218" i="39"/>
  <c r="L211" i="39"/>
  <c r="L212" i="39" s="1"/>
  <c r="F219" i="39"/>
  <c r="G220" i="39"/>
  <c r="F195" i="39"/>
  <c r="E195" i="39"/>
  <c r="F193" i="39"/>
  <c r="G193" i="39"/>
  <c r="G168" i="39"/>
  <c r="D172" i="39"/>
  <c r="D162" i="39"/>
  <c r="D299" i="39" s="1"/>
  <c r="E172" i="39"/>
  <c r="D169" i="39"/>
  <c r="D170" i="39"/>
  <c r="D171" i="39"/>
  <c r="G144" i="39"/>
  <c r="G143" i="39"/>
  <c r="E137" i="39"/>
  <c r="E298" i="39" s="1"/>
  <c r="H143" i="39"/>
  <c r="H148" i="39" s="1"/>
  <c r="G137" i="39"/>
  <c r="G298" i="39" s="1"/>
  <c r="K135" i="39"/>
  <c r="F445" i="39" s="1"/>
  <c r="L135" i="39"/>
  <c r="G445" i="39" s="1"/>
  <c r="H120" i="39"/>
  <c r="E118" i="39"/>
  <c r="F119" i="39"/>
  <c r="K110" i="39"/>
  <c r="F444" i="39" s="1"/>
  <c r="F120" i="39"/>
  <c r="F122" i="39"/>
  <c r="F118" i="39"/>
  <c r="E122" i="39"/>
  <c r="E112" i="39"/>
  <c r="E284" i="39" s="1"/>
  <c r="L111" i="39"/>
  <c r="L112" i="39" s="1"/>
  <c r="G120" i="39"/>
  <c r="D97" i="39"/>
  <c r="L86" i="39"/>
  <c r="L87" i="39" s="1"/>
  <c r="K85" i="39"/>
  <c r="F443" i="39" s="1"/>
  <c r="F62" i="39"/>
  <c r="F295" i="39" s="1"/>
  <c r="E69" i="39"/>
  <c r="E73" i="39" s="1"/>
  <c r="L60" i="39"/>
  <c r="D307" i="39" s="1"/>
  <c r="K35" i="39"/>
  <c r="F441" i="39" s="1"/>
  <c r="F37" i="39"/>
  <c r="F281" i="39" s="1"/>
  <c r="E22" i="39"/>
  <c r="N10" i="39"/>
  <c r="L10" i="39"/>
  <c r="G440" i="39" s="1"/>
  <c r="E18" i="39"/>
  <c r="V258" i="39"/>
  <c r="U450" i="39" s="1"/>
  <c r="Z139" i="39"/>
  <c r="V159" i="39"/>
  <c r="U174" i="39" s="1"/>
  <c r="Z89" i="39"/>
  <c r="V158" i="39"/>
  <c r="U446" i="39" s="1"/>
  <c r="M164" i="39"/>
  <c r="D312" i="39"/>
  <c r="M39" i="39"/>
  <c r="G21" i="39"/>
  <c r="H19" i="39"/>
  <c r="G20" i="39"/>
  <c r="H22" i="39"/>
  <c r="H12" i="39"/>
  <c r="H293" i="39" s="1"/>
  <c r="G22" i="39"/>
  <c r="G19" i="39"/>
  <c r="D12" i="39"/>
  <c r="D293" i="39" s="1"/>
  <c r="D20" i="39"/>
  <c r="H20" i="39"/>
  <c r="E19" i="39"/>
  <c r="F19" i="39"/>
  <c r="I7" i="39"/>
  <c r="AI134" i="39"/>
  <c r="AH149" i="39" s="1"/>
  <c r="AI34" i="39"/>
  <c r="AE49" i="39" s="1"/>
  <c r="AE290" i="39"/>
  <c r="E274" i="39"/>
  <c r="D274" i="39"/>
  <c r="M89" i="39"/>
  <c r="Z164" i="39"/>
  <c r="Z264" i="39"/>
  <c r="V234" i="39"/>
  <c r="Q249" i="39" s="1"/>
  <c r="Z239" i="39"/>
  <c r="Z114" i="39"/>
  <c r="M14" i="39"/>
  <c r="Z64" i="39"/>
  <c r="V134" i="39"/>
  <c r="R149" i="39" s="1"/>
  <c r="V233" i="39"/>
  <c r="U449" i="39" s="1"/>
  <c r="M214" i="39"/>
  <c r="M64" i="39"/>
  <c r="V8" i="39"/>
  <c r="V209" i="39"/>
  <c r="Q224" i="39" s="1"/>
  <c r="V208" i="39"/>
  <c r="U448" i="39" s="1"/>
  <c r="D290" i="39"/>
  <c r="Z14" i="39"/>
  <c r="J29" i="27"/>
  <c r="J75" i="27"/>
  <c r="J77" i="27"/>
  <c r="Z39" i="39"/>
  <c r="H442" i="39"/>
  <c r="M58" i="39"/>
  <c r="T281" i="39"/>
  <c r="T294" i="39"/>
  <c r="U456" i="39"/>
  <c r="V83" i="39"/>
  <c r="U443" i="39" s="1"/>
  <c r="V84" i="39"/>
  <c r="AH453" i="39"/>
  <c r="AI9" i="39"/>
  <c r="AI8" i="39"/>
  <c r="U12" i="39"/>
  <c r="S18" i="39"/>
  <c r="E20" i="39"/>
  <c r="AG20" i="39"/>
  <c r="AD21" i="39"/>
  <c r="S22" i="39"/>
  <c r="E37" i="39"/>
  <c r="U43" i="39"/>
  <c r="T45" i="39"/>
  <c r="S46" i="39"/>
  <c r="S47" i="39"/>
  <c r="Q455" i="39"/>
  <c r="X61" i="39"/>
  <c r="X62" i="39" s="1"/>
  <c r="X58" i="39"/>
  <c r="Q442" i="39" s="1"/>
  <c r="S455" i="39"/>
  <c r="X60" i="39"/>
  <c r="S442" i="39" s="1"/>
  <c r="R72" i="39"/>
  <c r="F282" i="39"/>
  <c r="X10" i="39"/>
  <c r="Q19" i="39"/>
  <c r="F20" i="39"/>
  <c r="V33" i="39"/>
  <c r="U441" i="39" s="1"/>
  <c r="D306" i="39"/>
  <c r="U46" i="39"/>
  <c r="F294" i="39"/>
  <c r="AF37" i="39"/>
  <c r="AE43" i="39"/>
  <c r="AD44" i="39"/>
  <c r="U45" i="39"/>
  <c r="T46" i="39"/>
  <c r="T47" i="39"/>
  <c r="R455" i="39"/>
  <c r="Y58" i="39"/>
  <c r="R442" i="39" s="1"/>
  <c r="T455" i="39"/>
  <c r="Y60" i="39"/>
  <c r="D69" i="39"/>
  <c r="AD456" i="39"/>
  <c r="AK83" i="39"/>
  <c r="AD443" i="39" s="1"/>
  <c r="AK86" i="39"/>
  <c r="AK87" i="39" s="1"/>
  <c r="AI346" i="39"/>
  <c r="H96" i="39"/>
  <c r="H95" i="39"/>
  <c r="H97" i="39"/>
  <c r="H93" i="39"/>
  <c r="AH97" i="39"/>
  <c r="AH93" i="39"/>
  <c r="AH96" i="39"/>
  <c r="AH95" i="39"/>
  <c r="D94" i="39"/>
  <c r="G94" i="39"/>
  <c r="R121" i="39"/>
  <c r="R112" i="39"/>
  <c r="R120" i="39"/>
  <c r="R122" i="39"/>
  <c r="R118" i="39"/>
  <c r="H119" i="39"/>
  <c r="Q461" i="39"/>
  <c r="X211" i="39"/>
  <c r="X212" i="39" s="1"/>
  <c r="X208" i="39"/>
  <c r="Q448" i="39" s="1"/>
  <c r="H448" i="39"/>
  <c r="M208" i="39"/>
  <c r="AH455" i="39"/>
  <c r="AI59" i="39"/>
  <c r="AG440" i="39"/>
  <c r="AD305" i="39"/>
  <c r="AL8" i="39"/>
  <c r="AE440" i="39" s="1"/>
  <c r="K10" i="39"/>
  <c r="F440" i="39" s="1"/>
  <c r="Y10" i="39"/>
  <c r="E12" i="39"/>
  <c r="U18" i="39"/>
  <c r="R19" i="39"/>
  <c r="D21" i="39"/>
  <c r="AF21" i="39"/>
  <c r="U22" i="39"/>
  <c r="X33" i="39"/>
  <c r="Q441" i="39" s="1"/>
  <c r="I34" i="39"/>
  <c r="D45" i="39"/>
  <c r="X36" i="39"/>
  <c r="X37" i="39" s="1"/>
  <c r="G37" i="39"/>
  <c r="AI42" i="39"/>
  <c r="AF43" i="39"/>
  <c r="AD45" i="39"/>
  <c r="U47" i="39"/>
  <c r="V57" i="39"/>
  <c r="AA60" i="39"/>
  <c r="Q70" i="39"/>
  <c r="Q69" i="39"/>
  <c r="Q71" i="39"/>
  <c r="I67" i="39"/>
  <c r="F69" i="39"/>
  <c r="AE297" i="39"/>
  <c r="AE284" i="39"/>
  <c r="R119" i="39"/>
  <c r="R349" i="39"/>
  <c r="AH456" i="39"/>
  <c r="AI84" i="39"/>
  <c r="T121" i="39"/>
  <c r="T112" i="39"/>
  <c r="T120" i="39"/>
  <c r="T119" i="39"/>
  <c r="T122" i="39"/>
  <c r="T118" i="39"/>
  <c r="S249" i="39"/>
  <c r="R249" i="39"/>
  <c r="T249" i="39"/>
  <c r="L352" i="39"/>
  <c r="X8" i="39"/>
  <c r="X11" i="39"/>
  <c r="X12" i="39" s="1"/>
  <c r="G293" i="39"/>
  <c r="G280" i="39"/>
  <c r="I17" i="39"/>
  <c r="AI17" i="39"/>
  <c r="AE18" i="39"/>
  <c r="Q20" i="39"/>
  <c r="F21" i="39"/>
  <c r="AE22" i="39"/>
  <c r="I33" i="39"/>
  <c r="H441" i="39" s="1"/>
  <c r="AD47" i="39"/>
  <c r="AD43" i="39"/>
  <c r="E43" i="39"/>
  <c r="AG45" i="39"/>
  <c r="AF46" i="39"/>
  <c r="AF47" i="39"/>
  <c r="AD455" i="39"/>
  <c r="AK58" i="39"/>
  <c r="AD442" i="39" s="1"/>
  <c r="AI58" i="39"/>
  <c r="AH442" i="39" s="1"/>
  <c r="H71" i="39"/>
  <c r="T456" i="39"/>
  <c r="Y85" i="39"/>
  <c r="R96" i="39"/>
  <c r="R95" i="39"/>
  <c r="R94" i="39"/>
  <c r="R97" i="39"/>
  <c r="R93" i="39"/>
  <c r="D458" i="39"/>
  <c r="K136" i="39"/>
  <c r="K137" i="39" s="1"/>
  <c r="K133" i="39"/>
  <c r="D445" i="39" s="1"/>
  <c r="E348" i="39"/>
  <c r="M139" i="39"/>
  <c r="AE459" i="39"/>
  <c r="AL158" i="39"/>
  <c r="AE446" i="39" s="1"/>
  <c r="S196" i="39"/>
  <c r="R196" i="39"/>
  <c r="Q196" i="39"/>
  <c r="V192" i="39"/>
  <c r="G69" i="39"/>
  <c r="D457" i="39"/>
  <c r="K111" i="39"/>
  <c r="K112" i="39" s="1"/>
  <c r="K108" i="39"/>
  <c r="D444" i="39" s="1"/>
  <c r="H146" i="39"/>
  <c r="G146" i="39"/>
  <c r="F146" i="39"/>
  <c r="I142" i="39"/>
  <c r="Y11" i="39"/>
  <c r="Y12" i="39" s="1"/>
  <c r="AH293" i="39"/>
  <c r="AF18" i="39"/>
  <c r="U19" i="39"/>
  <c r="R20" i="39"/>
  <c r="D22" i="39"/>
  <c r="AF22" i="39"/>
  <c r="K33" i="39"/>
  <c r="D441" i="39" s="1"/>
  <c r="F43" i="39"/>
  <c r="D44" i="39"/>
  <c r="AE455" i="39"/>
  <c r="AL58" i="39"/>
  <c r="AE442" i="39" s="1"/>
  <c r="AA85" i="39"/>
  <c r="H87" i="39"/>
  <c r="H457" i="39"/>
  <c r="I108" i="39"/>
  <c r="H444" i="39" s="1"/>
  <c r="I109" i="39"/>
  <c r="Q286" i="39"/>
  <c r="Q299" i="39"/>
  <c r="H294" i="39"/>
  <c r="H281" i="39"/>
  <c r="R70" i="39"/>
  <c r="R69" i="39"/>
  <c r="AG18" i="39"/>
  <c r="AD19" i="39"/>
  <c r="AG22" i="39"/>
  <c r="R294" i="39"/>
  <c r="R281" i="39"/>
  <c r="E44" i="39"/>
  <c r="E45" i="39"/>
  <c r="U69" i="39"/>
  <c r="U72" i="39"/>
  <c r="U68" i="39"/>
  <c r="R62" i="39"/>
  <c r="R283" i="39"/>
  <c r="R296" i="39"/>
  <c r="N135" i="39"/>
  <c r="I132" i="39"/>
  <c r="T143" i="39"/>
  <c r="T146" i="39"/>
  <c r="T145" i="39"/>
  <c r="T144" i="39"/>
  <c r="T137" i="39"/>
  <c r="T147" i="39"/>
  <c r="F293" i="39"/>
  <c r="F280" i="39"/>
  <c r="K8" i="39"/>
  <c r="D440" i="39" s="1"/>
  <c r="F18" i="39"/>
  <c r="AE19" i="39"/>
  <c r="T20" i="39"/>
  <c r="Q21" i="39"/>
  <c r="F22" i="39"/>
  <c r="AH22" i="39"/>
  <c r="V34" i="39"/>
  <c r="K36" i="39"/>
  <c r="K37" i="39" s="1"/>
  <c r="AG46" i="39"/>
  <c r="S37" i="39"/>
  <c r="H43" i="39"/>
  <c r="F44" i="39"/>
  <c r="F45" i="39"/>
  <c r="F46" i="39"/>
  <c r="E47" i="39"/>
  <c r="F455" i="39"/>
  <c r="K60" i="39"/>
  <c r="F442" i="39" s="1"/>
  <c r="I345" i="39"/>
  <c r="D72" i="39"/>
  <c r="AD71" i="39"/>
  <c r="AD70" i="39"/>
  <c r="S295" i="39"/>
  <c r="G68" i="39"/>
  <c r="U71" i="39"/>
  <c r="E119" i="39"/>
  <c r="AF119" i="39"/>
  <c r="M114" i="39"/>
  <c r="L8" i="39"/>
  <c r="E440" i="39" s="1"/>
  <c r="Q12" i="39"/>
  <c r="G18" i="39"/>
  <c r="U20" i="39"/>
  <c r="R21" i="39"/>
  <c r="L36" i="39"/>
  <c r="L37" i="39" s="1"/>
  <c r="V42" i="39"/>
  <c r="Q43" i="39"/>
  <c r="H44" i="39"/>
  <c r="G45" i="39"/>
  <c r="G46" i="39"/>
  <c r="AE72" i="39"/>
  <c r="AE68" i="39"/>
  <c r="AE62" i="39"/>
  <c r="AE71" i="39"/>
  <c r="AE69" i="39"/>
  <c r="T282" i="39"/>
  <c r="Q68" i="39"/>
  <c r="AG456" i="39"/>
  <c r="AL85" i="39"/>
  <c r="F94" i="39"/>
  <c r="U457" i="39"/>
  <c r="V109" i="39"/>
  <c r="V108" i="39"/>
  <c r="U444" i="39" s="1"/>
  <c r="AG119" i="39"/>
  <c r="F121" i="39"/>
  <c r="E121" i="39"/>
  <c r="D121" i="39"/>
  <c r="AE298" i="39"/>
  <c r="V9" i="39"/>
  <c r="K11" i="39"/>
  <c r="K12" i="39" s="1"/>
  <c r="H18" i="39"/>
  <c r="S21" i="39"/>
  <c r="AK36" i="39"/>
  <c r="AK37" i="39" s="1"/>
  <c r="U37" i="39"/>
  <c r="R43" i="39"/>
  <c r="Q44" i="39"/>
  <c r="Q45" i="39"/>
  <c r="H46" i="39"/>
  <c r="G47" i="39"/>
  <c r="F71" i="39"/>
  <c r="F70" i="39"/>
  <c r="F72" i="39"/>
  <c r="F68" i="39"/>
  <c r="AF72" i="39"/>
  <c r="AF68" i="39"/>
  <c r="AF71" i="39"/>
  <c r="U62" i="39"/>
  <c r="R68" i="39"/>
  <c r="AI83" i="39"/>
  <c r="AH443" i="39" s="1"/>
  <c r="AN85" i="39"/>
  <c r="AD94" i="39"/>
  <c r="H94" i="39"/>
  <c r="Y110" i="39"/>
  <c r="AH119" i="39"/>
  <c r="S301" i="39"/>
  <c r="S288" i="39"/>
  <c r="L11" i="39"/>
  <c r="L12" i="39" s="1"/>
  <c r="Q18" i="39"/>
  <c r="Q23" i="39" s="1"/>
  <c r="AI33" i="39"/>
  <c r="AH441" i="39" s="1"/>
  <c r="AK35" i="39"/>
  <c r="AF441" i="39" s="1"/>
  <c r="R47" i="39"/>
  <c r="AL36" i="39"/>
  <c r="AL37" i="39" s="1"/>
  <c r="S43" i="39"/>
  <c r="R44" i="39"/>
  <c r="R45" i="39"/>
  <c r="H47" i="39"/>
  <c r="G71" i="39"/>
  <c r="G62" i="39"/>
  <c r="G70" i="39"/>
  <c r="AG62" i="39"/>
  <c r="AG70" i="39"/>
  <c r="AG69" i="39"/>
  <c r="G72" i="39"/>
  <c r="Q346" i="39"/>
  <c r="E97" i="39"/>
  <c r="E93" i="39"/>
  <c r="E96" i="39"/>
  <c r="E87" i="39"/>
  <c r="E94" i="39"/>
  <c r="AE94" i="39"/>
  <c r="V92" i="39"/>
  <c r="AD121" i="39"/>
  <c r="D298" i="39"/>
  <c r="D285" i="39"/>
  <c r="AH199" i="39"/>
  <c r="AG199" i="39"/>
  <c r="AF199" i="39"/>
  <c r="AE199" i="39"/>
  <c r="AD199" i="39"/>
  <c r="AI185" i="39"/>
  <c r="AM185" i="39" s="1"/>
  <c r="I350" i="39"/>
  <c r="AH294" i="39"/>
  <c r="AH281" i="39"/>
  <c r="AL35" i="39"/>
  <c r="S45" i="39"/>
  <c r="H455" i="39"/>
  <c r="I59" i="39"/>
  <c r="AJ345" i="39"/>
  <c r="H62" i="39"/>
  <c r="H69" i="39"/>
  <c r="H72" i="39"/>
  <c r="H68" i="39"/>
  <c r="AH62" i="39"/>
  <c r="AH71" i="39"/>
  <c r="AH70" i="39"/>
  <c r="AH72" i="39"/>
  <c r="AH68" i="39"/>
  <c r="AF295" i="39"/>
  <c r="AF282" i="39"/>
  <c r="J346" i="39"/>
  <c r="AF94" i="39"/>
  <c r="AF97" i="39"/>
  <c r="AF93" i="39"/>
  <c r="AF87" i="39"/>
  <c r="AF96" i="39"/>
  <c r="AF95" i="39"/>
  <c r="AH296" i="39"/>
  <c r="AH283" i="39"/>
  <c r="AI107" i="39"/>
  <c r="AN110" i="39"/>
  <c r="AF121" i="39"/>
  <c r="AF351" i="39"/>
  <c r="K86" i="39"/>
  <c r="K87" i="39" s="1"/>
  <c r="S87" i="39"/>
  <c r="AG94" i="39"/>
  <c r="S96" i="39"/>
  <c r="AK111" i="39"/>
  <c r="AK112" i="39" s="1"/>
  <c r="U112" i="39"/>
  <c r="G119" i="39"/>
  <c r="D120" i="39"/>
  <c r="U121" i="39"/>
  <c r="AL135" i="39"/>
  <c r="AG445" i="39" s="1"/>
  <c r="S144" i="39"/>
  <c r="S147" i="39"/>
  <c r="S143" i="39"/>
  <c r="AE145" i="39"/>
  <c r="Y161" i="39"/>
  <c r="Y162" i="39" s="1"/>
  <c r="S169" i="39"/>
  <c r="S171" i="39"/>
  <c r="S162" i="39"/>
  <c r="U169" i="39"/>
  <c r="AD460" i="39"/>
  <c r="AK183" i="39"/>
  <c r="AD447" i="39" s="1"/>
  <c r="AK186" i="39"/>
  <c r="AK187" i="39" s="1"/>
  <c r="T187" i="39"/>
  <c r="AD462" i="39"/>
  <c r="AK236" i="39"/>
  <c r="AK237" i="39" s="1"/>
  <c r="AK233" i="39"/>
  <c r="AD449" i="39" s="1"/>
  <c r="R237" i="39"/>
  <c r="R245" i="39"/>
  <c r="R244" i="39"/>
  <c r="R246" i="39"/>
  <c r="R247" i="39"/>
  <c r="U246" i="39"/>
  <c r="S246" i="39"/>
  <c r="V242" i="39"/>
  <c r="U283" i="39"/>
  <c r="U296" i="39"/>
  <c r="D95" i="39"/>
  <c r="AK108" i="39"/>
  <c r="AD444" i="39" s="1"/>
  <c r="X110" i="39"/>
  <c r="S444" i="39" s="1"/>
  <c r="AG444" i="39"/>
  <c r="AD309" i="39"/>
  <c r="D112" i="39"/>
  <c r="Q119" i="39"/>
  <c r="AH120" i="39"/>
  <c r="AE121" i="39"/>
  <c r="V133" i="39"/>
  <c r="U445" i="39" s="1"/>
  <c r="U147" i="39"/>
  <c r="U143" i="39"/>
  <c r="F137" i="39"/>
  <c r="AF285" i="39"/>
  <c r="AF298" i="39"/>
  <c r="AG143" i="39"/>
  <c r="AG446" i="39"/>
  <c r="AD310" i="39"/>
  <c r="U171" i="39"/>
  <c r="U162" i="39"/>
  <c r="V167" i="39"/>
  <c r="G460" i="39"/>
  <c r="L185" i="39"/>
  <c r="D197" i="39"/>
  <c r="D193" i="39"/>
  <c r="D196" i="39"/>
  <c r="D187" i="39"/>
  <c r="D195" i="39"/>
  <c r="AE187" i="39"/>
  <c r="Z189" i="39"/>
  <c r="T301" i="39"/>
  <c r="T288" i="39"/>
  <c r="AF289" i="39"/>
  <c r="AF302" i="39"/>
  <c r="D146" i="39"/>
  <c r="AG298" i="39"/>
  <c r="AG285" i="39"/>
  <c r="F459" i="39"/>
  <c r="K160" i="39"/>
  <c r="F446" i="39" s="1"/>
  <c r="I349" i="39"/>
  <c r="AD172" i="39"/>
  <c r="AD168" i="39"/>
  <c r="AD170" i="39"/>
  <c r="T286" i="39"/>
  <c r="T299" i="39"/>
  <c r="AE193" i="39"/>
  <c r="U222" i="39"/>
  <c r="S222" i="39"/>
  <c r="AG302" i="39"/>
  <c r="D296" i="39"/>
  <c r="D283" i="39"/>
  <c r="T93" i="39"/>
  <c r="F95" i="39"/>
  <c r="T97" i="39"/>
  <c r="L110" i="39"/>
  <c r="F297" i="39"/>
  <c r="F284" i="39"/>
  <c r="AF297" i="39"/>
  <c r="AF284" i="39"/>
  <c r="AD122" i="39"/>
  <c r="E146" i="39"/>
  <c r="E145" i="39"/>
  <c r="H298" i="39"/>
  <c r="H285" i="39"/>
  <c r="AH298" i="39"/>
  <c r="AH285" i="39"/>
  <c r="D143" i="39"/>
  <c r="D144" i="39"/>
  <c r="D145" i="39"/>
  <c r="H459" i="39"/>
  <c r="AE172" i="39"/>
  <c r="AE168" i="39"/>
  <c r="AE171" i="39"/>
  <c r="AE170" i="39"/>
  <c r="F287" i="39"/>
  <c r="F300" i="39"/>
  <c r="AF197" i="39"/>
  <c r="AF193" i="39"/>
  <c r="AF187" i="39"/>
  <c r="AF196" i="39"/>
  <c r="AL186" i="39"/>
  <c r="AL187" i="39" s="1"/>
  <c r="AF195" i="39"/>
  <c r="T195" i="39"/>
  <c r="AH461" i="39"/>
  <c r="AI209" i="39"/>
  <c r="AI208" i="39"/>
  <c r="AH448" i="39" s="1"/>
  <c r="V217" i="39"/>
  <c r="AL83" i="39"/>
  <c r="AE443" i="39" s="1"/>
  <c r="X111" i="39"/>
  <c r="X112" i="39" s="1"/>
  <c r="G112" i="39"/>
  <c r="AG297" i="39"/>
  <c r="AG284" i="39"/>
  <c r="I117" i="39"/>
  <c r="AI117" i="39"/>
  <c r="AE118" i="39"/>
  <c r="AH121" i="39"/>
  <c r="AE122" i="39"/>
  <c r="AD147" i="39"/>
  <c r="AD143" i="39"/>
  <c r="AD146" i="39"/>
  <c r="E143" i="39"/>
  <c r="E144" i="39"/>
  <c r="F145" i="39"/>
  <c r="X160" i="39"/>
  <c r="S446" i="39" s="1"/>
  <c r="E171" i="39"/>
  <c r="AF162" i="39"/>
  <c r="AF170" i="39"/>
  <c r="AL161" i="39"/>
  <c r="AL162" i="39" s="1"/>
  <c r="AE162" i="39"/>
  <c r="U168" i="39"/>
  <c r="AD171" i="39"/>
  <c r="D460" i="39"/>
  <c r="K186" i="39"/>
  <c r="K187" i="39" s="1"/>
  <c r="AD350" i="39"/>
  <c r="G196" i="39"/>
  <c r="G195" i="39"/>
  <c r="G194" i="39"/>
  <c r="D194" i="39"/>
  <c r="AE197" i="39"/>
  <c r="AD461" i="39"/>
  <c r="AK208" i="39"/>
  <c r="AD448" i="39" s="1"/>
  <c r="AK211" i="39"/>
  <c r="AK212" i="39" s="1"/>
  <c r="AL60" i="39"/>
  <c r="D62" i="39"/>
  <c r="T68" i="39"/>
  <c r="T72" i="39"/>
  <c r="AM83" i="39"/>
  <c r="L85" i="39"/>
  <c r="F87" i="39"/>
  <c r="AD93" i="39"/>
  <c r="S94" i="39"/>
  <c r="AG96" i="39"/>
  <c r="AD97" i="39"/>
  <c r="Y108" i="39"/>
  <c r="R444" i="39" s="1"/>
  <c r="Y111" i="39"/>
  <c r="Y112" i="39" s="1"/>
  <c r="H112" i="39"/>
  <c r="AH112" i="39"/>
  <c r="D118" i="39"/>
  <c r="AF118" i="39"/>
  <c r="U119" i="39"/>
  <c r="G121" i="39"/>
  <c r="D122" i="39"/>
  <c r="AF122" i="39"/>
  <c r="G145" i="39"/>
  <c r="F143" i="39"/>
  <c r="F144" i="39"/>
  <c r="Q145" i="39"/>
  <c r="Q146" i="39"/>
  <c r="F171" i="39"/>
  <c r="F170" i="39"/>
  <c r="F169" i="39"/>
  <c r="L161" i="39"/>
  <c r="L162" i="39" s="1"/>
  <c r="AG162" i="39"/>
  <c r="AG171" i="39"/>
  <c r="AG169" i="39"/>
  <c r="AG173" i="39" s="1"/>
  <c r="AH299" i="39"/>
  <c r="AH286" i="39"/>
  <c r="AF168" i="39"/>
  <c r="AF171" i="39"/>
  <c r="H196" i="39"/>
  <c r="H187" i="39"/>
  <c r="H195" i="39"/>
  <c r="H194" i="39"/>
  <c r="H197" i="39"/>
  <c r="H193" i="39"/>
  <c r="AH187" i="39"/>
  <c r="AH195" i="39"/>
  <c r="AH197" i="39"/>
  <c r="Z214" i="39"/>
  <c r="AF352" i="39"/>
  <c r="E295" i="39"/>
  <c r="E282" i="39"/>
  <c r="D71" i="39"/>
  <c r="X83" i="39"/>
  <c r="Q443" i="39" s="1"/>
  <c r="I84" i="39"/>
  <c r="X86" i="39"/>
  <c r="X87" i="39" s="1"/>
  <c r="G296" i="39"/>
  <c r="G283" i="39"/>
  <c r="AG87" i="39"/>
  <c r="AI92" i="39"/>
  <c r="T94" i="39"/>
  <c r="Q95" i="39"/>
  <c r="F96" i="39"/>
  <c r="AD119" i="39"/>
  <c r="S120" i="39"/>
  <c r="H121" i="39"/>
  <c r="L133" i="39"/>
  <c r="E445" i="39" s="1"/>
  <c r="H145" i="39"/>
  <c r="H144" i="39"/>
  <c r="R137" i="39"/>
  <c r="R145" i="39"/>
  <c r="R146" i="39"/>
  <c r="R147" i="39"/>
  <c r="G162" i="39"/>
  <c r="G169" i="39"/>
  <c r="AI167" i="39"/>
  <c r="R170" i="39"/>
  <c r="H460" i="39"/>
  <c r="I183" i="39"/>
  <c r="H447" i="39" s="1"/>
  <c r="E287" i="39"/>
  <c r="E300" i="39"/>
  <c r="M189" i="39"/>
  <c r="AE195" i="39"/>
  <c r="AG222" i="39"/>
  <c r="AG218" i="39"/>
  <c r="AG212" i="39"/>
  <c r="AG221" i="39"/>
  <c r="AG220" i="39"/>
  <c r="AL260" i="39"/>
  <c r="AH118" i="39"/>
  <c r="AE119" i="39"/>
  <c r="AH122" i="39"/>
  <c r="AG146" i="39"/>
  <c r="AG145" i="39"/>
  <c r="S285" i="39"/>
  <c r="Q459" i="39"/>
  <c r="X161" i="39"/>
  <c r="X162" i="39" s="1"/>
  <c r="X158" i="39"/>
  <c r="Q446" i="39" s="1"/>
  <c r="H162" i="39"/>
  <c r="H170" i="39"/>
  <c r="H172" i="39"/>
  <c r="H168" i="39"/>
  <c r="G287" i="39"/>
  <c r="G300" i="39"/>
  <c r="K351" i="39"/>
  <c r="AH222" i="39"/>
  <c r="AH218" i="39"/>
  <c r="AH212" i="39"/>
  <c r="AH221" i="39"/>
  <c r="AH220" i="39"/>
  <c r="V353" i="39"/>
  <c r="AD270" i="39"/>
  <c r="AD269" i="39"/>
  <c r="AD272" i="39"/>
  <c r="AD268" i="39"/>
  <c r="AD271" i="39"/>
  <c r="I83" i="39"/>
  <c r="H443" i="39" s="1"/>
  <c r="AG93" i="39"/>
  <c r="L108" i="39"/>
  <c r="E444" i="39" s="1"/>
  <c r="G118" i="39"/>
  <c r="V142" i="39"/>
  <c r="R459" i="39"/>
  <c r="Y158" i="39"/>
  <c r="R446" i="39" s="1"/>
  <c r="L160" i="39"/>
  <c r="K161" i="39"/>
  <c r="K162" i="39" s="1"/>
  <c r="I167" i="39"/>
  <c r="R460" i="39"/>
  <c r="Y183" i="39"/>
  <c r="R447" i="39" s="1"/>
  <c r="R195" i="39"/>
  <c r="T224" i="39"/>
  <c r="Q352" i="39"/>
  <c r="R243" i="39"/>
  <c r="D68" i="39"/>
  <c r="K83" i="39"/>
  <c r="D443" i="39" s="1"/>
  <c r="F93" i="39"/>
  <c r="S112" i="39"/>
  <c r="H118" i="39"/>
  <c r="AK136" i="39"/>
  <c r="AK137" i="39" s="1"/>
  <c r="U137" i="39"/>
  <c r="R143" i="39"/>
  <c r="U144" i="39"/>
  <c r="U145" i="39"/>
  <c r="U146" i="39"/>
  <c r="AF147" i="39"/>
  <c r="L158" i="39"/>
  <c r="E446" i="39" s="1"/>
  <c r="AA160" i="39"/>
  <c r="Q170" i="39"/>
  <c r="Q169" i="39"/>
  <c r="Q172" i="39"/>
  <c r="Q168" i="39"/>
  <c r="F162" i="39"/>
  <c r="H169" i="39"/>
  <c r="U170" i="39"/>
  <c r="G172" i="39"/>
  <c r="U460" i="39"/>
  <c r="V183" i="39"/>
  <c r="U447" i="39" s="1"/>
  <c r="V184" i="39"/>
  <c r="AF460" i="39"/>
  <c r="AK185" i="39"/>
  <c r="AF447" i="39" s="1"/>
  <c r="S195" i="39"/>
  <c r="R300" i="39"/>
  <c r="Z208" i="39"/>
  <c r="Q222" i="39"/>
  <c r="AF463" i="39"/>
  <c r="AK260" i="39"/>
  <c r="AF450" i="39" s="1"/>
  <c r="AI133" i="39"/>
  <c r="AH445" i="39" s="1"/>
  <c r="AK135" i="39"/>
  <c r="AF445" i="39" s="1"/>
  <c r="AG147" i="39"/>
  <c r="AH459" i="39"/>
  <c r="AI159" i="39"/>
  <c r="M158" i="39"/>
  <c r="AH460" i="39"/>
  <c r="AI183" i="39"/>
  <c r="AH447" i="39" s="1"/>
  <c r="Q350" i="39"/>
  <c r="H199" i="39"/>
  <c r="G199" i="39"/>
  <c r="F199" i="39"/>
  <c r="E199" i="39"/>
  <c r="I185" i="39"/>
  <c r="M185" i="39" s="1"/>
  <c r="D199" i="39"/>
  <c r="T197" i="39"/>
  <c r="T193" i="39"/>
  <c r="AE194" i="39"/>
  <c r="T196" i="39"/>
  <c r="H461" i="39"/>
  <c r="I209" i="39"/>
  <c r="AH462" i="39"/>
  <c r="AI234" i="39"/>
  <c r="AI233" i="39"/>
  <c r="AH449" i="39" s="1"/>
  <c r="Q246" i="39"/>
  <c r="Q244" i="39"/>
  <c r="Q245" i="39"/>
  <c r="Q247" i="39"/>
  <c r="R353" i="39"/>
  <c r="S300" i="39"/>
  <c r="S287" i="39"/>
  <c r="AG194" i="39"/>
  <c r="R218" i="39"/>
  <c r="G219" i="39"/>
  <c r="D220" i="39"/>
  <c r="R222" i="39"/>
  <c r="AK235" i="39"/>
  <c r="AF449" i="39" s="1"/>
  <c r="E237" i="39"/>
  <c r="S243" i="39"/>
  <c r="AF244" i="39"/>
  <c r="H290" i="39"/>
  <c r="H219" i="39"/>
  <c r="AD221" i="39"/>
  <c r="T243" i="39"/>
  <c r="H274" i="39"/>
  <c r="G274" i="39"/>
  <c r="F274" i="39"/>
  <c r="E269" i="39"/>
  <c r="E272" i="39"/>
  <c r="E268" i="39"/>
  <c r="E271" i="39"/>
  <c r="AD313" i="39"/>
  <c r="E169" i="39"/>
  <c r="R193" i="39"/>
  <c r="U196" i="39"/>
  <c r="R197" i="39"/>
  <c r="X210" i="39"/>
  <c r="S448" i="39" s="1"/>
  <c r="AG448" i="39"/>
  <c r="AD312" i="39"/>
  <c r="D212" i="39"/>
  <c r="T218" i="39"/>
  <c r="Q219" i="39"/>
  <c r="F220" i="39"/>
  <c r="AE221" i="39"/>
  <c r="T222" i="39"/>
  <c r="I232" i="39"/>
  <c r="X235" i="39"/>
  <c r="S449" i="39" s="1"/>
  <c r="U244" i="39"/>
  <c r="U247" i="39"/>
  <c r="U243" i="39"/>
  <c r="H302" i="39"/>
  <c r="H289" i="39"/>
  <c r="E246" i="39"/>
  <c r="AE463" i="39"/>
  <c r="AL258" i="39"/>
  <c r="AE450" i="39" s="1"/>
  <c r="F269" i="39"/>
  <c r="L261" i="39"/>
  <c r="L262" i="39" s="1"/>
  <c r="F272" i="39"/>
  <c r="F268" i="39"/>
  <c r="F270" i="39"/>
  <c r="F262" i="39"/>
  <c r="AG269" i="39"/>
  <c r="AG303" i="39"/>
  <c r="AG290" i="39"/>
  <c r="G449" i="39"/>
  <c r="AG195" i="39"/>
  <c r="AL208" i="39"/>
  <c r="AE448" i="39" s="1"/>
  <c r="K210" i="39"/>
  <c r="F448" i="39" s="1"/>
  <c r="Y210" i="39"/>
  <c r="E288" i="39"/>
  <c r="E301" i="39"/>
  <c r="AE301" i="39"/>
  <c r="AE288" i="39"/>
  <c r="R219" i="39"/>
  <c r="D221" i="39"/>
  <c r="D462" i="39"/>
  <c r="K236" i="39"/>
  <c r="K237" i="39" s="1"/>
  <c r="AL233" i="39"/>
  <c r="AE449" i="39" s="1"/>
  <c r="K235" i="39"/>
  <c r="F449" i="39" s="1"/>
  <c r="Y235" i="39"/>
  <c r="M239" i="39"/>
  <c r="AI257" i="39"/>
  <c r="AN260" i="39"/>
  <c r="AH269" i="39"/>
  <c r="G301" i="39"/>
  <c r="R168" i="39"/>
  <c r="AD311" i="39"/>
  <c r="AG447" i="39"/>
  <c r="F212" i="39"/>
  <c r="AF301" i="39"/>
  <c r="AF288" i="39"/>
  <c r="AD218" i="39"/>
  <c r="S219" i="39"/>
  <c r="AD222" i="39"/>
  <c r="E313" i="39"/>
  <c r="H311" i="39" s="1"/>
  <c r="AD244" i="39"/>
  <c r="S237" i="39"/>
  <c r="D244" i="39"/>
  <c r="S247" i="39"/>
  <c r="Y260" i="39"/>
  <c r="F221" i="39"/>
  <c r="E247" i="39"/>
  <c r="E243" i="39"/>
  <c r="T237" i="39"/>
  <c r="E244" i="39"/>
  <c r="T247" i="39"/>
  <c r="E262" i="39"/>
  <c r="H288" i="39"/>
  <c r="Y160" i="39"/>
  <c r="E162" i="39"/>
  <c r="T168" i="39"/>
  <c r="AH170" i="39"/>
  <c r="AH173" i="39" s="1"/>
  <c r="T172" i="39"/>
  <c r="AD193" i="39"/>
  <c r="S194" i="39"/>
  <c r="E196" i="39"/>
  <c r="AG196" i="39"/>
  <c r="AD197" i="39"/>
  <c r="D218" i="39"/>
  <c r="AF218" i="39"/>
  <c r="U219" i="39"/>
  <c r="U223" i="39" s="1"/>
  <c r="R220" i="39"/>
  <c r="G221" i="39"/>
  <c r="D222" i="39"/>
  <c r="AF222" i="39"/>
  <c r="F247" i="39"/>
  <c r="F243" i="39"/>
  <c r="U237" i="39"/>
  <c r="F244" i="39"/>
  <c r="T246" i="39"/>
  <c r="AD247" i="39"/>
  <c r="H463" i="39"/>
  <c r="I258" i="39"/>
  <c r="H450" i="39" s="1"/>
  <c r="I260" i="39"/>
  <c r="M260" i="39" s="1"/>
  <c r="G290" i="39"/>
  <c r="M264" i="39"/>
  <c r="E270" i="39"/>
  <c r="U288" i="39"/>
  <c r="Q462" i="39"/>
  <c r="X236" i="39"/>
  <c r="X237" i="39" s="1"/>
  <c r="G246" i="39"/>
  <c r="G245" i="39"/>
  <c r="G237" i="39"/>
  <c r="G244" i="39"/>
  <c r="D463" i="39"/>
  <c r="K261" i="39"/>
  <c r="K262" i="39" s="1"/>
  <c r="K258" i="39"/>
  <c r="D450" i="39" s="1"/>
  <c r="S271" i="39"/>
  <c r="S262" i="39"/>
  <c r="S270" i="39"/>
  <c r="S269" i="39"/>
  <c r="Y186" i="39"/>
  <c r="Y187" i="39" s="1"/>
  <c r="K208" i="39"/>
  <c r="D448" i="39" s="1"/>
  <c r="F218" i="39"/>
  <c r="K233" i="39"/>
  <c r="D449" i="39" s="1"/>
  <c r="AH247" i="39"/>
  <c r="AH243" i="39"/>
  <c r="AH248" i="39" s="1"/>
  <c r="AH237" i="39"/>
  <c r="G243" i="39"/>
  <c r="U245" i="39"/>
  <c r="AD246" i="39"/>
  <c r="E463" i="39"/>
  <c r="L258" i="39"/>
  <c r="E450" i="39" s="1"/>
  <c r="T271" i="39"/>
  <c r="T262" i="39"/>
  <c r="T270" i="39"/>
  <c r="T272" i="39"/>
  <c r="T268" i="39"/>
  <c r="E193" i="39"/>
  <c r="AG193" i="39"/>
  <c r="L208" i="39"/>
  <c r="E448" i="39" s="1"/>
  <c r="R212" i="39"/>
  <c r="G218" i="39"/>
  <c r="L233" i="39"/>
  <c r="E449" i="39" s="1"/>
  <c r="L236" i="39"/>
  <c r="L237" i="39" s="1"/>
  <c r="AD245" i="39"/>
  <c r="U290" i="39"/>
  <c r="U303" i="39"/>
  <c r="AI267" i="39"/>
  <c r="K260" i="39"/>
  <c r="F450" i="39" s="1"/>
  <c r="AE271" i="39"/>
  <c r="X261" i="39"/>
  <c r="X262" i="39" s="1"/>
  <c r="U268" i="39"/>
  <c r="D271" i="39"/>
  <c r="AF271" i="39"/>
  <c r="U272" i="39"/>
  <c r="AH290" i="39"/>
  <c r="G303" i="39"/>
  <c r="AE237" i="39"/>
  <c r="D246" i="39"/>
  <c r="AF246" i="39"/>
  <c r="D268" i="39"/>
  <c r="AF268" i="39"/>
  <c r="U269" i="39"/>
  <c r="R270" i="39"/>
  <c r="G271" i="39"/>
  <c r="D272" i="39"/>
  <c r="AF272" i="39"/>
  <c r="H271" i="39"/>
  <c r="AE247" i="39"/>
  <c r="R262" i="39"/>
  <c r="AH268" i="39"/>
  <c r="AE269" i="39"/>
  <c r="Q271" i="39"/>
  <c r="AH272" i="39"/>
  <c r="D243" i="39"/>
  <c r="AF243" i="39"/>
  <c r="V259" i="39"/>
  <c r="G268" i="39"/>
  <c r="AF269" i="39"/>
  <c r="U270" i="39"/>
  <c r="AG243" i="39"/>
  <c r="M258" i="39"/>
  <c r="AK261" i="39"/>
  <c r="AK262" i="39" s="1"/>
  <c r="H268" i="39"/>
  <c r="Q268" i="39"/>
  <c r="Q273" i="39" l="1"/>
  <c r="S223" i="39"/>
  <c r="R148" i="39"/>
  <c r="R98" i="39"/>
  <c r="Q98" i="39"/>
  <c r="AF290" i="39"/>
  <c r="AE273" i="39"/>
  <c r="AG273" i="39"/>
  <c r="AF273" i="39"/>
  <c r="AH273" i="39"/>
  <c r="AD273" i="39"/>
  <c r="AG248" i="39"/>
  <c r="AE248" i="39"/>
  <c r="AD248" i="39"/>
  <c r="AG223" i="39"/>
  <c r="AE223" i="39"/>
  <c r="AG287" i="39"/>
  <c r="AH198" i="39"/>
  <c r="AE200" i="39"/>
  <c r="AJ389" i="39" s="1"/>
  <c r="AE148" i="39"/>
  <c r="AD149" i="39"/>
  <c r="AD150" i="39" s="1"/>
  <c r="AF148" i="39"/>
  <c r="AI135" i="39"/>
  <c r="AM135" i="39" s="1"/>
  <c r="AF149" i="39"/>
  <c r="AF150" i="39" s="1"/>
  <c r="AE149" i="39"/>
  <c r="AE150" i="39" s="1"/>
  <c r="AJ387" i="39" s="1"/>
  <c r="AD123" i="39"/>
  <c r="AG123" i="39"/>
  <c r="AG73" i="39"/>
  <c r="AD73" i="39"/>
  <c r="AG281" i="39"/>
  <c r="AG49" i="39"/>
  <c r="AG50" i="39" s="1"/>
  <c r="AH48" i="39"/>
  <c r="AE50" i="39"/>
  <c r="AE51" i="39" s="1"/>
  <c r="AJ370" i="39" s="1"/>
  <c r="AG293" i="39"/>
  <c r="AF23" i="39"/>
  <c r="AG98" i="39"/>
  <c r="AE98" i="39"/>
  <c r="AD98" i="39"/>
  <c r="AF293" i="39"/>
  <c r="AH23" i="39"/>
  <c r="AD23" i="39"/>
  <c r="AG48" i="39"/>
  <c r="AD48" i="39"/>
  <c r="AE48" i="39"/>
  <c r="R23" i="39"/>
  <c r="D314" i="39"/>
  <c r="E314" i="39" s="1"/>
  <c r="H312" i="39" s="1"/>
  <c r="D273" i="39"/>
  <c r="F289" i="39"/>
  <c r="E223" i="39"/>
  <c r="E285" i="39"/>
  <c r="D281" i="39"/>
  <c r="D280" i="39"/>
  <c r="R273" i="39"/>
  <c r="Z258" i="39"/>
  <c r="H273" i="39"/>
  <c r="D302" i="39"/>
  <c r="G248" i="39"/>
  <c r="T225" i="39"/>
  <c r="T226" i="39" s="1"/>
  <c r="Y377" i="39" s="1"/>
  <c r="V210" i="39"/>
  <c r="Z210" i="39" s="1"/>
  <c r="H223" i="39"/>
  <c r="Q198" i="39"/>
  <c r="G198" i="39"/>
  <c r="F198" i="39"/>
  <c r="E198" i="39"/>
  <c r="F200" i="39"/>
  <c r="K389" i="39" s="1"/>
  <c r="V160" i="39"/>
  <c r="Z160" i="39" s="1"/>
  <c r="T173" i="39"/>
  <c r="F173" i="39"/>
  <c r="G148" i="39"/>
  <c r="S123" i="39"/>
  <c r="R123" i="39"/>
  <c r="Q123" i="39"/>
  <c r="E297" i="39"/>
  <c r="E123" i="39"/>
  <c r="H123" i="39"/>
  <c r="G98" i="39"/>
  <c r="F98" i="39"/>
  <c r="F73" i="39"/>
  <c r="T48" i="39"/>
  <c r="G48" i="39"/>
  <c r="D48" i="39"/>
  <c r="T23" i="39"/>
  <c r="Q290" i="39"/>
  <c r="S273" i="39"/>
  <c r="Q248" i="39"/>
  <c r="T250" i="39"/>
  <c r="T251" i="39" s="1"/>
  <c r="Y378" i="39" s="1"/>
  <c r="Q223" i="39"/>
  <c r="U198" i="39"/>
  <c r="T447" i="39"/>
  <c r="U287" i="39"/>
  <c r="T198" i="39"/>
  <c r="S198" i="39"/>
  <c r="S173" i="39"/>
  <c r="R286" i="39"/>
  <c r="Q173" i="39"/>
  <c r="R173" i="39"/>
  <c r="T148" i="39"/>
  <c r="Q148" i="39"/>
  <c r="U123" i="39"/>
  <c r="T296" i="39"/>
  <c r="S98" i="39"/>
  <c r="U73" i="39"/>
  <c r="S73" i="39"/>
  <c r="T441" i="39"/>
  <c r="R48" i="39"/>
  <c r="H275" i="39"/>
  <c r="H276" i="39" s="1"/>
  <c r="M379" i="39" s="1"/>
  <c r="G273" i="39"/>
  <c r="F273" i="39"/>
  <c r="F313" i="39"/>
  <c r="E312" i="39" s="1"/>
  <c r="G173" i="39"/>
  <c r="D286" i="39"/>
  <c r="D173" i="39"/>
  <c r="E173" i="39"/>
  <c r="G285" i="39"/>
  <c r="F123" i="39"/>
  <c r="G123" i="39"/>
  <c r="D98" i="39"/>
  <c r="G442" i="39"/>
  <c r="H48" i="39"/>
  <c r="D305" i="39"/>
  <c r="H23" i="39"/>
  <c r="Q174" i="39"/>
  <c r="Q175" i="39" s="1"/>
  <c r="S224" i="39"/>
  <c r="U175" i="39"/>
  <c r="Z388" i="39" s="1"/>
  <c r="V235" i="39"/>
  <c r="Z235" i="39" s="1"/>
  <c r="R224" i="39"/>
  <c r="R225" i="39" s="1"/>
  <c r="E275" i="39"/>
  <c r="E276" i="39" s="1"/>
  <c r="J379" i="39" s="1"/>
  <c r="M108" i="39"/>
  <c r="U224" i="39"/>
  <c r="U225" i="39" s="1"/>
  <c r="U249" i="39"/>
  <c r="U250" i="39" s="1"/>
  <c r="R174" i="39"/>
  <c r="R175" i="39" s="1"/>
  <c r="Z158" i="39"/>
  <c r="V135" i="39"/>
  <c r="Z135" i="39" s="1"/>
  <c r="Z133" i="39"/>
  <c r="T174" i="39"/>
  <c r="T175" i="39" s="1"/>
  <c r="Z33" i="39"/>
  <c r="S174" i="39"/>
  <c r="M33" i="39"/>
  <c r="G23" i="39"/>
  <c r="E23" i="39"/>
  <c r="H280" i="39"/>
  <c r="H453" i="39"/>
  <c r="I8" i="39"/>
  <c r="I9" i="39"/>
  <c r="H24" i="39" s="1"/>
  <c r="H25" i="39" s="1"/>
  <c r="AM33" i="39"/>
  <c r="AG149" i="39"/>
  <c r="AG150" i="39" s="1"/>
  <c r="AL387" i="39" s="1"/>
  <c r="AD49" i="39"/>
  <c r="AD50" i="39" s="1"/>
  <c r="AM208" i="39"/>
  <c r="AM58" i="39"/>
  <c r="AH49" i="39"/>
  <c r="AH50" i="39" s="1"/>
  <c r="AH51" i="39" s="1"/>
  <c r="AM370" i="39" s="1"/>
  <c r="AI35" i="39"/>
  <c r="AM35" i="39" s="1"/>
  <c r="AF49" i="39"/>
  <c r="AF50" i="39" s="1"/>
  <c r="M183" i="39"/>
  <c r="S149" i="39"/>
  <c r="S150" i="39" s="1"/>
  <c r="Z83" i="39"/>
  <c r="Z8" i="39"/>
  <c r="Z108" i="39"/>
  <c r="M83" i="39"/>
  <c r="U149" i="39"/>
  <c r="U150" i="39" s="1"/>
  <c r="Z233" i="39"/>
  <c r="T149" i="39"/>
  <c r="T150" i="39" s="1"/>
  <c r="Q149" i="39"/>
  <c r="D300" i="39"/>
  <c r="D287" i="39"/>
  <c r="U273" i="39"/>
  <c r="R301" i="39"/>
  <c r="R288" i="39"/>
  <c r="S303" i="39"/>
  <c r="S290" i="39"/>
  <c r="E248" i="39"/>
  <c r="U248" i="39"/>
  <c r="R248" i="39"/>
  <c r="D275" i="39"/>
  <c r="AH223" i="39"/>
  <c r="H99" i="39"/>
  <c r="H100" i="39" s="1"/>
  <c r="G99" i="39"/>
  <c r="G100" i="39" s="1"/>
  <c r="F99" i="39"/>
  <c r="F100" i="39" s="1"/>
  <c r="D99" i="39"/>
  <c r="E99" i="39"/>
  <c r="E100" i="39" s="1"/>
  <c r="I85" i="39"/>
  <c r="M85" i="39" s="1"/>
  <c r="U173" i="39"/>
  <c r="AD148" i="39"/>
  <c r="H174" i="39"/>
  <c r="H175" i="39" s="1"/>
  <c r="F174" i="39"/>
  <c r="F175" i="39" s="1"/>
  <c r="D174" i="39"/>
  <c r="I160" i="39"/>
  <c r="M160" i="39" s="1"/>
  <c r="E174" i="39"/>
  <c r="E175" i="39" s="1"/>
  <c r="G174" i="39"/>
  <c r="G175" i="39" s="1"/>
  <c r="U286" i="39"/>
  <c r="U299" i="39"/>
  <c r="AH73" i="39"/>
  <c r="U282" i="39"/>
  <c r="U295" i="39"/>
  <c r="Q73" i="39"/>
  <c r="Q48" i="39"/>
  <c r="G73" i="39"/>
  <c r="G294" i="39"/>
  <c r="G281" i="39"/>
  <c r="AH98" i="39"/>
  <c r="F307" i="39"/>
  <c r="H300" i="39"/>
  <c r="H287" i="39"/>
  <c r="AH463" i="39"/>
  <c r="AI259" i="39"/>
  <c r="AI258" i="39"/>
  <c r="F290" i="39"/>
  <c r="F303" i="39"/>
  <c r="F275" i="39"/>
  <c r="AE286" i="39"/>
  <c r="AE299" i="39"/>
  <c r="AF300" i="39"/>
  <c r="AF287" i="39"/>
  <c r="AE287" i="39"/>
  <c r="AE300" i="39"/>
  <c r="T300" i="39"/>
  <c r="T287" i="39"/>
  <c r="G295" i="39"/>
  <c r="G282" i="39"/>
  <c r="H458" i="39"/>
  <c r="I133" i="39"/>
  <c r="I134" i="39"/>
  <c r="AE23" i="39"/>
  <c r="T284" i="39"/>
  <c r="T297" i="39"/>
  <c r="T99" i="39"/>
  <c r="T100" i="39" s="1"/>
  <c r="S99" i="39"/>
  <c r="S100" i="39" s="1"/>
  <c r="R99" i="39"/>
  <c r="R100" i="39" s="1"/>
  <c r="Q99" i="39"/>
  <c r="V85" i="39"/>
  <c r="Z85" i="39" s="1"/>
  <c r="U99" i="39"/>
  <c r="U100" i="39" s="1"/>
  <c r="AG198" i="39"/>
  <c r="AH302" i="39"/>
  <c r="AH289" i="39"/>
  <c r="AD223" i="39"/>
  <c r="G275" i="39"/>
  <c r="F299" i="39"/>
  <c r="F286" i="39"/>
  <c r="U298" i="39"/>
  <c r="U285" i="39"/>
  <c r="AG301" i="39"/>
  <c r="AG288" i="39"/>
  <c r="F296" i="39"/>
  <c r="F283" i="39"/>
  <c r="AF198" i="39"/>
  <c r="R150" i="39"/>
  <c r="AD200" i="39"/>
  <c r="AI199" i="39"/>
  <c r="E296" i="39"/>
  <c r="E283" i="39"/>
  <c r="AF73" i="39"/>
  <c r="U281" i="39"/>
  <c r="U294" i="39"/>
  <c r="F23" i="39"/>
  <c r="F48" i="39"/>
  <c r="H98" i="39"/>
  <c r="T442" i="39"/>
  <c r="Q307" i="39"/>
  <c r="AH440" i="39"/>
  <c r="AM8" i="39"/>
  <c r="G446" i="39"/>
  <c r="D310" i="39"/>
  <c r="AH99" i="39"/>
  <c r="AH100" i="39" s="1"/>
  <c r="AG99" i="39"/>
  <c r="AG100" i="39" s="1"/>
  <c r="AF99" i="39"/>
  <c r="AF100" i="39" s="1"/>
  <c r="AD99" i="39"/>
  <c r="AE99" i="39"/>
  <c r="AE100" i="39" s="1"/>
  <c r="AI85" i="39"/>
  <c r="AM85" i="39" s="1"/>
  <c r="R303" i="39"/>
  <c r="R290" i="39"/>
  <c r="T273" i="39"/>
  <c r="E299" i="39"/>
  <c r="E286" i="39"/>
  <c r="T450" i="39"/>
  <c r="Q314" i="39"/>
  <c r="R314" i="39" s="1"/>
  <c r="U312" i="39" s="1"/>
  <c r="T449" i="39"/>
  <c r="Q313" i="39"/>
  <c r="T448" i="39"/>
  <c r="Q312" i="39"/>
  <c r="T248" i="39"/>
  <c r="R223" i="39"/>
  <c r="AH446" i="39"/>
  <c r="AM158" i="39"/>
  <c r="Q225" i="39"/>
  <c r="AF123" i="39"/>
  <c r="G443" i="39"/>
  <c r="D308" i="39"/>
  <c r="AF299" i="39"/>
  <c r="AF286" i="39"/>
  <c r="AD173" i="39"/>
  <c r="AG148" i="39"/>
  <c r="D297" i="39"/>
  <c r="D284" i="39"/>
  <c r="AF296" i="39"/>
  <c r="AF283" i="39"/>
  <c r="AH295" i="39"/>
  <c r="AH282" i="39"/>
  <c r="AG441" i="39"/>
  <c r="AD306" i="39"/>
  <c r="AF200" i="39"/>
  <c r="E98" i="39"/>
  <c r="AH150" i="39"/>
  <c r="S294" i="39"/>
  <c r="S281" i="39"/>
  <c r="H124" i="39"/>
  <c r="H125" i="39" s="1"/>
  <c r="F124" i="39"/>
  <c r="F125" i="39" s="1"/>
  <c r="D124" i="39"/>
  <c r="G124" i="39"/>
  <c r="G125" i="39" s="1"/>
  <c r="E124" i="39"/>
  <c r="E125" i="39" s="1"/>
  <c r="I110" i="39"/>
  <c r="M110" i="39" s="1"/>
  <c r="H49" i="39"/>
  <c r="H50" i="39" s="1"/>
  <c r="D49" i="39"/>
  <c r="G49" i="39"/>
  <c r="G50" i="39" s="1"/>
  <c r="I35" i="39"/>
  <c r="M35" i="39" s="1"/>
  <c r="F49" i="39"/>
  <c r="F50" i="39" s="1"/>
  <c r="E49" i="39"/>
  <c r="E50" i="39" s="1"/>
  <c r="AE289" i="39"/>
  <c r="AE302" i="39"/>
  <c r="AF223" i="39"/>
  <c r="F288" i="39"/>
  <c r="F301" i="39"/>
  <c r="H462" i="39"/>
  <c r="I233" i="39"/>
  <c r="I234" i="39"/>
  <c r="R198" i="39"/>
  <c r="D200" i="39"/>
  <c r="I199" i="39"/>
  <c r="AH174" i="39"/>
  <c r="AH175" i="39" s="1"/>
  <c r="AF174" i="39"/>
  <c r="AF175" i="39" s="1"/>
  <c r="AD174" i="39"/>
  <c r="AI160" i="39"/>
  <c r="AM160" i="39" s="1"/>
  <c r="AG174" i="39"/>
  <c r="AG175" i="39" s="1"/>
  <c r="AE174" i="39"/>
  <c r="AE175" i="39" s="1"/>
  <c r="AM233" i="39"/>
  <c r="D123" i="39"/>
  <c r="AE123" i="39"/>
  <c r="D148" i="39"/>
  <c r="D198" i="39"/>
  <c r="AF98" i="39"/>
  <c r="H73" i="39"/>
  <c r="AG200" i="39"/>
  <c r="AE282" i="39"/>
  <c r="AE295" i="39"/>
  <c r="E48" i="39"/>
  <c r="Q250" i="39"/>
  <c r="U455" i="39"/>
  <c r="V59" i="39"/>
  <c r="V58" i="39"/>
  <c r="U48" i="39"/>
  <c r="AD24" i="39"/>
  <c r="AI10" i="39"/>
  <c r="AM10" i="39" s="1"/>
  <c r="AG24" i="39"/>
  <c r="AG25" i="39" s="1"/>
  <c r="AF24" i="39"/>
  <c r="AF25" i="39" s="1"/>
  <c r="AH24" i="39"/>
  <c r="AH25" i="39" s="1"/>
  <c r="AE24" i="39"/>
  <c r="AE25" i="39" s="1"/>
  <c r="F223" i="39"/>
  <c r="G302" i="39"/>
  <c r="G289" i="39"/>
  <c r="D223" i="39"/>
  <c r="Q310" i="39"/>
  <c r="T446" i="39"/>
  <c r="S284" i="39"/>
  <c r="S297" i="39"/>
  <c r="AF173" i="39"/>
  <c r="AH297" i="39"/>
  <c r="AH284" i="39"/>
  <c r="G444" i="39"/>
  <c r="D309" i="39"/>
  <c r="S299" i="39"/>
  <c r="S286" i="39"/>
  <c r="U297" i="39"/>
  <c r="U284" i="39"/>
  <c r="AH200" i="39"/>
  <c r="T444" i="39"/>
  <c r="Q309" i="39"/>
  <c r="AE73" i="39"/>
  <c r="AG23" i="39"/>
  <c r="R250" i="39"/>
  <c r="AG74" i="39"/>
  <c r="AG75" i="39" s="1"/>
  <c r="AF74" i="39"/>
  <c r="AF75" i="39" s="1"/>
  <c r="AE74" i="39"/>
  <c r="AE75" i="39" s="1"/>
  <c r="AD74" i="39"/>
  <c r="AI60" i="39"/>
  <c r="AM60" i="39" s="1"/>
  <c r="AH74" i="39"/>
  <c r="AH75" i="39" s="1"/>
  <c r="R284" i="39"/>
  <c r="R297" i="39"/>
  <c r="S23" i="39"/>
  <c r="T290" i="39"/>
  <c r="T303" i="39"/>
  <c r="S302" i="39"/>
  <c r="S289" i="39"/>
  <c r="AH249" i="39"/>
  <c r="AH250" i="39" s="1"/>
  <c r="AG249" i="39"/>
  <c r="AG250" i="39" s="1"/>
  <c r="AF249" i="39"/>
  <c r="AF250" i="39" s="1"/>
  <c r="AE249" i="39"/>
  <c r="AE250" i="39" s="1"/>
  <c r="AD249" i="39"/>
  <c r="AI235" i="39"/>
  <c r="AM235" i="39" s="1"/>
  <c r="E200" i="39"/>
  <c r="H173" i="39"/>
  <c r="H284" i="39"/>
  <c r="H297" i="39"/>
  <c r="T73" i="39"/>
  <c r="AM183" i="39"/>
  <c r="AH224" i="39"/>
  <c r="AH225" i="39" s="1"/>
  <c r="AG224" i="39"/>
  <c r="AG225" i="39" s="1"/>
  <c r="AF224" i="39"/>
  <c r="AF225" i="39" s="1"/>
  <c r="AE224" i="39"/>
  <c r="AE225" i="39" s="1"/>
  <c r="AD224" i="39"/>
  <c r="AI210" i="39"/>
  <c r="AM210" i="39" s="1"/>
  <c r="AE198" i="39"/>
  <c r="G447" i="39"/>
  <c r="D311" i="39"/>
  <c r="F298" i="39"/>
  <c r="F285" i="39"/>
  <c r="R302" i="39"/>
  <c r="R289" i="39"/>
  <c r="S48" i="39"/>
  <c r="V10" i="39"/>
  <c r="Z10" i="39" s="1"/>
  <c r="U24" i="39"/>
  <c r="U25" i="39" s="1"/>
  <c r="T24" i="39"/>
  <c r="T25" i="39" s="1"/>
  <c r="S24" i="39"/>
  <c r="S25" i="39" s="1"/>
  <c r="R24" i="39"/>
  <c r="R25" i="39" s="1"/>
  <c r="Q24" i="39"/>
  <c r="U124" i="39"/>
  <c r="U125" i="39" s="1"/>
  <c r="T124" i="39"/>
  <c r="T125" i="39" s="1"/>
  <c r="S124" i="39"/>
  <c r="S125" i="39" s="1"/>
  <c r="R124" i="39"/>
  <c r="R125" i="39" s="1"/>
  <c r="Q124" i="39"/>
  <c r="V110" i="39"/>
  <c r="Z110" i="39" s="1"/>
  <c r="V35" i="39"/>
  <c r="Z35" i="39" s="1"/>
  <c r="U49" i="39"/>
  <c r="U50" i="39" s="1"/>
  <c r="T49" i="39"/>
  <c r="T50" i="39" s="1"/>
  <c r="S49" i="39"/>
  <c r="S50" i="39" s="1"/>
  <c r="R49" i="39"/>
  <c r="R50" i="39" s="1"/>
  <c r="Q49" i="39"/>
  <c r="R295" i="39"/>
  <c r="R282" i="39"/>
  <c r="S250" i="39"/>
  <c r="G286" i="39"/>
  <c r="G299" i="39"/>
  <c r="E290" i="39"/>
  <c r="E303" i="39"/>
  <c r="AF313" i="39"/>
  <c r="AE310" i="39" s="1"/>
  <c r="AH309" i="39" s="1"/>
  <c r="AE313" i="39"/>
  <c r="R199" i="39"/>
  <c r="R200" i="39" s="1"/>
  <c r="Q199" i="39"/>
  <c r="V185" i="39"/>
  <c r="Z185" i="39" s="1"/>
  <c r="U199" i="39"/>
  <c r="U200" i="39" s="1"/>
  <c r="T199" i="39"/>
  <c r="T200" i="39" s="1"/>
  <c r="S199" i="39"/>
  <c r="S200" i="39" s="1"/>
  <c r="R285" i="39"/>
  <c r="R298" i="39"/>
  <c r="AG296" i="39"/>
  <c r="AG283" i="39"/>
  <c r="D295" i="39"/>
  <c r="D282" i="39"/>
  <c r="U148" i="39"/>
  <c r="H295" i="39"/>
  <c r="H282" i="39"/>
  <c r="T298" i="39"/>
  <c r="T285" i="39"/>
  <c r="H296" i="39"/>
  <c r="H283" i="39"/>
  <c r="T443" i="39"/>
  <c r="Q308" i="39"/>
  <c r="AF48" i="39"/>
  <c r="E294" i="39"/>
  <c r="E281" i="39"/>
  <c r="U274" i="39"/>
  <c r="U275" i="39" s="1"/>
  <c r="V260" i="39"/>
  <c r="Z260" i="39" s="1"/>
  <c r="T274" i="39"/>
  <c r="T275" i="39" s="1"/>
  <c r="S274" i="39"/>
  <c r="S275" i="39" s="1"/>
  <c r="R274" i="39"/>
  <c r="R275" i="39" s="1"/>
  <c r="Q274" i="39"/>
  <c r="U302" i="39"/>
  <c r="U289" i="39"/>
  <c r="G200" i="39"/>
  <c r="AG442" i="39"/>
  <c r="AD307" i="39"/>
  <c r="D23" i="39"/>
  <c r="T123" i="39"/>
  <c r="AF248" i="39"/>
  <c r="F248" i="39"/>
  <c r="T223" i="39"/>
  <c r="E273" i="39"/>
  <c r="S248" i="39"/>
  <c r="H224" i="39"/>
  <c r="H225" i="39" s="1"/>
  <c r="G224" i="39"/>
  <c r="G225" i="39" s="1"/>
  <c r="F224" i="39"/>
  <c r="F225" i="39" s="1"/>
  <c r="E224" i="39"/>
  <c r="E225" i="39" s="1"/>
  <c r="I210" i="39"/>
  <c r="M210" i="39" s="1"/>
  <c r="D224" i="39"/>
  <c r="H200" i="39"/>
  <c r="D73" i="39"/>
  <c r="H286" i="39"/>
  <c r="H299" i="39"/>
  <c r="AH123" i="39"/>
  <c r="AH300" i="39"/>
  <c r="AH287" i="39"/>
  <c r="F148" i="39"/>
  <c r="E148" i="39"/>
  <c r="G297" i="39"/>
  <c r="G284" i="39"/>
  <c r="AE173" i="39"/>
  <c r="T98" i="39"/>
  <c r="S283" i="39"/>
  <c r="S296" i="39"/>
  <c r="AH457" i="39"/>
  <c r="AI108" i="39"/>
  <c r="AI109" i="39"/>
  <c r="AG443" i="39"/>
  <c r="AD308" i="39"/>
  <c r="U23" i="39"/>
  <c r="D248" i="39"/>
  <c r="G223" i="39"/>
  <c r="AD198" i="39"/>
  <c r="T302" i="39"/>
  <c r="T289" i="39"/>
  <c r="D288" i="39"/>
  <c r="D301" i="39"/>
  <c r="E289" i="39"/>
  <c r="E302" i="39"/>
  <c r="Z183" i="39"/>
  <c r="I274" i="39"/>
  <c r="AH301" i="39"/>
  <c r="AH288" i="39"/>
  <c r="AG450" i="39"/>
  <c r="AD314" i="39"/>
  <c r="AE314" i="39" s="1"/>
  <c r="AH312" i="39" s="1"/>
  <c r="H198" i="39"/>
  <c r="AG299" i="39"/>
  <c r="AG286" i="39"/>
  <c r="AM133" i="39"/>
  <c r="S148" i="39"/>
  <c r="G74" i="39"/>
  <c r="G75" i="39" s="1"/>
  <c r="F74" i="39"/>
  <c r="F75" i="39" s="1"/>
  <c r="E74" i="39"/>
  <c r="E75" i="39" s="1"/>
  <c r="D74" i="39"/>
  <c r="H74" i="39"/>
  <c r="H75" i="39" s="1"/>
  <c r="I60" i="39"/>
  <c r="M60" i="39" s="1"/>
  <c r="AG295" i="39"/>
  <c r="AG282" i="39"/>
  <c r="R73" i="39"/>
  <c r="E293" i="39"/>
  <c r="E280" i="39"/>
  <c r="AF281" i="39"/>
  <c r="AF294" i="39"/>
  <c r="Y390" i="39" l="1"/>
  <c r="AE201" i="39"/>
  <c r="AJ376" i="39" s="1"/>
  <c r="AE151" i="39"/>
  <c r="AJ374" i="39" s="1"/>
  <c r="AI149" i="39"/>
  <c r="AG151" i="39"/>
  <c r="AL374" i="39" s="1"/>
  <c r="AJ383" i="39"/>
  <c r="AM383" i="39"/>
  <c r="M392" i="39"/>
  <c r="E308" i="39"/>
  <c r="H307" i="39" s="1"/>
  <c r="E310" i="39"/>
  <c r="H309" i="39" s="1"/>
  <c r="E311" i="39"/>
  <c r="H310" i="39" s="1"/>
  <c r="E309" i="39"/>
  <c r="H308" i="39" s="1"/>
  <c r="E307" i="39"/>
  <c r="J392" i="39"/>
  <c r="Y391" i="39"/>
  <c r="F201" i="39"/>
  <c r="K376" i="39" s="1"/>
  <c r="L200" i="39"/>
  <c r="L460" i="39" s="1"/>
  <c r="D24" i="39"/>
  <c r="D25" i="39" s="1"/>
  <c r="E24" i="39"/>
  <c r="E25" i="39" s="1"/>
  <c r="J382" i="39" s="1"/>
  <c r="G24" i="39"/>
  <c r="G25" i="39" s="1"/>
  <c r="L382" i="39" s="1"/>
  <c r="I10" i="39"/>
  <c r="M10" i="39" s="1"/>
  <c r="F24" i="39"/>
  <c r="F25" i="39" s="1"/>
  <c r="K382" i="39" s="1"/>
  <c r="E305" i="39"/>
  <c r="H305" i="39" s="1"/>
  <c r="V249" i="39"/>
  <c r="V224" i="39"/>
  <c r="U176" i="39"/>
  <c r="Z375" i="39" s="1"/>
  <c r="S225" i="39"/>
  <c r="X390" i="39" s="1"/>
  <c r="V149" i="39"/>
  <c r="V174" i="39"/>
  <c r="Y387" i="39"/>
  <c r="T151" i="39"/>
  <c r="Y374" i="39" s="1"/>
  <c r="T176" i="39"/>
  <c r="Y375" i="39" s="1"/>
  <c r="Y388" i="39"/>
  <c r="S175" i="39"/>
  <c r="H440" i="39"/>
  <c r="M8" i="39"/>
  <c r="AI49" i="39"/>
  <c r="E306" i="39"/>
  <c r="H306" i="39" s="1"/>
  <c r="Q150" i="39"/>
  <c r="V387" i="39" s="1"/>
  <c r="AI387" i="39"/>
  <c r="AK150" i="39"/>
  <c r="AD151" i="39"/>
  <c r="AI374" i="39" s="1"/>
  <c r="V274" i="39"/>
  <c r="Q275" i="39"/>
  <c r="AE311" i="39"/>
  <c r="AH310" i="39" s="1"/>
  <c r="V49" i="39"/>
  <c r="Q50" i="39"/>
  <c r="Y386" i="39"/>
  <c r="T126" i="39"/>
  <c r="Y373" i="39" s="1"/>
  <c r="AM391" i="39"/>
  <c r="AH251" i="39"/>
  <c r="AM378" i="39" s="1"/>
  <c r="AK384" i="39"/>
  <c r="AL75" i="39"/>
  <c r="AF76" i="39"/>
  <c r="AK371" i="39" s="1"/>
  <c r="AE309" i="39"/>
  <c r="AH308" i="39" s="1"/>
  <c r="AM388" i="39"/>
  <c r="AH176" i="39"/>
  <c r="AM375" i="39" s="1"/>
  <c r="D125" i="39"/>
  <c r="I124" i="39"/>
  <c r="AM385" i="39"/>
  <c r="AH101" i="39"/>
  <c r="AM372" i="39" s="1"/>
  <c r="AI260" i="39"/>
  <c r="AM260" i="39" s="1"/>
  <c r="AH274" i="39"/>
  <c r="AH275" i="39" s="1"/>
  <c r="AG274" i="39"/>
  <c r="AG275" i="39" s="1"/>
  <c r="AF274" i="39"/>
  <c r="AF275" i="39" s="1"/>
  <c r="AE274" i="39"/>
  <c r="AE275" i="39" s="1"/>
  <c r="AD274" i="39"/>
  <c r="M388" i="39"/>
  <c r="H176" i="39"/>
  <c r="M375" i="39" s="1"/>
  <c r="AE312" i="39"/>
  <c r="AH311" i="39" s="1"/>
  <c r="K388" i="39"/>
  <c r="F176" i="39"/>
  <c r="K375" i="39" s="1"/>
  <c r="L175" i="39"/>
  <c r="W392" i="39"/>
  <c r="R276" i="39"/>
  <c r="W379" i="39" s="1"/>
  <c r="X389" i="39"/>
  <c r="Y200" i="39"/>
  <c r="S201" i="39"/>
  <c r="X376" i="39" s="1"/>
  <c r="W383" i="39"/>
  <c r="R51" i="39"/>
  <c r="W370" i="39" s="1"/>
  <c r="Z386" i="39"/>
  <c r="U126" i="39"/>
  <c r="Z373" i="39" s="1"/>
  <c r="AL384" i="39"/>
  <c r="AG76" i="39"/>
  <c r="AL371" i="39" s="1"/>
  <c r="U442" i="39"/>
  <c r="Z58" i="39"/>
  <c r="K386" i="39"/>
  <c r="F126" i="39"/>
  <c r="K373" i="39" s="1"/>
  <c r="L125" i="39"/>
  <c r="V390" i="39"/>
  <c r="X225" i="39"/>
  <c r="Q226" i="39"/>
  <c r="V377" i="39" s="1"/>
  <c r="X392" i="39"/>
  <c r="Y275" i="39"/>
  <c r="S276" i="39"/>
  <c r="X379" i="39" s="1"/>
  <c r="Y389" i="39"/>
  <c r="T201" i="39"/>
  <c r="Y376" i="39" s="1"/>
  <c r="X383" i="39"/>
  <c r="S51" i="39"/>
  <c r="X370" i="39" s="1"/>
  <c r="Y50" i="39"/>
  <c r="V24" i="39"/>
  <c r="Q25" i="39"/>
  <c r="R251" i="39"/>
  <c r="W378" i="39" s="1"/>
  <c r="W391" i="39"/>
  <c r="Q74" i="39"/>
  <c r="U74" i="39"/>
  <c r="U75" i="39" s="1"/>
  <c r="S74" i="39"/>
  <c r="S75" i="39" s="1"/>
  <c r="T74" i="39"/>
  <c r="T75" i="39" s="1"/>
  <c r="R74" i="39"/>
  <c r="R75" i="39" s="1"/>
  <c r="V60" i="39"/>
  <c r="Z60" i="39" s="1"/>
  <c r="I389" i="39"/>
  <c r="D201" i="39"/>
  <c r="I376" i="39" s="1"/>
  <c r="K200" i="39"/>
  <c r="J383" i="39"/>
  <c r="E51" i="39"/>
  <c r="J370" i="39" s="1"/>
  <c r="M386" i="39"/>
  <c r="H126" i="39"/>
  <c r="M373" i="39" s="1"/>
  <c r="M389" i="39"/>
  <c r="H201" i="39"/>
  <c r="M376" i="39" s="1"/>
  <c r="Y392" i="39"/>
  <c r="T276" i="39"/>
  <c r="Y379" i="39" s="1"/>
  <c r="AL383" i="39"/>
  <c r="AG51" i="39"/>
  <c r="AL370" i="39" s="1"/>
  <c r="Z389" i="39"/>
  <c r="U201" i="39"/>
  <c r="Z376" i="39" s="1"/>
  <c r="Y383" i="39"/>
  <c r="T51" i="39"/>
  <c r="Y370" i="39" s="1"/>
  <c r="R26" i="39"/>
  <c r="AJ382" i="39"/>
  <c r="AE26" i="39"/>
  <c r="AJ369" i="39" s="1"/>
  <c r="K383" i="39"/>
  <c r="L50" i="39"/>
  <c r="F51" i="39"/>
  <c r="K370" i="39" s="1"/>
  <c r="AH450" i="39"/>
  <c r="AM258" i="39"/>
  <c r="M382" i="39"/>
  <c r="H26" i="39"/>
  <c r="M369" i="39" s="1"/>
  <c r="D225" i="39"/>
  <c r="I224" i="39"/>
  <c r="Z383" i="39"/>
  <c r="U51" i="39"/>
  <c r="Z370" i="39" s="1"/>
  <c r="S26" i="39"/>
  <c r="Y25" i="39"/>
  <c r="Z387" i="39"/>
  <c r="U151" i="39"/>
  <c r="Z374" i="39" s="1"/>
  <c r="AM382" i="39"/>
  <c r="AH26" i="39"/>
  <c r="AM369" i="39" s="1"/>
  <c r="V391" i="39"/>
  <c r="X250" i="39"/>
  <c r="Q251" i="39"/>
  <c r="V378" i="39" s="1"/>
  <c r="G249" i="39"/>
  <c r="G250" i="39" s="1"/>
  <c r="H249" i="39"/>
  <c r="H250" i="39" s="1"/>
  <c r="F249" i="39"/>
  <c r="F250" i="39" s="1"/>
  <c r="E249" i="39"/>
  <c r="E250" i="39" s="1"/>
  <c r="D249" i="39"/>
  <c r="I235" i="39"/>
  <c r="M235" i="39" s="1"/>
  <c r="J385" i="39"/>
  <c r="E101" i="39"/>
  <c r="J372" i="39" s="1"/>
  <c r="Z392" i="39"/>
  <c r="U276" i="39"/>
  <c r="Z379" i="39" s="1"/>
  <c r="Q200" i="39"/>
  <c r="V199" i="39"/>
  <c r="T26" i="39"/>
  <c r="AD225" i="39"/>
  <c r="AI224" i="39"/>
  <c r="AK382" i="39"/>
  <c r="AF26" i="39"/>
  <c r="AK369" i="39" s="1"/>
  <c r="AL25" i="39"/>
  <c r="H449" i="39"/>
  <c r="M233" i="39"/>
  <c r="L383" i="39"/>
  <c r="G51" i="39"/>
  <c r="L370" i="39" s="1"/>
  <c r="AM387" i="39"/>
  <c r="AH151" i="39"/>
  <c r="AM374" i="39" s="1"/>
  <c r="Z385" i="39"/>
  <c r="U101" i="39"/>
  <c r="Z372" i="39" s="1"/>
  <c r="AI383" i="39"/>
  <c r="AD51" i="39"/>
  <c r="AI370" i="39" s="1"/>
  <c r="AK50" i="39"/>
  <c r="D100" i="39"/>
  <c r="I99" i="39"/>
  <c r="AL391" i="39"/>
  <c r="AG251" i="39"/>
  <c r="AL378" i="39" s="1"/>
  <c r="M384" i="39"/>
  <c r="H76" i="39"/>
  <c r="M371" i="39" s="1"/>
  <c r="AK383" i="39"/>
  <c r="AF51" i="39"/>
  <c r="AK370" i="39" s="1"/>
  <c r="AL50" i="39"/>
  <c r="J390" i="39"/>
  <c r="E226" i="39"/>
  <c r="J377" i="39" s="1"/>
  <c r="W388" i="39"/>
  <c r="R176" i="39"/>
  <c r="W375" i="39" s="1"/>
  <c r="W389" i="39"/>
  <c r="R201" i="39"/>
  <c r="W376" i="39" s="1"/>
  <c r="U26" i="39"/>
  <c r="AJ390" i="39"/>
  <c r="AE226" i="39"/>
  <c r="AJ377" i="39" s="1"/>
  <c r="J389" i="39"/>
  <c r="E201" i="39"/>
  <c r="J376" i="39" s="1"/>
  <c r="AL382" i="39"/>
  <c r="AG26" i="39"/>
  <c r="AL369" i="39" s="1"/>
  <c r="W390" i="39"/>
  <c r="R226" i="39"/>
  <c r="W377" i="39" s="1"/>
  <c r="I49" i="39"/>
  <c r="D50" i="39"/>
  <c r="Z390" i="39"/>
  <c r="U226" i="39"/>
  <c r="Z377" i="39" s="1"/>
  <c r="H149" i="39"/>
  <c r="H150" i="39" s="1"/>
  <c r="G149" i="39"/>
  <c r="G150" i="39" s="1"/>
  <c r="E149" i="39"/>
  <c r="E150" i="39" s="1"/>
  <c r="I135" i="39"/>
  <c r="M135" i="39" s="1"/>
  <c r="D149" i="39"/>
  <c r="F149" i="39"/>
  <c r="F150" i="39" s="1"/>
  <c r="K385" i="39"/>
  <c r="F101" i="39"/>
  <c r="K372" i="39" s="1"/>
  <c r="L100" i="39"/>
  <c r="AJ384" i="39"/>
  <c r="AE76" i="39"/>
  <c r="AJ371" i="39" s="1"/>
  <c r="D75" i="39"/>
  <c r="I74" i="39"/>
  <c r="AE308" i="39"/>
  <c r="AH307" i="39" s="1"/>
  <c r="K390" i="39"/>
  <c r="F226" i="39"/>
  <c r="K377" i="39" s="1"/>
  <c r="L225" i="39"/>
  <c r="AF307" i="39"/>
  <c r="AE305" i="39" s="1"/>
  <c r="AH305" i="39" s="1"/>
  <c r="AE307" i="39"/>
  <c r="AK390" i="39"/>
  <c r="AF226" i="39"/>
  <c r="AK377" i="39" s="1"/>
  <c r="AL225" i="39"/>
  <c r="AM389" i="39"/>
  <c r="AH201" i="39"/>
  <c r="AM376" i="39" s="1"/>
  <c r="AJ388" i="39"/>
  <c r="AE176" i="39"/>
  <c r="AJ375" i="39" s="1"/>
  <c r="M383" i="39"/>
  <c r="H51" i="39"/>
  <c r="M370" i="39" s="1"/>
  <c r="AK389" i="39"/>
  <c r="AF201" i="39"/>
  <c r="AK376" i="39" s="1"/>
  <c r="AL200" i="39"/>
  <c r="S307" i="39"/>
  <c r="Q100" i="39"/>
  <c r="V99" i="39"/>
  <c r="H445" i="39"/>
  <c r="M133" i="39"/>
  <c r="L388" i="39"/>
  <c r="G176" i="39"/>
  <c r="L375" i="39" s="1"/>
  <c r="L385" i="39"/>
  <c r="G101" i="39"/>
  <c r="L372" i="39" s="1"/>
  <c r="AK388" i="39"/>
  <c r="AL175" i="39"/>
  <c r="AF176" i="39"/>
  <c r="AK375" i="39" s="1"/>
  <c r="J384" i="39"/>
  <c r="E76" i="39"/>
  <c r="J371" i="39" s="1"/>
  <c r="L390" i="39"/>
  <c r="G226" i="39"/>
  <c r="L377" i="39" s="1"/>
  <c r="L201" i="39"/>
  <c r="L447" i="39" s="1"/>
  <c r="D322" i="39" s="1"/>
  <c r="H321" i="39" s="1"/>
  <c r="AL390" i="39"/>
  <c r="AG226" i="39"/>
  <c r="AL377" i="39" s="1"/>
  <c r="AD250" i="39"/>
  <c r="AI249" i="39"/>
  <c r="AM384" i="39"/>
  <c r="AH76" i="39"/>
  <c r="AM371" i="39" s="1"/>
  <c r="AD25" i="39"/>
  <c r="AI24" i="39"/>
  <c r="AL388" i="39"/>
  <c r="AG176" i="39"/>
  <c r="AL375" i="39" s="1"/>
  <c r="Z391" i="39"/>
  <c r="U251" i="39"/>
  <c r="Z378" i="39" s="1"/>
  <c r="AJ385" i="39"/>
  <c r="AE101" i="39"/>
  <c r="AJ372" i="39" s="1"/>
  <c r="AI389" i="39"/>
  <c r="AK200" i="39"/>
  <c r="AD201" i="39"/>
  <c r="AI376" i="39" s="1"/>
  <c r="W385" i="39"/>
  <c r="R101" i="39"/>
  <c r="W372" i="39" s="1"/>
  <c r="K392" i="39"/>
  <c r="F276" i="39"/>
  <c r="K379" i="39" s="1"/>
  <c r="L275" i="39"/>
  <c r="J388" i="39"/>
  <c r="E176" i="39"/>
  <c r="J375" i="39" s="1"/>
  <c r="M385" i="39"/>
  <c r="H101" i="39"/>
  <c r="M372" i="39" s="1"/>
  <c r="X386" i="39"/>
  <c r="Y125" i="39"/>
  <c r="S126" i="39"/>
  <c r="X373" i="39" s="1"/>
  <c r="K384" i="39"/>
  <c r="F76" i="39"/>
  <c r="K371" i="39" s="1"/>
  <c r="L75" i="39"/>
  <c r="AI110" i="39"/>
  <c r="AM110" i="39" s="1"/>
  <c r="AH124" i="39"/>
  <c r="AH125" i="39" s="1"/>
  <c r="AF124" i="39"/>
  <c r="AF125" i="39" s="1"/>
  <c r="AD124" i="39"/>
  <c r="AG124" i="39"/>
  <c r="AG125" i="39" s="1"/>
  <c r="AE124" i="39"/>
  <c r="AE125" i="39" s="1"/>
  <c r="M390" i="39"/>
  <c r="H226" i="39"/>
  <c r="M377" i="39" s="1"/>
  <c r="L389" i="39"/>
  <c r="G201" i="39"/>
  <c r="L376" i="39" s="1"/>
  <c r="Y250" i="39"/>
  <c r="X391" i="39"/>
  <c r="S251" i="39"/>
  <c r="X378" i="39" s="1"/>
  <c r="V124" i="39"/>
  <c r="Q125" i="39"/>
  <c r="AM390" i="39"/>
  <c r="AH226" i="39"/>
  <c r="AM377" i="39" s="1"/>
  <c r="AJ391" i="39"/>
  <c r="AE251" i="39"/>
  <c r="AJ378" i="39" s="1"/>
  <c r="V388" i="39"/>
  <c r="Q176" i="39"/>
  <c r="V375" i="39" s="1"/>
  <c r="X175" i="39"/>
  <c r="AL389" i="39"/>
  <c r="AG201" i="39"/>
  <c r="AL376" i="39" s="1"/>
  <c r="AD100" i="39"/>
  <c r="AI99" i="39"/>
  <c r="X385" i="39"/>
  <c r="Y100" i="39"/>
  <c r="S101" i="39"/>
  <c r="X372" i="39" s="1"/>
  <c r="AK387" i="39"/>
  <c r="AF151" i="39"/>
  <c r="AK374" i="39" s="1"/>
  <c r="AL150" i="39"/>
  <c r="L386" i="39"/>
  <c r="G126" i="39"/>
  <c r="L373" i="39" s="1"/>
  <c r="AL385" i="39"/>
  <c r="AG101" i="39"/>
  <c r="AL372" i="39" s="1"/>
  <c r="L384" i="39"/>
  <c r="G76" i="39"/>
  <c r="L371" i="39" s="1"/>
  <c r="AH444" i="39"/>
  <c r="AM108" i="39"/>
  <c r="W386" i="39"/>
  <c r="R126" i="39"/>
  <c r="W373" i="39" s="1"/>
  <c r="X387" i="39"/>
  <c r="S151" i="39"/>
  <c r="X374" i="39" s="1"/>
  <c r="Y150" i="39"/>
  <c r="AK391" i="39"/>
  <c r="AF251" i="39"/>
  <c r="AK378" i="39" s="1"/>
  <c r="AL250" i="39"/>
  <c r="AI74" i="39"/>
  <c r="AD75" i="39"/>
  <c r="AI174" i="39"/>
  <c r="AD175" i="39"/>
  <c r="J386" i="39"/>
  <c r="E126" i="39"/>
  <c r="J373" i="39" s="1"/>
  <c r="S313" i="39"/>
  <c r="R311" i="39" s="1"/>
  <c r="U310" i="39" s="1"/>
  <c r="R313" i="39"/>
  <c r="AK385" i="39"/>
  <c r="AF101" i="39"/>
  <c r="AK372" i="39" s="1"/>
  <c r="AL100" i="39"/>
  <c r="W387" i="39"/>
  <c r="R151" i="39"/>
  <c r="W374" i="39" s="1"/>
  <c r="L392" i="39"/>
  <c r="G276" i="39"/>
  <c r="L379" i="39" s="1"/>
  <c r="Y385" i="39"/>
  <c r="T101" i="39"/>
  <c r="Y372" i="39" s="1"/>
  <c r="I174" i="39"/>
  <c r="D175" i="39"/>
  <c r="I392" i="39"/>
  <c r="K275" i="39"/>
  <c r="D276" i="39"/>
  <c r="I379" i="39" s="1"/>
  <c r="G26" i="39" l="1"/>
  <c r="L369" i="39" s="1"/>
  <c r="E26" i="39"/>
  <c r="J369" i="39" s="1"/>
  <c r="Y225" i="39"/>
  <c r="Y461" i="39" s="1"/>
  <c r="S226" i="39"/>
  <c r="X377" i="39" s="1"/>
  <c r="I24" i="39"/>
  <c r="F26" i="39"/>
  <c r="K369" i="39" s="1"/>
  <c r="L25" i="39"/>
  <c r="L26" i="39" s="1"/>
  <c r="L440" i="39" s="1"/>
  <c r="D316" i="39" s="1"/>
  <c r="H316" i="39" s="1"/>
  <c r="R308" i="39"/>
  <c r="U307" i="39" s="1"/>
  <c r="X388" i="39"/>
  <c r="S176" i="39"/>
  <c r="X375" i="39" s="1"/>
  <c r="Y175" i="39"/>
  <c r="Q151" i="39"/>
  <c r="V374" i="39" s="1"/>
  <c r="X150" i="39"/>
  <c r="X458" i="39" s="1"/>
  <c r="AE306" i="39"/>
  <c r="AH306" i="39" s="1"/>
  <c r="L455" i="39"/>
  <c r="L76" i="39"/>
  <c r="L442" i="39" s="1"/>
  <c r="D318" i="39" s="1"/>
  <c r="AL456" i="39"/>
  <c r="AL101" i="39"/>
  <c r="AL443" i="39" s="1"/>
  <c r="AD319" i="39" s="1"/>
  <c r="AH318" i="39" s="1"/>
  <c r="AL462" i="39"/>
  <c r="AL251" i="39"/>
  <c r="AL449" i="39" s="1"/>
  <c r="AD324" i="39" s="1"/>
  <c r="AH322" i="39" s="1"/>
  <c r="M387" i="39"/>
  <c r="H151" i="39"/>
  <c r="M374" i="39" s="1"/>
  <c r="AL454" i="39"/>
  <c r="AL51" i="39"/>
  <c r="AL441" i="39" s="1"/>
  <c r="AD317" i="39" s="1"/>
  <c r="AH317" i="39" s="1"/>
  <c r="AM392" i="39"/>
  <c r="AH276" i="39"/>
  <c r="AM379" i="39" s="1"/>
  <c r="K463" i="39"/>
  <c r="K276" i="39"/>
  <c r="K450" i="39" s="1"/>
  <c r="X459" i="39"/>
  <c r="X176" i="39"/>
  <c r="X446" i="39" s="1"/>
  <c r="K460" i="39"/>
  <c r="K201" i="39"/>
  <c r="K447" i="39" s="1"/>
  <c r="L459" i="39"/>
  <c r="L176" i="39"/>
  <c r="L446" i="39" s="1"/>
  <c r="D321" i="39" s="1"/>
  <c r="H320" i="39" s="1"/>
  <c r="Y458" i="39"/>
  <c r="Y151" i="39"/>
  <c r="Y445" i="39" s="1"/>
  <c r="V385" i="39"/>
  <c r="X100" i="39"/>
  <c r="Q101" i="39"/>
  <c r="V372" i="39" s="1"/>
  <c r="AL461" i="39"/>
  <c r="AL226" i="39"/>
  <c r="AL448" i="39" s="1"/>
  <c r="AD323" i="39" s="1"/>
  <c r="I383" i="39"/>
  <c r="K50" i="39"/>
  <c r="D51" i="39"/>
  <c r="I370" i="39" s="1"/>
  <c r="D250" i="39"/>
  <c r="I249" i="39"/>
  <c r="Y26" i="39"/>
  <c r="U316" i="39" s="1"/>
  <c r="L454" i="39"/>
  <c r="L51" i="39"/>
  <c r="L441" i="39" s="1"/>
  <c r="D317" i="39" s="1"/>
  <c r="H317" i="39" s="1"/>
  <c r="Y454" i="39"/>
  <c r="Y51" i="39"/>
  <c r="Y441" i="39" s="1"/>
  <c r="Q317" i="39" s="1"/>
  <c r="U317" i="39" s="1"/>
  <c r="I388" i="39"/>
  <c r="K175" i="39"/>
  <c r="D176" i="39"/>
  <c r="I375" i="39" s="1"/>
  <c r="AL458" i="39"/>
  <c r="AL151" i="39"/>
  <c r="AL445" i="39" s="1"/>
  <c r="AI382" i="39"/>
  <c r="AD26" i="39"/>
  <c r="AI369" i="39" s="1"/>
  <c r="AK25" i="39"/>
  <c r="R307" i="39"/>
  <c r="L456" i="39"/>
  <c r="L101" i="39"/>
  <c r="L443" i="39" s="1"/>
  <c r="D319" i="39" s="1"/>
  <c r="H318" i="39" s="1"/>
  <c r="J391" i="39"/>
  <c r="E251" i="39"/>
  <c r="J378" i="39" s="1"/>
  <c r="V383" i="39"/>
  <c r="Q51" i="39"/>
  <c r="V370" i="39" s="1"/>
  <c r="X50" i="39"/>
  <c r="I384" i="39"/>
  <c r="D76" i="39"/>
  <c r="I371" i="39" s="1"/>
  <c r="K75" i="39"/>
  <c r="Y457" i="39"/>
  <c r="Y126" i="39"/>
  <c r="Y444" i="39" s="1"/>
  <c r="Q320" i="39" s="1"/>
  <c r="U319" i="39" s="1"/>
  <c r="AK460" i="39"/>
  <c r="AK201" i="39"/>
  <c r="AK447" i="39" s="1"/>
  <c r="R306" i="39"/>
  <c r="U306" i="39" s="1"/>
  <c r="V389" i="39"/>
  <c r="X200" i="39"/>
  <c r="Q201" i="39"/>
  <c r="V376" i="39" s="1"/>
  <c r="K391" i="39"/>
  <c r="F251" i="39"/>
  <c r="K378" i="39" s="1"/>
  <c r="L250" i="39"/>
  <c r="I386" i="39"/>
  <c r="K125" i="39"/>
  <c r="D126" i="39"/>
  <c r="I373" i="39" s="1"/>
  <c r="AL459" i="39"/>
  <c r="AL176" i="39"/>
  <c r="AL446" i="39" s="1"/>
  <c r="AD321" i="39" s="1"/>
  <c r="AH320" i="39" s="1"/>
  <c r="AL460" i="39"/>
  <c r="AL201" i="39"/>
  <c r="AL447" i="39" s="1"/>
  <c r="AD322" i="39" s="1"/>
  <c r="AH321" i="39" s="1"/>
  <c r="H251" i="39"/>
  <c r="M378" i="39" s="1"/>
  <c r="M391" i="39"/>
  <c r="W384" i="39"/>
  <c r="R76" i="39"/>
  <c r="W371" i="39" s="1"/>
  <c r="X461" i="39"/>
  <c r="X226" i="39"/>
  <c r="X448" i="39" s="1"/>
  <c r="Y462" i="39"/>
  <c r="Y251" i="39"/>
  <c r="Y449" i="39" s="1"/>
  <c r="Q324" i="39" s="1"/>
  <c r="U322" i="39" s="1"/>
  <c r="AI388" i="39"/>
  <c r="AD176" i="39"/>
  <c r="AI375" i="39" s="1"/>
  <c r="AK175" i="39"/>
  <c r="AJ386" i="39"/>
  <c r="AE126" i="39"/>
  <c r="AJ373" i="39" s="1"/>
  <c r="K387" i="39"/>
  <c r="L150" i="39"/>
  <c r="F151" i="39"/>
  <c r="K374" i="39" s="1"/>
  <c r="L391" i="39"/>
  <c r="G251" i="39"/>
  <c r="L378" i="39" s="1"/>
  <c r="Y384" i="39"/>
  <c r="T76" i="39"/>
  <c r="Y371" i="39" s="1"/>
  <c r="V392" i="39"/>
  <c r="Q276" i="39"/>
  <c r="V379" i="39" s="1"/>
  <c r="X275" i="39"/>
  <c r="Q26" i="39"/>
  <c r="X25" i="39"/>
  <c r="Y456" i="39"/>
  <c r="Y101" i="39"/>
  <c r="Y443" i="39" s="1"/>
  <c r="U318" i="39" s="1"/>
  <c r="AL386" i="39"/>
  <c r="AG126" i="39"/>
  <c r="AL373" i="39" s="1"/>
  <c r="AI391" i="39"/>
  <c r="AD251" i="39"/>
  <c r="AI378" i="39" s="1"/>
  <c r="AK250" i="39"/>
  <c r="L461" i="39"/>
  <c r="L226" i="39"/>
  <c r="L448" i="39" s="1"/>
  <c r="D323" i="39" s="1"/>
  <c r="D150" i="39"/>
  <c r="I149" i="39"/>
  <c r="I385" i="39"/>
  <c r="D101" i="39"/>
  <c r="I372" i="39" s="1"/>
  <c r="K100" i="39"/>
  <c r="AL453" i="39"/>
  <c r="AL26" i="39"/>
  <c r="AL440" i="39" s="1"/>
  <c r="AD316" i="39" s="1"/>
  <c r="AH316" i="39" s="1"/>
  <c r="X384" i="39"/>
  <c r="S76" i="39"/>
  <c r="X371" i="39" s="1"/>
  <c r="Y75" i="39"/>
  <c r="L457" i="39"/>
  <c r="L126" i="39"/>
  <c r="L444" i="39" s="1"/>
  <c r="D320" i="39" s="1"/>
  <c r="H319" i="39" s="1"/>
  <c r="Y460" i="39"/>
  <c r="Y201" i="39"/>
  <c r="Y447" i="39" s="1"/>
  <c r="Q322" i="39" s="1"/>
  <c r="U321" i="39" s="1"/>
  <c r="AD275" i="39"/>
  <c r="AI274" i="39"/>
  <c r="AI390" i="39"/>
  <c r="AD226" i="39"/>
  <c r="AI377" i="39" s="1"/>
  <c r="AK225" i="39"/>
  <c r="R310" i="39"/>
  <c r="U309" i="39" s="1"/>
  <c r="V386" i="39"/>
  <c r="Q126" i="39"/>
  <c r="V373" i="39" s="1"/>
  <c r="X125" i="39"/>
  <c r="AD125" i="39"/>
  <c r="AI124" i="39"/>
  <c r="R312" i="39"/>
  <c r="U311" i="39" s="1"/>
  <c r="AK454" i="39"/>
  <c r="AK51" i="39"/>
  <c r="AK441" i="39" s="1"/>
  <c r="I382" i="39"/>
  <c r="K25" i="39"/>
  <c r="D26" i="39"/>
  <c r="I369" i="39" s="1"/>
  <c r="X462" i="39"/>
  <c r="X251" i="39"/>
  <c r="X449" i="39" s="1"/>
  <c r="I390" i="39"/>
  <c r="D226" i="39"/>
  <c r="I377" i="39" s="1"/>
  <c r="K225" i="39"/>
  <c r="U305" i="39"/>
  <c r="Z384" i="39"/>
  <c r="U76" i="39"/>
  <c r="Z371" i="39" s="1"/>
  <c r="Y463" i="39"/>
  <c r="Y276" i="39"/>
  <c r="Y450" i="39" s="1"/>
  <c r="Q325" i="39" s="1"/>
  <c r="U323" i="39" s="1"/>
  <c r="AE276" i="39"/>
  <c r="AJ379" i="39" s="1"/>
  <c r="AJ392" i="39"/>
  <c r="AI384" i="39"/>
  <c r="AD76" i="39"/>
  <c r="AI371" i="39" s="1"/>
  <c r="AK75" i="39"/>
  <c r="AK386" i="39"/>
  <c r="AF126" i="39"/>
  <c r="AK373" i="39" s="1"/>
  <c r="AL125" i="39"/>
  <c r="J387" i="39"/>
  <c r="E151" i="39"/>
  <c r="J374" i="39" s="1"/>
  <c r="Q75" i="39"/>
  <c r="V74" i="39"/>
  <c r="AK392" i="39"/>
  <c r="AF276" i="39"/>
  <c r="AK379" i="39" s="1"/>
  <c r="AL275" i="39"/>
  <c r="AL455" i="39"/>
  <c r="AL76" i="39"/>
  <c r="AL442" i="39" s="1"/>
  <c r="AD318" i="39" s="1"/>
  <c r="AK458" i="39"/>
  <c r="AK151" i="39"/>
  <c r="AK445" i="39" s="1"/>
  <c r="AI385" i="39"/>
  <c r="AD101" i="39"/>
  <c r="AI372" i="39" s="1"/>
  <c r="AK100" i="39"/>
  <c r="AM386" i="39"/>
  <c r="AH126" i="39"/>
  <c r="AM373" i="39" s="1"/>
  <c r="L463" i="39"/>
  <c r="L276" i="39"/>
  <c r="L450" i="39" s="1"/>
  <c r="D325" i="39" s="1"/>
  <c r="H323" i="39" s="1"/>
  <c r="L387" i="39"/>
  <c r="G151" i="39"/>
  <c r="L374" i="39" s="1"/>
  <c r="R309" i="39"/>
  <c r="U308" i="39" s="1"/>
  <c r="AL392" i="39"/>
  <c r="AG276" i="39"/>
  <c r="AL379" i="39" s="1"/>
  <c r="Y226" i="39" l="1"/>
  <c r="Y448" i="39" s="1"/>
  <c r="Q323" i="39" s="1"/>
  <c r="L453" i="39"/>
  <c r="X151" i="39"/>
  <c r="X445" i="39" s="1"/>
  <c r="Y459" i="39"/>
  <c r="Y176" i="39"/>
  <c r="Y446" i="39" s="1"/>
  <c r="Q321" i="39" s="1"/>
  <c r="U320" i="39" s="1"/>
  <c r="V384" i="39"/>
  <c r="X75" i="39"/>
  <c r="Q76" i="39"/>
  <c r="V371" i="39" s="1"/>
  <c r="K453" i="39"/>
  <c r="K26" i="39"/>
  <c r="K440" i="39" s="1"/>
  <c r="L462" i="39"/>
  <c r="L251" i="39"/>
  <c r="L449" i="39" s="1"/>
  <c r="D324" i="39" s="1"/>
  <c r="H322" i="39" s="1"/>
  <c r="AK456" i="39"/>
  <c r="AK101" i="39"/>
  <c r="AK443" i="39" s="1"/>
  <c r="AI392" i="39"/>
  <c r="AK275" i="39"/>
  <c r="AD276" i="39"/>
  <c r="AI379" i="39" s="1"/>
  <c r="X26" i="39"/>
  <c r="I391" i="39"/>
  <c r="D251" i="39"/>
  <c r="I378" i="39" s="1"/>
  <c r="K250" i="39"/>
  <c r="X460" i="39"/>
  <c r="X201" i="39"/>
  <c r="X447" i="39" s="1"/>
  <c r="K459" i="39"/>
  <c r="K176" i="39"/>
  <c r="K446" i="39" s="1"/>
  <c r="AL457" i="39"/>
  <c r="AL126" i="39"/>
  <c r="AL444" i="39" s="1"/>
  <c r="AD320" i="39" s="1"/>
  <c r="AH319" i="39" s="1"/>
  <c r="I387" i="39"/>
  <c r="D151" i="39"/>
  <c r="I374" i="39" s="1"/>
  <c r="K150" i="39"/>
  <c r="K454" i="39"/>
  <c r="K51" i="39"/>
  <c r="K441" i="39" s="1"/>
  <c r="K461" i="39"/>
  <c r="K226" i="39"/>
  <c r="K448" i="39" s="1"/>
  <c r="AI386" i="39"/>
  <c r="AD126" i="39"/>
  <c r="AI373" i="39" s="1"/>
  <c r="AK125" i="39"/>
  <c r="X463" i="39"/>
  <c r="X276" i="39"/>
  <c r="X450" i="39" s="1"/>
  <c r="AK459" i="39"/>
  <c r="AK176" i="39"/>
  <c r="AK446" i="39" s="1"/>
  <c r="X454" i="39"/>
  <c r="X51" i="39"/>
  <c r="X441" i="39" s="1"/>
  <c r="X457" i="39"/>
  <c r="X126" i="39"/>
  <c r="X444" i="39" s="1"/>
  <c r="AL463" i="39"/>
  <c r="AL276" i="39"/>
  <c r="AL450" i="39" s="1"/>
  <c r="AD325" i="39" s="1"/>
  <c r="AH323" i="39" s="1"/>
  <c r="AK455" i="39"/>
  <c r="AK76" i="39"/>
  <c r="AK442" i="39" s="1"/>
  <c r="Y455" i="39"/>
  <c r="Y76" i="39"/>
  <c r="Y442" i="39" s="1"/>
  <c r="Q318" i="39" s="1"/>
  <c r="AK462" i="39"/>
  <c r="AK251" i="39"/>
  <c r="AK449" i="39" s="1"/>
  <c r="K456" i="39"/>
  <c r="K101" i="39"/>
  <c r="K443" i="39" s="1"/>
  <c r="L458" i="39"/>
  <c r="L151" i="39"/>
  <c r="L445" i="39" s="1"/>
  <c r="K457" i="39"/>
  <c r="K126" i="39"/>
  <c r="K444" i="39" s="1"/>
  <c r="AK453" i="39"/>
  <c r="AK26" i="39"/>
  <c r="AK440" i="39" s="1"/>
  <c r="X456" i="39"/>
  <c r="X101" i="39"/>
  <c r="X443" i="39" s="1"/>
  <c r="AK461" i="39"/>
  <c r="AK226" i="39"/>
  <c r="AK448" i="39" s="1"/>
  <c r="K455" i="39"/>
  <c r="K76" i="39"/>
  <c r="K442" i="39" s="1"/>
  <c r="AK463" i="39" l="1"/>
  <c r="AK276" i="39"/>
  <c r="AK450" i="39" s="1"/>
  <c r="AK457" i="39"/>
  <c r="AK126" i="39"/>
  <c r="AK444" i="39" s="1"/>
  <c r="K251" i="39"/>
  <c r="K449" i="39" s="1"/>
  <c r="K462" i="39"/>
  <c r="K458" i="39"/>
  <c r="K151" i="39"/>
  <c r="K445" i="39" s="1"/>
  <c r="X455" i="39"/>
  <c r="X76" i="39"/>
  <c r="X442" i="39" s="1"/>
  <c r="AL129" i="9" l="1"/>
  <c r="AP130" i="9"/>
  <c r="AO130" i="9"/>
  <c r="AN130" i="9"/>
  <c r="AM130" i="9"/>
  <c r="AL130" i="9"/>
  <c r="AP129" i="9"/>
  <c r="AO129" i="9"/>
  <c r="AN129" i="9"/>
  <c r="AM129" i="9"/>
  <c r="J10" i="26"/>
  <c r="I10" i="26"/>
  <c r="K9" i="26"/>
  <c r="F9" i="26"/>
  <c r="B9" i="26"/>
  <c r="B8" i="26"/>
  <c r="C5" i="26" s="1"/>
  <c r="E5" i="26" s="1"/>
  <c r="C7" i="26"/>
  <c r="E7" i="26" s="1"/>
  <c r="C6" i="26"/>
  <c r="E6" i="26" s="1"/>
  <c r="C3" i="26"/>
  <c r="E3" i="26" s="1"/>
  <c r="B8" i="25"/>
  <c r="C5" i="25" s="1"/>
  <c r="E5" i="25" s="1"/>
  <c r="C7" i="25"/>
  <c r="E7" i="25" s="1"/>
  <c r="C6" i="25"/>
  <c r="E6" i="25" s="1"/>
  <c r="F9" i="24"/>
  <c r="B9" i="24"/>
  <c r="B8" i="24"/>
  <c r="C7" i="24"/>
  <c r="E7" i="24" s="1"/>
  <c r="C6" i="24"/>
  <c r="E6" i="24" s="1"/>
  <c r="E5" i="24"/>
  <c r="C5" i="24"/>
  <c r="E4" i="24"/>
  <c r="C4" i="24"/>
  <c r="E3" i="24"/>
  <c r="C3" i="24"/>
  <c r="C8" i="24" s="1"/>
  <c r="F9" i="23"/>
  <c r="B9" i="23"/>
  <c r="B8" i="23"/>
  <c r="C4" i="23" s="1"/>
  <c r="E4" i="23" s="1"/>
  <c r="C7" i="23"/>
  <c r="E7" i="23" s="1"/>
  <c r="C6" i="23"/>
  <c r="E6" i="23" s="1"/>
  <c r="C5" i="23"/>
  <c r="E5" i="23" s="1"/>
  <c r="C3" i="23"/>
  <c r="E3" i="23" s="1"/>
  <c r="J10" i="21"/>
  <c r="I10" i="21"/>
  <c r="K9" i="21"/>
  <c r="F9" i="21"/>
  <c r="B9" i="21"/>
  <c r="B8" i="21"/>
  <c r="C5" i="21" s="1"/>
  <c r="E5" i="21" s="1"/>
  <c r="C7" i="21"/>
  <c r="E7" i="21" s="1"/>
  <c r="C6" i="21"/>
  <c r="E6" i="21" s="1"/>
  <c r="C3" i="21"/>
  <c r="E3" i="21" s="1"/>
  <c r="J10" i="20"/>
  <c r="I10" i="20"/>
  <c r="K9" i="20"/>
  <c r="F9" i="20"/>
  <c r="B9" i="20"/>
  <c r="B8" i="20"/>
  <c r="C7" i="20"/>
  <c r="E7" i="20" s="1"/>
  <c r="C6" i="20"/>
  <c r="E6" i="20" s="1"/>
  <c r="C5" i="20"/>
  <c r="E5" i="20" s="1"/>
  <c r="C4" i="20"/>
  <c r="E4" i="20" s="1"/>
  <c r="C3" i="20"/>
  <c r="E3" i="20" s="1"/>
  <c r="J10" i="14"/>
  <c r="I10" i="14"/>
  <c r="K9" i="14"/>
  <c r="F9" i="14"/>
  <c r="B9" i="14"/>
  <c r="B8" i="14"/>
  <c r="C7" i="14"/>
  <c r="E7" i="14" s="1"/>
  <c r="C6" i="14"/>
  <c r="E6" i="14" s="1"/>
  <c r="E5" i="14"/>
  <c r="C5" i="14"/>
  <c r="C4" i="14"/>
  <c r="E4" i="14" s="1"/>
  <c r="C3" i="14"/>
  <c r="E3" i="14" s="1"/>
  <c r="J10" i="18"/>
  <c r="I10" i="18"/>
  <c r="K9" i="18"/>
  <c r="F9" i="18"/>
  <c r="B9" i="18"/>
  <c r="B8" i="18"/>
  <c r="C4" i="18" s="1"/>
  <c r="E4" i="18" s="1"/>
  <c r="C6" i="18"/>
  <c r="E6" i="18" s="1"/>
  <c r="C5" i="18"/>
  <c r="E5" i="18" s="1"/>
  <c r="C3" i="18"/>
  <c r="E3" i="18" s="1"/>
  <c r="B8" i="12"/>
  <c r="C5" i="12" s="1"/>
  <c r="E5" i="12" s="1"/>
  <c r="C7" i="12"/>
  <c r="E7" i="12" s="1"/>
  <c r="C6" i="12"/>
  <c r="E6" i="12" s="1"/>
  <c r="C3" i="12"/>
  <c r="E3" i="12" s="1"/>
  <c r="J10" i="17"/>
  <c r="I10" i="17"/>
  <c r="K9" i="17"/>
  <c r="B9" i="17"/>
  <c r="B8" i="17"/>
  <c r="F9" i="17" s="1"/>
  <c r="C7" i="17"/>
  <c r="E7" i="17" s="1"/>
  <c r="C6" i="17"/>
  <c r="E6" i="17" s="1"/>
  <c r="C5" i="17"/>
  <c r="E5" i="17" s="1"/>
  <c r="C4" i="17"/>
  <c r="E4" i="17" s="1"/>
  <c r="C3" i="17"/>
  <c r="E3" i="17" s="1"/>
  <c r="J10" i="9"/>
  <c r="I10" i="9"/>
  <c r="K9" i="9"/>
  <c r="F9" i="9"/>
  <c r="B9" i="9"/>
  <c r="B8" i="9"/>
  <c r="C7" i="9" s="1"/>
  <c r="C6" i="9"/>
  <c r="E6" i="9" s="1"/>
  <c r="C5" i="9"/>
  <c r="E5" i="9" s="1"/>
  <c r="C4" i="9"/>
  <c r="E4" i="9" s="1"/>
  <c r="E3" i="9"/>
  <c r="C3" i="9"/>
  <c r="Q132" i="35"/>
  <c r="R132" i="35"/>
  <c r="S132" i="35"/>
  <c r="T132" i="35"/>
  <c r="U132" i="35"/>
  <c r="Q133" i="35"/>
  <c r="R133" i="35"/>
  <c r="S133" i="35"/>
  <c r="T133" i="35"/>
  <c r="U133" i="35"/>
  <c r="Q134" i="35"/>
  <c r="R134" i="35"/>
  <c r="S134" i="35"/>
  <c r="T134" i="35"/>
  <c r="U134" i="35"/>
  <c r="Q135" i="35"/>
  <c r="R135" i="35"/>
  <c r="S135" i="35"/>
  <c r="T135" i="35"/>
  <c r="U135" i="35"/>
  <c r="R131" i="35"/>
  <c r="S131" i="35"/>
  <c r="T131" i="35"/>
  <c r="U131" i="35"/>
  <c r="Q131" i="35"/>
  <c r="D5" i="35"/>
  <c r="Q156" i="35"/>
  <c r="R156" i="35"/>
  <c r="R160" i="35" s="1"/>
  <c r="S156" i="35"/>
  <c r="T156" i="35"/>
  <c r="U156" i="35"/>
  <c r="Q157" i="35"/>
  <c r="R157" i="35"/>
  <c r="S157" i="35"/>
  <c r="T157" i="35"/>
  <c r="U157" i="35"/>
  <c r="Q158" i="35"/>
  <c r="R158" i="35"/>
  <c r="S158" i="35"/>
  <c r="T158" i="35"/>
  <c r="U158" i="35"/>
  <c r="Q159" i="35"/>
  <c r="V159" i="35" s="1"/>
  <c r="R159" i="35"/>
  <c r="S159" i="35"/>
  <c r="T159" i="35"/>
  <c r="U159" i="35"/>
  <c r="V157" i="35"/>
  <c r="R155" i="35"/>
  <c r="S155" i="35"/>
  <c r="T155" i="35"/>
  <c r="U155" i="35"/>
  <c r="V155" i="35"/>
  <c r="Q155" i="35"/>
  <c r="Q108" i="35"/>
  <c r="V108" i="35" s="1"/>
  <c r="R108" i="35"/>
  <c r="S108" i="35"/>
  <c r="T108" i="35"/>
  <c r="U108" i="35"/>
  <c r="Q109" i="35"/>
  <c r="R109" i="35"/>
  <c r="S109" i="35"/>
  <c r="T109" i="35"/>
  <c r="U109" i="35"/>
  <c r="V109" i="35" s="1"/>
  <c r="W109" i="35" s="1"/>
  <c r="Q110" i="35"/>
  <c r="V110" i="35" s="1"/>
  <c r="W110" i="35" s="1"/>
  <c r="R110" i="35"/>
  <c r="S110" i="35"/>
  <c r="T110" i="35"/>
  <c r="U110" i="35"/>
  <c r="Q111" i="35"/>
  <c r="R111" i="35"/>
  <c r="S111" i="35"/>
  <c r="T111" i="35"/>
  <c r="U111" i="35"/>
  <c r="T112" i="35"/>
  <c r="T113" i="35" s="1"/>
  <c r="R107" i="35"/>
  <c r="R112" i="35" s="1"/>
  <c r="S107" i="35"/>
  <c r="T107" i="35"/>
  <c r="U107" i="35"/>
  <c r="Q107" i="35"/>
  <c r="Q83" i="35"/>
  <c r="Q84" i="35"/>
  <c r="R84" i="35"/>
  <c r="R88" i="35" s="1"/>
  <c r="S84" i="35"/>
  <c r="T84" i="35"/>
  <c r="U84" i="35"/>
  <c r="Q85" i="35"/>
  <c r="R85" i="35"/>
  <c r="S85" i="35"/>
  <c r="T85" i="35"/>
  <c r="U85" i="35"/>
  <c r="Q86" i="35"/>
  <c r="R86" i="35"/>
  <c r="S86" i="35"/>
  <c r="T86" i="35"/>
  <c r="V86" i="35" s="1"/>
  <c r="U86" i="35"/>
  <c r="Q87" i="35"/>
  <c r="R87" i="35"/>
  <c r="S87" i="35"/>
  <c r="T87" i="35"/>
  <c r="U87" i="35"/>
  <c r="R83" i="35"/>
  <c r="S83" i="35"/>
  <c r="T83" i="35"/>
  <c r="U83" i="35"/>
  <c r="Q60" i="35"/>
  <c r="R60" i="35"/>
  <c r="S60" i="35"/>
  <c r="S64" i="35" s="1"/>
  <c r="T60" i="35"/>
  <c r="U60" i="35"/>
  <c r="Q61" i="35"/>
  <c r="R61" i="35"/>
  <c r="S61" i="35"/>
  <c r="T61" i="35"/>
  <c r="U61" i="35"/>
  <c r="Q62" i="35"/>
  <c r="R62" i="35"/>
  <c r="S62" i="35"/>
  <c r="T62" i="35"/>
  <c r="U62" i="35"/>
  <c r="Q63" i="35"/>
  <c r="V63" i="35" s="1"/>
  <c r="R63" i="35"/>
  <c r="S63" i="35"/>
  <c r="T63" i="35"/>
  <c r="U63" i="35"/>
  <c r="R59" i="35"/>
  <c r="S59" i="35"/>
  <c r="T59" i="35"/>
  <c r="U59" i="35"/>
  <c r="Q59" i="35"/>
  <c r="V61" i="35"/>
  <c r="R6" i="30"/>
  <c r="Q36" i="35"/>
  <c r="R36" i="35"/>
  <c r="S36" i="35"/>
  <c r="T36" i="35"/>
  <c r="U36" i="35"/>
  <c r="Q37" i="35"/>
  <c r="R37" i="35"/>
  <c r="S37" i="35"/>
  <c r="T37" i="35"/>
  <c r="U37" i="35"/>
  <c r="Q38" i="35"/>
  <c r="R38" i="35"/>
  <c r="S38" i="35"/>
  <c r="T38" i="35"/>
  <c r="U38" i="35"/>
  <c r="Q39" i="35"/>
  <c r="R39" i="35"/>
  <c r="S39" i="35"/>
  <c r="T39" i="35"/>
  <c r="U39" i="35"/>
  <c r="R35" i="35"/>
  <c r="S35" i="35"/>
  <c r="T35" i="35"/>
  <c r="U35" i="35"/>
  <c r="Q35" i="35"/>
  <c r="D102" i="35"/>
  <c r="E102" i="35"/>
  <c r="F102" i="35"/>
  <c r="G102" i="35"/>
  <c r="H102" i="35"/>
  <c r="D103" i="35"/>
  <c r="E103" i="35"/>
  <c r="F103" i="35"/>
  <c r="G103" i="35"/>
  <c r="H103" i="35"/>
  <c r="D104" i="35"/>
  <c r="E104" i="35"/>
  <c r="F104" i="35"/>
  <c r="G104" i="35"/>
  <c r="H104" i="35"/>
  <c r="D105" i="35"/>
  <c r="E105" i="35"/>
  <c r="F105" i="35"/>
  <c r="G105" i="35"/>
  <c r="H105" i="35"/>
  <c r="E101" i="35"/>
  <c r="F101" i="35"/>
  <c r="G101" i="35"/>
  <c r="H101" i="35"/>
  <c r="D101" i="35"/>
  <c r="D78" i="35"/>
  <c r="E78" i="35"/>
  <c r="F78" i="35"/>
  <c r="G78" i="35"/>
  <c r="H78" i="35"/>
  <c r="D79" i="35"/>
  <c r="E79" i="35"/>
  <c r="F79" i="35"/>
  <c r="G79" i="35"/>
  <c r="H79" i="35"/>
  <c r="D80" i="35"/>
  <c r="E80" i="35"/>
  <c r="F80" i="35"/>
  <c r="G80" i="35"/>
  <c r="H80" i="35"/>
  <c r="D81" i="35"/>
  <c r="E81" i="35"/>
  <c r="F81" i="35"/>
  <c r="G81" i="35"/>
  <c r="H81" i="35"/>
  <c r="E77" i="35"/>
  <c r="F77" i="35"/>
  <c r="G77" i="35"/>
  <c r="H77" i="35"/>
  <c r="D77" i="35"/>
  <c r="D54" i="35"/>
  <c r="E54" i="35"/>
  <c r="F54" i="35"/>
  <c r="G54" i="35"/>
  <c r="H54" i="35"/>
  <c r="D55" i="35"/>
  <c r="E55" i="35"/>
  <c r="F55" i="35"/>
  <c r="G55" i="35"/>
  <c r="H55" i="35"/>
  <c r="D56" i="35"/>
  <c r="E56" i="35"/>
  <c r="F56" i="35"/>
  <c r="G56" i="35"/>
  <c r="H56" i="35"/>
  <c r="D57" i="35"/>
  <c r="E57" i="35"/>
  <c r="F57" i="35"/>
  <c r="G57" i="35"/>
  <c r="H57" i="35"/>
  <c r="E53" i="35"/>
  <c r="F53" i="35"/>
  <c r="G53" i="35"/>
  <c r="H53" i="35"/>
  <c r="D53" i="35"/>
  <c r="D30" i="35"/>
  <c r="E30" i="35"/>
  <c r="F30" i="35"/>
  <c r="G30" i="35"/>
  <c r="H30" i="35"/>
  <c r="D31" i="35"/>
  <c r="E31" i="35"/>
  <c r="F31" i="35"/>
  <c r="G31" i="35"/>
  <c r="H31" i="35"/>
  <c r="D32" i="35"/>
  <c r="E32" i="35"/>
  <c r="F32" i="35"/>
  <c r="G32" i="35"/>
  <c r="H32" i="35"/>
  <c r="D33" i="35"/>
  <c r="E33" i="35"/>
  <c r="F33" i="35"/>
  <c r="G33" i="35"/>
  <c r="H33" i="35"/>
  <c r="E29" i="35"/>
  <c r="F29" i="35"/>
  <c r="G29" i="35"/>
  <c r="H29" i="35"/>
  <c r="D29" i="35"/>
  <c r="I103" i="35" l="1"/>
  <c r="E82" i="35"/>
  <c r="T88" i="35"/>
  <c r="T89" i="35" s="1"/>
  <c r="V85" i="35"/>
  <c r="I81" i="35"/>
  <c r="J81" i="35" s="1"/>
  <c r="M81" i="35" s="1"/>
  <c r="I78" i="35"/>
  <c r="J78" i="35" s="1"/>
  <c r="G82" i="35"/>
  <c r="G83" i="35" s="1"/>
  <c r="F82" i="35"/>
  <c r="H82" i="35"/>
  <c r="H83" i="35" s="1"/>
  <c r="V87" i="35"/>
  <c r="W87" i="35" s="1"/>
  <c r="T64" i="35"/>
  <c r="T65" i="35" s="1"/>
  <c r="P76" i="35" s="1"/>
  <c r="V62" i="35"/>
  <c r="U64" i="35"/>
  <c r="U65" i="35" s="1"/>
  <c r="I57" i="35"/>
  <c r="V111" i="35"/>
  <c r="Y111" i="35" s="1"/>
  <c r="I54" i="35"/>
  <c r="J54" i="35" s="1"/>
  <c r="V158" i="35"/>
  <c r="V135" i="35"/>
  <c r="S136" i="35"/>
  <c r="V133" i="35"/>
  <c r="W133" i="35" s="1"/>
  <c r="V132" i="35"/>
  <c r="W132" i="35" s="1"/>
  <c r="R136" i="35"/>
  <c r="R137" i="35" s="1"/>
  <c r="V134" i="35"/>
  <c r="W134" i="35" s="1"/>
  <c r="R40" i="35"/>
  <c r="R41" i="35" s="1"/>
  <c r="P50" i="35" s="1"/>
  <c r="V39" i="35"/>
  <c r="C39" i="35"/>
  <c r="S40" i="35"/>
  <c r="S41" i="35" s="1"/>
  <c r="S42" i="35" s="1"/>
  <c r="V38" i="35"/>
  <c r="W38" i="35" s="1"/>
  <c r="I33" i="35"/>
  <c r="J33" i="35" s="1"/>
  <c r="G34" i="35"/>
  <c r="G35" i="35" s="1"/>
  <c r="G36" i="35" s="1"/>
  <c r="I32" i="35"/>
  <c r="J32" i="35" s="1"/>
  <c r="C4" i="26"/>
  <c r="E4" i="26" s="1"/>
  <c r="C3" i="25"/>
  <c r="B9" i="25"/>
  <c r="F9" i="25"/>
  <c r="C4" i="25"/>
  <c r="E4" i="25" s="1"/>
  <c r="C8" i="23"/>
  <c r="C8" i="21"/>
  <c r="C4" i="21"/>
  <c r="E4" i="21" s="1"/>
  <c r="C8" i="20"/>
  <c r="C8" i="14"/>
  <c r="C7" i="18"/>
  <c r="E7" i="18" s="1"/>
  <c r="C8" i="18"/>
  <c r="C8" i="12"/>
  <c r="B9" i="12"/>
  <c r="F9" i="12"/>
  <c r="C4" i="12"/>
  <c r="E4" i="12" s="1"/>
  <c r="C8" i="17"/>
  <c r="C8" i="9"/>
  <c r="E7" i="9"/>
  <c r="Q136" i="35"/>
  <c r="Q137" i="35" s="1"/>
  <c r="U136" i="35"/>
  <c r="U137" i="35" s="1"/>
  <c r="P149" i="35" s="1"/>
  <c r="S137" i="35"/>
  <c r="Y133" i="35"/>
  <c r="W135" i="35"/>
  <c r="V131" i="35"/>
  <c r="W131" i="35" s="1"/>
  <c r="O141" i="35"/>
  <c r="P141" i="35"/>
  <c r="Q141" i="35"/>
  <c r="T136" i="35"/>
  <c r="T137" i="35" s="1"/>
  <c r="R141" i="35"/>
  <c r="S141" i="35"/>
  <c r="T141" i="35"/>
  <c r="S160" i="35"/>
  <c r="Y157" i="35" s="1"/>
  <c r="Q160" i="35"/>
  <c r="Y155" i="35" s="1"/>
  <c r="T160" i="35"/>
  <c r="T161" i="35" s="1"/>
  <c r="P172" i="35" s="1"/>
  <c r="V156" i="35"/>
  <c r="V160" i="35" s="1"/>
  <c r="W161" i="35" s="1"/>
  <c r="W157" i="35"/>
  <c r="W159" i="35"/>
  <c r="R161" i="35"/>
  <c r="W155" i="35"/>
  <c r="U160" i="35"/>
  <c r="U161" i="35" s="1"/>
  <c r="P165" i="35"/>
  <c r="Q165" i="35"/>
  <c r="O165" i="35"/>
  <c r="R165" i="35"/>
  <c r="S165" i="35"/>
  <c r="W158" i="35"/>
  <c r="T165" i="35"/>
  <c r="U112" i="35"/>
  <c r="S112" i="35"/>
  <c r="Y109" i="35" s="1"/>
  <c r="Q112" i="35"/>
  <c r="Q113" i="35" s="1"/>
  <c r="Y110" i="35"/>
  <c r="R113" i="35"/>
  <c r="R114" i="35" s="1"/>
  <c r="U113" i="35"/>
  <c r="P125" i="35" s="1"/>
  <c r="V107" i="35"/>
  <c r="W107" i="35" s="1"/>
  <c r="Q121" i="35" s="1"/>
  <c r="X109" i="35"/>
  <c r="Q123" i="35"/>
  <c r="Z110" i="35"/>
  <c r="P124" i="35"/>
  <c r="T114" i="35"/>
  <c r="Y108" i="35"/>
  <c r="X110" i="35"/>
  <c r="Q124" i="35"/>
  <c r="W108" i="35"/>
  <c r="O117" i="35"/>
  <c r="P117" i="35"/>
  <c r="Q117" i="35"/>
  <c r="W111" i="35"/>
  <c r="S113" i="35"/>
  <c r="R117" i="35"/>
  <c r="S117" i="35"/>
  <c r="T117" i="35"/>
  <c r="V84" i="35"/>
  <c r="Y84" i="35" s="1"/>
  <c r="R89" i="35"/>
  <c r="U88" i="35"/>
  <c r="V83" i="35"/>
  <c r="W83" i="35" s="1"/>
  <c r="Y86" i="35"/>
  <c r="W86" i="35"/>
  <c r="Z86" i="35" s="1"/>
  <c r="W85" i="35"/>
  <c r="P100" i="35"/>
  <c r="T90" i="35"/>
  <c r="Q88" i="35"/>
  <c r="S88" i="35"/>
  <c r="O93" i="35"/>
  <c r="P93" i="35"/>
  <c r="Q93" i="35"/>
  <c r="R93" i="35"/>
  <c r="S93" i="35"/>
  <c r="T93" i="35"/>
  <c r="S65" i="35"/>
  <c r="S66" i="35" s="1"/>
  <c r="R64" i="35"/>
  <c r="R65" i="35" s="1"/>
  <c r="V59" i="35"/>
  <c r="W59" i="35" s="1"/>
  <c r="Q73" i="35" s="1"/>
  <c r="Q64" i="35"/>
  <c r="Q65" i="35" s="1"/>
  <c r="P77" i="35"/>
  <c r="U66" i="35"/>
  <c r="Y63" i="35"/>
  <c r="W63" i="35"/>
  <c r="Y61" i="35"/>
  <c r="W61" i="35"/>
  <c r="V60" i="35"/>
  <c r="P69" i="35"/>
  <c r="Q69" i="35"/>
  <c r="O69" i="35"/>
  <c r="R69" i="35"/>
  <c r="S69" i="35"/>
  <c r="W62" i="35"/>
  <c r="T69" i="35"/>
  <c r="T40" i="35"/>
  <c r="T41" i="35" s="1"/>
  <c r="T42" i="35" s="1"/>
  <c r="R45" i="35"/>
  <c r="U40" i="35"/>
  <c r="Y39" i="35" s="1"/>
  <c r="T45" i="35"/>
  <c r="Q45" i="35"/>
  <c r="S45" i="35"/>
  <c r="V37" i="35"/>
  <c r="Q40" i="35"/>
  <c r="Q41" i="35" s="1"/>
  <c r="V36" i="35"/>
  <c r="P45" i="35"/>
  <c r="V35" i="35"/>
  <c r="O45" i="35"/>
  <c r="W39" i="35"/>
  <c r="E106" i="35"/>
  <c r="E107" i="35" s="1"/>
  <c r="C116" i="35" s="1"/>
  <c r="I102" i="35"/>
  <c r="I30" i="35"/>
  <c r="J30" i="35" s="1"/>
  <c r="I55" i="35"/>
  <c r="J55" i="35" s="1"/>
  <c r="I80" i="35"/>
  <c r="J80" i="35" s="1"/>
  <c r="K80" i="35" s="1"/>
  <c r="F63" i="35"/>
  <c r="I79" i="35"/>
  <c r="J79" i="35" s="1"/>
  <c r="D106" i="35"/>
  <c r="D107" i="35" s="1"/>
  <c r="I31" i="35"/>
  <c r="J31" i="35" s="1"/>
  <c r="D58" i="35"/>
  <c r="D59" i="35" s="1"/>
  <c r="I105" i="35"/>
  <c r="J105" i="35" s="1"/>
  <c r="F106" i="35"/>
  <c r="L103" i="35" s="1"/>
  <c r="G106" i="35"/>
  <c r="G107" i="35" s="1"/>
  <c r="I104" i="35"/>
  <c r="J104" i="35" s="1"/>
  <c r="K104" i="35" s="1"/>
  <c r="I101" i="35"/>
  <c r="J101" i="35" s="1"/>
  <c r="J103" i="35"/>
  <c r="J102" i="35"/>
  <c r="L102" i="35"/>
  <c r="H106" i="35"/>
  <c r="L105" i="35" s="1"/>
  <c r="B111" i="35"/>
  <c r="C111" i="35"/>
  <c r="D111" i="35"/>
  <c r="E111" i="35"/>
  <c r="F111" i="35"/>
  <c r="G111" i="35"/>
  <c r="E87" i="35"/>
  <c r="F83" i="35"/>
  <c r="C93" i="35" s="1"/>
  <c r="F87" i="35"/>
  <c r="C94" i="35"/>
  <c r="G84" i="35"/>
  <c r="H84" i="35"/>
  <c r="C95" i="35"/>
  <c r="G87" i="35"/>
  <c r="I77" i="35"/>
  <c r="J77" i="35" s="1"/>
  <c r="B87" i="35"/>
  <c r="C87" i="35"/>
  <c r="D82" i="35"/>
  <c r="D83" i="35" s="1"/>
  <c r="E83" i="35"/>
  <c r="D87" i="35"/>
  <c r="I56" i="35"/>
  <c r="J56" i="35" s="1"/>
  <c r="E58" i="35"/>
  <c r="J57" i="35"/>
  <c r="F58" i="35"/>
  <c r="I53" i="35"/>
  <c r="G58" i="35"/>
  <c r="H58" i="35"/>
  <c r="L57" i="35" s="1"/>
  <c r="B63" i="35"/>
  <c r="C63" i="35"/>
  <c r="D63" i="35"/>
  <c r="E63" i="35"/>
  <c r="G63" i="35"/>
  <c r="D34" i="35"/>
  <c r="D35" i="35" s="1"/>
  <c r="C43" i="35" s="1"/>
  <c r="H34" i="35"/>
  <c r="H35" i="35" s="1"/>
  <c r="C47" i="35" s="1"/>
  <c r="F34" i="35"/>
  <c r="E34" i="35"/>
  <c r="E35" i="35" s="1"/>
  <c r="I29" i="35"/>
  <c r="F39" i="35"/>
  <c r="E39" i="35"/>
  <c r="B39" i="35"/>
  <c r="D39" i="35"/>
  <c r="G39" i="35"/>
  <c r="D6" i="35"/>
  <c r="E6" i="35"/>
  <c r="F6" i="35"/>
  <c r="G6" i="35"/>
  <c r="H6" i="35"/>
  <c r="D7" i="35"/>
  <c r="E7" i="35"/>
  <c r="F7" i="35"/>
  <c r="G7" i="35"/>
  <c r="H7" i="35"/>
  <c r="D8" i="35"/>
  <c r="E8" i="35"/>
  <c r="F8" i="35"/>
  <c r="G8" i="35"/>
  <c r="H8" i="35"/>
  <c r="D9" i="35"/>
  <c r="E9" i="35"/>
  <c r="F9" i="35"/>
  <c r="G9" i="35"/>
  <c r="H9" i="35"/>
  <c r="E5" i="35"/>
  <c r="F5" i="35"/>
  <c r="G5" i="35"/>
  <c r="H5" i="35"/>
  <c r="AL130" i="26"/>
  <c r="V115" i="30"/>
  <c r="U115" i="30"/>
  <c r="T115" i="30"/>
  <c r="S115" i="30"/>
  <c r="R115" i="30"/>
  <c r="V114" i="30"/>
  <c r="U114" i="30"/>
  <c r="T114" i="30"/>
  <c r="S114" i="30"/>
  <c r="R114" i="30"/>
  <c r="V113" i="30"/>
  <c r="U113" i="30"/>
  <c r="T113" i="30"/>
  <c r="S113" i="30"/>
  <c r="R113" i="30"/>
  <c r="V112" i="30"/>
  <c r="U112" i="30"/>
  <c r="T112" i="30"/>
  <c r="S112" i="30"/>
  <c r="R112" i="30"/>
  <c r="V111" i="30"/>
  <c r="U111" i="30"/>
  <c r="T111" i="30"/>
  <c r="S111" i="30"/>
  <c r="R111" i="30"/>
  <c r="V110" i="30"/>
  <c r="U110" i="30"/>
  <c r="T110" i="30"/>
  <c r="S110" i="30"/>
  <c r="R110" i="30"/>
  <c r="V109" i="30"/>
  <c r="U109" i="30"/>
  <c r="T109" i="30"/>
  <c r="S109" i="30"/>
  <c r="R109" i="30"/>
  <c r="V108" i="30"/>
  <c r="U108" i="30"/>
  <c r="T108" i="30"/>
  <c r="S108" i="30"/>
  <c r="R108" i="30"/>
  <c r="V107" i="30"/>
  <c r="U107" i="30"/>
  <c r="T107" i="30"/>
  <c r="S107" i="30"/>
  <c r="R107" i="30"/>
  <c r="V106" i="30"/>
  <c r="U106" i="30"/>
  <c r="T106" i="30"/>
  <c r="S106" i="30"/>
  <c r="R106" i="30"/>
  <c r="R98" i="30"/>
  <c r="S98" i="30"/>
  <c r="T98" i="30"/>
  <c r="U98" i="30"/>
  <c r="V98" i="30"/>
  <c r="R99" i="30"/>
  <c r="S99" i="30"/>
  <c r="T99" i="30"/>
  <c r="U99" i="30"/>
  <c r="V99" i="30"/>
  <c r="R100" i="30"/>
  <c r="S100" i="30"/>
  <c r="T100" i="30"/>
  <c r="U100" i="30"/>
  <c r="V100" i="30"/>
  <c r="R101" i="30"/>
  <c r="S101" i="30"/>
  <c r="T101" i="30"/>
  <c r="U101" i="30"/>
  <c r="V101" i="30"/>
  <c r="V97" i="30"/>
  <c r="U97" i="30"/>
  <c r="T97" i="30"/>
  <c r="S97" i="30"/>
  <c r="R97" i="30"/>
  <c r="V96" i="30"/>
  <c r="U96" i="30"/>
  <c r="T96" i="30"/>
  <c r="S96" i="30"/>
  <c r="R96" i="30"/>
  <c r="V95" i="30"/>
  <c r="U95" i="30"/>
  <c r="T95" i="30"/>
  <c r="S95" i="30"/>
  <c r="R95" i="30"/>
  <c r="V94" i="30"/>
  <c r="U94" i="30"/>
  <c r="T94" i="30"/>
  <c r="S94" i="30"/>
  <c r="R94" i="30"/>
  <c r="V93" i="30"/>
  <c r="U93" i="30"/>
  <c r="T93" i="30"/>
  <c r="S93" i="30"/>
  <c r="R93" i="30"/>
  <c r="V92" i="30"/>
  <c r="U92" i="30"/>
  <c r="T92" i="30"/>
  <c r="S92" i="30"/>
  <c r="R92" i="30"/>
  <c r="V87" i="30"/>
  <c r="U87" i="30"/>
  <c r="T87" i="30"/>
  <c r="S87" i="30"/>
  <c r="R87" i="30"/>
  <c r="V86" i="30"/>
  <c r="U86" i="30"/>
  <c r="T86" i="30"/>
  <c r="S86" i="30"/>
  <c r="R86" i="30"/>
  <c r="V85" i="30"/>
  <c r="U85" i="30"/>
  <c r="T85" i="30"/>
  <c r="S85" i="30"/>
  <c r="R85" i="30"/>
  <c r="V84" i="30"/>
  <c r="U84" i="30"/>
  <c r="T84" i="30"/>
  <c r="S84" i="30"/>
  <c r="R84" i="30"/>
  <c r="V83" i="30"/>
  <c r="U83" i="30"/>
  <c r="T83" i="30"/>
  <c r="S83" i="30"/>
  <c r="R83" i="30"/>
  <c r="V82" i="30"/>
  <c r="U82" i="30"/>
  <c r="T82" i="30"/>
  <c r="S82" i="30"/>
  <c r="R82" i="30"/>
  <c r="V77" i="30"/>
  <c r="U77" i="30"/>
  <c r="T77" i="30"/>
  <c r="S77" i="30"/>
  <c r="R77" i="30"/>
  <c r="V76" i="30"/>
  <c r="U76" i="30"/>
  <c r="T76" i="30"/>
  <c r="S76" i="30"/>
  <c r="R76" i="30"/>
  <c r="V75" i="30"/>
  <c r="U75" i="30"/>
  <c r="T75" i="30"/>
  <c r="S75" i="30"/>
  <c r="R75" i="30"/>
  <c r="V74" i="30"/>
  <c r="U74" i="30"/>
  <c r="T74" i="30"/>
  <c r="S74" i="30"/>
  <c r="R74" i="30"/>
  <c r="V73" i="30"/>
  <c r="U73" i="30"/>
  <c r="T73" i="30"/>
  <c r="S73" i="30"/>
  <c r="R73" i="30"/>
  <c r="V72" i="30"/>
  <c r="U72" i="30"/>
  <c r="T72" i="30"/>
  <c r="S72" i="30"/>
  <c r="R72" i="30"/>
  <c r="R66" i="30"/>
  <c r="V67" i="30"/>
  <c r="U67" i="30"/>
  <c r="T67" i="30"/>
  <c r="S67" i="30"/>
  <c r="R67" i="30"/>
  <c r="V66" i="30"/>
  <c r="U66" i="30"/>
  <c r="T66" i="30"/>
  <c r="S66" i="30"/>
  <c r="V65" i="30"/>
  <c r="U65" i="30"/>
  <c r="T65" i="30"/>
  <c r="S65" i="30"/>
  <c r="R65" i="30"/>
  <c r="V64" i="30"/>
  <c r="U64" i="30"/>
  <c r="T64" i="30"/>
  <c r="S64" i="30"/>
  <c r="R64" i="30"/>
  <c r="V63" i="30"/>
  <c r="U63" i="30"/>
  <c r="T63" i="30"/>
  <c r="S63" i="30"/>
  <c r="R63" i="30"/>
  <c r="V62" i="30"/>
  <c r="U62" i="30"/>
  <c r="T62" i="30"/>
  <c r="S62" i="30"/>
  <c r="R62" i="30"/>
  <c r="V57" i="30"/>
  <c r="U57" i="30"/>
  <c r="T57" i="30"/>
  <c r="S57" i="30"/>
  <c r="R57" i="30"/>
  <c r="V56" i="30"/>
  <c r="U56" i="30"/>
  <c r="T56" i="30"/>
  <c r="S56" i="30"/>
  <c r="R56" i="30"/>
  <c r="V55" i="30"/>
  <c r="U55" i="30"/>
  <c r="T55" i="30"/>
  <c r="S55" i="30"/>
  <c r="R55" i="30"/>
  <c r="V54" i="30"/>
  <c r="U54" i="30"/>
  <c r="T54" i="30"/>
  <c r="S54" i="30"/>
  <c r="R54" i="30"/>
  <c r="V53" i="30"/>
  <c r="U53" i="30"/>
  <c r="T53" i="30"/>
  <c r="S53" i="30"/>
  <c r="R53" i="30"/>
  <c r="V52" i="30"/>
  <c r="U52" i="30"/>
  <c r="T52" i="30"/>
  <c r="S52" i="30"/>
  <c r="R52" i="30"/>
  <c r="V47" i="30"/>
  <c r="U47" i="30"/>
  <c r="T47" i="30"/>
  <c r="S47" i="30"/>
  <c r="R47" i="30"/>
  <c r="V46" i="30"/>
  <c r="U46" i="30"/>
  <c r="T46" i="30"/>
  <c r="S46" i="30"/>
  <c r="R46" i="30"/>
  <c r="V45" i="30"/>
  <c r="U45" i="30"/>
  <c r="T45" i="30"/>
  <c r="S45" i="30"/>
  <c r="R45" i="30"/>
  <c r="V44" i="30"/>
  <c r="U44" i="30"/>
  <c r="T44" i="30"/>
  <c r="S44" i="30"/>
  <c r="R44" i="30"/>
  <c r="V43" i="30"/>
  <c r="U43" i="30"/>
  <c r="T43" i="30"/>
  <c r="S43" i="30"/>
  <c r="R43" i="30"/>
  <c r="V42" i="30"/>
  <c r="U42" i="30"/>
  <c r="T42" i="30"/>
  <c r="S42" i="30"/>
  <c r="R42" i="30"/>
  <c r="V37" i="30"/>
  <c r="U37" i="30"/>
  <c r="T37" i="30"/>
  <c r="S37" i="30"/>
  <c r="R37" i="30"/>
  <c r="V36" i="30"/>
  <c r="U36" i="30"/>
  <c r="T36" i="30"/>
  <c r="S36" i="30"/>
  <c r="R36" i="30"/>
  <c r="V35" i="30"/>
  <c r="U35" i="30"/>
  <c r="T35" i="30"/>
  <c r="S35" i="30"/>
  <c r="R35" i="30"/>
  <c r="V34" i="30"/>
  <c r="U34" i="30"/>
  <c r="T34" i="30"/>
  <c r="S34" i="30"/>
  <c r="R34" i="30"/>
  <c r="V33" i="30"/>
  <c r="U33" i="30"/>
  <c r="T33" i="30"/>
  <c r="S33" i="30"/>
  <c r="R33" i="30"/>
  <c r="V32" i="30"/>
  <c r="U32" i="30"/>
  <c r="T32" i="30"/>
  <c r="S32" i="30"/>
  <c r="R32" i="30"/>
  <c r="R26" i="30"/>
  <c r="S26" i="30"/>
  <c r="T26" i="30"/>
  <c r="U26" i="30"/>
  <c r="V26" i="30"/>
  <c r="R27" i="30"/>
  <c r="S27" i="30"/>
  <c r="T27" i="30"/>
  <c r="U27" i="30"/>
  <c r="V27" i="30"/>
  <c r="V25" i="30"/>
  <c r="U25" i="30"/>
  <c r="T25" i="30"/>
  <c r="S25" i="30"/>
  <c r="R25" i="30"/>
  <c r="V24" i="30"/>
  <c r="U24" i="30"/>
  <c r="T24" i="30"/>
  <c r="S24" i="30"/>
  <c r="R24" i="30"/>
  <c r="V23" i="30"/>
  <c r="U23" i="30"/>
  <c r="T23" i="30"/>
  <c r="S23" i="30"/>
  <c r="R23" i="30"/>
  <c r="V22" i="30"/>
  <c r="U22" i="30"/>
  <c r="T22" i="30"/>
  <c r="S22" i="30"/>
  <c r="R22" i="30"/>
  <c r="V17" i="30"/>
  <c r="U17" i="30"/>
  <c r="T17" i="30"/>
  <c r="S17" i="30"/>
  <c r="R17" i="30"/>
  <c r="V16" i="30"/>
  <c r="U16" i="30"/>
  <c r="T16" i="30"/>
  <c r="S16" i="30"/>
  <c r="R16" i="30"/>
  <c r="V15" i="30"/>
  <c r="U15" i="30"/>
  <c r="T15" i="30"/>
  <c r="S15" i="30"/>
  <c r="R15" i="30"/>
  <c r="V14" i="30"/>
  <c r="U14" i="30"/>
  <c r="T14" i="30"/>
  <c r="S14" i="30"/>
  <c r="R14" i="30"/>
  <c r="R7" i="30"/>
  <c r="S7" i="30"/>
  <c r="T7" i="30"/>
  <c r="U7" i="30"/>
  <c r="V7" i="30"/>
  <c r="R8" i="30"/>
  <c r="S8" i="30"/>
  <c r="T8" i="30"/>
  <c r="U8" i="30"/>
  <c r="V8" i="30"/>
  <c r="R9" i="30"/>
  <c r="S9" i="30"/>
  <c r="T9" i="30"/>
  <c r="U9" i="30"/>
  <c r="V9" i="30"/>
  <c r="S6" i="30"/>
  <c r="T6" i="30"/>
  <c r="U6" i="30"/>
  <c r="V6" i="30"/>
  <c r="G603" i="27"/>
  <c r="G606" i="27"/>
  <c r="E610" i="27"/>
  <c r="D608" i="27"/>
  <c r="D602" i="27"/>
  <c r="F593" i="27"/>
  <c r="H599" i="27"/>
  <c r="E601" i="27"/>
  <c r="D598" i="27"/>
  <c r="D593" i="27"/>
  <c r="E580" i="27"/>
  <c r="F580" i="27"/>
  <c r="G580" i="27"/>
  <c r="H580" i="27"/>
  <c r="D580" i="27"/>
  <c r="E569" i="27"/>
  <c r="F569" i="27"/>
  <c r="G569" i="27"/>
  <c r="H569" i="27"/>
  <c r="D569" i="27"/>
  <c r="H214" i="27"/>
  <c r="G214" i="27"/>
  <c r="F214" i="27"/>
  <c r="E214" i="27"/>
  <c r="H262" i="27"/>
  <c r="G262" i="27"/>
  <c r="F262" i="27"/>
  <c r="E262" i="27"/>
  <c r="H358" i="27"/>
  <c r="G358" i="27"/>
  <c r="F358" i="27"/>
  <c r="E358" i="27"/>
  <c r="H406" i="27"/>
  <c r="G406" i="27"/>
  <c r="F406" i="27"/>
  <c r="E406" i="27"/>
  <c r="H454" i="27"/>
  <c r="G454" i="27"/>
  <c r="F454" i="27"/>
  <c r="E454" i="27"/>
  <c r="H287" i="27"/>
  <c r="G287" i="27"/>
  <c r="F287" i="27"/>
  <c r="E287" i="27"/>
  <c r="H530" i="27"/>
  <c r="H531" i="27" s="1"/>
  <c r="G530" i="27"/>
  <c r="G531" i="27" s="1"/>
  <c r="F530" i="27"/>
  <c r="F531" i="27" s="1"/>
  <c r="E530" i="27"/>
  <c r="E531" i="27" s="1"/>
  <c r="H529" i="27"/>
  <c r="G529" i="27"/>
  <c r="F529" i="27"/>
  <c r="E529" i="27"/>
  <c r="H482" i="27"/>
  <c r="H483" i="27" s="1"/>
  <c r="G482" i="27"/>
  <c r="G483" i="27" s="1"/>
  <c r="F482" i="27"/>
  <c r="F483" i="27" s="1"/>
  <c r="E482" i="27"/>
  <c r="E483" i="27" s="1"/>
  <c r="H481" i="27"/>
  <c r="G481" i="27"/>
  <c r="F481" i="27"/>
  <c r="E481" i="27"/>
  <c r="H434" i="27"/>
  <c r="H435" i="27" s="1"/>
  <c r="G434" i="27"/>
  <c r="G435" i="27" s="1"/>
  <c r="F434" i="27"/>
  <c r="F435" i="27" s="1"/>
  <c r="E434" i="27"/>
  <c r="E435" i="27" s="1"/>
  <c r="H433" i="27"/>
  <c r="G433" i="27"/>
  <c r="F433" i="27"/>
  <c r="E433" i="27"/>
  <c r="H386" i="27"/>
  <c r="H387" i="27" s="1"/>
  <c r="G386" i="27"/>
  <c r="G387" i="27" s="1"/>
  <c r="F386" i="27"/>
  <c r="F387" i="27" s="1"/>
  <c r="E386" i="27"/>
  <c r="E387" i="27" s="1"/>
  <c r="H385" i="27"/>
  <c r="G385" i="27"/>
  <c r="F385" i="27"/>
  <c r="E385" i="27"/>
  <c r="H338" i="27"/>
  <c r="H339" i="27" s="1"/>
  <c r="G338" i="27"/>
  <c r="G339" i="27" s="1"/>
  <c r="F338" i="27"/>
  <c r="F339" i="27" s="1"/>
  <c r="E338" i="27"/>
  <c r="E339" i="27" s="1"/>
  <c r="H337" i="27"/>
  <c r="G337" i="27"/>
  <c r="F337" i="27"/>
  <c r="E337" i="27"/>
  <c r="H290" i="27"/>
  <c r="H291" i="27" s="1"/>
  <c r="G290" i="27"/>
  <c r="G291" i="27" s="1"/>
  <c r="F290" i="27"/>
  <c r="F291" i="27" s="1"/>
  <c r="E290" i="27"/>
  <c r="E291" i="27" s="1"/>
  <c r="H289" i="27"/>
  <c r="G289" i="27"/>
  <c r="F289" i="27"/>
  <c r="E289" i="27"/>
  <c r="H242" i="27"/>
  <c r="H243" i="27" s="1"/>
  <c r="G242" i="27"/>
  <c r="G243" i="27" s="1"/>
  <c r="F242" i="27"/>
  <c r="F243" i="27" s="1"/>
  <c r="E242" i="27"/>
  <c r="E243" i="27" s="1"/>
  <c r="H241" i="27"/>
  <c r="G241" i="27"/>
  <c r="F241" i="27"/>
  <c r="E241" i="27"/>
  <c r="H521" i="27"/>
  <c r="H522" i="27" s="1"/>
  <c r="G521" i="27"/>
  <c r="G522" i="27" s="1"/>
  <c r="F521" i="27"/>
  <c r="F522" i="27" s="1"/>
  <c r="E521" i="27"/>
  <c r="E522" i="27" s="1"/>
  <c r="H520" i="27"/>
  <c r="G520" i="27"/>
  <c r="F520" i="27"/>
  <c r="E520" i="27"/>
  <c r="H473" i="27"/>
  <c r="H474" i="27" s="1"/>
  <c r="G473" i="27"/>
  <c r="G474" i="27" s="1"/>
  <c r="F473" i="27"/>
  <c r="F474" i="27" s="1"/>
  <c r="E473" i="27"/>
  <c r="E474" i="27" s="1"/>
  <c r="H472" i="27"/>
  <c r="G472" i="27"/>
  <c r="F472" i="27"/>
  <c r="E472" i="27"/>
  <c r="H425" i="27"/>
  <c r="H426" i="27" s="1"/>
  <c r="G425" i="27"/>
  <c r="G426" i="27" s="1"/>
  <c r="F425" i="27"/>
  <c r="F426" i="27" s="1"/>
  <c r="E425" i="27"/>
  <c r="E426" i="27" s="1"/>
  <c r="H424" i="27"/>
  <c r="G424" i="27"/>
  <c r="F424" i="27"/>
  <c r="E424" i="27"/>
  <c r="H377" i="27"/>
  <c r="H378" i="27" s="1"/>
  <c r="G377" i="27"/>
  <c r="G378" i="27" s="1"/>
  <c r="F377" i="27"/>
  <c r="F378" i="27" s="1"/>
  <c r="E377" i="27"/>
  <c r="E378" i="27" s="1"/>
  <c r="H376" i="27"/>
  <c r="G376" i="27"/>
  <c r="F376" i="27"/>
  <c r="E376" i="27"/>
  <c r="H329" i="27"/>
  <c r="H330" i="27" s="1"/>
  <c r="G329" i="27"/>
  <c r="G330" i="27" s="1"/>
  <c r="F329" i="27"/>
  <c r="F330" i="27" s="1"/>
  <c r="E329" i="27"/>
  <c r="E330" i="27" s="1"/>
  <c r="H328" i="27"/>
  <c r="G328" i="27"/>
  <c r="F328" i="27"/>
  <c r="E328" i="27"/>
  <c r="H511" i="27"/>
  <c r="G511" i="27"/>
  <c r="F511" i="27"/>
  <c r="E511" i="27"/>
  <c r="H319" i="27"/>
  <c r="G319" i="27"/>
  <c r="F319" i="27"/>
  <c r="E319" i="27"/>
  <c r="H281" i="27"/>
  <c r="H282" i="27" s="1"/>
  <c r="G281" i="27"/>
  <c r="G282" i="27" s="1"/>
  <c r="F281" i="27"/>
  <c r="F282" i="27" s="1"/>
  <c r="E281" i="27"/>
  <c r="E282" i="27" s="1"/>
  <c r="H280" i="27"/>
  <c r="G280" i="27"/>
  <c r="F280" i="27"/>
  <c r="E280" i="27"/>
  <c r="H233" i="27"/>
  <c r="H234" i="27" s="1"/>
  <c r="G233" i="27"/>
  <c r="G234" i="27" s="1"/>
  <c r="F233" i="27"/>
  <c r="F234" i="27" s="1"/>
  <c r="E233" i="27"/>
  <c r="E234" i="27" s="1"/>
  <c r="H232" i="27"/>
  <c r="G232" i="27"/>
  <c r="F232" i="27"/>
  <c r="E232" i="27"/>
  <c r="H518" i="27"/>
  <c r="G518" i="27"/>
  <c r="F518" i="27"/>
  <c r="E518" i="27"/>
  <c r="H470" i="27"/>
  <c r="G470" i="27"/>
  <c r="F470" i="27"/>
  <c r="E470" i="27"/>
  <c r="H422" i="27"/>
  <c r="G422" i="27"/>
  <c r="F422" i="27"/>
  <c r="E422" i="27"/>
  <c r="H374" i="27"/>
  <c r="G374" i="27"/>
  <c r="F374" i="27"/>
  <c r="E374" i="27"/>
  <c r="H326" i="27"/>
  <c r="G326" i="27"/>
  <c r="F326" i="27"/>
  <c r="E326" i="27"/>
  <c r="H278" i="27"/>
  <c r="G278" i="27"/>
  <c r="F278" i="27"/>
  <c r="E278" i="27"/>
  <c r="H230" i="27"/>
  <c r="G230" i="27"/>
  <c r="F230" i="27"/>
  <c r="E230" i="27"/>
  <c r="I526" i="27"/>
  <c r="I527" i="27" s="1"/>
  <c r="I524" i="27"/>
  <c r="I525" i="27" s="1"/>
  <c r="J525" i="27" s="1"/>
  <c r="I478" i="27"/>
  <c r="I479" i="27" s="1"/>
  <c r="I476" i="27"/>
  <c r="I477" i="27" s="1"/>
  <c r="J477" i="27" s="1"/>
  <c r="I430" i="27"/>
  <c r="I431" i="27" s="1"/>
  <c r="I428" i="27"/>
  <c r="I429" i="27" s="1"/>
  <c r="I382" i="27"/>
  <c r="I383" i="27" s="1"/>
  <c r="I380" i="27"/>
  <c r="I381" i="27" s="1"/>
  <c r="I334" i="27"/>
  <c r="I335" i="27" s="1"/>
  <c r="I332" i="27"/>
  <c r="I333" i="27" s="1"/>
  <c r="I286" i="27"/>
  <c r="I287" i="27" s="1"/>
  <c r="J287" i="27" s="1"/>
  <c r="I284" i="27"/>
  <c r="I285" i="27" s="1"/>
  <c r="J285" i="27" s="1"/>
  <c r="H527" i="27"/>
  <c r="G527" i="27"/>
  <c r="F527" i="27"/>
  <c r="E527" i="27"/>
  <c r="H479" i="27"/>
  <c r="G479" i="27"/>
  <c r="F479" i="27"/>
  <c r="E479" i="27"/>
  <c r="H431" i="27"/>
  <c r="G431" i="27"/>
  <c r="F431" i="27"/>
  <c r="E431" i="27"/>
  <c r="H383" i="27"/>
  <c r="G383" i="27"/>
  <c r="F383" i="27"/>
  <c r="E383" i="27"/>
  <c r="H335" i="27"/>
  <c r="G335" i="27"/>
  <c r="F335" i="27"/>
  <c r="E335" i="27"/>
  <c r="H239" i="27"/>
  <c r="G239" i="27"/>
  <c r="F239" i="27"/>
  <c r="E239" i="27"/>
  <c r="I238" i="27"/>
  <c r="I239" i="27" s="1"/>
  <c r="H525" i="27"/>
  <c r="G525" i="27"/>
  <c r="F525" i="27"/>
  <c r="E525" i="27"/>
  <c r="H477" i="27"/>
  <c r="G477" i="27"/>
  <c r="F477" i="27"/>
  <c r="E477" i="27"/>
  <c r="H429" i="27"/>
  <c r="G429" i="27"/>
  <c r="F429" i="27"/>
  <c r="E429" i="27"/>
  <c r="H381" i="27"/>
  <c r="G381" i="27"/>
  <c r="F381" i="27"/>
  <c r="E381" i="27"/>
  <c r="H333" i="27"/>
  <c r="G333" i="27"/>
  <c r="F333" i="27"/>
  <c r="E333" i="27"/>
  <c r="H285" i="27"/>
  <c r="G285" i="27"/>
  <c r="F285" i="27"/>
  <c r="E285" i="27"/>
  <c r="H237" i="27"/>
  <c r="G237" i="27"/>
  <c r="F237" i="27"/>
  <c r="E237" i="27"/>
  <c r="I236" i="27"/>
  <c r="I237" i="27" s="1"/>
  <c r="I517" i="27"/>
  <c r="I518" i="27" s="1"/>
  <c r="I469" i="27"/>
  <c r="I470" i="27" s="1"/>
  <c r="I421" i="27"/>
  <c r="I422" i="27" s="1"/>
  <c r="I373" i="27"/>
  <c r="I374" i="27" s="1"/>
  <c r="J374" i="27" s="1"/>
  <c r="I325" i="27"/>
  <c r="I326" i="27" s="1"/>
  <c r="J326" i="27" s="1"/>
  <c r="I277" i="27"/>
  <c r="I278" i="27" s="1"/>
  <c r="J278" i="27" s="1"/>
  <c r="I229" i="27"/>
  <c r="I230" i="27" s="1"/>
  <c r="J230" i="27" s="1"/>
  <c r="H502" i="27"/>
  <c r="G502" i="27"/>
  <c r="F502" i="27"/>
  <c r="E502" i="27"/>
  <c r="H463" i="27"/>
  <c r="G463" i="27"/>
  <c r="F463" i="27"/>
  <c r="E463" i="27"/>
  <c r="H415" i="27"/>
  <c r="G415" i="27"/>
  <c r="F415" i="27"/>
  <c r="E415" i="27"/>
  <c r="H367" i="27"/>
  <c r="G367" i="27"/>
  <c r="F367" i="27"/>
  <c r="E367" i="27"/>
  <c r="H310" i="27"/>
  <c r="G310" i="27"/>
  <c r="F310" i="27"/>
  <c r="E310" i="27"/>
  <c r="H271" i="27"/>
  <c r="G271" i="27"/>
  <c r="F271" i="27"/>
  <c r="E271" i="27"/>
  <c r="H223" i="27"/>
  <c r="G223" i="27"/>
  <c r="F223" i="27"/>
  <c r="E223" i="27"/>
  <c r="I190" i="27"/>
  <c r="I191" i="27" s="1"/>
  <c r="J191" i="27" s="1"/>
  <c r="I188" i="27"/>
  <c r="I189" i="27" s="1"/>
  <c r="J189" i="27" s="1"/>
  <c r="I181" i="27"/>
  <c r="I182" i="27" s="1"/>
  <c r="J182" i="27" s="1"/>
  <c r="E591" i="27"/>
  <c r="F591" i="27"/>
  <c r="G591" i="27"/>
  <c r="D551" i="27"/>
  <c r="I142" i="27"/>
  <c r="I143" i="27" s="1"/>
  <c r="J143" i="27" s="1"/>
  <c r="I140" i="27"/>
  <c r="I141" i="27" s="1"/>
  <c r="J141" i="27" s="1"/>
  <c r="I133" i="27"/>
  <c r="I134" i="27" s="1"/>
  <c r="J134" i="27" s="1"/>
  <c r="E592" i="27"/>
  <c r="F592" i="27"/>
  <c r="G592" i="27"/>
  <c r="D592" i="27"/>
  <c r="E555" i="27"/>
  <c r="F555" i="27"/>
  <c r="G555" i="27"/>
  <c r="D552" i="27"/>
  <c r="H516" i="27"/>
  <c r="G516" i="27"/>
  <c r="F516" i="27"/>
  <c r="E516" i="27"/>
  <c r="H468" i="27"/>
  <c r="G468" i="27"/>
  <c r="F468" i="27"/>
  <c r="E468" i="27"/>
  <c r="H420" i="27"/>
  <c r="G420" i="27"/>
  <c r="F420" i="27"/>
  <c r="E420" i="27"/>
  <c r="H372" i="27"/>
  <c r="G372" i="27"/>
  <c r="F372" i="27"/>
  <c r="E372" i="27"/>
  <c r="H324" i="27"/>
  <c r="G324" i="27"/>
  <c r="F324" i="27"/>
  <c r="E324" i="27"/>
  <c r="H276" i="27"/>
  <c r="G276" i="27"/>
  <c r="F276" i="27"/>
  <c r="E276" i="27"/>
  <c r="H228" i="27"/>
  <c r="G228" i="27"/>
  <c r="F228" i="27"/>
  <c r="E228" i="27"/>
  <c r="I227" i="27"/>
  <c r="I228" i="27" s="1"/>
  <c r="I515" i="27"/>
  <c r="I516" i="27" s="1"/>
  <c r="I467" i="27"/>
  <c r="I468" i="27" s="1"/>
  <c r="J468" i="27" s="1"/>
  <c r="I419" i="27"/>
  <c r="I420" i="27" s="1"/>
  <c r="I371" i="27"/>
  <c r="I372" i="27" s="1"/>
  <c r="J372" i="27" s="1"/>
  <c r="I323" i="27"/>
  <c r="I324" i="27" s="1"/>
  <c r="I275" i="27"/>
  <c r="I276" i="27" s="1"/>
  <c r="I179" i="27"/>
  <c r="I180" i="27" s="1"/>
  <c r="J180" i="27" s="1"/>
  <c r="I131" i="27"/>
  <c r="I132" i="27" s="1"/>
  <c r="J132" i="27" s="1"/>
  <c r="R11" i="30" l="1"/>
  <c r="S125" i="30"/>
  <c r="R74" i="35" s="1"/>
  <c r="T125" i="30"/>
  <c r="R75" i="35" s="1"/>
  <c r="V125" i="30"/>
  <c r="R77" i="35" s="1"/>
  <c r="U125" i="30"/>
  <c r="R76" i="35" s="1"/>
  <c r="R126" i="30"/>
  <c r="R97" i="35" s="1"/>
  <c r="S126" i="30"/>
  <c r="R98" i="35" s="1"/>
  <c r="T126" i="30"/>
  <c r="R99" i="35" s="1"/>
  <c r="R119" i="30"/>
  <c r="E19" i="35" s="1"/>
  <c r="U126" i="30"/>
  <c r="R100" i="35" s="1"/>
  <c r="V126" i="30"/>
  <c r="R101" i="35" s="1"/>
  <c r="R125" i="30"/>
  <c r="R73" i="35" s="1"/>
  <c r="G612" i="27"/>
  <c r="J527" i="27"/>
  <c r="J518" i="27"/>
  <c r="J516" i="27"/>
  <c r="E611" i="27"/>
  <c r="J479" i="27"/>
  <c r="J470" i="27"/>
  <c r="J431" i="27"/>
  <c r="J429" i="27"/>
  <c r="E550" i="27"/>
  <c r="F599" i="27"/>
  <c r="J422" i="27"/>
  <c r="J420" i="27"/>
  <c r="G609" i="27"/>
  <c r="J383" i="27"/>
  <c r="J381" i="27"/>
  <c r="H598" i="27"/>
  <c r="E608" i="27"/>
  <c r="J335" i="27"/>
  <c r="J333" i="27"/>
  <c r="J324" i="27"/>
  <c r="E607" i="27"/>
  <c r="E548" i="27"/>
  <c r="J276" i="27"/>
  <c r="J239" i="27"/>
  <c r="J237" i="27"/>
  <c r="H549" i="27"/>
  <c r="H595" i="27"/>
  <c r="E595" i="27"/>
  <c r="H550" i="27"/>
  <c r="J228" i="27"/>
  <c r="G553" i="27"/>
  <c r="D553" i="27"/>
  <c r="H612" i="27"/>
  <c r="H609" i="27"/>
  <c r="H606" i="27"/>
  <c r="H603" i="27"/>
  <c r="E553" i="27"/>
  <c r="D603" i="27"/>
  <c r="F612" i="27"/>
  <c r="F609" i="27"/>
  <c r="F606" i="27"/>
  <c r="F603" i="27"/>
  <c r="H554" i="27"/>
  <c r="D604" i="27"/>
  <c r="E612" i="27"/>
  <c r="E609" i="27"/>
  <c r="E606" i="27"/>
  <c r="E603" i="27"/>
  <c r="G554" i="27"/>
  <c r="D605" i="27"/>
  <c r="H611" i="27"/>
  <c r="H608" i="27"/>
  <c r="H605" i="27"/>
  <c r="H602" i="27"/>
  <c r="F553" i="27"/>
  <c r="H552" i="27"/>
  <c r="F554" i="27"/>
  <c r="D606" i="27"/>
  <c r="G611" i="27"/>
  <c r="G608" i="27"/>
  <c r="G605" i="27"/>
  <c r="G602" i="27"/>
  <c r="G552" i="27"/>
  <c r="E554" i="27"/>
  <c r="D607" i="27"/>
  <c r="F611" i="27"/>
  <c r="F608" i="27"/>
  <c r="F605" i="27"/>
  <c r="F602" i="27"/>
  <c r="F552" i="27"/>
  <c r="H555" i="27"/>
  <c r="E605" i="27"/>
  <c r="E602" i="27"/>
  <c r="E552" i="27"/>
  <c r="D609" i="27"/>
  <c r="H610" i="27"/>
  <c r="H607" i="27"/>
  <c r="H604" i="27"/>
  <c r="D554" i="27"/>
  <c r="D610" i="27"/>
  <c r="G610" i="27"/>
  <c r="G607" i="27"/>
  <c r="G604" i="27"/>
  <c r="D555" i="27"/>
  <c r="D611" i="27"/>
  <c r="F610" i="27"/>
  <c r="F607" i="27"/>
  <c r="F604" i="27"/>
  <c r="H553" i="27"/>
  <c r="D612" i="27"/>
  <c r="E604" i="27"/>
  <c r="F548" i="27"/>
  <c r="F550" i="27"/>
  <c r="D599" i="27"/>
  <c r="G599" i="27"/>
  <c r="G596" i="27"/>
  <c r="G593" i="27"/>
  <c r="D600" i="27"/>
  <c r="F596" i="27"/>
  <c r="H548" i="27"/>
  <c r="H551" i="27"/>
  <c r="D601" i="27"/>
  <c r="E599" i="27"/>
  <c r="E596" i="27"/>
  <c r="E593" i="27"/>
  <c r="D548" i="27"/>
  <c r="H592" i="27"/>
  <c r="D550" i="27"/>
  <c r="F551" i="27"/>
  <c r="D591" i="27"/>
  <c r="G601" i="27"/>
  <c r="G598" i="27"/>
  <c r="G595" i="27"/>
  <c r="E551" i="27"/>
  <c r="F601" i="27"/>
  <c r="F598" i="27"/>
  <c r="F595" i="27"/>
  <c r="E598" i="27"/>
  <c r="G549" i="27"/>
  <c r="D594" i="27"/>
  <c r="H600" i="27"/>
  <c r="H597" i="27"/>
  <c r="H594" i="27"/>
  <c r="H591" i="27"/>
  <c r="G551" i="27"/>
  <c r="F549" i="27"/>
  <c r="D595" i="27"/>
  <c r="G600" i="27"/>
  <c r="G597" i="27"/>
  <c r="G594" i="27"/>
  <c r="D549" i="27"/>
  <c r="H601" i="27"/>
  <c r="E549" i="27"/>
  <c r="D596" i="27"/>
  <c r="F600" i="27"/>
  <c r="F597" i="27"/>
  <c r="F594" i="27"/>
  <c r="D597" i="27"/>
  <c r="E600" i="27"/>
  <c r="E597" i="27"/>
  <c r="E594" i="27"/>
  <c r="G548" i="27"/>
  <c r="G550" i="27"/>
  <c r="H596" i="27"/>
  <c r="H593" i="27"/>
  <c r="Y85" i="35"/>
  <c r="L80" i="35"/>
  <c r="L79" i="35"/>
  <c r="M80" i="35"/>
  <c r="Y87" i="35"/>
  <c r="F84" i="35"/>
  <c r="L81" i="35"/>
  <c r="W84" i="35"/>
  <c r="D94" i="35"/>
  <c r="Y83" i="35"/>
  <c r="L78" i="35"/>
  <c r="Y62" i="35"/>
  <c r="L56" i="35"/>
  <c r="L54" i="35"/>
  <c r="X59" i="35"/>
  <c r="T66" i="35"/>
  <c r="R42" i="35"/>
  <c r="Y132" i="35"/>
  <c r="L32" i="35"/>
  <c r="Y36" i="35"/>
  <c r="M32" i="35"/>
  <c r="Y37" i="35"/>
  <c r="I9" i="35"/>
  <c r="J9" i="35" s="1"/>
  <c r="C46" i="35"/>
  <c r="P51" i="35"/>
  <c r="D15" i="35"/>
  <c r="C8" i="26"/>
  <c r="E3" i="25"/>
  <c r="C8" i="25"/>
  <c r="Y134" i="35"/>
  <c r="U138" i="35"/>
  <c r="Y135" i="35"/>
  <c r="Z135" i="35"/>
  <c r="S161" i="35"/>
  <c r="S162" i="35" s="1"/>
  <c r="Q138" i="35"/>
  <c r="P145" i="35"/>
  <c r="Z131" i="35"/>
  <c r="Q146" i="35"/>
  <c r="X132" i="35"/>
  <c r="X134" i="35"/>
  <c r="Q148" i="35"/>
  <c r="R138" i="35"/>
  <c r="Z132" i="35"/>
  <c r="P146" i="35"/>
  <c r="Z134" i="35"/>
  <c r="P148" i="35"/>
  <c r="T138" i="35"/>
  <c r="Q145" i="35"/>
  <c r="X131" i="35"/>
  <c r="Q149" i="35"/>
  <c r="X135" i="35"/>
  <c r="X133" i="35"/>
  <c r="Q147" i="35"/>
  <c r="V136" i="35"/>
  <c r="W137" i="35" s="1"/>
  <c r="Y131" i="35"/>
  <c r="P147" i="35"/>
  <c r="Z133" i="35"/>
  <c r="S138" i="35"/>
  <c r="Q161" i="35"/>
  <c r="Q162" i="35" s="1"/>
  <c r="T162" i="35"/>
  <c r="Y158" i="35"/>
  <c r="W156" i="35"/>
  <c r="Q170" i="35" s="1"/>
  <c r="Y156" i="35"/>
  <c r="Q172" i="35"/>
  <c r="X158" i="35"/>
  <c r="Z158" i="35"/>
  <c r="P173" i="35"/>
  <c r="Z159" i="35"/>
  <c r="U162" i="35"/>
  <c r="Q173" i="35"/>
  <c r="X159" i="35"/>
  <c r="Q169" i="35"/>
  <c r="X155" i="35"/>
  <c r="X157" i="35"/>
  <c r="Q171" i="35"/>
  <c r="R162" i="35"/>
  <c r="P170" i="35"/>
  <c r="Y159" i="35"/>
  <c r="P122" i="35"/>
  <c r="U114" i="35"/>
  <c r="X107" i="35"/>
  <c r="Y107" i="35"/>
  <c r="V112" i="35"/>
  <c r="W113" i="35" s="1"/>
  <c r="Q114" i="35"/>
  <c r="P121" i="35"/>
  <c r="Z107" i="35"/>
  <c r="Q125" i="35"/>
  <c r="X111" i="35"/>
  <c r="X108" i="35"/>
  <c r="Q122" i="35"/>
  <c r="Z111" i="35"/>
  <c r="Z109" i="35"/>
  <c r="P123" i="35"/>
  <c r="S114" i="35"/>
  <c r="Z108" i="35"/>
  <c r="V88" i="35"/>
  <c r="W89" i="35" s="1"/>
  <c r="Q89" i="35"/>
  <c r="Q90" i="35" s="1"/>
  <c r="U89" i="35"/>
  <c r="P101" i="35" s="1"/>
  <c r="Z84" i="35"/>
  <c r="R90" i="35"/>
  <c r="P98" i="35"/>
  <c r="S89" i="35"/>
  <c r="P99" i="35" s="1"/>
  <c r="X85" i="35"/>
  <c r="Q99" i="35"/>
  <c r="X83" i="35"/>
  <c r="Q97" i="35"/>
  <c r="X86" i="35"/>
  <c r="Q100" i="35"/>
  <c r="Q98" i="35"/>
  <c r="X84" i="35"/>
  <c r="Q101" i="35"/>
  <c r="X87" i="35"/>
  <c r="P75" i="35"/>
  <c r="Z61" i="35"/>
  <c r="Y59" i="35"/>
  <c r="Y60" i="35"/>
  <c r="P74" i="35"/>
  <c r="R66" i="35"/>
  <c r="V64" i="35"/>
  <c r="W65" i="35" s="1"/>
  <c r="P73" i="35"/>
  <c r="Z59" i="35"/>
  <c r="Q66" i="35"/>
  <c r="Q75" i="35"/>
  <c r="X61" i="35"/>
  <c r="W60" i="35"/>
  <c r="Z60" i="35" s="1"/>
  <c r="Q77" i="35"/>
  <c r="X63" i="35"/>
  <c r="X62" i="35"/>
  <c r="Q76" i="35"/>
  <c r="Z63" i="35"/>
  <c r="Z62" i="35"/>
  <c r="R124" i="30"/>
  <c r="R49" i="35" s="1"/>
  <c r="S124" i="30"/>
  <c r="R50" i="35" s="1"/>
  <c r="T124" i="30"/>
  <c r="R51" i="35" s="1"/>
  <c r="U124" i="30"/>
  <c r="R52" i="35" s="1"/>
  <c r="V124" i="30"/>
  <c r="R53" i="35" s="1"/>
  <c r="R28" i="30"/>
  <c r="R129" i="30" s="1"/>
  <c r="R169" i="35" s="1"/>
  <c r="R68" i="30"/>
  <c r="R38" i="30"/>
  <c r="R127" i="30" s="1"/>
  <c r="R121" i="35" s="1"/>
  <c r="R59" i="30"/>
  <c r="R78" i="30"/>
  <c r="R102" i="30"/>
  <c r="V78" i="30"/>
  <c r="S10" i="30"/>
  <c r="R48" i="30"/>
  <c r="R88" i="30"/>
  <c r="V119" i="30"/>
  <c r="E23" i="35" s="1"/>
  <c r="Y38" i="35"/>
  <c r="W36" i="35"/>
  <c r="Z36" i="35" s="1"/>
  <c r="U41" i="35"/>
  <c r="U42" i="35" s="1"/>
  <c r="P52" i="35"/>
  <c r="Y35" i="35"/>
  <c r="V40" i="35"/>
  <c r="W41" i="35" s="1"/>
  <c r="Q42" i="35"/>
  <c r="P49" i="35"/>
  <c r="W37" i="35"/>
  <c r="Q52" i="35"/>
  <c r="X38" i="35"/>
  <c r="Z38" i="35"/>
  <c r="X39" i="35"/>
  <c r="Q53" i="35"/>
  <c r="W35" i="35"/>
  <c r="Z35" i="35" s="1"/>
  <c r="L31" i="35"/>
  <c r="L55" i="35"/>
  <c r="I6" i="35"/>
  <c r="J6" i="35" s="1"/>
  <c r="D118" i="35"/>
  <c r="E15" i="35"/>
  <c r="G10" i="35"/>
  <c r="G11" i="35" s="1"/>
  <c r="C22" i="35" s="1"/>
  <c r="I8" i="35"/>
  <c r="J8" i="35" s="1"/>
  <c r="G15" i="35"/>
  <c r="I7" i="35"/>
  <c r="J7" i="35" s="1"/>
  <c r="F15" i="35"/>
  <c r="B15" i="35"/>
  <c r="C15" i="35"/>
  <c r="T10" i="30"/>
  <c r="R79" i="30"/>
  <c r="U119" i="30"/>
  <c r="E22" i="35" s="1"/>
  <c r="R69" i="30"/>
  <c r="V10" i="30"/>
  <c r="T11" i="30"/>
  <c r="S29" i="30"/>
  <c r="V39" i="30"/>
  <c r="S48" i="30"/>
  <c r="T59" i="30"/>
  <c r="S69" i="30"/>
  <c r="S89" i="30"/>
  <c r="V102" i="30"/>
  <c r="T29" i="30"/>
  <c r="T49" i="30"/>
  <c r="T69" i="30"/>
  <c r="T88" i="30"/>
  <c r="U29" i="30"/>
  <c r="U49" i="30"/>
  <c r="S11" i="30"/>
  <c r="R120" i="30"/>
  <c r="E43" i="35" s="1"/>
  <c r="T19" i="30"/>
  <c r="V29" i="30"/>
  <c r="R39" i="30"/>
  <c r="V48" i="30"/>
  <c r="R58" i="30"/>
  <c r="V68" i="30"/>
  <c r="V122" i="30"/>
  <c r="E95" i="35" s="1"/>
  <c r="U89" i="30"/>
  <c r="R103" i="30"/>
  <c r="R10" i="30"/>
  <c r="S18" i="30"/>
  <c r="S128" i="30" s="1"/>
  <c r="R146" i="35" s="1"/>
  <c r="T28" i="30"/>
  <c r="T129" i="30" s="1"/>
  <c r="R171" i="35" s="1"/>
  <c r="T68" i="30"/>
  <c r="U78" i="30"/>
  <c r="R89" i="30"/>
  <c r="T89" i="30"/>
  <c r="V117" i="30"/>
  <c r="S116" i="30"/>
  <c r="U28" i="30"/>
  <c r="U129" i="30" s="1"/>
  <c r="R172" i="35" s="1"/>
  <c r="T48" i="30"/>
  <c r="S39" i="30"/>
  <c r="S59" i="30"/>
  <c r="S79" i="30"/>
  <c r="S103" i="30"/>
  <c r="T38" i="30"/>
  <c r="T127" i="30" s="1"/>
  <c r="R123" i="35" s="1"/>
  <c r="T58" i="30"/>
  <c r="T79" i="30"/>
  <c r="T103" i="30"/>
  <c r="R116" i="30"/>
  <c r="S102" i="30"/>
  <c r="V11" i="30"/>
  <c r="U38" i="30"/>
  <c r="U127" i="30" s="1"/>
  <c r="R124" i="35" s="1"/>
  <c r="U59" i="30"/>
  <c r="U102" i="30"/>
  <c r="U11" i="30"/>
  <c r="V38" i="30"/>
  <c r="V127" i="30" s="1"/>
  <c r="R125" i="35" s="1"/>
  <c r="V58" i="30"/>
  <c r="V79" i="30"/>
  <c r="T116" i="30"/>
  <c r="U39" i="30"/>
  <c r="U121" i="30"/>
  <c r="E70" i="35" s="1"/>
  <c r="U122" i="30"/>
  <c r="E94" i="35" s="1"/>
  <c r="V28" i="30"/>
  <c r="V129" i="30" s="1"/>
  <c r="R173" i="35" s="1"/>
  <c r="U48" i="30"/>
  <c r="T102" i="30"/>
  <c r="T39" i="30"/>
  <c r="V59" i="30"/>
  <c r="T120" i="30"/>
  <c r="E45" i="35" s="1"/>
  <c r="U10" i="30"/>
  <c r="S28" i="30"/>
  <c r="S129" i="30" s="1"/>
  <c r="R170" i="35" s="1"/>
  <c r="T78" i="30"/>
  <c r="R49" i="30"/>
  <c r="U103" i="30"/>
  <c r="U79" i="30"/>
  <c r="U120" i="30"/>
  <c r="E46" i="35" s="1"/>
  <c r="U58" i="30"/>
  <c r="S78" i="30"/>
  <c r="U116" i="30"/>
  <c r="S49" i="30"/>
  <c r="U69" i="30"/>
  <c r="S120" i="30"/>
  <c r="E44" i="35" s="1"/>
  <c r="V120" i="30"/>
  <c r="E47" i="35" s="1"/>
  <c r="R123" i="30"/>
  <c r="E115" i="35" s="1"/>
  <c r="V116" i="30"/>
  <c r="R29" i="30"/>
  <c r="V69" i="30"/>
  <c r="V103" i="30"/>
  <c r="S123" i="30"/>
  <c r="E116" i="35" s="1"/>
  <c r="R18" i="30"/>
  <c r="R128" i="30" s="1"/>
  <c r="R145" i="35" s="1"/>
  <c r="S58" i="30"/>
  <c r="V88" i="30"/>
  <c r="R117" i="30"/>
  <c r="T123" i="30"/>
  <c r="E117" i="35" s="1"/>
  <c r="V18" i="30"/>
  <c r="V128" i="30" s="1"/>
  <c r="R149" i="35" s="1"/>
  <c r="U88" i="30"/>
  <c r="R19" i="30"/>
  <c r="V49" i="30"/>
  <c r="S117" i="30"/>
  <c r="T119" i="30"/>
  <c r="E21" i="35" s="1"/>
  <c r="U123" i="30"/>
  <c r="E118" i="35" s="1"/>
  <c r="U18" i="30"/>
  <c r="U128" i="30" s="1"/>
  <c r="R148" i="35" s="1"/>
  <c r="S38" i="30"/>
  <c r="S127" i="30" s="1"/>
  <c r="R122" i="35" s="1"/>
  <c r="V19" i="30"/>
  <c r="T117" i="30"/>
  <c r="S119" i="30"/>
  <c r="E20" i="35" s="1"/>
  <c r="V121" i="30"/>
  <c r="E71" i="35" s="1"/>
  <c r="R121" i="30"/>
  <c r="E67" i="35" s="1"/>
  <c r="R122" i="30"/>
  <c r="E91" i="35" s="1"/>
  <c r="V123" i="30"/>
  <c r="E119" i="35" s="1"/>
  <c r="T18" i="30"/>
  <c r="T128" i="30" s="1"/>
  <c r="R147" i="35" s="1"/>
  <c r="U68" i="30"/>
  <c r="S88" i="30"/>
  <c r="U19" i="30"/>
  <c r="U117" i="30"/>
  <c r="S121" i="30"/>
  <c r="E68" i="35" s="1"/>
  <c r="S122" i="30"/>
  <c r="E92" i="35" s="1"/>
  <c r="T121" i="30"/>
  <c r="E69" i="35" s="1"/>
  <c r="T122" i="30"/>
  <c r="E93" i="35" s="1"/>
  <c r="S68" i="30"/>
  <c r="S19" i="30"/>
  <c r="V89" i="30"/>
  <c r="F107" i="35"/>
  <c r="F108" i="35" s="1"/>
  <c r="L104" i="35"/>
  <c r="L101" i="35"/>
  <c r="E108" i="35"/>
  <c r="I106" i="35"/>
  <c r="J107" i="35" s="1"/>
  <c r="M102" i="35"/>
  <c r="M104" i="35"/>
  <c r="C118" i="35"/>
  <c r="G108" i="35"/>
  <c r="D119" i="35"/>
  <c r="K105" i="35"/>
  <c r="K102" i="35"/>
  <c r="D116" i="35"/>
  <c r="K103" i="35"/>
  <c r="D117" i="35"/>
  <c r="D108" i="35"/>
  <c r="C115" i="35"/>
  <c r="M101" i="35"/>
  <c r="H107" i="35"/>
  <c r="D115" i="35"/>
  <c r="K101" i="35"/>
  <c r="M77" i="35"/>
  <c r="D84" i="35"/>
  <c r="C91" i="35"/>
  <c r="D93" i="35"/>
  <c r="K79" i="35"/>
  <c r="K77" i="35"/>
  <c r="D91" i="35"/>
  <c r="M79" i="35"/>
  <c r="L77" i="35"/>
  <c r="I82" i="35"/>
  <c r="J83" i="35" s="1"/>
  <c r="D92" i="35"/>
  <c r="K78" i="35"/>
  <c r="K81" i="35"/>
  <c r="D95" i="35"/>
  <c r="M78" i="35"/>
  <c r="E84" i="35"/>
  <c r="C92" i="35"/>
  <c r="E59" i="35"/>
  <c r="E60" i="35" s="1"/>
  <c r="H59" i="35"/>
  <c r="C71" i="35" s="1"/>
  <c r="G59" i="35"/>
  <c r="G60" i="35" s="1"/>
  <c r="D68" i="35"/>
  <c r="K54" i="35"/>
  <c r="L53" i="35"/>
  <c r="I58" i="35"/>
  <c r="J59" i="35" s="1"/>
  <c r="J53" i="35"/>
  <c r="M53" i="35" s="1"/>
  <c r="D71" i="35"/>
  <c r="K57" i="35"/>
  <c r="K55" i="35"/>
  <c r="D69" i="35"/>
  <c r="F59" i="35"/>
  <c r="D60" i="35"/>
  <c r="C67" i="35"/>
  <c r="K56" i="35"/>
  <c r="D70" i="35"/>
  <c r="F35" i="35"/>
  <c r="M31" i="35" s="1"/>
  <c r="L29" i="35"/>
  <c r="E36" i="35"/>
  <c r="M30" i="35"/>
  <c r="C44" i="35"/>
  <c r="L30" i="35"/>
  <c r="L33" i="35"/>
  <c r="H36" i="35"/>
  <c r="I34" i="35"/>
  <c r="J35" i="35" s="1"/>
  <c r="J29" i="35"/>
  <c r="M29" i="35" s="1"/>
  <c r="D36" i="35"/>
  <c r="K30" i="35"/>
  <c r="D44" i="35"/>
  <c r="K31" i="35"/>
  <c r="D45" i="35"/>
  <c r="K32" i="35"/>
  <c r="D46" i="35"/>
  <c r="K33" i="35"/>
  <c r="D47" i="35"/>
  <c r="M33" i="35"/>
  <c r="H10" i="35"/>
  <c r="H11" i="35" s="1"/>
  <c r="F10" i="35"/>
  <c r="F11" i="35" s="1"/>
  <c r="E10" i="35"/>
  <c r="D10" i="35"/>
  <c r="D11" i="35" s="1"/>
  <c r="C19" i="35" s="1"/>
  <c r="I5" i="35"/>
  <c r="J5" i="35" s="1"/>
  <c r="F224" i="27"/>
  <c r="H311" i="27"/>
  <c r="G272" i="27"/>
  <c r="F272" i="27"/>
  <c r="G224" i="27"/>
  <c r="E272" i="27"/>
  <c r="H416" i="27"/>
  <c r="H224" i="27"/>
  <c r="G368" i="27"/>
  <c r="H368" i="27"/>
  <c r="E311" i="27"/>
  <c r="F311" i="27"/>
  <c r="G311" i="27"/>
  <c r="H272" i="27"/>
  <c r="E320" i="27"/>
  <c r="F320" i="27"/>
  <c r="E464" i="27"/>
  <c r="G320" i="27"/>
  <c r="E512" i="27"/>
  <c r="E416" i="27"/>
  <c r="F464" i="27"/>
  <c r="H320" i="27"/>
  <c r="F512" i="27"/>
  <c r="E368" i="27"/>
  <c r="F416" i="27"/>
  <c r="G464" i="27"/>
  <c r="G512" i="27"/>
  <c r="E224" i="27"/>
  <c r="F368" i="27"/>
  <c r="G416" i="27"/>
  <c r="H464" i="27"/>
  <c r="H512" i="27"/>
  <c r="H267" i="27"/>
  <c r="H219" i="27"/>
  <c r="G267" i="27"/>
  <c r="G315" i="27"/>
  <c r="F363" i="27"/>
  <c r="F315" i="27"/>
  <c r="G363" i="27"/>
  <c r="F411" i="27"/>
  <c r="G411" i="27"/>
  <c r="I316" i="27"/>
  <c r="I317" i="27" s="1"/>
  <c r="F459" i="27"/>
  <c r="I362" i="27"/>
  <c r="I363" i="27" s="1"/>
  <c r="G459" i="27"/>
  <c r="G219" i="27"/>
  <c r="E507" i="27"/>
  <c r="F507" i="27"/>
  <c r="I314" i="27"/>
  <c r="I315" i="27" s="1"/>
  <c r="F219" i="27"/>
  <c r="F267" i="27"/>
  <c r="E315" i="27"/>
  <c r="E363" i="27"/>
  <c r="E411" i="27"/>
  <c r="E459" i="27"/>
  <c r="I364" i="27"/>
  <c r="I365" i="27" s="1"/>
  <c r="H315" i="27"/>
  <c r="H363" i="27"/>
  <c r="H411" i="27"/>
  <c r="H459" i="27"/>
  <c r="G507" i="27"/>
  <c r="I410" i="27"/>
  <c r="I411" i="27" s="1"/>
  <c r="H507" i="27"/>
  <c r="I412" i="27"/>
  <c r="I413" i="27" s="1"/>
  <c r="E221" i="27"/>
  <c r="E269" i="27"/>
  <c r="I458" i="27"/>
  <c r="I459" i="27" s="1"/>
  <c r="J459" i="27" s="1"/>
  <c r="F221" i="27"/>
  <c r="F269" i="27"/>
  <c r="E317" i="27"/>
  <c r="E365" i="27"/>
  <c r="E413" i="27"/>
  <c r="I460" i="27"/>
  <c r="I461" i="27" s="1"/>
  <c r="G221" i="27"/>
  <c r="G269" i="27"/>
  <c r="F317" i="27"/>
  <c r="F365" i="27"/>
  <c r="F413" i="27"/>
  <c r="E461" i="27"/>
  <c r="E509" i="27"/>
  <c r="I218" i="27"/>
  <c r="I219" i="27" s="1"/>
  <c r="I506" i="27"/>
  <c r="I507" i="27" s="1"/>
  <c r="H221" i="27"/>
  <c r="H269" i="27"/>
  <c r="G317" i="27"/>
  <c r="G365" i="27"/>
  <c r="G413" i="27"/>
  <c r="F461" i="27"/>
  <c r="F509" i="27"/>
  <c r="I220" i="27"/>
  <c r="I221" i="27" s="1"/>
  <c r="I508" i="27"/>
  <c r="I509" i="27" s="1"/>
  <c r="H317" i="27"/>
  <c r="H365" i="27"/>
  <c r="H413" i="27"/>
  <c r="G461" i="27"/>
  <c r="G509" i="27"/>
  <c r="I266" i="27"/>
  <c r="I267" i="27" s="1"/>
  <c r="H461" i="27"/>
  <c r="H509" i="27"/>
  <c r="I268" i="27"/>
  <c r="I269" i="27" s="1"/>
  <c r="E219" i="27"/>
  <c r="E267" i="27"/>
  <c r="I172" i="27"/>
  <c r="I173" i="27" s="1"/>
  <c r="I170" i="27"/>
  <c r="I171" i="27" s="1"/>
  <c r="I122" i="27"/>
  <c r="I123" i="27" s="1"/>
  <c r="I124" i="27"/>
  <c r="I125" i="27" s="1"/>
  <c r="N582" i="26"/>
  <c r="O579" i="26" s="1"/>
  <c r="G571" i="26"/>
  <c r="G572" i="26" s="1"/>
  <c r="F571" i="26"/>
  <c r="E571" i="26"/>
  <c r="E572" i="26" s="1"/>
  <c r="D571" i="26"/>
  <c r="D572" i="26" s="1"/>
  <c r="C571" i="26"/>
  <c r="H570" i="26"/>
  <c r="I570" i="26" s="1"/>
  <c r="J570" i="26" s="1"/>
  <c r="H569" i="26"/>
  <c r="L580" i="26" s="1"/>
  <c r="H568" i="26"/>
  <c r="L579" i="26" s="1"/>
  <c r="H567" i="26"/>
  <c r="H566" i="26"/>
  <c r="N553" i="26"/>
  <c r="O552" i="26" s="1"/>
  <c r="L549" i="26"/>
  <c r="O548" i="26"/>
  <c r="G542" i="26"/>
  <c r="G543" i="26" s="1"/>
  <c r="F542" i="26"/>
  <c r="F543" i="26" s="1"/>
  <c r="F544" i="26" s="1"/>
  <c r="E542" i="26"/>
  <c r="E543" i="26" s="1"/>
  <c r="D542" i="26"/>
  <c r="D543" i="26" s="1"/>
  <c r="N538" i="26" s="1"/>
  <c r="U202" i="26" s="1"/>
  <c r="C542" i="26"/>
  <c r="C558" i="26" s="1"/>
  <c r="H541" i="26"/>
  <c r="I540" i="26"/>
  <c r="H540" i="26"/>
  <c r="H539" i="26"/>
  <c r="I539" i="26" s="1"/>
  <c r="J539" i="26" s="1"/>
  <c r="H538" i="26"/>
  <c r="I538" i="26" s="1"/>
  <c r="J538" i="26" s="1"/>
  <c r="I537" i="26"/>
  <c r="J537" i="26" s="1"/>
  <c r="H537" i="26"/>
  <c r="N524" i="26"/>
  <c r="O523" i="26" s="1"/>
  <c r="O522" i="26"/>
  <c r="O520" i="26"/>
  <c r="O519" i="26"/>
  <c r="D514" i="26"/>
  <c r="D515" i="26" s="1"/>
  <c r="G513" i="26"/>
  <c r="K512" i="26" s="1"/>
  <c r="F513" i="26"/>
  <c r="E513" i="26"/>
  <c r="E529" i="26" s="1"/>
  <c r="D513" i="26"/>
  <c r="D529" i="26" s="1"/>
  <c r="C513" i="26"/>
  <c r="C514" i="26" s="1"/>
  <c r="C515" i="26" s="1"/>
  <c r="H512" i="26"/>
  <c r="L523" i="26" s="1"/>
  <c r="H511" i="26"/>
  <c r="L522" i="26" s="1"/>
  <c r="H510" i="26"/>
  <c r="H509" i="26"/>
  <c r="H508" i="26"/>
  <c r="N495" i="26"/>
  <c r="O494" i="26" s="1"/>
  <c r="O493" i="26"/>
  <c r="G484" i="26"/>
  <c r="G500" i="26" s="1"/>
  <c r="F484" i="26"/>
  <c r="F500" i="26" s="1"/>
  <c r="E484" i="26"/>
  <c r="E500" i="26" s="1"/>
  <c r="D484" i="26"/>
  <c r="D500" i="26" s="1"/>
  <c r="C484" i="26"/>
  <c r="C500" i="26" s="1"/>
  <c r="H483" i="26"/>
  <c r="H482" i="26"/>
  <c r="L493" i="26" s="1"/>
  <c r="H481" i="26"/>
  <c r="K481" i="26" s="1"/>
  <c r="I480" i="26"/>
  <c r="J480" i="26" s="1"/>
  <c r="H480" i="26"/>
  <c r="L491" i="26" s="1"/>
  <c r="H479" i="26"/>
  <c r="L490" i="26" s="1"/>
  <c r="N466" i="26"/>
  <c r="O465" i="26" s="1"/>
  <c r="G455" i="26"/>
  <c r="K454" i="26" s="1"/>
  <c r="F455" i="26"/>
  <c r="F471" i="26" s="1"/>
  <c r="E455" i="26"/>
  <c r="E471" i="26" s="1"/>
  <c r="D455" i="26"/>
  <c r="D456" i="26" s="1"/>
  <c r="C455" i="26"/>
  <c r="H454" i="26"/>
  <c r="L465" i="26" s="1"/>
  <c r="H453" i="26"/>
  <c r="L464" i="26" s="1"/>
  <c r="H452" i="26"/>
  <c r="L463" i="26" s="1"/>
  <c r="H451" i="26"/>
  <c r="H450" i="26"/>
  <c r="N437" i="26"/>
  <c r="O434" i="26" s="1"/>
  <c r="O436" i="26"/>
  <c r="L434" i="26"/>
  <c r="F428" i="26"/>
  <c r="G426" i="26"/>
  <c r="G427" i="26" s="1"/>
  <c r="F426" i="26"/>
  <c r="F427" i="26" s="1"/>
  <c r="E426" i="26"/>
  <c r="E442" i="26" s="1"/>
  <c r="D426" i="26"/>
  <c r="D442" i="26" s="1"/>
  <c r="C426" i="26"/>
  <c r="C442" i="26" s="1"/>
  <c r="H425" i="26"/>
  <c r="H424" i="26"/>
  <c r="I424" i="26" s="1"/>
  <c r="J424" i="26" s="1"/>
  <c r="H423" i="26"/>
  <c r="I423" i="26" s="1"/>
  <c r="J423" i="26" s="1"/>
  <c r="H422" i="26"/>
  <c r="I422" i="26" s="1"/>
  <c r="J422" i="26" s="1"/>
  <c r="H421" i="26"/>
  <c r="L432" i="26" s="1"/>
  <c r="N408" i="26"/>
  <c r="O405" i="26" s="1"/>
  <c r="C398" i="26"/>
  <c r="C399" i="26" s="1"/>
  <c r="G397" i="26"/>
  <c r="G413" i="26" s="1"/>
  <c r="F397" i="26"/>
  <c r="E397" i="26"/>
  <c r="E413" i="26" s="1"/>
  <c r="D397" i="26"/>
  <c r="D413" i="26" s="1"/>
  <c r="C397" i="26"/>
  <c r="C413" i="26" s="1"/>
  <c r="H396" i="26"/>
  <c r="L407" i="26" s="1"/>
  <c r="H395" i="26"/>
  <c r="L406" i="26" s="1"/>
  <c r="H394" i="26"/>
  <c r="H393" i="26"/>
  <c r="H392" i="26"/>
  <c r="N379" i="26"/>
  <c r="O378" i="26" s="1"/>
  <c r="L377" i="26"/>
  <c r="G368" i="26"/>
  <c r="G384" i="26" s="1"/>
  <c r="F368" i="26"/>
  <c r="F384" i="26" s="1"/>
  <c r="E368" i="26"/>
  <c r="E384" i="26" s="1"/>
  <c r="D368" i="26"/>
  <c r="D384" i="26" s="1"/>
  <c r="C368" i="26"/>
  <c r="H367" i="26"/>
  <c r="L378" i="26" s="1"/>
  <c r="H366" i="26"/>
  <c r="H365" i="26"/>
  <c r="K365" i="26" s="1"/>
  <c r="H364" i="26"/>
  <c r="H363" i="26"/>
  <c r="I363" i="26" s="1"/>
  <c r="J363" i="26" s="1"/>
  <c r="F355" i="26"/>
  <c r="N350" i="26"/>
  <c r="O347" i="26" s="1"/>
  <c r="G339" i="26"/>
  <c r="G340" i="26" s="1"/>
  <c r="G341" i="26" s="1"/>
  <c r="F339" i="26"/>
  <c r="F340" i="26" s="1"/>
  <c r="E339" i="26"/>
  <c r="D339" i="26"/>
  <c r="D340" i="26" s="1"/>
  <c r="D341" i="26" s="1"/>
  <c r="C339" i="26"/>
  <c r="H338" i="26"/>
  <c r="H337" i="26"/>
  <c r="K337" i="26" s="1"/>
  <c r="H336" i="26"/>
  <c r="I336" i="26" s="1"/>
  <c r="J336" i="26" s="1"/>
  <c r="H335" i="26"/>
  <c r="K335" i="26" s="1"/>
  <c r="H334" i="26"/>
  <c r="I334" i="26" s="1"/>
  <c r="J334" i="26" s="1"/>
  <c r="N321" i="26"/>
  <c r="O318" i="26" s="1"/>
  <c r="O320" i="26"/>
  <c r="L317" i="26"/>
  <c r="G310" i="26"/>
  <c r="G326" i="26" s="1"/>
  <c r="F310" i="26"/>
  <c r="F311" i="26" s="1"/>
  <c r="F312" i="26" s="1"/>
  <c r="E310" i="26"/>
  <c r="E326" i="26" s="1"/>
  <c r="D310" i="26"/>
  <c r="D326" i="26" s="1"/>
  <c r="C310" i="26"/>
  <c r="C326" i="26" s="1"/>
  <c r="H309" i="26"/>
  <c r="L320" i="26" s="1"/>
  <c r="H308" i="26"/>
  <c r="H307" i="26"/>
  <c r="L318" i="26" s="1"/>
  <c r="I306" i="26"/>
  <c r="H306" i="26"/>
  <c r="K306" i="26" s="1"/>
  <c r="H305" i="26"/>
  <c r="I305" i="26" s="1"/>
  <c r="J305" i="26" s="1"/>
  <c r="N292" i="26"/>
  <c r="O287" i="26" s="1"/>
  <c r="G281" i="26"/>
  <c r="G282" i="26" s="1"/>
  <c r="F281" i="26"/>
  <c r="F297" i="26" s="1"/>
  <c r="E281" i="26"/>
  <c r="E297" i="26" s="1"/>
  <c r="D281" i="26"/>
  <c r="D297" i="26" s="1"/>
  <c r="C281" i="26"/>
  <c r="C297" i="26" s="1"/>
  <c r="H280" i="26"/>
  <c r="L291" i="26" s="1"/>
  <c r="H279" i="26"/>
  <c r="L290" i="26" s="1"/>
  <c r="H278" i="26"/>
  <c r="K278" i="26" s="1"/>
  <c r="I277" i="26"/>
  <c r="J277" i="26" s="1"/>
  <c r="H277" i="26"/>
  <c r="H276" i="26"/>
  <c r="L287" i="26" s="1"/>
  <c r="N263" i="26"/>
  <c r="O262" i="26" s="1"/>
  <c r="L259" i="26"/>
  <c r="G252" i="26"/>
  <c r="G268" i="26" s="1"/>
  <c r="F252" i="26"/>
  <c r="F253" i="26" s="1"/>
  <c r="E252" i="26"/>
  <c r="E268" i="26" s="1"/>
  <c r="D252" i="26"/>
  <c r="D268" i="26" s="1"/>
  <c r="C252" i="26"/>
  <c r="C268" i="26" s="1"/>
  <c r="H251" i="26"/>
  <c r="H250" i="26"/>
  <c r="K249" i="26"/>
  <c r="H249" i="26"/>
  <c r="I249" i="26" s="1"/>
  <c r="J249" i="26" s="1"/>
  <c r="H248" i="26"/>
  <c r="H247" i="26"/>
  <c r="L258" i="26" s="1"/>
  <c r="G239" i="26"/>
  <c r="N234" i="26"/>
  <c r="O232" i="26" s="1"/>
  <c r="L231" i="26"/>
  <c r="G223" i="26"/>
  <c r="G224" i="26" s="1"/>
  <c r="F223" i="26"/>
  <c r="E223" i="26"/>
  <c r="D223" i="26"/>
  <c r="D224" i="26" s="1"/>
  <c r="C223" i="26"/>
  <c r="C224" i="26" s="1"/>
  <c r="H222" i="26"/>
  <c r="I222" i="26" s="1"/>
  <c r="J222" i="26" s="1"/>
  <c r="I221" i="26"/>
  <c r="J221" i="26" s="1"/>
  <c r="H221" i="26"/>
  <c r="L232" i="26" s="1"/>
  <c r="I220" i="26"/>
  <c r="J220" i="26" s="1"/>
  <c r="H220" i="26"/>
  <c r="K220" i="26" s="1"/>
  <c r="H219" i="26"/>
  <c r="I219" i="26" s="1"/>
  <c r="J219" i="26" s="1"/>
  <c r="H218" i="26"/>
  <c r="L229" i="26" s="1"/>
  <c r="AA213" i="26"/>
  <c r="X213" i="26"/>
  <c r="W213" i="26"/>
  <c r="V213" i="26"/>
  <c r="U213" i="26"/>
  <c r="T213" i="26"/>
  <c r="N205" i="26"/>
  <c r="O204" i="26" s="1"/>
  <c r="L204" i="26"/>
  <c r="AA203" i="26"/>
  <c r="X203" i="26"/>
  <c r="W203" i="26"/>
  <c r="V203" i="26"/>
  <c r="U203" i="26"/>
  <c r="T203" i="26"/>
  <c r="L201" i="26"/>
  <c r="G194" i="26"/>
  <c r="G210" i="26" s="1"/>
  <c r="F194" i="26"/>
  <c r="F210" i="26" s="1"/>
  <c r="E194" i="26"/>
  <c r="D194" i="26"/>
  <c r="D195" i="26" s="1"/>
  <c r="C194" i="26"/>
  <c r="X193" i="26"/>
  <c r="W193" i="26"/>
  <c r="V193" i="26"/>
  <c r="U193" i="26"/>
  <c r="T193" i="26"/>
  <c r="I193" i="26"/>
  <c r="J193" i="26" s="1"/>
  <c r="H193" i="26"/>
  <c r="K193" i="26" s="1"/>
  <c r="H192" i="26"/>
  <c r="H191" i="26"/>
  <c r="H194" i="26" s="1"/>
  <c r="I195" i="26" s="1"/>
  <c r="AD22" i="26" s="1"/>
  <c r="I190" i="26"/>
  <c r="J190" i="26" s="1"/>
  <c r="H190" i="26"/>
  <c r="I189" i="26"/>
  <c r="J189" i="26" s="1"/>
  <c r="H189" i="26"/>
  <c r="L200" i="26" s="1"/>
  <c r="X183" i="26"/>
  <c r="W183" i="26"/>
  <c r="V183" i="26"/>
  <c r="U183" i="26"/>
  <c r="T183" i="26"/>
  <c r="N176" i="26"/>
  <c r="O173" i="26" s="1"/>
  <c r="X173" i="26"/>
  <c r="W173" i="26"/>
  <c r="V173" i="26"/>
  <c r="U173" i="26"/>
  <c r="T173" i="26"/>
  <c r="F166" i="26"/>
  <c r="G165" i="26"/>
  <c r="G166" i="26" s="1"/>
  <c r="F165" i="26"/>
  <c r="F181" i="26" s="1"/>
  <c r="E165" i="26"/>
  <c r="E181" i="26" s="1"/>
  <c r="D165" i="26"/>
  <c r="D181" i="26" s="1"/>
  <c r="C165" i="26"/>
  <c r="H164" i="26"/>
  <c r="I164" i="26" s="1"/>
  <c r="J164" i="26" s="1"/>
  <c r="X163" i="26"/>
  <c r="W163" i="26"/>
  <c r="V163" i="26"/>
  <c r="U163" i="26"/>
  <c r="T163" i="26"/>
  <c r="H163" i="26"/>
  <c r="L174" i="26" s="1"/>
  <c r="H162" i="26"/>
  <c r="L173" i="26" s="1"/>
  <c r="H161" i="26"/>
  <c r="L172" i="26" s="1"/>
  <c r="H160" i="26"/>
  <c r="L171" i="26" s="1"/>
  <c r="X153" i="26"/>
  <c r="W153" i="26"/>
  <c r="V153" i="26"/>
  <c r="U153" i="26"/>
  <c r="T153" i="26"/>
  <c r="N147" i="26"/>
  <c r="AA63" i="26" s="1"/>
  <c r="O144" i="26"/>
  <c r="X143" i="26"/>
  <c r="W143" i="26"/>
  <c r="V143" i="26"/>
  <c r="U143" i="26"/>
  <c r="T143" i="26"/>
  <c r="G136" i="26"/>
  <c r="G152" i="26" s="1"/>
  <c r="F136" i="26"/>
  <c r="F152" i="26" s="1"/>
  <c r="E136" i="26"/>
  <c r="E137" i="26" s="1"/>
  <c r="E138" i="26" s="1"/>
  <c r="D136" i="26"/>
  <c r="D152" i="26" s="1"/>
  <c r="C136" i="26"/>
  <c r="C152" i="26" s="1"/>
  <c r="AP135" i="26"/>
  <c r="AO135" i="26"/>
  <c r="AN135" i="26"/>
  <c r="AM135" i="26"/>
  <c r="AL135" i="26"/>
  <c r="H135" i="26"/>
  <c r="L146" i="26" s="1"/>
  <c r="AP134" i="26"/>
  <c r="AO134" i="26"/>
  <c r="AN134" i="26"/>
  <c r="AM134" i="26"/>
  <c r="AL134" i="26"/>
  <c r="H134" i="26"/>
  <c r="I134" i="26" s="1"/>
  <c r="J134" i="26" s="1"/>
  <c r="X133" i="26"/>
  <c r="W133" i="26"/>
  <c r="V133" i="26"/>
  <c r="U133" i="26"/>
  <c r="T133" i="26"/>
  <c r="I133" i="26"/>
  <c r="J133" i="26" s="1"/>
  <c r="H133" i="26"/>
  <c r="AS132" i="26"/>
  <c r="AP133" i="26" s="1"/>
  <c r="H132" i="26"/>
  <c r="L143" i="26" s="1"/>
  <c r="H131" i="26"/>
  <c r="AP130" i="26"/>
  <c r="AO130" i="26"/>
  <c r="AN130" i="26"/>
  <c r="AM130" i="26"/>
  <c r="AP129" i="26"/>
  <c r="AO129" i="26"/>
  <c r="AN129" i="26"/>
  <c r="AM129" i="26"/>
  <c r="AL129" i="26"/>
  <c r="AS127" i="26"/>
  <c r="AP125" i="26"/>
  <c r="AO125" i="26"/>
  <c r="AN125" i="26"/>
  <c r="AM125" i="26"/>
  <c r="AL125" i="26"/>
  <c r="AP124" i="26"/>
  <c r="AO124" i="26"/>
  <c r="AN124" i="26"/>
  <c r="AM124" i="26"/>
  <c r="AL124" i="26"/>
  <c r="AO123" i="26"/>
  <c r="X123" i="26"/>
  <c r="W123" i="26"/>
  <c r="V123" i="26"/>
  <c r="U123" i="26"/>
  <c r="T123" i="26"/>
  <c r="D123" i="26"/>
  <c r="AS122" i="26"/>
  <c r="AL123" i="26" s="1"/>
  <c r="AP120" i="26"/>
  <c r="AO120" i="26"/>
  <c r="AN120" i="26"/>
  <c r="AM120" i="26"/>
  <c r="AL120" i="26"/>
  <c r="AP119" i="26"/>
  <c r="AO119" i="26"/>
  <c r="AN119" i="26"/>
  <c r="AM119" i="26"/>
  <c r="AL119" i="26"/>
  <c r="N118" i="26"/>
  <c r="O116" i="26" s="1"/>
  <c r="AP116" i="26"/>
  <c r="AO116" i="26"/>
  <c r="AN116" i="26"/>
  <c r="AM116" i="26"/>
  <c r="AL116" i="26"/>
  <c r="X113" i="26"/>
  <c r="W113" i="26"/>
  <c r="V113" i="26"/>
  <c r="U113" i="26"/>
  <c r="T113" i="26"/>
  <c r="O113" i="26"/>
  <c r="L113" i="26"/>
  <c r="F108" i="26"/>
  <c r="D108" i="26"/>
  <c r="D109" i="26" s="1"/>
  <c r="G107" i="26"/>
  <c r="G123" i="26" s="1"/>
  <c r="F107" i="26"/>
  <c r="F123" i="26" s="1"/>
  <c r="E107" i="26"/>
  <c r="D107" i="26"/>
  <c r="C107" i="26"/>
  <c r="C123" i="26" s="1"/>
  <c r="H106" i="26"/>
  <c r="L117" i="26" s="1"/>
  <c r="H105" i="26"/>
  <c r="L116" i="26" s="1"/>
  <c r="H104" i="26"/>
  <c r="X103" i="26"/>
  <c r="W103" i="26"/>
  <c r="V103" i="26"/>
  <c r="U103" i="26"/>
  <c r="T103" i="26"/>
  <c r="H103" i="26"/>
  <c r="L114" i="26" s="1"/>
  <c r="H102" i="26"/>
  <c r="AW99" i="26"/>
  <c r="AX98" i="26" s="1"/>
  <c r="AA93" i="26"/>
  <c r="X93" i="26"/>
  <c r="W93" i="26"/>
  <c r="V93" i="26"/>
  <c r="U93" i="26"/>
  <c r="T93" i="26"/>
  <c r="N89" i="26"/>
  <c r="O86" i="26" s="1"/>
  <c r="G86" i="26" s="1"/>
  <c r="AP88" i="26"/>
  <c r="AO88" i="26"/>
  <c r="AN88" i="26"/>
  <c r="AN89" i="26" s="1"/>
  <c r="AM88" i="26"/>
  <c r="AL88" i="26"/>
  <c r="AL104" i="26" s="1"/>
  <c r="AQ87" i="26"/>
  <c r="AU98" i="26" s="1"/>
  <c r="AQ86" i="26"/>
  <c r="AU97" i="26" s="1"/>
  <c r="AQ85" i="26"/>
  <c r="AT85" i="26" s="1"/>
  <c r="AQ84" i="26"/>
  <c r="AQ83" i="26"/>
  <c r="AT83" i="26" s="1"/>
  <c r="X83" i="26"/>
  <c r="W83" i="26"/>
  <c r="V83" i="26"/>
  <c r="U83" i="26"/>
  <c r="T83" i="26"/>
  <c r="G78" i="26"/>
  <c r="G94" i="26" s="1"/>
  <c r="F78" i="26"/>
  <c r="E78" i="26"/>
  <c r="E94" i="26" s="1"/>
  <c r="D78" i="26"/>
  <c r="D79" i="26" s="1"/>
  <c r="C78" i="26"/>
  <c r="I77" i="26"/>
  <c r="J77" i="26" s="1"/>
  <c r="H77" i="26"/>
  <c r="L88" i="26" s="1"/>
  <c r="H76" i="26"/>
  <c r="L87" i="26" s="1"/>
  <c r="H75" i="26"/>
  <c r="L86" i="26" s="1"/>
  <c r="H74" i="26"/>
  <c r="I74" i="26" s="1"/>
  <c r="J74" i="26" s="1"/>
  <c r="X73" i="26"/>
  <c r="W73" i="26"/>
  <c r="V73" i="26"/>
  <c r="U73" i="26"/>
  <c r="T73" i="26"/>
  <c r="H73" i="26"/>
  <c r="L84" i="26" s="1"/>
  <c r="G65" i="26"/>
  <c r="X63" i="26"/>
  <c r="W63" i="26"/>
  <c r="V63" i="26"/>
  <c r="U63" i="26"/>
  <c r="T63" i="26"/>
  <c r="N60" i="26"/>
  <c r="O58" i="26" s="1"/>
  <c r="L58" i="26"/>
  <c r="X53" i="26"/>
  <c r="W53" i="26"/>
  <c r="V53" i="26"/>
  <c r="U53" i="26"/>
  <c r="T53" i="26"/>
  <c r="E50" i="26"/>
  <c r="E51" i="26" s="1"/>
  <c r="G49" i="26"/>
  <c r="G50" i="26" s="1"/>
  <c r="F49" i="26"/>
  <c r="F65" i="26" s="1"/>
  <c r="E49" i="26"/>
  <c r="E65" i="26" s="1"/>
  <c r="D49" i="26"/>
  <c r="C49" i="26"/>
  <c r="C65" i="26" s="1"/>
  <c r="H48" i="26"/>
  <c r="L59" i="26" s="1"/>
  <c r="I47" i="26"/>
  <c r="J47" i="26" s="1"/>
  <c r="H47" i="26"/>
  <c r="H46" i="26"/>
  <c r="I46" i="26" s="1"/>
  <c r="J46" i="26" s="1"/>
  <c r="H45" i="26"/>
  <c r="H44" i="26"/>
  <c r="L55" i="26" s="1"/>
  <c r="X43" i="26"/>
  <c r="W43" i="26"/>
  <c r="V43" i="26"/>
  <c r="U43" i="26"/>
  <c r="T43" i="26"/>
  <c r="X33" i="26"/>
  <c r="W33" i="26"/>
  <c r="V33" i="26"/>
  <c r="U33" i="26"/>
  <c r="T33" i="26"/>
  <c r="N31" i="26"/>
  <c r="O30" i="26" s="1"/>
  <c r="X23" i="26"/>
  <c r="W23" i="26"/>
  <c r="V23" i="26"/>
  <c r="U23" i="26"/>
  <c r="T23" i="26"/>
  <c r="G20" i="26"/>
  <c r="G36" i="26" s="1"/>
  <c r="F20" i="26"/>
  <c r="F36" i="26" s="1"/>
  <c r="E20" i="26"/>
  <c r="E36" i="26" s="1"/>
  <c r="D20" i="26"/>
  <c r="D21" i="26" s="1"/>
  <c r="D22" i="26" s="1"/>
  <c r="C20" i="26"/>
  <c r="C21" i="26" s="1"/>
  <c r="C22" i="26" s="1"/>
  <c r="H19" i="26"/>
  <c r="I19" i="26" s="1"/>
  <c r="J19" i="26" s="1"/>
  <c r="H18" i="26"/>
  <c r="L29" i="26" s="1"/>
  <c r="H17" i="26"/>
  <c r="I17" i="26" s="1"/>
  <c r="J17" i="26" s="1"/>
  <c r="H16" i="26"/>
  <c r="L27" i="26" s="1"/>
  <c r="H15" i="26"/>
  <c r="L26" i="26" s="1"/>
  <c r="N582" i="25"/>
  <c r="O581" i="25" s="1"/>
  <c r="L581" i="25"/>
  <c r="G571" i="25"/>
  <c r="G587" i="25" s="1"/>
  <c r="F571" i="25"/>
  <c r="F572" i="25" s="1"/>
  <c r="F573" i="25" s="1"/>
  <c r="E571" i="25"/>
  <c r="D571" i="25"/>
  <c r="D587" i="25" s="1"/>
  <c r="C571" i="25"/>
  <c r="C587" i="25" s="1"/>
  <c r="H570" i="25"/>
  <c r="I570" i="25" s="1"/>
  <c r="J570" i="25" s="1"/>
  <c r="H569" i="25"/>
  <c r="H568" i="25"/>
  <c r="I568" i="25" s="1"/>
  <c r="J568" i="25" s="1"/>
  <c r="H567" i="25"/>
  <c r="H566" i="25"/>
  <c r="L577" i="25" s="1"/>
  <c r="N553" i="25"/>
  <c r="O552" i="25" s="1"/>
  <c r="G542" i="25"/>
  <c r="F542" i="25"/>
  <c r="F558" i="25" s="1"/>
  <c r="E542" i="25"/>
  <c r="E558" i="25" s="1"/>
  <c r="D542" i="25"/>
  <c r="D558" i="25" s="1"/>
  <c r="C542" i="25"/>
  <c r="C558" i="25" s="1"/>
  <c r="H541" i="25"/>
  <c r="H540" i="25"/>
  <c r="L551" i="25" s="1"/>
  <c r="H539" i="25"/>
  <c r="H538" i="25"/>
  <c r="L549" i="25" s="1"/>
  <c r="H537" i="25"/>
  <c r="L548" i="25" s="1"/>
  <c r="N524" i="25"/>
  <c r="C514" i="25"/>
  <c r="G513" i="25"/>
  <c r="G529" i="25" s="1"/>
  <c r="F513" i="25"/>
  <c r="F529" i="25" s="1"/>
  <c r="E513" i="25"/>
  <c r="E529" i="25" s="1"/>
  <c r="D513" i="25"/>
  <c r="D529" i="25" s="1"/>
  <c r="C513" i="25"/>
  <c r="C529" i="25" s="1"/>
  <c r="H512" i="25"/>
  <c r="L523" i="25" s="1"/>
  <c r="H511" i="25"/>
  <c r="L522" i="25" s="1"/>
  <c r="H510" i="25"/>
  <c r="L521" i="25" s="1"/>
  <c r="H509" i="25"/>
  <c r="L520" i="25" s="1"/>
  <c r="H508" i="25"/>
  <c r="N495" i="25"/>
  <c r="AA183" i="25" s="1"/>
  <c r="G484" i="25"/>
  <c r="G500" i="25" s="1"/>
  <c r="F484" i="25"/>
  <c r="F500" i="25" s="1"/>
  <c r="E484" i="25"/>
  <c r="E485" i="25" s="1"/>
  <c r="E486" i="25" s="1"/>
  <c r="D484" i="25"/>
  <c r="C484" i="25"/>
  <c r="C485" i="25" s="1"/>
  <c r="C486" i="25" s="1"/>
  <c r="H483" i="25"/>
  <c r="K483" i="25" s="1"/>
  <c r="H482" i="25"/>
  <c r="L493" i="25" s="1"/>
  <c r="H481" i="25"/>
  <c r="L492" i="25" s="1"/>
  <c r="H480" i="25"/>
  <c r="L491" i="25" s="1"/>
  <c r="H479" i="25"/>
  <c r="N466" i="25"/>
  <c r="O461" i="25" s="1"/>
  <c r="F457" i="25"/>
  <c r="E457" i="25"/>
  <c r="G455" i="25"/>
  <c r="F455" i="25"/>
  <c r="F456" i="25" s="1"/>
  <c r="E455" i="25"/>
  <c r="E456" i="25" s="1"/>
  <c r="D455" i="25"/>
  <c r="D456" i="25" s="1"/>
  <c r="C455" i="25"/>
  <c r="C471" i="25" s="1"/>
  <c r="H454" i="25"/>
  <c r="I454" i="25" s="1"/>
  <c r="J454" i="25" s="1"/>
  <c r="H453" i="25"/>
  <c r="L464" i="25" s="1"/>
  <c r="H452" i="25"/>
  <c r="L463" i="25" s="1"/>
  <c r="H451" i="25"/>
  <c r="L462" i="25" s="1"/>
  <c r="I450" i="25"/>
  <c r="J450" i="25" s="1"/>
  <c r="H450" i="25"/>
  <c r="L461" i="25" s="1"/>
  <c r="N437" i="25"/>
  <c r="O435" i="25" s="1"/>
  <c r="L435" i="25"/>
  <c r="F427" i="25"/>
  <c r="G426" i="25"/>
  <c r="G427" i="25" s="1"/>
  <c r="G428" i="25" s="1"/>
  <c r="F426" i="25"/>
  <c r="F442" i="25" s="1"/>
  <c r="E426" i="25"/>
  <c r="E442" i="25" s="1"/>
  <c r="D426" i="25"/>
  <c r="D442" i="25" s="1"/>
  <c r="C426" i="25"/>
  <c r="C442" i="25" s="1"/>
  <c r="H425" i="25"/>
  <c r="H424" i="25"/>
  <c r="K424" i="25" s="1"/>
  <c r="H423" i="25"/>
  <c r="H422" i="25"/>
  <c r="L433" i="25" s="1"/>
  <c r="H421" i="25"/>
  <c r="K421" i="25" s="1"/>
  <c r="N408" i="25"/>
  <c r="AA153" i="25" s="1"/>
  <c r="D398" i="25"/>
  <c r="D399" i="25" s="1"/>
  <c r="C398" i="25"/>
  <c r="G397" i="25"/>
  <c r="F397" i="25"/>
  <c r="F413" i="25" s="1"/>
  <c r="E397" i="25"/>
  <c r="E413" i="25" s="1"/>
  <c r="D397" i="25"/>
  <c r="D413" i="25" s="1"/>
  <c r="C397" i="25"/>
  <c r="C413" i="25" s="1"/>
  <c r="H396" i="25"/>
  <c r="L407" i="25" s="1"/>
  <c r="H395" i="25"/>
  <c r="L406" i="25" s="1"/>
  <c r="H394" i="25"/>
  <c r="L405" i="25" s="1"/>
  <c r="H393" i="25"/>
  <c r="L404" i="25" s="1"/>
  <c r="H392" i="25"/>
  <c r="I392" i="25" s="1"/>
  <c r="J392" i="25" s="1"/>
  <c r="N379" i="25"/>
  <c r="O378" i="25" s="1"/>
  <c r="O377" i="25"/>
  <c r="G368" i="25"/>
  <c r="F368" i="25"/>
  <c r="E368" i="25"/>
  <c r="E384" i="25" s="1"/>
  <c r="D368" i="25"/>
  <c r="D369" i="25" s="1"/>
  <c r="D370" i="25" s="1"/>
  <c r="C368" i="25"/>
  <c r="C369" i="25" s="1"/>
  <c r="C370" i="25" s="1"/>
  <c r="H367" i="25"/>
  <c r="L378" i="25" s="1"/>
  <c r="H366" i="25"/>
  <c r="L377" i="25" s="1"/>
  <c r="H365" i="25"/>
  <c r="L376" i="25" s="1"/>
  <c r="H364" i="25"/>
  <c r="H363" i="25"/>
  <c r="L374" i="25" s="1"/>
  <c r="E355" i="25"/>
  <c r="N350" i="25"/>
  <c r="O349" i="25" s="1"/>
  <c r="G339" i="25"/>
  <c r="G355" i="25" s="1"/>
  <c r="F339" i="25"/>
  <c r="F355" i="25" s="1"/>
  <c r="E339" i="25"/>
  <c r="E340" i="25" s="1"/>
  <c r="D339" i="25"/>
  <c r="D355" i="25" s="1"/>
  <c r="C339" i="25"/>
  <c r="C355" i="25" s="1"/>
  <c r="I338" i="25"/>
  <c r="J338" i="25" s="1"/>
  <c r="H338" i="25"/>
  <c r="H337" i="25"/>
  <c r="H336" i="25"/>
  <c r="L347" i="25" s="1"/>
  <c r="H335" i="25"/>
  <c r="I335" i="25" s="1"/>
  <c r="J335" i="25" s="1"/>
  <c r="H334" i="25"/>
  <c r="F326" i="25"/>
  <c r="N321" i="25"/>
  <c r="AA123" i="25" s="1"/>
  <c r="G310" i="25"/>
  <c r="G326" i="25" s="1"/>
  <c r="F310" i="25"/>
  <c r="F311" i="25" s="1"/>
  <c r="E310" i="25"/>
  <c r="E311" i="25" s="1"/>
  <c r="E312" i="25" s="1"/>
  <c r="D310" i="25"/>
  <c r="C310" i="25"/>
  <c r="C311" i="25" s="1"/>
  <c r="H309" i="25"/>
  <c r="I309" i="25" s="1"/>
  <c r="J309" i="25" s="1"/>
  <c r="H308" i="25"/>
  <c r="H307" i="25"/>
  <c r="L318" i="25" s="1"/>
  <c r="H306" i="25"/>
  <c r="L317" i="25" s="1"/>
  <c r="H305" i="25"/>
  <c r="L316" i="25" s="1"/>
  <c r="N292" i="25"/>
  <c r="O291" i="25" s="1"/>
  <c r="O287" i="25"/>
  <c r="D282" i="25"/>
  <c r="D283" i="25" s="1"/>
  <c r="G281" i="25"/>
  <c r="G282" i="25" s="1"/>
  <c r="F281" i="25"/>
  <c r="F297" i="25" s="1"/>
  <c r="E281" i="25"/>
  <c r="E282" i="25" s="1"/>
  <c r="D281" i="25"/>
  <c r="D297" i="25" s="1"/>
  <c r="C281" i="25"/>
  <c r="C297" i="25" s="1"/>
  <c r="H280" i="25"/>
  <c r="I280" i="25" s="1"/>
  <c r="J280" i="25" s="1"/>
  <c r="H279" i="25"/>
  <c r="L290" i="25" s="1"/>
  <c r="H278" i="25"/>
  <c r="I277" i="25"/>
  <c r="N277" i="25" s="1"/>
  <c r="U112" i="25" s="1"/>
  <c r="H277" i="25"/>
  <c r="L288" i="25" s="1"/>
  <c r="H276" i="25"/>
  <c r="N263" i="25"/>
  <c r="O262" i="25" s="1"/>
  <c r="D253" i="25"/>
  <c r="D254" i="25" s="1"/>
  <c r="C253" i="25"/>
  <c r="C254" i="25" s="1"/>
  <c r="G252" i="25"/>
  <c r="F252" i="25"/>
  <c r="F268" i="25" s="1"/>
  <c r="E252" i="25"/>
  <c r="E268" i="25" s="1"/>
  <c r="D252" i="25"/>
  <c r="D268" i="25" s="1"/>
  <c r="C252" i="25"/>
  <c r="C268" i="25" s="1"/>
  <c r="H251" i="25"/>
  <c r="L262" i="25" s="1"/>
  <c r="H250" i="25"/>
  <c r="L261" i="25" s="1"/>
  <c r="H249" i="25"/>
  <c r="L260" i="25" s="1"/>
  <c r="H248" i="25"/>
  <c r="L259" i="25" s="1"/>
  <c r="H247" i="25"/>
  <c r="L258" i="25" s="1"/>
  <c r="N234" i="25"/>
  <c r="O232" i="25" s="1"/>
  <c r="G223" i="25"/>
  <c r="G224" i="25" s="1"/>
  <c r="G225" i="25" s="1"/>
  <c r="F223" i="25"/>
  <c r="F239" i="25" s="1"/>
  <c r="E223" i="25"/>
  <c r="E224" i="25" s="1"/>
  <c r="D223" i="25"/>
  <c r="D239" i="25" s="1"/>
  <c r="C223" i="25"/>
  <c r="C224" i="25" s="1"/>
  <c r="H222" i="25"/>
  <c r="I222" i="25" s="1"/>
  <c r="J222" i="25" s="1"/>
  <c r="H221" i="25"/>
  <c r="L232" i="25" s="1"/>
  <c r="H220" i="25"/>
  <c r="H219" i="25"/>
  <c r="I219" i="25" s="1"/>
  <c r="H218" i="25"/>
  <c r="K218" i="25" s="1"/>
  <c r="AA213" i="25"/>
  <c r="X213" i="25"/>
  <c r="W213" i="25"/>
  <c r="V213" i="25"/>
  <c r="U213" i="25"/>
  <c r="T213" i="25"/>
  <c r="N205" i="25"/>
  <c r="O201" i="25" s="1"/>
  <c r="O204" i="25"/>
  <c r="AA203" i="25"/>
  <c r="X203" i="25"/>
  <c r="W203" i="25"/>
  <c r="V203" i="25"/>
  <c r="U203" i="25"/>
  <c r="T203" i="25"/>
  <c r="G194" i="25"/>
  <c r="G195" i="25" s="1"/>
  <c r="G196" i="25" s="1"/>
  <c r="F194" i="25"/>
  <c r="F210" i="25" s="1"/>
  <c r="E194" i="25"/>
  <c r="E195" i="25" s="1"/>
  <c r="D194" i="25"/>
  <c r="C194" i="25"/>
  <c r="AA193" i="25"/>
  <c r="X193" i="25"/>
  <c r="W193" i="25"/>
  <c r="V193" i="25"/>
  <c r="U193" i="25"/>
  <c r="T193" i="25"/>
  <c r="H193" i="25"/>
  <c r="H192" i="25"/>
  <c r="I192" i="25" s="1"/>
  <c r="J192" i="25" s="1"/>
  <c r="H191" i="25"/>
  <c r="H190" i="25"/>
  <c r="L201" i="25" s="1"/>
  <c r="H189" i="25"/>
  <c r="L200" i="25" s="1"/>
  <c r="X183" i="25"/>
  <c r="W183" i="25"/>
  <c r="V183" i="25"/>
  <c r="U183" i="25"/>
  <c r="T183" i="25"/>
  <c r="N176" i="25"/>
  <c r="O174" i="25" s="1"/>
  <c r="O175" i="25"/>
  <c r="AA173" i="25"/>
  <c r="X173" i="25"/>
  <c r="W173" i="25"/>
  <c r="V173" i="25"/>
  <c r="U173" i="25"/>
  <c r="T173" i="25"/>
  <c r="O173" i="25"/>
  <c r="E166" i="25"/>
  <c r="E167" i="25" s="1"/>
  <c r="G165" i="25"/>
  <c r="G181" i="25" s="1"/>
  <c r="F165" i="25"/>
  <c r="F166" i="25" s="1"/>
  <c r="E165" i="25"/>
  <c r="E181" i="25" s="1"/>
  <c r="D165" i="25"/>
  <c r="D181" i="25" s="1"/>
  <c r="C165" i="25"/>
  <c r="C166" i="25" s="1"/>
  <c r="H164" i="25"/>
  <c r="L175" i="25" s="1"/>
  <c r="X163" i="25"/>
  <c r="W163" i="25"/>
  <c r="V163" i="25"/>
  <c r="U163" i="25"/>
  <c r="T163" i="25"/>
  <c r="H163" i="25"/>
  <c r="I163" i="25" s="1"/>
  <c r="J163" i="25" s="1"/>
  <c r="H162" i="25"/>
  <c r="L173" i="25" s="1"/>
  <c r="H161" i="25"/>
  <c r="L172" i="25" s="1"/>
  <c r="H160" i="25"/>
  <c r="X153" i="25"/>
  <c r="W153" i="25"/>
  <c r="V153" i="25"/>
  <c r="U153" i="25"/>
  <c r="T153" i="25"/>
  <c r="N147" i="25"/>
  <c r="O143" i="25" s="1"/>
  <c r="AA143" i="25"/>
  <c r="X143" i="25"/>
  <c r="W143" i="25"/>
  <c r="V143" i="25"/>
  <c r="U143" i="25"/>
  <c r="T143" i="25"/>
  <c r="G136" i="25"/>
  <c r="G152" i="25" s="1"/>
  <c r="F136" i="25"/>
  <c r="E136" i="25"/>
  <c r="E137" i="25" s="1"/>
  <c r="D136" i="25"/>
  <c r="D137" i="25" s="1"/>
  <c r="C136" i="25"/>
  <c r="C137" i="25" s="1"/>
  <c r="C138" i="25" s="1"/>
  <c r="AP135" i="25"/>
  <c r="AO135" i="25"/>
  <c r="AN135" i="25"/>
  <c r="AM135" i="25"/>
  <c r="AL135" i="25"/>
  <c r="H135" i="25"/>
  <c r="K135" i="25" s="1"/>
  <c r="AP134" i="25"/>
  <c r="AO134" i="25"/>
  <c r="AN134" i="25"/>
  <c r="AM134" i="25"/>
  <c r="AL134" i="25"/>
  <c r="H134" i="25"/>
  <c r="L145" i="25" s="1"/>
  <c r="X133" i="25"/>
  <c r="W133" i="25"/>
  <c r="V133" i="25"/>
  <c r="U133" i="25"/>
  <c r="T133" i="25"/>
  <c r="H133" i="25"/>
  <c r="I133" i="25" s="1"/>
  <c r="J133" i="25" s="1"/>
  <c r="AS132" i="25"/>
  <c r="AN133" i="25" s="1"/>
  <c r="H132" i="25"/>
  <c r="L143" i="25" s="1"/>
  <c r="H131" i="25"/>
  <c r="AP130" i="25"/>
  <c r="AO130" i="25"/>
  <c r="AN130" i="25"/>
  <c r="AM130" i="25"/>
  <c r="AL130" i="25"/>
  <c r="AP129" i="25"/>
  <c r="AO129" i="25"/>
  <c r="AN129" i="25"/>
  <c r="AM129" i="25"/>
  <c r="AL129" i="25"/>
  <c r="AO128" i="25"/>
  <c r="AS127" i="25"/>
  <c r="AL128" i="25" s="1"/>
  <c r="AP125" i="25"/>
  <c r="AO125" i="25"/>
  <c r="AN125" i="25"/>
  <c r="AM125" i="25"/>
  <c r="AL125" i="25"/>
  <c r="AP124" i="25"/>
  <c r="AO124" i="25"/>
  <c r="AN124" i="25"/>
  <c r="AM124" i="25"/>
  <c r="AL124" i="25"/>
  <c r="X123" i="25"/>
  <c r="W123" i="25"/>
  <c r="V123" i="25"/>
  <c r="U123" i="25"/>
  <c r="T123" i="25"/>
  <c r="AS122" i="25"/>
  <c r="AP123" i="25" s="1"/>
  <c r="AP120" i="25"/>
  <c r="AO120" i="25"/>
  <c r="AN120" i="25"/>
  <c r="AM120" i="25"/>
  <c r="AL120" i="25"/>
  <c r="AP119" i="25"/>
  <c r="AO119" i="25"/>
  <c r="AN119" i="25"/>
  <c r="AM119" i="25"/>
  <c r="AL119" i="25"/>
  <c r="N118" i="25"/>
  <c r="AA53" i="25" s="1"/>
  <c r="AP116" i="25"/>
  <c r="AO116" i="25"/>
  <c r="AN116" i="25"/>
  <c r="AM116" i="25"/>
  <c r="AL116" i="25"/>
  <c r="X113" i="25"/>
  <c r="W113" i="25"/>
  <c r="V113" i="25"/>
  <c r="U113" i="25"/>
  <c r="T113" i="25"/>
  <c r="G107" i="25"/>
  <c r="G123" i="25" s="1"/>
  <c r="F107" i="25"/>
  <c r="F123" i="25" s="1"/>
  <c r="E107" i="25"/>
  <c r="D107" i="25"/>
  <c r="D123" i="25" s="1"/>
  <c r="C107" i="25"/>
  <c r="C123" i="25" s="1"/>
  <c r="H106" i="25"/>
  <c r="K106" i="25" s="1"/>
  <c r="H105" i="25"/>
  <c r="H104" i="25"/>
  <c r="X103" i="25"/>
  <c r="W103" i="25"/>
  <c r="V103" i="25"/>
  <c r="U103" i="25"/>
  <c r="T103" i="25"/>
  <c r="H103" i="25"/>
  <c r="L114" i="25" s="1"/>
  <c r="H102" i="25"/>
  <c r="AW99" i="25"/>
  <c r="AX96" i="25" s="1"/>
  <c r="X93" i="25"/>
  <c r="W93" i="25"/>
  <c r="V93" i="25"/>
  <c r="U93" i="25"/>
  <c r="T93" i="25"/>
  <c r="AO89" i="25"/>
  <c r="AO90" i="25" s="1"/>
  <c r="AN89" i="25"/>
  <c r="AN90" i="25" s="1"/>
  <c r="N89" i="25"/>
  <c r="O85" i="25" s="1"/>
  <c r="AP88" i="25"/>
  <c r="AP104" i="25" s="1"/>
  <c r="AO88" i="25"/>
  <c r="AO104" i="25" s="1"/>
  <c r="AN88" i="25"/>
  <c r="AN104" i="25" s="1"/>
  <c r="AM88" i="25"/>
  <c r="AM89" i="25" s="1"/>
  <c r="AL88" i="25"/>
  <c r="AL104" i="25" s="1"/>
  <c r="AQ87" i="25"/>
  <c r="AU98" i="25" s="1"/>
  <c r="AR86" i="25"/>
  <c r="AQ86" i="25"/>
  <c r="AU97" i="25" s="1"/>
  <c r="AQ85" i="25"/>
  <c r="AQ84" i="25"/>
  <c r="O84" i="25"/>
  <c r="AQ83" i="25"/>
  <c r="AU94" i="25" s="1"/>
  <c r="AA83" i="25"/>
  <c r="X83" i="25"/>
  <c r="W83" i="25"/>
  <c r="V83" i="25"/>
  <c r="U83" i="25"/>
  <c r="T83" i="25"/>
  <c r="G78" i="25"/>
  <c r="F78" i="25"/>
  <c r="F94" i="25" s="1"/>
  <c r="E78" i="25"/>
  <c r="E94" i="25" s="1"/>
  <c r="D78" i="25"/>
  <c r="D94" i="25" s="1"/>
  <c r="C78" i="25"/>
  <c r="C79" i="25" s="1"/>
  <c r="H77" i="25"/>
  <c r="L88" i="25" s="1"/>
  <c r="H76" i="25"/>
  <c r="L87" i="25" s="1"/>
  <c r="H75" i="25"/>
  <c r="I75" i="25" s="1"/>
  <c r="H74" i="25"/>
  <c r="L85" i="25" s="1"/>
  <c r="AA73" i="25"/>
  <c r="X73" i="25"/>
  <c r="W73" i="25"/>
  <c r="V73" i="25"/>
  <c r="U73" i="25"/>
  <c r="T73" i="25"/>
  <c r="H73" i="25"/>
  <c r="X63" i="25"/>
  <c r="W63" i="25"/>
  <c r="V63" i="25"/>
  <c r="U63" i="25"/>
  <c r="T63" i="25"/>
  <c r="N60" i="25"/>
  <c r="O56" i="25" s="1"/>
  <c r="X53" i="25"/>
  <c r="W53" i="25"/>
  <c r="V53" i="25"/>
  <c r="U53" i="25"/>
  <c r="T53" i="25"/>
  <c r="G49" i="25"/>
  <c r="G65" i="25" s="1"/>
  <c r="F49" i="25"/>
  <c r="F65" i="25" s="1"/>
  <c r="E49" i="25"/>
  <c r="D49" i="25"/>
  <c r="D65" i="25" s="1"/>
  <c r="C49" i="25"/>
  <c r="C65" i="25" s="1"/>
  <c r="H48" i="25"/>
  <c r="L59" i="25" s="1"/>
  <c r="H47" i="25"/>
  <c r="I47" i="25" s="1"/>
  <c r="J47" i="25" s="1"/>
  <c r="H46" i="25"/>
  <c r="I46" i="25" s="1"/>
  <c r="J46" i="25" s="1"/>
  <c r="H45" i="25"/>
  <c r="L56" i="25" s="1"/>
  <c r="H44" i="25"/>
  <c r="I44" i="25" s="1"/>
  <c r="J44" i="25" s="1"/>
  <c r="X43" i="25"/>
  <c r="W43" i="25"/>
  <c r="V43" i="25"/>
  <c r="U43" i="25"/>
  <c r="T43" i="25"/>
  <c r="X33" i="25"/>
  <c r="W33" i="25"/>
  <c r="V33" i="25"/>
  <c r="U33" i="25"/>
  <c r="T33" i="25"/>
  <c r="N31" i="25"/>
  <c r="O26" i="25" s="1"/>
  <c r="X23" i="25"/>
  <c r="W23" i="25"/>
  <c r="V23" i="25"/>
  <c r="U23" i="25"/>
  <c r="T23" i="25"/>
  <c r="D21" i="25"/>
  <c r="D22" i="25" s="1"/>
  <c r="G20" i="25"/>
  <c r="F20" i="25"/>
  <c r="F36" i="25" s="1"/>
  <c r="E20" i="25"/>
  <c r="E36" i="25" s="1"/>
  <c r="D20" i="25"/>
  <c r="D36" i="25" s="1"/>
  <c r="C20" i="25"/>
  <c r="C36" i="25" s="1"/>
  <c r="H19" i="25"/>
  <c r="H18" i="25"/>
  <c r="H17" i="25"/>
  <c r="H16" i="25"/>
  <c r="L27" i="25" s="1"/>
  <c r="H15" i="25"/>
  <c r="L26" i="25" s="1"/>
  <c r="N582" i="24"/>
  <c r="O580" i="24" s="1"/>
  <c r="G571" i="24"/>
  <c r="G587" i="24" s="1"/>
  <c r="F571" i="24"/>
  <c r="F572" i="24" s="1"/>
  <c r="E571" i="24"/>
  <c r="D571" i="24"/>
  <c r="D587" i="24" s="1"/>
  <c r="C571" i="24"/>
  <c r="C587" i="24" s="1"/>
  <c r="H570" i="24"/>
  <c r="L581" i="24" s="1"/>
  <c r="H569" i="24"/>
  <c r="L580" i="24" s="1"/>
  <c r="H568" i="24"/>
  <c r="L579" i="24" s="1"/>
  <c r="H567" i="24"/>
  <c r="H566" i="24"/>
  <c r="L577" i="24" s="1"/>
  <c r="E558" i="24"/>
  <c r="N553" i="24"/>
  <c r="O551" i="24" s="1"/>
  <c r="G542" i="24"/>
  <c r="K541" i="24" s="1"/>
  <c r="F542" i="24"/>
  <c r="F558" i="24" s="1"/>
  <c r="E542" i="24"/>
  <c r="E543" i="24" s="1"/>
  <c r="D542" i="24"/>
  <c r="D558" i="24" s="1"/>
  <c r="C542" i="24"/>
  <c r="C558" i="24" s="1"/>
  <c r="H541" i="24"/>
  <c r="L552" i="24" s="1"/>
  <c r="H540" i="24"/>
  <c r="L551" i="24" s="1"/>
  <c r="H539" i="24"/>
  <c r="L550" i="24" s="1"/>
  <c r="H538" i="24"/>
  <c r="L549" i="24" s="1"/>
  <c r="H537" i="24"/>
  <c r="L548" i="24" s="1"/>
  <c r="N524" i="24"/>
  <c r="O522" i="24" s="1"/>
  <c r="O523" i="24"/>
  <c r="G513" i="24"/>
  <c r="G529" i="24" s="1"/>
  <c r="F513" i="24"/>
  <c r="F529" i="24" s="1"/>
  <c r="E513" i="24"/>
  <c r="E529" i="24" s="1"/>
  <c r="D513" i="24"/>
  <c r="D514" i="24" s="1"/>
  <c r="C513" i="24"/>
  <c r="C529" i="24" s="1"/>
  <c r="H512" i="24"/>
  <c r="L523" i="24" s="1"/>
  <c r="H511" i="24"/>
  <c r="K511" i="24" s="1"/>
  <c r="H510" i="24"/>
  <c r="H509" i="24"/>
  <c r="H508" i="24"/>
  <c r="C500" i="24"/>
  <c r="N495" i="24"/>
  <c r="AA183" i="24" s="1"/>
  <c r="F485" i="24"/>
  <c r="F486" i="24" s="1"/>
  <c r="G484" i="24"/>
  <c r="G485" i="24" s="1"/>
  <c r="G486" i="24" s="1"/>
  <c r="F484" i="24"/>
  <c r="F500" i="24" s="1"/>
  <c r="E484" i="24"/>
  <c r="E485" i="24" s="1"/>
  <c r="D484" i="24"/>
  <c r="D500" i="24" s="1"/>
  <c r="C484" i="24"/>
  <c r="C485" i="24" s="1"/>
  <c r="C486" i="24" s="1"/>
  <c r="H483" i="24"/>
  <c r="I482" i="24"/>
  <c r="J482" i="24" s="1"/>
  <c r="H482" i="24"/>
  <c r="L493" i="24" s="1"/>
  <c r="H481" i="24"/>
  <c r="I481" i="24" s="1"/>
  <c r="J481" i="24" s="1"/>
  <c r="H480" i="24"/>
  <c r="I480" i="24" s="1"/>
  <c r="J480" i="24" s="1"/>
  <c r="H479" i="24"/>
  <c r="I479" i="24" s="1"/>
  <c r="J479" i="24" s="1"/>
  <c r="N466" i="24"/>
  <c r="O465" i="24" s="1"/>
  <c r="G455" i="24"/>
  <c r="G456" i="24" s="1"/>
  <c r="F455" i="24"/>
  <c r="F456" i="24" s="1"/>
  <c r="F457" i="24" s="1"/>
  <c r="E455" i="24"/>
  <c r="D455" i="24"/>
  <c r="D471" i="24" s="1"/>
  <c r="C455" i="24"/>
  <c r="C471" i="24" s="1"/>
  <c r="H454" i="24"/>
  <c r="K454" i="24" s="1"/>
  <c r="H453" i="24"/>
  <c r="H452" i="24"/>
  <c r="L463" i="24" s="1"/>
  <c r="H451" i="24"/>
  <c r="I451" i="24" s="1"/>
  <c r="J451" i="24" s="1"/>
  <c r="H450" i="24"/>
  <c r="L461" i="24" s="1"/>
  <c r="N437" i="24"/>
  <c r="O436" i="24" s="1"/>
  <c r="G427" i="24"/>
  <c r="G428" i="24" s="1"/>
  <c r="G426" i="24"/>
  <c r="G442" i="24" s="1"/>
  <c r="F426" i="24"/>
  <c r="F442" i="24" s="1"/>
  <c r="E426" i="24"/>
  <c r="E427" i="24" s="1"/>
  <c r="D426" i="24"/>
  <c r="D442" i="24" s="1"/>
  <c r="C426" i="24"/>
  <c r="C442" i="24" s="1"/>
  <c r="H425" i="24"/>
  <c r="L436" i="24" s="1"/>
  <c r="H424" i="24"/>
  <c r="L435" i="24" s="1"/>
  <c r="H423" i="24"/>
  <c r="L434" i="24" s="1"/>
  <c r="H422" i="24"/>
  <c r="L433" i="24" s="1"/>
  <c r="I421" i="24"/>
  <c r="J421" i="24" s="1"/>
  <c r="H421" i="24"/>
  <c r="L432" i="24" s="1"/>
  <c r="E413" i="24"/>
  <c r="N408" i="24"/>
  <c r="O404" i="24" s="1"/>
  <c r="O407" i="24"/>
  <c r="F398" i="24"/>
  <c r="C398" i="24"/>
  <c r="C399" i="24" s="1"/>
  <c r="G397" i="24"/>
  <c r="G398" i="24" s="1"/>
  <c r="F397" i="24"/>
  <c r="F413" i="24" s="1"/>
  <c r="E397" i="24"/>
  <c r="E398" i="24" s="1"/>
  <c r="E399" i="24" s="1"/>
  <c r="D397" i="24"/>
  <c r="C397" i="24"/>
  <c r="C413" i="24" s="1"/>
  <c r="H396" i="24"/>
  <c r="L407" i="24" s="1"/>
  <c r="H395" i="24"/>
  <c r="K395" i="24" s="1"/>
  <c r="H394" i="24"/>
  <c r="H393" i="24"/>
  <c r="K392" i="24"/>
  <c r="I392" i="24"/>
  <c r="J392" i="24" s="1"/>
  <c r="H392" i="24"/>
  <c r="N379" i="24"/>
  <c r="O375" i="24" s="1"/>
  <c r="G368" i="24"/>
  <c r="G384" i="24" s="1"/>
  <c r="F368" i="24"/>
  <c r="F384" i="24" s="1"/>
  <c r="E368" i="24"/>
  <c r="E384" i="24" s="1"/>
  <c r="D368" i="24"/>
  <c r="D384" i="24" s="1"/>
  <c r="C368" i="24"/>
  <c r="C384" i="24" s="1"/>
  <c r="H367" i="24"/>
  <c r="L378" i="24" s="1"/>
  <c r="H366" i="24"/>
  <c r="H365" i="24"/>
  <c r="I365" i="24" s="1"/>
  <c r="J365" i="24" s="1"/>
  <c r="H364" i="24"/>
  <c r="L375" i="24" s="1"/>
  <c r="H363" i="24"/>
  <c r="L374" i="24" s="1"/>
  <c r="N350" i="24"/>
  <c r="O349" i="24" s="1"/>
  <c r="O347" i="24"/>
  <c r="L347" i="24"/>
  <c r="G339" i="24"/>
  <c r="F339" i="24"/>
  <c r="F355" i="24" s="1"/>
  <c r="E339" i="24"/>
  <c r="E355" i="24" s="1"/>
  <c r="D339" i="24"/>
  <c r="D355" i="24" s="1"/>
  <c r="C339" i="24"/>
  <c r="C355" i="24" s="1"/>
  <c r="I338" i="24"/>
  <c r="J338" i="24" s="1"/>
  <c r="H338" i="24"/>
  <c r="L349" i="24" s="1"/>
  <c r="H337" i="24"/>
  <c r="H336" i="24"/>
  <c r="H335" i="24"/>
  <c r="K335" i="24" s="1"/>
  <c r="K334" i="24"/>
  <c r="H334" i="24"/>
  <c r="I334" i="24" s="1"/>
  <c r="J334" i="24" s="1"/>
  <c r="N321" i="24"/>
  <c r="AA123" i="24" s="1"/>
  <c r="G310" i="24"/>
  <c r="F310" i="24"/>
  <c r="F326" i="24" s="1"/>
  <c r="E310" i="24"/>
  <c r="E311" i="24" s="1"/>
  <c r="D310" i="24"/>
  <c r="D326" i="24" s="1"/>
  <c r="C310" i="24"/>
  <c r="C326" i="24" s="1"/>
  <c r="H309" i="24"/>
  <c r="I309" i="24" s="1"/>
  <c r="J309" i="24" s="1"/>
  <c r="H308" i="24"/>
  <c r="I308" i="24" s="1"/>
  <c r="J308" i="24" s="1"/>
  <c r="H307" i="24"/>
  <c r="L318" i="24" s="1"/>
  <c r="H306" i="24"/>
  <c r="L317" i="24" s="1"/>
  <c r="H305" i="24"/>
  <c r="N292" i="24"/>
  <c r="O291" i="24" s="1"/>
  <c r="G281" i="24"/>
  <c r="G282" i="24" s="1"/>
  <c r="G283" i="24" s="1"/>
  <c r="F281" i="24"/>
  <c r="F297" i="24" s="1"/>
  <c r="E281" i="24"/>
  <c r="D281" i="24"/>
  <c r="D297" i="24" s="1"/>
  <c r="C281" i="24"/>
  <c r="C297" i="24" s="1"/>
  <c r="H280" i="24"/>
  <c r="H279" i="24"/>
  <c r="I279" i="24" s="1"/>
  <c r="J279" i="24" s="1"/>
  <c r="H278" i="24"/>
  <c r="H277" i="24"/>
  <c r="I277" i="24" s="1"/>
  <c r="J277" i="24" s="1"/>
  <c r="H276" i="24"/>
  <c r="L287" i="24" s="1"/>
  <c r="N263" i="24"/>
  <c r="AA103" i="24" s="1"/>
  <c r="G252" i="24"/>
  <c r="F252" i="24"/>
  <c r="F253" i="24" s="1"/>
  <c r="F254" i="24" s="1"/>
  <c r="E252" i="24"/>
  <c r="E253" i="24" s="1"/>
  <c r="E254" i="24" s="1"/>
  <c r="D252" i="24"/>
  <c r="D253" i="24" s="1"/>
  <c r="D254" i="24" s="1"/>
  <c r="C252" i="24"/>
  <c r="C253" i="24" s="1"/>
  <c r="H251" i="24"/>
  <c r="I251" i="24" s="1"/>
  <c r="J251" i="24" s="1"/>
  <c r="K250" i="24"/>
  <c r="H250" i="24"/>
  <c r="L261" i="24" s="1"/>
  <c r="H249" i="24"/>
  <c r="L260" i="24" s="1"/>
  <c r="H248" i="24"/>
  <c r="I248" i="24" s="1"/>
  <c r="J248" i="24" s="1"/>
  <c r="H247" i="24"/>
  <c r="L258" i="24" s="1"/>
  <c r="N234" i="24"/>
  <c r="O233" i="24" s="1"/>
  <c r="G223" i="24"/>
  <c r="G239" i="24" s="1"/>
  <c r="F223" i="24"/>
  <c r="F239" i="24" s="1"/>
  <c r="E223" i="24"/>
  <c r="E239" i="24" s="1"/>
  <c r="D223" i="24"/>
  <c r="D224" i="24" s="1"/>
  <c r="C223" i="24"/>
  <c r="C239" i="24" s="1"/>
  <c r="H222" i="24"/>
  <c r="L233" i="24" s="1"/>
  <c r="H221" i="24"/>
  <c r="L232" i="24" s="1"/>
  <c r="H220" i="24"/>
  <c r="L231" i="24" s="1"/>
  <c r="H219" i="24"/>
  <c r="L230" i="24" s="1"/>
  <c r="H218" i="24"/>
  <c r="X213" i="24"/>
  <c r="W213" i="24"/>
  <c r="V213" i="24"/>
  <c r="U213" i="24"/>
  <c r="T213" i="24"/>
  <c r="F210" i="24"/>
  <c r="N205" i="24"/>
  <c r="AA83" i="24" s="1"/>
  <c r="AA203" i="24"/>
  <c r="X203" i="24"/>
  <c r="W203" i="24"/>
  <c r="V203" i="24"/>
  <c r="U203" i="24"/>
  <c r="T203" i="24"/>
  <c r="E196" i="24"/>
  <c r="F195" i="24"/>
  <c r="G194" i="24"/>
  <c r="G210" i="24" s="1"/>
  <c r="F194" i="24"/>
  <c r="E194" i="24"/>
  <c r="E195" i="24" s="1"/>
  <c r="D194" i="24"/>
  <c r="D195" i="24" s="1"/>
  <c r="C194" i="24"/>
  <c r="C210" i="24" s="1"/>
  <c r="X193" i="24"/>
  <c r="W193" i="24"/>
  <c r="V193" i="24"/>
  <c r="U193" i="24"/>
  <c r="T193" i="24"/>
  <c r="H193" i="24"/>
  <c r="H192" i="24"/>
  <c r="L203" i="24" s="1"/>
  <c r="H191" i="24"/>
  <c r="H190" i="24"/>
  <c r="I190" i="24" s="1"/>
  <c r="J190" i="24" s="1"/>
  <c r="H189" i="24"/>
  <c r="I189" i="24" s="1"/>
  <c r="J189" i="24" s="1"/>
  <c r="X183" i="24"/>
  <c r="W183" i="24"/>
  <c r="V183" i="24"/>
  <c r="U183" i="24"/>
  <c r="T183" i="24"/>
  <c r="N176" i="24"/>
  <c r="O174" i="24" s="1"/>
  <c r="AA173" i="24"/>
  <c r="X173" i="24"/>
  <c r="W173" i="24"/>
  <c r="V173" i="24"/>
  <c r="U173" i="24"/>
  <c r="T173" i="24"/>
  <c r="O173" i="24"/>
  <c r="G165" i="24"/>
  <c r="G181" i="24" s="1"/>
  <c r="F165" i="24"/>
  <c r="F181" i="24" s="1"/>
  <c r="E165" i="24"/>
  <c r="D165" i="24"/>
  <c r="D181" i="24" s="1"/>
  <c r="C165" i="24"/>
  <c r="C181" i="24" s="1"/>
  <c r="H164" i="24"/>
  <c r="I164" i="24" s="1"/>
  <c r="J164" i="24" s="1"/>
  <c r="X163" i="24"/>
  <c r="W163" i="24"/>
  <c r="V163" i="24"/>
  <c r="U163" i="24"/>
  <c r="T163" i="24"/>
  <c r="H163" i="24"/>
  <c r="H162" i="24"/>
  <c r="L173" i="24" s="1"/>
  <c r="K161" i="24"/>
  <c r="I161" i="24"/>
  <c r="J161" i="24" s="1"/>
  <c r="H161" i="24"/>
  <c r="L172" i="24" s="1"/>
  <c r="H160" i="24"/>
  <c r="I160" i="24" s="1"/>
  <c r="J160" i="24" s="1"/>
  <c r="AA153" i="24"/>
  <c r="X153" i="24"/>
  <c r="W153" i="24"/>
  <c r="V153" i="24"/>
  <c r="U153" i="24"/>
  <c r="T153" i="24"/>
  <c r="F152" i="24"/>
  <c r="N147" i="24"/>
  <c r="O146" i="24" s="1"/>
  <c r="AA143" i="24"/>
  <c r="X143" i="24"/>
  <c r="W143" i="24"/>
  <c r="V143" i="24"/>
  <c r="U143" i="24"/>
  <c r="T143" i="24"/>
  <c r="G136" i="24"/>
  <c r="G152" i="24" s="1"/>
  <c r="F136" i="24"/>
  <c r="F137" i="24" s="1"/>
  <c r="F138" i="24" s="1"/>
  <c r="E136" i="24"/>
  <c r="E152" i="24" s="1"/>
  <c r="D136" i="24"/>
  <c r="D152" i="24" s="1"/>
  <c r="C136" i="24"/>
  <c r="AP135" i="24"/>
  <c r="AO135" i="24"/>
  <c r="AN135" i="24"/>
  <c r="AM135" i="24"/>
  <c r="AL135" i="24"/>
  <c r="H135" i="24"/>
  <c r="AP134" i="24"/>
  <c r="AO134" i="24"/>
  <c r="AN134" i="24"/>
  <c r="AM134" i="24"/>
  <c r="AL134" i="24"/>
  <c r="H134" i="24"/>
  <c r="L145" i="24" s="1"/>
  <c r="X133" i="24"/>
  <c r="W133" i="24"/>
  <c r="V133" i="24"/>
  <c r="U133" i="24"/>
  <c r="T133" i="24"/>
  <c r="H133" i="24"/>
  <c r="I133" i="24" s="1"/>
  <c r="J133" i="24" s="1"/>
  <c r="AS132" i="24"/>
  <c r="AL133" i="24" s="1"/>
  <c r="H132" i="24"/>
  <c r="H131" i="24"/>
  <c r="I131" i="24" s="1"/>
  <c r="J131" i="24" s="1"/>
  <c r="AP130" i="24"/>
  <c r="AO130" i="24"/>
  <c r="AN130" i="24"/>
  <c r="AM130" i="24"/>
  <c r="AL130" i="24"/>
  <c r="AP129" i="24"/>
  <c r="AO129" i="24"/>
  <c r="AN129" i="24"/>
  <c r="AM129" i="24"/>
  <c r="AL129" i="24"/>
  <c r="AS127" i="24"/>
  <c r="AP128" i="24" s="1"/>
  <c r="AP125" i="24"/>
  <c r="AO125" i="24"/>
  <c r="AN125" i="24"/>
  <c r="AM125" i="24"/>
  <c r="AL125" i="24"/>
  <c r="AP124" i="24"/>
  <c r="AO124" i="24"/>
  <c r="AN124" i="24"/>
  <c r="AM124" i="24"/>
  <c r="AL124" i="24"/>
  <c r="AS124" i="24" s="1"/>
  <c r="X123" i="24"/>
  <c r="W123" i="24"/>
  <c r="V123" i="24"/>
  <c r="U123" i="24"/>
  <c r="T123" i="24"/>
  <c r="AS122" i="24"/>
  <c r="AM123" i="24" s="1"/>
  <c r="AP120" i="24"/>
  <c r="AO120" i="24"/>
  <c r="AN120" i="24"/>
  <c r="AM120" i="24"/>
  <c r="AL120" i="24"/>
  <c r="AP119" i="24"/>
  <c r="AO119" i="24"/>
  <c r="AN119" i="24"/>
  <c r="AM119" i="24"/>
  <c r="AL119" i="24"/>
  <c r="N118" i="24"/>
  <c r="O115" i="24" s="1"/>
  <c r="AP116" i="24"/>
  <c r="AO116" i="24"/>
  <c r="AN116" i="24"/>
  <c r="AM116" i="24"/>
  <c r="AL116" i="24"/>
  <c r="AA113" i="24"/>
  <c r="X113" i="24"/>
  <c r="W113" i="24"/>
  <c r="V113" i="24"/>
  <c r="U113" i="24"/>
  <c r="T113" i="24"/>
  <c r="D108" i="24"/>
  <c r="D109" i="24" s="1"/>
  <c r="C108" i="24"/>
  <c r="C109" i="24" s="1"/>
  <c r="G107" i="24"/>
  <c r="G123" i="24" s="1"/>
  <c r="F107" i="24"/>
  <c r="F108" i="24" s="1"/>
  <c r="E107" i="24"/>
  <c r="D107" i="24"/>
  <c r="D123" i="24" s="1"/>
  <c r="C107" i="24"/>
  <c r="C123" i="24" s="1"/>
  <c r="H106" i="24"/>
  <c r="H105" i="24"/>
  <c r="K105" i="24" s="1"/>
  <c r="H104" i="24"/>
  <c r="L115" i="24" s="1"/>
  <c r="X103" i="24"/>
  <c r="W103" i="24"/>
  <c r="V103" i="24"/>
  <c r="U103" i="24"/>
  <c r="T103" i="24"/>
  <c r="H103" i="24"/>
  <c r="H102" i="24"/>
  <c r="L113" i="24" s="1"/>
  <c r="AW99" i="24"/>
  <c r="AX97" i="24" s="1"/>
  <c r="AA93" i="24"/>
  <c r="X93" i="24"/>
  <c r="W93" i="24"/>
  <c r="V93" i="24"/>
  <c r="U93" i="24"/>
  <c r="T93" i="24"/>
  <c r="AL89" i="24"/>
  <c r="AL90" i="24" s="1"/>
  <c r="N89" i="24"/>
  <c r="O88" i="24" s="1"/>
  <c r="AP88" i="24"/>
  <c r="AP104" i="24" s="1"/>
  <c r="AO88" i="24"/>
  <c r="AN88" i="24"/>
  <c r="AN104" i="24" s="1"/>
  <c r="AM88" i="24"/>
  <c r="AM104" i="24" s="1"/>
  <c r="AL88" i="24"/>
  <c r="AL104" i="24" s="1"/>
  <c r="AQ87" i="24"/>
  <c r="O87" i="24"/>
  <c r="AQ86" i="24"/>
  <c r="O86" i="24"/>
  <c r="AQ85" i="24"/>
  <c r="AR85" i="24" s="1"/>
  <c r="AS85" i="24" s="1"/>
  <c r="O85" i="24"/>
  <c r="AQ84" i="24"/>
  <c r="AQ83" i="24"/>
  <c r="AR83" i="24" s="1"/>
  <c r="X83" i="24"/>
  <c r="W83" i="24"/>
  <c r="V83" i="24"/>
  <c r="U83" i="24"/>
  <c r="T83" i="24"/>
  <c r="G78" i="24"/>
  <c r="G94" i="24" s="1"/>
  <c r="F78" i="24"/>
  <c r="F94" i="24" s="1"/>
  <c r="E78" i="24"/>
  <c r="E94" i="24" s="1"/>
  <c r="D78" i="24"/>
  <c r="D94" i="24" s="1"/>
  <c r="C78" i="24"/>
  <c r="C94" i="24" s="1"/>
  <c r="H77" i="24"/>
  <c r="I77" i="24" s="1"/>
  <c r="J77" i="24" s="1"/>
  <c r="H76" i="24"/>
  <c r="L87" i="24" s="1"/>
  <c r="H75" i="24"/>
  <c r="K75" i="24" s="1"/>
  <c r="H74" i="24"/>
  <c r="X73" i="24"/>
  <c r="W73" i="24"/>
  <c r="V73" i="24"/>
  <c r="U73" i="24"/>
  <c r="T73" i="24"/>
  <c r="H73" i="24"/>
  <c r="L84" i="24" s="1"/>
  <c r="X63" i="24"/>
  <c r="W63" i="24"/>
  <c r="V63" i="24"/>
  <c r="U63" i="24"/>
  <c r="T63" i="24"/>
  <c r="N60" i="24"/>
  <c r="O59" i="24" s="1"/>
  <c r="X53" i="24"/>
  <c r="W53" i="24"/>
  <c r="V53" i="24"/>
  <c r="U53" i="24"/>
  <c r="T53" i="24"/>
  <c r="G49" i="24"/>
  <c r="G65" i="24" s="1"/>
  <c r="F49" i="24"/>
  <c r="F65" i="24" s="1"/>
  <c r="E49" i="24"/>
  <c r="D49" i="24"/>
  <c r="D65" i="24" s="1"/>
  <c r="C49" i="24"/>
  <c r="C65" i="24" s="1"/>
  <c r="H48" i="24"/>
  <c r="I48" i="24" s="1"/>
  <c r="J48" i="24" s="1"/>
  <c r="H47" i="24"/>
  <c r="L58" i="24" s="1"/>
  <c r="H46" i="24"/>
  <c r="L57" i="24" s="1"/>
  <c r="I45" i="24"/>
  <c r="H45" i="24"/>
  <c r="L56" i="24" s="1"/>
  <c r="H44" i="24"/>
  <c r="K44" i="24" s="1"/>
  <c r="X43" i="24"/>
  <c r="W43" i="24"/>
  <c r="V43" i="24"/>
  <c r="U43" i="24"/>
  <c r="T43" i="24"/>
  <c r="AA33" i="24"/>
  <c r="X33" i="24"/>
  <c r="W33" i="24"/>
  <c r="V33" i="24"/>
  <c r="U33" i="24"/>
  <c r="T33" i="24"/>
  <c r="N31" i="24"/>
  <c r="O30" i="24" s="1"/>
  <c r="X23" i="24"/>
  <c r="W23" i="24"/>
  <c r="V23" i="24"/>
  <c r="U23" i="24"/>
  <c r="T23" i="24"/>
  <c r="G20" i="24"/>
  <c r="G36" i="24" s="1"/>
  <c r="F20" i="24"/>
  <c r="F36" i="24" s="1"/>
  <c r="E20" i="24"/>
  <c r="E36" i="24" s="1"/>
  <c r="D20" i="24"/>
  <c r="D36" i="24" s="1"/>
  <c r="C20" i="24"/>
  <c r="C36" i="24" s="1"/>
  <c r="H19" i="24"/>
  <c r="L30" i="24" s="1"/>
  <c r="H18" i="24"/>
  <c r="I18" i="24" s="1"/>
  <c r="H17" i="24"/>
  <c r="H16" i="24"/>
  <c r="L27" i="24" s="1"/>
  <c r="H15" i="24"/>
  <c r="L26" i="24" s="1"/>
  <c r="N582" i="23"/>
  <c r="AA213" i="23" s="1"/>
  <c r="L579" i="23"/>
  <c r="G571" i="23"/>
  <c r="F571" i="23"/>
  <c r="E571" i="23"/>
  <c r="E587" i="23" s="1"/>
  <c r="D571" i="23"/>
  <c r="D572" i="23" s="1"/>
  <c r="C571" i="23"/>
  <c r="C572" i="23" s="1"/>
  <c r="C573" i="23" s="1"/>
  <c r="H570" i="23"/>
  <c r="H569" i="23"/>
  <c r="I569" i="23" s="1"/>
  <c r="J569" i="23" s="1"/>
  <c r="H568" i="23"/>
  <c r="I568" i="23" s="1"/>
  <c r="H567" i="23"/>
  <c r="L578" i="23" s="1"/>
  <c r="I566" i="23"/>
  <c r="J566" i="23" s="1"/>
  <c r="H566" i="23"/>
  <c r="N553" i="23"/>
  <c r="O552" i="23" s="1"/>
  <c r="G542" i="23"/>
  <c r="F542" i="23"/>
  <c r="F543" i="23" s="1"/>
  <c r="F544" i="23" s="1"/>
  <c r="E542" i="23"/>
  <c r="D542" i="23"/>
  <c r="D558" i="23" s="1"/>
  <c r="C542" i="23"/>
  <c r="C558" i="23" s="1"/>
  <c r="H541" i="23"/>
  <c r="H540" i="23"/>
  <c r="L551" i="23" s="1"/>
  <c r="H539" i="23"/>
  <c r="L550" i="23" s="1"/>
  <c r="H538" i="23"/>
  <c r="I538" i="23" s="1"/>
  <c r="J538" i="23" s="1"/>
  <c r="H537" i="23"/>
  <c r="I537" i="23" s="1"/>
  <c r="J537" i="23" s="1"/>
  <c r="N524" i="23"/>
  <c r="AA193" i="23" s="1"/>
  <c r="D514" i="23"/>
  <c r="G513" i="23"/>
  <c r="G529" i="23" s="1"/>
  <c r="F513" i="23"/>
  <c r="F514" i="23" s="1"/>
  <c r="E513" i="23"/>
  <c r="E529" i="23" s="1"/>
  <c r="D513" i="23"/>
  <c r="D529" i="23" s="1"/>
  <c r="C513" i="23"/>
  <c r="C514" i="23" s="1"/>
  <c r="H512" i="23"/>
  <c r="H511" i="23"/>
  <c r="I511" i="23" s="1"/>
  <c r="J511" i="23" s="1"/>
  <c r="H510" i="23"/>
  <c r="H509" i="23"/>
  <c r="L520" i="23" s="1"/>
  <c r="H508" i="23"/>
  <c r="I508" i="23" s="1"/>
  <c r="J508" i="23" s="1"/>
  <c r="G500" i="23"/>
  <c r="N495" i="23"/>
  <c r="O490" i="23" s="1"/>
  <c r="G484" i="23"/>
  <c r="G485" i="23" s="1"/>
  <c r="G486" i="23" s="1"/>
  <c r="F484" i="23"/>
  <c r="E484" i="23"/>
  <c r="E500" i="23" s="1"/>
  <c r="D484" i="23"/>
  <c r="C484" i="23"/>
  <c r="C485" i="23" s="1"/>
  <c r="C486" i="23" s="1"/>
  <c r="H483" i="23"/>
  <c r="L494" i="23" s="1"/>
  <c r="H482" i="23"/>
  <c r="I482" i="23" s="1"/>
  <c r="J482" i="23" s="1"/>
  <c r="H481" i="23"/>
  <c r="L492" i="23" s="1"/>
  <c r="H480" i="23"/>
  <c r="H479" i="23"/>
  <c r="L490" i="23" s="1"/>
  <c r="N466" i="23"/>
  <c r="O463" i="23" s="1"/>
  <c r="L462" i="23"/>
  <c r="G455" i="23"/>
  <c r="G456" i="23" s="1"/>
  <c r="F455" i="23"/>
  <c r="E455" i="23"/>
  <c r="D455" i="23"/>
  <c r="D471" i="23" s="1"/>
  <c r="C455" i="23"/>
  <c r="C471" i="23" s="1"/>
  <c r="H454" i="23"/>
  <c r="I454" i="23" s="1"/>
  <c r="J454" i="23" s="1"/>
  <c r="H453" i="23"/>
  <c r="L464" i="23" s="1"/>
  <c r="H452" i="23"/>
  <c r="I452" i="23" s="1"/>
  <c r="J452" i="23" s="1"/>
  <c r="H451" i="23"/>
  <c r="I450" i="23"/>
  <c r="H450" i="23"/>
  <c r="N437" i="23"/>
  <c r="O436" i="23" s="1"/>
  <c r="G426" i="23"/>
  <c r="G427" i="23" s="1"/>
  <c r="G428" i="23" s="1"/>
  <c r="F426" i="23"/>
  <c r="F442" i="23" s="1"/>
  <c r="E426" i="23"/>
  <c r="E442" i="23" s="1"/>
  <c r="D426" i="23"/>
  <c r="D442" i="23" s="1"/>
  <c r="C426" i="23"/>
  <c r="C442" i="23" s="1"/>
  <c r="H425" i="23"/>
  <c r="I424" i="23"/>
  <c r="J424" i="23" s="1"/>
  <c r="H424" i="23"/>
  <c r="L435" i="23" s="1"/>
  <c r="H423" i="23"/>
  <c r="H422" i="23"/>
  <c r="L433" i="23" s="1"/>
  <c r="H421" i="23"/>
  <c r="I421" i="23" s="1"/>
  <c r="J421" i="23" s="1"/>
  <c r="N408" i="23"/>
  <c r="AA153" i="23" s="1"/>
  <c r="L404" i="23"/>
  <c r="G397" i="23"/>
  <c r="G413" i="23" s="1"/>
  <c r="F397" i="23"/>
  <c r="F398" i="23" s="1"/>
  <c r="F399" i="23" s="1"/>
  <c r="E397" i="23"/>
  <c r="D397" i="23"/>
  <c r="C397" i="23"/>
  <c r="H396" i="23"/>
  <c r="H395" i="23"/>
  <c r="H394" i="23"/>
  <c r="H393" i="23"/>
  <c r="I393" i="23" s="1"/>
  <c r="J393" i="23" s="1"/>
  <c r="H392" i="23"/>
  <c r="I392" i="23" s="1"/>
  <c r="J392" i="23" s="1"/>
  <c r="G384" i="23"/>
  <c r="N379" i="23"/>
  <c r="AA143" i="23" s="1"/>
  <c r="G368" i="23"/>
  <c r="G369" i="23" s="1"/>
  <c r="F368" i="23"/>
  <c r="E368" i="23"/>
  <c r="D368" i="23"/>
  <c r="D369" i="23" s="1"/>
  <c r="D370" i="23" s="1"/>
  <c r="C368" i="23"/>
  <c r="C369" i="23" s="1"/>
  <c r="C370" i="23" s="1"/>
  <c r="H367" i="23"/>
  <c r="H366" i="23"/>
  <c r="H365" i="23"/>
  <c r="I365" i="23" s="1"/>
  <c r="J365" i="23" s="1"/>
  <c r="H364" i="23"/>
  <c r="I364" i="23" s="1"/>
  <c r="J364" i="23" s="1"/>
  <c r="H363" i="23"/>
  <c r="L374" i="23" s="1"/>
  <c r="N350" i="23"/>
  <c r="O349" i="23" s="1"/>
  <c r="L349" i="23"/>
  <c r="O348" i="23"/>
  <c r="O347" i="23"/>
  <c r="G339" i="23"/>
  <c r="F339" i="23"/>
  <c r="E339" i="23"/>
  <c r="E355" i="23" s="1"/>
  <c r="D339" i="23"/>
  <c r="D355" i="23" s="1"/>
  <c r="C339" i="23"/>
  <c r="C355" i="23" s="1"/>
  <c r="H338" i="23"/>
  <c r="I338" i="23" s="1"/>
  <c r="J338" i="23" s="1"/>
  <c r="J337" i="23"/>
  <c r="I337" i="23"/>
  <c r="H337" i="23"/>
  <c r="H336" i="23"/>
  <c r="I336" i="23" s="1"/>
  <c r="J336" i="23" s="1"/>
  <c r="H335" i="23"/>
  <c r="I335" i="23" s="1"/>
  <c r="J335" i="23" s="1"/>
  <c r="H334" i="23"/>
  <c r="L345" i="23" s="1"/>
  <c r="N321" i="23"/>
  <c r="O318" i="23" s="1"/>
  <c r="G310" i="23"/>
  <c r="G311" i="23" s="1"/>
  <c r="F310" i="23"/>
  <c r="F311" i="23" s="1"/>
  <c r="E310" i="23"/>
  <c r="E326" i="23" s="1"/>
  <c r="D310" i="23"/>
  <c r="D326" i="23" s="1"/>
  <c r="C310" i="23"/>
  <c r="H309" i="23"/>
  <c r="H308" i="23"/>
  <c r="L319" i="23" s="1"/>
  <c r="H307" i="23"/>
  <c r="L318" i="23" s="1"/>
  <c r="H306" i="23"/>
  <c r="L317" i="23" s="1"/>
  <c r="I305" i="23"/>
  <c r="J305" i="23" s="1"/>
  <c r="H305" i="23"/>
  <c r="L316" i="23" s="1"/>
  <c r="N292" i="23"/>
  <c r="O288" i="23" s="1"/>
  <c r="L287" i="23"/>
  <c r="G281" i="23"/>
  <c r="G282" i="23" s="1"/>
  <c r="G283" i="23" s="1"/>
  <c r="F281" i="23"/>
  <c r="F297" i="23" s="1"/>
  <c r="E281" i="23"/>
  <c r="E297" i="23" s="1"/>
  <c r="D281" i="23"/>
  <c r="C281" i="23"/>
  <c r="H280" i="23"/>
  <c r="L291" i="23" s="1"/>
  <c r="H279" i="23"/>
  <c r="I279" i="23" s="1"/>
  <c r="J279" i="23" s="1"/>
  <c r="H278" i="23"/>
  <c r="L289" i="23" s="1"/>
  <c r="I277" i="23"/>
  <c r="J277" i="23" s="1"/>
  <c r="H277" i="23"/>
  <c r="L288" i="23" s="1"/>
  <c r="H276" i="23"/>
  <c r="N263" i="23"/>
  <c r="O261" i="23" s="1"/>
  <c r="O262" i="23"/>
  <c r="O260" i="23"/>
  <c r="G252" i="23"/>
  <c r="G268" i="23" s="1"/>
  <c r="F252" i="23"/>
  <c r="F268" i="23" s="1"/>
  <c r="E252" i="23"/>
  <c r="E253" i="23" s="1"/>
  <c r="D252" i="23"/>
  <c r="D268" i="23" s="1"/>
  <c r="C252" i="23"/>
  <c r="C268" i="23" s="1"/>
  <c r="H251" i="23"/>
  <c r="H250" i="23"/>
  <c r="L261" i="23" s="1"/>
  <c r="H249" i="23"/>
  <c r="L260" i="23" s="1"/>
  <c r="F260" i="23" s="1"/>
  <c r="H248" i="23"/>
  <c r="L259" i="23" s="1"/>
  <c r="H247" i="23"/>
  <c r="L258" i="23" s="1"/>
  <c r="D239" i="23"/>
  <c r="N234" i="23"/>
  <c r="O233" i="23" s="1"/>
  <c r="L231" i="23"/>
  <c r="G223" i="23"/>
  <c r="G224" i="23" s="1"/>
  <c r="F223" i="23"/>
  <c r="F239" i="23" s="1"/>
  <c r="E223" i="23"/>
  <c r="E224" i="23" s="1"/>
  <c r="D223" i="23"/>
  <c r="D224" i="23" s="1"/>
  <c r="D225" i="23" s="1"/>
  <c r="C223" i="23"/>
  <c r="C239" i="23" s="1"/>
  <c r="H222" i="23"/>
  <c r="L233" i="23" s="1"/>
  <c r="H221" i="23"/>
  <c r="I221" i="23" s="1"/>
  <c r="J221" i="23" s="1"/>
  <c r="H220" i="23"/>
  <c r="I220" i="23" s="1"/>
  <c r="J220" i="23" s="1"/>
  <c r="H219" i="23"/>
  <c r="I218" i="23"/>
  <c r="J218" i="23" s="1"/>
  <c r="H218" i="23"/>
  <c r="L229" i="23" s="1"/>
  <c r="X213" i="23"/>
  <c r="W213" i="23"/>
  <c r="V213" i="23"/>
  <c r="U213" i="23"/>
  <c r="T213" i="23"/>
  <c r="N205" i="23"/>
  <c r="O201" i="23" s="1"/>
  <c r="X203" i="23"/>
  <c r="W203" i="23"/>
  <c r="V203" i="23"/>
  <c r="U203" i="23"/>
  <c r="T203" i="23"/>
  <c r="G194" i="23"/>
  <c r="G195" i="23" s="1"/>
  <c r="F194" i="23"/>
  <c r="F195" i="23" s="1"/>
  <c r="E194" i="23"/>
  <c r="E210" i="23" s="1"/>
  <c r="D194" i="23"/>
  <c r="C194" i="23"/>
  <c r="C195" i="23" s="1"/>
  <c r="X193" i="23"/>
  <c r="W193" i="23"/>
  <c r="V193" i="23"/>
  <c r="U193" i="23"/>
  <c r="T193" i="23"/>
  <c r="H193" i="23"/>
  <c r="H192" i="23"/>
  <c r="L203" i="23" s="1"/>
  <c r="H191" i="23"/>
  <c r="L202" i="23" s="1"/>
  <c r="H190" i="23"/>
  <c r="I190" i="23" s="1"/>
  <c r="J190" i="23" s="1"/>
  <c r="H189" i="23"/>
  <c r="AA183" i="23"/>
  <c r="X183" i="23"/>
  <c r="W183" i="23"/>
  <c r="V183" i="23"/>
  <c r="U183" i="23"/>
  <c r="T183" i="23"/>
  <c r="N176" i="23"/>
  <c r="O171" i="23" s="1"/>
  <c r="X173" i="23"/>
  <c r="W173" i="23"/>
  <c r="V173" i="23"/>
  <c r="U173" i="23"/>
  <c r="T173" i="23"/>
  <c r="G165" i="23"/>
  <c r="G181" i="23" s="1"/>
  <c r="F165" i="23"/>
  <c r="F181" i="23" s="1"/>
  <c r="E165" i="23"/>
  <c r="E181" i="23" s="1"/>
  <c r="D165" i="23"/>
  <c r="D181" i="23" s="1"/>
  <c r="C165" i="23"/>
  <c r="C181" i="23" s="1"/>
  <c r="H164" i="23"/>
  <c r="L175" i="23" s="1"/>
  <c r="X163" i="23"/>
  <c r="W163" i="23"/>
  <c r="V163" i="23"/>
  <c r="U163" i="23"/>
  <c r="T163" i="23"/>
  <c r="H163" i="23"/>
  <c r="H162" i="23"/>
  <c r="L173" i="23" s="1"/>
  <c r="H161" i="23"/>
  <c r="H160" i="23"/>
  <c r="I160" i="23" s="1"/>
  <c r="J160" i="23" s="1"/>
  <c r="X153" i="23"/>
  <c r="W153" i="23"/>
  <c r="V153" i="23"/>
  <c r="U153" i="23"/>
  <c r="T153" i="23"/>
  <c r="N147" i="23"/>
  <c r="X143" i="23"/>
  <c r="W143" i="23"/>
  <c r="V143" i="23"/>
  <c r="U143" i="23"/>
  <c r="T143" i="23"/>
  <c r="G136" i="23"/>
  <c r="G137" i="23" s="1"/>
  <c r="G138" i="23" s="1"/>
  <c r="F136" i="23"/>
  <c r="F152" i="23" s="1"/>
  <c r="E136" i="23"/>
  <c r="D136" i="23"/>
  <c r="C136" i="23"/>
  <c r="C152" i="23" s="1"/>
  <c r="AP135" i="23"/>
  <c r="AO135" i="23"/>
  <c r="AN135" i="23"/>
  <c r="AM135" i="23"/>
  <c r="AL135" i="23"/>
  <c r="H135" i="23"/>
  <c r="I135" i="23" s="1"/>
  <c r="J135" i="23" s="1"/>
  <c r="AP134" i="23"/>
  <c r="AO134" i="23"/>
  <c r="AN134" i="23"/>
  <c r="AM134" i="23"/>
  <c r="AL134" i="23"/>
  <c r="H134" i="23"/>
  <c r="L145" i="23" s="1"/>
  <c r="X133" i="23"/>
  <c r="W133" i="23"/>
  <c r="V133" i="23"/>
  <c r="U133" i="23"/>
  <c r="T133" i="23"/>
  <c r="H133" i="23"/>
  <c r="L144" i="23" s="1"/>
  <c r="AS132" i="23"/>
  <c r="AM133" i="23" s="1"/>
  <c r="H132" i="23"/>
  <c r="I132" i="23" s="1"/>
  <c r="J132" i="23" s="1"/>
  <c r="H131" i="23"/>
  <c r="L142" i="23" s="1"/>
  <c r="AP130" i="23"/>
  <c r="AO130" i="23"/>
  <c r="AN130" i="23"/>
  <c r="AM130" i="23"/>
  <c r="AL130" i="23"/>
  <c r="AP129" i="23"/>
  <c r="AO129" i="23"/>
  <c r="AN129" i="23"/>
  <c r="AM129" i="23"/>
  <c r="AL129" i="23"/>
  <c r="AS127" i="23"/>
  <c r="AM128" i="23" s="1"/>
  <c r="AP125" i="23"/>
  <c r="AO125" i="23"/>
  <c r="AN125" i="23"/>
  <c r="AM125" i="23"/>
  <c r="AL125" i="23"/>
  <c r="AP124" i="23"/>
  <c r="AO124" i="23"/>
  <c r="AN124" i="23"/>
  <c r="AM124" i="23"/>
  <c r="AL124" i="23"/>
  <c r="X123" i="23"/>
  <c r="W123" i="23"/>
  <c r="V123" i="23"/>
  <c r="U123" i="23"/>
  <c r="T123" i="23"/>
  <c r="AS122" i="23"/>
  <c r="AP123" i="23" s="1"/>
  <c r="AP120" i="23"/>
  <c r="AO120" i="23"/>
  <c r="AN120" i="23"/>
  <c r="AM120" i="23"/>
  <c r="AL120" i="23"/>
  <c r="AP119" i="23"/>
  <c r="AO119" i="23"/>
  <c r="AN119" i="23"/>
  <c r="AM119" i="23"/>
  <c r="AL119" i="23"/>
  <c r="N118" i="23"/>
  <c r="AA53" i="23" s="1"/>
  <c r="AP116" i="23"/>
  <c r="AO116" i="23"/>
  <c r="AN116" i="23"/>
  <c r="AM116" i="23"/>
  <c r="AL116" i="23"/>
  <c r="X113" i="23"/>
  <c r="W113" i="23"/>
  <c r="V113" i="23"/>
  <c r="U113" i="23"/>
  <c r="T113" i="23"/>
  <c r="G107" i="23"/>
  <c r="G123" i="23" s="1"/>
  <c r="F107" i="23"/>
  <c r="E107" i="23"/>
  <c r="E123" i="23" s="1"/>
  <c r="D107" i="23"/>
  <c r="D123" i="23" s="1"/>
  <c r="C107" i="23"/>
  <c r="C123" i="23" s="1"/>
  <c r="H106" i="23"/>
  <c r="H105" i="23"/>
  <c r="L116" i="23" s="1"/>
  <c r="AN104" i="23"/>
  <c r="H104" i="23"/>
  <c r="L115" i="23" s="1"/>
  <c r="X103" i="23"/>
  <c r="W103" i="23"/>
  <c r="V103" i="23"/>
  <c r="U103" i="23"/>
  <c r="T103" i="23"/>
  <c r="H103" i="23"/>
  <c r="K103" i="23" s="1"/>
  <c r="H102" i="23"/>
  <c r="L113" i="23" s="1"/>
  <c r="AW99" i="23"/>
  <c r="AX98" i="23" s="1"/>
  <c r="X93" i="23"/>
  <c r="W93" i="23"/>
  <c r="V93" i="23"/>
  <c r="U93" i="23"/>
  <c r="T93" i="23"/>
  <c r="N89" i="23"/>
  <c r="O85" i="23" s="1"/>
  <c r="AP88" i="23"/>
  <c r="AP89" i="23" s="1"/>
  <c r="AP90" i="23" s="1"/>
  <c r="AO88" i="23"/>
  <c r="AN88" i="23"/>
  <c r="AN89" i="23" s="1"/>
  <c r="AN90" i="23" s="1"/>
  <c r="AM88" i="23"/>
  <c r="AL88" i="23"/>
  <c r="AL104" i="23" s="1"/>
  <c r="AQ87" i="23"/>
  <c r="AQ86" i="23"/>
  <c r="AU97" i="23" s="1"/>
  <c r="AQ85" i="23"/>
  <c r="AQ84" i="23"/>
  <c r="AU95" i="23" s="1"/>
  <c r="AQ83" i="23"/>
  <c r="AA83" i="23"/>
  <c r="X83" i="23"/>
  <c r="W83" i="23"/>
  <c r="V83" i="23"/>
  <c r="U83" i="23"/>
  <c r="T83" i="23"/>
  <c r="G78" i="23"/>
  <c r="G79" i="23" s="1"/>
  <c r="G80" i="23" s="1"/>
  <c r="F78" i="23"/>
  <c r="F94" i="23" s="1"/>
  <c r="E78" i="23"/>
  <c r="E79" i="23" s="1"/>
  <c r="D78" i="23"/>
  <c r="D94" i="23" s="1"/>
  <c r="C78" i="23"/>
  <c r="C79" i="23" s="1"/>
  <c r="H77" i="23"/>
  <c r="H76" i="23"/>
  <c r="I76" i="23" s="1"/>
  <c r="H75" i="23"/>
  <c r="H74" i="23"/>
  <c r="I74" i="23" s="1"/>
  <c r="J74" i="23" s="1"/>
  <c r="AA73" i="23"/>
  <c r="X73" i="23"/>
  <c r="W73" i="23"/>
  <c r="V73" i="23"/>
  <c r="U73" i="23"/>
  <c r="T73" i="23"/>
  <c r="H73" i="23"/>
  <c r="AA63" i="23"/>
  <c r="X63" i="23"/>
  <c r="W63" i="23"/>
  <c r="V63" i="23"/>
  <c r="U63" i="23"/>
  <c r="T63" i="23"/>
  <c r="N60" i="23"/>
  <c r="O57" i="23" s="1"/>
  <c r="X53" i="23"/>
  <c r="W53" i="23"/>
  <c r="V53" i="23"/>
  <c r="U53" i="23"/>
  <c r="T53" i="23"/>
  <c r="G49" i="23"/>
  <c r="K48" i="23" s="1"/>
  <c r="F49" i="23"/>
  <c r="F50" i="23" s="1"/>
  <c r="F51" i="23" s="1"/>
  <c r="E49" i="23"/>
  <c r="E65" i="23" s="1"/>
  <c r="D49" i="23"/>
  <c r="D50" i="23" s="1"/>
  <c r="D51" i="23" s="1"/>
  <c r="C49" i="23"/>
  <c r="H48" i="23"/>
  <c r="I48" i="23" s="1"/>
  <c r="J48" i="23" s="1"/>
  <c r="H47" i="23"/>
  <c r="H46" i="23"/>
  <c r="H45" i="23"/>
  <c r="L56" i="23" s="1"/>
  <c r="H44" i="23"/>
  <c r="I44" i="23" s="1"/>
  <c r="J44" i="23" s="1"/>
  <c r="AA43" i="23"/>
  <c r="X43" i="23"/>
  <c r="W43" i="23"/>
  <c r="V43" i="23"/>
  <c r="U43" i="23"/>
  <c r="T43" i="23"/>
  <c r="X33" i="23"/>
  <c r="W33" i="23"/>
  <c r="V33" i="23"/>
  <c r="U33" i="23"/>
  <c r="T33" i="23"/>
  <c r="N31" i="23"/>
  <c r="O30" i="23" s="1"/>
  <c r="O29" i="23"/>
  <c r="X23" i="23"/>
  <c r="W23" i="23"/>
  <c r="V23" i="23"/>
  <c r="U23" i="23"/>
  <c r="T23" i="23"/>
  <c r="E21" i="23"/>
  <c r="E22" i="23" s="1"/>
  <c r="G20" i="23"/>
  <c r="G21" i="23" s="1"/>
  <c r="F20" i="23"/>
  <c r="F21" i="23" s="1"/>
  <c r="F22" i="23" s="1"/>
  <c r="E20" i="23"/>
  <c r="E36" i="23" s="1"/>
  <c r="D20" i="23"/>
  <c r="D36" i="23" s="1"/>
  <c r="C20" i="23"/>
  <c r="C36" i="23" s="1"/>
  <c r="H19" i="23"/>
  <c r="I19" i="23" s="1"/>
  <c r="J19" i="23" s="1"/>
  <c r="H18" i="23"/>
  <c r="I18" i="23" s="1"/>
  <c r="H17" i="23"/>
  <c r="K17" i="23" s="1"/>
  <c r="H16" i="23"/>
  <c r="I16" i="23" s="1"/>
  <c r="J16" i="23" s="1"/>
  <c r="H15" i="23"/>
  <c r="E587" i="21"/>
  <c r="N582" i="21"/>
  <c r="AA213" i="21" s="1"/>
  <c r="G571" i="21"/>
  <c r="F571" i="21"/>
  <c r="F587" i="21" s="1"/>
  <c r="E571" i="21"/>
  <c r="E572" i="21" s="1"/>
  <c r="E573" i="21" s="1"/>
  <c r="D571" i="21"/>
  <c r="D587" i="21" s="1"/>
  <c r="C571" i="21"/>
  <c r="C587" i="21" s="1"/>
  <c r="H570" i="21"/>
  <c r="H569" i="21"/>
  <c r="I569" i="21" s="1"/>
  <c r="J569" i="21" s="1"/>
  <c r="H568" i="21"/>
  <c r="L579" i="21" s="1"/>
  <c r="H567" i="21"/>
  <c r="H566" i="21"/>
  <c r="I566" i="21" s="1"/>
  <c r="J566" i="21" s="1"/>
  <c r="N553" i="21"/>
  <c r="O551" i="21" s="1"/>
  <c r="G542" i="21"/>
  <c r="G543" i="21" s="1"/>
  <c r="G544" i="21" s="1"/>
  <c r="F542" i="21"/>
  <c r="F543" i="21" s="1"/>
  <c r="E542" i="21"/>
  <c r="E543" i="21" s="1"/>
  <c r="E544" i="21" s="1"/>
  <c r="D542" i="21"/>
  <c r="C542" i="21"/>
  <c r="C543" i="21" s="1"/>
  <c r="C544" i="21" s="1"/>
  <c r="H541" i="21"/>
  <c r="L552" i="21" s="1"/>
  <c r="H540" i="21"/>
  <c r="H539" i="21"/>
  <c r="H538" i="21"/>
  <c r="I538" i="21" s="1"/>
  <c r="J538" i="21" s="1"/>
  <c r="H537" i="21"/>
  <c r="L548" i="21" s="1"/>
  <c r="N524" i="21"/>
  <c r="O523" i="21" s="1"/>
  <c r="G513" i="21"/>
  <c r="F513" i="21"/>
  <c r="F514" i="21" s="1"/>
  <c r="F515" i="21" s="1"/>
  <c r="E513" i="21"/>
  <c r="D513" i="21"/>
  <c r="D514" i="21" s="1"/>
  <c r="D515" i="21" s="1"/>
  <c r="C513" i="21"/>
  <c r="C529" i="21" s="1"/>
  <c r="H512" i="21"/>
  <c r="I512" i="21" s="1"/>
  <c r="J512" i="21" s="1"/>
  <c r="H511" i="21"/>
  <c r="H510" i="21"/>
  <c r="L521" i="21" s="1"/>
  <c r="H509" i="21"/>
  <c r="L520" i="21" s="1"/>
  <c r="H508" i="21"/>
  <c r="N495" i="21"/>
  <c r="O491" i="21" s="1"/>
  <c r="L491" i="21"/>
  <c r="G484" i="21"/>
  <c r="G500" i="21" s="1"/>
  <c r="F484" i="21"/>
  <c r="F485" i="21" s="1"/>
  <c r="F486" i="21" s="1"/>
  <c r="E484" i="21"/>
  <c r="E500" i="21" s="1"/>
  <c r="D484" i="21"/>
  <c r="D500" i="21" s="1"/>
  <c r="C484" i="21"/>
  <c r="C500" i="21" s="1"/>
  <c r="H483" i="21"/>
  <c r="L494" i="21" s="1"/>
  <c r="H482" i="21"/>
  <c r="K482" i="21" s="1"/>
  <c r="H481" i="21"/>
  <c r="L492" i="21" s="1"/>
  <c r="H480" i="21"/>
  <c r="H479" i="21"/>
  <c r="I479" i="21" s="1"/>
  <c r="J479" i="21" s="1"/>
  <c r="N466" i="21"/>
  <c r="AA173" i="21" s="1"/>
  <c r="F456" i="21"/>
  <c r="D456" i="21"/>
  <c r="D457" i="21" s="1"/>
  <c r="G455" i="21"/>
  <c r="G471" i="21" s="1"/>
  <c r="F455" i="21"/>
  <c r="F471" i="21" s="1"/>
  <c r="E455" i="21"/>
  <c r="E471" i="21" s="1"/>
  <c r="D455" i="21"/>
  <c r="D471" i="21" s="1"/>
  <c r="C455" i="21"/>
  <c r="H454" i="21"/>
  <c r="H453" i="21"/>
  <c r="I453" i="21" s="1"/>
  <c r="J453" i="21" s="1"/>
  <c r="I452" i="21"/>
  <c r="J452" i="21" s="1"/>
  <c r="H452" i="21"/>
  <c r="H451" i="21"/>
  <c r="I451" i="21" s="1"/>
  <c r="J451" i="21" s="1"/>
  <c r="H450" i="21"/>
  <c r="L461" i="21" s="1"/>
  <c r="N437" i="21"/>
  <c r="O436" i="21" s="1"/>
  <c r="O434" i="21"/>
  <c r="G428" i="21"/>
  <c r="G426" i="21"/>
  <c r="G427" i="21" s="1"/>
  <c r="F426" i="21"/>
  <c r="F427" i="21" s="1"/>
  <c r="E426" i="21"/>
  <c r="E442" i="21" s="1"/>
  <c r="D426" i="21"/>
  <c r="D427" i="21" s="1"/>
  <c r="C426" i="21"/>
  <c r="C427" i="21" s="1"/>
  <c r="C428" i="21" s="1"/>
  <c r="H425" i="21"/>
  <c r="H424" i="21"/>
  <c r="H423" i="21"/>
  <c r="L434" i="21" s="1"/>
  <c r="H422" i="21"/>
  <c r="L433" i="21" s="1"/>
  <c r="I421" i="21"/>
  <c r="N421" i="21" s="1"/>
  <c r="T162" i="21" s="1"/>
  <c r="H421" i="21"/>
  <c r="L432" i="21" s="1"/>
  <c r="N408" i="21"/>
  <c r="AA153" i="21" s="1"/>
  <c r="G397" i="21"/>
  <c r="G398" i="21" s="1"/>
  <c r="F397" i="21"/>
  <c r="F398" i="21" s="1"/>
  <c r="F399" i="21" s="1"/>
  <c r="E397" i="21"/>
  <c r="K394" i="21" s="1"/>
  <c r="D397" i="21"/>
  <c r="D398" i="21" s="1"/>
  <c r="C397" i="21"/>
  <c r="C413" i="21" s="1"/>
  <c r="H396" i="21"/>
  <c r="I396" i="21" s="1"/>
  <c r="J396" i="21" s="1"/>
  <c r="H395" i="21"/>
  <c r="L406" i="21" s="1"/>
  <c r="H394" i="21"/>
  <c r="L405" i="21" s="1"/>
  <c r="H393" i="21"/>
  <c r="L404" i="21" s="1"/>
  <c r="H392" i="21"/>
  <c r="L403" i="21" s="1"/>
  <c r="N379" i="21"/>
  <c r="O374" i="21" s="1"/>
  <c r="G369" i="21"/>
  <c r="G370" i="21" s="1"/>
  <c r="G368" i="21"/>
  <c r="G384" i="21" s="1"/>
  <c r="F368" i="21"/>
  <c r="E368" i="21"/>
  <c r="K365" i="21" s="1"/>
  <c r="D368" i="21"/>
  <c r="D384" i="21" s="1"/>
  <c r="C368" i="21"/>
  <c r="H367" i="21"/>
  <c r="L378" i="21" s="1"/>
  <c r="H366" i="21"/>
  <c r="K366" i="21" s="1"/>
  <c r="H365" i="21"/>
  <c r="I365" i="21" s="1"/>
  <c r="J365" i="21" s="1"/>
  <c r="H364" i="21"/>
  <c r="L375" i="21" s="1"/>
  <c r="H363" i="21"/>
  <c r="N350" i="21"/>
  <c r="O349" i="21" s="1"/>
  <c r="F340" i="21"/>
  <c r="F341" i="21" s="1"/>
  <c r="C340" i="21"/>
  <c r="C341" i="21" s="1"/>
  <c r="G339" i="21"/>
  <c r="G355" i="21" s="1"/>
  <c r="F339" i="21"/>
  <c r="F355" i="21" s="1"/>
  <c r="E339" i="21"/>
  <c r="E355" i="21" s="1"/>
  <c r="D339" i="21"/>
  <c r="D355" i="21" s="1"/>
  <c r="C339" i="21"/>
  <c r="C355" i="21" s="1"/>
  <c r="H338" i="21"/>
  <c r="L349" i="21" s="1"/>
  <c r="H337" i="21"/>
  <c r="L348" i="21" s="1"/>
  <c r="H336" i="21"/>
  <c r="L347" i="21" s="1"/>
  <c r="H335" i="21"/>
  <c r="L346" i="21" s="1"/>
  <c r="K334" i="21"/>
  <c r="H334" i="21"/>
  <c r="I334" i="21" s="1"/>
  <c r="J334" i="21" s="1"/>
  <c r="N321" i="21"/>
  <c r="O320" i="21" s="1"/>
  <c r="G310" i="21"/>
  <c r="G326" i="21" s="1"/>
  <c r="F310" i="21"/>
  <c r="F326" i="21" s="1"/>
  <c r="E310" i="21"/>
  <c r="E326" i="21" s="1"/>
  <c r="D310" i="21"/>
  <c r="D326" i="21" s="1"/>
  <c r="C310" i="21"/>
  <c r="H309" i="21"/>
  <c r="L320" i="21" s="1"/>
  <c r="H308" i="21"/>
  <c r="I308" i="21" s="1"/>
  <c r="J308" i="21" s="1"/>
  <c r="H307" i="21"/>
  <c r="H306" i="21"/>
  <c r="L317" i="21" s="1"/>
  <c r="H305" i="21"/>
  <c r="L316" i="21" s="1"/>
  <c r="N292" i="21"/>
  <c r="O291" i="21" s="1"/>
  <c r="G281" i="21"/>
  <c r="G297" i="21" s="1"/>
  <c r="F281" i="21"/>
  <c r="F297" i="21" s="1"/>
  <c r="E281" i="21"/>
  <c r="D281" i="21"/>
  <c r="D297" i="21" s="1"/>
  <c r="C281" i="21"/>
  <c r="C297" i="21" s="1"/>
  <c r="H280" i="21"/>
  <c r="H279" i="21"/>
  <c r="L290" i="21" s="1"/>
  <c r="H278" i="21"/>
  <c r="H277" i="21"/>
  <c r="K277" i="21" s="1"/>
  <c r="H276" i="21"/>
  <c r="N263" i="21"/>
  <c r="O259" i="21" s="1"/>
  <c r="G252" i="21"/>
  <c r="G268" i="21" s="1"/>
  <c r="F252" i="21"/>
  <c r="E252" i="21"/>
  <c r="E268" i="21" s="1"/>
  <c r="D252" i="21"/>
  <c r="D268" i="21" s="1"/>
  <c r="C252" i="21"/>
  <c r="C268" i="21" s="1"/>
  <c r="H251" i="21"/>
  <c r="L262" i="21" s="1"/>
  <c r="H250" i="21"/>
  <c r="L261" i="21" s="1"/>
  <c r="H249" i="21"/>
  <c r="I249" i="21" s="1"/>
  <c r="J249" i="21" s="1"/>
  <c r="H248" i="21"/>
  <c r="K248" i="21" s="1"/>
  <c r="H247" i="21"/>
  <c r="N234" i="21"/>
  <c r="O231" i="21" s="1"/>
  <c r="G223" i="21"/>
  <c r="F223" i="21"/>
  <c r="F239" i="21" s="1"/>
  <c r="E223" i="21"/>
  <c r="E224" i="21" s="1"/>
  <c r="D223" i="21"/>
  <c r="D224" i="21" s="1"/>
  <c r="D225" i="21" s="1"/>
  <c r="C223" i="21"/>
  <c r="C239" i="21" s="1"/>
  <c r="H222" i="21"/>
  <c r="L233" i="21" s="1"/>
  <c r="H221" i="21"/>
  <c r="H220" i="21"/>
  <c r="L231" i="21" s="1"/>
  <c r="H219" i="21"/>
  <c r="I219" i="21" s="1"/>
  <c r="J219" i="21" s="1"/>
  <c r="H218" i="21"/>
  <c r="L229" i="21" s="1"/>
  <c r="X213" i="21"/>
  <c r="W213" i="21"/>
  <c r="V213" i="21"/>
  <c r="U213" i="21"/>
  <c r="T213" i="21"/>
  <c r="C210" i="21"/>
  <c r="N205" i="21"/>
  <c r="O204" i="21" s="1"/>
  <c r="AA203" i="21"/>
  <c r="X203" i="21"/>
  <c r="W203" i="21"/>
  <c r="V203" i="21"/>
  <c r="U203" i="21"/>
  <c r="T203" i="21"/>
  <c r="L203" i="21"/>
  <c r="G194" i="21"/>
  <c r="G195" i="21" s="1"/>
  <c r="F194" i="21"/>
  <c r="F195" i="21" s="1"/>
  <c r="F196" i="21" s="1"/>
  <c r="E194" i="21"/>
  <c r="E195" i="21" s="1"/>
  <c r="D194" i="21"/>
  <c r="D195" i="21" s="1"/>
  <c r="C194" i="21"/>
  <c r="C195" i="21" s="1"/>
  <c r="AA193" i="21"/>
  <c r="X193" i="21"/>
  <c r="W193" i="21"/>
  <c r="V193" i="21"/>
  <c r="U193" i="21"/>
  <c r="T193" i="21"/>
  <c r="H193" i="21"/>
  <c r="L204" i="21" s="1"/>
  <c r="H192" i="21"/>
  <c r="H191" i="21"/>
  <c r="H190" i="21"/>
  <c r="I190" i="21" s="1"/>
  <c r="J190" i="21" s="1"/>
  <c r="H189" i="21"/>
  <c r="L200" i="21" s="1"/>
  <c r="X183" i="21"/>
  <c r="W183" i="21"/>
  <c r="V183" i="21"/>
  <c r="U183" i="21"/>
  <c r="T183" i="21"/>
  <c r="N176" i="21"/>
  <c r="O173" i="21" s="1"/>
  <c r="X173" i="21"/>
  <c r="W173" i="21"/>
  <c r="V173" i="21"/>
  <c r="U173" i="21"/>
  <c r="T173" i="21"/>
  <c r="D166" i="21"/>
  <c r="D167" i="21" s="1"/>
  <c r="G165" i="21"/>
  <c r="F165" i="21"/>
  <c r="F181" i="21" s="1"/>
  <c r="E165" i="21"/>
  <c r="D165" i="21"/>
  <c r="D181" i="21" s="1"/>
  <c r="C165" i="21"/>
  <c r="C166" i="21" s="1"/>
  <c r="H164" i="21"/>
  <c r="L175" i="21" s="1"/>
  <c r="AA163" i="21"/>
  <c r="X163" i="21"/>
  <c r="W163" i="21"/>
  <c r="V163" i="21"/>
  <c r="U163" i="21"/>
  <c r="T163" i="21"/>
  <c r="H163" i="21"/>
  <c r="H162" i="21"/>
  <c r="H161" i="21"/>
  <c r="I161" i="21" s="1"/>
  <c r="H160" i="21"/>
  <c r="L171" i="21" s="1"/>
  <c r="X153" i="21"/>
  <c r="W153" i="21"/>
  <c r="V153" i="21"/>
  <c r="U153" i="21"/>
  <c r="T153" i="21"/>
  <c r="D152" i="21"/>
  <c r="N147" i="21"/>
  <c r="O142" i="21" s="1"/>
  <c r="X143" i="21"/>
  <c r="W143" i="21"/>
  <c r="V143" i="21"/>
  <c r="U143" i="21"/>
  <c r="T143" i="21"/>
  <c r="G136" i="21"/>
  <c r="G137" i="21" s="1"/>
  <c r="F136" i="21"/>
  <c r="F152" i="21" s="1"/>
  <c r="E136" i="21"/>
  <c r="D136" i="21"/>
  <c r="D137" i="21" s="1"/>
  <c r="C136" i="21"/>
  <c r="AP135" i="21"/>
  <c r="AO135" i="21"/>
  <c r="AN135" i="21"/>
  <c r="AM135" i="21"/>
  <c r="AL135" i="21"/>
  <c r="H135" i="21"/>
  <c r="L146" i="21" s="1"/>
  <c r="AP134" i="21"/>
  <c r="AO134" i="21"/>
  <c r="AN134" i="21"/>
  <c r="AM134" i="21"/>
  <c r="AL134" i="21"/>
  <c r="H134" i="21"/>
  <c r="I134" i="21" s="1"/>
  <c r="J134" i="21" s="1"/>
  <c r="X133" i="21"/>
  <c r="W133" i="21"/>
  <c r="V133" i="21"/>
  <c r="U133" i="21"/>
  <c r="T133" i="21"/>
  <c r="H133" i="21"/>
  <c r="AS132" i="21"/>
  <c r="AP133" i="21" s="1"/>
  <c r="K132" i="21"/>
  <c r="H132" i="21"/>
  <c r="L143" i="21" s="1"/>
  <c r="H131" i="21"/>
  <c r="K131" i="21" s="1"/>
  <c r="AP130" i="21"/>
  <c r="AO130" i="21"/>
  <c r="AN130" i="21"/>
  <c r="AM130" i="21"/>
  <c r="AL130" i="21"/>
  <c r="AP129" i="21"/>
  <c r="AO129" i="21"/>
  <c r="AN129" i="21"/>
  <c r="AM129" i="21"/>
  <c r="AL129" i="21"/>
  <c r="AS127" i="21"/>
  <c r="AP128" i="21" s="1"/>
  <c r="AP125" i="21"/>
  <c r="AO125" i="21"/>
  <c r="AN125" i="21"/>
  <c r="AM125" i="21"/>
  <c r="AL125" i="21"/>
  <c r="AP124" i="21"/>
  <c r="AO124" i="21"/>
  <c r="AN124" i="21"/>
  <c r="AM124" i="21"/>
  <c r="AL124" i="21"/>
  <c r="AA123" i="21"/>
  <c r="X123" i="21"/>
  <c r="W123" i="21"/>
  <c r="V123" i="21"/>
  <c r="U123" i="21"/>
  <c r="T123" i="21"/>
  <c r="AS122" i="21"/>
  <c r="AP123" i="21" s="1"/>
  <c r="AP120" i="21"/>
  <c r="AO120" i="21"/>
  <c r="AN120" i="21"/>
  <c r="AM120" i="21"/>
  <c r="AL120" i="21"/>
  <c r="AP119" i="21"/>
  <c r="AO119" i="21"/>
  <c r="AN119" i="21"/>
  <c r="AM119" i="21"/>
  <c r="AL119" i="21"/>
  <c r="N118" i="21"/>
  <c r="O115" i="21" s="1"/>
  <c r="AP116" i="21"/>
  <c r="AO116" i="21"/>
  <c r="AN116" i="21"/>
  <c r="AM116" i="21"/>
  <c r="AL116" i="21"/>
  <c r="X113" i="21"/>
  <c r="W113" i="21"/>
  <c r="V113" i="21"/>
  <c r="U113" i="21"/>
  <c r="T113" i="21"/>
  <c r="F108" i="21"/>
  <c r="F109" i="21" s="1"/>
  <c r="G107" i="21"/>
  <c r="G123" i="21" s="1"/>
  <c r="F107" i="21"/>
  <c r="F123" i="21" s="1"/>
  <c r="E107" i="21"/>
  <c r="E123" i="21" s="1"/>
  <c r="D107" i="21"/>
  <c r="D108" i="21" s="1"/>
  <c r="C107" i="21"/>
  <c r="C123" i="21" s="1"/>
  <c r="H106" i="21"/>
  <c r="H105" i="21"/>
  <c r="L116" i="21" s="1"/>
  <c r="H104" i="21"/>
  <c r="L115" i="21" s="1"/>
  <c r="X103" i="21"/>
  <c r="W103" i="21"/>
  <c r="V103" i="21"/>
  <c r="U103" i="21"/>
  <c r="T103" i="21"/>
  <c r="H103" i="21"/>
  <c r="L114" i="21" s="1"/>
  <c r="H102" i="21"/>
  <c r="AW99" i="21"/>
  <c r="E94" i="21"/>
  <c r="X93" i="21"/>
  <c r="W93" i="21"/>
  <c r="V93" i="21"/>
  <c r="U93" i="21"/>
  <c r="T93" i="21"/>
  <c r="AM89" i="21"/>
  <c r="AM90" i="21" s="1"/>
  <c r="N89" i="21"/>
  <c r="O86" i="21" s="1"/>
  <c r="AP88" i="21"/>
  <c r="AP89" i="21" s="1"/>
  <c r="AO88" i="21"/>
  <c r="AO104" i="21" s="1"/>
  <c r="AN88" i="21"/>
  <c r="AN104" i="21" s="1"/>
  <c r="AM88" i="21"/>
  <c r="AM104" i="21" s="1"/>
  <c r="AL88" i="21"/>
  <c r="AL104" i="21" s="1"/>
  <c r="AQ87" i="21"/>
  <c r="AT87" i="21" s="1"/>
  <c r="L87" i="21"/>
  <c r="AR86" i="21"/>
  <c r="AS86" i="21" s="1"/>
  <c r="AQ86" i="21"/>
  <c r="AU97" i="21" s="1"/>
  <c r="AQ85" i="21"/>
  <c r="AU96" i="21" s="1"/>
  <c r="AQ84" i="21"/>
  <c r="AQ83" i="21"/>
  <c r="AA83" i="21"/>
  <c r="X83" i="21"/>
  <c r="W83" i="21"/>
  <c r="V83" i="21"/>
  <c r="U83" i="21"/>
  <c r="T83" i="21"/>
  <c r="G78" i="21"/>
  <c r="G94" i="21" s="1"/>
  <c r="F78" i="21"/>
  <c r="F94" i="21" s="1"/>
  <c r="E78" i="21"/>
  <c r="E79" i="21" s="1"/>
  <c r="E80" i="21" s="1"/>
  <c r="D78" i="21"/>
  <c r="D94" i="21" s="1"/>
  <c r="C78" i="21"/>
  <c r="C94" i="21" s="1"/>
  <c r="H77" i="21"/>
  <c r="K77" i="21" s="1"/>
  <c r="H76" i="21"/>
  <c r="K76" i="21" s="1"/>
  <c r="H75" i="21"/>
  <c r="H74" i="21"/>
  <c r="L85" i="21" s="1"/>
  <c r="X73" i="21"/>
  <c r="W73" i="21"/>
  <c r="V73" i="21"/>
  <c r="U73" i="21"/>
  <c r="T73" i="21"/>
  <c r="H73" i="21"/>
  <c r="X63" i="21"/>
  <c r="W63" i="21"/>
  <c r="V63" i="21"/>
  <c r="U63" i="21"/>
  <c r="T63" i="21"/>
  <c r="N60" i="21"/>
  <c r="O56" i="21" s="1"/>
  <c r="X53" i="21"/>
  <c r="W53" i="21"/>
  <c r="V53" i="21"/>
  <c r="U53" i="21"/>
  <c r="T53" i="21"/>
  <c r="G49" i="21"/>
  <c r="F49" i="21"/>
  <c r="F65" i="21" s="1"/>
  <c r="E49" i="21"/>
  <c r="E65" i="21" s="1"/>
  <c r="D49" i="21"/>
  <c r="D65" i="21" s="1"/>
  <c r="C49" i="21"/>
  <c r="C65" i="21" s="1"/>
  <c r="H48" i="21"/>
  <c r="H47" i="21"/>
  <c r="H46" i="21"/>
  <c r="L57" i="21" s="1"/>
  <c r="H45" i="21"/>
  <c r="H44" i="21"/>
  <c r="X43" i="21"/>
  <c r="W43" i="21"/>
  <c r="V43" i="21"/>
  <c r="U43" i="21"/>
  <c r="T43" i="21"/>
  <c r="X33" i="21"/>
  <c r="W33" i="21"/>
  <c r="V33" i="21"/>
  <c r="U33" i="21"/>
  <c r="T33" i="21"/>
  <c r="N31" i="21"/>
  <c r="O27" i="21" s="1"/>
  <c r="X23" i="21"/>
  <c r="W23" i="21"/>
  <c r="V23" i="21"/>
  <c r="U23" i="21"/>
  <c r="T23" i="21"/>
  <c r="D21" i="21"/>
  <c r="D22" i="21" s="1"/>
  <c r="G20" i="21"/>
  <c r="G36" i="21" s="1"/>
  <c r="F20" i="21"/>
  <c r="F36" i="21" s="1"/>
  <c r="E20" i="21"/>
  <c r="E36" i="21" s="1"/>
  <c r="D20" i="21"/>
  <c r="D36" i="21" s="1"/>
  <c r="C20" i="21"/>
  <c r="C36" i="21" s="1"/>
  <c r="H19" i="21"/>
  <c r="L30" i="21" s="1"/>
  <c r="H18" i="21"/>
  <c r="L29" i="21" s="1"/>
  <c r="H17" i="21"/>
  <c r="I17" i="21" s="1"/>
  <c r="H16" i="21"/>
  <c r="L27" i="21" s="1"/>
  <c r="H15" i="21"/>
  <c r="L26" i="21" s="1"/>
  <c r="AL119" i="20"/>
  <c r="N582" i="20"/>
  <c r="O581" i="20" s="1"/>
  <c r="G571" i="20"/>
  <c r="F571" i="20"/>
  <c r="E571" i="20"/>
  <c r="E572" i="20" s="1"/>
  <c r="E573" i="20" s="1"/>
  <c r="D571" i="20"/>
  <c r="D587" i="20" s="1"/>
  <c r="C571" i="20"/>
  <c r="C587" i="20" s="1"/>
  <c r="H570" i="20"/>
  <c r="I569" i="20"/>
  <c r="J569" i="20" s="1"/>
  <c r="H569" i="20"/>
  <c r="H568" i="20"/>
  <c r="K568" i="20" s="1"/>
  <c r="H567" i="20"/>
  <c r="H566" i="20"/>
  <c r="L577" i="20" s="1"/>
  <c r="N553" i="20"/>
  <c r="O552" i="20" s="1"/>
  <c r="G542" i="20"/>
  <c r="G558" i="20" s="1"/>
  <c r="F542" i="20"/>
  <c r="F558" i="20" s="1"/>
  <c r="E542" i="20"/>
  <c r="E558" i="20" s="1"/>
  <c r="D542" i="20"/>
  <c r="D558" i="20" s="1"/>
  <c r="C542" i="20"/>
  <c r="C558" i="20" s="1"/>
  <c r="H541" i="20"/>
  <c r="I540" i="20"/>
  <c r="J540" i="20" s="1"/>
  <c r="H540" i="20"/>
  <c r="L551" i="20" s="1"/>
  <c r="H539" i="20"/>
  <c r="H538" i="20"/>
  <c r="L549" i="20" s="1"/>
  <c r="H537" i="20"/>
  <c r="L548" i="20" s="1"/>
  <c r="N524" i="20"/>
  <c r="O523" i="20" s="1"/>
  <c r="G513" i="20"/>
  <c r="G529" i="20" s="1"/>
  <c r="F513" i="20"/>
  <c r="F529" i="20" s="1"/>
  <c r="E513" i="20"/>
  <c r="E529" i="20" s="1"/>
  <c r="D513" i="20"/>
  <c r="D529" i="20" s="1"/>
  <c r="C513" i="20"/>
  <c r="H512" i="20"/>
  <c r="L523" i="20" s="1"/>
  <c r="H511" i="20"/>
  <c r="H510" i="20"/>
  <c r="L521" i="20" s="1"/>
  <c r="H509" i="20"/>
  <c r="I509" i="20" s="1"/>
  <c r="J509" i="20" s="1"/>
  <c r="H508" i="20"/>
  <c r="I508" i="20" s="1"/>
  <c r="J508" i="20" s="1"/>
  <c r="N495" i="20"/>
  <c r="O493" i="20" s="1"/>
  <c r="G484" i="20"/>
  <c r="K483" i="20" s="1"/>
  <c r="F484" i="20"/>
  <c r="E484" i="20"/>
  <c r="E485" i="20" s="1"/>
  <c r="E486" i="20" s="1"/>
  <c r="D484" i="20"/>
  <c r="D485" i="20" s="1"/>
  <c r="D486" i="20" s="1"/>
  <c r="C484" i="20"/>
  <c r="C485" i="20" s="1"/>
  <c r="C486" i="20" s="1"/>
  <c r="H483" i="20"/>
  <c r="I483" i="20" s="1"/>
  <c r="J483" i="20" s="1"/>
  <c r="H482" i="20"/>
  <c r="I482" i="20" s="1"/>
  <c r="J482" i="20" s="1"/>
  <c r="H481" i="20"/>
  <c r="L492" i="20" s="1"/>
  <c r="H480" i="20"/>
  <c r="H479" i="20"/>
  <c r="N466" i="20"/>
  <c r="O464" i="20" s="1"/>
  <c r="L464" i="20"/>
  <c r="O463" i="20"/>
  <c r="D456" i="20"/>
  <c r="G455" i="20"/>
  <c r="G456" i="20" s="1"/>
  <c r="G457" i="20" s="1"/>
  <c r="F455" i="20"/>
  <c r="F456" i="20" s="1"/>
  <c r="F457" i="20" s="1"/>
  <c r="E455" i="20"/>
  <c r="E456" i="20" s="1"/>
  <c r="E457" i="20" s="1"/>
  <c r="D455" i="20"/>
  <c r="D471" i="20" s="1"/>
  <c r="C455" i="20"/>
  <c r="C471" i="20" s="1"/>
  <c r="H454" i="20"/>
  <c r="H453" i="20"/>
  <c r="I453" i="20" s="1"/>
  <c r="J453" i="20" s="1"/>
  <c r="H452" i="20"/>
  <c r="L463" i="20" s="1"/>
  <c r="H451" i="20"/>
  <c r="L462" i="20" s="1"/>
  <c r="H450" i="20"/>
  <c r="I450" i="20" s="1"/>
  <c r="N437" i="20"/>
  <c r="O436" i="20" s="1"/>
  <c r="G426" i="20"/>
  <c r="G442" i="20" s="1"/>
  <c r="F426" i="20"/>
  <c r="F442" i="20" s="1"/>
  <c r="E426" i="20"/>
  <c r="E427" i="20" s="1"/>
  <c r="E428" i="20" s="1"/>
  <c r="D426" i="20"/>
  <c r="D442" i="20" s="1"/>
  <c r="C426" i="20"/>
  <c r="C442" i="20" s="1"/>
  <c r="H425" i="20"/>
  <c r="H424" i="20"/>
  <c r="L435" i="20" s="1"/>
  <c r="H423" i="20"/>
  <c r="H422" i="20"/>
  <c r="L433" i="20" s="1"/>
  <c r="H421" i="20"/>
  <c r="L432" i="20" s="1"/>
  <c r="N408" i="20"/>
  <c r="O407" i="20" s="1"/>
  <c r="G397" i="20"/>
  <c r="G413" i="20" s="1"/>
  <c r="F397" i="20"/>
  <c r="F413" i="20" s="1"/>
  <c r="E397" i="20"/>
  <c r="E398" i="20" s="1"/>
  <c r="E399" i="20" s="1"/>
  <c r="D397" i="20"/>
  <c r="D413" i="20" s="1"/>
  <c r="C397" i="20"/>
  <c r="H396" i="20"/>
  <c r="L407" i="20" s="1"/>
  <c r="G407" i="20" s="1"/>
  <c r="H395" i="20"/>
  <c r="K395" i="20" s="1"/>
  <c r="H394" i="20"/>
  <c r="L405" i="20" s="1"/>
  <c r="H393" i="20"/>
  <c r="H392" i="20"/>
  <c r="I392" i="20" s="1"/>
  <c r="J392" i="20" s="1"/>
  <c r="N379" i="20"/>
  <c r="O375" i="20" s="1"/>
  <c r="L378" i="20"/>
  <c r="L375" i="20"/>
  <c r="F369" i="20"/>
  <c r="F370" i="20" s="1"/>
  <c r="G368" i="20"/>
  <c r="G369" i="20" s="1"/>
  <c r="F368" i="20"/>
  <c r="F384" i="20" s="1"/>
  <c r="E368" i="20"/>
  <c r="E384" i="20" s="1"/>
  <c r="D368" i="20"/>
  <c r="D384" i="20" s="1"/>
  <c r="C368" i="20"/>
  <c r="C384" i="20" s="1"/>
  <c r="H367" i="20"/>
  <c r="I367" i="20" s="1"/>
  <c r="J367" i="20" s="1"/>
  <c r="H366" i="20"/>
  <c r="I366" i="20" s="1"/>
  <c r="H365" i="20"/>
  <c r="K365" i="20" s="1"/>
  <c r="H364" i="20"/>
  <c r="I364" i="20" s="1"/>
  <c r="H363" i="20"/>
  <c r="L374" i="20" s="1"/>
  <c r="D355" i="20"/>
  <c r="N350" i="20"/>
  <c r="AA133" i="20" s="1"/>
  <c r="G339" i="20"/>
  <c r="G355" i="20" s="1"/>
  <c r="F339" i="20"/>
  <c r="F340" i="20" s="1"/>
  <c r="N337" i="20" s="1"/>
  <c r="W132" i="20" s="1"/>
  <c r="E339" i="20"/>
  <c r="E355" i="20" s="1"/>
  <c r="D339" i="20"/>
  <c r="D340" i="20" s="1"/>
  <c r="D341" i="20" s="1"/>
  <c r="C339" i="20"/>
  <c r="C340" i="20" s="1"/>
  <c r="H338" i="20"/>
  <c r="K338" i="20" s="1"/>
  <c r="H337" i="20"/>
  <c r="I337" i="20" s="1"/>
  <c r="J337" i="20" s="1"/>
  <c r="H336" i="20"/>
  <c r="H335" i="20"/>
  <c r="L346" i="20" s="1"/>
  <c r="H334" i="20"/>
  <c r="I334" i="20" s="1"/>
  <c r="J334" i="20" s="1"/>
  <c r="C326" i="20"/>
  <c r="N321" i="20"/>
  <c r="O320" i="20" s="1"/>
  <c r="G310" i="20"/>
  <c r="G311" i="20" s="1"/>
  <c r="F310" i="20"/>
  <c r="F311" i="20" s="1"/>
  <c r="E310" i="20"/>
  <c r="E326" i="20" s="1"/>
  <c r="D310" i="20"/>
  <c r="D311" i="20" s="1"/>
  <c r="C310" i="20"/>
  <c r="C311" i="20" s="1"/>
  <c r="K309" i="20"/>
  <c r="H309" i="20"/>
  <c r="L320" i="20" s="1"/>
  <c r="H308" i="20"/>
  <c r="L319" i="20" s="1"/>
  <c r="H307" i="20"/>
  <c r="I307" i="20" s="1"/>
  <c r="J307" i="20" s="1"/>
  <c r="H306" i="20"/>
  <c r="K306" i="20" s="1"/>
  <c r="H305" i="20"/>
  <c r="N292" i="20"/>
  <c r="O288" i="20" s="1"/>
  <c r="D282" i="20"/>
  <c r="D283" i="20" s="1"/>
  <c r="G281" i="20"/>
  <c r="G297" i="20" s="1"/>
  <c r="F281" i="20"/>
  <c r="F297" i="20" s="1"/>
  <c r="E281" i="20"/>
  <c r="E297" i="20" s="1"/>
  <c r="D281" i="20"/>
  <c r="D297" i="20" s="1"/>
  <c r="C281" i="20"/>
  <c r="C297" i="20" s="1"/>
  <c r="H280" i="20"/>
  <c r="L291" i="20" s="1"/>
  <c r="H279" i="20"/>
  <c r="L290" i="20" s="1"/>
  <c r="H278" i="20"/>
  <c r="L289" i="20" s="1"/>
  <c r="H277" i="20"/>
  <c r="L288" i="20" s="1"/>
  <c r="H276" i="20"/>
  <c r="I276" i="20" s="1"/>
  <c r="J276" i="20" s="1"/>
  <c r="N263" i="20"/>
  <c r="O262" i="20" s="1"/>
  <c r="G252" i="20"/>
  <c r="G268" i="20" s="1"/>
  <c r="F252" i="20"/>
  <c r="F268" i="20" s="1"/>
  <c r="E252" i="20"/>
  <c r="E268" i="20" s="1"/>
  <c r="D252" i="20"/>
  <c r="D253" i="20" s="1"/>
  <c r="C252" i="20"/>
  <c r="C253" i="20" s="1"/>
  <c r="H251" i="20"/>
  <c r="L262" i="20" s="1"/>
  <c r="H250" i="20"/>
  <c r="L261" i="20" s="1"/>
  <c r="H249" i="20"/>
  <c r="L260" i="20" s="1"/>
  <c r="H248" i="20"/>
  <c r="H247" i="20"/>
  <c r="K247" i="20" s="1"/>
  <c r="N234" i="20"/>
  <c r="O233" i="20" s="1"/>
  <c r="C224" i="20"/>
  <c r="G223" i="20"/>
  <c r="G239" i="20" s="1"/>
  <c r="F223" i="20"/>
  <c r="F239" i="20" s="1"/>
  <c r="E223" i="20"/>
  <c r="E224" i="20" s="1"/>
  <c r="D223" i="20"/>
  <c r="D239" i="20" s="1"/>
  <c r="C223" i="20"/>
  <c r="C239" i="20" s="1"/>
  <c r="H222" i="20"/>
  <c r="I221" i="20"/>
  <c r="J221" i="20" s="1"/>
  <c r="H221" i="20"/>
  <c r="K221" i="20" s="1"/>
  <c r="H220" i="20"/>
  <c r="I220" i="20" s="1"/>
  <c r="J220" i="20" s="1"/>
  <c r="H219" i="20"/>
  <c r="L230" i="20" s="1"/>
  <c r="H218" i="20"/>
  <c r="L229" i="20" s="1"/>
  <c r="X213" i="20"/>
  <c r="W213" i="20"/>
  <c r="V213" i="20"/>
  <c r="U213" i="20"/>
  <c r="T213" i="20"/>
  <c r="N205" i="20"/>
  <c r="O203" i="20" s="1"/>
  <c r="X203" i="20"/>
  <c r="W203" i="20"/>
  <c r="V203" i="20"/>
  <c r="U203" i="20"/>
  <c r="T203" i="20"/>
  <c r="G194" i="20"/>
  <c r="G195" i="20" s="1"/>
  <c r="F194" i="20"/>
  <c r="F210" i="20" s="1"/>
  <c r="E194" i="20"/>
  <c r="E210" i="20" s="1"/>
  <c r="D194" i="20"/>
  <c r="D195" i="20" s="1"/>
  <c r="C194" i="20"/>
  <c r="C195" i="20" s="1"/>
  <c r="X193" i="20"/>
  <c r="W193" i="20"/>
  <c r="V193" i="20"/>
  <c r="U193" i="20"/>
  <c r="T193" i="20"/>
  <c r="H193" i="20"/>
  <c r="L204" i="20" s="1"/>
  <c r="H192" i="20"/>
  <c r="H191" i="20"/>
  <c r="H194" i="20" s="1"/>
  <c r="I195" i="20" s="1"/>
  <c r="AD22" i="20" s="1"/>
  <c r="H190" i="20"/>
  <c r="K190" i="20" s="1"/>
  <c r="H189" i="20"/>
  <c r="X183" i="20"/>
  <c r="W183" i="20"/>
  <c r="V183" i="20"/>
  <c r="U183" i="20"/>
  <c r="T183" i="20"/>
  <c r="N176" i="20"/>
  <c r="O175" i="20" s="1"/>
  <c r="X173" i="20"/>
  <c r="W173" i="20"/>
  <c r="V173" i="20"/>
  <c r="U173" i="20"/>
  <c r="T173" i="20"/>
  <c r="F166" i="20"/>
  <c r="F167" i="20" s="1"/>
  <c r="G165" i="20"/>
  <c r="G181" i="20" s="1"/>
  <c r="F165" i="20"/>
  <c r="F181" i="20" s="1"/>
  <c r="E165" i="20"/>
  <c r="E166" i="20" s="1"/>
  <c r="D165" i="20"/>
  <c r="D181" i="20" s="1"/>
  <c r="C165" i="20"/>
  <c r="C181" i="20" s="1"/>
  <c r="H164" i="20"/>
  <c r="I164" i="20" s="1"/>
  <c r="X163" i="20"/>
  <c r="W163" i="20"/>
  <c r="V163" i="20"/>
  <c r="U163" i="20"/>
  <c r="T163" i="20"/>
  <c r="H163" i="20"/>
  <c r="K163" i="20" s="1"/>
  <c r="H162" i="20"/>
  <c r="H161" i="20"/>
  <c r="H160" i="20"/>
  <c r="I160" i="20" s="1"/>
  <c r="J160" i="20" s="1"/>
  <c r="AA153" i="20"/>
  <c r="X153" i="20"/>
  <c r="W153" i="20"/>
  <c r="V153" i="20"/>
  <c r="U153" i="20"/>
  <c r="T153" i="20"/>
  <c r="D152" i="20"/>
  <c r="N147" i="20"/>
  <c r="O142" i="20" s="1"/>
  <c r="AA143" i="20"/>
  <c r="X143" i="20"/>
  <c r="W143" i="20"/>
  <c r="V143" i="20"/>
  <c r="U143" i="20"/>
  <c r="T143" i="20"/>
  <c r="C137" i="20"/>
  <c r="C138" i="20" s="1"/>
  <c r="G136" i="20"/>
  <c r="G152" i="20" s="1"/>
  <c r="F136" i="20"/>
  <c r="F152" i="20" s="1"/>
  <c r="E136" i="20"/>
  <c r="E152" i="20" s="1"/>
  <c r="D136" i="20"/>
  <c r="D137" i="20" s="1"/>
  <c r="C136" i="20"/>
  <c r="C152" i="20" s="1"/>
  <c r="AP135" i="20"/>
  <c r="AO135" i="20"/>
  <c r="AN135" i="20"/>
  <c r="AM135" i="20"/>
  <c r="AL135" i="20"/>
  <c r="H135" i="20"/>
  <c r="I135" i="20" s="1"/>
  <c r="J135" i="20" s="1"/>
  <c r="AP134" i="20"/>
  <c r="AO134" i="20"/>
  <c r="AN134" i="20"/>
  <c r="AM134" i="20"/>
  <c r="AL134" i="20"/>
  <c r="H134" i="20"/>
  <c r="I134" i="20" s="1"/>
  <c r="J134" i="20" s="1"/>
  <c r="X133" i="20"/>
  <c r="W133" i="20"/>
  <c r="V133" i="20"/>
  <c r="U133" i="20"/>
  <c r="T133" i="20"/>
  <c r="H133" i="20"/>
  <c r="L144" i="20" s="1"/>
  <c r="AS132" i="20"/>
  <c r="AL133" i="20" s="1"/>
  <c r="H132" i="20"/>
  <c r="I132" i="20" s="1"/>
  <c r="J132" i="20" s="1"/>
  <c r="H131" i="20"/>
  <c r="L142" i="20" s="1"/>
  <c r="AP130" i="20"/>
  <c r="AO130" i="20"/>
  <c r="AN130" i="20"/>
  <c r="AM130" i="20"/>
  <c r="AL130" i="20"/>
  <c r="AP129" i="20"/>
  <c r="AO129" i="20"/>
  <c r="AN129" i="20"/>
  <c r="AM129" i="20"/>
  <c r="AL129" i="20"/>
  <c r="AS127" i="20"/>
  <c r="AM128" i="20" s="1"/>
  <c r="AP125" i="20"/>
  <c r="AO125" i="20"/>
  <c r="AN125" i="20"/>
  <c r="AM125" i="20"/>
  <c r="AL125" i="20"/>
  <c r="AP124" i="20"/>
  <c r="AO124" i="20"/>
  <c r="AN124" i="20"/>
  <c r="AM124" i="20"/>
  <c r="AL124" i="20"/>
  <c r="AS124" i="20" s="1"/>
  <c r="AA123" i="20"/>
  <c r="X123" i="20"/>
  <c r="W123" i="20"/>
  <c r="V123" i="20"/>
  <c r="U123" i="20"/>
  <c r="T123" i="20"/>
  <c r="AS122" i="20"/>
  <c r="AP123" i="20" s="1"/>
  <c r="AP120" i="20"/>
  <c r="AO120" i="20"/>
  <c r="AN120" i="20"/>
  <c r="AM120" i="20"/>
  <c r="AL120" i="20"/>
  <c r="AP119" i="20"/>
  <c r="AO119" i="20"/>
  <c r="AN119" i="20"/>
  <c r="AM119" i="20"/>
  <c r="N118" i="20"/>
  <c r="AA53" i="20" s="1"/>
  <c r="AP116" i="20"/>
  <c r="AO116" i="20"/>
  <c r="AN116" i="20"/>
  <c r="AM116" i="20"/>
  <c r="AL116" i="20"/>
  <c r="O116" i="20"/>
  <c r="O115" i="20"/>
  <c r="X113" i="20"/>
  <c r="W113" i="20"/>
  <c r="V113" i="20"/>
  <c r="U113" i="20"/>
  <c r="T113" i="20"/>
  <c r="G107" i="20"/>
  <c r="G123" i="20" s="1"/>
  <c r="F107" i="20"/>
  <c r="E107" i="20"/>
  <c r="D107" i="20"/>
  <c r="D108" i="20" s="1"/>
  <c r="C107" i="20"/>
  <c r="C108" i="20" s="1"/>
  <c r="H106" i="20"/>
  <c r="I106" i="20" s="1"/>
  <c r="J106" i="20" s="1"/>
  <c r="H105" i="20"/>
  <c r="I105" i="20" s="1"/>
  <c r="J105" i="20" s="1"/>
  <c r="H104" i="20"/>
  <c r="K104" i="20" s="1"/>
  <c r="X103" i="20"/>
  <c r="W103" i="20"/>
  <c r="V103" i="20"/>
  <c r="U103" i="20"/>
  <c r="T103" i="20"/>
  <c r="H103" i="20"/>
  <c r="H102" i="20"/>
  <c r="L113" i="20" s="1"/>
  <c r="AW99" i="20"/>
  <c r="AX98" i="20" s="1"/>
  <c r="G94" i="20"/>
  <c r="AA93" i="20"/>
  <c r="X93" i="20"/>
  <c r="W93" i="20"/>
  <c r="V93" i="20"/>
  <c r="U93" i="20"/>
  <c r="T93" i="20"/>
  <c r="N89" i="20"/>
  <c r="O84" i="20" s="1"/>
  <c r="AP88" i="20"/>
  <c r="AP104" i="20" s="1"/>
  <c r="AO88" i="20"/>
  <c r="AO89" i="20" s="1"/>
  <c r="AN88" i="20"/>
  <c r="AN104" i="20" s="1"/>
  <c r="AM88" i="20"/>
  <c r="AM89" i="20" s="1"/>
  <c r="AM90" i="20" s="1"/>
  <c r="AL88" i="20"/>
  <c r="AQ87" i="20"/>
  <c r="AU98" i="20" s="1"/>
  <c r="AQ86" i="20"/>
  <c r="AQ85" i="20"/>
  <c r="AU96" i="20" s="1"/>
  <c r="AQ84" i="20"/>
  <c r="AQ83" i="20"/>
  <c r="X83" i="20"/>
  <c r="W83" i="20"/>
  <c r="V83" i="20"/>
  <c r="U83" i="20"/>
  <c r="T83" i="20"/>
  <c r="G79" i="20"/>
  <c r="F79" i="20"/>
  <c r="D79" i="20"/>
  <c r="G78" i="20"/>
  <c r="F78" i="20"/>
  <c r="F94" i="20" s="1"/>
  <c r="E78" i="20"/>
  <c r="D78" i="20"/>
  <c r="D94" i="20" s="1"/>
  <c r="C78" i="20"/>
  <c r="H77" i="20"/>
  <c r="H76" i="20"/>
  <c r="L87" i="20" s="1"/>
  <c r="H75" i="20"/>
  <c r="L86" i="20" s="1"/>
  <c r="H74" i="20"/>
  <c r="X73" i="20"/>
  <c r="W73" i="20"/>
  <c r="V73" i="20"/>
  <c r="U73" i="20"/>
  <c r="T73" i="20"/>
  <c r="H73" i="20"/>
  <c r="AA63" i="20"/>
  <c r="X63" i="20"/>
  <c r="W63" i="20"/>
  <c r="V63" i="20"/>
  <c r="U63" i="20"/>
  <c r="T63" i="20"/>
  <c r="N60" i="20"/>
  <c r="O57" i="20" s="1"/>
  <c r="O56" i="20"/>
  <c r="X53" i="20"/>
  <c r="W53" i="20"/>
  <c r="V53" i="20"/>
  <c r="U53" i="20"/>
  <c r="T53" i="20"/>
  <c r="G49" i="20"/>
  <c r="F49" i="20"/>
  <c r="F65" i="20" s="1"/>
  <c r="E49" i="20"/>
  <c r="E65" i="20" s="1"/>
  <c r="D49" i="20"/>
  <c r="D50" i="20" s="1"/>
  <c r="C49" i="20"/>
  <c r="H48" i="20"/>
  <c r="I48" i="20" s="1"/>
  <c r="J48" i="20" s="1"/>
  <c r="H47" i="20"/>
  <c r="H46" i="20"/>
  <c r="H45" i="20"/>
  <c r="I45" i="20" s="1"/>
  <c r="J45" i="20" s="1"/>
  <c r="H44" i="20"/>
  <c r="L55" i="20" s="1"/>
  <c r="X43" i="20"/>
  <c r="W43" i="20"/>
  <c r="V43" i="20"/>
  <c r="U43" i="20"/>
  <c r="T43" i="20"/>
  <c r="X33" i="20"/>
  <c r="W33" i="20"/>
  <c r="V33" i="20"/>
  <c r="U33" i="20"/>
  <c r="T33" i="20"/>
  <c r="N31" i="20"/>
  <c r="AA23" i="20" s="1"/>
  <c r="O28" i="20"/>
  <c r="X23" i="20"/>
  <c r="W23" i="20"/>
  <c r="V23" i="20"/>
  <c r="U23" i="20"/>
  <c r="T23" i="20"/>
  <c r="G20" i="20"/>
  <c r="G36" i="20" s="1"/>
  <c r="F20" i="20"/>
  <c r="F36" i="20" s="1"/>
  <c r="E20" i="20"/>
  <c r="E36" i="20" s="1"/>
  <c r="D20" i="20"/>
  <c r="D36" i="20" s="1"/>
  <c r="C20" i="20"/>
  <c r="C36" i="20" s="1"/>
  <c r="H19" i="20"/>
  <c r="H18" i="20"/>
  <c r="L29" i="20" s="1"/>
  <c r="H17" i="20"/>
  <c r="L28" i="20" s="1"/>
  <c r="H16" i="20"/>
  <c r="H15" i="20"/>
  <c r="L26" i="20" s="1"/>
  <c r="AP125" i="14"/>
  <c r="AO125" i="14"/>
  <c r="AN125" i="14"/>
  <c r="AM125" i="14"/>
  <c r="AL125" i="14"/>
  <c r="AP124" i="14"/>
  <c r="AO124" i="14"/>
  <c r="AN124" i="14"/>
  <c r="AM124" i="14"/>
  <c r="AS124" i="14" s="1"/>
  <c r="AL124" i="14"/>
  <c r="AP120" i="14"/>
  <c r="AO120" i="14"/>
  <c r="AN120" i="14"/>
  <c r="AM120" i="14"/>
  <c r="AL120" i="14"/>
  <c r="AP119" i="14"/>
  <c r="AO119" i="14"/>
  <c r="AN119" i="14"/>
  <c r="AM119" i="14"/>
  <c r="AL119" i="14"/>
  <c r="AS119" i="14" s="1"/>
  <c r="AP120" i="9"/>
  <c r="AO120" i="9"/>
  <c r="AN120" i="9"/>
  <c r="AM120" i="9"/>
  <c r="AL120" i="9"/>
  <c r="AP119" i="9"/>
  <c r="AO119" i="9"/>
  <c r="AN119" i="9"/>
  <c r="AM119" i="9"/>
  <c r="AL119" i="9"/>
  <c r="AM125" i="17"/>
  <c r="AN125" i="17"/>
  <c r="AO125" i="17"/>
  <c r="AP125" i="17"/>
  <c r="AM124" i="17"/>
  <c r="AN124" i="17"/>
  <c r="AO124" i="17"/>
  <c r="AP124" i="17"/>
  <c r="AP120" i="17"/>
  <c r="AO120" i="17"/>
  <c r="AN120" i="17"/>
  <c r="AM120" i="17"/>
  <c r="AL120" i="17"/>
  <c r="AP119" i="17"/>
  <c r="AO119" i="17"/>
  <c r="AN119" i="17"/>
  <c r="AM119" i="17"/>
  <c r="AS119" i="17" s="1"/>
  <c r="AS124" i="12"/>
  <c r="AP125" i="12"/>
  <c r="AO125" i="12"/>
  <c r="AN125" i="12"/>
  <c r="AM125" i="12"/>
  <c r="AL125" i="12"/>
  <c r="AP124" i="12"/>
  <c r="AO124" i="12"/>
  <c r="AN124" i="12"/>
  <c r="AM124" i="12"/>
  <c r="AP120" i="12"/>
  <c r="AO120" i="12"/>
  <c r="AN120" i="12"/>
  <c r="AM120" i="12"/>
  <c r="AL120" i="12"/>
  <c r="AP119" i="12"/>
  <c r="AO119" i="12"/>
  <c r="AN119" i="12"/>
  <c r="AM119" i="12"/>
  <c r="AL119" i="12"/>
  <c r="AL119" i="18"/>
  <c r="AS119" i="18" s="1"/>
  <c r="AM125" i="18"/>
  <c r="AN125" i="18"/>
  <c r="AO125" i="18"/>
  <c r="AP125" i="18"/>
  <c r="AL125" i="18"/>
  <c r="AM124" i="18"/>
  <c r="AN124" i="18"/>
  <c r="AO124" i="18"/>
  <c r="AP124" i="18"/>
  <c r="AL124" i="18"/>
  <c r="AS124" i="18" s="1"/>
  <c r="AL120" i="18"/>
  <c r="AM120" i="18"/>
  <c r="AN120" i="18"/>
  <c r="AO120" i="18"/>
  <c r="AP120" i="18"/>
  <c r="AM119" i="18"/>
  <c r="AN119" i="18"/>
  <c r="AO119" i="18"/>
  <c r="AP119" i="18"/>
  <c r="AN130" i="12"/>
  <c r="J221" i="27" l="1"/>
  <c r="J269" i="27"/>
  <c r="J173" i="27"/>
  <c r="J125" i="27"/>
  <c r="J171" i="27"/>
  <c r="J315" i="27"/>
  <c r="J267" i="27"/>
  <c r="J461" i="27"/>
  <c r="J365" i="27"/>
  <c r="J123" i="27"/>
  <c r="J363" i="27"/>
  <c r="J413" i="27"/>
  <c r="J507" i="27"/>
  <c r="J317" i="27"/>
  <c r="J219" i="27"/>
  <c r="J509" i="27"/>
  <c r="J411" i="27"/>
  <c r="E547" i="27"/>
  <c r="E545" i="27"/>
  <c r="E544" i="27"/>
  <c r="E546" i="27"/>
  <c r="F545" i="27"/>
  <c r="F547" i="27"/>
  <c r="F544" i="27"/>
  <c r="F546" i="27"/>
  <c r="H545" i="27"/>
  <c r="H547" i="27"/>
  <c r="H544" i="27"/>
  <c r="H546" i="27"/>
  <c r="D544" i="27"/>
  <c r="D547" i="27"/>
  <c r="D546" i="27"/>
  <c r="D545" i="27"/>
  <c r="G545" i="27"/>
  <c r="G547" i="27"/>
  <c r="G544" i="27"/>
  <c r="G546" i="27"/>
  <c r="F581" i="27"/>
  <c r="D582" i="27"/>
  <c r="H465" i="27"/>
  <c r="H589" i="27"/>
  <c r="H321" i="27"/>
  <c r="H586" i="27"/>
  <c r="G583" i="27"/>
  <c r="G417" i="27"/>
  <c r="G588" i="27"/>
  <c r="F465" i="27"/>
  <c r="F589" i="27"/>
  <c r="E312" i="27"/>
  <c r="E575" i="27"/>
  <c r="G273" i="27"/>
  <c r="G585" i="27"/>
  <c r="E581" i="27"/>
  <c r="F369" i="27"/>
  <c r="F587" i="27"/>
  <c r="E417" i="27"/>
  <c r="E588" i="27"/>
  <c r="D589" i="27"/>
  <c r="H312" i="27"/>
  <c r="H575" i="27"/>
  <c r="H581" i="27"/>
  <c r="H582" i="27"/>
  <c r="E583" i="27"/>
  <c r="E225" i="27"/>
  <c r="E584" i="27"/>
  <c r="E513" i="27"/>
  <c r="E590" i="27"/>
  <c r="D586" i="27"/>
  <c r="G369" i="27"/>
  <c r="G587" i="27"/>
  <c r="G321" i="27"/>
  <c r="G586" i="27"/>
  <c r="H273" i="27"/>
  <c r="H585" i="27"/>
  <c r="H225" i="27"/>
  <c r="H584" i="27"/>
  <c r="E321" i="27"/>
  <c r="E586" i="27"/>
  <c r="D581" i="27"/>
  <c r="D583" i="27"/>
  <c r="G513" i="27"/>
  <c r="G590" i="27"/>
  <c r="H417" i="27"/>
  <c r="H588" i="27"/>
  <c r="D575" i="27"/>
  <c r="H369" i="27"/>
  <c r="H587" i="27"/>
  <c r="G582" i="27"/>
  <c r="G465" i="27"/>
  <c r="G589" i="27"/>
  <c r="E465" i="27"/>
  <c r="E589" i="27"/>
  <c r="E273" i="27"/>
  <c r="E585" i="27"/>
  <c r="F583" i="27"/>
  <c r="D587" i="27"/>
  <c r="F225" i="27"/>
  <c r="F584" i="27"/>
  <c r="F417" i="27"/>
  <c r="F588" i="27"/>
  <c r="D588" i="27"/>
  <c r="G312" i="27"/>
  <c r="G575" i="27"/>
  <c r="G225" i="27"/>
  <c r="G584" i="27"/>
  <c r="E369" i="27"/>
  <c r="E587" i="27"/>
  <c r="D590" i="27"/>
  <c r="G581" i="27"/>
  <c r="F582" i="27"/>
  <c r="D584" i="27"/>
  <c r="F321" i="27"/>
  <c r="F586" i="27"/>
  <c r="F273" i="27"/>
  <c r="F585" i="27"/>
  <c r="E582" i="27"/>
  <c r="H583" i="27"/>
  <c r="H513" i="27"/>
  <c r="H590" i="27"/>
  <c r="F513" i="27"/>
  <c r="F590" i="27"/>
  <c r="F312" i="27"/>
  <c r="F575" i="27"/>
  <c r="D585" i="27"/>
  <c r="AS116" i="26"/>
  <c r="AX94" i="26"/>
  <c r="AL89" i="26"/>
  <c r="O28" i="26"/>
  <c r="O26" i="26"/>
  <c r="O27" i="26"/>
  <c r="O145" i="26"/>
  <c r="O146" i="26"/>
  <c r="C146" i="26" s="1"/>
  <c r="C171" i="26"/>
  <c r="AA73" i="26"/>
  <c r="O171" i="26"/>
  <c r="AA83" i="26"/>
  <c r="O231" i="26"/>
  <c r="AA143" i="26"/>
  <c r="O403" i="26"/>
  <c r="O404" i="26"/>
  <c r="O406" i="26"/>
  <c r="O407" i="26"/>
  <c r="G407" i="26" s="1"/>
  <c r="AA173" i="26"/>
  <c r="O461" i="26"/>
  <c r="O463" i="26"/>
  <c r="O490" i="26"/>
  <c r="AA183" i="26"/>
  <c r="G490" i="26"/>
  <c r="O491" i="26"/>
  <c r="O492" i="26"/>
  <c r="AA193" i="26"/>
  <c r="O549" i="26"/>
  <c r="O550" i="26"/>
  <c r="O551" i="26"/>
  <c r="E549" i="26"/>
  <c r="G579" i="26"/>
  <c r="D558" i="26"/>
  <c r="E558" i="26"/>
  <c r="G558" i="26"/>
  <c r="K537" i="26"/>
  <c r="L548" i="26"/>
  <c r="F548" i="26" s="1"/>
  <c r="H513" i="26"/>
  <c r="I514" i="26" s="1"/>
  <c r="AD33" i="26" s="1"/>
  <c r="I479" i="26"/>
  <c r="J479" i="26" s="1"/>
  <c r="C485" i="26"/>
  <c r="F485" i="26"/>
  <c r="F486" i="26" s="1"/>
  <c r="K480" i="26"/>
  <c r="E456" i="26"/>
  <c r="E457" i="26" s="1"/>
  <c r="F442" i="26"/>
  <c r="L433" i="26"/>
  <c r="G398" i="26"/>
  <c r="G399" i="26" s="1"/>
  <c r="G355" i="26"/>
  <c r="I335" i="26"/>
  <c r="J335" i="26" s="1"/>
  <c r="K338" i="26"/>
  <c r="C311" i="26"/>
  <c r="K305" i="26"/>
  <c r="E311" i="26"/>
  <c r="E312" i="26" s="1"/>
  <c r="G311" i="26"/>
  <c r="I278" i="26"/>
  <c r="L289" i="26"/>
  <c r="E282" i="26"/>
  <c r="E283" i="26" s="1"/>
  <c r="I279" i="26"/>
  <c r="J279" i="26" s="1"/>
  <c r="I247" i="26"/>
  <c r="J247" i="26" s="1"/>
  <c r="K247" i="26"/>
  <c r="C253" i="26"/>
  <c r="L260" i="26"/>
  <c r="G195" i="26"/>
  <c r="N193" i="26" s="1"/>
  <c r="X82" i="26" s="1"/>
  <c r="I161" i="26"/>
  <c r="J161" i="26" s="1"/>
  <c r="G181" i="26"/>
  <c r="K162" i="26"/>
  <c r="I160" i="26"/>
  <c r="J160" i="26" s="1"/>
  <c r="K160" i="26"/>
  <c r="K132" i="26"/>
  <c r="K133" i="26"/>
  <c r="D94" i="26"/>
  <c r="K77" i="26"/>
  <c r="F50" i="26"/>
  <c r="N47" i="26" s="1"/>
  <c r="W32" i="26" s="1"/>
  <c r="K44" i="26"/>
  <c r="K48" i="26"/>
  <c r="K19" i="26"/>
  <c r="L30" i="26"/>
  <c r="G30" i="26"/>
  <c r="E21" i="26"/>
  <c r="N17" i="26" s="1"/>
  <c r="V22" i="26" s="1"/>
  <c r="K17" i="26"/>
  <c r="AW86" i="25"/>
  <c r="AO115" i="25" s="1"/>
  <c r="O88" i="25"/>
  <c r="O144" i="25"/>
  <c r="O145" i="25"/>
  <c r="G145" i="25" s="1"/>
  <c r="AA63" i="25"/>
  <c r="O231" i="25"/>
  <c r="D232" i="25"/>
  <c r="O261" i="25"/>
  <c r="D288" i="25"/>
  <c r="O288" i="25"/>
  <c r="O289" i="25"/>
  <c r="O292" i="25" s="1"/>
  <c r="O290" i="25"/>
  <c r="G290" i="25" s="1"/>
  <c r="AA113" i="25"/>
  <c r="O374" i="25"/>
  <c r="C377" i="25"/>
  <c r="AA163" i="25"/>
  <c r="O434" i="25"/>
  <c r="O436" i="25"/>
  <c r="O462" i="25"/>
  <c r="O463" i="25"/>
  <c r="C463" i="25"/>
  <c r="O464" i="25"/>
  <c r="O465" i="25"/>
  <c r="O491" i="25"/>
  <c r="O551" i="25"/>
  <c r="G551" i="25" s="1"/>
  <c r="O578" i="25"/>
  <c r="L579" i="25"/>
  <c r="D581" i="25"/>
  <c r="F587" i="25"/>
  <c r="H542" i="25"/>
  <c r="I543" i="25" s="1"/>
  <c r="AD34" i="25" s="1"/>
  <c r="I537" i="25"/>
  <c r="J537" i="25" s="1"/>
  <c r="I509" i="25"/>
  <c r="J509" i="25" s="1"/>
  <c r="K509" i="25"/>
  <c r="I511" i="25"/>
  <c r="J511" i="25" s="1"/>
  <c r="I452" i="25"/>
  <c r="J452" i="25" s="1"/>
  <c r="K452" i="25"/>
  <c r="D464" i="25"/>
  <c r="L432" i="25"/>
  <c r="E398" i="25"/>
  <c r="I395" i="25"/>
  <c r="J395" i="25" s="1"/>
  <c r="D384" i="25"/>
  <c r="E369" i="25"/>
  <c r="E370" i="25" s="1"/>
  <c r="C384" i="25"/>
  <c r="C340" i="25"/>
  <c r="G311" i="25"/>
  <c r="G312" i="25" s="1"/>
  <c r="K305" i="25"/>
  <c r="E297" i="25"/>
  <c r="K276" i="25"/>
  <c r="F282" i="25"/>
  <c r="F283" i="25" s="1"/>
  <c r="K278" i="25"/>
  <c r="L291" i="25"/>
  <c r="E253" i="25"/>
  <c r="E254" i="25" s="1"/>
  <c r="I250" i="25"/>
  <c r="J250" i="25" s="1"/>
  <c r="K222" i="25"/>
  <c r="F224" i="25"/>
  <c r="F225" i="25" s="1"/>
  <c r="L229" i="25"/>
  <c r="L233" i="25"/>
  <c r="G210" i="25"/>
  <c r="K164" i="25"/>
  <c r="L174" i="25"/>
  <c r="G174" i="25" s="1"/>
  <c r="E175" i="25"/>
  <c r="F181" i="25"/>
  <c r="D152" i="25"/>
  <c r="I106" i="25"/>
  <c r="J106" i="25" s="1"/>
  <c r="E79" i="25"/>
  <c r="E80" i="25" s="1"/>
  <c r="K75" i="25"/>
  <c r="K18" i="25"/>
  <c r="AO133" i="24"/>
  <c r="AX95" i="24"/>
  <c r="AX96" i="24"/>
  <c r="AT87" i="24"/>
  <c r="AR87" i="24"/>
  <c r="AS87" i="24" s="1"/>
  <c r="AW83" i="24"/>
  <c r="AL115" i="24" s="1"/>
  <c r="AS134" i="24"/>
  <c r="AS119" i="24"/>
  <c r="O55" i="24"/>
  <c r="O56" i="24"/>
  <c r="O58" i="24"/>
  <c r="G58" i="24" s="1"/>
  <c r="O84" i="24"/>
  <c r="AA43" i="24"/>
  <c r="O144" i="24"/>
  <c r="AA73" i="24"/>
  <c r="O230" i="24"/>
  <c r="O231" i="24"/>
  <c r="O232" i="24"/>
  <c r="O287" i="24"/>
  <c r="O290" i="24"/>
  <c r="G287" i="24"/>
  <c r="O346" i="24"/>
  <c r="F347" i="24"/>
  <c r="O374" i="24"/>
  <c r="C375" i="24"/>
  <c r="O406" i="24"/>
  <c r="O461" i="24"/>
  <c r="O462" i="24"/>
  <c r="O463" i="24"/>
  <c r="O464" i="24"/>
  <c r="G523" i="24"/>
  <c r="AA193" i="24"/>
  <c r="O519" i="24"/>
  <c r="O520" i="24"/>
  <c r="O521" i="24"/>
  <c r="O552" i="24"/>
  <c r="O577" i="24"/>
  <c r="AA213" i="24"/>
  <c r="O579" i="24"/>
  <c r="O581" i="24"/>
  <c r="G572" i="24"/>
  <c r="K566" i="24"/>
  <c r="K567" i="24"/>
  <c r="L578" i="24"/>
  <c r="I568" i="24"/>
  <c r="J568" i="24" s="1"/>
  <c r="I538" i="24"/>
  <c r="J538" i="24" s="1"/>
  <c r="C514" i="24"/>
  <c r="C515" i="24" s="1"/>
  <c r="E514" i="24"/>
  <c r="K508" i="24"/>
  <c r="L519" i="24"/>
  <c r="C519" i="24" s="1"/>
  <c r="K509" i="24"/>
  <c r="D485" i="24"/>
  <c r="N480" i="24" s="1"/>
  <c r="U182" i="24" s="1"/>
  <c r="K481" i="24"/>
  <c r="K483" i="24"/>
  <c r="C427" i="24"/>
  <c r="I422" i="24"/>
  <c r="J422" i="24" s="1"/>
  <c r="N392" i="24"/>
  <c r="T152" i="24" s="1"/>
  <c r="C369" i="24"/>
  <c r="K363" i="24"/>
  <c r="G369" i="24"/>
  <c r="G370" i="24" s="1"/>
  <c r="I364" i="24"/>
  <c r="J364" i="24" s="1"/>
  <c r="H368" i="24"/>
  <c r="I369" i="24" s="1"/>
  <c r="AD28" i="24" s="1"/>
  <c r="L376" i="24"/>
  <c r="E326" i="24"/>
  <c r="F282" i="24"/>
  <c r="D287" i="24"/>
  <c r="E287" i="24"/>
  <c r="L288" i="24"/>
  <c r="G297" i="24"/>
  <c r="C268" i="24"/>
  <c r="F268" i="24"/>
  <c r="K247" i="24"/>
  <c r="L262" i="24"/>
  <c r="D239" i="24"/>
  <c r="L200" i="24"/>
  <c r="L201" i="24"/>
  <c r="E210" i="24"/>
  <c r="C166" i="24"/>
  <c r="D166" i="24"/>
  <c r="D167" i="24" s="1"/>
  <c r="G166" i="24"/>
  <c r="G137" i="24"/>
  <c r="G138" i="24" s="1"/>
  <c r="L142" i="24"/>
  <c r="G108" i="24"/>
  <c r="G109" i="24" s="1"/>
  <c r="L88" i="24"/>
  <c r="I73" i="24"/>
  <c r="J73" i="24" s="1"/>
  <c r="C79" i="24"/>
  <c r="F79" i="24"/>
  <c r="F80" i="24" s="1"/>
  <c r="K48" i="24"/>
  <c r="L59" i="24"/>
  <c r="E59" i="24"/>
  <c r="F21" i="24"/>
  <c r="F22" i="24" s="1"/>
  <c r="K17" i="24"/>
  <c r="AP133" i="23"/>
  <c r="AT83" i="23"/>
  <c r="AT87" i="23"/>
  <c r="U90" i="35"/>
  <c r="AA33" i="23"/>
  <c r="O59" i="23"/>
  <c r="O87" i="23"/>
  <c r="O113" i="23"/>
  <c r="O172" i="23"/>
  <c r="O200" i="23"/>
  <c r="O202" i="23"/>
  <c r="O203" i="23"/>
  <c r="O287" i="23"/>
  <c r="O289" i="23"/>
  <c r="AA113" i="23"/>
  <c r="O290" i="23"/>
  <c r="O291" i="23"/>
  <c r="G291" i="23" s="1"/>
  <c r="AA123" i="23"/>
  <c r="O319" i="23"/>
  <c r="O320" i="23"/>
  <c r="O345" i="23"/>
  <c r="AA133" i="23"/>
  <c r="O374" i="23"/>
  <c r="O375" i="23"/>
  <c r="O465" i="23"/>
  <c r="O548" i="23"/>
  <c r="O578" i="23"/>
  <c r="O581" i="23"/>
  <c r="E514" i="23"/>
  <c r="I509" i="23"/>
  <c r="J509" i="23" s="1"/>
  <c r="G514" i="23"/>
  <c r="G515" i="23" s="1"/>
  <c r="K509" i="23"/>
  <c r="L522" i="23"/>
  <c r="I479" i="23"/>
  <c r="J479" i="23" s="1"/>
  <c r="L493" i="23"/>
  <c r="N479" i="23"/>
  <c r="T182" i="23" s="1"/>
  <c r="C456" i="23"/>
  <c r="C457" i="23" s="1"/>
  <c r="C427" i="23"/>
  <c r="C428" i="23" s="1"/>
  <c r="D427" i="23"/>
  <c r="E427" i="23"/>
  <c r="E428" i="23" s="1"/>
  <c r="K423" i="23"/>
  <c r="F427" i="23"/>
  <c r="F428" i="23" s="1"/>
  <c r="G442" i="23"/>
  <c r="L403" i="23"/>
  <c r="K396" i="23"/>
  <c r="G374" i="23"/>
  <c r="K367" i="23"/>
  <c r="C340" i="23"/>
  <c r="C341" i="23" s="1"/>
  <c r="K305" i="23"/>
  <c r="K307" i="23"/>
  <c r="G297" i="23"/>
  <c r="G260" i="23"/>
  <c r="E268" i="23"/>
  <c r="E203" i="23"/>
  <c r="D108" i="23"/>
  <c r="K77" i="23"/>
  <c r="K163" i="23"/>
  <c r="D166" i="23"/>
  <c r="D167" i="23" s="1"/>
  <c r="G166" i="23"/>
  <c r="G152" i="23"/>
  <c r="C137" i="23"/>
  <c r="C138" i="23" s="1"/>
  <c r="L55" i="23"/>
  <c r="K18" i="23"/>
  <c r="I17" i="23"/>
  <c r="J17" i="23" s="1"/>
  <c r="AM128" i="21"/>
  <c r="AT84" i="21"/>
  <c r="AR85" i="21"/>
  <c r="AS85" i="21" s="1"/>
  <c r="AT85" i="21"/>
  <c r="AN89" i="21"/>
  <c r="AQ88" i="21"/>
  <c r="AR89" i="21" s="1"/>
  <c r="AS134" i="21"/>
  <c r="AS129" i="21"/>
  <c r="AS119" i="21"/>
  <c r="AA23" i="21"/>
  <c r="O26" i="21"/>
  <c r="O113" i="21"/>
  <c r="AA53" i="21"/>
  <c r="O114" i="21"/>
  <c r="O116" i="21"/>
  <c r="C114" i="21"/>
  <c r="O174" i="21"/>
  <c r="F204" i="21"/>
  <c r="O201" i="21"/>
  <c r="O202" i="21"/>
  <c r="AA93" i="21"/>
  <c r="AA113" i="21"/>
  <c r="O289" i="21"/>
  <c r="O345" i="21"/>
  <c r="O346" i="21"/>
  <c r="AA133" i="21"/>
  <c r="O375" i="21"/>
  <c r="O376" i="21"/>
  <c r="O377" i="21"/>
  <c r="AA143" i="21"/>
  <c r="O378" i="21"/>
  <c r="C378" i="21"/>
  <c r="O432" i="21"/>
  <c r="O433" i="21"/>
  <c r="G434" i="21"/>
  <c r="O435" i="21"/>
  <c r="O519" i="21"/>
  <c r="O548" i="21"/>
  <c r="D572" i="21"/>
  <c r="D573" i="21" s="1"/>
  <c r="F558" i="21"/>
  <c r="I510" i="21"/>
  <c r="J510" i="21" s="1"/>
  <c r="K480" i="21"/>
  <c r="G456" i="21"/>
  <c r="G457" i="21" s="1"/>
  <c r="K454" i="21"/>
  <c r="I450" i="21"/>
  <c r="J450" i="21" s="1"/>
  <c r="K450" i="21"/>
  <c r="E427" i="21"/>
  <c r="E428" i="21" s="1"/>
  <c r="I422" i="21"/>
  <c r="J422" i="21" s="1"/>
  <c r="D413" i="21"/>
  <c r="K392" i="21"/>
  <c r="L376" i="21"/>
  <c r="I366" i="21"/>
  <c r="J366" i="21" s="1"/>
  <c r="L377" i="21"/>
  <c r="L345" i="21"/>
  <c r="D340" i="21"/>
  <c r="D341" i="21" s="1"/>
  <c r="D311" i="21"/>
  <c r="D312" i="21" s="1"/>
  <c r="D282" i="21"/>
  <c r="D283" i="21" s="1"/>
  <c r="F282" i="21"/>
  <c r="F283" i="21" s="1"/>
  <c r="I279" i="21"/>
  <c r="J279" i="21" s="1"/>
  <c r="C253" i="21"/>
  <c r="C254" i="21" s="1"/>
  <c r="H252" i="21"/>
  <c r="I253" i="21" s="1"/>
  <c r="AD24" i="21" s="1"/>
  <c r="I250" i="21"/>
  <c r="J250" i="21" s="1"/>
  <c r="C224" i="21"/>
  <c r="K218" i="21"/>
  <c r="D239" i="21"/>
  <c r="K190" i="21"/>
  <c r="L201" i="21"/>
  <c r="F201" i="21" s="1"/>
  <c r="G210" i="21"/>
  <c r="F166" i="21"/>
  <c r="I164" i="21"/>
  <c r="J164" i="21" s="1"/>
  <c r="F137" i="21"/>
  <c r="F138" i="21" s="1"/>
  <c r="K135" i="21"/>
  <c r="L142" i="21"/>
  <c r="F142" i="21" s="1"/>
  <c r="K134" i="21"/>
  <c r="C108" i="21"/>
  <c r="C109" i="21" s="1"/>
  <c r="I76" i="21"/>
  <c r="J76" i="21" s="1"/>
  <c r="F79" i="21"/>
  <c r="F80" i="21" s="1"/>
  <c r="G79" i="21"/>
  <c r="G80" i="21" s="1"/>
  <c r="D50" i="21"/>
  <c r="D51" i="21" s="1"/>
  <c r="K44" i="21"/>
  <c r="I44" i="21"/>
  <c r="J44" i="21" s="1"/>
  <c r="K48" i="21"/>
  <c r="L55" i="21"/>
  <c r="I15" i="21"/>
  <c r="J15" i="21" s="1"/>
  <c r="K15" i="21"/>
  <c r="AL128" i="20"/>
  <c r="AS134" i="20"/>
  <c r="O58" i="20"/>
  <c r="O59" i="20"/>
  <c r="O117" i="20"/>
  <c r="O145" i="20"/>
  <c r="O202" i="20"/>
  <c r="O229" i="20"/>
  <c r="O231" i="20"/>
  <c r="O232" i="20"/>
  <c r="O345" i="20"/>
  <c r="O346" i="20"/>
  <c r="O347" i="20"/>
  <c r="O348" i="20"/>
  <c r="O349" i="20"/>
  <c r="AA173" i="20"/>
  <c r="O465" i="20"/>
  <c r="O578" i="20"/>
  <c r="E587" i="20"/>
  <c r="D514" i="20"/>
  <c r="N509" i="20" s="1"/>
  <c r="U192" i="20" s="1"/>
  <c r="L520" i="20"/>
  <c r="E500" i="20"/>
  <c r="G500" i="20"/>
  <c r="K481" i="20"/>
  <c r="E471" i="20"/>
  <c r="F471" i="20"/>
  <c r="C456" i="20"/>
  <c r="C457" i="20" s="1"/>
  <c r="K450" i="20"/>
  <c r="L461" i="20"/>
  <c r="G427" i="20"/>
  <c r="G428" i="20" s="1"/>
  <c r="K425" i="20"/>
  <c r="F398" i="20"/>
  <c r="N364" i="20"/>
  <c r="U142" i="20" s="1"/>
  <c r="D369" i="20"/>
  <c r="D370" i="20" s="1"/>
  <c r="K364" i="20"/>
  <c r="K334" i="20"/>
  <c r="K337" i="20"/>
  <c r="L318" i="20"/>
  <c r="K307" i="20"/>
  <c r="I308" i="20"/>
  <c r="J308" i="20" s="1"/>
  <c r="D326" i="20"/>
  <c r="K308" i="20"/>
  <c r="H310" i="20"/>
  <c r="I311" i="20" s="1"/>
  <c r="AD26" i="20" s="1"/>
  <c r="I251" i="20"/>
  <c r="J251" i="20" s="1"/>
  <c r="I219" i="20"/>
  <c r="K219" i="20"/>
  <c r="D224" i="20"/>
  <c r="D225" i="20" s="1"/>
  <c r="F224" i="20"/>
  <c r="G210" i="20"/>
  <c r="L201" i="20"/>
  <c r="I163" i="20"/>
  <c r="J163" i="20" s="1"/>
  <c r="G166" i="20"/>
  <c r="G167" i="20" s="1"/>
  <c r="G137" i="20"/>
  <c r="G138" i="20" s="1"/>
  <c r="K133" i="20"/>
  <c r="K134" i="20"/>
  <c r="E50" i="20"/>
  <c r="E51" i="20" s="1"/>
  <c r="I44" i="20"/>
  <c r="J44" i="20" s="1"/>
  <c r="K47" i="20"/>
  <c r="K16" i="20"/>
  <c r="G12" i="35"/>
  <c r="M8" i="35"/>
  <c r="AS124" i="17"/>
  <c r="L8" i="35"/>
  <c r="L6" i="35"/>
  <c r="AS119" i="9"/>
  <c r="Z157" i="35"/>
  <c r="Z155" i="35"/>
  <c r="P171" i="35"/>
  <c r="P169" i="35"/>
  <c r="X156" i="35"/>
  <c r="Z156" i="35"/>
  <c r="P97" i="35"/>
  <c r="Z87" i="35"/>
  <c r="Z83" i="35"/>
  <c r="Z85" i="35"/>
  <c r="S90" i="35"/>
  <c r="Q74" i="35"/>
  <c r="X60" i="35"/>
  <c r="X36" i="35"/>
  <c r="Z39" i="35"/>
  <c r="P53" i="35"/>
  <c r="Q50" i="35"/>
  <c r="Q51" i="35"/>
  <c r="X37" i="35"/>
  <c r="Z37" i="35"/>
  <c r="Q49" i="35"/>
  <c r="X35" i="35"/>
  <c r="K6" i="35"/>
  <c r="D20" i="35"/>
  <c r="K7" i="35"/>
  <c r="D21" i="35"/>
  <c r="K8" i="35"/>
  <c r="D22" i="35"/>
  <c r="F36" i="35"/>
  <c r="F12" i="35"/>
  <c r="H12" i="35"/>
  <c r="C23" i="35"/>
  <c r="K9" i="35"/>
  <c r="D23" i="35"/>
  <c r="C117" i="35"/>
  <c r="M103" i="35"/>
  <c r="C119" i="35"/>
  <c r="M105" i="35"/>
  <c r="H108" i="35"/>
  <c r="M54" i="35"/>
  <c r="C68" i="35"/>
  <c r="C70" i="35"/>
  <c r="M56" i="35"/>
  <c r="H60" i="35"/>
  <c r="M57" i="35"/>
  <c r="D67" i="35"/>
  <c r="K53" i="35"/>
  <c r="C69" i="35"/>
  <c r="M55" i="35"/>
  <c r="F60" i="35"/>
  <c r="C45" i="35"/>
  <c r="K29" i="35"/>
  <c r="D43" i="35"/>
  <c r="K5" i="35"/>
  <c r="D19" i="35"/>
  <c r="E11" i="35"/>
  <c r="M7" i="35"/>
  <c r="L7" i="35"/>
  <c r="L9" i="35"/>
  <c r="I10" i="35"/>
  <c r="J11" i="35" s="1"/>
  <c r="M5" i="35"/>
  <c r="D12" i="35"/>
  <c r="L5" i="35"/>
  <c r="M9" i="35"/>
  <c r="E215" i="27"/>
  <c r="H215" i="27"/>
  <c r="G215" i="27"/>
  <c r="F215" i="27"/>
  <c r="H263" i="27"/>
  <c r="G263" i="27"/>
  <c r="F263" i="27"/>
  <c r="E263" i="27"/>
  <c r="H359" i="27"/>
  <c r="G359" i="27"/>
  <c r="F359" i="27"/>
  <c r="E359" i="27"/>
  <c r="H407" i="27"/>
  <c r="G407" i="27"/>
  <c r="E407" i="27"/>
  <c r="F407" i="27"/>
  <c r="G503" i="27"/>
  <c r="H503" i="27"/>
  <c r="H455" i="27"/>
  <c r="G455" i="27"/>
  <c r="F503" i="27"/>
  <c r="F455" i="27"/>
  <c r="E455" i="27"/>
  <c r="E503" i="27"/>
  <c r="I109" i="27"/>
  <c r="H495" i="27"/>
  <c r="I398" i="27"/>
  <c r="I399" i="27" s="1"/>
  <c r="G495" i="27"/>
  <c r="H399" i="27"/>
  <c r="H303" i="27"/>
  <c r="I350" i="27"/>
  <c r="I351" i="27" s="1"/>
  <c r="F495" i="27"/>
  <c r="G399" i="27"/>
  <c r="G303" i="27"/>
  <c r="I302" i="27"/>
  <c r="I303" i="27" s="1"/>
  <c r="E495" i="27"/>
  <c r="H207" i="27"/>
  <c r="F399" i="27"/>
  <c r="F303" i="27"/>
  <c r="I254" i="27"/>
  <c r="I255" i="27" s="1"/>
  <c r="H447" i="27"/>
  <c r="E207" i="27"/>
  <c r="I110" i="27"/>
  <c r="I111" i="27" s="1"/>
  <c r="J111" i="27" s="1"/>
  <c r="G447" i="27"/>
  <c r="H351" i="27"/>
  <c r="F447" i="27"/>
  <c r="G351" i="27"/>
  <c r="H255" i="27"/>
  <c r="E447" i="27"/>
  <c r="G255" i="27"/>
  <c r="F351" i="27"/>
  <c r="E351" i="27"/>
  <c r="F255" i="27"/>
  <c r="I494" i="27"/>
  <c r="I495" i="27" s="1"/>
  <c r="E255" i="27"/>
  <c r="I446" i="27"/>
  <c r="I447" i="27" s="1"/>
  <c r="E399" i="27"/>
  <c r="E303" i="27"/>
  <c r="G207" i="27"/>
  <c r="I206" i="27"/>
  <c r="I207" i="27" s="1"/>
  <c r="F207" i="27"/>
  <c r="I158" i="27"/>
  <c r="I159" i="27" s="1"/>
  <c r="J159" i="27" s="1"/>
  <c r="AN133" i="26"/>
  <c r="AX96" i="26"/>
  <c r="AO98" i="26"/>
  <c r="AL98" i="26"/>
  <c r="AR87" i="26"/>
  <c r="AS87" i="26" s="1"/>
  <c r="AT84" i="26"/>
  <c r="AU95" i="26"/>
  <c r="AR84" i="26"/>
  <c r="AS84" i="26" s="1"/>
  <c r="AN104" i="26"/>
  <c r="AR86" i="26"/>
  <c r="AS86" i="26" s="1"/>
  <c r="AS129" i="26"/>
  <c r="AS124" i="26"/>
  <c r="O578" i="26"/>
  <c r="O580" i="26"/>
  <c r="F549" i="26"/>
  <c r="O495" i="26"/>
  <c r="G493" i="26"/>
  <c r="O464" i="26"/>
  <c r="G464" i="26" s="1"/>
  <c r="C465" i="26"/>
  <c r="O435" i="26"/>
  <c r="O432" i="26"/>
  <c r="E432" i="26" s="1"/>
  <c r="AA163" i="26"/>
  <c r="O433" i="26"/>
  <c r="E433" i="26" s="1"/>
  <c r="AA153" i="26"/>
  <c r="O374" i="26"/>
  <c r="O375" i="26"/>
  <c r="C375" i="26" s="1"/>
  <c r="O376" i="26"/>
  <c r="O377" i="26"/>
  <c r="F377" i="26" s="1"/>
  <c r="C378" i="26"/>
  <c r="AA133" i="26"/>
  <c r="O319" i="26"/>
  <c r="O316" i="26"/>
  <c r="F318" i="26"/>
  <c r="F320" i="26"/>
  <c r="O317" i="26"/>
  <c r="D317" i="26" s="1"/>
  <c r="AA123" i="26"/>
  <c r="O289" i="26"/>
  <c r="AA113" i="26"/>
  <c r="AA103" i="26"/>
  <c r="O229" i="26"/>
  <c r="E229" i="26" s="1"/>
  <c r="O230" i="26"/>
  <c r="C230" i="26" s="1"/>
  <c r="O233" i="26"/>
  <c r="G173" i="26"/>
  <c r="E173" i="26"/>
  <c r="O174" i="26"/>
  <c r="G174" i="26" s="1"/>
  <c r="O175" i="26"/>
  <c r="O172" i="26"/>
  <c r="F172" i="26" s="1"/>
  <c r="O142" i="26"/>
  <c r="G146" i="26"/>
  <c r="O143" i="26"/>
  <c r="F143" i="26"/>
  <c r="E113" i="26"/>
  <c r="E116" i="26"/>
  <c r="E114" i="26"/>
  <c r="AA53" i="26"/>
  <c r="O114" i="26"/>
  <c r="D114" i="26" s="1"/>
  <c r="O115" i="26"/>
  <c r="O87" i="26"/>
  <c r="F87" i="26" s="1"/>
  <c r="E86" i="26"/>
  <c r="O84" i="26"/>
  <c r="AA43" i="26"/>
  <c r="G58" i="26"/>
  <c r="AA23" i="26"/>
  <c r="O29" i="26"/>
  <c r="O31" i="26" s="1"/>
  <c r="K570" i="26"/>
  <c r="G587" i="26"/>
  <c r="I569" i="26"/>
  <c r="J569" i="26" s="1"/>
  <c r="D587" i="26"/>
  <c r="E587" i="26"/>
  <c r="D549" i="26"/>
  <c r="F558" i="26"/>
  <c r="C543" i="26"/>
  <c r="L550" i="26"/>
  <c r="G550" i="26" s="1"/>
  <c r="K538" i="26"/>
  <c r="K539" i="26"/>
  <c r="I511" i="26"/>
  <c r="J511" i="26" s="1"/>
  <c r="C529" i="26"/>
  <c r="C491" i="26"/>
  <c r="D491" i="26"/>
  <c r="E485" i="26"/>
  <c r="E486" i="26" s="1"/>
  <c r="G485" i="26"/>
  <c r="G486" i="26" s="1"/>
  <c r="K483" i="26"/>
  <c r="I453" i="26"/>
  <c r="J453" i="26" s="1"/>
  <c r="I454" i="26"/>
  <c r="J454" i="26" s="1"/>
  <c r="K452" i="26"/>
  <c r="G456" i="26"/>
  <c r="D471" i="26"/>
  <c r="H455" i="26"/>
  <c r="I456" i="26" s="1"/>
  <c r="AD31" i="26" s="1"/>
  <c r="I421" i="26"/>
  <c r="J421" i="26" s="1"/>
  <c r="K421" i="26"/>
  <c r="C427" i="26"/>
  <c r="C428" i="26" s="1"/>
  <c r="K422" i="26"/>
  <c r="D427" i="26"/>
  <c r="N422" i="26" s="1"/>
  <c r="U162" i="26" s="1"/>
  <c r="E427" i="26"/>
  <c r="E428" i="26" s="1"/>
  <c r="K423" i="26"/>
  <c r="G442" i="26"/>
  <c r="D398" i="26"/>
  <c r="D399" i="26" s="1"/>
  <c r="I395" i="26"/>
  <c r="J395" i="26" s="1"/>
  <c r="K396" i="26"/>
  <c r="C407" i="26"/>
  <c r="D407" i="26"/>
  <c r="I367" i="26"/>
  <c r="J367" i="26" s="1"/>
  <c r="E369" i="26"/>
  <c r="K364" i="26"/>
  <c r="F369" i="26"/>
  <c r="F370" i="26" s="1"/>
  <c r="L375" i="26"/>
  <c r="L349" i="26"/>
  <c r="D355" i="26"/>
  <c r="L345" i="26"/>
  <c r="L346" i="26"/>
  <c r="L347" i="26"/>
  <c r="I309" i="26"/>
  <c r="J309" i="26" s="1"/>
  <c r="K307" i="26"/>
  <c r="D311" i="26"/>
  <c r="D312" i="26" s="1"/>
  <c r="K309" i="26"/>
  <c r="L316" i="26"/>
  <c r="N306" i="26"/>
  <c r="U122" i="26" s="1"/>
  <c r="H310" i="26"/>
  <c r="I311" i="26" s="1"/>
  <c r="AD26" i="26" s="1"/>
  <c r="I307" i="26"/>
  <c r="J307" i="26" s="1"/>
  <c r="G297" i="26"/>
  <c r="J278" i="26"/>
  <c r="D282" i="26"/>
  <c r="D283" i="26" s="1"/>
  <c r="I280" i="26"/>
  <c r="J280" i="26" s="1"/>
  <c r="F268" i="26"/>
  <c r="K248" i="26"/>
  <c r="D253" i="26"/>
  <c r="N248" i="26" s="1"/>
  <c r="U102" i="26" s="1"/>
  <c r="I248" i="26"/>
  <c r="J248" i="26" s="1"/>
  <c r="E253" i="26"/>
  <c r="E254" i="26" s="1"/>
  <c r="G253" i="26"/>
  <c r="G254" i="26" s="1"/>
  <c r="E232" i="26"/>
  <c r="G232" i="26"/>
  <c r="F232" i="26"/>
  <c r="L230" i="26"/>
  <c r="C239" i="26"/>
  <c r="D239" i="26"/>
  <c r="K190" i="26"/>
  <c r="F195" i="26"/>
  <c r="D210" i="26"/>
  <c r="I162" i="26"/>
  <c r="J162" i="26" s="1"/>
  <c r="D166" i="26"/>
  <c r="K161" i="26"/>
  <c r="I135" i="26"/>
  <c r="J135" i="26" s="1"/>
  <c r="C137" i="26"/>
  <c r="C138" i="26" s="1"/>
  <c r="D137" i="26"/>
  <c r="D138" i="26" s="1"/>
  <c r="F137" i="26"/>
  <c r="I132" i="26"/>
  <c r="N132" i="26" s="1"/>
  <c r="U62" i="26" s="1"/>
  <c r="G137" i="26"/>
  <c r="D143" i="26"/>
  <c r="E146" i="26"/>
  <c r="N133" i="26"/>
  <c r="V62" i="26" s="1"/>
  <c r="C108" i="26"/>
  <c r="K103" i="26"/>
  <c r="C116" i="26"/>
  <c r="K102" i="26"/>
  <c r="I102" i="26"/>
  <c r="J102" i="26" s="1"/>
  <c r="G108" i="26"/>
  <c r="G109" i="26" s="1"/>
  <c r="I103" i="26"/>
  <c r="K105" i="26"/>
  <c r="I75" i="26"/>
  <c r="J75" i="26" s="1"/>
  <c r="K75" i="26"/>
  <c r="E79" i="26"/>
  <c r="G79" i="26"/>
  <c r="N77" i="26" s="1"/>
  <c r="X42" i="26" s="1"/>
  <c r="L85" i="26"/>
  <c r="L57" i="26"/>
  <c r="D58" i="26"/>
  <c r="K46" i="26"/>
  <c r="K47" i="26"/>
  <c r="I44" i="26"/>
  <c r="J44" i="26" s="1"/>
  <c r="C50" i="26"/>
  <c r="C51" i="26" s="1"/>
  <c r="I15" i="26"/>
  <c r="J15" i="26" s="1"/>
  <c r="D36" i="26"/>
  <c r="K15" i="26"/>
  <c r="C36" i="26"/>
  <c r="I16" i="26"/>
  <c r="N16" i="26" s="1"/>
  <c r="U22" i="26" s="1"/>
  <c r="K16" i="26"/>
  <c r="F21" i="26"/>
  <c r="F22" i="26" s="1"/>
  <c r="G21" i="26"/>
  <c r="G22" i="26" s="1"/>
  <c r="L28" i="26"/>
  <c r="F28" i="26" s="1"/>
  <c r="F26" i="26"/>
  <c r="G26" i="26"/>
  <c r="E26" i="26"/>
  <c r="D26" i="26"/>
  <c r="C26" i="26"/>
  <c r="E27" i="26"/>
  <c r="G27" i="26"/>
  <c r="F27" i="26"/>
  <c r="D27" i="26"/>
  <c r="C27" i="26"/>
  <c r="J16" i="26"/>
  <c r="V288" i="26"/>
  <c r="V289" i="26" s="1"/>
  <c r="V287" i="26"/>
  <c r="V226" i="26"/>
  <c r="D30" i="26"/>
  <c r="E30" i="26"/>
  <c r="N44" i="26"/>
  <c r="T32" i="26" s="1"/>
  <c r="N46" i="26"/>
  <c r="V32" i="26" s="1"/>
  <c r="AU96" i="26"/>
  <c r="AR85" i="26"/>
  <c r="AS85" i="26" s="1"/>
  <c r="AM89" i="26"/>
  <c r="AM104" i="26"/>
  <c r="E174" i="26"/>
  <c r="C174" i="26"/>
  <c r="W287" i="26"/>
  <c r="W288" i="26"/>
  <c r="W289" i="26" s="1"/>
  <c r="W226" i="26"/>
  <c r="C94" i="26"/>
  <c r="C79" i="26"/>
  <c r="K73" i="26"/>
  <c r="AN90" i="26"/>
  <c r="AP98" i="26"/>
  <c r="AN98" i="26"/>
  <c r="AM98" i="26"/>
  <c r="N15" i="26"/>
  <c r="T22" i="26" s="1"/>
  <c r="E58" i="26"/>
  <c r="C58" i="26"/>
  <c r="F58" i="26"/>
  <c r="K106" i="26"/>
  <c r="I106" i="26"/>
  <c r="J106" i="26" s="1"/>
  <c r="I18" i="26"/>
  <c r="J18" i="26" s="1"/>
  <c r="D65" i="26"/>
  <c r="D50" i="26"/>
  <c r="E87" i="26"/>
  <c r="AP89" i="26"/>
  <c r="AP104" i="26"/>
  <c r="K45" i="26"/>
  <c r="I45" i="26"/>
  <c r="J45" i="26" s="1"/>
  <c r="K74" i="26"/>
  <c r="I76" i="26"/>
  <c r="J76" i="26" s="1"/>
  <c r="F94" i="26"/>
  <c r="F79" i="26"/>
  <c r="K18" i="26"/>
  <c r="F51" i="26"/>
  <c r="K76" i="26"/>
  <c r="AQ88" i="26"/>
  <c r="AR89" i="26" s="1"/>
  <c r="AU94" i="26"/>
  <c r="AR83" i="26"/>
  <c r="F86" i="26"/>
  <c r="D86" i="26"/>
  <c r="I104" i="26"/>
  <c r="J104" i="26" s="1"/>
  <c r="L115" i="26"/>
  <c r="H107" i="26"/>
  <c r="I108" i="26" s="1"/>
  <c r="AD19" i="26" s="1"/>
  <c r="C29" i="26"/>
  <c r="G51" i="26"/>
  <c r="AA33" i="26"/>
  <c r="AA287" i="26" s="1"/>
  <c r="O56" i="26"/>
  <c r="O55" i="26"/>
  <c r="C55" i="26" s="1"/>
  <c r="O57" i="26"/>
  <c r="O59" i="26"/>
  <c r="G59" i="26" s="1"/>
  <c r="F84" i="26"/>
  <c r="D84" i="26"/>
  <c r="G84" i="26"/>
  <c r="H78" i="26"/>
  <c r="I79" i="26" s="1"/>
  <c r="AD18" i="26" s="1"/>
  <c r="K104" i="26"/>
  <c r="E22" i="26"/>
  <c r="C30" i="26"/>
  <c r="H49" i="26"/>
  <c r="I50" i="26" s="1"/>
  <c r="AD17" i="26" s="1"/>
  <c r="C84" i="26"/>
  <c r="U288" i="26"/>
  <c r="U289" i="26" s="1"/>
  <c r="U287" i="26"/>
  <c r="U226" i="26"/>
  <c r="G29" i="26"/>
  <c r="F30" i="26"/>
  <c r="E84" i="26"/>
  <c r="G113" i="26"/>
  <c r="D113" i="26"/>
  <c r="H20" i="26"/>
  <c r="I21" i="26" s="1"/>
  <c r="AD16" i="26" s="1"/>
  <c r="F59" i="26"/>
  <c r="E59" i="26"/>
  <c r="C59" i="26"/>
  <c r="D80" i="26"/>
  <c r="N74" i="26"/>
  <c r="U42" i="26" s="1"/>
  <c r="I48" i="26"/>
  <c r="J48" i="26" s="1"/>
  <c r="L56" i="26"/>
  <c r="I73" i="26"/>
  <c r="J73" i="26" s="1"/>
  <c r="AO89" i="26"/>
  <c r="AO104" i="26"/>
  <c r="AO128" i="26"/>
  <c r="AN128" i="26"/>
  <c r="AL128" i="26"/>
  <c r="L145" i="26"/>
  <c r="H136" i="26"/>
  <c r="I137" i="26" s="1"/>
  <c r="AD20" i="26" s="1"/>
  <c r="K134" i="26"/>
  <c r="AM128" i="26"/>
  <c r="T288" i="26"/>
  <c r="T289" i="26" s="1"/>
  <c r="T287" i="26"/>
  <c r="T226" i="26"/>
  <c r="AT86" i="26"/>
  <c r="O85" i="26"/>
  <c r="C85" i="26" s="1"/>
  <c r="O88" i="26"/>
  <c r="G88" i="26" s="1"/>
  <c r="G116" i="26"/>
  <c r="F116" i="26"/>
  <c r="D116" i="26"/>
  <c r="F113" i="26"/>
  <c r="AP128" i="26"/>
  <c r="C210" i="26"/>
  <c r="C195" i="26"/>
  <c r="K189" i="26"/>
  <c r="AT87" i="26"/>
  <c r="F109" i="26"/>
  <c r="N105" i="26"/>
  <c r="W52" i="26" s="1"/>
  <c r="G114" i="26"/>
  <c r="F114" i="26"/>
  <c r="C114" i="26"/>
  <c r="O176" i="26"/>
  <c r="X287" i="26"/>
  <c r="X288" i="26"/>
  <c r="X289" i="26" s="1"/>
  <c r="X226" i="26"/>
  <c r="C86" i="26"/>
  <c r="E108" i="26"/>
  <c r="E123" i="26"/>
  <c r="AS119" i="26"/>
  <c r="D196" i="26"/>
  <c r="N190" i="26"/>
  <c r="U82" i="26" s="1"/>
  <c r="N249" i="26"/>
  <c r="V102" i="26" s="1"/>
  <c r="C312" i="26"/>
  <c r="N305" i="26"/>
  <c r="T122" i="26" s="1"/>
  <c r="D146" i="26"/>
  <c r="L175" i="26"/>
  <c r="K164" i="26"/>
  <c r="C166" i="26"/>
  <c r="C173" i="26"/>
  <c r="E210" i="26"/>
  <c r="E195" i="26"/>
  <c r="F254" i="26"/>
  <c r="N250" i="26"/>
  <c r="W102" i="26" s="1"/>
  <c r="G523" i="26"/>
  <c r="D523" i="26"/>
  <c r="C523" i="26"/>
  <c r="L142" i="26"/>
  <c r="K131" i="26"/>
  <c r="N134" i="26"/>
  <c r="W62" i="26" s="1"/>
  <c r="F138" i="26"/>
  <c r="F204" i="26"/>
  <c r="D204" i="26"/>
  <c r="G204" i="26"/>
  <c r="E204" i="26"/>
  <c r="C204" i="26"/>
  <c r="N218" i="26"/>
  <c r="T92" i="26" s="1"/>
  <c r="C225" i="26"/>
  <c r="K250" i="26"/>
  <c r="I250" i="26"/>
  <c r="J250" i="26" s="1"/>
  <c r="L261" i="26"/>
  <c r="L319" i="26"/>
  <c r="K308" i="26"/>
  <c r="I308" i="26"/>
  <c r="I131" i="26"/>
  <c r="F146" i="26"/>
  <c r="O147" i="26"/>
  <c r="E166" i="26"/>
  <c r="F173" i="26"/>
  <c r="D225" i="26"/>
  <c r="N219" i="26"/>
  <c r="U92" i="26" s="1"/>
  <c r="I105" i="26"/>
  <c r="J105" i="26" s="1"/>
  <c r="C113" i="26"/>
  <c r="K135" i="26"/>
  <c r="E239" i="26"/>
  <c r="E224" i="26"/>
  <c r="K251" i="26"/>
  <c r="L262" i="26"/>
  <c r="I251" i="26"/>
  <c r="K191" i="26"/>
  <c r="L202" i="26"/>
  <c r="I191" i="26"/>
  <c r="J191" i="26" s="1"/>
  <c r="F196" i="26"/>
  <c r="F239" i="26"/>
  <c r="F224" i="26"/>
  <c r="K221" i="26"/>
  <c r="AM123" i="26"/>
  <c r="AL133" i="26"/>
  <c r="H165" i="26"/>
  <c r="I166" i="26" s="1"/>
  <c r="AD21" i="26" s="1"/>
  <c r="K163" i="26"/>
  <c r="I163" i="26"/>
  <c r="J163" i="26" s="1"/>
  <c r="O203" i="26"/>
  <c r="O200" i="26"/>
  <c r="G200" i="26" s="1"/>
  <c r="O202" i="26"/>
  <c r="C340" i="26"/>
  <c r="C355" i="26"/>
  <c r="K334" i="26"/>
  <c r="AX95" i="26"/>
  <c r="AN123" i="26"/>
  <c r="AM133" i="26"/>
  <c r="L144" i="26"/>
  <c r="N222" i="26"/>
  <c r="X92" i="26" s="1"/>
  <c r="G225" i="26"/>
  <c r="L405" i="26"/>
  <c r="K394" i="26"/>
  <c r="I394" i="26"/>
  <c r="J394" i="26" s="1"/>
  <c r="H397" i="26"/>
  <c r="I398" i="26" s="1"/>
  <c r="AD29" i="26" s="1"/>
  <c r="AS134" i="26"/>
  <c r="G171" i="26"/>
  <c r="D171" i="26"/>
  <c r="L203" i="26"/>
  <c r="K192" i="26"/>
  <c r="O117" i="26"/>
  <c r="F117" i="26" s="1"/>
  <c r="AP123" i="26"/>
  <c r="AO133" i="26"/>
  <c r="E152" i="26"/>
  <c r="F167" i="26"/>
  <c r="E171" i="26"/>
  <c r="G172" i="26"/>
  <c r="E172" i="26"/>
  <c r="D172" i="26"/>
  <c r="C181" i="26"/>
  <c r="I192" i="26"/>
  <c r="J192" i="26" s="1"/>
  <c r="O201" i="26"/>
  <c r="D201" i="26" s="1"/>
  <c r="E406" i="26"/>
  <c r="F406" i="26"/>
  <c r="C406" i="26"/>
  <c r="G406" i="26"/>
  <c r="D406" i="26"/>
  <c r="AX97" i="26"/>
  <c r="AO97" i="26" s="1"/>
  <c r="G143" i="26"/>
  <c r="E143" i="26"/>
  <c r="C143" i="26"/>
  <c r="D173" i="26"/>
  <c r="N164" i="26"/>
  <c r="X72" i="26" s="1"/>
  <c r="G167" i="26"/>
  <c r="F171" i="26"/>
  <c r="K219" i="26"/>
  <c r="G289" i="26"/>
  <c r="F289" i="26"/>
  <c r="E289" i="26"/>
  <c r="D289" i="26"/>
  <c r="C289" i="26"/>
  <c r="G287" i="26"/>
  <c r="F287" i="26"/>
  <c r="E287" i="26"/>
  <c r="D287" i="26"/>
  <c r="C287" i="26"/>
  <c r="E355" i="26"/>
  <c r="E340" i="26"/>
  <c r="K336" i="26"/>
  <c r="K366" i="26"/>
  <c r="I366" i="26"/>
  <c r="J366" i="26" s="1"/>
  <c r="L233" i="26"/>
  <c r="K222" i="26"/>
  <c r="D231" i="26"/>
  <c r="G318" i="26"/>
  <c r="E318" i="26"/>
  <c r="D318" i="26"/>
  <c r="C318" i="26"/>
  <c r="O349" i="26"/>
  <c r="O346" i="26"/>
  <c r="C346" i="26" s="1"/>
  <c r="O348" i="26"/>
  <c r="O345" i="26"/>
  <c r="D345" i="26" s="1"/>
  <c r="F231" i="26"/>
  <c r="K425" i="26"/>
  <c r="I425" i="26"/>
  <c r="J425" i="26" s="1"/>
  <c r="L436" i="26"/>
  <c r="G432" i="26"/>
  <c r="C432" i="26"/>
  <c r="D432" i="26"/>
  <c r="E522" i="26"/>
  <c r="F522" i="26"/>
  <c r="G522" i="26"/>
  <c r="D522" i="26"/>
  <c r="C522" i="26"/>
  <c r="G231" i="26"/>
  <c r="D258" i="26"/>
  <c r="N539" i="26"/>
  <c r="V202" i="26" s="1"/>
  <c r="E544" i="26"/>
  <c r="E231" i="26"/>
  <c r="C231" i="26"/>
  <c r="H281" i="26"/>
  <c r="I282" i="26" s="1"/>
  <c r="AD25" i="26" s="1"/>
  <c r="K276" i="26"/>
  <c r="I276" i="26"/>
  <c r="J276" i="26" s="1"/>
  <c r="G316" i="26"/>
  <c r="E316" i="26"/>
  <c r="F316" i="26"/>
  <c r="D316" i="26"/>
  <c r="C316" i="26"/>
  <c r="K218" i="26"/>
  <c r="H223" i="26"/>
  <c r="I224" i="26" s="1"/>
  <c r="AD23" i="26" s="1"/>
  <c r="I218" i="26"/>
  <c r="J218" i="26" s="1"/>
  <c r="H252" i="26"/>
  <c r="I253" i="26" s="1"/>
  <c r="AD24" i="26" s="1"/>
  <c r="O288" i="26"/>
  <c r="O291" i="26"/>
  <c r="O290" i="26"/>
  <c r="C345" i="26"/>
  <c r="L288" i="26"/>
  <c r="K277" i="26"/>
  <c r="C259" i="26"/>
  <c r="G347" i="26"/>
  <c r="F347" i="26"/>
  <c r="E347" i="26"/>
  <c r="D347" i="26"/>
  <c r="C347" i="26"/>
  <c r="E370" i="26"/>
  <c r="E377" i="26"/>
  <c r="D377" i="26"/>
  <c r="C377" i="26"/>
  <c r="G377" i="26"/>
  <c r="F434" i="26"/>
  <c r="C282" i="26"/>
  <c r="O321" i="26"/>
  <c r="N479" i="26"/>
  <c r="T182" i="26" s="1"/>
  <c r="C486" i="26"/>
  <c r="K540" i="26"/>
  <c r="L551" i="26"/>
  <c r="C572" i="26"/>
  <c r="C587" i="26"/>
  <c r="G580" i="26"/>
  <c r="C580" i="26"/>
  <c r="N307" i="26"/>
  <c r="V122" i="26" s="1"/>
  <c r="F326" i="26"/>
  <c r="H426" i="26"/>
  <c r="I427" i="26" s="1"/>
  <c r="AD30" i="26" s="1"/>
  <c r="G465" i="26"/>
  <c r="N481" i="26"/>
  <c r="V182" i="26" s="1"/>
  <c r="J540" i="26"/>
  <c r="N540" i="26"/>
  <c r="W202" i="26" s="1"/>
  <c r="D573" i="26"/>
  <c r="G312" i="26"/>
  <c r="H339" i="26"/>
  <c r="I340" i="26" s="1"/>
  <c r="AD27" i="26" s="1"/>
  <c r="L348" i="26"/>
  <c r="G378" i="26"/>
  <c r="F378" i="26"/>
  <c r="E378" i="26"/>
  <c r="D378" i="26"/>
  <c r="N424" i="26"/>
  <c r="W162" i="26" s="1"/>
  <c r="K541" i="26"/>
  <c r="I541" i="26"/>
  <c r="J541" i="26" s="1"/>
  <c r="L552" i="26"/>
  <c r="F291" i="26"/>
  <c r="F282" i="26"/>
  <c r="G283" i="26"/>
  <c r="H368" i="26"/>
  <c r="I369" i="26" s="1"/>
  <c r="AD28" i="26" s="1"/>
  <c r="G428" i="26"/>
  <c r="C456" i="26"/>
  <c r="C471" i="26"/>
  <c r="I481" i="26"/>
  <c r="J481" i="26" s="1"/>
  <c r="H484" i="26"/>
  <c r="I485" i="26" s="1"/>
  <c r="AD32" i="26" s="1"/>
  <c r="L492" i="26"/>
  <c r="O553" i="26"/>
  <c r="H571" i="26"/>
  <c r="I572" i="26" s="1"/>
  <c r="AD35" i="26" s="1"/>
  <c r="F587" i="26"/>
  <c r="K569" i="26"/>
  <c r="F572" i="26"/>
  <c r="C384" i="26"/>
  <c r="C369" i="26"/>
  <c r="C493" i="26"/>
  <c r="F493" i="26"/>
  <c r="E493" i="26"/>
  <c r="D493" i="26"/>
  <c r="F579" i="26"/>
  <c r="E579" i="26"/>
  <c r="D579" i="26"/>
  <c r="C579" i="26"/>
  <c r="G573" i="26"/>
  <c r="N570" i="26"/>
  <c r="X212" i="26" s="1"/>
  <c r="C232" i="26"/>
  <c r="O258" i="26"/>
  <c r="C258" i="26" s="1"/>
  <c r="O259" i="26"/>
  <c r="G259" i="26" s="1"/>
  <c r="O260" i="26"/>
  <c r="D260" i="26" s="1"/>
  <c r="O261" i="26"/>
  <c r="F290" i="26"/>
  <c r="C290" i="26"/>
  <c r="J306" i="26"/>
  <c r="C320" i="26"/>
  <c r="I337" i="26"/>
  <c r="J337" i="26" s="1"/>
  <c r="K363" i="26"/>
  <c r="K482" i="26"/>
  <c r="I482" i="26"/>
  <c r="F529" i="26"/>
  <c r="F514" i="26"/>
  <c r="K511" i="26"/>
  <c r="H542" i="26"/>
  <c r="I543" i="26" s="1"/>
  <c r="AD34" i="26" s="1"/>
  <c r="I568" i="26"/>
  <c r="J568" i="26" s="1"/>
  <c r="D232" i="26"/>
  <c r="K280" i="26"/>
  <c r="D320" i="26"/>
  <c r="L374" i="26"/>
  <c r="F463" i="26"/>
  <c r="E463" i="26"/>
  <c r="D463" i="26"/>
  <c r="G463" i="26"/>
  <c r="C463" i="26"/>
  <c r="C490" i="26"/>
  <c r="F490" i="26"/>
  <c r="E490" i="26"/>
  <c r="D490" i="26"/>
  <c r="K568" i="26"/>
  <c r="E290" i="26"/>
  <c r="C291" i="26"/>
  <c r="F341" i="26"/>
  <c r="I452" i="26"/>
  <c r="K279" i="26"/>
  <c r="G320" i="26"/>
  <c r="E320" i="26"/>
  <c r="I365" i="26"/>
  <c r="J365" i="26" s="1"/>
  <c r="L376" i="26"/>
  <c r="F413" i="26"/>
  <c r="F398" i="26"/>
  <c r="K395" i="26"/>
  <c r="K424" i="26"/>
  <c r="L435" i="26"/>
  <c r="G434" i="26"/>
  <c r="C434" i="26"/>
  <c r="E434" i="26"/>
  <c r="D434" i="26"/>
  <c r="D457" i="26"/>
  <c r="O462" i="26"/>
  <c r="D485" i="26"/>
  <c r="D544" i="26"/>
  <c r="E573" i="26"/>
  <c r="O408" i="26"/>
  <c r="F464" i="26"/>
  <c r="D464" i="26"/>
  <c r="F580" i="26"/>
  <c r="E580" i="26"/>
  <c r="D580" i="26"/>
  <c r="L403" i="26"/>
  <c r="K392" i="26"/>
  <c r="I392" i="26"/>
  <c r="J392" i="26" s="1"/>
  <c r="L519" i="26"/>
  <c r="K508" i="26"/>
  <c r="I508" i="26"/>
  <c r="J508" i="26" s="1"/>
  <c r="G529" i="26"/>
  <c r="D548" i="26"/>
  <c r="G549" i="26"/>
  <c r="C549" i="26"/>
  <c r="O577" i="26"/>
  <c r="N335" i="26"/>
  <c r="U132" i="26" s="1"/>
  <c r="I338" i="26"/>
  <c r="I364" i="26"/>
  <c r="J364" i="26" s="1"/>
  <c r="E407" i="26"/>
  <c r="F407" i="26"/>
  <c r="K479" i="26"/>
  <c r="I483" i="26"/>
  <c r="J483" i="26" s="1"/>
  <c r="E491" i="26"/>
  <c r="N508" i="26"/>
  <c r="T192" i="26" s="1"/>
  <c r="E523" i="26"/>
  <c r="F523" i="26"/>
  <c r="O521" i="26"/>
  <c r="E548" i="26"/>
  <c r="O581" i="26"/>
  <c r="K393" i="26"/>
  <c r="L404" i="26"/>
  <c r="L461" i="26"/>
  <c r="K450" i="26"/>
  <c r="K453" i="26"/>
  <c r="F491" i="26"/>
  <c r="K509" i="26"/>
  <c r="L520" i="26"/>
  <c r="G514" i="26"/>
  <c r="L577" i="26"/>
  <c r="K566" i="26"/>
  <c r="D369" i="26"/>
  <c r="I393" i="26"/>
  <c r="J393" i="26" s="1"/>
  <c r="I450" i="26"/>
  <c r="J450" i="26" s="1"/>
  <c r="F465" i="26"/>
  <c r="E465" i="26"/>
  <c r="D465" i="26"/>
  <c r="F456" i="26"/>
  <c r="G471" i="26"/>
  <c r="G491" i="26"/>
  <c r="I509" i="26"/>
  <c r="J509" i="26" s="1"/>
  <c r="I566" i="26"/>
  <c r="J566" i="26" s="1"/>
  <c r="G544" i="26"/>
  <c r="K451" i="26"/>
  <c r="L462" i="26"/>
  <c r="L521" i="26"/>
  <c r="K510" i="26"/>
  <c r="G548" i="26"/>
  <c r="C548" i="26"/>
  <c r="K567" i="26"/>
  <c r="L578" i="26"/>
  <c r="K367" i="26"/>
  <c r="G369" i="26"/>
  <c r="I451" i="26"/>
  <c r="J451" i="26" s="1"/>
  <c r="L494" i="26"/>
  <c r="I510" i="26"/>
  <c r="J510" i="26" s="1"/>
  <c r="I567" i="26"/>
  <c r="J567" i="26" s="1"/>
  <c r="I396" i="26"/>
  <c r="E398" i="26"/>
  <c r="I512" i="26"/>
  <c r="J512" i="26" s="1"/>
  <c r="E514" i="26"/>
  <c r="L581" i="26"/>
  <c r="AO133" i="25"/>
  <c r="AP133" i="25"/>
  <c r="AM128" i="25"/>
  <c r="AN128" i="25"/>
  <c r="AM123" i="25"/>
  <c r="AN123" i="25"/>
  <c r="AO123" i="25"/>
  <c r="AS134" i="25"/>
  <c r="AS124" i="25"/>
  <c r="AS119" i="25"/>
  <c r="AX95" i="25"/>
  <c r="AT87" i="25"/>
  <c r="AP89" i="25"/>
  <c r="AT84" i="25"/>
  <c r="AM104" i="25"/>
  <c r="AT86" i="25"/>
  <c r="AL89" i="25"/>
  <c r="AL90" i="25" s="1"/>
  <c r="AR87" i="25"/>
  <c r="AS87" i="25" s="1"/>
  <c r="O577" i="25"/>
  <c r="D577" i="25" s="1"/>
  <c r="O579" i="25"/>
  <c r="O580" i="25"/>
  <c r="C581" i="25"/>
  <c r="O548" i="25"/>
  <c r="F548" i="25" s="1"/>
  <c r="O549" i="25"/>
  <c r="C549" i="25" s="1"/>
  <c r="O550" i="25"/>
  <c r="D461" i="25"/>
  <c r="O466" i="25"/>
  <c r="D463" i="25"/>
  <c r="C464" i="25"/>
  <c r="O432" i="25"/>
  <c r="G432" i="25" s="1"/>
  <c r="O433" i="25"/>
  <c r="E433" i="25" s="1"/>
  <c r="O375" i="25"/>
  <c r="O376" i="25"/>
  <c r="C376" i="25" s="1"/>
  <c r="AA133" i="25"/>
  <c r="AA103" i="25"/>
  <c r="O258" i="25"/>
  <c r="F258" i="25" s="1"/>
  <c r="O259" i="25"/>
  <c r="G259" i="25" s="1"/>
  <c r="O260" i="25"/>
  <c r="O229" i="25"/>
  <c r="AA93" i="25"/>
  <c r="O230" i="25"/>
  <c r="O200" i="25"/>
  <c r="D200" i="25" s="1"/>
  <c r="O202" i="25"/>
  <c r="O203" i="25"/>
  <c r="F203" i="25" s="1"/>
  <c r="O172" i="25"/>
  <c r="D172" i="25" s="1"/>
  <c r="F175" i="25"/>
  <c r="G173" i="25"/>
  <c r="G175" i="25"/>
  <c r="F174" i="25"/>
  <c r="D175" i="25"/>
  <c r="O171" i="25"/>
  <c r="O146" i="25"/>
  <c r="O142" i="25"/>
  <c r="AA43" i="25"/>
  <c r="O86" i="25"/>
  <c r="O87" i="25"/>
  <c r="O89" i="25" s="1"/>
  <c r="O58" i="25"/>
  <c r="AA33" i="25"/>
  <c r="O59" i="25"/>
  <c r="D59" i="25" s="1"/>
  <c r="I566" i="25"/>
  <c r="J566" i="25" s="1"/>
  <c r="K566" i="25"/>
  <c r="C572" i="25"/>
  <c r="K567" i="25"/>
  <c r="L578" i="25"/>
  <c r="D578" i="25" s="1"/>
  <c r="K537" i="25"/>
  <c r="I538" i="25"/>
  <c r="J538" i="25" s="1"/>
  <c r="C543" i="25"/>
  <c r="C544" i="25" s="1"/>
  <c r="I540" i="25"/>
  <c r="J540" i="25" s="1"/>
  <c r="D543" i="25"/>
  <c r="D544" i="25" s="1"/>
  <c r="E549" i="25"/>
  <c r="E543" i="25"/>
  <c r="K540" i="25"/>
  <c r="F543" i="25"/>
  <c r="D514" i="25"/>
  <c r="D515" i="25" s="1"/>
  <c r="E514" i="25"/>
  <c r="F514" i="25"/>
  <c r="K511" i="25"/>
  <c r="G514" i="25"/>
  <c r="G515" i="25" s="1"/>
  <c r="G485" i="25"/>
  <c r="G486" i="25" s="1"/>
  <c r="I480" i="25"/>
  <c r="J480" i="25" s="1"/>
  <c r="I481" i="25"/>
  <c r="J481" i="25" s="1"/>
  <c r="I483" i="25"/>
  <c r="J483" i="25" s="1"/>
  <c r="L494" i="25"/>
  <c r="I451" i="25"/>
  <c r="J451" i="25" s="1"/>
  <c r="N452" i="25"/>
  <c r="V172" i="25" s="1"/>
  <c r="C461" i="25"/>
  <c r="K453" i="25"/>
  <c r="L465" i="25"/>
  <c r="C465" i="25" s="1"/>
  <c r="K450" i="25"/>
  <c r="C427" i="25"/>
  <c r="K425" i="25"/>
  <c r="I425" i="25"/>
  <c r="J425" i="25" s="1"/>
  <c r="I422" i="25"/>
  <c r="J422" i="25" s="1"/>
  <c r="I421" i="25"/>
  <c r="J421" i="25" s="1"/>
  <c r="F398" i="25"/>
  <c r="K395" i="25"/>
  <c r="I365" i="25"/>
  <c r="J365" i="25" s="1"/>
  <c r="I366" i="25"/>
  <c r="J366" i="25" s="1"/>
  <c r="D340" i="25"/>
  <c r="D341" i="25" s="1"/>
  <c r="K335" i="25"/>
  <c r="F340" i="25"/>
  <c r="F341" i="25" s="1"/>
  <c r="K337" i="25"/>
  <c r="G340" i="25"/>
  <c r="G341" i="25" s="1"/>
  <c r="K309" i="25"/>
  <c r="I305" i="25"/>
  <c r="J305" i="25" s="1"/>
  <c r="K306" i="25"/>
  <c r="L320" i="25"/>
  <c r="I276" i="25"/>
  <c r="J276" i="25" s="1"/>
  <c r="H281" i="25"/>
  <c r="I282" i="25" s="1"/>
  <c r="AD25" i="25" s="1"/>
  <c r="L287" i="25"/>
  <c r="G287" i="25" s="1"/>
  <c r="I279" i="25"/>
  <c r="J279" i="25" s="1"/>
  <c r="K280" i="25"/>
  <c r="L289" i="25"/>
  <c r="F289" i="25" s="1"/>
  <c r="K248" i="25"/>
  <c r="I251" i="25"/>
  <c r="J251" i="25" s="1"/>
  <c r="I247" i="25"/>
  <c r="N247" i="25" s="1"/>
  <c r="T102" i="25" s="1"/>
  <c r="D224" i="25"/>
  <c r="D225" i="25" s="1"/>
  <c r="I221" i="25"/>
  <c r="I218" i="25"/>
  <c r="J218" i="25" s="1"/>
  <c r="K219" i="25"/>
  <c r="I189" i="25"/>
  <c r="J189" i="25" s="1"/>
  <c r="L203" i="25"/>
  <c r="K189" i="25"/>
  <c r="I190" i="25"/>
  <c r="J190" i="25" s="1"/>
  <c r="F195" i="25"/>
  <c r="N192" i="25" s="1"/>
  <c r="W82" i="25" s="1"/>
  <c r="C175" i="25"/>
  <c r="K163" i="25"/>
  <c r="H165" i="25"/>
  <c r="I166" i="25" s="1"/>
  <c r="AD21" i="25" s="1"/>
  <c r="D166" i="25"/>
  <c r="D167" i="25" s="1"/>
  <c r="I162" i="25"/>
  <c r="N162" i="25" s="1"/>
  <c r="V72" i="25" s="1"/>
  <c r="K160" i="25"/>
  <c r="I132" i="25"/>
  <c r="J132" i="25" s="1"/>
  <c r="C152" i="25"/>
  <c r="K132" i="25"/>
  <c r="K133" i="25"/>
  <c r="L144" i="25"/>
  <c r="G137" i="25"/>
  <c r="K103" i="25"/>
  <c r="C108" i="25"/>
  <c r="C109" i="25" s="1"/>
  <c r="F108" i="25"/>
  <c r="F109" i="25" s="1"/>
  <c r="G108" i="25"/>
  <c r="F85" i="25"/>
  <c r="G85" i="25"/>
  <c r="I77" i="25"/>
  <c r="J77" i="25" s="1"/>
  <c r="L86" i="25"/>
  <c r="D86" i="25" s="1"/>
  <c r="I74" i="25"/>
  <c r="J74" i="25" s="1"/>
  <c r="K74" i="25"/>
  <c r="D79" i="25"/>
  <c r="D80" i="25" s="1"/>
  <c r="C94" i="25"/>
  <c r="F50" i="25"/>
  <c r="N47" i="25" s="1"/>
  <c r="W32" i="25" s="1"/>
  <c r="L58" i="25"/>
  <c r="K47" i="25"/>
  <c r="C50" i="25"/>
  <c r="E21" i="25"/>
  <c r="E22" i="25" s="1"/>
  <c r="G26" i="25"/>
  <c r="F26" i="25"/>
  <c r="E26" i="25"/>
  <c r="D26" i="25"/>
  <c r="C26" i="25"/>
  <c r="U287" i="25"/>
  <c r="U226" i="25"/>
  <c r="U288" i="25"/>
  <c r="U289" i="25" s="1"/>
  <c r="G56" i="25"/>
  <c r="F56" i="25"/>
  <c r="E56" i="25"/>
  <c r="V287" i="25"/>
  <c r="V226" i="25"/>
  <c r="V288" i="25"/>
  <c r="V289" i="25" s="1"/>
  <c r="E65" i="25"/>
  <c r="E50" i="25"/>
  <c r="C56" i="25"/>
  <c r="AM90" i="25"/>
  <c r="C21" i="25"/>
  <c r="AA23" i="25"/>
  <c r="O30" i="25"/>
  <c r="O27" i="25"/>
  <c r="G27" i="25" s="1"/>
  <c r="O28" i="25"/>
  <c r="K46" i="25"/>
  <c r="L57" i="25"/>
  <c r="D56" i="25"/>
  <c r="F87" i="25"/>
  <c r="L116" i="25"/>
  <c r="K105" i="25"/>
  <c r="I105" i="25"/>
  <c r="J105" i="25" s="1"/>
  <c r="AU96" i="25"/>
  <c r="AT85" i="25"/>
  <c r="AR85" i="25"/>
  <c r="AS85" i="25" s="1"/>
  <c r="AQ88" i="25"/>
  <c r="AR89" i="25" s="1"/>
  <c r="K15" i="25"/>
  <c r="H20" i="25"/>
  <c r="I21" i="25" s="1"/>
  <c r="AD16" i="25" s="1"/>
  <c r="I15" i="25"/>
  <c r="J15" i="25" s="1"/>
  <c r="K19" i="25"/>
  <c r="I19" i="25"/>
  <c r="J19" i="25" s="1"/>
  <c r="L29" i="25"/>
  <c r="H78" i="25"/>
  <c r="I79" i="25" s="1"/>
  <c r="AD18" i="25" s="1"/>
  <c r="L84" i="25"/>
  <c r="K73" i="25"/>
  <c r="C80" i="25"/>
  <c r="G88" i="25"/>
  <c r="F88" i="25"/>
  <c r="E88" i="25"/>
  <c r="D88" i="25"/>
  <c r="C88" i="25"/>
  <c r="AS86" i="25"/>
  <c r="F21" i="25"/>
  <c r="O29" i="25"/>
  <c r="G59" i="25"/>
  <c r="F59" i="25"/>
  <c r="E59" i="25"/>
  <c r="C59" i="25"/>
  <c r="I73" i="25"/>
  <c r="J73" i="25" s="1"/>
  <c r="C85" i="25"/>
  <c r="I18" i="25"/>
  <c r="J18" i="25" s="1"/>
  <c r="G36" i="25"/>
  <c r="G21" i="25"/>
  <c r="H49" i="25"/>
  <c r="I50" i="25" s="1"/>
  <c r="AD17" i="25" s="1"/>
  <c r="J75" i="25"/>
  <c r="J162" i="25"/>
  <c r="K16" i="25"/>
  <c r="I16" i="25"/>
  <c r="I17" i="25"/>
  <c r="L28" i="25"/>
  <c r="K48" i="25"/>
  <c r="I48" i="25"/>
  <c r="J48" i="25" s="1"/>
  <c r="K76" i="25"/>
  <c r="I76" i="25"/>
  <c r="J76" i="25" s="1"/>
  <c r="G94" i="25"/>
  <c r="G79" i="25"/>
  <c r="K17" i="25"/>
  <c r="L30" i="25"/>
  <c r="L142" i="25"/>
  <c r="K131" i="25"/>
  <c r="H136" i="25"/>
  <c r="I137" i="25" s="1"/>
  <c r="AD20" i="25" s="1"/>
  <c r="I131" i="25"/>
  <c r="G138" i="25"/>
  <c r="C167" i="25"/>
  <c r="I45" i="25"/>
  <c r="J45" i="25" s="1"/>
  <c r="O57" i="25"/>
  <c r="AU95" i="25"/>
  <c r="G143" i="25"/>
  <c r="F143" i="25"/>
  <c r="E143" i="25"/>
  <c r="D143" i="25"/>
  <c r="C143" i="25"/>
  <c r="L55" i="25"/>
  <c r="AR84" i="25"/>
  <c r="AS84" i="25" s="1"/>
  <c r="AS116" i="25"/>
  <c r="AX94" i="25"/>
  <c r="O113" i="25"/>
  <c r="O114" i="25"/>
  <c r="G114" i="25" s="1"/>
  <c r="O115" i="25"/>
  <c r="O116" i="25"/>
  <c r="O117" i="25"/>
  <c r="K45" i="25"/>
  <c r="O55" i="25"/>
  <c r="AR83" i="25"/>
  <c r="F167" i="25"/>
  <c r="N163" i="25"/>
  <c r="W72" i="25" s="1"/>
  <c r="T288" i="25"/>
  <c r="T289" i="25" s="1"/>
  <c r="T287" i="25"/>
  <c r="T226" i="25"/>
  <c r="K44" i="25"/>
  <c r="D50" i="25"/>
  <c r="F79" i="25"/>
  <c r="I103" i="25"/>
  <c r="J103" i="25" s="1"/>
  <c r="K104" i="25"/>
  <c r="I104" i="25"/>
  <c r="J104" i="25" s="1"/>
  <c r="L115" i="25"/>
  <c r="K191" i="25"/>
  <c r="L202" i="25"/>
  <c r="H194" i="25"/>
  <c r="I195" i="25" s="1"/>
  <c r="AD22" i="25" s="1"/>
  <c r="I191" i="25"/>
  <c r="J191" i="25" s="1"/>
  <c r="D195" i="25"/>
  <c r="D210" i="25"/>
  <c r="K190" i="25"/>
  <c r="AT83" i="25"/>
  <c r="AX98" i="25"/>
  <c r="AS129" i="25"/>
  <c r="D145" i="25"/>
  <c r="C145" i="25"/>
  <c r="E196" i="25"/>
  <c r="H107" i="25"/>
  <c r="I108" i="25" s="1"/>
  <c r="AD19" i="25" s="1"/>
  <c r="L113" i="25"/>
  <c r="W287" i="25"/>
  <c r="W226" i="25"/>
  <c r="W288" i="25"/>
  <c r="W289" i="25" s="1"/>
  <c r="G50" i="25"/>
  <c r="K77" i="25"/>
  <c r="D85" i="25"/>
  <c r="F86" i="25"/>
  <c r="AP98" i="25"/>
  <c r="AX97" i="25"/>
  <c r="I102" i="25"/>
  <c r="J102" i="25" s="1"/>
  <c r="E123" i="25"/>
  <c r="E108" i="25"/>
  <c r="D138" i="25"/>
  <c r="X288" i="25"/>
  <c r="X289" i="25" s="1"/>
  <c r="X287" i="25"/>
  <c r="X226" i="25"/>
  <c r="C58" i="25"/>
  <c r="E85" i="25"/>
  <c r="K102" i="25"/>
  <c r="E138" i="25"/>
  <c r="N133" i="25"/>
  <c r="V62" i="25" s="1"/>
  <c r="F152" i="25"/>
  <c r="F137" i="25"/>
  <c r="E172" i="25"/>
  <c r="F172" i="25"/>
  <c r="G203" i="25"/>
  <c r="E203" i="25"/>
  <c r="D203" i="25"/>
  <c r="G262" i="25"/>
  <c r="F262" i="25"/>
  <c r="E262" i="25"/>
  <c r="D262" i="25"/>
  <c r="C262" i="25"/>
  <c r="L204" i="25"/>
  <c r="K193" i="25"/>
  <c r="AP128" i="25"/>
  <c r="I134" i="25"/>
  <c r="J134" i="25" s="1"/>
  <c r="I161" i="25"/>
  <c r="J161" i="25" s="1"/>
  <c r="K162" i="25"/>
  <c r="I193" i="25"/>
  <c r="J193" i="25" s="1"/>
  <c r="L146" i="25"/>
  <c r="L171" i="25"/>
  <c r="C173" i="25"/>
  <c r="N222" i="25"/>
  <c r="X92" i="25" s="1"/>
  <c r="L117" i="25"/>
  <c r="K134" i="25"/>
  <c r="I160" i="25"/>
  <c r="J160" i="25" s="1"/>
  <c r="K161" i="25"/>
  <c r="D173" i="25"/>
  <c r="C181" i="25"/>
  <c r="C225" i="25"/>
  <c r="C259" i="25"/>
  <c r="D378" i="25"/>
  <c r="D108" i="25"/>
  <c r="AL123" i="25"/>
  <c r="E173" i="25"/>
  <c r="G253" i="25"/>
  <c r="G268" i="25"/>
  <c r="E283" i="25"/>
  <c r="O147" i="25"/>
  <c r="F173" i="25"/>
  <c r="O176" i="25"/>
  <c r="F196" i="25"/>
  <c r="O205" i="25"/>
  <c r="E225" i="25"/>
  <c r="G260" i="25"/>
  <c r="F260" i="25"/>
  <c r="E260" i="25"/>
  <c r="D260" i="25"/>
  <c r="C260" i="25"/>
  <c r="D311" i="25"/>
  <c r="D326" i="25"/>
  <c r="I135" i="25"/>
  <c r="J135" i="25" s="1"/>
  <c r="C144" i="25"/>
  <c r="G200" i="25"/>
  <c r="C200" i="25"/>
  <c r="G201" i="25"/>
  <c r="F201" i="25"/>
  <c r="E201" i="25"/>
  <c r="D201" i="25"/>
  <c r="C201" i="25"/>
  <c r="C210" i="25"/>
  <c r="G288" i="25"/>
  <c r="F288" i="25"/>
  <c r="E288" i="25"/>
  <c r="C288" i="25"/>
  <c r="G283" i="25"/>
  <c r="N280" i="25"/>
  <c r="X112" i="25" s="1"/>
  <c r="G374" i="25"/>
  <c r="F374" i="25"/>
  <c r="E374" i="25"/>
  <c r="D374" i="25"/>
  <c r="C374" i="25"/>
  <c r="AL133" i="25"/>
  <c r="E152" i="25"/>
  <c r="C174" i="25"/>
  <c r="C195" i="25"/>
  <c r="C203" i="25"/>
  <c r="G261" i="25"/>
  <c r="F261" i="25"/>
  <c r="E261" i="25"/>
  <c r="D261" i="25"/>
  <c r="C261" i="25"/>
  <c r="G289" i="25"/>
  <c r="D289" i="25"/>
  <c r="AM133" i="25"/>
  <c r="E144" i="25"/>
  <c r="I164" i="25"/>
  <c r="J164" i="25" s="1"/>
  <c r="D174" i="25"/>
  <c r="K192" i="25"/>
  <c r="E200" i="25"/>
  <c r="E210" i="25"/>
  <c r="K220" i="25"/>
  <c r="L231" i="25"/>
  <c r="I220" i="25"/>
  <c r="J220" i="25" s="1"/>
  <c r="H223" i="25"/>
  <c r="I224" i="25" s="1"/>
  <c r="AD23" i="25" s="1"/>
  <c r="G166" i="25"/>
  <c r="E174" i="25"/>
  <c r="G232" i="25"/>
  <c r="F232" i="25"/>
  <c r="E232" i="25"/>
  <c r="C232" i="25"/>
  <c r="F435" i="25"/>
  <c r="E435" i="25"/>
  <c r="D435" i="25"/>
  <c r="C435" i="25"/>
  <c r="G435" i="25"/>
  <c r="D485" i="25"/>
  <c r="K480" i="25"/>
  <c r="D500" i="25"/>
  <c r="H252" i="25"/>
  <c r="I253" i="25" s="1"/>
  <c r="AD24" i="25" s="1"/>
  <c r="G291" i="25"/>
  <c r="F291" i="25"/>
  <c r="E291" i="25"/>
  <c r="D291" i="25"/>
  <c r="C341" i="25"/>
  <c r="H513" i="25"/>
  <c r="I514" i="25" s="1"/>
  <c r="AD33" i="25" s="1"/>
  <c r="L519" i="25"/>
  <c r="K508" i="25"/>
  <c r="I508" i="25"/>
  <c r="J508" i="25" s="1"/>
  <c r="K221" i="25"/>
  <c r="O233" i="25"/>
  <c r="G233" i="25" s="1"/>
  <c r="K247" i="25"/>
  <c r="I278" i="25"/>
  <c r="J278" i="25" s="1"/>
  <c r="K279" i="25"/>
  <c r="I307" i="25"/>
  <c r="J307" i="25" s="1"/>
  <c r="C326" i="25"/>
  <c r="L375" i="25"/>
  <c r="K364" i="25"/>
  <c r="F369" i="25"/>
  <c r="F384" i="25"/>
  <c r="D433" i="25"/>
  <c r="L230" i="25"/>
  <c r="G297" i="25"/>
  <c r="E341" i="25"/>
  <c r="I364" i="25"/>
  <c r="J364" i="25" s="1"/>
  <c r="G369" i="25"/>
  <c r="G384" i="25"/>
  <c r="C239" i="25"/>
  <c r="K307" i="25"/>
  <c r="F312" i="25"/>
  <c r="O320" i="25"/>
  <c r="O319" i="25"/>
  <c r="O318" i="25"/>
  <c r="O317" i="25"/>
  <c r="C317" i="25" s="1"/>
  <c r="O316" i="25"/>
  <c r="F316" i="25" s="1"/>
  <c r="E326" i="25"/>
  <c r="G376" i="25"/>
  <c r="D376" i="25"/>
  <c r="H368" i="25"/>
  <c r="I369" i="25" s="1"/>
  <c r="AD28" i="25" s="1"/>
  <c r="C573" i="25"/>
  <c r="N566" i="25"/>
  <c r="T212" i="25" s="1"/>
  <c r="J219" i="25"/>
  <c r="F253" i="25"/>
  <c r="J277" i="25"/>
  <c r="C287" i="25"/>
  <c r="N307" i="25"/>
  <c r="V122" i="25" s="1"/>
  <c r="C229" i="25"/>
  <c r="E233" i="25"/>
  <c r="E239" i="25"/>
  <c r="K251" i="25"/>
  <c r="K277" i="25"/>
  <c r="C282" i="25"/>
  <c r="D287" i="25"/>
  <c r="C290" i="25"/>
  <c r="K308" i="25"/>
  <c r="I308" i="25"/>
  <c r="J308" i="25" s="1"/>
  <c r="L319" i="25"/>
  <c r="L349" i="25"/>
  <c r="K338" i="25"/>
  <c r="G377" i="25"/>
  <c r="F377" i="25"/>
  <c r="E377" i="25"/>
  <c r="D377" i="25"/>
  <c r="F233" i="25"/>
  <c r="E287" i="25"/>
  <c r="D290" i="25"/>
  <c r="C312" i="25"/>
  <c r="G413" i="25"/>
  <c r="G398" i="25"/>
  <c r="E229" i="25"/>
  <c r="G239" i="25"/>
  <c r="I249" i="25"/>
  <c r="K250" i="25"/>
  <c r="E290" i="25"/>
  <c r="C291" i="25"/>
  <c r="H310" i="25"/>
  <c r="I311" i="25" s="1"/>
  <c r="AD26" i="25" s="1"/>
  <c r="F290" i="25"/>
  <c r="K366" i="25"/>
  <c r="L580" i="25"/>
  <c r="K569" i="25"/>
  <c r="I569" i="25"/>
  <c r="H571" i="25"/>
  <c r="I572" i="25" s="1"/>
  <c r="AD35" i="25" s="1"/>
  <c r="I248" i="25"/>
  <c r="K249" i="25"/>
  <c r="N309" i="25"/>
  <c r="X122" i="25" s="1"/>
  <c r="G316" i="25"/>
  <c r="H339" i="25"/>
  <c r="I340" i="25" s="1"/>
  <c r="AD27" i="25" s="1"/>
  <c r="C378" i="25"/>
  <c r="G378" i="25"/>
  <c r="F378" i="25"/>
  <c r="E378" i="25"/>
  <c r="O494" i="25"/>
  <c r="D494" i="25" s="1"/>
  <c r="O492" i="25"/>
  <c r="C492" i="25" s="1"/>
  <c r="O490" i="25"/>
  <c r="O493" i="25"/>
  <c r="L403" i="25"/>
  <c r="K392" i="25"/>
  <c r="F491" i="25"/>
  <c r="E491" i="25"/>
  <c r="D491" i="25"/>
  <c r="C491" i="25"/>
  <c r="G558" i="25"/>
  <c r="G543" i="25"/>
  <c r="G578" i="25"/>
  <c r="H397" i="25"/>
  <c r="I398" i="25" s="1"/>
  <c r="AD29" i="25" s="1"/>
  <c r="O407" i="25"/>
  <c r="G407" i="25" s="1"/>
  <c r="O406" i="25"/>
  <c r="G406" i="25" s="1"/>
  <c r="O405" i="25"/>
  <c r="E405" i="25" s="1"/>
  <c r="O404" i="25"/>
  <c r="C404" i="25" s="1"/>
  <c r="O403" i="25"/>
  <c r="G462" i="25"/>
  <c r="F462" i="25"/>
  <c r="E462" i="25"/>
  <c r="O523" i="25"/>
  <c r="G523" i="25" s="1"/>
  <c r="O522" i="25"/>
  <c r="G522" i="25" s="1"/>
  <c r="O521" i="25"/>
  <c r="C521" i="25" s="1"/>
  <c r="O520" i="25"/>
  <c r="C520" i="25" s="1"/>
  <c r="O519" i="25"/>
  <c r="I393" i="25"/>
  <c r="J393" i="25" s="1"/>
  <c r="N392" i="25"/>
  <c r="T152" i="25" s="1"/>
  <c r="K422" i="25"/>
  <c r="F428" i="25"/>
  <c r="K481" i="25"/>
  <c r="C500" i="25"/>
  <c r="G581" i="25"/>
  <c r="F581" i="25"/>
  <c r="E581" i="25"/>
  <c r="I336" i="25"/>
  <c r="J336" i="25" s="1"/>
  <c r="N451" i="25"/>
  <c r="U172" i="25" s="1"/>
  <c r="G464" i="25"/>
  <c r="F464" i="25"/>
  <c r="E464" i="25"/>
  <c r="H484" i="25"/>
  <c r="I485" i="25" s="1"/>
  <c r="AD32" i="25" s="1"/>
  <c r="E544" i="25"/>
  <c r="N338" i="25"/>
  <c r="X132" i="25" s="1"/>
  <c r="I367" i="25"/>
  <c r="J367" i="25" s="1"/>
  <c r="K393" i="25"/>
  <c r="I396" i="25"/>
  <c r="J396" i="25" s="1"/>
  <c r="E399" i="25"/>
  <c r="K423" i="25"/>
  <c r="I423" i="25"/>
  <c r="J423" i="25" s="1"/>
  <c r="C432" i="25"/>
  <c r="L434" i="25"/>
  <c r="I479" i="25"/>
  <c r="J479" i="25" s="1"/>
  <c r="K482" i="25"/>
  <c r="F485" i="25"/>
  <c r="L490" i="25"/>
  <c r="E500" i="25"/>
  <c r="E515" i="25"/>
  <c r="L552" i="25"/>
  <c r="K541" i="25"/>
  <c r="C551" i="25"/>
  <c r="F579" i="25"/>
  <c r="I334" i="25"/>
  <c r="J334" i="25" s="1"/>
  <c r="K336" i="25"/>
  <c r="I482" i="25"/>
  <c r="J482" i="25" s="1"/>
  <c r="I512" i="25"/>
  <c r="J512" i="25" s="1"/>
  <c r="I541" i="25"/>
  <c r="J541" i="25" s="1"/>
  <c r="F549" i="25"/>
  <c r="D551" i="25"/>
  <c r="K367" i="25"/>
  <c r="K396" i="25"/>
  <c r="G456" i="25"/>
  <c r="K454" i="25"/>
  <c r="G461" i="25"/>
  <c r="F461" i="25"/>
  <c r="E461" i="25"/>
  <c r="D471" i="25"/>
  <c r="K479" i="25"/>
  <c r="G491" i="25"/>
  <c r="F520" i="25"/>
  <c r="E551" i="25"/>
  <c r="G577" i="25"/>
  <c r="F577" i="25"/>
  <c r="E577" i="25"/>
  <c r="I306" i="25"/>
  <c r="J306" i="25" s="1"/>
  <c r="C320" i="25"/>
  <c r="K334" i="25"/>
  <c r="L345" i="25"/>
  <c r="L346" i="25"/>
  <c r="L348" i="25"/>
  <c r="I394" i="25"/>
  <c r="J394" i="25" s="1"/>
  <c r="I424" i="25"/>
  <c r="J424" i="25" s="1"/>
  <c r="H426" i="25"/>
  <c r="I427" i="25" s="1"/>
  <c r="AD30" i="25" s="1"/>
  <c r="I453" i="25"/>
  <c r="J453" i="25" s="1"/>
  <c r="H455" i="25"/>
  <c r="I456" i="25" s="1"/>
  <c r="AD31" i="25" s="1"/>
  <c r="D465" i="25"/>
  <c r="E471" i="25"/>
  <c r="K512" i="25"/>
  <c r="F551" i="25"/>
  <c r="I567" i="25"/>
  <c r="J567" i="25" s="1"/>
  <c r="I337" i="25"/>
  <c r="O345" i="25"/>
  <c r="O346" i="25"/>
  <c r="O347" i="25"/>
  <c r="C347" i="25" s="1"/>
  <c r="O348" i="25"/>
  <c r="I363" i="25"/>
  <c r="K365" i="25"/>
  <c r="C399" i="25"/>
  <c r="L436" i="25"/>
  <c r="C456" i="25"/>
  <c r="G463" i="25"/>
  <c r="F463" i="25"/>
  <c r="E463" i="25"/>
  <c r="F471" i="25"/>
  <c r="F494" i="25"/>
  <c r="E494" i="25"/>
  <c r="C494" i="25"/>
  <c r="I510" i="25"/>
  <c r="J510" i="25" s="1"/>
  <c r="C515" i="25"/>
  <c r="K538" i="25"/>
  <c r="E587" i="25"/>
  <c r="K568" i="25"/>
  <c r="E572" i="25"/>
  <c r="K394" i="25"/>
  <c r="E404" i="25"/>
  <c r="D427" i="25"/>
  <c r="C462" i="25"/>
  <c r="G471" i="25"/>
  <c r="C578" i="25"/>
  <c r="K363" i="25"/>
  <c r="E427" i="25"/>
  <c r="G442" i="25"/>
  <c r="K451" i="25"/>
  <c r="D457" i="25"/>
  <c r="D462" i="25"/>
  <c r="G465" i="25"/>
  <c r="F465" i="25"/>
  <c r="E465" i="25"/>
  <c r="K510" i="25"/>
  <c r="L550" i="25"/>
  <c r="K539" i="25"/>
  <c r="I539" i="25"/>
  <c r="J539" i="25" s="1"/>
  <c r="G572" i="25"/>
  <c r="K570" i="25"/>
  <c r="D572" i="25"/>
  <c r="AM133" i="24"/>
  <c r="AN133" i="24"/>
  <c r="AP133" i="24"/>
  <c r="AL128" i="24"/>
  <c r="AL123" i="24"/>
  <c r="AM89" i="24"/>
  <c r="AX98" i="24"/>
  <c r="AX94" i="24"/>
  <c r="AS129" i="24"/>
  <c r="O578" i="24"/>
  <c r="O582" i="24" s="1"/>
  <c r="D552" i="24"/>
  <c r="O548" i="24"/>
  <c r="D548" i="24" s="1"/>
  <c r="O549" i="24"/>
  <c r="C549" i="24" s="1"/>
  <c r="O550" i="24"/>
  <c r="E550" i="24" s="1"/>
  <c r="C551" i="24"/>
  <c r="AA163" i="24"/>
  <c r="O432" i="24"/>
  <c r="O433" i="24"/>
  <c r="C433" i="24" s="1"/>
  <c r="C434" i="24"/>
  <c r="O434" i="24"/>
  <c r="C435" i="24"/>
  <c r="O435" i="24"/>
  <c r="D436" i="24"/>
  <c r="O405" i="24"/>
  <c r="F407" i="24"/>
  <c r="O403" i="24"/>
  <c r="O408" i="24" s="1"/>
  <c r="G375" i="24"/>
  <c r="F349" i="24"/>
  <c r="C349" i="24"/>
  <c r="O345" i="24"/>
  <c r="AA133" i="24"/>
  <c r="O348" i="24"/>
  <c r="G349" i="24"/>
  <c r="O288" i="24"/>
  <c r="D288" i="24" s="1"/>
  <c r="O289" i="24"/>
  <c r="O229" i="24"/>
  <c r="O234" i="24" s="1"/>
  <c r="O175" i="24"/>
  <c r="O171" i="24"/>
  <c r="O172" i="24"/>
  <c r="O176" i="24" s="1"/>
  <c r="AA63" i="24"/>
  <c r="G142" i="24"/>
  <c r="O142" i="24"/>
  <c r="D142" i="24" s="1"/>
  <c r="AA53" i="24"/>
  <c r="O114" i="24"/>
  <c r="O116" i="24"/>
  <c r="O89" i="24"/>
  <c r="C88" i="24"/>
  <c r="O57" i="24"/>
  <c r="C59" i="24"/>
  <c r="I569" i="24"/>
  <c r="J569" i="24" s="1"/>
  <c r="I570" i="24"/>
  <c r="J570" i="24" s="1"/>
  <c r="K570" i="24"/>
  <c r="H571" i="24"/>
  <c r="I572" i="24" s="1"/>
  <c r="AD35" i="24" s="1"/>
  <c r="I566" i="24"/>
  <c r="J566" i="24" s="1"/>
  <c r="I537" i="24"/>
  <c r="J537" i="24" s="1"/>
  <c r="I539" i="24"/>
  <c r="J539" i="24" s="1"/>
  <c r="H542" i="24"/>
  <c r="I543" i="24" s="1"/>
  <c r="AD34" i="24" s="1"/>
  <c r="G558" i="24"/>
  <c r="K539" i="24"/>
  <c r="C543" i="24"/>
  <c r="N537" i="24" s="1"/>
  <c r="T202" i="24" s="1"/>
  <c r="G543" i="24"/>
  <c r="G544" i="24" s="1"/>
  <c r="I540" i="24"/>
  <c r="J540" i="24" s="1"/>
  <c r="K540" i="24"/>
  <c r="F514" i="24"/>
  <c r="F519" i="24"/>
  <c r="I511" i="24"/>
  <c r="J511" i="24" s="1"/>
  <c r="G519" i="24"/>
  <c r="I508" i="24"/>
  <c r="I512" i="24"/>
  <c r="J512" i="24" s="1"/>
  <c r="E519" i="24"/>
  <c r="K482" i="24"/>
  <c r="N482" i="24"/>
  <c r="W182" i="24" s="1"/>
  <c r="K480" i="24"/>
  <c r="L465" i="24"/>
  <c r="I450" i="24"/>
  <c r="J450" i="24" s="1"/>
  <c r="D456" i="24"/>
  <c r="D457" i="24" s="1"/>
  <c r="G471" i="24"/>
  <c r="K450" i="24"/>
  <c r="K451" i="24"/>
  <c r="L462" i="24"/>
  <c r="F462" i="24" s="1"/>
  <c r="I423" i="24"/>
  <c r="J423" i="24" s="1"/>
  <c r="H426" i="24"/>
  <c r="I427" i="24" s="1"/>
  <c r="AD30" i="24" s="1"/>
  <c r="K423" i="24"/>
  <c r="E442" i="24"/>
  <c r="I424" i="24"/>
  <c r="J424" i="24" s="1"/>
  <c r="K424" i="24"/>
  <c r="K425" i="24"/>
  <c r="I396" i="24"/>
  <c r="J396" i="24" s="1"/>
  <c r="I395" i="24"/>
  <c r="J395" i="24" s="1"/>
  <c r="G413" i="24"/>
  <c r="K367" i="24"/>
  <c r="C340" i="24"/>
  <c r="I335" i="24"/>
  <c r="J335" i="24" s="1"/>
  <c r="L345" i="24"/>
  <c r="E345" i="24" s="1"/>
  <c r="K337" i="24"/>
  <c r="I337" i="24"/>
  <c r="J337" i="24" s="1"/>
  <c r="G347" i="24"/>
  <c r="K308" i="24"/>
  <c r="I306" i="24"/>
  <c r="J306" i="24" s="1"/>
  <c r="K307" i="24"/>
  <c r="C311" i="24"/>
  <c r="C312" i="24" s="1"/>
  <c r="D311" i="24"/>
  <c r="F311" i="24"/>
  <c r="H310" i="24"/>
  <c r="I311" i="24" s="1"/>
  <c r="AD26" i="24" s="1"/>
  <c r="K279" i="24"/>
  <c r="L290" i="24"/>
  <c r="E290" i="24" s="1"/>
  <c r="I276" i="24"/>
  <c r="J276" i="24" s="1"/>
  <c r="N279" i="24"/>
  <c r="W112" i="24" s="1"/>
  <c r="K277" i="24"/>
  <c r="I247" i="24"/>
  <c r="J247" i="24" s="1"/>
  <c r="I249" i="24"/>
  <c r="J249" i="24" s="1"/>
  <c r="I250" i="24"/>
  <c r="L259" i="24"/>
  <c r="K219" i="24"/>
  <c r="C224" i="24"/>
  <c r="C225" i="24" s="1"/>
  <c r="F224" i="24"/>
  <c r="I219" i="24"/>
  <c r="J219" i="24" s="1"/>
  <c r="G224" i="24"/>
  <c r="G225" i="24" s="1"/>
  <c r="I221" i="24"/>
  <c r="J221" i="24" s="1"/>
  <c r="K222" i="24"/>
  <c r="K221" i="24"/>
  <c r="K189" i="24"/>
  <c r="N190" i="24"/>
  <c r="U82" i="24" s="1"/>
  <c r="H194" i="24"/>
  <c r="I195" i="24" s="1"/>
  <c r="AD22" i="24" s="1"/>
  <c r="F166" i="24"/>
  <c r="N161" i="24"/>
  <c r="U72" i="24" s="1"/>
  <c r="K164" i="24"/>
  <c r="L175" i="24"/>
  <c r="I162" i="24"/>
  <c r="J162" i="24" s="1"/>
  <c r="N160" i="24"/>
  <c r="T72" i="24" s="1"/>
  <c r="N164" i="24"/>
  <c r="X72" i="24" s="1"/>
  <c r="G167" i="24"/>
  <c r="K160" i="24"/>
  <c r="I134" i="24"/>
  <c r="J134" i="24" s="1"/>
  <c r="K134" i="24"/>
  <c r="K131" i="24"/>
  <c r="D137" i="24"/>
  <c r="E137" i="24"/>
  <c r="E138" i="24" s="1"/>
  <c r="F115" i="24"/>
  <c r="D115" i="24"/>
  <c r="I104" i="24"/>
  <c r="J104" i="24" s="1"/>
  <c r="I102" i="24"/>
  <c r="J102" i="24" s="1"/>
  <c r="K102" i="24"/>
  <c r="K106" i="24"/>
  <c r="H78" i="24"/>
  <c r="I79" i="24" s="1"/>
  <c r="AD18" i="24" s="1"/>
  <c r="I76" i="24"/>
  <c r="E79" i="24"/>
  <c r="D88" i="24"/>
  <c r="K73" i="24"/>
  <c r="K76" i="24"/>
  <c r="K77" i="24"/>
  <c r="L86" i="24"/>
  <c r="G86" i="24" s="1"/>
  <c r="J45" i="24"/>
  <c r="L55" i="24"/>
  <c r="C55" i="24" s="1"/>
  <c r="K45" i="24"/>
  <c r="C50" i="24"/>
  <c r="C51" i="24" s="1"/>
  <c r="D50" i="24"/>
  <c r="D51" i="24" s="1"/>
  <c r="F50" i="24"/>
  <c r="F51" i="24" s="1"/>
  <c r="G21" i="24"/>
  <c r="G22" i="24" s="1"/>
  <c r="K18" i="24"/>
  <c r="K19" i="24"/>
  <c r="C27" i="24"/>
  <c r="N18" i="24"/>
  <c r="W22" i="24" s="1"/>
  <c r="J18" i="24"/>
  <c r="G30" i="24"/>
  <c r="F30" i="24"/>
  <c r="E30" i="24"/>
  <c r="D30" i="24"/>
  <c r="C30" i="24"/>
  <c r="F109" i="24"/>
  <c r="I15" i="24"/>
  <c r="J15" i="24" s="1"/>
  <c r="I16" i="24"/>
  <c r="J16" i="24" s="1"/>
  <c r="I19" i="24"/>
  <c r="J19" i="24" s="1"/>
  <c r="H20" i="24"/>
  <c r="I21" i="24" s="1"/>
  <c r="AD16" i="24" s="1"/>
  <c r="W288" i="24"/>
  <c r="W289" i="24" s="1"/>
  <c r="W287" i="24"/>
  <c r="W226" i="24"/>
  <c r="O27" i="24"/>
  <c r="G27" i="24" s="1"/>
  <c r="K47" i="24"/>
  <c r="E56" i="24"/>
  <c r="G56" i="24"/>
  <c r="C80" i="24"/>
  <c r="N73" i="24"/>
  <c r="T42" i="24" s="1"/>
  <c r="AT86" i="24"/>
  <c r="AX99" i="24"/>
  <c r="E123" i="24"/>
  <c r="E108" i="24"/>
  <c r="K104" i="24"/>
  <c r="AU95" i="24"/>
  <c r="AT84" i="24"/>
  <c r="AR84" i="24"/>
  <c r="AS84" i="24" s="1"/>
  <c r="K15" i="24"/>
  <c r="K16" i="24"/>
  <c r="AA23" i="24"/>
  <c r="I46" i="24"/>
  <c r="J46" i="24" s="1"/>
  <c r="E57" i="24"/>
  <c r="D57" i="24"/>
  <c r="L29" i="24"/>
  <c r="G50" i="24"/>
  <c r="I75" i="24"/>
  <c r="J75" i="24" s="1"/>
  <c r="AO104" i="24"/>
  <c r="AO89" i="24"/>
  <c r="C21" i="24"/>
  <c r="O26" i="24"/>
  <c r="O29" i="24"/>
  <c r="K46" i="24"/>
  <c r="E65" i="24"/>
  <c r="E50" i="24"/>
  <c r="G232" i="24"/>
  <c r="F232" i="24"/>
  <c r="E232" i="24"/>
  <c r="D232" i="24"/>
  <c r="C232" i="24"/>
  <c r="G84" i="24"/>
  <c r="F84" i="24"/>
  <c r="E84" i="24"/>
  <c r="C84" i="24"/>
  <c r="F173" i="24"/>
  <c r="E173" i="24"/>
  <c r="D173" i="24"/>
  <c r="C173" i="24"/>
  <c r="G173" i="24"/>
  <c r="D21" i="24"/>
  <c r="C58" i="24"/>
  <c r="L114" i="24"/>
  <c r="K103" i="24"/>
  <c r="I103" i="24"/>
  <c r="J103" i="24" s="1"/>
  <c r="E21" i="24"/>
  <c r="C57" i="24"/>
  <c r="D58" i="24"/>
  <c r="G87" i="24"/>
  <c r="F87" i="24"/>
  <c r="E87" i="24"/>
  <c r="D87" i="24"/>
  <c r="C87" i="24"/>
  <c r="L28" i="24"/>
  <c r="H49" i="24"/>
  <c r="I50" i="24" s="1"/>
  <c r="AD17" i="24" s="1"/>
  <c r="C56" i="24"/>
  <c r="F57" i="24"/>
  <c r="E58" i="24"/>
  <c r="AQ88" i="24"/>
  <c r="AR89" i="24" s="1"/>
  <c r="I17" i="24"/>
  <c r="J17" i="24" s="1"/>
  <c r="O28" i="24"/>
  <c r="D56" i="24"/>
  <c r="G57" i="24"/>
  <c r="F58" i="24"/>
  <c r="T226" i="24"/>
  <c r="T288" i="24"/>
  <c r="T289" i="24" s="1"/>
  <c r="T287" i="24"/>
  <c r="I44" i="24"/>
  <c r="J44" i="24" s="1"/>
  <c r="F56" i="24"/>
  <c r="D84" i="24"/>
  <c r="AM90" i="24"/>
  <c r="D138" i="24"/>
  <c r="U288" i="24"/>
  <c r="U289" i="24" s="1"/>
  <c r="U287" i="24"/>
  <c r="U226" i="24"/>
  <c r="I47" i="24"/>
  <c r="O60" i="24"/>
  <c r="K74" i="24"/>
  <c r="I74" i="24"/>
  <c r="J74" i="24" s="1"/>
  <c r="L85" i="24"/>
  <c r="X287" i="24"/>
  <c r="X288" i="24"/>
  <c r="X289" i="24" s="1"/>
  <c r="X226" i="24"/>
  <c r="D113" i="24"/>
  <c r="G113" i="24"/>
  <c r="V288" i="24"/>
  <c r="V289" i="24" s="1"/>
  <c r="V287" i="24"/>
  <c r="V226" i="24"/>
  <c r="G59" i="24"/>
  <c r="F59" i="24"/>
  <c r="D59" i="24"/>
  <c r="H59" i="24" s="1"/>
  <c r="D79" i="24"/>
  <c r="E80" i="24"/>
  <c r="AT85" i="24"/>
  <c r="E88" i="24"/>
  <c r="AN89" i="24"/>
  <c r="AU94" i="24"/>
  <c r="E115" i="24"/>
  <c r="L116" i="24"/>
  <c r="AS116" i="24"/>
  <c r="D196" i="24"/>
  <c r="F88" i="24"/>
  <c r="AU97" i="24"/>
  <c r="G115" i="24"/>
  <c r="AO128" i="24"/>
  <c r="AN128" i="24"/>
  <c r="AM128" i="24"/>
  <c r="L174" i="24"/>
  <c r="K163" i="24"/>
  <c r="I163" i="24"/>
  <c r="J163" i="24" s="1"/>
  <c r="E181" i="24"/>
  <c r="K162" i="24"/>
  <c r="E166" i="24"/>
  <c r="AS83" i="24"/>
  <c r="G88" i="24"/>
  <c r="AP89" i="24"/>
  <c r="H107" i="24"/>
  <c r="I108" i="24" s="1"/>
  <c r="AD19" i="24" s="1"/>
  <c r="G79" i="24"/>
  <c r="AT83" i="24"/>
  <c r="O113" i="24"/>
  <c r="C113" i="24" s="1"/>
  <c r="C152" i="24"/>
  <c r="C137" i="24"/>
  <c r="L144" i="24"/>
  <c r="K133" i="24"/>
  <c r="O200" i="24"/>
  <c r="F200" i="24" s="1"/>
  <c r="O204" i="24"/>
  <c r="O201" i="24"/>
  <c r="E201" i="24" s="1"/>
  <c r="O202" i="24"/>
  <c r="O203" i="24"/>
  <c r="F203" i="24" s="1"/>
  <c r="E172" i="24"/>
  <c r="C172" i="24"/>
  <c r="AU98" i="24"/>
  <c r="I135" i="24"/>
  <c r="L146" i="24"/>
  <c r="N163" i="24"/>
  <c r="W72" i="24" s="1"/>
  <c r="F167" i="24"/>
  <c r="L229" i="24"/>
  <c r="H223" i="24"/>
  <c r="I224" i="24" s="1"/>
  <c r="AD23" i="24" s="1"/>
  <c r="I218" i="24"/>
  <c r="K218" i="24"/>
  <c r="I105" i="24"/>
  <c r="J105" i="24" s="1"/>
  <c r="AN123" i="24"/>
  <c r="AO123" i="24"/>
  <c r="AP123" i="24"/>
  <c r="K135" i="24"/>
  <c r="AR86" i="24"/>
  <c r="AS86" i="24" s="1"/>
  <c r="AU96" i="24"/>
  <c r="I106" i="24"/>
  <c r="L117" i="24"/>
  <c r="N134" i="24"/>
  <c r="W62" i="24" s="1"/>
  <c r="O117" i="24"/>
  <c r="F123" i="24"/>
  <c r="H136" i="24"/>
  <c r="I137" i="24" s="1"/>
  <c r="AD20" i="24" s="1"/>
  <c r="K132" i="24"/>
  <c r="I132" i="24"/>
  <c r="J132" i="24" s="1"/>
  <c r="L143" i="24"/>
  <c r="C115" i="24"/>
  <c r="N247" i="24"/>
  <c r="T102" i="24" s="1"/>
  <c r="C254" i="24"/>
  <c r="C142" i="24"/>
  <c r="I193" i="24"/>
  <c r="J193" i="24" s="1"/>
  <c r="L204" i="24"/>
  <c r="K193" i="24"/>
  <c r="K220" i="24"/>
  <c r="D225" i="24"/>
  <c r="F142" i="24"/>
  <c r="O143" i="24"/>
  <c r="O145" i="24"/>
  <c r="F145" i="24" s="1"/>
  <c r="K190" i="24"/>
  <c r="G203" i="24"/>
  <c r="D203" i="24"/>
  <c r="H165" i="24"/>
  <c r="I166" i="24" s="1"/>
  <c r="AD21" i="24" s="1"/>
  <c r="K192" i="24"/>
  <c r="I192" i="24"/>
  <c r="J192" i="24" s="1"/>
  <c r="G230" i="24"/>
  <c r="F230" i="24"/>
  <c r="E230" i="24"/>
  <c r="D230" i="24"/>
  <c r="C230" i="24"/>
  <c r="G268" i="24"/>
  <c r="K251" i="24"/>
  <c r="G253" i="24"/>
  <c r="C195" i="24"/>
  <c r="D210" i="24"/>
  <c r="G233" i="24"/>
  <c r="F233" i="24"/>
  <c r="E233" i="24"/>
  <c r="D233" i="24"/>
  <c r="L171" i="24"/>
  <c r="F196" i="24"/>
  <c r="C167" i="24"/>
  <c r="L202" i="24"/>
  <c r="I191" i="24"/>
  <c r="C233" i="24"/>
  <c r="E297" i="24"/>
  <c r="E282" i="24"/>
  <c r="K191" i="24"/>
  <c r="G231" i="24"/>
  <c r="F231" i="24"/>
  <c r="E231" i="24"/>
  <c r="D231" i="24"/>
  <c r="C231" i="24"/>
  <c r="I220" i="24"/>
  <c r="J220" i="24" s="1"/>
  <c r="G355" i="24"/>
  <c r="G340" i="24"/>
  <c r="K338" i="24"/>
  <c r="G195" i="24"/>
  <c r="H252" i="24"/>
  <c r="I253" i="24" s="1"/>
  <c r="AD24" i="24" s="1"/>
  <c r="D268" i="24"/>
  <c r="H339" i="24"/>
  <c r="I340" i="24" s="1"/>
  <c r="AD27" i="24" s="1"/>
  <c r="K249" i="24"/>
  <c r="E268" i="24"/>
  <c r="G374" i="24"/>
  <c r="F374" i="24"/>
  <c r="E374" i="24"/>
  <c r="D374" i="24"/>
  <c r="K278" i="24"/>
  <c r="L289" i="24"/>
  <c r="I278" i="24"/>
  <c r="J278" i="24" s="1"/>
  <c r="H281" i="24"/>
  <c r="I282" i="24" s="1"/>
  <c r="AD25" i="24" s="1"/>
  <c r="G326" i="24"/>
  <c r="G311" i="24"/>
  <c r="O320" i="24"/>
  <c r="O319" i="24"/>
  <c r="O318" i="24"/>
  <c r="D318" i="24" s="1"/>
  <c r="O317" i="24"/>
  <c r="G317" i="24" s="1"/>
  <c r="O316" i="24"/>
  <c r="E340" i="24"/>
  <c r="L348" i="24"/>
  <c r="D515" i="24"/>
  <c r="E224" i="24"/>
  <c r="F225" i="24"/>
  <c r="K276" i="24"/>
  <c r="F283" i="24"/>
  <c r="C287" i="24"/>
  <c r="F340" i="24"/>
  <c r="L346" i="24"/>
  <c r="G461" i="24"/>
  <c r="F461" i="24"/>
  <c r="E461" i="24"/>
  <c r="D461" i="24"/>
  <c r="C461" i="24"/>
  <c r="K248" i="24"/>
  <c r="I280" i="24"/>
  <c r="L291" i="24"/>
  <c r="I222" i="24"/>
  <c r="N248" i="24"/>
  <c r="U102" i="24" s="1"/>
  <c r="K280" i="24"/>
  <c r="C282" i="24"/>
  <c r="L316" i="24"/>
  <c r="K305" i="24"/>
  <c r="G580" i="24"/>
  <c r="F580" i="24"/>
  <c r="E580" i="24"/>
  <c r="D580" i="24"/>
  <c r="C580" i="24"/>
  <c r="D282" i="24"/>
  <c r="F287" i="24"/>
  <c r="I305" i="24"/>
  <c r="J305" i="24" s="1"/>
  <c r="E312" i="24"/>
  <c r="N307" i="24"/>
  <c r="V122" i="24" s="1"/>
  <c r="C347" i="24"/>
  <c r="K453" i="24"/>
  <c r="L464" i="24"/>
  <c r="I453" i="24"/>
  <c r="J453" i="24" s="1"/>
  <c r="G290" i="24"/>
  <c r="L320" i="24"/>
  <c r="K309" i="24"/>
  <c r="D317" i="24"/>
  <c r="D349" i="24"/>
  <c r="E349" i="24"/>
  <c r="E587" i="24"/>
  <c r="K568" i="24"/>
  <c r="E572" i="24"/>
  <c r="E317" i="24"/>
  <c r="O262" i="24"/>
  <c r="F262" i="24" s="1"/>
  <c r="O261" i="24"/>
  <c r="F261" i="24" s="1"/>
  <c r="O260" i="24"/>
  <c r="F260" i="24" s="1"/>
  <c r="O259" i="24"/>
  <c r="O258" i="24"/>
  <c r="D258" i="24" s="1"/>
  <c r="G288" i="24"/>
  <c r="D345" i="24"/>
  <c r="D347" i="24"/>
  <c r="E347" i="24"/>
  <c r="L377" i="24"/>
  <c r="I366" i="24"/>
  <c r="J366" i="24" s="1"/>
  <c r="C374" i="24"/>
  <c r="C493" i="24"/>
  <c r="K306" i="24"/>
  <c r="K336" i="24"/>
  <c r="I336" i="24"/>
  <c r="J336" i="24" s="1"/>
  <c r="K366" i="24"/>
  <c r="I307" i="24"/>
  <c r="J307" i="24" s="1"/>
  <c r="D340" i="24"/>
  <c r="H397" i="24"/>
  <c r="I398" i="24" s="1"/>
  <c r="AD29" i="24" s="1"/>
  <c r="E407" i="24"/>
  <c r="D407" i="24"/>
  <c r="C407" i="24"/>
  <c r="F399" i="24"/>
  <c r="K452" i="24"/>
  <c r="D375" i="24"/>
  <c r="G435" i="24"/>
  <c r="F435" i="24"/>
  <c r="E435" i="24"/>
  <c r="N421" i="24"/>
  <c r="T162" i="24" s="1"/>
  <c r="C428" i="24"/>
  <c r="D435" i="24"/>
  <c r="O466" i="24"/>
  <c r="E544" i="24"/>
  <c r="K364" i="24"/>
  <c r="D369" i="24"/>
  <c r="E375" i="24"/>
  <c r="G462" i="24"/>
  <c r="E462" i="24"/>
  <c r="D462" i="24"/>
  <c r="C462" i="24"/>
  <c r="O494" i="24"/>
  <c r="O493" i="24"/>
  <c r="D493" i="24" s="1"/>
  <c r="O492" i="24"/>
  <c r="O491" i="24"/>
  <c r="O490" i="24"/>
  <c r="G550" i="24"/>
  <c r="F550" i="24"/>
  <c r="D550" i="24"/>
  <c r="G581" i="24"/>
  <c r="F581" i="24"/>
  <c r="E581" i="24"/>
  <c r="D581" i="24"/>
  <c r="C581" i="24"/>
  <c r="L319" i="24"/>
  <c r="I367" i="24"/>
  <c r="E369" i="24"/>
  <c r="F375" i="24"/>
  <c r="O378" i="24"/>
  <c r="F378" i="24" s="1"/>
  <c r="O377" i="24"/>
  <c r="O376" i="24"/>
  <c r="G376" i="24" s="1"/>
  <c r="D398" i="24"/>
  <c r="D413" i="24"/>
  <c r="G407" i="24"/>
  <c r="C432" i="24"/>
  <c r="C436" i="24"/>
  <c r="F471" i="24"/>
  <c r="O350" i="24"/>
  <c r="F369" i="24"/>
  <c r="K393" i="24"/>
  <c r="G463" i="24"/>
  <c r="F463" i="24"/>
  <c r="E463" i="24"/>
  <c r="D463" i="24"/>
  <c r="C463" i="24"/>
  <c r="K569" i="24"/>
  <c r="G432" i="24"/>
  <c r="F432" i="24"/>
  <c r="E432" i="24"/>
  <c r="G436" i="24"/>
  <c r="F436" i="24"/>
  <c r="E436" i="24"/>
  <c r="H455" i="24"/>
  <c r="I456" i="24" s="1"/>
  <c r="AD31" i="24" s="1"/>
  <c r="E471" i="24"/>
  <c r="E456" i="24"/>
  <c r="H484" i="24"/>
  <c r="I485" i="24" s="1"/>
  <c r="AD32" i="24" s="1"/>
  <c r="L490" i="24"/>
  <c r="K479" i="24"/>
  <c r="L521" i="24"/>
  <c r="K510" i="24"/>
  <c r="I510" i="24"/>
  <c r="J510" i="24" s="1"/>
  <c r="E515" i="24"/>
  <c r="G551" i="24"/>
  <c r="F551" i="24"/>
  <c r="E551" i="24"/>
  <c r="D551" i="24"/>
  <c r="F573" i="24"/>
  <c r="G399" i="24"/>
  <c r="F515" i="24"/>
  <c r="G577" i="24"/>
  <c r="F577" i="24"/>
  <c r="E577" i="24"/>
  <c r="D577" i="24"/>
  <c r="C577" i="24"/>
  <c r="I363" i="24"/>
  <c r="J363" i="24" s="1"/>
  <c r="K365" i="24"/>
  <c r="C370" i="24"/>
  <c r="L405" i="24"/>
  <c r="K394" i="24"/>
  <c r="I394" i="24"/>
  <c r="G433" i="24"/>
  <c r="F433" i="24"/>
  <c r="E433" i="24"/>
  <c r="D433" i="24"/>
  <c r="N479" i="24"/>
  <c r="T182" i="24" s="1"/>
  <c r="C552" i="24"/>
  <c r="G465" i="24"/>
  <c r="F465" i="24"/>
  <c r="E465" i="24"/>
  <c r="D465" i="24"/>
  <c r="C465" i="24"/>
  <c r="E523" i="24"/>
  <c r="D523" i="24"/>
  <c r="C523" i="24"/>
  <c r="F523" i="24"/>
  <c r="G548" i="24"/>
  <c r="F548" i="24"/>
  <c r="E548" i="24"/>
  <c r="F578" i="24"/>
  <c r="E578" i="24"/>
  <c r="D578" i="24"/>
  <c r="C578" i="24"/>
  <c r="E428" i="24"/>
  <c r="E486" i="24"/>
  <c r="N481" i="24"/>
  <c r="V182" i="24" s="1"/>
  <c r="G552" i="24"/>
  <c r="F552" i="24"/>
  <c r="E552" i="24"/>
  <c r="F587" i="24"/>
  <c r="G434" i="24"/>
  <c r="F434" i="24"/>
  <c r="E434" i="24"/>
  <c r="D434" i="24"/>
  <c r="H513" i="24"/>
  <c r="I514" i="24" s="1"/>
  <c r="AD33" i="24" s="1"/>
  <c r="G579" i="24"/>
  <c r="F579" i="24"/>
  <c r="E579" i="24"/>
  <c r="D579" i="24"/>
  <c r="C579" i="24"/>
  <c r="K396" i="24"/>
  <c r="K422" i="24"/>
  <c r="D427" i="24"/>
  <c r="G457" i="24"/>
  <c r="D486" i="24"/>
  <c r="E500" i="24"/>
  <c r="K512" i="24"/>
  <c r="G514" i="24"/>
  <c r="K538" i="24"/>
  <c r="D543" i="24"/>
  <c r="G573" i="24"/>
  <c r="I425" i="24"/>
  <c r="J425" i="24" s="1"/>
  <c r="L491" i="24"/>
  <c r="L492" i="24"/>
  <c r="L494" i="24"/>
  <c r="I541" i="24"/>
  <c r="J541" i="24" s="1"/>
  <c r="I567" i="24"/>
  <c r="J567" i="24" s="1"/>
  <c r="F427" i="24"/>
  <c r="C456" i="24"/>
  <c r="G500" i="24"/>
  <c r="O524" i="24"/>
  <c r="D529" i="24"/>
  <c r="F543" i="24"/>
  <c r="C572" i="24"/>
  <c r="D572" i="24"/>
  <c r="L403" i="24"/>
  <c r="L404" i="24"/>
  <c r="L406" i="24"/>
  <c r="I454" i="24"/>
  <c r="J454" i="24" s="1"/>
  <c r="L520" i="24"/>
  <c r="L522" i="24"/>
  <c r="I452" i="24"/>
  <c r="J452" i="24" s="1"/>
  <c r="I393" i="24"/>
  <c r="J393" i="24" s="1"/>
  <c r="K421" i="24"/>
  <c r="I483" i="24"/>
  <c r="I509" i="24"/>
  <c r="J509" i="24" s="1"/>
  <c r="K537" i="24"/>
  <c r="D519" i="24"/>
  <c r="AS134" i="23"/>
  <c r="AS124" i="23"/>
  <c r="AN133" i="23"/>
  <c r="AO133" i="23"/>
  <c r="AL128" i="23"/>
  <c r="AX94" i="23"/>
  <c r="AX95" i="23"/>
  <c r="AP95" i="23" s="1"/>
  <c r="AX96" i="23"/>
  <c r="AR84" i="23"/>
  <c r="AS84" i="23" s="1"/>
  <c r="AR86" i="23"/>
  <c r="AS86" i="23" s="1"/>
  <c r="AL89" i="23"/>
  <c r="AL90" i="23" s="1"/>
  <c r="AU98" i="23"/>
  <c r="AR87" i="23"/>
  <c r="AS87" i="23" s="1"/>
  <c r="AW87" i="23"/>
  <c r="AP115" i="23" s="1"/>
  <c r="O549" i="23"/>
  <c r="O550" i="23"/>
  <c r="E550" i="23" s="1"/>
  <c r="O551" i="23"/>
  <c r="G551" i="23" s="1"/>
  <c r="AA203" i="23"/>
  <c r="O464" i="23"/>
  <c r="E464" i="23" s="1"/>
  <c r="AA173" i="23"/>
  <c r="O461" i="23"/>
  <c r="O466" i="23" s="1"/>
  <c r="O462" i="23"/>
  <c r="C462" i="23" s="1"/>
  <c r="O432" i="23"/>
  <c r="C432" i="23" s="1"/>
  <c r="O433" i="23"/>
  <c r="D433" i="23" s="1"/>
  <c r="O434" i="23"/>
  <c r="AA163" i="23"/>
  <c r="D374" i="23"/>
  <c r="O376" i="23"/>
  <c r="O379" i="23" s="1"/>
  <c r="O377" i="23"/>
  <c r="O378" i="23"/>
  <c r="O346" i="23"/>
  <c r="O350" i="23" s="1"/>
  <c r="E349" i="23"/>
  <c r="O316" i="23"/>
  <c r="E316" i="23" s="1"/>
  <c r="O317" i="23"/>
  <c r="G317" i="23" s="1"/>
  <c r="F318" i="23"/>
  <c r="O258" i="23"/>
  <c r="C258" i="23" s="1"/>
  <c r="AA103" i="23"/>
  <c r="O259" i="23"/>
  <c r="F259" i="23" s="1"/>
  <c r="D259" i="23"/>
  <c r="G261" i="23"/>
  <c r="AA93" i="23"/>
  <c r="O204" i="23"/>
  <c r="O174" i="23"/>
  <c r="O175" i="23"/>
  <c r="D175" i="23" s="1"/>
  <c r="O173" i="23"/>
  <c r="C173" i="23" s="1"/>
  <c r="O86" i="23"/>
  <c r="O55" i="23"/>
  <c r="G55" i="23" s="1"/>
  <c r="O56" i="23"/>
  <c r="F56" i="23" s="1"/>
  <c r="O58" i="23"/>
  <c r="O28" i="23"/>
  <c r="AA23" i="23"/>
  <c r="AA287" i="23" s="1"/>
  <c r="O26" i="23"/>
  <c r="I567" i="23"/>
  <c r="J567" i="23" s="1"/>
  <c r="K567" i="23"/>
  <c r="E572" i="23"/>
  <c r="E573" i="23" s="1"/>
  <c r="K568" i="23"/>
  <c r="C587" i="23"/>
  <c r="I539" i="23"/>
  <c r="J539" i="23" s="1"/>
  <c r="K537" i="23"/>
  <c r="C543" i="23"/>
  <c r="C544" i="23" s="1"/>
  <c r="D543" i="23"/>
  <c r="D544" i="23" s="1"/>
  <c r="F515" i="23"/>
  <c r="N511" i="23"/>
  <c r="W192" i="23" s="1"/>
  <c r="L519" i="23"/>
  <c r="F529" i="23"/>
  <c r="N508" i="23"/>
  <c r="T192" i="23" s="1"/>
  <c r="K511" i="23"/>
  <c r="C515" i="23"/>
  <c r="I483" i="23"/>
  <c r="J483" i="23" s="1"/>
  <c r="N454" i="23"/>
  <c r="X172" i="23" s="1"/>
  <c r="L465" i="23"/>
  <c r="C465" i="23" s="1"/>
  <c r="K451" i="23"/>
  <c r="D456" i="23"/>
  <c r="D457" i="23" s="1"/>
  <c r="G457" i="23"/>
  <c r="I453" i="23"/>
  <c r="J453" i="23" s="1"/>
  <c r="L463" i="23"/>
  <c r="F463" i="23" s="1"/>
  <c r="K424" i="23"/>
  <c r="L432" i="23"/>
  <c r="E432" i="23" s="1"/>
  <c r="N421" i="23"/>
  <c r="T162" i="23" s="1"/>
  <c r="I422" i="23"/>
  <c r="J422" i="23" s="1"/>
  <c r="H426" i="23"/>
  <c r="I427" i="23" s="1"/>
  <c r="AD30" i="23" s="1"/>
  <c r="I423" i="23"/>
  <c r="J423" i="23" s="1"/>
  <c r="G398" i="23"/>
  <c r="G399" i="23" s="1"/>
  <c r="L407" i="23"/>
  <c r="I396" i="23"/>
  <c r="J396" i="23" s="1"/>
  <c r="F413" i="23"/>
  <c r="K392" i="23"/>
  <c r="L378" i="23"/>
  <c r="I367" i="23"/>
  <c r="J367" i="23" s="1"/>
  <c r="D340" i="23"/>
  <c r="D341" i="23" s="1"/>
  <c r="E340" i="23"/>
  <c r="N336" i="23" s="1"/>
  <c r="V132" i="23" s="1"/>
  <c r="L347" i="23"/>
  <c r="G347" i="23" s="1"/>
  <c r="K335" i="23"/>
  <c r="F316" i="23"/>
  <c r="I307" i="23"/>
  <c r="J307" i="23" s="1"/>
  <c r="F326" i="23"/>
  <c r="G326" i="23"/>
  <c r="K309" i="23"/>
  <c r="E318" i="23"/>
  <c r="I278" i="23"/>
  <c r="J278" i="23" s="1"/>
  <c r="K279" i="23"/>
  <c r="L290" i="23"/>
  <c r="F282" i="23"/>
  <c r="F283" i="23" s="1"/>
  <c r="C253" i="23"/>
  <c r="C254" i="23" s="1"/>
  <c r="D253" i="23"/>
  <c r="D254" i="23" s="1"/>
  <c r="K247" i="23"/>
  <c r="F253" i="23"/>
  <c r="F254" i="23" s="1"/>
  <c r="G253" i="23"/>
  <c r="G254" i="23" s="1"/>
  <c r="F258" i="23"/>
  <c r="G258" i="23"/>
  <c r="E259" i="23"/>
  <c r="K218" i="23"/>
  <c r="C224" i="23"/>
  <c r="F224" i="23"/>
  <c r="F225" i="23" s="1"/>
  <c r="K221" i="23"/>
  <c r="L201" i="23"/>
  <c r="C210" i="23"/>
  <c r="K189" i="23"/>
  <c r="I189" i="23"/>
  <c r="J189" i="23" s="1"/>
  <c r="I162" i="23"/>
  <c r="J162" i="23" s="1"/>
  <c r="K162" i="23"/>
  <c r="C166" i="23"/>
  <c r="E175" i="23"/>
  <c r="N135" i="23"/>
  <c r="X62" i="23" s="1"/>
  <c r="F137" i="23"/>
  <c r="F138" i="23" s="1"/>
  <c r="I133" i="23"/>
  <c r="J133" i="23" s="1"/>
  <c r="K134" i="23"/>
  <c r="K133" i="23"/>
  <c r="K135" i="23"/>
  <c r="L146" i="23"/>
  <c r="K104" i="23"/>
  <c r="G108" i="23"/>
  <c r="I102" i="23"/>
  <c r="J102" i="23" s="1"/>
  <c r="I105" i="23"/>
  <c r="J105" i="23" s="1"/>
  <c r="K105" i="23"/>
  <c r="D79" i="23"/>
  <c r="D80" i="23" s="1"/>
  <c r="F79" i="23"/>
  <c r="F80" i="23" s="1"/>
  <c r="C94" i="23"/>
  <c r="K76" i="23"/>
  <c r="D65" i="23"/>
  <c r="F65" i="23"/>
  <c r="L59" i="23"/>
  <c r="D59" i="23" s="1"/>
  <c r="K45" i="23"/>
  <c r="H49" i="23"/>
  <c r="I50" i="23" s="1"/>
  <c r="AD17" i="23" s="1"/>
  <c r="F36" i="23"/>
  <c r="G36" i="23"/>
  <c r="C21" i="23"/>
  <c r="C22" i="23" s="1"/>
  <c r="D21" i="23"/>
  <c r="D22" i="23" s="1"/>
  <c r="L30" i="23"/>
  <c r="G22" i="23"/>
  <c r="N19" i="23"/>
  <c r="X22" i="23" s="1"/>
  <c r="N18" i="23"/>
  <c r="W22" i="23" s="1"/>
  <c r="J18" i="23"/>
  <c r="L86" i="23"/>
  <c r="K75" i="23"/>
  <c r="T288" i="23"/>
  <c r="T289" i="23" s="1"/>
  <c r="T287" i="23"/>
  <c r="T226" i="23"/>
  <c r="L27" i="23"/>
  <c r="L85" i="23"/>
  <c r="K74" i="23"/>
  <c r="AM104" i="23"/>
  <c r="AT84" i="23"/>
  <c r="AM89" i="23"/>
  <c r="AP128" i="23"/>
  <c r="AO128" i="23"/>
  <c r="AN128" i="23"/>
  <c r="C80" i="23"/>
  <c r="H20" i="23"/>
  <c r="I21" i="23" s="1"/>
  <c r="AD16" i="23" s="1"/>
  <c r="I15" i="23"/>
  <c r="J15" i="23" s="1"/>
  <c r="K16" i="23"/>
  <c r="L28" i="23"/>
  <c r="C65" i="23"/>
  <c r="C50" i="23"/>
  <c r="I75" i="23"/>
  <c r="J75" i="23" s="1"/>
  <c r="E80" i="23"/>
  <c r="X287" i="23"/>
  <c r="X288" i="23"/>
  <c r="X289" i="23" s="1"/>
  <c r="X226" i="23"/>
  <c r="L29" i="23"/>
  <c r="K44" i="23"/>
  <c r="K15" i="23"/>
  <c r="K19" i="23"/>
  <c r="L58" i="23"/>
  <c r="K47" i="23"/>
  <c r="H78" i="23"/>
  <c r="I79" i="23" s="1"/>
  <c r="AD18" i="23" s="1"/>
  <c r="L84" i="23"/>
  <c r="K73" i="23"/>
  <c r="I73" i="23"/>
  <c r="J73" i="23" s="1"/>
  <c r="C196" i="23"/>
  <c r="AU96" i="23"/>
  <c r="AT85" i="23"/>
  <c r="AR85" i="23"/>
  <c r="G30" i="23"/>
  <c r="F30" i="23"/>
  <c r="E30" i="23"/>
  <c r="I47" i="23"/>
  <c r="J47" i="23" s="1"/>
  <c r="J76" i="23"/>
  <c r="C108" i="23"/>
  <c r="D210" i="23"/>
  <c r="D195" i="23"/>
  <c r="G65" i="23"/>
  <c r="G50" i="23"/>
  <c r="E55" i="23"/>
  <c r="D55" i="23"/>
  <c r="D109" i="23"/>
  <c r="V287" i="23"/>
  <c r="V226" i="23"/>
  <c r="V288" i="23"/>
  <c r="V289" i="23" s="1"/>
  <c r="AO104" i="23"/>
  <c r="AO89" i="23"/>
  <c r="AT86" i="23"/>
  <c r="G109" i="23"/>
  <c r="N106" i="23"/>
  <c r="X52" i="23" s="1"/>
  <c r="K46" i="23"/>
  <c r="L57" i="23"/>
  <c r="I46" i="23"/>
  <c r="J46" i="23" s="1"/>
  <c r="N17" i="23"/>
  <c r="V22" i="23" s="1"/>
  <c r="L26" i="23"/>
  <c r="L117" i="23"/>
  <c r="H107" i="23"/>
  <c r="I108" i="23" s="1"/>
  <c r="AD19" i="23" s="1"/>
  <c r="K106" i="23"/>
  <c r="C30" i="23"/>
  <c r="I106" i="23"/>
  <c r="J106" i="23" s="1"/>
  <c r="AP98" i="23"/>
  <c r="AO98" i="23"/>
  <c r="AN98" i="23"/>
  <c r="AM98" i="23"/>
  <c r="AL98" i="23"/>
  <c r="D30" i="23"/>
  <c r="C56" i="23"/>
  <c r="E94" i="23"/>
  <c r="O114" i="23"/>
  <c r="O115" i="23"/>
  <c r="D115" i="23" s="1"/>
  <c r="O116" i="23"/>
  <c r="O117" i="23"/>
  <c r="O146" i="23"/>
  <c r="O145" i="23"/>
  <c r="C145" i="23" s="1"/>
  <c r="O142" i="23"/>
  <c r="O144" i="23"/>
  <c r="C144" i="23" s="1"/>
  <c r="F196" i="23"/>
  <c r="L88" i="23"/>
  <c r="AQ88" i="23"/>
  <c r="AR89" i="23" s="1"/>
  <c r="F123" i="23"/>
  <c r="F108" i="23"/>
  <c r="L114" i="23"/>
  <c r="AS129" i="23"/>
  <c r="K161" i="23"/>
  <c r="L172" i="23"/>
  <c r="G196" i="23"/>
  <c r="I45" i="23"/>
  <c r="N74" i="23"/>
  <c r="U42" i="23" s="1"/>
  <c r="O88" i="23"/>
  <c r="G94" i="23"/>
  <c r="L143" i="23"/>
  <c r="K132" i="23"/>
  <c r="I161" i="23"/>
  <c r="L204" i="23"/>
  <c r="K193" i="23"/>
  <c r="I193" i="23"/>
  <c r="J193" i="23" s="1"/>
  <c r="D152" i="23"/>
  <c r="D137" i="23"/>
  <c r="C288" i="23"/>
  <c r="G288" i="23"/>
  <c r="F288" i="23"/>
  <c r="E288" i="23"/>
  <c r="D288" i="23"/>
  <c r="AR83" i="23"/>
  <c r="AU94" i="23"/>
  <c r="F113" i="23"/>
  <c r="E113" i="23"/>
  <c r="D113" i="23"/>
  <c r="U287" i="23"/>
  <c r="U226" i="23"/>
  <c r="U288" i="23"/>
  <c r="U289" i="23" s="1"/>
  <c r="E50" i="23"/>
  <c r="I77" i="23"/>
  <c r="J77" i="23" s="1"/>
  <c r="O84" i="23"/>
  <c r="L87" i="23"/>
  <c r="I103" i="23"/>
  <c r="J103" i="23" s="1"/>
  <c r="K102" i="23"/>
  <c r="AP104" i="23"/>
  <c r="C113" i="23"/>
  <c r="F145" i="23"/>
  <c r="G145" i="23"/>
  <c r="D145" i="23"/>
  <c r="O143" i="23"/>
  <c r="C282" i="23"/>
  <c r="C297" i="23"/>
  <c r="K276" i="23"/>
  <c r="W287" i="23"/>
  <c r="W226" i="23"/>
  <c r="W288" i="23"/>
  <c r="W289" i="23" s="1"/>
  <c r="O27" i="23"/>
  <c r="AS116" i="23"/>
  <c r="AX97" i="23"/>
  <c r="I104" i="23"/>
  <c r="J104" i="23" s="1"/>
  <c r="G113" i="23"/>
  <c r="AS119" i="23"/>
  <c r="E137" i="23"/>
  <c r="E152" i="23"/>
  <c r="F175" i="23"/>
  <c r="E202" i="23"/>
  <c r="D202" i="23"/>
  <c r="C202" i="23"/>
  <c r="K219" i="23"/>
  <c r="I219" i="23"/>
  <c r="E225" i="23"/>
  <c r="N220" i="23"/>
  <c r="V92" i="23" s="1"/>
  <c r="D297" i="23"/>
  <c r="D282" i="23"/>
  <c r="G319" i="23"/>
  <c r="D319" i="23"/>
  <c r="C319" i="23"/>
  <c r="F319" i="23"/>
  <c r="E319" i="23"/>
  <c r="L377" i="23"/>
  <c r="K366" i="23"/>
  <c r="I366" i="23"/>
  <c r="J366" i="23" s="1"/>
  <c r="I131" i="23"/>
  <c r="G175" i="23"/>
  <c r="I191" i="23"/>
  <c r="J191" i="23" s="1"/>
  <c r="G201" i="23"/>
  <c r="E201" i="23"/>
  <c r="D201" i="23"/>
  <c r="D203" i="23"/>
  <c r="K277" i="23"/>
  <c r="E456" i="23"/>
  <c r="E471" i="23"/>
  <c r="K452" i="23"/>
  <c r="I134" i="23"/>
  <c r="J134" i="23" s="1"/>
  <c r="H136" i="23"/>
  <c r="I137" i="23" s="1"/>
  <c r="AD20" i="23" s="1"/>
  <c r="E166" i="23"/>
  <c r="G167" i="23"/>
  <c r="K191" i="23"/>
  <c r="G225" i="23"/>
  <c r="F456" i="23"/>
  <c r="K453" i="23"/>
  <c r="F471" i="23"/>
  <c r="K131" i="23"/>
  <c r="K160" i="23"/>
  <c r="F166" i="23"/>
  <c r="L174" i="23"/>
  <c r="H194" i="23"/>
  <c r="I195" i="23" s="1"/>
  <c r="AD22" i="23" s="1"/>
  <c r="N450" i="23"/>
  <c r="T172" i="23" s="1"/>
  <c r="J450" i="23"/>
  <c r="G543" i="23"/>
  <c r="G558" i="23"/>
  <c r="O176" i="23"/>
  <c r="E229" i="23"/>
  <c r="O232" i="23"/>
  <c r="O231" i="23"/>
  <c r="G231" i="23" s="1"/>
  <c r="O230" i="23"/>
  <c r="O229" i="23"/>
  <c r="G229" i="23" s="1"/>
  <c r="AL123" i="23"/>
  <c r="I164" i="23"/>
  <c r="J164" i="23" s="1"/>
  <c r="D173" i="23"/>
  <c r="G203" i="23"/>
  <c r="F203" i="23"/>
  <c r="C203" i="23"/>
  <c r="G289" i="23"/>
  <c r="C289" i="23"/>
  <c r="F289" i="23"/>
  <c r="E289" i="23"/>
  <c r="D289" i="23"/>
  <c r="F317" i="23"/>
  <c r="E108" i="23"/>
  <c r="AM123" i="23"/>
  <c r="I163" i="23"/>
  <c r="J163" i="23" s="1"/>
  <c r="L171" i="23"/>
  <c r="K190" i="23"/>
  <c r="I192" i="23"/>
  <c r="J192" i="23" s="1"/>
  <c r="F202" i="23"/>
  <c r="N221" i="23"/>
  <c r="W92" i="23" s="1"/>
  <c r="L230" i="23"/>
  <c r="AN123" i="23"/>
  <c r="K164" i="23"/>
  <c r="H165" i="23"/>
  <c r="I166" i="23" s="1"/>
  <c r="AD21" i="23" s="1"/>
  <c r="F173" i="23"/>
  <c r="E195" i="23"/>
  <c r="G202" i="23"/>
  <c r="F210" i="23"/>
  <c r="G233" i="23"/>
  <c r="F233" i="23"/>
  <c r="E233" i="23"/>
  <c r="D233" i="23"/>
  <c r="C233" i="23"/>
  <c r="AO123" i="23"/>
  <c r="AL133" i="23"/>
  <c r="G173" i="23"/>
  <c r="K192" i="23"/>
  <c r="G210" i="23"/>
  <c r="F231" i="23"/>
  <c r="E231" i="23"/>
  <c r="L262" i="23"/>
  <c r="K251" i="23"/>
  <c r="I251" i="23"/>
  <c r="J251" i="23" s="1"/>
  <c r="G287" i="23"/>
  <c r="C287" i="23"/>
  <c r="F287" i="23"/>
  <c r="E287" i="23"/>
  <c r="D287" i="23"/>
  <c r="K220" i="23"/>
  <c r="G259" i="23"/>
  <c r="O292" i="23"/>
  <c r="E291" i="23"/>
  <c r="D291" i="23"/>
  <c r="C291" i="23"/>
  <c r="K308" i="23"/>
  <c r="I308" i="23"/>
  <c r="J308" i="23" s="1"/>
  <c r="G349" i="23"/>
  <c r="F349" i="23"/>
  <c r="L405" i="23"/>
  <c r="H397" i="23"/>
  <c r="I398" i="23" s="1"/>
  <c r="AD29" i="23" s="1"/>
  <c r="K394" i="23"/>
  <c r="G345" i="23"/>
  <c r="F345" i="23"/>
  <c r="I394" i="23"/>
  <c r="J394" i="23" s="1"/>
  <c r="G578" i="23"/>
  <c r="F578" i="23"/>
  <c r="C578" i="23"/>
  <c r="E578" i="23"/>
  <c r="D578" i="23"/>
  <c r="E239" i="23"/>
  <c r="I250" i="23"/>
  <c r="J250" i="23" s="1"/>
  <c r="I309" i="23"/>
  <c r="J309" i="23" s="1"/>
  <c r="I334" i="23"/>
  <c r="F374" i="23"/>
  <c r="E374" i="23"/>
  <c r="C374" i="23"/>
  <c r="D485" i="23"/>
  <c r="D500" i="23"/>
  <c r="K570" i="23"/>
  <c r="L581" i="23"/>
  <c r="K278" i="23"/>
  <c r="C326" i="23"/>
  <c r="C311" i="23"/>
  <c r="K334" i="23"/>
  <c r="C345" i="23"/>
  <c r="K508" i="23"/>
  <c r="I570" i="23"/>
  <c r="J570" i="23" s="1"/>
  <c r="L232" i="23"/>
  <c r="G239" i="23"/>
  <c r="I249" i="23"/>
  <c r="J249" i="23" s="1"/>
  <c r="K250" i="23"/>
  <c r="C261" i="23"/>
  <c r="K280" i="23"/>
  <c r="I280" i="23"/>
  <c r="J280" i="23" s="1"/>
  <c r="D290" i="23"/>
  <c r="C290" i="23"/>
  <c r="D345" i="23"/>
  <c r="K363" i="23"/>
  <c r="H368" i="23"/>
  <c r="I369" i="23" s="1"/>
  <c r="AD28" i="23" s="1"/>
  <c r="D261" i="23"/>
  <c r="H310" i="23"/>
  <c r="I311" i="23" s="1"/>
  <c r="AD26" i="23" s="1"/>
  <c r="G316" i="23"/>
  <c r="D316" i="23"/>
  <c r="G318" i="23"/>
  <c r="D318" i="23"/>
  <c r="C318" i="23"/>
  <c r="L320" i="23"/>
  <c r="E345" i="23"/>
  <c r="I363" i="23"/>
  <c r="J363" i="23" s="1"/>
  <c r="O407" i="23"/>
  <c r="D407" i="23" s="1"/>
  <c r="O406" i="23"/>
  <c r="O405" i="23"/>
  <c r="O404" i="23"/>
  <c r="E404" i="23" s="1"/>
  <c r="O403" i="23"/>
  <c r="E403" i="23" s="1"/>
  <c r="G433" i="23"/>
  <c r="C529" i="23"/>
  <c r="L200" i="23"/>
  <c r="I222" i="23"/>
  <c r="J222" i="23" s="1"/>
  <c r="I248" i="23"/>
  <c r="J248" i="23" s="1"/>
  <c r="K249" i="23"/>
  <c r="E254" i="23"/>
  <c r="C260" i="23"/>
  <c r="E261" i="23"/>
  <c r="K306" i="23"/>
  <c r="F312" i="23"/>
  <c r="N335" i="23"/>
  <c r="U132" i="23" s="1"/>
  <c r="K364" i="23"/>
  <c r="L375" i="23"/>
  <c r="L434" i="23"/>
  <c r="K541" i="23"/>
  <c r="I541" i="23"/>
  <c r="J541" i="23" s="1"/>
  <c r="O205" i="23"/>
  <c r="D260" i="23"/>
  <c r="F261" i="23"/>
  <c r="O263" i="23"/>
  <c r="G312" i="23"/>
  <c r="F355" i="23"/>
  <c r="F340" i="23"/>
  <c r="F384" i="23"/>
  <c r="F369" i="23"/>
  <c r="C404" i="23"/>
  <c r="O492" i="23"/>
  <c r="E492" i="23" s="1"/>
  <c r="O493" i="23"/>
  <c r="D493" i="23" s="1"/>
  <c r="O494" i="23"/>
  <c r="E494" i="23" s="1"/>
  <c r="O491" i="23"/>
  <c r="K510" i="23"/>
  <c r="L521" i="23"/>
  <c r="H513" i="23"/>
  <c r="I514" i="23" s="1"/>
  <c r="AD33" i="23" s="1"/>
  <c r="F572" i="23"/>
  <c r="F587" i="23"/>
  <c r="K222" i="23"/>
  <c r="H223" i="23"/>
  <c r="I224" i="23" s="1"/>
  <c r="AD23" i="23" s="1"/>
  <c r="I247" i="23"/>
  <c r="K248" i="23"/>
  <c r="E260" i="23"/>
  <c r="H281" i="23"/>
  <c r="I282" i="23" s="1"/>
  <c r="AD25" i="23" s="1"/>
  <c r="D311" i="23"/>
  <c r="G340" i="23"/>
  <c r="G355" i="23"/>
  <c r="C349" i="23"/>
  <c r="G370" i="23"/>
  <c r="N367" i="23"/>
  <c r="X142" i="23" s="1"/>
  <c r="F462" i="23"/>
  <c r="E462" i="23"/>
  <c r="D462" i="23"/>
  <c r="I510" i="23"/>
  <c r="J510" i="23" s="1"/>
  <c r="L552" i="23"/>
  <c r="H252" i="23"/>
  <c r="I253" i="23" s="1"/>
  <c r="AD24" i="23" s="1"/>
  <c r="I276" i="23"/>
  <c r="J276" i="23" s="1"/>
  <c r="E282" i="23"/>
  <c r="F291" i="23"/>
  <c r="E311" i="23"/>
  <c r="L348" i="23"/>
  <c r="K337" i="23"/>
  <c r="H339" i="23"/>
  <c r="I340" i="23" s="1"/>
  <c r="AD27" i="23" s="1"/>
  <c r="D349" i="23"/>
  <c r="E413" i="23"/>
  <c r="E398" i="23"/>
  <c r="L461" i="23"/>
  <c r="K450" i="23"/>
  <c r="H455" i="23"/>
  <c r="I456" i="23" s="1"/>
  <c r="AD31" i="23" s="1"/>
  <c r="E490" i="23"/>
  <c r="D490" i="23"/>
  <c r="G490" i="23"/>
  <c r="F490" i="23"/>
  <c r="C490" i="23"/>
  <c r="J568" i="23"/>
  <c r="O523" i="23"/>
  <c r="O522" i="23"/>
  <c r="G522" i="23" s="1"/>
  <c r="O521" i="23"/>
  <c r="O520" i="23"/>
  <c r="D520" i="23" s="1"/>
  <c r="O519" i="23"/>
  <c r="D519" i="23" s="1"/>
  <c r="N538" i="23"/>
  <c r="U202" i="23" s="1"/>
  <c r="E551" i="23"/>
  <c r="D551" i="23"/>
  <c r="C551" i="23"/>
  <c r="L346" i="23"/>
  <c r="I481" i="23"/>
  <c r="J481" i="23" s="1"/>
  <c r="F500" i="23"/>
  <c r="F485" i="23"/>
  <c r="D515" i="23"/>
  <c r="N509" i="23"/>
  <c r="U192" i="23" s="1"/>
  <c r="K569" i="23"/>
  <c r="E378" i="23"/>
  <c r="C378" i="23"/>
  <c r="I395" i="23"/>
  <c r="L406" i="23"/>
  <c r="D428" i="23"/>
  <c r="N422" i="23"/>
  <c r="U162" i="23" s="1"/>
  <c r="G464" i="23"/>
  <c r="F464" i="23"/>
  <c r="D464" i="23"/>
  <c r="K481" i="23"/>
  <c r="N510" i="23"/>
  <c r="V192" i="23" s="1"/>
  <c r="K540" i="23"/>
  <c r="I540" i="23"/>
  <c r="I306" i="23"/>
  <c r="J306" i="23" s="1"/>
  <c r="K338" i="23"/>
  <c r="K365" i="23"/>
  <c r="N364" i="23"/>
  <c r="U142" i="23" s="1"/>
  <c r="L376" i="23"/>
  <c r="K395" i="23"/>
  <c r="N424" i="23"/>
  <c r="W162" i="23" s="1"/>
  <c r="O435" i="23"/>
  <c r="C435" i="23" s="1"/>
  <c r="K482" i="23"/>
  <c r="L523" i="23"/>
  <c r="K512" i="23"/>
  <c r="I512" i="23"/>
  <c r="O579" i="23"/>
  <c r="G579" i="23" s="1"/>
  <c r="O580" i="23"/>
  <c r="O577" i="23"/>
  <c r="E369" i="23"/>
  <c r="E384" i="23"/>
  <c r="L436" i="23"/>
  <c r="K425" i="23"/>
  <c r="I425" i="23"/>
  <c r="H571" i="23"/>
  <c r="I572" i="23" s="1"/>
  <c r="AD35" i="23" s="1"/>
  <c r="K566" i="23"/>
  <c r="E341" i="23"/>
  <c r="C384" i="23"/>
  <c r="F433" i="23"/>
  <c r="E433" i="23"/>
  <c r="C433" i="23"/>
  <c r="H484" i="23"/>
  <c r="I485" i="23" s="1"/>
  <c r="AD32" i="23" s="1"/>
  <c r="C550" i="23"/>
  <c r="N566" i="23"/>
  <c r="T212" i="23" s="1"/>
  <c r="L577" i="23"/>
  <c r="D384" i="23"/>
  <c r="C413" i="23"/>
  <c r="C398" i="23"/>
  <c r="K483" i="23"/>
  <c r="E558" i="23"/>
  <c r="E543" i="23"/>
  <c r="D573" i="23"/>
  <c r="N567" i="23"/>
  <c r="U212" i="23" s="1"/>
  <c r="K336" i="23"/>
  <c r="K393" i="23"/>
  <c r="D413" i="23"/>
  <c r="D398" i="23"/>
  <c r="E407" i="23"/>
  <c r="K422" i="23"/>
  <c r="I451" i="23"/>
  <c r="J451" i="23" s="1"/>
  <c r="N483" i="23"/>
  <c r="X182" i="23" s="1"/>
  <c r="K538" i="23"/>
  <c r="L549" i="23"/>
  <c r="F551" i="23"/>
  <c r="H542" i="23"/>
  <c r="I543" i="23" s="1"/>
  <c r="AD34" i="23" s="1"/>
  <c r="K454" i="23"/>
  <c r="G471" i="23"/>
  <c r="K479" i="23"/>
  <c r="C500" i="23"/>
  <c r="F558" i="23"/>
  <c r="G572" i="23"/>
  <c r="G587" i="23"/>
  <c r="L580" i="23"/>
  <c r="D587" i="23"/>
  <c r="E485" i="23"/>
  <c r="E515" i="23"/>
  <c r="K480" i="23"/>
  <c r="C494" i="23"/>
  <c r="E520" i="23"/>
  <c r="L548" i="23"/>
  <c r="K421" i="23"/>
  <c r="I480" i="23"/>
  <c r="J480" i="23" s="1"/>
  <c r="L491" i="23"/>
  <c r="F494" i="23"/>
  <c r="K539" i="23"/>
  <c r="O553" i="23"/>
  <c r="AS124" i="21"/>
  <c r="AM133" i="21"/>
  <c r="AO133" i="21"/>
  <c r="AT86" i="21"/>
  <c r="AL89" i="21"/>
  <c r="AU95" i="21"/>
  <c r="AP104" i="21"/>
  <c r="AW85" i="21"/>
  <c r="AN115" i="21" s="1"/>
  <c r="AU98" i="21"/>
  <c r="AR87" i="21"/>
  <c r="AS87" i="21" s="1"/>
  <c r="AN90" i="21"/>
  <c r="AT83" i="21"/>
  <c r="AP90" i="21"/>
  <c r="AR84" i="21"/>
  <c r="AS84" i="21" s="1"/>
  <c r="O549" i="21"/>
  <c r="O550" i="21"/>
  <c r="O552" i="21"/>
  <c r="O520" i="21"/>
  <c r="E520" i="21" s="1"/>
  <c r="O522" i="21"/>
  <c r="O492" i="21"/>
  <c r="O493" i="21"/>
  <c r="O494" i="21"/>
  <c r="AA183" i="21"/>
  <c r="O490" i="21"/>
  <c r="O495" i="21" s="1"/>
  <c r="C494" i="21"/>
  <c r="F491" i="21"/>
  <c r="F433" i="21"/>
  <c r="G432" i="21"/>
  <c r="E375" i="21"/>
  <c r="F345" i="21"/>
  <c r="O347" i="21"/>
  <c r="O348" i="21"/>
  <c r="F348" i="21" s="1"/>
  <c r="O287" i="21"/>
  <c r="O288" i="21"/>
  <c r="D288" i="21" s="1"/>
  <c r="O290" i="21"/>
  <c r="E290" i="21" s="1"/>
  <c r="O260" i="21"/>
  <c r="O261" i="21"/>
  <c r="C261" i="21" s="1"/>
  <c r="O262" i="21"/>
  <c r="G262" i="21" s="1"/>
  <c r="AA103" i="21"/>
  <c r="O258" i="21"/>
  <c r="O232" i="21"/>
  <c r="F231" i="21"/>
  <c r="O200" i="21"/>
  <c r="O171" i="21"/>
  <c r="G171" i="21" s="1"/>
  <c r="AA73" i="21"/>
  <c r="O143" i="21"/>
  <c r="F143" i="21" s="1"/>
  <c r="AA63" i="21"/>
  <c r="O144" i="21"/>
  <c r="O145" i="21"/>
  <c r="G142" i="21"/>
  <c r="O117" i="21"/>
  <c r="O84" i="21"/>
  <c r="O87" i="21"/>
  <c r="G87" i="21" s="1"/>
  <c r="O85" i="21"/>
  <c r="G85" i="21" s="1"/>
  <c r="O88" i="21"/>
  <c r="AA43" i="21"/>
  <c r="D27" i="21"/>
  <c r="O28" i="21"/>
  <c r="O29" i="21"/>
  <c r="O30" i="21"/>
  <c r="G30" i="21" s="1"/>
  <c r="C572" i="21"/>
  <c r="N566" i="21" s="1"/>
  <c r="T212" i="21" s="1"/>
  <c r="I568" i="21"/>
  <c r="F572" i="21"/>
  <c r="F573" i="21" s="1"/>
  <c r="K569" i="21"/>
  <c r="E558" i="21"/>
  <c r="G558" i="21"/>
  <c r="K510" i="21"/>
  <c r="K512" i="21"/>
  <c r="L523" i="21"/>
  <c r="G523" i="21" s="1"/>
  <c r="I480" i="21"/>
  <c r="J480" i="21" s="1"/>
  <c r="L493" i="21"/>
  <c r="I482" i="21"/>
  <c r="J482" i="21" s="1"/>
  <c r="D485" i="21"/>
  <c r="N480" i="21" s="1"/>
  <c r="U182" i="21" s="1"/>
  <c r="C485" i="21"/>
  <c r="C486" i="21" s="1"/>
  <c r="E485" i="21"/>
  <c r="L490" i="21"/>
  <c r="I483" i="21"/>
  <c r="J483" i="21" s="1"/>
  <c r="K483" i="21"/>
  <c r="G491" i="21"/>
  <c r="F500" i="21"/>
  <c r="K479" i="21"/>
  <c r="L462" i="21"/>
  <c r="L464" i="21"/>
  <c r="I454" i="21"/>
  <c r="J454" i="21" s="1"/>
  <c r="L465" i="21"/>
  <c r="K451" i="21"/>
  <c r="N451" i="21"/>
  <c r="U172" i="21" s="1"/>
  <c r="J421" i="21"/>
  <c r="K422" i="21"/>
  <c r="C442" i="21"/>
  <c r="I423" i="21"/>
  <c r="J423" i="21" s="1"/>
  <c r="K423" i="21"/>
  <c r="C433" i="21"/>
  <c r="H426" i="21"/>
  <c r="I427" i="21" s="1"/>
  <c r="AD30" i="21" s="1"/>
  <c r="N396" i="21"/>
  <c r="X152" i="21" s="1"/>
  <c r="I393" i="21"/>
  <c r="J393" i="21" s="1"/>
  <c r="C398" i="21"/>
  <c r="I394" i="21"/>
  <c r="J394" i="21" s="1"/>
  <c r="K395" i="21"/>
  <c r="K396" i="21"/>
  <c r="E413" i="21"/>
  <c r="I392" i="21"/>
  <c r="J392" i="21" s="1"/>
  <c r="F413" i="21"/>
  <c r="I364" i="21"/>
  <c r="J364" i="21" s="1"/>
  <c r="K363" i="21"/>
  <c r="K364" i="21"/>
  <c r="E378" i="21"/>
  <c r="D369" i="21"/>
  <c r="C375" i="21"/>
  <c r="G349" i="21"/>
  <c r="E349" i="21"/>
  <c r="C349" i="21"/>
  <c r="D345" i="21"/>
  <c r="I338" i="21"/>
  <c r="J338" i="21" s="1"/>
  <c r="K308" i="21"/>
  <c r="I306" i="21"/>
  <c r="J306" i="21" s="1"/>
  <c r="F311" i="21"/>
  <c r="F312" i="21" s="1"/>
  <c r="I305" i="21"/>
  <c r="J305" i="21" s="1"/>
  <c r="K306" i="21"/>
  <c r="G311" i="21"/>
  <c r="G312" i="21" s="1"/>
  <c r="H310" i="21"/>
  <c r="I311" i="21" s="1"/>
  <c r="AD26" i="21" s="1"/>
  <c r="K305" i="21"/>
  <c r="H281" i="21"/>
  <c r="I282" i="21" s="1"/>
  <c r="AD25" i="21" s="1"/>
  <c r="K279" i="21"/>
  <c r="L288" i="21"/>
  <c r="I277" i="21"/>
  <c r="N277" i="21" s="1"/>
  <c r="U112" i="21" s="1"/>
  <c r="K251" i="21"/>
  <c r="L260" i="21"/>
  <c r="E260" i="21" s="1"/>
  <c r="D262" i="21"/>
  <c r="K249" i="21"/>
  <c r="G253" i="21"/>
  <c r="H223" i="21"/>
  <c r="I224" i="21" s="1"/>
  <c r="AD23" i="21" s="1"/>
  <c r="I218" i="21"/>
  <c r="J218" i="21" s="1"/>
  <c r="F224" i="21"/>
  <c r="F225" i="21" s="1"/>
  <c r="I189" i="21"/>
  <c r="J189" i="21" s="1"/>
  <c r="K192" i="21"/>
  <c r="I193" i="21"/>
  <c r="J193" i="21" s="1"/>
  <c r="K193" i="21"/>
  <c r="C171" i="21"/>
  <c r="E171" i="21"/>
  <c r="I160" i="21"/>
  <c r="J160" i="21" s="1"/>
  <c r="C181" i="21"/>
  <c r="K161" i="21"/>
  <c r="L172" i="21"/>
  <c r="I131" i="21"/>
  <c r="J131" i="21" s="1"/>
  <c r="I135" i="21"/>
  <c r="J135" i="21" s="1"/>
  <c r="I132" i="21"/>
  <c r="J132" i="21" s="1"/>
  <c r="D142" i="21"/>
  <c r="N134" i="21"/>
  <c r="W62" i="21" s="1"/>
  <c r="D109" i="21"/>
  <c r="D123" i="21"/>
  <c r="K104" i="21"/>
  <c r="E108" i="21"/>
  <c r="E109" i="21" s="1"/>
  <c r="I105" i="21"/>
  <c r="J105" i="21" s="1"/>
  <c r="I103" i="21"/>
  <c r="J103" i="21" s="1"/>
  <c r="K105" i="21"/>
  <c r="N76" i="21"/>
  <c r="W42" i="21" s="1"/>
  <c r="L88" i="21"/>
  <c r="G88" i="21" s="1"/>
  <c r="I74" i="21"/>
  <c r="J74" i="21" s="1"/>
  <c r="K74" i="21"/>
  <c r="D79" i="21"/>
  <c r="D80" i="21" s="1"/>
  <c r="L59" i="21"/>
  <c r="E50" i="21"/>
  <c r="E51" i="21" s="1"/>
  <c r="I48" i="21"/>
  <c r="J48" i="21" s="1"/>
  <c r="E21" i="21"/>
  <c r="E22" i="21" s="1"/>
  <c r="K17" i="21"/>
  <c r="I16" i="21"/>
  <c r="J16" i="21" s="1"/>
  <c r="K19" i="21"/>
  <c r="K16" i="21"/>
  <c r="C29" i="21"/>
  <c r="G29" i="21"/>
  <c r="F29" i="21"/>
  <c r="E29" i="21"/>
  <c r="D29" i="21"/>
  <c r="G26" i="21"/>
  <c r="F26" i="21"/>
  <c r="E26" i="21"/>
  <c r="D26" i="21"/>
  <c r="C26" i="21"/>
  <c r="N17" i="21"/>
  <c r="V22" i="21" s="1"/>
  <c r="J17" i="21"/>
  <c r="I19" i="21"/>
  <c r="J19" i="21" s="1"/>
  <c r="H20" i="21"/>
  <c r="I21" i="21" s="1"/>
  <c r="AD16" i="21" s="1"/>
  <c r="X288" i="21"/>
  <c r="X289" i="21" s="1"/>
  <c r="X287" i="21"/>
  <c r="X226" i="21"/>
  <c r="E27" i="21"/>
  <c r="K46" i="21"/>
  <c r="I46" i="21"/>
  <c r="E85" i="21"/>
  <c r="D85" i="21"/>
  <c r="C85" i="21"/>
  <c r="F85" i="21"/>
  <c r="AL90" i="21"/>
  <c r="N105" i="21"/>
  <c r="W52" i="21" s="1"/>
  <c r="F27" i="21"/>
  <c r="L28" i="21"/>
  <c r="O58" i="21"/>
  <c r="O55" i="21"/>
  <c r="E55" i="21" s="1"/>
  <c r="O57" i="21"/>
  <c r="G57" i="21" s="1"/>
  <c r="O59" i="21"/>
  <c r="G59" i="21" s="1"/>
  <c r="AO95" i="21"/>
  <c r="AN95" i="21"/>
  <c r="AS116" i="21"/>
  <c r="AX97" i="21"/>
  <c r="AN97" i="21" s="1"/>
  <c r="AX94" i="21"/>
  <c r="AX95" i="21"/>
  <c r="AP95" i="21" s="1"/>
  <c r="AX96" i="21"/>
  <c r="AO96" i="21" s="1"/>
  <c r="AX98" i="21"/>
  <c r="G347" i="21"/>
  <c r="F347" i="21"/>
  <c r="E347" i="21"/>
  <c r="D347" i="21"/>
  <c r="C347" i="21"/>
  <c r="G27" i="21"/>
  <c r="AL97" i="21"/>
  <c r="L144" i="21"/>
  <c r="K133" i="21"/>
  <c r="I133" i="21"/>
  <c r="J133" i="21" s="1"/>
  <c r="L58" i="21"/>
  <c r="K47" i="21"/>
  <c r="H78" i="21"/>
  <c r="I79" i="21" s="1"/>
  <c r="AD18" i="21" s="1"/>
  <c r="L84" i="21"/>
  <c r="K73" i="21"/>
  <c r="I73" i="21"/>
  <c r="J73" i="21" s="1"/>
  <c r="K106" i="21"/>
  <c r="I106" i="21"/>
  <c r="J106" i="21" s="1"/>
  <c r="L117" i="21"/>
  <c r="I18" i="21"/>
  <c r="J18" i="21" s="1"/>
  <c r="C21" i="21"/>
  <c r="I47" i="21"/>
  <c r="J47" i="21" s="1"/>
  <c r="L86" i="21"/>
  <c r="K75" i="21"/>
  <c r="I75" i="21"/>
  <c r="C30" i="21"/>
  <c r="O31" i="21"/>
  <c r="H107" i="21"/>
  <c r="I108" i="21" s="1"/>
  <c r="AD19" i="21" s="1"/>
  <c r="K102" i="21"/>
  <c r="L113" i="21"/>
  <c r="I102" i="21"/>
  <c r="K18" i="21"/>
  <c r="D30" i="21"/>
  <c r="G115" i="21"/>
  <c r="F115" i="21"/>
  <c r="E115" i="21"/>
  <c r="C115" i="21"/>
  <c r="D115" i="21"/>
  <c r="F268" i="21"/>
  <c r="F253" i="21"/>
  <c r="F21" i="21"/>
  <c r="E30" i="21"/>
  <c r="G65" i="21"/>
  <c r="G50" i="21"/>
  <c r="G21" i="21"/>
  <c r="T287" i="21"/>
  <c r="T226" i="21"/>
  <c r="T288" i="21"/>
  <c r="T289" i="21" s="1"/>
  <c r="F30" i="21"/>
  <c r="L56" i="21"/>
  <c r="K45" i="21"/>
  <c r="I45" i="21"/>
  <c r="H49" i="21"/>
  <c r="I50" i="21" s="1"/>
  <c r="AD17" i="21" s="1"/>
  <c r="N161" i="21"/>
  <c r="U72" i="21" s="1"/>
  <c r="J161" i="21"/>
  <c r="U226" i="21"/>
  <c r="U288" i="21"/>
  <c r="U289" i="21" s="1"/>
  <c r="U287" i="21"/>
  <c r="AA33" i="21"/>
  <c r="F57" i="21"/>
  <c r="E57" i="21"/>
  <c r="G114" i="21"/>
  <c r="F114" i="21"/>
  <c r="E114" i="21"/>
  <c r="D114" i="21"/>
  <c r="D138" i="21"/>
  <c r="C27" i="21"/>
  <c r="C55" i="21"/>
  <c r="G55" i="21"/>
  <c r="W287" i="21"/>
  <c r="W288" i="21"/>
  <c r="W289" i="21" s="1"/>
  <c r="W226" i="21"/>
  <c r="G116" i="21"/>
  <c r="E116" i="21"/>
  <c r="F116" i="21"/>
  <c r="D116" i="21"/>
  <c r="C116" i="21"/>
  <c r="AM123" i="21"/>
  <c r="AO123" i="21"/>
  <c r="E137" i="21"/>
  <c r="E152" i="21"/>
  <c r="G166" i="21"/>
  <c r="G181" i="21"/>
  <c r="N135" i="21"/>
  <c r="X62" i="21" s="1"/>
  <c r="F167" i="21"/>
  <c r="L202" i="21"/>
  <c r="I191" i="21"/>
  <c r="J191" i="21" s="1"/>
  <c r="H194" i="21"/>
  <c r="I195" i="21" s="1"/>
  <c r="AD22" i="21" s="1"/>
  <c r="K191" i="21"/>
  <c r="N189" i="21"/>
  <c r="T82" i="21" s="1"/>
  <c r="C196" i="21"/>
  <c r="N74" i="21"/>
  <c r="U42" i="21" s="1"/>
  <c r="C79" i="21"/>
  <c r="D88" i="21"/>
  <c r="E196" i="21"/>
  <c r="AU94" i="21"/>
  <c r="G239" i="21"/>
  <c r="G224" i="21"/>
  <c r="C50" i="21"/>
  <c r="AR83" i="21"/>
  <c r="AS83" i="21" s="1"/>
  <c r="AO89" i="21"/>
  <c r="G138" i="21"/>
  <c r="L173" i="21"/>
  <c r="K162" i="21"/>
  <c r="I162" i="21"/>
  <c r="J162" i="21" s="1"/>
  <c r="G196" i="21"/>
  <c r="N193" i="21"/>
  <c r="X82" i="21" s="1"/>
  <c r="E87" i="21"/>
  <c r="K103" i="21"/>
  <c r="K164" i="21"/>
  <c r="I77" i="21"/>
  <c r="C167" i="21"/>
  <c r="V288" i="21"/>
  <c r="V289" i="21" s="1"/>
  <c r="V287" i="21"/>
  <c r="V226" i="21"/>
  <c r="F50" i="21"/>
  <c r="I104" i="21"/>
  <c r="G108" i="21"/>
  <c r="AL123" i="21"/>
  <c r="G143" i="21"/>
  <c r="E143" i="21"/>
  <c r="K163" i="21"/>
  <c r="I163" i="21"/>
  <c r="J163" i="21" s="1"/>
  <c r="L174" i="21"/>
  <c r="G200" i="21"/>
  <c r="F200" i="21"/>
  <c r="D200" i="21"/>
  <c r="E200" i="21"/>
  <c r="C200" i="21"/>
  <c r="AN123" i="21"/>
  <c r="C152" i="21"/>
  <c r="C137" i="21"/>
  <c r="E181" i="21"/>
  <c r="E166" i="21"/>
  <c r="AL133" i="21"/>
  <c r="C142" i="21"/>
  <c r="L232" i="21"/>
  <c r="K221" i="21"/>
  <c r="I221" i="21"/>
  <c r="J221" i="21" s="1"/>
  <c r="AL128" i="21"/>
  <c r="AN133" i="21"/>
  <c r="E142" i="21"/>
  <c r="L145" i="21"/>
  <c r="G152" i="21"/>
  <c r="D171" i="21"/>
  <c r="O175" i="21"/>
  <c r="D175" i="21" s="1"/>
  <c r="E210" i="21"/>
  <c r="AN128" i="21"/>
  <c r="H165" i="21"/>
  <c r="I166" i="21" s="1"/>
  <c r="AD21" i="21" s="1"/>
  <c r="K222" i="21"/>
  <c r="I222" i="21"/>
  <c r="J222" i="21" s="1"/>
  <c r="C225" i="21"/>
  <c r="N218" i="21"/>
  <c r="T92" i="21" s="1"/>
  <c r="L230" i="21"/>
  <c r="E239" i="21"/>
  <c r="O118" i="21"/>
  <c r="AO128" i="21"/>
  <c r="K189" i="21"/>
  <c r="K219" i="21"/>
  <c r="C231" i="21"/>
  <c r="K247" i="21"/>
  <c r="I247" i="21"/>
  <c r="L258" i="21"/>
  <c r="G254" i="21"/>
  <c r="H136" i="21"/>
  <c r="I137" i="21" s="1"/>
  <c r="AD20" i="21" s="1"/>
  <c r="D204" i="21"/>
  <c r="E201" i="21"/>
  <c r="D201" i="21"/>
  <c r="G201" i="21"/>
  <c r="O146" i="21"/>
  <c r="K220" i="21"/>
  <c r="I220" i="21"/>
  <c r="J220" i="21" s="1"/>
  <c r="E231" i="21"/>
  <c r="D231" i="21"/>
  <c r="G231" i="21"/>
  <c r="L289" i="21"/>
  <c r="K278" i="21"/>
  <c r="I278" i="21"/>
  <c r="J278" i="21" s="1"/>
  <c r="K160" i="21"/>
  <c r="O172" i="21"/>
  <c r="N190" i="21"/>
  <c r="U82" i="21" s="1"/>
  <c r="D196" i="21"/>
  <c r="N219" i="21"/>
  <c r="U92" i="21" s="1"/>
  <c r="G204" i="21"/>
  <c r="E204" i="21"/>
  <c r="C204" i="21"/>
  <c r="E225" i="21"/>
  <c r="I248" i="21"/>
  <c r="J248" i="21" s="1"/>
  <c r="L259" i="21"/>
  <c r="I276" i="21"/>
  <c r="J276" i="21" s="1"/>
  <c r="L287" i="21"/>
  <c r="G346" i="21"/>
  <c r="F346" i="21"/>
  <c r="E346" i="21"/>
  <c r="D346" i="21"/>
  <c r="C346" i="21"/>
  <c r="D210" i="21"/>
  <c r="C262" i="21"/>
  <c r="K276" i="21"/>
  <c r="D290" i="21"/>
  <c r="G348" i="21"/>
  <c r="D348" i="21"/>
  <c r="F544" i="21"/>
  <c r="O203" i="21"/>
  <c r="G203" i="21" s="1"/>
  <c r="F210" i="21"/>
  <c r="O233" i="21"/>
  <c r="C233" i="21" s="1"/>
  <c r="D261" i="21"/>
  <c r="E262" i="21"/>
  <c r="N279" i="21"/>
  <c r="W112" i="21" s="1"/>
  <c r="C282" i="21"/>
  <c r="D253" i="21"/>
  <c r="F262" i="21"/>
  <c r="C288" i="21"/>
  <c r="O229" i="21"/>
  <c r="F229" i="21" s="1"/>
  <c r="O230" i="21"/>
  <c r="I251" i="21"/>
  <c r="J251" i="21" s="1"/>
  <c r="E253" i="21"/>
  <c r="F261" i="21"/>
  <c r="F405" i="21"/>
  <c r="I192" i="21"/>
  <c r="J192" i="21" s="1"/>
  <c r="E297" i="21"/>
  <c r="E282" i="21"/>
  <c r="L291" i="21"/>
  <c r="I280" i="21"/>
  <c r="J280" i="21" s="1"/>
  <c r="C320" i="21"/>
  <c r="G320" i="21"/>
  <c r="F320" i="21"/>
  <c r="E320" i="21"/>
  <c r="D320" i="21"/>
  <c r="K250" i="21"/>
  <c r="K280" i="21"/>
  <c r="N308" i="21"/>
  <c r="W122" i="21" s="1"/>
  <c r="C311" i="21"/>
  <c r="N334" i="21"/>
  <c r="T132" i="21" s="1"/>
  <c r="I337" i="21"/>
  <c r="O350" i="21"/>
  <c r="F384" i="21"/>
  <c r="F369" i="21"/>
  <c r="C376" i="21"/>
  <c r="G377" i="21"/>
  <c r="F377" i="21"/>
  <c r="D377" i="21"/>
  <c r="G399" i="21"/>
  <c r="O403" i="21"/>
  <c r="O404" i="21"/>
  <c r="E404" i="21" s="1"/>
  <c r="O405" i="21"/>
  <c r="O407" i="21"/>
  <c r="E432" i="21"/>
  <c r="C434" i="21"/>
  <c r="H484" i="21"/>
  <c r="I485" i="21" s="1"/>
  <c r="AD32" i="21" s="1"/>
  <c r="G492" i="21"/>
  <c r="F492" i="21"/>
  <c r="E492" i="21"/>
  <c r="C492" i="21"/>
  <c r="K511" i="21"/>
  <c r="I511" i="21"/>
  <c r="J511" i="21" s="1"/>
  <c r="K538" i="21"/>
  <c r="D558" i="21"/>
  <c r="D543" i="21"/>
  <c r="N569" i="21"/>
  <c r="W212" i="21" s="1"/>
  <c r="O581" i="21"/>
  <c r="O580" i="21"/>
  <c r="O579" i="21"/>
  <c r="D579" i="21" s="1"/>
  <c r="O578" i="21"/>
  <c r="O577" i="21"/>
  <c r="E434" i="21"/>
  <c r="L581" i="21"/>
  <c r="I570" i="21"/>
  <c r="J570" i="21" s="1"/>
  <c r="K570" i="21"/>
  <c r="N306" i="21"/>
  <c r="U122" i="21" s="1"/>
  <c r="I309" i="21"/>
  <c r="E311" i="21"/>
  <c r="I335" i="21"/>
  <c r="K337" i="21"/>
  <c r="H339" i="21"/>
  <c r="I340" i="21" s="1"/>
  <c r="AD27" i="21" s="1"/>
  <c r="C345" i="21"/>
  <c r="D349" i="21"/>
  <c r="H368" i="21"/>
  <c r="I369" i="21" s="1"/>
  <c r="AD28" i="21" s="1"/>
  <c r="O406" i="21"/>
  <c r="G406" i="21" s="1"/>
  <c r="D442" i="21"/>
  <c r="N454" i="21"/>
  <c r="X172" i="21" s="1"/>
  <c r="L522" i="21"/>
  <c r="D529" i="21"/>
  <c r="I539" i="21"/>
  <c r="J539" i="21" s="1"/>
  <c r="L550" i="21"/>
  <c r="K539" i="21"/>
  <c r="D548" i="21"/>
  <c r="C548" i="21"/>
  <c r="G548" i="21"/>
  <c r="F548" i="21"/>
  <c r="G282" i="21"/>
  <c r="L374" i="21"/>
  <c r="D399" i="21"/>
  <c r="N393" i="21"/>
  <c r="U152" i="21" s="1"/>
  <c r="D434" i="21"/>
  <c r="F434" i="21"/>
  <c r="D432" i="21"/>
  <c r="C432" i="21"/>
  <c r="F432" i="21"/>
  <c r="F442" i="21"/>
  <c r="C456" i="21"/>
  <c r="C471" i="21"/>
  <c r="I508" i="21"/>
  <c r="J508" i="21" s="1"/>
  <c r="H513" i="21"/>
  <c r="I514" i="21" s="1"/>
  <c r="AD33" i="21" s="1"/>
  <c r="K508" i="21"/>
  <c r="L578" i="21"/>
  <c r="K567" i="21"/>
  <c r="I307" i="21"/>
  <c r="J307" i="21" s="1"/>
  <c r="K309" i="21"/>
  <c r="K335" i="21"/>
  <c r="E345" i="21"/>
  <c r="F349" i="21"/>
  <c r="I363" i="21"/>
  <c r="J363" i="21" s="1"/>
  <c r="O379" i="21"/>
  <c r="K393" i="21"/>
  <c r="G413" i="21"/>
  <c r="K452" i="21"/>
  <c r="N479" i="21"/>
  <c r="T182" i="21" s="1"/>
  <c r="E494" i="21"/>
  <c r="G494" i="21"/>
  <c r="G485" i="21"/>
  <c r="I567" i="21"/>
  <c r="C326" i="21"/>
  <c r="E340" i="21"/>
  <c r="G376" i="21"/>
  <c r="F376" i="21"/>
  <c r="D376" i="21"/>
  <c r="E486" i="21"/>
  <c r="G493" i="21"/>
  <c r="K307" i="21"/>
  <c r="G378" i="21"/>
  <c r="F378" i="21"/>
  <c r="D378" i="21"/>
  <c r="E491" i="21"/>
  <c r="D491" i="21"/>
  <c r="C491" i="21"/>
  <c r="G520" i="21"/>
  <c r="F520" i="21"/>
  <c r="L519" i="21"/>
  <c r="D552" i="21"/>
  <c r="C552" i="21"/>
  <c r="O553" i="21"/>
  <c r="I336" i="21"/>
  <c r="J336" i="21" s="1"/>
  <c r="K338" i="21"/>
  <c r="G340" i="21"/>
  <c r="K367" i="21"/>
  <c r="I367" i="21"/>
  <c r="C377" i="21"/>
  <c r="H397" i="21"/>
  <c r="I398" i="21" s="1"/>
  <c r="AD29" i="21" s="1"/>
  <c r="G405" i="21"/>
  <c r="K509" i="21"/>
  <c r="E514" i="21"/>
  <c r="E529" i="21"/>
  <c r="I541" i="21"/>
  <c r="J541" i="21" s="1"/>
  <c r="L549" i="21"/>
  <c r="L318" i="21"/>
  <c r="L319" i="21"/>
  <c r="E377" i="21"/>
  <c r="L407" i="21"/>
  <c r="I424" i="21"/>
  <c r="J424" i="21" s="1"/>
  <c r="L435" i="21"/>
  <c r="K424" i="21"/>
  <c r="D428" i="21"/>
  <c r="E552" i="21"/>
  <c r="N568" i="21"/>
  <c r="V212" i="21" s="1"/>
  <c r="J568" i="21"/>
  <c r="G587" i="21"/>
  <c r="G572" i="21"/>
  <c r="O316" i="21"/>
  <c r="C316" i="21" s="1"/>
  <c r="O317" i="21"/>
  <c r="D317" i="21" s="1"/>
  <c r="O318" i="21"/>
  <c r="O319" i="21"/>
  <c r="K336" i="21"/>
  <c r="C384" i="21"/>
  <c r="C369" i="21"/>
  <c r="I395" i="21"/>
  <c r="J395" i="21" s="1"/>
  <c r="E398" i="21"/>
  <c r="K421" i="21"/>
  <c r="D433" i="21"/>
  <c r="E433" i="21"/>
  <c r="G433" i="21"/>
  <c r="E456" i="21"/>
  <c r="L463" i="21"/>
  <c r="K481" i="21"/>
  <c r="I481" i="21"/>
  <c r="J481" i="21" s="1"/>
  <c r="D492" i="21"/>
  <c r="D494" i="21"/>
  <c r="G529" i="21"/>
  <c r="G514" i="21"/>
  <c r="F523" i="21"/>
  <c r="E523" i="21"/>
  <c r="C523" i="21"/>
  <c r="H542" i="21"/>
  <c r="I543" i="21" s="1"/>
  <c r="AD34" i="21" s="1"/>
  <c r="K537" i="21"/>
  <c r="I537" i="21"/>
  <c r="K541" i="21"/>
  <c r="F552" i="21"/>
  <c r="H571" i="21"/>
  <c r="I572" i="21" s="1"/>
  <c r="AD35" i="21" s="1"/>
  <c r="G375" i="21"/>
  <c r="F375" i="21"/>
  <c r="D375" i="21"/>
  <c r="K425" i="21"/>
  <c r="L436" i="21"/>
  <c r="I425" i="21"/>
  <c r="F428" i="21"/>
  <c r="F457" i="21"/>
  <c r="N453" i="21"/>
  <c r="W172" i="21" s="1"/>
  <c r="F494" i="21"/>
  <c r="C514" i="21"/>
  <c r="D520" i="21"/>
  <c r="E548" i="21"/>
  <c r="G552" i="21"/>
  <c r="C573" i="21"/>
  <c r="E384" i="21"/>
  <c r="E369" i="21"/>
  <c r="G442" i="21"/>
  <c r="K453" i="21"/>
  <c r="H455" i="21"/>
  <c r="I456" i="21" s="1"/>
  <c r="AD31" i="21" s="1"/>
  <c r="O465" i="21"/>
  <c r="O464" i="21"/>
  <c r="G464" i="21" s="1"/>
  <c r="O463" i="21"/>
  <c r="O462" i="21"/>
  <c r="O461" i="21"/>
  <c r="E461" i="21" s="1"/>
  <c r="O521" i="21"/>
  <c r="D521" i="21" s="1"/>
  <c r="K540" i="21"/>
  <c r="L551" i="21"/>
  <c r="I509" i="21"/>
  <c r="J509" i="21" s="1"/>
  <c r="F529" i="21"/>
  <c r="I540" i="21"/>
  <c r="J540" i="21" s="1"/>
  <c r="C558" i="21"/>
  <c r="K568" i="21"/>
  <c r="L577" i="21"/>
  <c r="K566" i="21"/>
  <c r="L580" i="21"/>
  <c r="AS119" i="20"/>
  <c r="AM123" i="20"/>
  <c r="AN123" i="20"/>
  <c r="AS116" i="20"/>
  <c r="AX94" i="20"/>
  <c r="AX95" i="20"/>
  <c r="AX96" i="20"/>
  <c r="AP96" i="20" s="1"/>
  <c r="AX97" i="20"/>
  <c r="AP89" i="20"/>
  <c r="AP90" i="20" s="1"/>
  <c r="AT86" i="20"/>
  <c r="AN89" i="20"/>
  <c r="AN90" i="20" s="1"/>
  <c r="AT84" i="20"/>
  <c r="AU95" i="20"/>
  <c r="AR84" i="20"/>
  <c r="AS84" i="20" s="1"/>
  <c r="AP98" i="20"/>
  <c r="AL98" i="20"/>
  <c r="AR87" i="20"/>
  <c r="AS87" i="20" s="1"/>
  <c r="AO104" i="20"/>
  <c r="AT85" i="20"/>
  <c r="AL96" i="20"/>
  <c r="O577" i="20"/>
  <c r="O579" i="20"/>
  <c r="AA213" i="20"/>
  <c r="O580" i="20"/>
  <c r="O582" i="20" s="1"/>
  <c r="AA203" i="20"/>
  <c r="E523" i="20"/>
  <c r="AA193" i="20"/>
  <c r="AA183" i="20"/>
  <c r="O490" i="20"/>
  <c r="O461" i="20"/>
  <c r="E461" i="20" s="1"/>
  <c r="O462" i="20"/>
  <c r="E462" i="20" s="1"/>
  <c r="E463" i="20"/>
  <c r="AA163" i="20"/>
  <c r="O432" i="20"/>
  <c r="F432" i="20" s="1"/>
  <c r="O433" i="20"/>
  <c r="D433" i="20" s="1"/>
  <c r="O434" i="20"/>
  <c r="O377" i="20"/>
  <c r="G375" i="20"/>
  <c r="O378" i="20"/>
  <c r="G320" i="20"/>
  <c r="AA113" i="20"/>
  <c r="O287" i="20"/>
  <c r="F288" i="20"/>
  <c r="O289" i="20"/>
  <c r="C289" i="20" s="1"/>
  <c r="O290" i="20"/>
  <c r="AA103" i="20"/>
  <c r="O230" i="20"/>
  <c r="O234" i="20" s="1"/>
  <c r="F229" i="20"/>
  <c r="AA83" i="20"/>
  <c r="O201" i="20"/>
  <c r="E201" i="20" s="1"/>
  <c r="O174" i="20"/>
  <c r="E174" i="20" s="1"/>
  <c r="AA73" i="20"/>
  <c r="O171" i="20"/>
  <c r="O172" i="20"/>
  <c r="O144" i="20"/>
  <c r="C144" i="20" s="1"/>
  <c r="O143" i="20"/>
  <c r="O114" i="20"/>
  <c r="O113" i="20"/>
  <c r="AA33" i="20"/>
  <c r="O55" i="20"/>
  <c r="F55" i="20" s="1"/>
  <c r="O26" i="20"/>
  <c r="O29" i="20"/>
  <c r="I566" i="20"/>
  <c r="J566" i="20" s="1"/>
  <c r="K566" i="20"/>
  <c r="C572" i="20"/>
  <c r="D572" i="20"/>
  <c r="I538" i="20"/>
  <c r="J538" i="20" s="1"/>
  <c r="K538" i="20"/>
  <c r="C543" i="20"/>
  <c r="D543" i="20"/>
  <c r="E543" i="20"/>
  <c r="E544" i="20" s="1"/>
  <c r="F543" i="20"/>
  <c r="K540" i="20"/>
  <c r="I537" i="20"/>
  <c r="J537" i="20" s="1"/>
  <c r="E514" i="20"/>
  <c r="E515" i="20" s="1"/>
  <c r="K509" i="20"/>
  <c r="F514" i="20"/>
  <c r="G514" i="20"/>
  <c r="K511" i="20"/>
  <c r="K512" i="20"/>
  <c r="C500" i="20"/>
  <c r="I481" i="20"/>
  <c r="J481" i="20" s="1"/>
  <c r="L494" i="20"/>
  <c r="E464" i="20"/>
  <c r="N453" i="20"/>
  <c r="W172" i="20" s="1"/>
  <c r="G471" i="20"/>
  <c r="N450" i="20"/>
  <c r="T172" i="20" s="1"/>
  <c r="H426" i="20"/>
  <c r="I427" i="20" s="1"/>
  <c r="AD30" i="20" s="1"/>
  <c r="K422" i="20"/>
  <c r="I422" i="20"/>
  <c r="J422" i="20" s="1"/>
  <c r="I424" i="20"/>
  <c r="J424" i="20" s="1"/>
  <c r="C427" i="20"/>
  <c r="C428" i="20" s="1"/>
  <c r="E442" i="20"/>
  <c r="D427" i="20"/>
  <c r="N422" i="20" s="1"/>
  <c r="U162" i="20" s="1"/>
  <c r="K424" i="20"/>
  <c r="F427" i="20"/>
  <c r="G398" i="20"/>
  <c r="G399" i="20" s="1"/>
  <c r="E413" i="20"/>
  <c r="K366" i="20"/>
  <c r="L376" i="20"/>
  <c r="H368" i="20"/>
  <c r="I369" i="20" s="1"/>
  <c r="AD28" i="20" s="1"/>
  <c r="C369" i="20"/>
  <c r="D346" i="20"/>
  <c r="G346" i="20"/>
  <c r="F346" i="20"/>
  <c r="C346" i="20"/>
  <c r="G340" i="20"/>
  <c r="G341" i="20" s="1"/>
  <c r="L345" i="20"/>
  <c r="L349" i="20"/>
  <c r="I338" i="20"/>
  <c r="I335" i="20"/>
  <c r="F355" i="20"/>
  <c r="K335" i="20"/>
  <c r="E340" i="20"/>
  <c r="E341" i="20" s="1"/>
  <c r="H339" i="20"/>
  <c r="I340" i="20" s="1"/>
  <c r="AD27" i="20" s="1"/>
  <c r="G312" i="20"/>
  <c r="I309" i="20"/>
  <c r="J309" i="20" s="1"/>
  <c r="I306" i="20"/>
  <c r="J306" i="20" s="1"/>
  <c r="G326" i="20"/>
  <c r="E311" i="20"/>
  <c r="E312" i="20" s="1"/>
  <c r="G288" i="20"/>
  <c r="H281" i="20"/>
  <c r="I282" i="20" s="1"/>
  <c r="AD25" i="20" s="1"/>
  <c r="C282" i="20"/>
  <c r="K277" i="20"/>
  <c r="I277" i="20"/>
  <c r="F282" i="20"/>
  <c r="F283" i="20" s="1"/>
  <c r="K278" i="20"/>
  <c r="G282" i="20"/>
  <c r="I279" i="20"/>
  <c r="J279" i="20" s="1"/>
  <c r="I247" i="20"/>
  <c r="J247" i="20" s="1"/>
  <c r="E253" i="20"/>
  <c r="E254" i="20" s="1"/>
  <c r="F253" i="20"/>
  <c r="I250" i="20"/>
  <c r="J250" i="20" s="1"/>
  <c r="G253" i="20"/>
  <c r="L258" i="20"/>
  <c r="C268" i="20"/>
  <c r="K251" i="20"/>
  <c r="K220" i="20"/>
  <c r="G224" i="20"/>
  <c r="G225" i="20" s="1"/>
  <c r="L231" i="20"/>
  <c r="G231" i="20" s="1"/>
  <c r="F231" i="20"/>
  <c r="K193" i="20"/>
  <c r="E195" i="20"/>
  <c r="K189" i="20"/>
  <c r="F201" i="20"/>
  <c r="I190" i="20"/>
  <c r="J190" i="20" s="1"/>
  <c r="I193" i="20"/>
  <c r="J193" i="20" s="1"/>
  <c r="K160" i="20"/>
  <c r="K161" i="20"/>
  <c r="K162" i="20"/>
  <c r="L171" i="20"/>
  <c r="L174" i="20"/>
  <c r="L172" i="20"/>
  <c r="K164" i="20"/>
  <c r="E181" i="20"/>
  <c r="I133" i="20"/>
  <c r="J133" i="20" s="1"/>
  <c r="K132" i="20"/>
  <c r="C113" i="20"/>
  <c r="D113" i="20"/>
  <c r="H113" i="20" s="1"/>
  <c r="G113" i="20"/>
  <c r="F113" i="20"/>
  <c r="E113" i="20"/>
  <c r="I102" i="20"/>
  <c r="J102" i="20" s="1"/>
  <c r="K102" i="20"/>
  <c r="G108" i="20"/>
  <c r="K106" i="20"/>
  <c r="I104" i="20"/>
  <c r="J104" i="20" s="1"/>
  <c r="I75" i="20"/>
  <c r="J75" i="20" s="1"/>
  <c r="K76" i="20"/>
  <c r="F50" i="20"/>
  <c r="F51" i="20" s="1"/>
  <c r="L58" i="20"/>
  <c r="I47" i="20"/>
  <c r="L59" i="20"/>
  <c r="C21" i="20"/>
  <c r="E21" i="20"/>
  <c r="E22" i="20" s="1"/>
  <c r="I17" i="20"/>
  <c r="N17" i="20" s="1"/>
  <c r="V22" i="20" s="1"/>
  <c r="G21" i="20"/>
  <c r="K17" i="20"/>
  <c r="K19" i="20"/>
  <c r="I18" i="20"/>
  <c r="J18" i="20" s="1"/>
  <c r="G28" i="20"/>
  <c r="F28" i="20"/>
  <c r="E28" i="20"/>
  <c r="D28" i="20"/>
  <c r="C28" i="20"/>
  <c r="G26" i="20"/>
  <c r="F26" i="20"/>
  <c r="E26" i="20"/>
  <c r="D26" i="20"/>
  <c r="C26" i="20"/>
  <c r="D51" i="20"/>
  <c r="N45" i="20"/>
  <c r="U32" i="20" s="1"/>
  <c r="G29" i="20"/>
  <c r="F29" i="20"/>
  <c r="E29" i="20"/>
  <c r="D29" i="20"/>
  <c r="C29" i="20"/>
  <c r="K45" i="20"/>
  <c r="D55" i="20"/>
  <c r="D80" i="20"/>
  <c r="D21" i="20"/>
  <c r="G22" i="20"/>
  <c r="C65" i="20"/>
  <c r="C50" i="20"/>
  <c r="G58" i="20"/>
  <c r="F58" i="20"/>
  <c r="C58" i="20"/>
  <c r="K74" i="20"/>
  <c r="L85" i="20"/>
  <c r="F80" i="20"/>
  <c r="O87" i="20"/>
  <c r="E87" i="20" s="1"/>
  <c r="AA43" i="20"/>
  <c r="O88" i="20"/>
  <c r="K18" i="20"/>
  <c r="I74" i="20"/>
  <c r="J74" i="20" s="1"/>
  <c r="F21" i="20"/>
  <c r="L88" i="20"/>
  <c r="K77" i="20"/>
  <c r="K44" i="20"/>
  <c r="I77" i="20"/>
  <c r="J77" i="20" s="1"/>
  <c r="O86" i="20"/>
  <c r="G86" i="20" s="1"/>
  <c r="C109" i="20"/>
  <c r="N102" i="20"/>
  <c r="T52" i="20" s="1"/>
  <c r="T288" i="20"/>
  <c r="T289" i="20" s="1"/>
  <c r="T226" i="20"/>
  <c r="T287" i="20"/>
  <c r="K46" i="20"/>
  <c r="L57" i="20"/>
  <c r="G65" i="20"/>
  <c r="G50" i="20"/>
  <c r="K73" i="20"/>
  <c r="I73" i="20"/>
  <c r="J73" i="20" s="1"/>
  <c r="H78" i="20"/>
  <c r="I79" i="20" s="1"/>
  <c r="AD18" i="20" s="1"/>
  <c r="G80" i="20"/>
  <c r="D109" i="20"/>
  <c r="U287" i="20"/>
  <c r="U288" i="20"/>
  <c r="U289" i="20" s="1"/>
  <c r="U226" i="20"/>
  <c r="I46" i="20"/>
  <c r="H49" i="20"/>
  <c r="I50" i="20" s="1"/>
  <c r="AD17" i="20" s="1"/>
  <c r="D65" i="20"/>
  <c r="C79" i="20"/>
  <c r="C94" i="20"/>
  <c r="AU94" i="20"/>
  <c r="AQ88" i="20"/>
  <c r="AR89" i="20" s="1"/>
  <c r="AR83" i="20"/>
  <c r="AS83" i="20" s="1"/>
  <c r="L114" i="20"/>
  <c r="H107" i="20"/>
  <c r="I108" i="20" s="1"/>
  <c r="AD19" i="20" s="1"/>
  <c r="K103" i="20"/>
  <c r="E108" i="20"/>
  <c r="E123" i="20"/>
  <c r="V287" i="20"/>
  <c r="V288" i="20"/>
  <c r="V289" i="20" s="1"/>
  <c r="V226" i="20"/>
  <c r="L27" i="20"/>
  <c r="L30" i="20"/>
  <c r="AL89" i="20"/>
  <c r="AL104" i="20"/>
  <c r="I103" i="20"/>
  <c r="J103" i="20" s="1"/>
  <c r="F123" i="20"/>
  <c r="F108" i="20"/>
  <c r="I15" i="20"/>
  <c r="J15" i="20" s="1"/>
  <c r="I16" i="20"/>
  <c r="J16" i="20" s="1"/>
  <c r="I19" i="20"/>
  <c r="J19" i="20" s="1"/>
  <c r="H20" i="20"/>
  <c r="I21" i="20" s="1"/>
  <c r="AD16" i="20" s="1"/>
  <c r="W287" i="20"/>
  <c r="W288" i="20"/>
  <c r="W289" i="20" s="1"/>
  <c r="W226" i="20"/>
  <c r="O27" i="20"/>
  <c r="O30" i="20"/>
  <c r="E94" i="20"/>
  <c r="E79" i="20"/>
  <c r="AT83" i="20"/>
  <c r="O85" i="20"/>
  <c r="C22" i="20"/>
  <c r="X287" i="20"/>
  <c r="X288" i="20"/>
  <c r="X289" i="20" s="1"/>
  <c r="X226" i="20"/>
  <c r="K48" i="20"/>
  <c r="C55" i="20"/>
  <c r="D58" i="20"/>
  <c r="C59" i="20"/>
  <c r="E59" i="20"/>
  <c r="K15" i="20"/>
  <c r="G55" i="20"/>
  <c r="E58" i="20"/>
  <c r="AO90" i="20"/>
  <c r="L84" i="20"/>
  <c r="AM95" i="20"/>
  <c r="L116" i="20"/>
  <c r="AM133" i="20"/>
  <c r="AP133" i="20"/>
  <c r="AO133" i="20"/>
  <c r="AN133" i="20"/>
  <c r="K135" i="20"/>
  <c r="L146" i="20"/>
  <c r="AM98" i="20"/>
  <c r="L56" i="20"/>
  <c r="I76" i="20"/>
  <c r="J76" i="20" s="1"/>
  <c r="AN98" i="20"/>
  <c r="AM104" i="20"/>
  <c r="L115" i="20"/>
  <c r="AO98" i="20"/>
  <c r="O118" i="20"/>
  <c r="AL123" i="20"/>
  <c r="N164" i="20"/>
  <c r="X72" i="20" s="1"/>
  <c r="J164" i="20"/>
  <c r="C123" i="20"/>
  <c r="AR86" i="20"/>
  <c r="AS86" i="20" s="1"/>
  <c r="AT87" i="20"/>
  <c r="AU97" i="20"/>
  <c r="D123" i="20"/>
  <c r="K75" i="20"/>
  <c r="AM96" i="20"/>
  <c r="AO123" i="20"/>
  <c r="AR85" i="20"/>
  <c r="AS85" i="20" s="1"/>
  <c r="AN96" i="20"/>
  <c r="L117" i="20"/>
  <c r="D138" i="20"/>
  <c r="N132" i="20"/>
  <c r="U62" i="20" s="1"/>
  <c r="E167" i="20"/>
  <c r="O60" i="20"/>
  <c r="K105" i="20"/>
  <c r="AP128" i="20"/>
  <c r="AO128" i="20"/>
  <c r="AN128" i="20"/>
  <c r="AS129" i="20"/>
  <c r="D142" i="20"/>
  <c r="C142" i="20"/>
  <c r="G142" i="20"/>
  <c r="F142" i="20"/>
  <c r="E142" i="20"/>
  <c r="N135" i="20"/>
  <c r="X62" i="20" s="1"/>
  <c r="E137" i="20"/>
  <c r="L143" i="20"/>
  <c r="F144" i="20"/>
  <c r="L145" i="20"/>
  <c r="L173" i="20"/>
  <c r="L203" i="20"/>
  <c r="K192" i="20"/>
  <c r="I192" i="20"/>
  <c r="J192" i="20" s="1"/>
  <c r="C225" i="20"/>
  <c r="F137" i="20"/>
  <c r="H165" i="20"/>
  <c r="I166" i="20" s="1"/>
  <c r="AD21" i="20" s="1"/>
  <c r="G229" i="20"/>
  <c r="E229" i="20"/>
  <c r="D229" i="20"/>
  <c r="E262" i="20"/>
  <c r="D262" i="20"/>
  <c r="C262" i="20"/>
  <c r="G262" i="20"/>
  <c r="I162" i="20"/>
  <c r="J162" i="20" s="1"/>
  <c r="G230" i="20"/>
  <c r="E230" i="20"/>
  <c r="D230" i="20"/>
  <c r="N221" i="20"/>
  <c r="W92" i="20" s="1"/>
  <c r="F225" i="20"/>
  <c r="I131" i="20"/>
  <c r="N163" i="20"/>
  <c r="W72" i="20" s="1"/>
  <c r="E171" i="20"/>
  <c r="L175" i="20"/>
  <c r="C196" i="20"/>
  <c r="G196" i="20"/>
  <c r="N219" i="20"/>
  <c r="U92" i="20" s="1"/>
  <c r="J219" i="20"/>
  <c r="L233" i="20"/>
  <c r="K222" i="20"/>
  <c r="I222" i="20"/>
  <c r="J222" i="20" s="1"/>
  <c r="F230" i="20"/>
  <c r="N277" i="20"/>
  <c r="U112" i="20" s="1"/>
  <c r="J277" i="20"/>
  <c r="H136" i="20"/>
  <c r="I137" i="20" s="1"/>
  <c r="AD20" i="20" s="1"/>
  <c r="I161" i="20"/>
  <c r="J161" i="20" s="1"/>
  <c r="F171" i="20"/>
  <c r="E172" i="20"/>
  <c r="D196" i="20"/>
  <c r="N190" i="20"/>
  <c r="U82" i="20" s="1"/>
  <c r="H252" i="20"/>
  <c r="I253" i="20" s="1"/>
  <c r="AD24" i="20" s="1"/>
  <c r="K248" i="20"/>
  <c r="L259" i="20"/>
  <c r="I248" i="20"/>
  <c r="J248" i="20" s="1"/>
  <c r="C254" i="20"/>
  <c r="K131" i="20"/>
  <c r="C231" i="20"/>
  <c r="D254" i="20"/>
  <c r="O146" i="20"/>
  <c r="O147" i="20" s="1"/>
  <c r="C166" i="20"/>
  <c r="D201" i="20"/>
  <c r="D166" i="20"/>
  <c r="G260" i="20"/>
  <c r="E225" i="20"/>
  <c r="N220" i="20"/>
  <c r="V92" i="20" s="1"/>
  <c r="L202" i="20"/>
  <c r="I191" i="20"/>
  <c r="J191" i="20" s="1"/>
  <c r="F262" i="20"/>
  <c r="N276" i="20"/>
  <c r="T112" i="20" s="1"/>
  <c r="C283" i="20"/>
  <c r="K191" i="20"/>
  <c r="E196" i="20"/>
  <c r="E239" i="20"/>
  <c r="C261" i="20"/>
  <c r="F195" i="20"/>
  <c r="C229" i="20"/>
  <c r="G254" i="20"/>
  <c r="N251" i="20"/>
  <c r="X102" i="20" s="1"/>
  <c r="F320" i="20"/>
  <c r="D320" i="20"/>
  <c r="C320" i="20"/>
  <c r="D231" i="20"/>
  <c r="N366" i="20"/>
  <c r="W142" i="20" s="1"/>
  <c r="J366" i="20"/>
  <c r="O204" i="20"/>
  <c r="E231" i="20"/>
  <c r="L232" i="20"/>
  <c r="I249" i="20"/>
  <c r="J249" i="20" s="1"/>
  <c r="K250" i="20"/>
  <c r="D268" i="20"/>
  <c r="K276" i="20"/>
  <c r="E282" i="20"/>
  <c r="G283" i="20"/>
  <c r="L287" i="20"/>
  <c r="N305" i="20"/>
  <c r="T122" i="20" s="1"/>
  <c r="C312" i="20"/>
  <c r="D312" i="20"/>
  <c r="N334" i="20"/>
  <c r="T132" i="20" s="1"/>
  <c r="C341" i="20"/>
  <c r="L200" i="20"/>
  <c r="K249" i="20"/>
  <c r="I280" i="20"/>
  <c r="J280" i="20" s="1"/>
  <c r="O173" i="20"/>
  <c r="I189" i="20"/>
  <c r="J189" i="20" s="1"/>
  <c r="O200" i="20"/>
  <c r="D204" i="20"/>
  <c r="C210" i="20"/>
  <c r="I218" i="20"/>
  <c r="J218" i="20" s="1"/>
  <c r="O258" i="20"/>
  <c r="D258" i="20" s="1"/>
  <c r="O259" i="20"/>
  <c r="O260" i="20"/>
  <c r="F260" i="20" s="1"/>
  <c r="O261" i="20"/>
  <c r="D261" i="20" s="1"/>
  <c r="G290" i="20"/>
  <c r="F290" i="20"/>
  <c r="E290" i="20"/>
  <c r="D290" i="20"/>
  <c r="C290" i="20"/>
  <c r="N308" i="20"/>
  <c r="W122" i="20" s="1"/>
  <c r="F312" i="20"/>
  <c r="G551" i="20"/>
  <c r="D210" i="20"/>
  <c r="H223" i="20"/>
  <c r="I224" i="20" s="1"/>
  <c r="AD23" i="20" s="1"/>
  <c r="K280" i="20"/>
  <c r="C288" i="20"/>
  <c r="D375" i="20"/>
  <c r="C375" i="20"/>
  <c r="K218" i="20"/>
  <c r="G289" i="20"/>
  <c r="F289" i="20"/>
  <c r="E289" i="20"/>
  <c r="D289" i="20"/>
  <c r="D288" i="20"/>
  <c r="I278" i="20"/>
  <c r="J278" i="20" s="1"/>
  <c r="K279" i="20"/>
  <c r="E288" i="20"/>
  <c r="N367" i="20"/>
  <c r="X142" i="20" s="1"/>
  <c r="G370" i="20"/>
  <c r="N279" i="20"/>
  <c r="W112" i="20" s="1"/>
  <c r="E345" i="20"/>
  <c r="E346" i="20"/>
  <c r="E349" i="20"/>
  <c r="G378" i="20"/>
  <c r="F378" i="20"/>
  <c r="D378" i="20"/>
  <c r="C378" i="20"/>
  <c r="G384" i="20"/>
  <c r="G462" i="20"/>
  <c r="F462" i="20"/>
  <c r="C462" i="20"/>
  <c r="G464" i="20"/>
  <c r="F464" i="20"/>
  <c r="C464" i="20"/>
  <c r="K510" i="20"/>
  <c r="N537" i="20"/>
  <c r="T202" i="20" s="1"/>
  <c r="C544" i="20"/>
  <c r="D544" i="20"/>
  <c r="N538" i="20"/>
  <c r="U202" i="20" s="1"/>
  <c r="G577" i="20"/>
  <c r="F577" i="20"/>
  <c r="C577" i="20"/>
  <c r="I305" i="20"/>
  <c r="J305" i="20" s="1"/>
  <c r="J364" i="20"/>
  <c r="I394" i="20"/>
  <c r="J394" i="20" s="1"/>
  <c r="F485" i="20"/>
  <c r="F500" i="20"/>
  <c r="F515" i="20"/>
  <c r="D577" i="20"/>
  <c r="N307" i="20"/>
  <c r="V122" i="20" s="1"/>
  <c r="I336" i="20"/>
  <c r="J336" i="20" s="1"/>
  <c r="E375" i="20"/>
  <c r="K394" i="20"/>
  <c r="E407" i="20"/>
  <c r="J450" i="20"/>
  <c r="K454" i="20"/>
  <c r="I454" i="20"/>
  <c r="J454" i="20" s="1"/>
  <c r="D463" i="20"/>
  <c r="O492" i="20"/>
  <c r="F492" i="20" s="1"/>
  <c r="D523" i="20"/>
  <c r="C523" i="20"/>
  <c r="G515" i="20"/>
  <c r="L552" i="20"/>
  <c r="I541" i="20"/>
  <c r="J541" i="20" s="1"/>
  <c r="K570" i="20"/>
  <c r="I570" i="20"/>
  <c r="J570" i="20" s="1"/>
  <c r="L581" i="20"/>
  <c r="E577" i="20"/>
  <c r="O291" i="20"/>
  <c r="K305" i="20"/>
  <c r="L316" i="20"/>
  <c r="L317" i="20"/>
  <c r="F326" i="20"/>
  <c r="C355" i="20"/>
  <c r="E369" i="20"/>
  <c r="F375" i="20"/>
  <c r="L377" i="20"/>
  <c r="D398" i="20"/>
  <c r="F407" i="20"/>
  <c r="L436" i="20"/>
  <c r="I425" i="20"/>
  <c r="J425" i="20" s="1"/>
  <c r="N481" i="20"/>
  <c r="V182" i="20" s="1"/>
  <c r="G485" i="20"/>
  <c r="O494" i="20"/>
  <c r="E494" i="20" s="1"/>
  <c r="H513" i="20"/>
  <c r="I514" i="20" s="1"/>
  <c r="AD33" i="20" s="1"/>
  <c r="I512" i="20"/>
  <c r="J512" i="20" s="1"/>
  <c r="G543" i="20"/>
  <c r="O316" i="20"/>
  <c r="O317" i="20"/>
  <c r="O318" i="20"/>
  <c r="O319" i="20"/>
  <c r="G319" i="20" s="1"/>
  <c r="K336" i="20"/>
  <c r="O350" i="20"/>
  <c r="K482" i="20"/>
  <c r="D515" i="20"/>
  <c r="K541" i="20"/>
  <c r="I365" i="20"/>
  <c r="J365" i="20" s="1"/>
  <c r="K367" i="20"/>
  <c r="F399" i="20"/>
  <c r="H455" i="20"/>
  <c r="I456" i="20" s="1"/>
  <c r="AD31" i="20" s="1"/>
  <c r="I451" i="20"/>
  <c r="J451" i="20" s="1"/>
  <c r="G463" i="20"/>
  <c r="F463" i="20"/>
  <c r="C463" i="20"/>
  <c r="L465" i="20"/>
  <c r="H571" i="20"/>
  <c r="I572" i="20" s="1"/>
  <c r="AD35" i="20" s="1"/>
  <c r="I567" i="20"/>
  <c r="J567" i="20" s="1"/>
  <c r="L578" i="20"/>
  <c r="L347" i="20"/>
  <c r="L348" i="20"/>
  <c r="E378" i="20"/>
  <c r="H397" i="20"/>
  <c r="I398" i="20" s="1"/>
  <c r="AD29" i="20" s="1"/>
  <c r="D407" i="20"/>
  <c r="C407" i="20"/>
  <c r="H484" i="20"/>
  <c r="I485" i="20" s="1"/>
  <c r="AD32" i="20" s="1"/>
  <c r="L490" i="20"/>
  <c r="K479" i="20"/>
  <c r="C514" i="20"/>
  <c r="C529" i="20"/>
  <c r="F572" i="20"/>
  <c r="F587" i="20"/>
  <c r="F341" i="20"/>
  <c r="I363" i="20"/>
  <c r="J363" i="20" s="1"/>
  <c r="C370" i="20"/>
  <c r="O376" i="20"/>
  <c r="C376" i="20" s="1"/>
  <c r="I396" i="20"/>
  <c r="J396" i="20" s="1"/>
  <c r="L434" i="20"/>
  <c r="K423" i="20"/>
  <c r="C432" i="20"/>
  <c r="K451" i="20"/>
  <c r="I479" i="20"/>
  <c r="O491" i="20"/>
  <c r="D500" i="20"/>
  <c r="F521" i="20"/>
  <c r="F523" i="20"/>
  <c r="L550" i="20"/>
  <c r="K539" i="20"/>
  <c r="K567" i="20"/>
  <c r="G572" i="20"/>
  <c r="G587" i="20"/>
  <c r="E318" i="20"/>
  <c r="E320" i="20"/>
  <c r="I423" i="20"/>
  <c r="K452" i="20"/>
  <c r="D464" i="20"/>
  <c r="G523" i="20"/>
  <c r="I539" i="20"/>
  <c r="J539" i="20" s="1"/>
  <c r="K363" i="20"/>
  <c r="I393" i="20"/>
  <c r="J393" i="20" s="1"/>
  <c r="L404" i="20"/>
  <c r="K396" i="20"/>
  <c r="E432" i="20"/>
  <c r="N451" i="20"/>
  <c r="U172" i="20" s="1"/>
  <c r="O374" i="20"/>
  <c r="G374" i="20" s="1"/>
  <c r="K393" i="20"/>
  <c r="C398" i="20"/>
  <c r="C413" i="20"/>
  <c r="G432" i="20"/>
  <c r="K453" i="20"/>
  <c r="D457" i="20"/>
  <c r="K480" i="20"/>
  <c r="I480" i="20"/>
  <c r="J480" i="20" s="1"/>
  <c r="L491" i="20"/>
  <c r="I510" i="20"/>
  <c r="H542" i="20"/>
  <c r="I543" i="20" s="1"/>
  <c r="AD34" i="20" s="1"/>
  <c r="K569" i="20"/>
  <c r="L580" i="20"/>
  <c r="D573" i="20"/>
  <c r="L579" i="20"/>
  <c r="L493" i="20"/>
  <c r="K392" i="20"/>
  <c r="L403" i="20"/>
  <c r="L406" i="20"/>
  <c r="C492" i="20"/>
  <c r="C494" i="20"/>
  <c r="K508" i="20"/>
  <c r="L519" i="20"/>
  <c r="L522" i="20"/>
  <c r="I395" i="20"/>
  <c r="J395" i="20" s="1"/>
  <c r="O403" i="20"/>
  <c r="O404" i="20"/>
  <c r="O405" i="20"/>
  <c r="D405" i="20" s="1"/>
  <c r="O406" i="20"/>
  <c r="I421" i="20"/>
  <c r="J421" i="20" s="1"/>
  <c r="D492" i="20"/>
  <c r="D494" i="20"/>
  <c r="I511" i="20"/>
  <c r="J511" i="20" s="1"/>
  <c r="O519" i="20"/>
  <c r="O520" i="20"/>
  <c r="D520" i="20" s="1"/>
  <c r="O521" i="20"/>
  <c r="E521" i="20" s="1"/>
  <c r="O522" i="20"/>
  <c r="I452" i="20"/>
  <c r="E492" i="20"/>
  <c r="I568" i="20"/>
  <c r="K421" i="20"/>
  <c r="F494" i="20"/>
  <c r="C520" i="20"/>
  <c r="K537" i="20"/>
  <c r="O435" i="20"/>
  <c r="D435" i="20" s="1"/>
  <c r="O548" i="20"/>
  <c r="O549" i="20"/>
  <c r="F549" i="20" s="1"/>
  <c r="O550" i="20"/>
  <c r="O551" i="20"/>
  <c r="C551" i="20" s="1"/>
  <c r="AS129" i="9"/>
  <c r="AS119" i="12"/>
  <c r="J495" i="27" l="1"/>
  <c r="J447" i="27"/>
  <c r="J399" i="27"/>
  <c r="J351" i="27"/>
  <c r="J303" i="27"/>
  <c r="J255" i="27"/>
  <c r="J207" i="27"/>
  <c r="D573" i="27"/>
  <c r="D578" i="27"/>
  <c r="E408" i="27"/>
  <c r="E577" i="27"/>
  <c r="H264" i="27"/>
  <c r="H574" i="27"/>
  <c r="E571" i="27"/>
  <c r="F504" i="27"/>
  <c r="F579" i="27"/>
  <c r="F360" i="27"/>
  <c r="F576" i="27"/>
  <c r="H216" i="27"/>
  <c r="H573" i="27"/>
  <c r="D540" i="27"/>
  <c r="D543" i="27"/>
  <c r="D542" i="27"/>
  <c r="D541" i="27"/>
  <c r="D570" i="27"/>
  <c r="E504" i="27"/>
  <c r="E579" i="27"/>
  <c r="G216" i="27"/>
  <c r="G573" i="27"/>
  <c r="G456" i="27"/>
  <c r="G578" i="27"/>
  <c r="G360" i="27"/>
  <c r="G576" i="27"/>
  <c r="E216" i="27"/>
  <c r="E573" i="27"/>
  <c r="E541" i="27"/>
  <c r="E543" i="27"/>
  <c r="E542" i="27"/>
  <c r="E540" i="27"/>
  <c r="E570" i="27"/>
  <c r="H456" i="27"/>
  <c r="H578" i="27"/>
  <c r="D576" i="27"/>
  <c r="D572" i="27"/>
  <c r="F541" i="27"/>
  <c r="F542" i="27"/>
  <c r="F543" i="27"/>
  <c r="F540" i="27"/>
  <c r="F570" i="27"/>
  <c r="H504" i="27"/>
  <c r="H579" i="27"/>
  <c r="H360" i="27"/>
  <c r="H576" i="27"/>
  <c r="E572" i="27"/>
  <c r="G570" i="27"/>
  <c r="G540" i="27"/>
  <c r="G541" i="27"/>
  <c r="G543" i="27"/>
  <c r="G542" i="27"/>
  <c r="E360" i="27"/>
  <c r="E576" i="27"/>
  <c r="D579" i="27"/>
  <c r="D574" i="27"/>
  <c r="F572" i="27"/>
  <c r="H542" i="27"/>
  <c r="H570" i="27"/>
  <c r="H540" i="27"/>
  <c r="H541" i="27"/>
  <c r="H543" i="27"/>
  <c r="G504" i="27"/>
  <c r="G579" i="27"/>
  <c r="E264" i="27"/>
  <c r="E574" i="27"/>
  <c r="G572" i="27"/>
  <c r="G408" i="27"/>
  <c r="G577" i="27"/>
  <c r="E456" i="27"/>
  <c r="E578" i="27"/>
  <c r="G571" i="27"/>
  <c r="F456" i="27"/>
  <c r="F578" i="27"/>
  <c r="D577" i="27"/>
  <c r="F264" i="27"/>
  <c r="F574" i="27"/>
  <c r="H572" i="27"/>
  <c r="F571" i="27"/>
  <c r="H408" i="27"/>
  <c r="H577" i="27"/>
  <c r="F216" i="27"/>
  <c r="F573" i="27"/>
  <c r="H571" i="27"/>
  <c r="F408" i="27"/>
  <c r="F577" i="27"/>
  <c r="G264" i="27"/>
  <c r="G574" i="27"/>
  <c r="D571" i="27"/>
  <c r="AW85" i="26"/>
  <c r="AN115" i="26" s="1"/>
  <c r="AL90" i="26"/>
  <c r="AW83" i="26"/>
  <c r="D29" i="26"/>
  <c r="AA288" i="26"/>
  <c r="E29" i="26"/>
  <c r="F29" i="26"/>
  <c r="G85" i="26"/>
  <c r="C172" i="26"/>
  <c r="D229" i="26"/>
  <c r="G230" i="26"/>
  <c r="G229" i="26"/>
  <c r="O234" i="26"/>
  <c r="C229" i="26"/>
  <c r="E317" i="26"/>
  <c r="G317" i="26"/>
  <c r="F346" i="26"/>
  <c r="F345" i="26"/>
  <c r="G345" i="26"/>
  <c r="G349" i="26"/>
  <c r="O379" i="26"/>
  <c r="E375" i="26"/>
  <c r="C433" i="26"/>
  <c r="G433" i="26"/>
  <c r="D433" i="26"/>
  <c r="O437" i="26"/>
  <c r="E464" i="26"/>
  <c r="C464" i="26"/>
  <c r="D550" i="26"/>
  <c r="E550" i="26"/>
  <c r="F550" i="26"/>
  <c r="C550" i="26"/>
  <c r="N509" i="26"/>
  <c r="U192" i="26" s="1"/>
  <c r="H491" i="26"/>
  <c r="I491" i="26" s="1"/>
  <c r="K491" i="26" s="1"/>
  <c r="P491" i="26" s="1"/>
  <c r="N423" i="26"/>
  <c r="V162" i="26" s="1"/>
  <c r="D375" i="26"/>
  <c r="D349" i="26"/>
  <c r="E349" i="26"/>
  <c r="F349" i="26"/>
  <c r="N280" i="26"/>
  <c r="X112" i="26" s="1"/>
  <c r="N278" i="26"/>
  <c r="V112" i="26" s="1"/>
  <c r="D254" i="26"/>
  <c r="C254" i="26"/>
  <c r="N247" i="26"/>
  <c r="T102" i="26" s="1"/>
  <c r="H231" i="26"/>
  <c r="I231" i="26" s="1"/>
  <c r="D230" i="26"/>
  <c r="G196" i="26"/>
  <c r="N161" i="26"/>
  <c r="U72" i="26" s="1"/>
  <c r="J132" i="26"/>
  <c r="G57" i="26"/>
  <c r="E28" i="26"/>
  <c r="E32" i="26" s="1"/>
  <c r="V17" i="26" s="1"/>
  <c r="V25" i="26" s="1"/>
  <c r="C28" i="26"/>
  <c r="C32" i="26" s="1"/>
  <c r="T17" i="26" s="1"/>
  <c r="D28" i="26"/>
  <c r="G28" i="26"/>
  <c r="C87" i="25"/>
  <c r="D87" i="25"/>
  <c r="E87" i="25"/>
  <c r="C114" i="25"/>
  <c r="F114" i="25"/>
  <c r="E145" i="25"/>
  <c r="F145" i="25"/>
  <c r="H145" i="25" s="1"/>
  <c r="I145" i="25" s="1"/>
  <c r="F200" i="25"/>
  <c r="D229" i="25"/>
  <c r="G264" i="25"/>
  <c r="X97" i="25" s="1"/>
  <c r="X105" i="25" s="1"/>
  <c r="E259" i="25"/>
  <c r="C258" i="25"/>
  <c r="O263" i="25"/>
  <c r="G258" i="25"/>
  <c r="E376" i="25"/>
  <c r="O379" i="25"/>
  <c r="F376" i="25"/>
  <c r="F433" i="25"/>
  <c r="G433" i="25"/>
  <c r="D522" i="25"/>
  <c r="D520" i="25"/>
  <c r="C522" i="25"/>
  <c r="E522" i="25"/>
  <c r="E520" i="25"/>
  <c r="F522" i="25"/>
  <c r="G520" i="25"/>
  <c r="D548" i="25"/>
  <c r="E548" i="25"/>
  <c r="G548" i="25"/>
  <c r="C548" i="25"/>
  <c r="O553" i="25"/>
  <c r="E579" i="25"/>
  <c r="E578" i="25"/>
  <c r="H581" i="25"/>
  <c r="I581" i="25" s="1"/>
  <c r="N508" i="25"/>
  <c r="T192" i="25" s="1"/>
  <c r="N512" i="25"/>
  <c r="X192" i="25" s="1"/>
  <c r="N483" i="25"/>
  <c r="X182" i="25" s="1"/>
  <c r="N425" i="25"/>
  <c r="X162" i="25" s="1"/>
  <c r="N364" i="25"/>
  <c r="U142" i="25" s="1"/>
  <c r="N365" i="25"/>
  <c r="V142" i="25" s="1"/>
  <c r="N335" i="25"/>
  <c r="U132" i="25" s="1"/>
  <c r="N279" i="25"/>
  <c r="W112" i="25" s="1"/>
  <c r="F287" i="25"/>
  <c r="F292" i="25" s="1"/>
  <c r="W106" i="25" s="1"/>
  <c r="W114" i="25" s="1"/>
  <c r="W240" i="25" s="1"/>
  <c r="C289" i="25"/>
  <c r="C292" i="25" s="1"/>
  <c r="T106" i="25" s="1"/>
  <c r="T114" i="25" s="1"/>
  <c r="E289" i="25"/>
  <c r="E292" i="25" s="1"/>
  <c r="V106" i="25" s="1"/>
  <c r="V114" i="25" s="1"/>
  <c r="V240" i="25" s="1"/>
  <c r="J247" i="25"/>
  <c r="G229" i="25"/>
  <c r="F229" i="25"/>
  <c r="N218" i="25"/>
  <c r="T92" i="25" s="1"/>
  <c r="N193" i="25"/>
  <c r="X82" i="25" s="1"/>
  <c r="H175" i="25"/>
  <c r="I175" i="25" s="1"/>
  <c r="N132" i="25"/>
  <c r="U62" i="25" s="1"/>
  <c r="N105" i="25"/>
  <c r="W52" i="25" s="1"/>
  <c r="F51" i="25"/>
  <c r="G58" i="25"/>
  <c r="N75" i="25"/>
  <c r="V42" i="25" s="1"/>
  <c r="N74" i="25"/>
  <c r="U42" i="25" s="1"/>
  <c r="G28" i="25"/>
  <c r="E113" i="24"/>
  <c r="F113" i="24"/>
  <c r="F172" i="24"/>
  <c r="D200" i="24"/>
  <c r="H231" i="24"/>
  <c r="E288" i="24"/>
  <c r="D549" i="24"/>
  <c r="E549" i="24"/>
  <c r="E553" i="24" s="1"/>
  <c r="V196" i="24" s="1"/>
  <c r="V204" i="24" s="1"/>
  <c r="V249" i="24" s="1"/>
  <c r="F549" i="24"/>
  <c r="G549" i="24"/>
  <c r="G578" i="24"/>
  <c r="C583" i="24"/>
  <c r="T207" i="24" s="1"/>
  <c r="T215" i="24" s="1"/>
  <c r="N570" i="24"/>
  <c r="X212" i="24" s="1"/>
  <c r="N569" i="24"/>
  <c r="W212" i="24" s="1"/>
  <c r="F554" i="24"/>
  <c r="W197" i="24" s="1"/>
  <c r="W205" i="24" s="1"/>
  <c r="D554" i="24"/>
  <c r="U197" i="24" s="1"/>
  <c r="U205" i="24" s="1"/>
  <c r="N511" i="24"/>
  <c r="W192" i="24" s="1"/>
  <c r="H519" i="24"/>
  <c r="I519" i="24" s="1"/>
  <c r="T190" i="24" s="1"/>
  <c r="N451" i="24"/>
  <c r="U172" i="24" s="1"/>
  <c r="F438" i="24"/>
  <c r="W157" i="24" s="1"/>
  <c r="W165" i="24" s="1"/>
  <c r="C438" i="24"/>
  <c r="T157" i="24" s="1"/>
  <c r="T165" i="24" s="1"/>
  <c r="H434" i="24"/>
  <c r="N395" i="24"/>
  <c r="W152" i="24" s="1"/>
  <c r="C345" i="24"/>
  <c r="N305" i="24"/>
  <c r="T122" i="24" s="1"/>
  <c r="C290" i="24"/>
  <c r="F259" i="24"/>
  <c r="N249" i="24"/>
  <c r="V102" i="24" s="1"/>
  <c r="N221" i="24"/>
  <c r="W92" i="24" s="1"/>
  <c r="N133" i="24"/>
  <c r="V62" i="24" s="1"/>
  <c r="N102" i="24"/>
  <c r="T52" i="24" s="1"/>
  <c r="D86" i="24"/>
  <c r="D55" i="24"/>
  <c r="E55" i="24"/>
  <c r="E60" i="24" s="1"/>
  <c r="V26" i="24" s="1"/>
  <c r="V34" i="24" s="1"/>
  <c r="V232" i="24" s="1"/>
  <c r="N45" i="24"/>
  <c r="U32" i="24" s="1"/>
  <c r="F55" i="24"/>
  <c r="F61" i="24" s="1"/>
  <c r="W27" i="24" s="1"/>
  <c r="W35" i="24" s="1"/>
  <c r="G55" i="24"/>
  <c r="N19" i="24"/>
  <c r="X22" i="24" s="1"/>
  <c r="AX99" i="23"/>
  <c r="AL95" i="23"/>
  <c r="AQ95" i="23" s="1"/>
  <c r="AR95" i="23" s="1"/>
  <c r="AN95" i="23"/>
  <c r="AO95" i="23"/>
  <c r="AM95" i="23"/>
  <c r="D56" i="23"/>
  <c r="G56" i="23"/>
  <c r="E56" i="23"/>
  <c r="E173" i="23"/>
  <c r="C231" i="23"/>
  <c r="C229" i="23"/>
  <c r="D231" i="23"/>
  <c r="H231" i="23" s="1"/>
  <c r="I231" i="23" s="1"/>
  <c r="D229" i="23"/>
  <c r="E258" i="23"/>
  <c r="C259" i="23"/>
  <c r="C316" i="23"/>
  <c r="E317" i="23"/>
  <c r="C317" i="23"/>
  <c r="H317" i="23" s="1"/>
  <c r="I317" i="23" s="1"/>
  <c r="O321" i="23"/>
  <c r="D317" i="23"/>
  <c r="C407" i="23"/>
  <c r="D404" i="23"/>
  <c r="F404" i="23"/>
  <c r="D494" i="23"/>
  <c r="D522" i="23"/>
  <c r="F550" i="23"/>
  <c r="D550" i="23"/>
  <c r="E465" i="23"/>
  <c r="F465" i="23"/>
  <c r="G465" i="23"/>
  <c r="C463" i="23"/>
  <c r="G463" i="23"/>
  <c r="N451" i="23"/>
  <c r="U172" i="23" s="1"/>
  <c r="D465" i="23"/>
  <c r="H465" i="23" s="1"/>
  <c r="I465" i="23" s="1"/>
  <c r="C347" i="23"/>
  <c r="F347" i="23"/>
  <c r="N309" i="23"/>
  <c r="X122" i="23" s="1"/>
  <c r="N308" i="23"/>
  <c r="W122" i="23" s="1"/>
  <c r="N279" i="23"/>
  <c r="W112" i="23" s="1"/>
  <c r="N251" i="23"/>
  <c r="X102" i="23" s="1"/>
  <c r="H260" i="23"/>
  <c r="N189" i="23"/>
  <c r="T82" i="23" s="1"/>
  <c r="N76" i="23"/>
  <c r="W42" i="23" s="1"/>
  <c r="N75" i="23"/>
  <c r="V42" i="23" s="1"/>
  <c r="AM97" i="21"/>
  <c r="AP97" i="21"/>
  <c r="AO97" i="21"/>
  <c r="H27" i="21"/>
  <c r="I27" i="21" s="1"/>
  <c r="D57" i="21"/>
  <c r="F59" i="21"/>
  <c r="C57" i="21"/>
  <c r="F87" i="21"/>
  <c r="H87" i="21" s="1"/>
  <c r="I87" i="21" s="1"/>
  <c r="D87" i="21"/>
  <c r="C87" i="21"/>
  <c r="O89" i="21"/>
  <c r="E261" i="21"/>
  <c r="G261" i="21"/>
  <c r="F288" i="21"/>
  <c r="F290" i="21"/>
  <c r="G290" i="21"/>
  <c r="O292" i="21"/>
  <c r="C290" i="21"/>
  <c r="G345" i="21"/>
  <c r="G350" i="21" s="1"/>
  <c r="G351" i="21"/>
  <c r="X127" i="21" s="1"/>
  <c r="X135" i="21" s="1"/>
  <c r="E376" i="21"/>
  <c r="F406" i="21"/>
  <c r="F404" i="21"/>
  <c r="O437" i="21"/>
  <c r="C493" i="21"/>
  <c r="F579" i="21"/>
  <c r="E579" i="21"/>
  <c r="D523" i="21"/>
  <c r="E493" i="21"/>
  <c r="D486" i="21"/>
  <c r="N481" i="21"/>
  <c r="V182" i="21" s="1"/>
  <c r="N482" i="21"/>
  <c r="W182" i="21" s="1"/>
  <c r="N422" i="21"/>
  <c r="U162" i="21" s="1"/>
  <c r="H375" i="21"/>
  <c r="N364" i="21"/>
  <c r="U142" i="21" s="1"/>
  <c r="D350" i="21"/>
  <c r="U126" i="21" s="1"/>
  <c r="U134" i="21" s="1"/>
  <c r="U242" i="21" s="1"/>
  <c r="F351" i="21"/>
  <c r="W127" i="21" s="1"/>
  <c r="W135" i="21" s="1"/>
  <c r="J277" i="21"/>
  <c r="C201" i="21"/>
  <c r="N132" i="21"/>
  <c r="U62" i="21" s="1"/>
  <c r="E88" i="21"/>
  <c r="N16" i="21"/>
  <c r="U22" i="21" s="1"/>
  <c r="AX99" i="20"/>
  <c r="AO96" i="20"/>
  <c r="AL95" i="20"/>
  <c r="AN95" i="20"/>
  <c r="E55" i="20"/>
  <c r="AA287" i="20"/>
  <c r="F87" i="20"/>
  <c r="E144" i="20"/>
  <c r="F174" i="20"/>
  <c r="G174" i="20"/>
  <c r="G172" i="20"/>
  <c r="D174" i="20"/>
  <c r="O176" i="20"/>
  <c r="C174" i="20"/>
  <c r="C201" i="20"/>
  <c r="G201" i="20"/>
  <c r="C260" i="20"/>
  <c r="D260" i="20"/>
  <c r="G435" i="20"/>
  <c r="E433" i="20"/>
  <c r="F433" i="20"/>
  <c r="G433" i="20"/>
  <c r="C433" i="20"/>
  <c r="O466" i="20"/>
  <c r="N454" i="20"/>
  <c r="X172" i="20" s="1"/>
  <c r="N338" i="20"/>
  <c r="X132" i="20" s="1"/>
  <c r="N309" i="20"/>
  <c r="X122" i="20" s="1"/>
  <c r="N247" i="20"/>
  <c r="T102" i="20" s="1"/>
  <c r="N222" i="20"/>
  <c r="X92" i="20" s="1"/>
  <c r="N193" i="20"/>
  <c r="X82" i="20" s="1"/>
  <c r="N191" i="20"/>
  <c r="V82" i="20" s="1"/>
  <c r="N162" i="20"/>
  <c r="V72" i="20" s="1"/>
  <c r="E12" i="35"/>
  <c r="C20" i="35"/>
  <c r="M6" i="35"/>
  <c r="AM97" i="26"/>
  <c r="AL97" i="26"/>
  <c r="AQ97" i="26" s="1"/>
  <c r="AR97" i="26" s="1"/>
  <c r="AM95" i="26"/>
  <c r="AP97" i="26"/>
  <c r="AP95" i="26"/>
  <c r="AQ98" i="26"/>
  <c r="AR98" i="26" s="1"/>
  <c r="F432" i="26"/>
  <c r="F433" i="26"/>
  <c r="H407" i="26"/>
  <c r="I407" i="26" s="1"/>
  <c r="K407" i="26" s="1"/>
  <c r="P407" i="26" s="1"/>
  <c r="E345" i="26"/>
  <c r="C317" i="26"/>
  <c r="F317" i="26"/>
  <c r="C260" i="26"/>
  <c r="F230" i="26"/>
  <c r="F229" i="26"/>
  <c r="H229" i="26" s="1"/>
  <c r="I229" i="26" s="1"/>
  <c r="D174" i="26"/>
  <c r="F174" i="26"/>
  <c r="C87" i="26"/>
  <c r="F85" i="26"/>
  <c r="D87" i="26"/>
  <c r="G87" i="26"/>
  <c r="D59" i="26"/>
  <c r="H59" i="26" s="1"/>
  <c r="I59" i="26" s="1"/>
  <c r="E55" i="26"/>
  <c r="N537" i="26"/>
  <c r="T202" i="26" s="1"/>
  <c r="C544" i="26"/>
  <c r="H465" i="26"/>
  <c r="I465" i="26" s="1"/>
  <c r="N454" i="26"/>
  <c r="X172" i="26" s="1"/>
  <c r="G457" i="26"/>
  <c r="N421" i="26"/>
  <c r="T162" i="26" s="1"/>
  <c r="D428" i="26"/>
  <c r="H378" i="26"/>
  <c r="I378" i="26" s="1"/>
  <c r="G375" i="26"/>
  <c r="F375" i="26"/>
  <c r="N309" i="26"/>
  <c r="X122" i="26" s="1"/>
  <c r="N277" i="26"/>
  <c r="U112" i="26" s="1"/>
  <c r="E230" i="26"/>
  <c r="H204" i="26"/>
  <c r="I204" i="26" s="1"/>
  <c r="N163" i="26"/>
  <c r="W72" i="26" s="1"/>
  <c r="H173" i="26"/>
  <c r="I173" i="26" s="1"/>
  <c r="K173" i="26" s="1"/>
  <c r="P173" i="26" s="1"/>
  <c r="D167" i="26"/>
  <c r="H143" i="26"/>
  <c r="I143" i="26" s="1"/>
  <c r="K143" i="26" s="1"/>
  <c r="P143" i="26" s="1"/>
  <c r="H146" i="26"/>
  <c r="I146" i="26" s="1"/>
  <c r="X60" i="26" s="1"/>
  <c r="G138" i="26"/>
  <c r="N135" i="26"/>
  <c r="X62" i="26" s="1"/>
  <c r="J103" i="26"/>
  <c r="N103" i="26"/>
  <c r="U52" i="26" s="1"/>
  <c r="C109" i="26"/>
  <c r="N102" i="26"/>
  <c r="T52" i="26" s="1"/>
  <c r="E80" i="26"/>
  <c r="N75" i="26"/>
  <c r="V42" i="26" s="1"/>
  <c r="G80" i="26"/>
  <c r="N19" i="26"/>
  <c r="X22" i="26" s="1"/>
  <c r="G90" i="26"/>
  <c r="X37" i="26" s="1"/>
  <c r="X45" i="26" s="1"/>
  <c r="F581" i="26"/>
  <c r="E581" i="26"/>
  <c r="D581" i="26"/>
  <c r="C581" i="26"/>
  <c r="G581" i="26"/>
  <c r="N541" i="26"/>
  <c r="X202" i="26" s="1"/>
  <c r="E520" i="26"/>
  <c r="F520" i="26"/>
  <c r="G520" i="26"/>
  <c r="D520" i="26"/>
  <c r="C520" i="26"/>
  <c r="H549" i="26"/>
  <c r="I549" i="26" s="1"/>
  <c r="N567" i="26"/>
  <c r="U212" i="26" s="1"/>
  <c r="N276" i="26"/>
  <c r="T112" i="26" s="1"/>
  <c r="C283" i="26"/>
  <c r="H522" i="26"/>
  <c r="I522" i="26" s="1"/>
  <c r="E201" i="26"/>
  <c r="O60" i="26"/>
  <c r="D55" i="26"/>
  <c r="G55" i="26"/>
  <c r="G115" i="26"/>
  <c r="E115" i="26"/>
  <c r="D115" i="26"/>
  <c r="C115" i="26"/>
  <c r="F115" i="26"/>
  <c r="F119" i="26" s="1"/>
  <c r="W47" i="26" s="1"/>
  <c r="W55" i="26" s="1"/>
  <c r="N106" i="26"/>
  <c r="X52" i="26" s="1"/>
  <c r="H27" i="26"/>
  <c r="I27" i="26" s="1"/>
  <c r="G370" i="26"/>
  <c r="N367" i="26"/>
  <c r="X142" i="26" s="1"/>
  <c r="N363" i="26"/>
  <c r="T142" i="26" s="1"/>
  <c r="C370" i="26"/>
  <c r="C494" i="26"/>
  <c r="G494" i="26"/>
  <c r="F494" i="26"/>
  <c r="E494" i="26"/>
  <c r="D494" i="26"/>
  <c r="D496" i="26" s="1"/>
  <c r="U177" i="26" s="1"/>
  <c r="U185" i="26" s="1"/>
  <c r="F578" i="26"/>
  <c r="E578" i="26"/>
  <c r="D578" i="26"/>
  <c r="G578" i="26"/>
  <c r="C578" i="26"/>
  <c r="H434" i="26"/>
  <c r="I434" i="26" s="1"/>
  <c r="C492" i="26"/>
  <c r="C496" i="26" s="1"/>
  <c r="T177" i="26" s="1"/>
  <c r="T185" i="26" s="1"/>
  <c r="G492" i="26"/>
  <c r="E492" i="26"/>
  <c r="F492" i="26"/>
  <c r="D492" i="26"/>
  <c r="H377" i="26"/>
  <c r="I377" i="26" s="1"/>
  <c r="D259" i="26"/>
  <c r="O205" i="26"/>
  <c r="F200" i="26"/>
  <c r="C200" i="26"/>
  <c r="F142" i="26"/>
  <c r="E142" i="26"/>
  <c r="G142" i="26"/>
  <c r="D142" i="26"/>
  <c r="C142" i="26"/>
  <c r="C167" i="26"/>
  <c r="N160" i="26"/>
  <c r="T72" i="26" s="1"/>
  <c r="E109" i="26"/>
  <c r="N104" i="26"/>
  <c r="V52" i="26" s="1"/>
  <c r="C57" i="26"/>
  <c r="D117" i="26"/>
  <c r="D118" i="26" s="1"/>
  <c r="U46" i="26" s="1"/>
  <c r="U54" i="26" s="1"/>
  <c r="U234" i="26" s="1"/>
  <c r="N483" i="26"/>
  <c r="X182" i="26" s="1"/>
  <c r="E403" i="26"/>
  <c r="F403" i="26"/>
  <c r="C403" i="26"/>
  <c r="G403" i="26"/>
  <c r="D403" i="26"/>
  <c r="N568" i="26"/>
  <c r="V212" i="26" s="1"/>
  <c r="J482" i="26"/>
  <c r="N482" i="26"/>
  <c r="W182" i="26" s="1"/>
  <c r="D346" i="26"/>
  <c r="H580" i="26"/>
  <c r="I580" i="26" s="1"/>
  <c r="G290" i="26"/>
  <c r="AN97" i="26"/>
  <c r="H172" i="26"/>
  <c r="I172" i="26" s="1"/>
  <c r="G201" i="26"/>
  <c r="D200" i="26"/>
  <c r="H523" i="26"/>
  <c r="I523" i="26" s="1"/>
  <c r="N189" i="26"/>
  <c r="T82" i="26" s="1"/>
  <c r="C196" i="26"/>
  <c r="O89" i="26"/>
  <c r="C56" i="26"/>
  <c r="F56" i="26"/>
  <c r="D56" i="26"/>
  <c r="G56" i="26"/>
  <c r="E56" i="26"/>
  <c r="D57" i="26"/>
  <c r="N76" i="26"/>
  <c r="W42" i="26" s="1"/>
  <c r="F80" i="26"/>
  <c r="C117" i="26"/>
  <c r="AO96" i="26"/>
  <c r="AN96" i="26"/>
  <c r="AL96" i="26"/>
  <c r="AP96" i="26"/>
  <c r="AM96" i="26"/>
  <c r="E399" i="26"/>
  <c r="N394" i="26"/>
  <c r="V152" i="26" s="1"/>
  <c r="H464" i="26"/>
  <c r="I464" i="26" s="1"/>
  <c r="H548" i="26"/>
  <c r="I548" i="26" s="1"/>
  <c r="G435" i="26"/>
  <c r="C435" i="26"/>
  <c r="F435" i="26"/>
  <c r="D435" i="26"/>
  <c r="E435" i="26"/>
  <c r="N452" i="26"/>
  <c r="V172" i="26" s="1"/>
  <c r="J452" i="26"/>
  <c r="E374" i="26"/>
  <c r="D374" i="26"/>
  <c r="C374" i="26"/>
  <c r="G374" i="26"/>
  <c r="F374" i="26"/>
  <c r="G260" i="26"/>
  <c r="F260" i="26"/>
  <c r="E260" i="26"/>
  <c r="E346" i="26"/>
  <c r="G348" i="26"/>
  <c r="F348" i="26"/>
  <c r="E348" i="26"/>
  <c r="D348" i="26"/>
  <c r="C348" i="26"/>
  <c r="C351" i="26" s="1"/>
  <c r="T127" i="26" s="1"/>
  <c r="T135" i="26" s="1"/>
  <c r="D291" i="26"/>
  <c r="G291" i="26"/>
  <c r="E291" i="26"/>
  <c r="G233" i="26"/>
  <c r="G234" i="26" s="1"/>
  <c r="X86" i="26" s="1"/>
  <c r="X94" i="26" s="1"/>
  <c r="X238" i="26" s="1"/>
  <c r="E233" i="26"/>
  <c r="D233" i="26"/>
  <c r="D235" i="26" s="1"/>
  <c r="U87" i="26" s="1"/>
  <c r="U95" i="26" s="1"/>
  <c r="C233" i="26"/>
  <c r="C234" i="26" s="1"/>
  <c r="F233" i="26"/>
  <c r="AN95" i="26"/>
  <c r="AX99" i="26"/>
  <c r="AO95" i="26"/>
  <c r="N221" i="26"/>
  <c r="W92" i="26" s="1"/>
  <c r="F225" i="26"/>
  <c r="E200" i="26"/>
  <c r="D175" i="26"/>
  <c r="F175" i="26"/>
  <c r="E175" i="26"/>
  <c r="E176" i="26" s="1"/>
  <c r="C175" i="26"/>
  <c r="G175" i="26"/>
  <c r="G176" i="26" s="1"/>
  <c r="X66" i="26" s="1"/>
  <c r="X74" i="26" s="1"/>
  <c r="X236" i="26" s="1"/>
  <c r="AL95" i="26"/>
  <c r="D32" i="26"/>
  <c r="U17" i="26" s="1"/>
  <c r="D85" i="26"/>
  <c r="N73" i="26"/>
  <c r="T42" i="26" s="1"/>
  <c r="C80" i="26"/>
  <c r="E117" i="26"/>
  <c r="O118" i="26"/>
  <c r="C60" i="26"/>
  <c r="T26" i="26" s="1"/>
  <c r="T34" i="26" s="1"/>
  <c r="J131" i="26"/>
  <c r="N131" i="26"/>
  <c r="T62" i="26" s="1"/>
  <c r="J396" i="26"/>
  <c r="N396" i="26"/>
  <c r="X152" i="26" s="1"/>
  <c r="N392" i="26"/>
  <c r="T152" i="26" s="1"/>
  <c r="N480" i="26"/>
  <c r="U182" i="26" s="1"/>
  <c r="D486" i="26"/>
  <c r="G552" i="26"/>
  <c r="C552" i="26"/>
  <c r="F552" i="26"/>
  <c r="E552" i="26"/>
  <c r="D552" i="26"/>
  <c r="N337" i="26"/>
  <c r="W132" i="26" s="1"/>
  <c r="F201" i="26"/>
  <c r="N336" i="26"/>
  <c r="V132" i="26" s="1"/>
  <c r="E341" i="26"/>
  <c r="G203" i="26"/>
  <c r="F203" i="26"/>
  <c r="E203" i="26"/>
  <c r="D203" i="26"/>
  <c r="C203" i="26"/>
  <c r="N251" i="26"/>
  <c r="X102" i="26" s="1"/>
  <c r="J251" i="26"/>
  <c r="J308" i="26"/>
  <c r="N308" i="26"/>
  <c r="W122" i="26" s="1"/>
  <c r="O292" i="26"/>
  <c r="G145" i="26"/>
  <c r="E145" i="26"/>
  <c r="C145" i="26"/>
  <c r="F145" i="26"/>
  <c r="D145" i="26"/>
  <c r="AL115" i="26"/>
  <c r="AS83" i="26"/>
  <c r="G117" i="26"/>
  <c r="N393" i="26"/>
  <c r="U152" i="26" s="1"/>
  <c r="O466" i="26"/>
  <c r="H490" i="26"/>
  <c r="I490" i="26" s="1"/>
  <c r="O263" i="26"/>
  <c r="G258" i="26"/>
  <c r="F258" i="26"/>
  <c r="E258" i="26"/>
  <c r="G346" i="26"/>
  <c r="C457" i="26"/>
  <c r="N450" i="26"/>
  <c r="T172" i="26" s="1"/>
  <c r="F259" i="26"/>
  <c r="O350" i="26"/>
  <c r="H289" i="26"/>
  <c r="I289" i="26" s="1"/>
  <c r="H406" i="26"/>
  <c r="I406" i="26" s="1"/>
  <c r="D262" i="26"/>
  <c r="C262" i="26"/>
  <c r="G262" i="26"/>
  <c r="F262" i="26"/>
  <c r="E262" i="26"/>
  <c r="H113" i="26"/>
  <c r="I113" i="26" s="1"/>
  <c r="H86" i="26"/>
  <c r="I86" i="26" s="1"/>
  <c r="AW86" i="26"/>
  <c r="AO115" i="26" s="1"/>
  <c r="AO90" i="26"/>
  <c r="H30" i="26"/>
  <c r="I30" i="26" s="1"/>
  <c r="G89" i="26"/>
  <c r="X36" i="26" s="1"/>
  <c r="X44" i="26" s="1"/>
  <c r="X233" i="26" s="1"/>
  <c r="H29" i="26"/>
  <c r="I29" i="26" s="1"/>
  <c r="AP94" i="26"/>
  <c r="AN94" i="26"/>
  <c r="AM94" i="26"/>
  <c r="AO94" i="26"/>
  <c r="AL94" i="26"/>
  <c r="N45" i="26"/>
  <c r="U32" i="26" s="1"/>
  <c r="D51" i="26"/>
  <c r="F55" i="26"/>
  <c r="C31" i="26"/>
  <c r="T16" i="26" s="1"/>
  <c r="H26" i="26"/>
  <c r="AW84" i="26"/>
  <c r="AM115" i="26" s="1"/>
  <c r="AM90" i="26"/>
  <c r="E521" i="26"/>
  <c r="F521" i="26"/>
  <c r="D521" i="26"/>
  <c r="G521" i="26"/>
  <c r="C521" i="26"/>
  <c r="D370" i="26"/>
  <c r="N364" i="26"/>
  <c r="U142" i="26" s="1"/>
  <c r="F461" i="26"/>
  <c r="E461" i="26"/>
  <c r="D461" i="26"/>
  <c r="C461" i="26"/>
  <c r="G461" i="26"/>
  <c r="E519" i="26"/>
  <c r="F519" i="26"/>
  <c r="C519" i="26"/>
  <c r="G519" i="26"/>
  <c r="D519" i="26"/>
  <c r="N451" i="26"/>
  <c r="U172" i="26" s="1"/>
  <c r="N395" i="26"/>
  <c r="W152" i="26" s="1"/>
  <c r="F399" i="26"/>
  <c r="H463" i="26"/>
  <c r="I463" i="26" s="1"/>
  <c r="D290" i="26"/>
  <c r="H232" i="26"/>
  <c r="I232" i="26" s="1"/>
  <c r="N425" i="26"/>
  <c r="X162" i="26" s="1"/>
  <c r="C573" i="26"/>
  <c r="N566" i="26"/>
  <c r="T212" i="26" s="1"/>
  <c r="N365" i="26"/>
  <c r="V142" i="26" s="1"/>
  <c r="H287" i="26"/>
  <c r="I287" i="26" s="1"/>
  <c r="C341" i="26"/>
  <c r="N334" i="26"/>
  <c r="T132" i="26" s="1"/>
  <c r="N192" i="26"/>
  <c r="W82" i="26" s="1"/>
  <c r="G319" i="26"/>
  <c r="G321" i="26" s="1"/>
  <c r="E319" i="26"/>
  <c r="E321" i="26" s="1"/>
  <c r="F319" i="26"/>
  <c r="D319" i="26"/>
  <c r="D321" i="26" s="1"/>
  <c r="C319" i="26"/>
  <c r="H114" i="26"/>
  <c r="H116" i="26"/>
  <c r="I116" i="26" s="1"/>
  <c r="E88" i="26"/>
  <c r="H58" i="26"/>
  <c r="I58" i="26" s="1"/>
  <c r="H171" i="26"/>
  <c r="N48" i="26"/>
  <c r="X32" i="26" s="1"/>
  <c r="D31" i="26"/>
  <c r="U16" i="26" s="1"/>
  <c r="H316" i="26"/>
  <c r="I316" i="26" s="1"/>
  <c r="E405" i="26"/>
  <c r="F405" i="26"/>
  <c r="D405" i="26"/>
  <c r="G405" i="26"/>
  <c r="C405" i="26"/>
  <c r="J338" i="26"/>
  <c r="N338" i="26"/>
  <c r="X132" i="26" s="1"/>
  <c r="O524" i="26"/>
  <c r="G551" i="26"/>
  <c r="G553" i="26" s="1"/>
  <c r="X196" i="26" s="1"/>
  <c r="X204" i="26" s="1"/>
  <c r="X249" i="26" s="1"/>
  <c r="C551" i="26"/>
  <c r="F551" i="26"/>
  <c r="F553" i="26" s="1"/>
  <c r="W196" i="26" s="1"/>
  <c r="W204" i="26" s="1"/>
  <c r="W249" i="26" s="1"/>
  <c r="D551" i="26"/>
  <c r="E551" i="26"/>
  <c r="H347" i="26"/>
  <c r="I347" i="26" s="1"/>
  <c r="H432" i="26"/>
  <c r="I432" i="26" s="1"/>
  <c r="D261" i="26"/>
  <c r="C261" i="26"/>
  <c r="G261" i="26"/>
  <c r="F261" i="26"/>
  <c r="E261" i="26"/>
  <c r="I114" i="26"/>
  <c r="C88" i="26"/>
  <c r="E31" i="26"/>
  <c r="V16" i="26" s="1"/>
  <c r="E515" i="26"/>
  <c r="N510" i="26"/>
  <c r="V192" i="26" s="1"/>
  <c r="C201" i="26"/>
  <c r="F462" i="26"/>
  <c r="E462" i="26"/>
  <c r="D462" i="26"/>
  <c r="G462" i="26"/>
  <c r="C462" i="26"/>
  <c r="F577" i="26"/>
  <c r="E577" i="26"/>
  <c r="D577" i="26"/>
  <c r="G577" i="26"/>
  <c r="C577" i="26"/>
  <c r="E404" i="26"/>
  <c r="F404" i="26"/>
  <c r="G404" i="26"/>
  <c r="D404" i="26"/>
  <c r="C404" i="26"/>
  <c r="H433" i="26"/>
  <c r="I433" i="26" s="1"/>
  <c r="E376" i="26"/>
  <c r="D376" i="26"/>
  <c r="C376" i="26"/>
  <c r="G376" i="26"/>
  <c r="F376" i="26"/>
  <c r="H320" i="26"/>
  <c r="I320" i="26" s="1"/>
  <c r="H493" i="26"/>
  <c r="I493" i="26" s="1"/>
  <c r="N569" i="26"/>
  <c r="W212" i="26" s="1"/>
  <c r="F573" i="26"/>
  <c r="E288" i="26"/>
  <c r="D288" i="26"/>
  <c r="C288" i="26"/>
  <c r="G288" i="26"/>
  <c r="F288" i="26"/>
  <c r="F292" i="26" s="1"/>
  <c r="E259" i="26"/>
  <c r="H550" i="26"/>
  <c r="I550" i="26" s="1"/>
  <c r="C349" i="26"/>
  <c r="N162" i="26"/>
  <c r="V72" i="26" s="1"/>
  <c r="E167" i="26"/>
  <c r="N366" i="26"/>
  <c r="W142" i="26" s="1"/>
  <c r="E85" i="26"/>
  <c r="D88" i="26"/>
  <c r="N18" i="26"/>
  <c r="W22" i="26" s="1"/>
  <c r="G31" i="26"/>
  <c r="G32" i="26"/>
  <c r="X17" i="26" s="1"/>
  <c r="F283" i="26"/>
  <c r="N279" i="26"/>
  <c r="W112" i="26" s="1"/>
  <c r="F515" i="26"/>
  <c r="N511" i="26"/>
  <c r="W192" i="26" s="1"/>
  <c r="H84" i="26"/>
  <c r="I84" i="26" s="1"/>
  <c r="AP90" i="26"/>
  <c r="AW87" i="26"/>
  <c r="AP115" i="26" s="1"/>
  <c r="N453" i="26"/>
  <c r="W172" i="26" s="1"/>
  <c r="F457" i="26"/>
  <c r="G515" i="26"/>
  <c r="N512" i="26"/>
  <c r="X192" i="26" s="1"/>
  <c r="O582" i="26"/>
  <c r="H579" i="26"/>
  <c r="I579" i="26" s="1"/>
  <c r="H345" i="26"/>
  <c r="I345" i="26" s="1"/>
  <c r="G436" i="26"/>
  <c r="C436" i="26"/>
  <c r="F436" i="26"/>
  <c r="E436" i="26"/>
  <c r="D436" i="26"/>
  <c r="H318" i="26"/>
  <c r="I318" i="26" s="1"/>
  <c r="G144" i="26"/>
  <c r="F144" i="26"/>
  <c r="E144" i="26"/>
  <c r="D144" i="26"/>
  <c r="C144" i="26"/>
  <c r="G202" i="26"/>
  <c r="F202" i="26"/>
  <c r="E202" i="26"/>
  <c r="D202" i="26"/>
  <c r="C202" i="26"/>
  <c r="E225" i="26"/>
  <c r="N220" i="26"/>
  <c r="V92" i="26" s="1"/>
  <c r="E196" i="26"/>
  <c r="N191" i="26"/>
  <c r="V82" i="26" s="1"/>
  <c r="F88" i="26"/>
  <c r="F57" i="26"/>
  <c r="E57" i="26"/>
  <c r="F31" i="26"/>
  <c r="W16" i="26" s="1"/>
  <c r="F32" i="26"/>
  <c r="W17" i="26" s="1"/>
  <c r="AW87" i="25"/>
  <c r="AP115" i="25" s="1"/>
  <c r="AP90" i="25"/>
  <c r="C577" i="25"/>
  <c r="H577" i="25" s="1"/>
  <c r="C579" i="25"/>
  <c r="H579" i="25" s="1"/>
  <c r="I579" i="25" s="1"/>
  <c r="D579" i="25"/>
  <c r="O582" i="25"/>
  <c r="G579" i="25"/>
  <c r="H548" i="25"/>
  <c r="I548" i="25" s="1"/>
  <c r="J548" i="25" s="1"/>
  <c r="T201" i="25" s="1"/>
  <c r="D549" i="25"/>
  <c r="G549" i="25"/>
  <c r="G492" i="25"/>
  <c r="H464" i="25"/>
  <c r="I464" i="25" s="1"/>
  <c r="C467" i="25"/>
  <c r="T167" i="25" s="1"/>
  <c r="T175" i="25" s="1"/>
  <c r="E467" i="25"/>
  <c r="V167" i="25" s="1"/>
  <c r="V175" i="25" s="1"/>
  <c r="O437" i="25"/>
  <c r="C433" i="25"/>
  <c r="H433" i="25" s="1"/>
  <c r="I433" i="25" s="1"/>
  <c r="F432" i="25"/>
  <c r="D432" i="25"/>
  <c r="E432" i="25"/>
  <c r="G404" i="25"/>
  <c r="G405" i="25"/>
  <c r="F404" i="25"/>
  <c r="F405" i="25"/>
  <c r="D404" i="25"/>
  <c r="D405" i="25"/>
  <c r="D320" i="25"/>
  <c r="H288" i="25"/>
  <c r="I288" i="25" s="1"/>
  <c r="K288" i="25" s="1"/>
  <c r="P288" i="25" s="1"/>
  <c r="C264" i="25"/>
  <c r="T97" i="25" s="1"/>
  <c r="T105" i="25" s="1"/>
  <c r="H261" i="25"/>
  <c r="I261" i="25" s="1"/>
  <c r="D258" i="25"/>
  <c r="E258" i="25"/>
  <c r="D259" i="25"/>
  <c r="F259" i="25"/>
  <c r="F263" i="25" s="1"/>
  <c r="W96" i="25" s="1"/>
  <c r="W104" i="25" s="1"/>
  <c r="W239" i="25" s="1"/>
  <c r="C172" i="25"/>
  <c r="G172" i="25"/>
  <c r="G87" i="25"/>
  <c r="H87" i="25" s="1"/>
  <c r="I87" i="25" s="1"/>
  <c r="D27" i="25"/>
  <c r="E27" i="25"/>
  <c r="F27" i="25"/>
  <c r="C27" i="25"/>
  <c r="F578" i="25"/>
  <c r="N538" i="25"/>
  <c r="U202" i="25" s="1"/>
  <c r="N537" i="25"/>
  <c r="T202" i="25" s="1"/>
  <c r="F544" i="25"/>
  <c r="N540" i="25"/>
  <c r="W202" i="25" s="1"/>
  <c r="N509" i="25"/>
  <c r="U192" i="25" s="1"/>
  <c r="F515" i="25"/>
  <c r="N511" i="25"/>
  <c r="W192" i="25" s="1"/>
  <c r="N479" i="25"/>
  <c r="T182" i="25" s="1"/>
  <c r="N481" i="25"/>
  <c r="V182" i="25" s="1"/>
  <c r="F466" i="25"/>
  <c r="W166" i="25" s="1"/>
  <c r="W174" i="25" s="1"/>
  <c r="W246" i="25" s="1"/>
  <c r="G466" i="25"/>
  <c r="X166" i="25" s="1"/>
  <c r="X174" i="25" s="1"/>
  <c r="X246" i="25" s="1"/>
  <c r="D467" i="25"/>
  <c r="U167" i="25" s="1"/>
  <c r="U175" i="25" s="1"/>
  <c r="C428" i="25"/>
  <c r="N421" i="25"/>
  <c r="T162" i="25" s="1"/>
  <c r="F399" i="25"/>
  <c r="N395" i="25"/>
  <c r="W152" i="25" s="1"/>
  <c r="H377" i="25"/>
  <c r="I377" i="25" s="1"/>
  <c r="H376" i="25"/>
  <c r="I376" i="25" s="1"/>
  <c r="E320" i="25"/>
  <c r="N305" i="25"/>
  <c r="T122" i="25" s="1"/>
  <c r="G292" i="25"/>
  <c r="X106" i="25" s="1"/>
  <c r="X114" i="25" s="1"/>
  <c r="X240" i="25" s="1"/>
  <c r="H260" i="25"/>
  <c r="I260" i="25" s="1"/>
  <c r="N221" i="25"/>
  <c r="W92" i="25" s="1"/>
  <c r="J221" i="25"/>
  <c r="N220" i="25"/>
  <c r="V92" i="25" s="1"/>
  <c r="N219" i="25"/>
  <c r="U92" i="25" s="1"/>
  <c r="H173" i="25"/>
  <c r="I173" i="25" s="1"/>
  <c r="F144" i="25"/>
  <c r="H144" i="25" s="1"/>
  <c r="I144" i="25" s="1"/>
  <c r="G144" i="25"/>
  <c r="D144" i="25"/>
  <c r="N106" i="25"/>
  <c r="X52" i="25" s="1"/>
  <c r="G109" i="25"/>
  <c r="N73" i="25"/>
  <c r="T42" i="25" s="1"/>
  <c r="G86" i="25"/>
  <c r="E86" i="25"/>
  <c r="C86" i="25"/>
  <c r="H85" i="25"/>
  <c r="I85" i="25" s="1"/>
  <c r="N44" i="25"/>
  <c r="T32" i="25" s="1"/>
  <c r="C51" i="25"/>
  <c r="H56" i="25"/>
  <c r="H59" i="25"/>
  <c r="I59" i="25" s="1"/>
  <c r="D58" i="25"/>
  <c r="F58" i="25"/>
  <c r="E58" i="25"/>
  <c r="J288" i="25"/>
  <c r="U111" i="25" s="1"/>
  <c r="D550" i="25"/>
  <c r="C550" i="25"/>
  <c r="G550" i="25"/>
  <c r="E550" i="25"/>
  <c r="F550" i="25"/>
  <c r="O350" i="25"/>
  <c r="C434" i="25"/>
  <c r="G434" i="25"/>
  <c r="F434" i="25"/>
  <c r="F437" i="25" s="1"/>
  <c r="W156" i="25" s="1"/>
  <c r="W164" i="25" s="1"/>
  <c r="W245" i="25" s="1"/>
  <c r="D434" i="25"/>
  <c r="E434" i="25"/>
  <c r="D493" i="25"/>
  <c r="O495" i="25"/>
  <c r="C316" i="25"/>
  <c r="H174" i="25"/>
  <c r="I174" i="25" s="1"/>
  <c r="N251" i="25"/>
  <c r="X102" i="25" s="1"/>
  <c r="G254" i="25"/>
  <c r="AX99" i="25"/>
  <c r="H88" i="25"/>
  <c r="I88" i="25" s="1"/>
  <c r="H461" i="25"/>
  <c r="N77" i="25"/>
  <c r="X42" i="25" s="1"/>
  <c r="G80" i="25"/>
  <c r="E142" i="25"/>
  <c r="D142" i="25"/>
  <c r="C142" i="25"/>
  <c r="F142" i="25"/>
  <c r="G142" i="25"/>
  <c r="J337" i="25"/>
  <c r="N337" i="25"/>
  <c r="W132" i="25" s="1"/>
  <c r="C348" i="25"/>
  <c r="G348" i="25"/>
  <c r="F348" i="25"/>
  <c r="E348" i="25"/>
  <c r="D348" i="25"/>
  <c r="N454" i="25"/>
  <c r="X172" i="25" s="1"/>
  <c r="G457" i="25"/>
  <c r="E493" i="25"/>
  <c r="N248" i="25"/>
  <c r="U102" i="25" s="1"/>
  <c r="J248" i="25"/>
  <c r="D492" i="25"/>
  <c r="D316" i="25"/>
  <c r="N334" i="25"/>
  <c r="T132" i="25" s="1"/>
  <c r="F80" i="25"/>
  <c r="N76" i="25"/>
  <c r="W42" i="25" s="1"/>
  <c r="E84" i="25"/>
  <c r="D84" i="25"/>
  <c r="C84" i="25"/>
  <c r="G84" i="25"/>
  <c r="F84" i="25"/>
  <c r="C22" i="25"/>
  <c r="N15" i="25"/>
  <c r="T22" i="25" s="1"/>
  <c r="C552" i="25"/>
  <c r="G552" i="25"/>
  <c r="F552" i="25"/>
  <c r="D552" i="25"/>
  <c r="E552" i="25"/>
  <c r="F523" i="25"/>
  <c r="E523" i="25"/>
  <c r="D523" i="25"/>
  <c r="N48" i="25"/>
  <c r="X32" i="25" s="1"/>
  <c r="G51" i="25"/>
  <c r="E51" i="25"/>
  <c r="N46" i="25"/>
  <c r="V32" i="25" s="1"/>
  <c r="E317" i="25"/>
  <c r="C457" i="25"/>
  <c r="N450" i="25"/>
  <c r="T172" i="25" s="1"/>
  <c r="C346" i="25"/>
  <c r="G346" i="25"/>
  <c r="E346" i="25"/>
  <c r="D346" i="25"/>
  <c r="F346" i="25"/>
  <c r="N510" i="25"/>
  <c r="V192" i="25" s="1"/>
  <c r="N539" i="25"/>
  <c r="V202" i="25" s="1"/>
  <c r="F493" i="25"/>
  <c r="G494" i="25"/>
  <c r="H494" i="25" s="1"/>
  <c r="H291" i="25"/>
  <c r="I291" i="25" s="1"/>
  <c r="G320" i="25"/>
  <c r="E492" i="25"/>
  <c r="E316" i="25"/>
  <c r="C407" i="25"/>
  <c r="F320" i="25"/>
  <c r="G231" i="25"/>
  <c r="F231" i="25"/>
  <c r="E231" i="25"/>
  <c r="D231" i="25"/>
  <c r="C231" i="25"/>
  <c r="H200" i="25"/>
  <c r="I200" i="25" s="1"/>
  <c r="G171" i="25"/>
  <c r="F171" i="25"/>
  <c r="E171" i="25"/>
  <c r="D171" i="25"/>
  <c r="C171" i="25"/>
  <c r="G263" i="25"/>
  <c r="X96" i="25" s="1"/>
  <c r="X104" i="25" s="1"/>
  <c r="X239" i="25" s="1"/>
  <c r="F138" i="25"/>
  <c r="N134" i="25"/>
  <c r="W62" i="25" s="1"/>
  <c r="AP97" i="25"/>
  <c r="AO97" i="25"/>
  <c r="AL97" i="25"/>
  <c r="N190" i="25"/>
  <c r="U82" i="25" s="1"/>
  <c r="D196" i="25"/>
  <c r="N45" i="25"/>
  <c r="U32" i="25" s="1"/>
  <c r="D51" i="25"/>
  <c r="AN96" i="25"/>
  <c r="AP96" i="25"/>
  <c r="AO96" i="25"/>
  <c r="AM96" i="25"/>
  <c r="AL96" i="25"/>
  <c r="AW84" i="25"/>
  <c r="AM115" i="25" s="1"/>
  <c r="F347" i="25"/>
  <c r="E347" i="25"/>
  <c r="D347" i="25"/>
  <c r="E116" i="25"/>
  <c r="D116" i="25"/>
  <c r="C116" i="25"/>
  <c r="F116" i="25"/>
  <c r="G116" i="25"/>
  <c r="H463" i="25"/>
  <c r="I463" i="25" s="1"/>
  <c r="C493" i="25"/>
  <c r="D317" i="25"/>
  <c r="C345" i="25"/>
  <c r="G345" i="25"/>
  <c r="F345" i="25"/>
  <c r="E345" i="25"/>
  <c r="D345" i="25"/>
  <c r="N541" i="25"/>
  <c r="X202" i="25" s="1"/>
  <c r="G544" i="25"/>
  <c r="N453" i="25"/>
  <c r="W172" i="25" s="1"/>
  <c r="N569" i="25"/>
  <c r="W212" i="25" s="1"/>
  <c r="J569" i="25"/>
  <c r="C349" i="25"/>
  <c r="G349" i="25"/>
  <c r="F349" i="25"/>
  <c r="E349" i="25"/>
  <c r="D349" i="25"/>
  <c r="F492" i="25"/>
  <c r="C318" i="25"/>
  <c r="N306" i="25"/>
  <c r="U122" i="25" s="1"/>
  <c r="D312" i="25"/>
  <c r="AL94" i="25"/>
  <c r="F407" i="25"/>
  <c r="D407" i="25"/>
  <c r="E407" i="25"/>
  <c r="D109" i="25"/>
  <c r="N103" i="25"/>
  <c r="U52" i="25" s="1"/>
  <c r="D573" i="25"/>
  <c r="N567" i="25"/>
  <c r="U212" i="25" s="1"/>
  <c r="G436" i="25"/>
  <c r="F436" i="25"/>
  <c r="E436" i="25"/>
  <c r="D436" i="25"/>
  <c r="C436" i="25"/>
  <c r="C523" i="25"/>
  <c r="N394" i="25"/>
  <c r="V152" i="25" s="1"/>
  <c r="F319" i="25"/>
  <c r="E319" i="25"/>
  <c r="D319" i="25"/>
  <c r="C319" i="25"/>
  <c r="G319" i="25"/>
  <c r="N308" i="25"/>
  <c r="W122" i="25" s="1"/>
  <c r="D318" i="25"/>
  <c r="F113" i="25"/>
  <c r="E113" i="25"/>
  <c r="G113" i="25"/>
  <c r="D113" i="25"/>
  <c r="C113" i="25"/>
  <c r="C119" i="25" s="1"/>
  <c r="T47" i="25" s="1"/>
  <c r="T55" i="25" s="1"/>
  <c r="G29" i="25"/>
  <c r="F29" i="25"/>
  <c r="E29" i="25"/>
  <c r="D29" i="25"/>
  <c r="C29" i="25"/>
  <c r="AM94" i="25"/>
  <c r="N18" i="25"/>
  <c r="W22" i="25" s="1"/>
  <c r="F22" i="25"/>
  <c r="G167" i="25"/>
  <c r="N164" i="25"/>
  <c r="X72" i="25" s="1"/>
  <c r="H522" i="25"/>
  <c r="I522" i="25" s="1"/>
  <c r="C403" i="25"/>
  <c r="G403" i="25"/>
  <c r="F403" i="25"/>
  <c r="D403" i="25"/>
  <c r="E403" i="25"/>
  <c r="G580" i="25"/>
  <c r="F580" i="25"/>
  <c r="F582" i="25" s="1"/>
  <c r="W206" i="25" s="1"/>
  <c r="W214" i="25" s="1"/>
  <c r="W250" i="25" s="1"/>
  <c r="E580" i="25"/>
  <c r="E583" i="25" s="1"/>
  <c r="V207" i="25" s="1"/>
  <c r="V215" i="25" s="1"/>
  <c r="D580" i="25"/>
  <c r="C580" i="25"/>
  <c r="N366" i="25"/>
  <c r="W142" i="25" s="1"/>
  <c r="F370" i="25"/>
  <c r="E318" i="25"/>
  <c r="N480" i="25"/>
  <c r="U182" i="25" s="1"/>
  <c r="D486" i="25"/>
  <c r="H203" i="25"/>
  <c r="I203" i="25" s="1"/>
  <c r="N161" i="25"/>
  <c r="U72" i="25" s="1"/>
  <c r="G146" i="25"/>
  <c r="F146" i="25"/>
  <c r="E146" i="25"/>
  <c r="D146" i="25"/>
  <c r="C146" i="25"/>
  <c r="C204" i="25"/>
  <c r="G204" i="25"/>
  <c r="F204" i="25"/>
  <c r="F205" i="25" s="1"/>
  <c r="W76" i="25" s="1"/>
  <c r="W84" i="25" s="1"/>
  <c r="W237" i="25" s="1"/>
  <c r="E204" i="25"/>
  <c r="D204" i="25"/>
  <c r="N102" i="25"/>
  <c r="T52" i="25" s="1"/>
  <c r="F202" i="25"/>
  <c r="D202" i="25"/>
  <c r="D206" i="25" s="1"/>
  <c r="U77" i="25" s="1"/>
  <c r="U85" i="25" s="1"/>
  <c r="C202" i="25"/>
  <c r="E202" i="25"/>
  <c r="G202" i="25"/>
  <c r="G55" i="25"/>
  <c r="F55" i="25"/>
  <c r="E55" i="25"/>
  <c r="C55" i="25"/>
  <c r="D55" i="25"/>
  <c r="N160" i="25"/>
  <c r="T72" i="25" s="1"/>
  <c r="F28" i="25"/>
  <c r="E28" i="25"/>
  <c r="C28" i="25"/>
  <c r="D28" i="25"/>
  <c r="N19" i="25"/>
  <c r="X22" i="25" s="1"/>
  <c r="G22" i="25"/>
  <c r="AP94" i="25"/>
  <c r="H26" i="25"/>
  <c r="I26" i="25" s="1"/>
  <c r="N568" i="25"/>
  <c r="V212" i="25" s="1"/>
  <c r="E573" i="25"/>
  <c r="F490" i="25"/>
  <c r="E490" i="25"/>
  <c r="D490" i="25"/>
  <c r="C490" i="25"/>
  <c r="G490" i="25"/>
  <c r="H520" i="25"/>
  <c r="I520" i="25" s="1"/>
  <c r="O524" i="25"/>
  <c r="O408" i="25"/>
  <c r="H491" i="25"/>
  <c r="I491" i="25" s="1"/>
  <c r="H287" i="25"/>
  <c r="C293" i="25"/>
  <c r="T107" i="25" s="1"/>
  <c r="T115" i="25" s="1"/>
  <c r="N367" i="25"/>
  <c r="X142" i="25" s="1"/>
  <c r="G370" i="25"/>
  <c r="G230" i="25"/>
  <c r="F230" i="25"/>
  <c r="E230" i="25"/>
  <c r="D230" i="25"/>
  <c r="C230" i="25"/>
  <c r="F318" i="25"/>
  <c r="F117" i="25"/>
  <c r="E117" i="25"/>
  <c r="D117" i="25"/>
  <c r="C117" i="25"/>
  <c r="G117" i="25"/>
  <c r="H262" i="25"/>
  <c r="I262" i="25" s="1"/>
  <c r="AO98" i="25"/>
  <c r="AN98" i="25"/>
  <c r="AM98" i="25"/>
  <c r="AL98" i="25"/>
  <c r="AW85" i="25"/>
  <c r="AN115" i="25" s="1"/>
  <c r="H143" i="25"/>
  <c r="I143" i="25" s="1"/>
  <c r="J17" i="25"/>
  <c r="N17" i="25"/>
  <c r="V22" i="25" s="1"/>
  <c r="AN94" i="25"/>
  <c r="I56" i="25"/>
  <c r="AA287" i="25"/>
  <c r="AA288" i="25"/>
  <c r="G347" i="25"/>
  <c r="N423" i="25"/>
  <c r="V162" i="25" s="1"/>
  <c r="E428" i="25"/>
  <c r="G399" i="25"/>
  <c r="N396" i="25"/>
  <c r="X152" i="25" s="1"/>
  <c r="AP95" i="25"/>
  <c r="AL95" i="25"/>
  <c r="AO95" i="25"/>
  <c r="AN95" i="25"/>
  <c r="AM95" i="25"/>
  <c r="D466" i="25"/>
  <c r="U166" i="25" s="1"/>
  <c r="U174" i="25" s="1"/>
  <c r="U246" i="25" s="1"/>
  <c r="G467" i="25"/>
  <c r="X167" i="25" s="1"/>
  <c r="X175" i="25" s="1"/>
  <c r="G493" i="25"/>
  <c r="N482" i="25"/>
  <c r="W182" i="25" s="1"/>
  <c r="F486" i="25"/>
  <c r="H378" i="25"/>
  <c r="I378" i="25" s="1"/>
  <c r="J249" i="25"/>
  <c r="N249" i="25"/>
  <c r="V102" i="25" s="1"/>
  <c r="H290" i="25"/>
  <c r="I290" i="25" s="1"/>
  <c r="G375" i="25"/>
  <c r="G379" i="25" s="1"/>
  <c r="F375" i="25"/>
  <c r="E375" i="25"/>
  <c r="E380" i="25" s="1"/>
  <c r="V137" i="25" s="1"/>
  <c r="V145" i="25" s="1"/>
  <c r="D375" i="25"/>
  <c r="C375" i="25"/>
  <c r="H435" i="25"/>
  <c r="I435" i="25" s="1"/>
  <c r="D264" i="25"/>
  <c r="U97" i="25" s="1"/>
  <c r="U105" i="25" s="1"/>
  <c r="G293" i="25"/>
  <c r="X107" i="25" s="1"/>
  <c r="X115" i="25" s="1"/>
  <c r="AM97" i="25"/>
  <c r="N191" i="25"/>
  <c r="V82" i="25" s="1"/>
  <c r="K175" i="25"/>
  <c r="P175" i="25" s="1"/>
  <c r="J175" i="25"/>
  <c r="X71" i="25" s="1"/>
  <c r="X70" i="25"/>
  <c r="AS83" i="25"/>
  <c r="AW83" i="25"/>
  <c r="AL115" i="25" s="1"/>
  <c r="E114" i="25"/>
  <c r="D114" i="25"/>
  <c r="N135" i="25"/>
  <c r="X62" i="25" s="1"/>
  <c r="C30" i="25"/>
  <c r="G30" i="25"/>
  <c r="F30" i="25"/>
  <c r="E30" i="25"/>
  <c r="D30" i="25"/>
  <c r="AO94" i="25"/>
  <c r="G57" i="25"/>
  <c r="E57" i="25"/>
  <c r="D57" i="25"/>
  <c r="C57" i="25"/>
  <c r="F57" i="25"/>
  <c r="O321" i="25"/>
  <c r="C263" i="25"/>
  <c r="T96" i="25" s="1"/>
  <c r="T104" i="25" s="1"/>
  <c r="E109" i="25"/>
  <c r="N104" i="25"/>
  <c r="V52" i="25" s="1"/>
  <c r="G317" i="25"/>
  <c r="H462" i="25"/>
  <c r="I462" i="25" s="1"/>
  <c r="C466" i="25"/>
  <c r="J363" i="25"/>
  <c r="N363" i="25"/>
  <c r="T142" i="25" s="1"/>
  <c r="H465" i="25"/>
  <c r="I465" i="25" s="1"/>
  <c r="H551" i="25"/>
  <c r="I551" i="25" s="1"/>
  <c r="G521" i="25"/>
  <c r="F521" i="25"/>
  <c r="D521" i="25"/>
  <c r="E521" i="25"/>
  <c r="C405" i="25"/>
  <c r="H405" i="25" s="1"/>
  <c r="I405" i="25" s="1"/>
  <c r="F317" i="25"/>
  <c r="D292" i="25"/>
  <c r="D293" i="25"/>
  <c r="U107" i="25" s="1"/>
  <c r="U115" i="25" s="1"/>
  <c r="N250" i="25"/>
  <c r="W102" i="25" s="1"/>
  <c r="F254" i="25"/>
  <c r="O234" i="25"/>
  <c r="N336" i="25"/>
  <c r="V132" i="25" s="1"/>
  <c r="N424" i="25"/>
  <c r="W162" i="25" s="1"/>
  <c r="C379" i="25"/>
  <c r="T136" i="25" s="1"/>
  <c r="T144" i="25" s="1"/>
  <c r="H374" i="25"/>
  <c r="I374" i="25" s="1"/>
  <c r="AN97" i="25"/>
  <c r="C115" i="25"/>
  <c r="G115" i="25"/>
  <c r="F115" i="25"/>
  <c r="E115" i="25"/>
  <c r="D115" i="25"/>
  <c r="O60" i="25"/>
  <c r="O118" i="25"/>
  <c r="N131" i="25"/>
  <c r="T62" i="25" s="1"/>
  <c r="J131" i="25"/>
  <c r="J16" i="25"/>
  <c r="N16" i="25"/>
  <c r="U22" i="25" s="1"/>
  <c r="O31" i="25"/>
  <c r="N570" i="25"/>
  <c r="X212" i="25" s="1"/>
  <c r="G573" i="25"/>
  <c r="N422" i="25"/>
  <c r="U162" i="25" s="1"/>
  <c r="D428" i="25"/>
  <c r="F467" i="25"/>
  <c r="W167" i="25" s="1"/>
  <c r="W175" i="25" s="1"/>
  <c r="E466" i="25"/>
  <c r="V166" i="25" s="1"/>
  <c r="V174" i="25" s="1"/>
  <c r="V246" i="25" s="1"/>
  <c r="N393" i="25"/>
  <c r="U152" i="25" s="1"/>
  <c r="F406" i="25"/>
  <c r="E406" i="25"/>
  <c r="D406" i="25"/>
  <c r="C406" i="25"/>
  <c r="G318" i="25"/>
  <c r="N276" i="25"/>
  <c r="T112" i="25" s="1"/>
  <c r="C283" i="25"/>
  <c r="D233" i="25"/>
  <c r="C233" i="25"/>
  <c r="C519" i="25"/>
  <c r="E519" i="25"/>
  <c r="D519" i="25"/>
  <c r="F519" i="25"/>
  <c r="F525" i="25" s="1"/>
  <c r="W187" i="25" s="1"/>
  <c r="W195" i="25" s="1"/>
  <c r="G519" i="25"/>
  <c r="H232" i="25"/>
  <c r="I232" i="25" s="1"/>
  <c r="C196" i="25"/>
  <c r="N189" i="25"/>
  <c r="T82" i="25" s="1"/>
  <c r="H201" i="25"/>
  <c r="I201" i="25" s="1"/>
  <c r="N278" i="25"/>
  <c r="V112" i="25" s="1"/>
  <c r="AW84" i="24"/>
  <c r="AM115" i="24" s="1"/>
  <c r="D583" i="24"/>
  <c r="U207" i="24" s="1"/>
  <c r="U215" i="24" s="1"/>
  <c r="F583" i="24"/>
  <c r="W207" i="24" s="1"/>
  <c r="W215" i="24" s="1"/>
  <c r="H578" i="24"/>
  <c r="I578" i="24" s="1"/>
  <c r="O553" i="24"/>
  <c r="C550" i="24"/>
  <c r="H550" i="24" s="1"/>
  <c r="I550" i="24" s="1"/>
  <c r="C548" i="24"/>
  <c r="C553" i="24" s="1"/>
  <c r="H549" i="24"/>
  <c r="I549" i="24" s="1"/>
  <c r="E493" i="24"/>
  <c r="H433" i="24"/>
  <c r="I433" i="24" s="1"/>
  <c r="E438" i="24"/>
  <c r="V157" i="24" s="1"/>
  <c r="V165" i="24" s="1"/>
  <c r="O437" i="24"/>
  <c r="D432" i="24"/>
  <c r="H432" i="24" s="1"/>
  <c r="H349" i="24"/>
  <c r="I349" i="24" s="1"/>
  <c r="K349" i="24" s="1"/>
  <c r="P349" i="24" s="1"/>
  <c r="E318" i="24"/>
  <c r="F317" i="24"/>
  <c r="C288" i="24"/>
  <c r="F288" i="24"/>
  <c r="O292" i="24"/>
  <c r="E258" i="24"/>
  <c r="F258" i="24"/>
  <c r="F264" i="24" s="1"/>
  <c r="W97" i="24" s="1"/>
  <c r="W105" i="24" s="1"/>
  <c r="G200" i="24"/>
  <c r="D201" i="24"/>
  <c r="D172" i="24"/>
  <c r="G172" i="24"/>
  <c r="H172" i="24" s="1"/>
  <c r="I172" i="24" s="1"/>
  <c r="H173" i="24"/>
  <c r="I173" i="24" s="1"/>
  <c r="O147" i="24"/>
  <c r="E142" i="24"/>
  <c r="H142" i="24" s="1"/>
  <c r="C145" i="24"/>
  <c r="D145" i="24"/>
  <c r="H88" i="24"/>
  <c r="I88" i="24" s="1"/>
  <c r="C61" i="24"/>
  <c r="T27" i="24" s="1"/>
  <c r="T35" i="24" s="1"/>
  <c r="H30" i="24"/>
  <c r="I30" i="24" s="1"/>
  <c r="E583" i="24"/>
  <c r="V207" i="24" s="1"/>
  <c r="V215" i="24" s="1"/>
  <c r="G582" i="24"/>
  <c r="X206" i="24" s="1"/>
  <c r="X214" i="24" s="1"/>
  <c r="X250" i="24" s="1"/>
  <c r="H551" i="24"/>
  <c r="I551" i="24" s="1"/>
  <c r="C544" i="24"/>
  <c r="F553" i="24"/>
  <c r="W196" i="24" s="1"/>
  <c r="W204" i="24" s="1"/>
  <c r="W249" i="24" s="1"/>
  <c r="N539" i="24"/>
  <c r="V202" i="24" s="1"/>
  <c r="N508" i="24"/>
  <c r="T192" i="24" s="1"/>
  <c r="J508" i="24"/>
  <c r="N453" i="24"/>
  <c r="W172" i="24" s="1"/>
  <c r="H435" i="24"/>
  <c r="I435" i="24" s="1"/>
  <c r="N425" i="24"/>
  <c r="X162" i="24" s="1"/>
  <c r="N423" i="24"/>
  <c r="V162" i="24" s="1"/>
  <c r="D438" i="24"/>
  <c r="U157" i="24" s="1"/>
  <c r="U165" i="24" s="1"/>
  <c r="N396" i="24"/>
  <c r="X152" i="24" s="1"/>
  <c r="H347" i="24"/>
  <c r="I347" i="24" s="1"/>
  <c r="F345" i="24"/>
  <c r="G345" i="24"/>
  <c r="C341" i="24"/>
  <c r="N334" i="24"/>
  <c r="T132" i="24" s="1"/>
  <c r="F312" i="24"/>
  <c r="N308" i="24"/>
  <c r="W122" i="24" s="1"/>
  <c r="D312" i="24"/>
  <c r="N306" i="24"/>
  <c r="U122" i="24" s="1"/>
  <c r="F290" i="24"/>
  <c r="D290" i="24"/>
  <c r="H290" i="24" s="1"/>
  <c r="I290" i="24" s="1"/>
  <c r="N250" i="24"/>
  <c r="W102" i="24" s="1"/>
  <c r="J250" i="24"/>
  <c r="N219" i="24"/>
  <c r="U92" i="24" s="1"/>
  <c r="G175" i="24"/>
  <c r="E175" i="24"/>
  <c r="D175" i="24"/>
  <c r="F175" i="24"/>
  <c r="C175" i="24"/>
  <c r="N132" i="24"/>
  <c r="U62" i="24" s="1"/>
  <c r="E86" i="24"/>
  <c r="F86" i="24"/>
  <c r="N76" i="24"/>
  <c r="W42" i="24" s="1"/>
  <c r="J76" i="24"/>
  <c r="C86" i="24"/>
  <c r="H87" i="24"/>
  <c r="I87" i="24" s="1"/>
  <c r="G61" i="24"/>
  <c r="X27" i="24" s="1"/>
  <c r="X35" i="24" s="1"/>
  <c r="D146" i="24"/>
  <c r="C146" i="24"/>
  <c r="G146" i="24"/>
  <c r="E146" i="24"/>
  <c r="F146" i="24"/>
  <c r="AP94" i="24"/>
  <c r="AO94" i="24"/>
  <c r="AN94" i="24"/>
  <c r="AM94" i="24"/>
  <c r="AL94" i="24"/>
  <c r="I59" i="24"/>
  <c r="J483" i="24"/>
  <c r="N483" i="24"/>
  <c r="X182" i="24" s="1"/>
  <c r="D573" i="24"/>
  <c r="N567" i="24"/>
  <c r="U212" i="24" s="1"/>
  <c r="G494" i="24"/>
  <c r="F494" i="24"/>
  <c r="E494" i="24"/>
  <c r="D494" i="24"/>
  <c r="C494" i="24"/>
  <c r="H465" i="24"/>
  <c r="I465" i="24" s="1"/>
  <c r="J394" i="24"/>
  <c r="N394" i="24"/>
  <c r="V152" i="24" s="1"/>
  <c r="N367" i="24"/>
  <c r="X142" i="24" s="1"/>
  <c r="J367" i="24"/>
  <c r="D370" i="24"/>
  <c r="N364" i="24"/>
  <c r="U142" i="24" s="1"/>
  <c r="N278" i="24"/>
  <c r="V112" i="24" s="1"/>
  <c r="E283" i="24"/>
  <c r="E200" i="24"/>
  <c r="H230" i="24"/>
  <c r="I230" i="24" s="1"/>
  <c r="C260" i="24"/>
  <c r="J135" i="24"/>
  <c r="N135" i="24"/>
  <c r="X62" i="24" s="1"/>
  <c r="AN90" i="24"/>
  <c r="AW85" i="24"/>
  <c r="AN115" i="24" s="1"/>
  <c r="H56" i="24"/>
  <c r="E61" i="24"/>
  <c r="V27" i="24" s="1"/>
  <c r="V35" i="24" s="1"/>
  <c r="AP95" i="24"/>
  <c r="AO95" i="24"/>
  <c r="AN95" i="24"/>
  <c r="AM95" i="24"/>
  <c r="AL95" i="24"/>
  <c r="D27" i="24"/>
  <c r="O495" i="24"/>
  <c r="G492" i="24"/>
  <c r="F492" i="24"/>
  <c r="E492" i="24"/>
  <c r="D492" i="24"/>
  <c r="C492" i="24"/>
  <c r="H552" i="24"/>
  <c r="I552" i="24" s="1"/>
  <c r="N452" i="24"/>
  <c r="V172" i="24" s="1"/>
  <c r="E457" i="24"/>
  <c r="G319" i="24"/>
  <c r="E319" i="24"/>
  <c r="D319" i="24"/>
  <c r="C319" i="24"/>
  <c r="F319" i="24"/>
  <c r="C378" i="24"/>
  <c r="G320" i="24"/>
  <c r="F320" i="24"/>
  <c r="E320" i="24"/>
  <c r="D320" i="24"/>
  <c r="C320" i="24"/>
  <c r="G312" i="24"/>
  <c r="N309" i="24"/>
  <c r="X122" i="24" s="1"/>
  <c r="N192" i="24"/>
  <c r="W82" i="24" s="1"/>
  <c r="D171" i="24"/>
  <c r="C171" i="24"/>
  <c r="G171" i="24"/>
  <c r="E171" i="24"/>
  <c r="F171" i="24"/>
  <c r="D260" i="24"/>
  <c r="AM98" i="24"/>
  <c r="AL98" i="24"/>
  <c r="AP98" i="24"/>
  <c r="AO98" i="24"/>
  <c r="AN98" i="24"/>
  <c r="E167" i="24"/>
  <c r="N162" i="24"/>
  <c r="V72" i="24" s="1"/>
  <c r="AP97" i="24"/>
  <c r="AO97" i="24"/>
  <c r="AN97" i="24"/>
  <c r="AM97" i="24"/>
  <c r="AL97" i="24"/>
  <c r="N103" i="24"/>
  <c r="U52" i="24" s="1"/>
  <c r="O31" i="24"/>
  <c r="G51" i="24"/>
  <c r="N48" i="24"/>
  <c r="X32" i="24" s="1"/>
  <c r="N44" i="24"/>
  <c r="T32" i="24" s="1"/>
  <c r="E27" i="24"/>
  <c r="N541" i="24"/>
  <c r="X202" i="24" s="1"/>
  <c r="C573" i="24"/>
  <c r="N566" i="24"/>
  <c r="T212" i="24" s="1"/>
  <c r="G491" i="24"/>
  <c r="F491" i="24"/>
  <c r="E491" i="24"/>
  <c r="D491" i="24"/>
  <c r="C491" i="24"/>
  <c r="E405" i="24"/>
  <c r="D405" i="24"/>
  <c r="C405" i="24"/>
  <c r="G405" i="24"/>
  <c r="F405" i="24"/>
  <c r="H581" i="24"/>
  <c r="I581" i="24" s="1"/>
  <c r="F493" i="24"/>
  <c r="E225" i="24"/>
  <c r="N220" i="24"/>
  <c r="V92" i="24" s="1"/>
  <c r="C261" i="24"/>
  <c r="H233" i="24"/>
  <c r="I233" i="24" s="1"/>
  <c r="G260" i="24"/>
  <c r="G145" i="24"/>
  <c r="E145" i="24"/>
  <c r="D204" i="24"/>
  <c r="C204" i="24"/>
  <c r="G204" i="24"/>
  <c r="E204" i="24"/>
  <c r="F204" i="24"/>
  <c r="C138" i="24"/>
  <c r="N131" i="24"/>
  <c r="T62" i="24" s="1"/>
  <c r="J47" i="24"/>
  <c r="N47" i="24"/>
  <c r="W32" i="24" s="1"/>
  <c r="N15" i="24"/>
  <c r="T22" i="24" s="1"/>
  <c r="C22" i="24"/>
  <c r="E109" i="24"/>
  <c r="N104" i="24"/>
  <c r="V52" i="24" s="1"/>
  <c r="F27" i="24"/>
  <c r="F544" i="24"/>
  <c r="N540" i="24"/>
  <c r="W202" i="24" s="1"/>
  <c r="D428" i="24"/>
  <c r="N422" i="24"/>
  <c r="U162" i="24" s="1"/>
  <c r="I434" i="24"/>
  <c r="N510" i="24"/>
  <c r="V192" i="24" s="1"/>
  <c r="H463" i="24"/>
  <c r="I463" i="24" s="1"/>
  <c r="D341" i="24"/>
  <c r="N335" i="24"/>
  <c r="U132" i="24" s="1"/>
  <c r="D262" i="24"/>
  <c r="G493" i="24"/>
  <c r="H493" i="24" s="1"/>
  <c r="G291" i="24"/>
  <c r="F291" i="24"/>
  <c r="E291" i="24"/>
  <c r="D291" i="24"/>
  <c r="C291" i="24"/>
  <c r="N509" i="24"/>
  <c r="U192" i="24" s="1"/>
  <c r="D261" i="24"/>
  <c r="I231" i="24"/>
  <c r="E260" i="24"/>
  <c r="G143" i="24"/>
  <c r="F143" i="24"/>
  <c r="E143" i="24"/>
  <c r="D143" i="24"/>
  <c r="C143" i="24"/>
  <c r="D117" i="24"/>
  <c r="G117" i="24"/>
  <c r="F117" i="24"/>
  <c r="E117" i="24"/>
  <c r="C117" i="24"/>
  <c r="E203" i="24"/>
  <c r="C203" i="24"/>
  <c r="H375" i="24"/>
  <c r="I375" i="24" s="1"/>
  <c r="E114" i="24"/>
  <c r="G114" i="24"/>
  <c r="F114" i="24"/>
  <c r="D114" i="24"/>
  <c r="C114" i="24"/>
  <c r="H84" i="24"/>
  <c r="I84" i="24" s="1"/>
  <c r="N105" i="24"/>
  <c r="W52" i="24" s="1"/>
  <c r="E522" i="24"/>
  <c r="D522" i="24"/>
  <c r="C522" i="24"/>
  <c r="G522" i="24"/>
  <c r="F522" i="24"/>
  <c r="D553" i="24"/>
  <c r="U196" i="24" s="1"/>
  <c r="U204" i="24" s="1"/>
  <c r="U249" i="24" s="1"/>
  <c r="H462" i="24"/>
  <c r="I462" i="24" s="1"/>
  <c r="H374" i="24"/>
  <c r="J280" i="24"/>
  <c r="N280" i="24"/>
  <c r="X112" i="24" s="1"/>
  <c r="E259" i="24"/>
  <c r="G196" i="24"/>
  <c r="N193" i="24"/>
  <c r="X82" i="24" s="1"/>
  <c r="J191" i="24"/>
  <c r="N191" i="24"/>
  <c r="V82" i="24" s="1"/>
  <c r="N189" i="24"/>
  <c r="T82" i="24" s="1"/>
  <c r="C196" i="24"/>
  <c r="J106" i="24"/>
  <c r="N106" i="24"/>
  <c r="X52" i="24" s="1"/>
  <c r="O118" i="24"/>
  <c r="D80" i="24"/>
  <c r="N74" i="24"/>
  <c r="U42" i="24" s="1"/>
  <c r="D28" i="24"/>
  <c r="C28" i="24"/>
  <c r="F28" i="24"/>
  <c r="G28" i="24"/>
  <c r="E28" i="24"/>
  <c r="H58" i="24"/>
  <c r="I58" i="24" s="1"/>
  <c r="G29" i="24"/>
  <c r="F29" i="24"/>
  <c r="E29" i="24"/>
  <c r="D29" i="24"/>
  <c r="C29" i="24"/>
  <c r="E520" i="24"/>
  <c r="D520" i="24"/>
  <c r="C520" i="24"/>
  <c r="F520" i="24"/>
  <c r="G520" i="24"/>
  <c r="D399" i="24"/>
  <c r="N393" i="24"/>
  <c r="U152" i="24" s="1"/>
  <c r="O263" i="24"/>
  <c r="C258" i="24"/>
  <c r="G258" i="24"/>
  <c r="N568" i="24"/>
  <c r="V212" i="24" s="1"/>
  <c r="E573" i="24"/>
  <c r="G316" i="24"/>
  <c r="F316" i="24"/>
  <c r="E316" i="24"/>
  <c r="D316" i="24"/>
  <c r="C316" i="24"/>
  <c r="E262" i="24"/>
  <c r="D348" i="24"/>
  <c r="E348" i="24"/>
  <c r="G348" i="24"/>
  <c r="F348" i="24"/>
  <c r="C348" i="24"/>
  <c r="G202" i="24"/>
  <c r="C202" i="24"/>
  <c r="F202" i="24"/>
  <c r="D202" i="24"/>
  <c r="E202" i="24"/>
  <c r="N218" i="24"/>
  <c r="T92" i="24" s="1"/>
  <c r="J218" i="24"/>
  <c r="G201" i="24"/>
  <c r="F201" i="24"/>
  <c r="C201" i="24"/>
  <c r="G60" i="24"/>
  <c r="X26" i="24" s="1"/>
  <c r="X34" i="24" s="1"/>
  <c r="X232" i="24" s="1"/>
  <c r="AO90" i="24"/>
  <c r="AW86" i="24"/>
  <c r="AO115" i="24" s="1"/>
  <c r="H579" i="24"/>
  <c r="I579" i="24" s="1"/>
  <c r="H436" i="24"/>
  <c r="I436" i="24" s="1"/>
  <c r="D376" i="24"/>
  <c r="C376" i="24"/>
  <c r="F377" i="24"/>
  <c r="C377" i="24"/>
  <c r="G377" i="24"/>
  <c r="G380" i="24" s="1"/>
  <c r="X137" i="24" s="1"/>
  <c r="X145" i="24" s="1"/>
  <c r="D377" i="24"/>
  <c r="E377" i="24"/>
  <c r="G259" i="24"/>
  <c r="D259" i="24"/>
  <c r="E261" i="24"/>
  <c r="N277" i="24"/>
  <c r="U112" i="24" s="1"/>
  <c r="D283" i="24"/>
  <c r="N276" i="24"/>
  <c r="T112" i="24" s="1"/>
  <c r="C283" i="24"/>
  <c r="D346" i="24"/>
  <c r="E346" i="24"/>
  <c r="G346" i="24"/>
  <c r="F346" i="24"/>
  <c r="C346" i="24"/>
  <c r="E341" i="24"/>
  <c r="N336" i="24"/>
  <c r="V132" i="24" s="1"/>
  <c r="G289" i="24"/>
  <c r="F289" i="24"/>
  <c r="E289" i="24"/>
  <c r="D289" i="24"/>
  <c r="C289" i="24"/>
  <c r="N338" i="24"/>
  <c r="X132" i="24" s="1"/>
  <c r="G341" i="24"/>
  <c r="AP96" i="24"/>
  <c r="AO96" i="24"/>
  <c r="AN96" i="24"/>
  <c r="AM96" i="24"/>
  <c r="AL96" i="24"/>
  <c r="G174" i="24"/>
  <c r="F174" i="24"/>
  <c r="E174" i="24"/>
  <c r="D174" i="24"/>
  <c r="C174" i="24"/>
  <c r="G85" i="24"/>
  <c r="G89" i="24" s="1"/>
  <c r="F85" i="24"/>
  <c r="D85" i="24"/>
  <c r="D89" i="24" s="1"/>
  <c r="U36" i="24" s="1"/>
  <c r="U44" i="24" s="1"/>
  <c r="U233" i="24" s="1"/>
  <c r="C85" i="24"/>
  <c r="E85" i="24"/>
  <c r="E89" i="24" s="1"/>
  <c r="N75" i="24"/>
  <c r="V42" i="24" s="1"/>
  <c r="C26" i="24"/>
  <c r="C457" i="24"/>
  <c r="N450" i="24"/>
  <c r="T172" i="24" s="1"/>
  <c r="D544" i="24"/>
  <c r="N538" i="24"/>
  <c r="U202" i="24" s="1"/>
  <c r="N454" i="24"/>
  <c r="X172" i="24" s="1"/>
  <c r="G553" i="24"/>
  <c r="X196" i="24" s="1"/>
  <c r="X204" i="24" s="1"/>
  <c r="X249" i="24" s="1"/>
  <c r="G554" i="24"/>
  <c r="X197" i="24" s="1"/>
  <c r="X205" i="24" s="1"/>
  <c r="H577" i="24"/>
  <c r="C582" i="24"/>
  <c r="T206" i="24" s="1"/>
  <c r="T214" i="24" s="1"/>
  <c r="E521" i="24"/>
  <c r="D521" i="24"/>
  <c r="C521" i="24"/>
  <c r="G521" i="24"/>
  <c r="F521" i="24"/>
  <c r="C437" i="24"/>
  <c r="T156" i="24" s="1"/>
  <c r="T164" i="24" s="1"/>
  <c r="O379" i="24"/>
  <c r="C259" i="24"/>
  <c r="N337" i="24"/>
  <c r="W132" i="24" s="1"/>
  <c r="F341" i="24"/>
  <c r="O321" i="24"/>
  <c r="G254" i="24"/>
  <c r="N251" i="24"/>
  <c r="X102" i="24" s="1"/>
  <c r="G229" i="24"/>
  <c r="F229" i="24"/>
  <c r="E229" i="24"/>
  <c r="D229" i="24"/>
  <c r="C229" i="24"/>
  <c r="O205" i="24"/>
  <c r="C116" i="24"/>
  <c r="G116" i="24"/>
  <c r="F116" i="24"/>
  <c r="E116" i="24"/>
  <c r="D116" i="24"/>
  <c r="H113" i="24"/>
  <c r="I113" i="24" s="1"/>
  <c r="H57" i="24"/>
  <c r="E51" i="24"/>
  <c r="N46" i="24"/>
  <c r="V32" i="24" s="1"/>
  <c r="AA287" i="24"/>
  <c r="AA288" i="24"/>
  <c r="D26" i="24"/>
  <c r="E403" i="24"/>
  <c r="D403" i="24"/>
  <c r="C403" i="24"/>
  <c r="G403" i="24"/>
  <c r="F403" i="24"/>
  <c r="G437" i="24"/>
  <c r="X156" i="24" s="1"/>
  <c r="X164" i="24" s="1"/>
  <c r="X245" i="24" s="1"/>
  <c r="G438" i="24"/>
  <c r="X157" i="24" s="1"/>
  <c r="X165" i="24" s="1"/>
  <c r="F428" i="24"/>
  <c r="N424" i="24"/>
  <c r="W162" i="24" s="1"/>
  <c r="D582" i="24"/>
  <c r="U206" i="24" s="1"/>
  <c r="U214" i="24" s="1"/>
  <c r="U250" i="24" s="1"/>
  <c r="G378" i="24"/>
  <c r="E378" i="24"/>
  <c r="D378" i="24"/>
  <c r="F439" i="24"/>
  <c r="N363" i="24"/>
  <c r="T142" i="24" s="1"/>
  <c r="C317" i="24"/>
  <c r="H317" i="24" s="1"/>
  <c r="I317" i="24" s="1"/>
  <c r="G80" i="24"/>
  <c r="N77" i="24"/>
  <c r="X42" i="24" s="1"/>
  <c r="D61" i="24"/>
  <c r="U27" i="24" s="1"/>
  <c r="U35" i="24" s="1"/>
  <c r="D60" i="24"/>
  <c r="U26" i="24" s="1"/>
  <c r="U34" i="24" s="1"/>
  <c r="U232" i="24" s="1"/>
  <c r="H232" i="24"/>
  <c r="I232" i="24" s="1"/>
  <c r="I57" i="24"/>
  <c r="E26" i="24"/>
  <c r="E406" i="24"/>
  <c r="D406" i="24"/>
  <c r="C406" i="24"/>
  <c r="F406" i="24"/>
  <c r="G406" i="24"/>
  <c r="G515" i="24"/>
  <c r="N512" i="24"/>
  <c r="X192" i="24" s="1"/>
  <c r="H523" i="24"/>
  <c r="I523" i="24" s="1"/>
  <c r="E582" i="24"/>
  <c r="V206" i="24" s="1"/>
  <c r="V214" i="24" s="1"/>
  <c r="V250" i="24" s="1"/>
  <c r="G490" i="24"/>
  <c r="F490" i="24"/>
  <c r="E490" i="24"/>
  <c r="D490" i="24"/>
  <c r="C490" i="24"/>
  <c r="E437" i="24"/>
  <c r="V156" i="24" s="1"/>
  <c r="V164" i="24" s="1"/>
  <c r="V245" i="24" s="1"/>
  <c r="F376" i="24"/>
  <c r="F380" i="24" s="1"/>
  <c r="W137" i="24" s="1"/>
  <c r="W145" i="24" s="1"/>
  <c r="G262" i="24"/>
  <c r="G464" i="24"/>
  <c r="G467" i="24" s="1"/>
  <c r="X167" i="24" s="1"/>
  <c r="X175" i="24" s="1"/>
  <c r="F464" i="24"/>
  <c r="F466" i="24" s="1"/>
  <c r="W166" i="24" s="1"/>
  <c r="W174" i="24" s="1"/>
  <c r="W246" i="24" s="1"/>
  <c r="E464" i="24"/>
  <c r="E466" i="24" s="1"/>
  <c r="D464" i="24"/>
  <c r="D467" i="24" s="1"/>
  <c r="U167" i="24" s="1"/>
  <c r="U175" i="24" s="1"/>
  <c r="C464" i="24"/>
  <c r="C467" i="24" s="1"/>
  <c r="T167" i="24" s="1"/>
  <c r="T175" i="24" s="1"/>
  <c r="H580" i="24"/>
  <c r="I580" i="24" s="1"/>
  <c r="F318" i="24"/>
  <c r="C318" i="24"/>
  <c r="G318" i="24"/>
  <c r="G261" i="24"/>
  <c r="N16" i="24"/>
  <c r="U22" i="24" s="1"/>
  <c r="D22" i="24"/>
  <c r="F26" i="24"/>
  <c r="E370" i="24"/>
  <c r="N365" i="24"/>
  <c r="V142" i="24" s="1"/>
  <c r="E404" i="24"/>
  <c r="D404" i="24"/>
  <c r="C404" i="24"/>
  <c r="G404" i="24"/>
  <c r="F404" i="24"/>
  <c r="G583" i="24"/>
  <c r="X207" i="24" s="1"/>
  <c r="X215" i="24" s="1"/>
  <c r="F582" i="24"/>
  <c r="W206" i="24" s="1"/>
  <c r="W214" i="24" s="1"/>
  <c r="W250" i="24" s="1"/>
  <c r="F437" i="24"/>
  <c r="W156" i="24" s="1"/>
  <c r="W164" i="24" s="1"/>
  <c r="W245" i="24" s="1"/>
  <c r="F370" i="24"/>
  <c r="N366" i="24"/>
  <c r="W142" i="24" s="1"/>
  <c r="E376" i="24"/>
  <c r="H407" i="24"/>
  <c r="I407" i="24" s="1"/>
  <c r="C262" i="24"/>
  <c r="J222" i="24"/>
  <c r="N222" i="24"/>
  <c r="X92" i="24" s="1"/>
  <c r="I461" i="24"/>
  <c r="H461" i="24"/>
  <c r="H287" i="24"/>
  <c r="I287" i="24" s="1"/>
  <c r="C200" i="24"/>
  <c r="C206" i="24" s="1"/>
  <c r="T77" i="24" s="1"/>
  <c r="T85" i="24" s="1"/>
  <c r="H115" i="24"/>
  <c r="I115" i="24" s="1"/>
  <c r="C144" i="24"/>
  <c r="G144" i="24"/>
  <c r="F144" i="24"/>
  <c r="D144" i="24"/>
  <c r="E144" i="24"/>
  <c r="AW87" i="24"/>
  <c r="AP115" i="24" s="1"/>
  <c r="AP90" i="24"/>
  <c r="N17" i="24"/>
  <c r="V22" i="24" s="1"/>
  <c r="E22" i="24"/>
  <c r="C60" i="24"/>
  <c r="G26" i="24"/>
  <c r="AP97" i="23"/>
  <c r="AQ98" i="23"/>
  <c r="G550" i="23"/>
  <c r="E519" i="23"/>
  <c r="F520" i="23"/>
  <c r="C520" i="23"/>
  <c r="C519" i="23"/>
  <c r="F519" i="23"/>
  <c r="F492" i="23"/>
  <c r="D492" i="23"/>
  <c r="C493" i="23"/>
  <c r="E493" i="23"/>
  <c r="O495" i="23"/>
  <c r="G462" i="23"/>
  <c r="H462" i="23" s="1"/>
  <c r="I462" i="23" s="1"/>
  <c r="C464" i="23"/>
  <c r="H464" i="23" s="1"/>
  <c r="I464" i="23" s="1"/>
  <c r="E435" i="23"/>
  <c r="C403" i="23"/>
  <c r="D258" i="23"/>
  <c r="H258" i="23" s="1"/>
  <c r="I258" i="23" s="1"/>
  <c r="C175" i="23"/>
  <c r="F144" i="23"/>
  <c r="C55" i="23"/>
  <c r="H55" i="23" s="1"/>
  <c r="F55" i="23"/>
  <c r="O60" i="23"/>
  <c r="AA288" i="23"/>
  <c r="H578" i="23"/>
  <c r="I578" i="23" s="1"/>
  <c r="N568" i="23"/>
  <c r="V212" i="23" s="1"/>
  <c r="N537" i="23"/>
  <c r="T202" i="23" s="1"/>
  <c r="E463" i="23"/>
  <c r="D463" i="23"/>
  <c r="F432" i="23"/>
  <c r="N423" i="23"/>
  <c r="V162" i="23" s="1"/>
  <c r="D432" i="23"/>
  <c r="G432" i="23"/>
  <c r="N396" i="23"/>
  <c r="X152" i="23" s="1"/>
  <c r="G378" i="23"/>
  <c r="F378" i="23"/>
  <c r="D378" i="23"/>
  <c r="H378" i="23" s="1"/>
  <c r="I378" i="23" s="1"/>
  <c r="D347" i="23"/>
  <c r="E347" i="23"/>
  <c r="N280" i="23"/>
  <c r="X112" i="23" s="1"/>
  <c r="D293" i="23"/>
  <c r="U107" i="23" s="1"/>
  <c r="U115" i="23" s="1"/>
  <c r="E290" i="23"/>
  <c r="G290" i="23"/>
  <c r="G292" i="23" s="1"/>
  <c r="F290" i="23"/>
  <c r="F292" i="23" s="1"/>
  <c r="C293" i="23"/>
  <c r="T107" i="23" s="1"/>
  <c r="T115" i="23" s="1"/>
  <c r="N222" i="23"/>
  <c r="X92" i="23" s="1"/>
  <c r="C225" i="23"/>
  <c r="N218" i="23"/>
  <c r="T92" i="23" s="1"/>
  <c r="N192" i="23"/>
  <c r="W82" i="23" s="1"/>
  <c r="N193" i="23"/>
  <c r="X82" i="23" s="1"/>
  <c r="F201" i="23"/>
  <c r="C201" i="23"/>
  <c r="H173" i="23"/>
  <c r="I173" i="23" s="1"/>
  <c r="N160" i="23"/>
  <c r="T72" i="23" s="1"/>
  <c r="C167" i="23"/>
  <c r="C146" i="23"/>
  <c r="E86" i="23"/>
  <c r="F86" i="23"/>
  <c r="G86" i="23"/>
  <c r="C86" i="23"/>
  <c r="D86" i="23"/>
  <c r="G88" i="23"/>
  <c r="C88" i="23"/>
  <c r="D88" i="23"/>
  <c r="F88" i="23"/>
  <c r="E88" i="23"/>
  <c r="C84" i="23"/>
  <c r="D84" i="23"/>
  <c r="E84" i="23"/>
  <c r="F84" i="23"/>
  <c r="G84" i="23"/>
  <c r="N73" i="23"/>
  <c r="T42" i="23" s="1"/>
  <c r="C87" i="23"/>
  <c r="D87" i="23"/>
  <c r="E87" i="23"/>
  <c r="F87" i="23"/>
  <c r="G87" i="23"/>
  <c r="C85" i="23"/>
  <c r="D85" i="23"/>
  <c r="E85" i="23"/>
  <c r="F85" i="23"/>
  <c r="G85" i="23"/>
  <c r="N47" i="23"/>
  <c r="W32" i="23" s="1"/>
  <c r="C59" i="23"/>
  <c r="E59" i="23"/>
  <c r="F59" i="23"/>
  <c r="G59" i="23"/>
  <c r="N15" i="23"/>
  <c r="T22" i="23" s="1"/>
  <c r="N16" i="23"/>
  <c r="U22" i="23" s="1"/>
  <c r="N453" i="23"/>
  <c r="W172" i="23" s="1"/>
  <c r="F457" i="23"/>
  <c r="AM90" i="23"/>
  <c r="AW84" i="23"/>
  <c r="AM115" i="23" s="1"/>
  <c r="G341" i="23"/>
  <c r="N338" i="23"/>
  <c r="X132" i="23" s="1"/>
  <c r="C171" i="23"/>
  <c r="G171" i="23"/>
  <c r="F171" i="23"/>
  <c r="D171" i="23"/>
  <c r="E171" i="23"/>
  <c r="J131" i="23"/>
  <c r="N131" i="23"/>
  <c r="T62" i="23" s="1"/>
  <c r="E138" i="23"/>
  <c r="N133" i="23"/>
  <c r="V62" i="23" s="1"/>
  <c r="N365" i="23"/>
  <c r="V142" i="23" s="1"/>
  <c r="E370" i="23"/>
  <c r="J395" i="23"/>
  <c r="N395" i="23"/>
  <c r="W152" i="23" s="1"/>
  <c r="H551" i="23"/>
  <c r="I551" i="23" s="1"/>
  <c r="N306" i="23"/>
  <c r="U122" i="23" s="1"/>
  <c r="D312" i="23"/>
  <c r="G434" i="23"/>
  <c r="F434" i="23"/>
  <c r="E434" i="23"/>
  <c r="D434" i="23"/>
  <c r="C434" i="23"/>
  <c r="F435" i="23"/>
  <c r="G320" i="23"/>
  <c r="G322" i="23" s="1"/>
  <c r="X117" i="23" s="1"/>
  <c r="X125" i="23" s="1"/>
  <c r="D320" i="23"/>
  <c r="D321" i="23" s="1"/>
  <c r="U116" i="23" s="1"/>
  <c r="U124" i="23" s="1"/>
  <c r="U241" i="23" s="1"/>
  <c r="C320" i="23"/>
  <c r="F320" i="23"/>
  <c r="E320" i="23"/>
  <c r="G581" i="23"/>
  <c r="C581" i="23"/>
  <c r="E581" i="23"/>
  <c r="D581" i="23"/>
  <c r="F581" i="23"/>
  <c r="G230" i="23"/>
  <c r="F230" i="23"/>
  <c r="E230" i="23"/>
  <c r="D230" i="23"/>
  <c r="C230" i="23"/>
  <c r="F229" i="23"/>
  <c r="E457" i="23"/>
  <c r="N452" i="23"/>
  <c r="V172" i="23" s="1"/>
  <c r="G114" i="23"/>
  <c r="F114" i="23"/>
  <c r="E114" i="23"/>
  <c r="D114" i="23"/>
  <c r="C114" i="23"/>
  <c r="G26" i="23"/>
  <c r="C26" i="23"/>
  <c r="F26" i="23"/>
  <c r="E26" i="23"/>
  <c r="D26" i="23"/>
  <c r="N103" i="23"/>
  <c r="U52" i="23" s="1"/>
  <c r="AO96" i="23"/>
  <c r="AP96" i="23"/>
  <c r="AL96" i="23"/>
  <c r="AN96" i="23"/>
  <c r="AM96" i="23"/>
  <c r="G461" i="23"/>
  <c r="F461" i="23"/>
  <c r="D461" i="23"/>
  <c r="E461" i="23"/>
  <c r="C461" i="23"/>
  <c r="D196" i="23"/>
  <c r="N190" i="23"/>
  <c r="U82" i="23" s="1"/>
  <c r="N394" i="23"/>
  <c r="V152" i="23" s="1"/>
  <c r="E399" i="23"/>
  <c r="N481" i="23"/>
  <c r="V182" i="23" s="1"/>
  <c r="E486" i="23"/>
  <c r="F341" i="23"/>
  <c r="N337" i="23"/>
  <c r="W132" i="23" s="1"/>
  <c r="AW83" i="23"/>
  <c r="AL115" i="23" s="1"/>
  <c r="AS83" i="23"/>
  <c r="N134" i="23"/>
  <c r="W62" i="23" s="1"/>
  <c r="G58" i="23"/>
  <c r="F58" i="23"/>
  <c r="E58" i="23"/>
  <c r="D58" i="23"/>
  <c r="C58" i="23"/>
  <c r="G577" i="23"/>
  <c r="F577" i="23"/>
  <c r="E577" i="23"/>
  <c r="D577" i="23"/>
  <c r="C577" i="23"/>
  <c r="O582" i="23"/>
  <c r="F573" i="23"/>
  <c r="N569" i="23"/>
  <c r="W212" i="23" s="1"/>
  <c r="D403" i="23"/>
  <c r="D435" i="23"/>
  <c r="H318" i="23"/>
  <c r="I318" i="23" s="1"/>
  <c r="N250" i="23"/>
  <c r="W102" i="23" s="1"/>
  <c r="H261" i="23"/>
  <c r="I261" i="23" s="1"/>
  <c r="J334" i="23"/>
  <c r="N334" i="23"/>
  <c r="T132" i="23" s="1"/>
  <c r="E115" i="23"/>
  <c r="H113" i="23"/>
  <c r="G172" i="23"/>
  <c r="F172" i="23"/>
  <c r="E172" i="23"/>
  <c r="D172" i="23"/>
  <c r="C172" i="23"/>
  <c r="F109" i="23"/>
  <c r="N105" i="23"/>
  <c r="W52" i="23" s="1"/>
  <c r="AR98" i="23"/>
  <c r="N102" i="23"/>
  <c r="T52" i="23" s="1"/>
  <c r="C109" i="23"/>
  <c r="O118" i="23"/>
  <c r="H287" i="23"/>
  <c r="C292" i="23"/>
  <c r="T106" i="23" s="1"/>
  <c r="T114" i="23" s="1"/>
  <c r="H229" i="23"/>
  <c r="D283" i="23"/>
  <c r="N277" i="23"/>
  <c r="U112" i="23" s="1"/>
  <c r="G116" i="23"/>
  <c r="F116" i="23"/>
  <c r="E116" i="23"/>
  <c r="C406" i="23"/>
  <c r="G406" i="23"/>
  <c r="F406" i="23"/>
  <c r="D406" i="23"/>
  <c r="E406" i="23"/>
  <c r="G552" i="23"/>
  <c r="F552" i="23"/>
  <c r="E552" i="23"/>
  <c r="D552" i="23"/>
  <c r="C552" i="23"/>
  <c r="E548" i="23"/>
  <c r="C548" i="23"/>
  <c r="D548" i="23"/>
  <c r="G548" i="23"/>
  <c r="F548" i="23"/>
  <c r="H490" i="23"/>
  <c r="G435" i="23"/>
  <c r="N191" i="23"/>
  <c r="V82" i="23" s="1"/>
  <c r="E196" i="23"/>
  <c r="H289" i="23"/>
  <c r="I289" i="23" s="1"/>
  <c r="F174" i="23"/>
  <c r="C174" i="23"/>
  <c r="G174" i="23"/>
  <c r="E174" i="23"/>
  <c r="D174" i="23"/>
  <c r="N219" i="23"/>
  <c r="U92" i="23" s="1"/>
  <c r="J219" i="23"/>
  <c r="F204" i="23"/>
  <c r="E204" i="23"/>
  <c r="D204" i="23"/>
  <c r="C204" i="23"/>
  <c r="G204" i="23"/>
  <c r="E144" i="23"/>
  <c r="D144" i="23"/>
  <c r="G144" i="23"/>
  <c r="N77" i="23"/>
  <c r="X42" i="23" s="1"/>
  <c r="G29" i="23"/>
  <c r="C29" i="23"/>
  <c r="E29" i="23"/>
  <c r="D29" i="23"/>
  <c r="F29" i="23"/>
  <c r="N44" i="23"/>
  <c r="T32" i="23" s="1"/>
  <c r="C51" i="23"/>
  <c r="AW85" i="23"/>
  <c r="AN115" i="23" s="1"/>
  <c r="AS85" i="23"/>
  <c r="G580" i="23"/>
  <c r="F580" i="23"/>
  <c r="E580" i="23"/>
  <c r="D580" i="23"/>
  <c r="C580" i="23"/>
  <c r="N539" i="23"/>
  <c r="V202" i="23" s="1"/>
  <c r="E544" i="23"/>
  <c r="E579" i="23"/>
  <c r="D579" i="23"/>
  <c r="C579" i="23"/>
  <c r="F579" i="23"/>
  <c r="F348" i="23"/>
  <c r="E348" i="23"/>
  <c r="D348" i="23"/>
  <c r="C348" i="23"/>
  <c r="G348" i="23"/>
  <c r="G521" i="23"/>
  <c r="F521" i="23"/>
  <c r="E521" i="23"/>
  <c r="D521" i="23"/>
  <c r="C521" i="23"/>
  <c r="O408" i="23"/>
  <c r="D486" i="23"/>
  <c r="N480" i="23"/>
  <c r="U182" i="23" s="1"/>
  <c r="G262" i="23"/>
  <c r="F262" i="23"/>
  <c r="F264" i="23" s="1"/>
  <c r="W97" i="23" s="1"/>
  <c r="W105" i="23" s="1"/>
  <c r="E262" i="23"/>
  <c r="E264" i="23" s="1"/>
  <c r="V97" i="23" s="1"/>
  <c r="V105" i="23" s="1"/>
  <c r="D262" i="23"/>
  <c r="C262" i="23"/>
  <c r="N163" i="23"/>
  <c r="W72" i="23" s="1"/>
  <c r="F167" i="23"/>
  <c r="E377" i="23"/>
  <c r="G377" i="23"/>
  <c r="F377" i="23"/>
  <c r="D377" i="23"/>
  <c r="C377" i="23"/>
  <c r="C116" i="23"/>
  <c r="F115" i="23"/>
  <c r="N161" i="23"/>
  <c r="U72" i="23" s="1"/>
  <c r="J161" i="23"/>
  <c r="O147" i="23"/>
  <c r="E142" i="23"/>
  <c r="H30" i="23"/>
  <c r="I30" i="23" s="1"/>
  <c r="C115" i="23"/>
  <c r="F376" i="23"/>
  <c r="E376" i="23"/>
  <c r="C376" i="23"/>
  <c r="G376" i="23"/>
  <c r="D376" i="23"/>
  <c r="E312" i="23"/>
  <c r="N307" i="23"/>
  <c r="V122" i="23" s="1"/>
  <c r="F403" i="23"/>
  <c r="H316" i="23"/>
  <c r="H345" i="23"/>
  <c r="N249" i="23"/>
  <c r="V102" i="23" s="1"/>
  <c r="N248" i="23"/>
  <c r="U102" i="23" s="1"/>
  <c r="H202" i="23"/>
  <c r="I202" i="23" s="1"/>
  <c r="D116" i="23"/>
  <c r="G115" i="23"/>
  <c r="O89" i="23"/>
  <c r="H288" i="23"/>
  <c r="I288" i="23" s="1"/>
  <c r="N45" i="23"/>
  <c r="U32" i="23" s="1"/>
  <c r="J45" i="23"/>
  <c r="H56" i="23"/>
  <c r="I56" i="23" s="1"/>
  <c r="G27" i="23"/>
  <c r="F27" i="23"/>
  <c r="E27" i="23"/>
  <c r="D27" i="23"/>
  <c r="C27" i="23"/>
  <c r="O524" i="23"/>
  <c r="I260" i="23"/>
  <c r="G403" i="23"/>
  <c r="C200" i="23"/>
  <c r="G200" i="23"/>
  <c r="F200" i="23"/>
  <c r="E200" i="23"/>
  <c r="D200" i="23"/>
  <c r="D322" i="23"/>
  <c r="U117" i="23" s="1"/>
  <c r="U125" i="23" s="1"/>
  <c r="N363" i="23"/>
  <c r="T142" i="23" s="1"/>
  <c r="E232" i="23"/>
  <c r="D232" i="23"/>
  <c r="C232" i="23"/>
  <c r="F232" i="23"/>
  <c r="G232" i="23"/>
  <c r="E109" i="23"/>
  <c r="N104" i="23"/>
  <c r="V52" i="23" s="1"/>
  <c r="O234" i="23"/>
  <c r="C283" i="23"/>
  <c r="N276" i="23"/>
  <c r="T112" i="23" s="1"/>
  <c r="F143" i="23"/>
  <c r="G143" i="23"/>
  <c r="E143" i="23"/>
  <c r="D143" i="23"/>
  <c r="C143" i="23"/>
  <c r="O31" i="23"/>
  <c r="G51" i="23"/>
  <c r="N48" i="23"/>
  <c r="X32" i="23" s="1"/>
  <c r="X285" i="23" s="1"/>
  <c r="X286" i="23" s="1"/>
  <c r="D146" i="23"/>
  <c r="E28" i="23"/>
  <c r="C28" i="23"/>
  <c r="G28" i="23"/>
  <c r="F28" i="23"/>
  <c r="D28" i="23"/>
  <c r="N482" i="23"/>
  <c r="W182" i="23" s="1"/>
  <c r="F486" i="23"/>
  <c r="G405" i="23"/>
  <c r="E405" i="23"/>
  <c r="F405" i="23"/>
  <c r="D405" i="23"/>
  <c r="C405" i="23"/>
  <c r="AN94" i="23"/>
  <c r="AL94" i="23"/>
  <c r="AP94" i="23"/>
  <c r="AO94" i="23"/>
  <c r="AM94" i="23"/>
  <c r="N570" i="23"/>
  <c r="X212" i="23" s="1"/>
  <c r="G573" i="23"/>
  <c r="G549" i="23"/>
  <c r="E549" i="23"/>
  <c r="C549" i="23"/>
  <c r="F549" i="23"/>
  <c r="D549" i="23"/>
  <c r="J425" i="23"/>
  <c r="N425" i="23"/>
  <c r="X162" i="23" s="1"/>
  <c r="J512" i="23"/>
  <c r="N512" i="23"/>
  <c r="X192" i="23" s="1"/>
  <c r="O437" i="23"/>
  <c r="G520" i="23"/>
  <c r="H259" i="23"/>
  <c r="I259" i="23" s="1"/>
  <c r="G494" i="23"/>
  <c r="G404" i="23"/>
  <c r="H404" i="23" s="1"/>
  <c r="I404" i="23" s="1"/>
  <c r="F375" i="23"/>
  <c r="E375" i="23"/>
  <c r="G375" i="23"/>
  <c r="D375" i="23"/>
  <c r="C375" i="23"/>
  <c r="N305" i="23"/>
  <c r="T122" i="23" s="1"/>
  <c r="C312" i="23"/>
  <c r="D292" i="23"/>
  <c r="U106" i="23" s="1"/>
  <c r="U114" i="23" s="1"/>
  <c r="U240" i="23" s="1"/>
  <c r="H203" i="23"/>
  <c r="I203" i="23" s="1"/>
  <c r="E167" i="23"/>
  <c r="N162" i="23"/>
  <c r="V72" i="23" s="1"/>
  <c r="H319" i="23"/>
  <c r="I319" i="23" s="1"/>
  <c r="AO97" i="23"/>
  <c r="AN97" i="23"/>
  <c r="AL97" i="23"/>
  <c r="AM97" i="23"/>
  <c r="E51" i="23"/>
  <c r="N46" i="23"/>
  <c r="V32" i="23" s="1"/>
  <c r="F142" i="23"/>
  <c r="N164" i="23"/>
  <c r="X72" i="23" s="1"/>
  <c r="G142" i="23"/>
  <c r="G57" i="23"/>
  <c r="F57" i="23"/>
  <c r="E57" i="23"/>
  <c r="D57" i="23"/>
  <c r="C57" i="23"/>
  <c r="AO90" i="23"/>
  <c r="AW86" i="23"/>
  <c r="AO115" i="23" s="1"/>
  <c r="E146" i="23"/>
  <c r="H433" i="23"/>
  <c r="I433" i="23" s="1"/>
  <c r="E283" i="23"/>
  <c r="N278" i="23"/>
  <c r="V112" i="23" s="1"/>
  <c r="G493" i="23"/>
  <c r="F493" i="23"/>
  <c r="G407" i="23"/>
  <c r="F407" i="23"/>
  <c r="H374" i="23"/>
  <c r="I374" i="23" s="1"/>
  <c r="H291" i="23"/>
  <c r="I291" i="23" s="1"/>
  <c r="H233" i="23"/>
  <c r="I233" i="23" s="1"/>
  <c r="N541" i="23"/>
  <c r="X202" i="23" s="1"/>
  <c r="G544" i="23"/>
  <c r="H175" i="23"/>
  <c r="I175" i="23" s="1"/>
  <c r="C142" i="23"/>
  <c r="F146" i="23"/>
  <c r="N540" i="23"/>
  <c r="W202" i="23" s="1"/>
  <c r="J540" i="23"/>
  <c r="E491" i="23"/>
  <c r="D491" i="23"/>
  <c r="F491" i="23"/>
  <c r="G491" i="23"/>
  <c r="C491" i="23"/>
  <c r="G519" i="23"/>
  <c r="N393" i="23"/>
  <c r="U152" i="23" s="1"/>
  <c r="D399" i="23"/>
  <c r="N392" i="23"/>
  <c r="T152" i="23" s="1"/>
  <c r="C399" i="23"/>
  <c r="F436" i="23"/>
  <c r="D436" i="23"/>
  <c r="G436" i="23"/>
  <c r="C436" i="23"/>
  <c r="E436" i="23"/>
  <c r="F523" i="23"/>
  <c r="D523" i="23"/>
  <c r="C523" i="23"/>
  <c r="G523" i="23"/>
  <c r="E523" i="23"/>
  <c r="E346" i="23"/>
  <c r="E351" i="23" s="1"/>
  <c r="V127" i="23" s="1"/>
  <c r="V135" i="23" s="1"/>
  <c r="D346" i="23"/>
  <c r="C346" i="23"/>
  <c r="G346" i="23"/>
  <c r="F346" i="23"/>
  <c r="F522" i="23"/>
  <c r="E522" i="23"/>
  <c r="C522" i="23"/>
  <c r="H349" i="23"/>
  <c r="I349" i="23" s="1"/>
  <c r="J247" i="23"/>
  <c r="N247" i="23"/>
  <c r="T102" i="23" s="1"/>
  <c r="G492" i="23"/>
  <c r="C492" i="23"/>
  <c r="N366" i="23"/>
  <c r="W142" i="23" s="1"/>
  <c r="F370" i="23"/>
  <c r="E145" i="23"/>
  <c r="H145" i="23" s="1"/>
  <c r="I145" i="23" s="1"/>
  <c r="D138" i="23"/>
  <c r="N132" i="23"/>
  <c r="U62" i="23" s="1"/>
  <c r="D142" i="23"/>
  <c r="E117" i="23"/>
  <c r="D117" i="23"/>
  <c r="C117" i="23"/>
  <c r="G117" i="23"/>
  <c r="F117" i="23"/>
  <c r="G146" i="23"/>
  <c r="AL96" i="21"/>
  <c r="AM96" i="21"/>
  <c r="AN96" i="21"/>
  <c r="AP96" i="21"/>
  <c r="AP98" i="21"/>
  <c r="AO98" i="21"/>
  <c r="AN98" i="21"/>
  <c r="AL98" i="21"/>
  <c r="AW84" i="21"/>
  <c r="AM115" i="21" s="1"/>
  <c r="AW87" i="21"/>
  <c r="AP115" i="21" s="1"/>
  <c r="C520" i="21"/>
  <c r="H520" i="21" s="1"/>
  <c r="I520" i="21" s="1"/>
  <c r="F521" i="21"/>
  <c r="H494" i="21"/>
  <c r="D464" i="21"/>
  <c r="G404" i="21"/>
  <c r="D406" i="21"/>
  <c r="C406" i="21"/>
  <c r="H406" i="21" s="1"/>
  <c r="I406" i="21" s="1"/>
  <c r="C404" i="21"/>
  <c r="E406" i="21"/>
  <c r="C348" i="21"/>
  <c r="C350" i="21" s="1"/>
  <c r="T126" i="21" s="1"/>
  <c r="T134" i="21" s="1"/>
  <c r="E348" i="21"/>
  <c r="E351" i="21" s="1"/>
  <c r="V127" i="21" s="1"/>
  <c r="V135" i="21" s="1"/>
  <c r="H347" i="21"/>
  <c r="G316" i="21"/>
  <c r="O263" i="21"/>
  <c r="D203" i="21"/>
  <c r="F203" i="21"/>
  <c r="F175" i="21"/>
  <c r="F171" i="21"/>
  <c r="H171" i="21" s="1"/>
  <c r="C175" i="21"/>
  <c r="C143" i="21"/>
  <c r="AA287" i="21"/>
  <c r="D143" i="21"/>
  <c r="AA288" i="21"/>
  <c r="D55" i="21"/>
  <c r="N541" i="21"/>
  <c r="X202" i="21" s="1"/>
  <c r="N539" i="21"/>
  <c r="V202" i="21" s="1"/>
  <c r="N511" i="21"/>
  <c r="W192" i="21" s="1"/>
  <c r="H492" i="21"/>
  <c r="I492" i="21" s="1"/>
  <c r="C490" i="21"/>
  <c r="D490" i="21"/>
  <c r="G490" i="21"/>
  <c r="G495" i="21" s="1"/>
  <c r="X176" i="21" s="1"/>
  <c r="X184" i="21" s="1"/>
  <c r="X247" i="21" s="1"/>
  <c r="F490" i="21"/>
  <c r="E490" i="21"/>
  <c r="E495" i="21" s="1"/>
  <c r="V176" i="21" s="1"/>
  <c r="V184" i="21" s="1"/>
  <c r="V247" i="21" s="1"/>
  <c r="F493" i="21"/>
  <c r="D493" i="21"/>
  <c r="C464" i="21"/>
  <c r="N424" i="21"/>
  <c r="W162" i="21" s="1"/>
  <c r="N423" i="21"/>
  <c r="V162" i="21" s="1"/>
  <c r="C399" i="21"/>
  <c r="N392" i="21"/>
  <c r="T152" i="21" s="1"/>
  <c r="D370" i="21"/>
  <c r="H378" i="21"/>
  <c r="I378" i="21" s="1"/>
  <c r="F350" i="21"/>
  <c r="W126" i="21" s="1"/>
  <c r="W134" i="21" s="1"/>
  <c r="W242" i="21" s="1"/>
  <c r="H349" i="21"/>
  <c r="I349" i="21" s="1"/>
  <c r="J349" i="21" s="1"/>
  <c r="X131" i="21" s="1"/>
  <c r="E288" i="21"/>
  <c r="G288" i="21"/>
  <c r="F260" i="21"/>
  <c r="H261" i="21"/>
  <c r="I261" i="21" s="1"/>
  <c r="D260" i="21"/>
  <c r="G260" i="21"/>
  <c r="C260" i="21"/>
  <c r="N220" i="21"/>
  <c r="V92" i="21" s="1"/>
  <c r="N191" i="21"/>
  <c r="V82" i="21" s="1"/>
  <c r="N160" i="21"/>
  <c r="T72" i="21" s="1"/>
  <c r="H115" i="21"/>
  <c r="I115" i="21" s="1"/>
  <c r="N103" i="21"/>
  <c r="U52" i="21" s="1"/>
  <c r="F88" i="21"/>
  <c r="C88" i="21"/>
  <c r="C59" i="21"/>
  <c r="H57" i="21"/>
  <c r="I57" i="21" s="1"/>
  <c r="E59" i="21"/>
  <c r="K27" i="21"/>
  <c r="P27" i="21" s="1"/>
  <c r="J27" i="21"/>
  <c r="U21" i="21" s="1"/>
  <c r="U20" i="21"/>
  <c r="G580" i="21"/>
  <c r="F580" i="21"/>
  <c r="D580" i="21"/>
  <c r="E580" i="21"/>
  <c r="C580" i="21"/>
  <c r="D551" i="21"/>
  <c r="C551" i="21"/>
  <c r="G551" i="21"/>
  <c r="F551" i="21"/>
  <c r="E551" i="21"/>
  <c r="E341" i="21"/>
  <c r="N336" i="21"/>
  <c r="V132" i="21" s="1"/>
  <c r="N335" i="21"/>
  <c r="U132" i="21" s="1"/>
  <c r="J335" i="21"/>
  <c r="O582" i="21"/>
  <c r="D404" i="21"/>
  <c r="H404" i="21" s="1"/>
  <c r="C172" i="21"/>
  <c r="D172" i="21"/>
  <c r="F51" i="21"/>
  <c r="N47" i="21"/>
  <c r="W32" i="21" s="1"/>
  <c r="G22" i="21"/>
  <c r="N19" i="21"/>
  <c r="X22" i="21" s="1"/>
  <c r="F316" i="21"/>
  <c r="N305" i="21"/>
  <c r="T122" i="21" s="1"/>
  <c r="C312" i="21"/>
  <c r="C283" i="21"/>
  <c r="N276" i="21"/>
  <c r="T112" i="21" s="1"/>
  <c r="G259" i="21"/>
  <c r="F259" i="21"/>
  <c r="E259" i="21"/>
  <c r="D259" i="21"/>
  <c r="C259" i="21"/>
  <c r="D173" i="21"/>
  <c r="G173" i="21"/>
  <c r="F173" i="21"/>
  <c r="E173" i="21"/>
  <c r="C173" i="21"/>
  <c r="AO94" i="21"/>
  <c r="AN94" i="21"/>
  <c r="AM94" i="21"/>
  <c r="AL94" i="21"/>
  <c r="AP94" i="21"/>
  <c r="N133" i="21"/>
  <c r="V62" i="21" s="1"/>
  <c r="E138" i="21"/>
  <c r="N102" i="21"/>
  <c r="T52" i="21" s="1"/>
  <c r="J102" i="21"/>
  <c r="G577" i="21"/>
  <c r="F577" i="21"/>
  <c r="E577" i="21"/>
  <c r="D577" i="21"/>
  <c r="C577" i="21"/>
  <c r="E521" i="21"/>
  <c r="C521" i="21"/>
  <c r="O524" i="21"/>
  <c r="J425" i="21"/>
  <c r="N425" i="21"/>
  <c r="X162" i="21" s="1"/>
  <c r="G521" i="21"/>
  <c r="N567" i="21"/>
  <c r="U212" i="21" s="1"/>
  <c r="J567" i="21"/>
  <c r="E464" i="21"/>
  <c r="N309" i="21"/>
  <c r="X122" i="21" s="1"/>
  <c r="J309" i="21"/>
  <c r="G579" i="21"/>
  <c r="C579" i="21"/>
  <c r="H346" i="21"/>
  <c r="I346" i="21" s="1"/>
  <c r="F232" i="21"/>
  <c r="D232" i="21"/>
  <c r="G232" i="21"/>
  <c r="C232" i="21"/>
  <c r="E232" i="21"/>
  <c r="E167" i="21"/>
  <c r="N162" i="21"/>
  <c r="V72" i="21" s="1"/>
  <c r="F113" i="21"/>
  <c r="E113" i="21"/>
  <c r="C113" i="21"/>
  <c r="G113" i="21"/>
  <c r="D113" i="21"/>
  <c r="F117" i="21"/>
  <c r="G117" i="21"/>
  <c r="E117" i="21"/>
  <c r="D117" i="21"/>
  <c r="C117" i="21"/>
  <c r="N46" i="21"/>
  <c r="V32" i="21" s="1"/>
  <c r="J46" i="21"/>
  <c r="H432" i="21"/>
  <c r="D436" i="21"/>
  <c r="G436" i="21"/>
  <c r="F436" i="21"/>
  <c r="E436" i="21"/>
  <c r="C436" i="21"/>
  <c r="H320" i="21"/>
  <c r="I320" i="21" s="1"/>
  <c r="O466" i="21"/>
  <c r="G461" i="21"/>
  <c r="C461" i="21"/>
  <c r="J537" i="21"/>
  <c r="N537" i="21"/>
  <c r="T202" i="21" s="1"/>
  <c r="O321" i="21"/>
  <c r="C496" i="21"/>
  <c r="T177" i="21" s="1"/>
  <c r="T185" i="21" s="1"/>
  <c r="N338" i="21"/>
  <c r="X132" i="21" s="1"/>
  <c r="G341" i="21"/>
  <c r="H491" i="21"/>
  <c r="I491" i="21" s="1"/>
  <c r="G486" i="21"/>
  <c r="N483" i="21"/>
  <c r="X182" i="21" s="1"/>
  <c r="N251" i="21"/>
  <c r="X102" i="21" s="1"/>
  <c r="AW86" i="21"/>
  <c r="AO115" i="21" s="1"/>
  <c r="AO90" i="21"/>
  <c r="E175" i="21"/>
  <c r="H116" i="21"/>
  <c r="I116" i="21" s="1"/>
  <c r="N45" i="21"/>
  <c r="U32" i="21" s="1"/>
  <c r="J45" i="21"/>
  <c r="C144" i="21"/>
  <c r="F144" i="21"/>
  <c r="D144" i="21"/>
  <c r="G144" i="21"/>
  <c r="E144" i="21"/>
  <c r="AM98" i="21"/>
  <c r="C319" i="21"/>
  <c r="G319" i="21"/>
  <c r="F319" i="21"/>
  <c r="E319" i="21"/>
  <c r="D319" i="21"/>
  <c r="D495" i="21"/>
  <c r="U176" i="21" s="1"/>
  <c r="U184" i="21" s="1"/>
  <c r="U247" i="21" s="1"/>
  <c r="I494" i="21"/>
  <c r="D578" i="21"/>
  <c r="C578" i="21"/>
  <c r="F578" i="21"/>
  <c r="E578" i="21"/>
  <c r="G578" i="21"/>
  <c r="C462" i="21"/>
  <c r="C291" i="21"/>
  <c r="F291" i="21"/>
  <c r="G291" i="21"/>
  <c r="E291" i="21"/>
  <c r="D291" i="21"/>
  <c r="N278" i="21"/>
  <c r="V112" i="21" s="1"/>
  <c r="E283" i="21"/>
  <c r="E172" i="21"/>
  <c r="O176" i="21"/>
  <c r="G258" i="21"/>
  <c r="F258" i="21"/>
  <c r="E258" i="21"/>
  <c r="D258" i="21"/>
  <c r="C258" i="21"/>
  <c r="F172" i="21"/>
  <c r="C138" i="21"/>
  <c r="N131" i="21"/>
  <c r="T62" i="21" s="1"/>
  <c r="F202" i="21"/>
  <c r="D202" i="21"/>
  <c r="C202" i="21"/>
  <c r="E202" i="21"/>
  <c r="E206" i="21" s="1"/>
  <c r="V77" i="21" s="1"/>
  <c r="V85" i="21" s="1"/>
  <c r="G202" i="21"/>
  <c r="G205" i="21" s="1"/>
  <c r="G51" i="21"/>
  <c r="N48" i="21"/>
  <c r="X32" i="21" s="1"/>
  <c r="N15" i="21"/>
  <c r="T22" i="21" s="1"/>
  <c r="C22" i="21"/>
  <c r="N510" i="21"/>
  <c r="V192" i="21" s="1"/>
  <c r="E515" i="21"/>
  <c r="C515" i="21"/>
  <c r="N508" i="21"/>
  <c r="T192" i="21" s="1"/>
  <c r="C317" i="21"/>
  <c r="G317" i="21"/>
  <c r="E317" i="21"/>
  <c r="D462" i="21"/>
  <c r="E399" i="21"/>
  <c r="N394" i="21"/>
  <c r="V152" i="21" s="1"/>
  <c r="C318" i="21"/>
  <c r="G318" i="21"/>
  <c r="F318" i="21"/>
  <c r="E318" i="21"/>
  <c r="D318" i="21"/>
  <c r="E462" i="21"/>
  <c r="D550" i="21"/>
  <c r="C550" i="21"/>
  <c r="F550" i="21"/>
  <c r="G550" i="21"/>
  <c r="E550" i="21"/>
  <c r="D581" i="21"/>
  <c r="F581" i="21"/>
  <c r="G581" i="21"/>
  <c r="E581" i="21"/>
  <c r="C581" i="21"/>
  <c r="D544" i="21"/>
  <c r="N538" i="21"/>
  <c r="U202" i="21" s="1"/>
  <c r="H376" i="21"/>
  <c r="I376" i="21" s="1"/>
  <c r="O234" i="21"/>
  <c r="G229" i="21"/>
  <c r="D233" i="21"/>
  <c r="N247" i="21"/>
  <c r="T102" i="21" s="1"/>
  <c r="J247" i="21"/>
  <c r="G109" i="21"/>
  <c r="N106" i="21"/>
  <c r="X52" i="21" s="1"/>
  <c r="G175" i="21"/>
  <c r="F146" i="21"/>
  <c r="F56" i="21"/>
  <c r="D56" i="21"/>
  <c r="G56" i="21"/>
  <c r="E56" i="21"/>
  <c r="C56" i="21"/>
  <c r="N75" i="21"/>
  <c r="V42" i="21" s="1"/>
  <c r="J75" i="21"/>
  <c r="AQ97" i="21"/>
  <c r="AR97" i="21" s="1"/>
  <c r="N512" i="21"/>
  <c r="X192" i="21" s="1"/>
  <c r="G515" i="21"/>
  <c r="J367" i="21"/>
  <c r="N367" i="21"/>
  <c r="X142" i="21" s="1"/>
  <c r="E312" i="21"/>
  <c r="N307" i="21"/>
  <c r="V122" i="21" s="1"/>
  <c r="H548" i="21"/>
  <c r="I548" i="21" s="1"/>
  <c r="E254" i="21"/>
  <c r="N249" i="21"/>
  <c r="V102" i="21" s="1"/>
  <c r="G496" i="21"/>
  <c r="X177" i="21" s="1"/>
  <c r="X185" i="21" s="1"/>
  <c r="I375" i="21"/>
  <c r="H523" i="21"/>
  <c r="I523" i="21" s="1"/>
  <c r="N395" i="21"/>
  <c r="W152" i="21" s="1"/>
  <c r="F462" i="21"/>
  <c r="N366" i="21"/>
  <c r="W142" i="21" s="1"/>
  <c r="F370" i="21"/>
  <c r="D229" i="21"/>
  <c r="F233" i="21"/>
  <c r="C229" i="21"/>
  <c r="N192" i="21"/>
  <c r="W82" i="21" s="1"/>
  <c r="O147" i="21"/>
  <c r="J104" i="21"/>
  <c r="N104" i="21"/>
  <c r="V52" i="21" s="1"/>
  <c r="J77" i="21"/>
  <c r="N77" i="21"/>
  <c r="X42" i="21" s="1"/>
  <c r="E146" i="21"/>
  <c r="D84" i="21"/>
  <c r="C84" i="21"/>
  <c r="G84" i="21"/>
  <c r="E84" i="21"/>
  <c r="F84" i="21"/>
  <c r="I347" i="21"/>
  <c r="AO110" i="21"/>
  <c r="AX99" i="21"/>
  <c r="AW83" i="21"/>
  <c r="AL115" i="21" s="1"/>
  <c r="D59" i="21"/>
  <c r="H59" i="21" s="1"/>
  <c r="I59" i="21" s="1"/>
  <c r="E403" i="21"/>
  <c r="D403" i="21"/>
  <c r="O408" i="21"/>
  <c r="C403" i="21"/>
  <c r="H114" i="21"/>
  <c r="I114" i="21" s="1"/>
  <c r="G465" i="21"/>
  <c r="E465" i="21"/>
  <c r="C465" i="21"/>
  <c r="F465" i="21"/>
  <c r="F403" i="21"/>
  <c r="D435" i="21"/>
  <c r="G435" i="21"/>
  <c r="F435" i="21"/>
  <c r="E435" i="21"/>
  <c r="C435" i="21"/>
  <c r="H552" i="21"/>
  <c r="I552" i="21" s="1"/>
  <c r="G462" i="21"/>
  <c r="G374" i="21"/>
  <c r="F374" i="21"/>
  <c r="D374" i="21"/>
  <c r="E374" i="21"/>
  <c r="C374" i="21"/>
  <c r="H434" i="21"/>
  <c r="I434" i="21" s="1"/>
  <c r="G287" i="21"/>
  <c r="E287" i="21"/>
  <c r="D287" i="21"/>
  <c r="C287" i="21"/>
  <c r="F287" i="21"/>
  <c r="E229" i="21"/>
  <c r="G233" i="21"/>
  <c r="H231" i="21"/>
  <c r="I231" i="21" s="1"/>
  <c r="H142" i="21"/>
  <c r="E233" i="21"/>
  <c r="N163" i="21"/>
  <c r="W72" i="21" s="1"/>
  <c r="G172" i="21"/>
  <c r="G146" i="21"/>
  <c r="H30" i="21"/>
  <c r="I30" i="21" s="1"/>
  <c r="G86" i="21"/>
  <c r="F86" i="21"/>
  <c r="E86" i="21"/>
  <c r="D86" i="21"/>
  <c r="C86" i="21"/>
  <c r="D352" i="21"/>
  <c r="G145" i="21"/>
  <c r="F145" i="21"/>
  <c r="E145" i="21"/>
  <c r="D145" i="21"/>
  <c r="C145" i="21"/>
  <c r="G573" i="21"/>
  <c r="N570" i="21"/>
  <c r="X212" i="21" s="1"/>
  <c r="D461" i="21"/>
  <c r="D465" i="21"/>
  <c r="G403" i="21"/>
  <c r="D549" i="21"/>
  <c r="C549" i="21"/>
  <c r="F549" i="21"/>
  <c r="G549" i="21"/>
  <c r="E549" i="21"/>
  <c r="N280" i="21"/>
  <c r="X112" i="21" s="1"/>
  <c r="G283" i="21"/>
  <c r="G522" i="21"/>
  <c r="F522" i="21"/>
  <c r="C522" i="21"/>
  <c r="E522" i="21"/>
  <c r="D522" i="21"/>
  <c r="H345" i="21"/>
  <c r="I345" i="21" s="1"/>
  <c r="H433" i="21"/>
  <c r="I433" i="21" s="1"/>
  <c r="D254" i="21"/>
  <c r="N248" i="21"/>
  <c r="U102" i="21" s="1"/>
  <c r="E203" i="21"/>
  <c r="H290" i="21"/>
  <c r="I290" i="21" s="1"/>
  <c r="N221" i="21"/>
  <c r="W92" i="21" s="1"/>
  <c r="N44" i="21"/>
  <c r="T32" i="21" s="1"/>
  <c r="C51" i="21"/>
  <c r="C146" i="21"/>
  <c r="N18" i="21"/>
  <c r="W22" i="21" s="1"/>
  <c r="F22" i="21"/>
  <c r="O60" i="21"/>
  <c r="F55" i="21"/>
  <c r="H26" i="21"/>
  <c r="I26" i="21"/>
  <c r="H200" i="21"/>
  <c r="G463" i="21"/>
  <c r="F463" i="21"/>
  <c r="D463" i="21"/>
  <c r="E463" i="21"/>
  <c r="C463" i="21"/>
  <c r="N363" i="21"/>
  <c r="T142" i="21" s="1"/>
  <c r="C370" i="21"/>
  <c r="G407" i="21"/>
  <c r="D407" i="21"/>
  <c r="C407" i="21"/>
  <c r="F407" i="21"/>
  <c r="E407" i="21"/>
  <c r="G519" i="21"/>
  <c r="F519" i="21"/>
  <c r="C519" i="21"/>
  <c r="E519" i="21"/>
  <c r="D519" i="21"/>
  <c r="C351" i="21"/>
  <c r="T127" i="21" s="1"/>
  <c r="T135" i="21" s="1"/>
  <c r="N450" i="21"/>
  <c r="T172" i="21" s="1"/>
  <c r="C457" i="21"/>
  <c r="C495" i="21"/>
  <c r="N337" i="21"/>
  <c r="W132" i="21" s="1"/>
  <c r="J337" i="21"/>
  <c r="F464" i="21"/>
  <c r="H262" i="21"/>
  <c r="I262" i="21" s="1"/>
  <c r="G289" i="21"/>
  <c r="E289" i="21"/>
  <c r="F289" i="21"/>
  <c r="D289" i="21"/>
  <c r="C289" i="21"/>
  <c r="D174" i="21"/>
  <c r="C174" i="21"/>
  <c r="G174" i="21"/>
  <c r="F174" i="21"/>
  <c r="E174" i="21"/>
  <c r="G225" i="21"/>
  <c r="N222" i="21"/>
  <c r="X92" i="21" s="1"/>
  <c r="C80" i="21"/>
  <c r="N73" i="21"/>
  <c r="T42" i="21" s="1"/>
  <c r="G167" i="21"/>
  <c r="N164" i="21"/>
  <c r="X72" i="21" s="1"/>
  <c r="H201" i="21"/>
  <c r="I201" i="21" s="1"/>
  <c r="D146" i="21"/>
  <c r="N250" i="21"/>
  <c r="W102" i="21" s="1"/>
  <c r="F254" i="21"/>
  <c r="D316" i="21"/>
  <c r="AL95" i="21"/>
  <c r="E370" i="21"/>
  <c r="N365" i="21"/>
  <c r="V142" i="21" s="1"/>
  <c r="F461" i="21"/>
  <c r="N452" i="21"/>
  <c r="V172" i="21" s="1"/>
  <c r="E457" i="21"/>
  <c r="H377" i="21"/>
  <c r="I377" i="21" s="1"/>
  <c r="N509" i="21"/>
  <c r="U192" i="21" s="1"/>
  <c r="D351" i="21"/>
  <c r="U127" i="21" s="1"/>
  <c r="U135" i="21" s="1"/>
  <c r="E405" i="21"/>
  <c r="D405" i="21"/>
  <c r="C405" i="21"/>
  <c r="F317" i="21"/>
  <c r="N540" i="21"/>
  <c r="W202" i="21" s="1"/>
  <c r="H204" i="21"/>
  <c r="I204" i="21" s="1"/>
  <c r="C203" i="21"/>
  <c r="O205" i="21"/>
  <c r="E230" i="21"/>
  <c r="D230" i="21"/>
  <c r="G230" i="21"/>
  <c r="C230" i="21"/>
  <c r="F230" i="21"/>
  <c r="H143" i="21"/>
  <c r="F58" i="21"/>
  <c r="D58" i="21"/>
  <c r="C58" i="21"/>
  <c r="G58" i="21"/>
  <c r="E58" i="21"/>
  <c r="E316" i="21"/>
  <c r="AM95" i="21"/>
  <c r="D28" i="21"/>
  <c r="D32" i="21" s="1"/>
  <c r="U17" i="21" s="1"/>
  <c r="G28" i="21"/>
  <c r="G31" i="21" s="1"/>
  <c r="F28" i="21"/>
  <c r="F32" i="21" s="1"/>
  <c r="W17" i="21" s="1"/>
  <c r="E28" i="21"/>
  <c r="E31" i="21" s="1"/>
  <c r="V16" i="21" s="1"/>
  <c r="C28" i="21"/>
  <c r="C31" i="21" s="1"/>
  <c r="H85" i="21"/>
  <c r="I85" i="21" s="1"/>
  <c r="H29" i="21"/>
  <c r="I29" i="21" s="1"/>
  <c r="AQ96" i="20"/>
  <c r="AR96" i="20" s="1"/>
  <c r="AP95" i="20"/>
  <c r="AO95" i="20"/>
  <c r="AW84" i="20"/>
  <c r="AM115" i="20" s="1"/>
  <c r="AW87" i="20"/>
  <c r="AP115" i="20" s="1"/>
  <c r="AQ98" i="20"/>
  <c r="AR98" i="20" s="1"/>
  <c r="AS98" i="20" s="1"/>
  <c r="AP114" i="20" s="1"/>
  <c r="AW85" i="20"/>
  <c r="AN115" i="20" s="1"/>
  <c r="F551" i="20"/>
  <c r="O495" i="20"/>
  <c r="G494" i="20"/>
  <c r="H494" i="20" s="1"/>
  <c r="G492" i="20"/>
  <c r="C461" i="20"/>
  <c r="F461" i="20"/>
  <c r="D462" i="20"/>
  <c r="H462" i="20" s="1"/>
  <c r="I462" i="20" s="1"/>
  <c r="G461" i="20"/>
  <c r="D461" i="20"/>
  <c r="D432" i="20"/>
  <c r="H432" i="20" s="1"/>
  <c r="I432" i="20" s="1"/>
  <c r="D376" i="20"/>
  <c r="E374" i="20"/>
  <c r="F374" i="20"/>
  <c r="H290" i="20"/>
  <c r="I290" i="20" s="1"/>
  <c r="H262" i="20"/>
  <c r="C230" i="20"/>
  <c r="H230" i="20" s="1"/>
  <c r="I230" i="20" s="1"/>
  <c r="D144" i="20"/>
  <c r="G144" i="20"/>
  <c r="H58" i="20"/>
  <c r="I58" i="20" s="1"/>
  <c r="N567" i="20"/>
  <c r="U212" i="20" s="1"/>
  <c r="C573" i="20"/>
  <c r="N566" i="20"/>
  <c r="T212" i="20" s="1"/>
  <c r="F544" i="20"/>
  <c r="N540" i="20"/>
  <c r="W202" i="20" s="1"/>
  <c r="N512" i="20"/>
  <c r="X192" i="20" s="1"/>
  <c r="H523" i="20"/>
  <c r="N511" i="20"/>
  <c r="W192" i="20" s="1"/>
  <c r="H463" i="20"/>
  <c r="I463" i="20" s="1"/>
  <c r="V170" i="20" s="1"/>
  <c r="N421" i="20"/>
  <c r="T162" i="20" s="1"/>
  <c r="F428" i="20"/>
  <c r="N424" i="20"/>
  <c r="W162" i="20" s="1"/>
  <c r="D428" i="20"/>
  <c r="N395" i="20"/>
  <c r="W152" i="20" s="1"/>
  <c r="N394" i="20"/>
  <c r="V152" i="20" s="1"/>
  <c r="H407" i="20"/>
  <c r="I407" i="20" s="1"/>
  <c r="K407" i="20" s="1"/>
  <c r="P407" i="20" s="1"/>
  <c r="N336" i="20"/>
  <c r="V132" i="20" s="1"/>
  <c r="J338" i="20"/>
  <c r="D349" i="20"/>
  <c r="G349" i="20"/>
  <c r="F349" i="20"/>
  <c r="C349" i="20"/>
  <c r="D345" i="20"/>
  <c r="C345" i="20"/>
  <c r="G345" i="20"/>
  <c r="F345" i="20"/>
  <c r="J335" i="20"/>
  <c r="N335" i="20"/>
  <c r="U132" i="20" s="1"/>
  <c r="N306" i="20"/>
  <c r="U122" i="20" s="1"/>
  <c r="H289" i="20"/>
  <c r="I289" i="20" s="1"/>
  <c r="F254" i="20"/>
  <c r="N250" i="20"/>
  <c r="W102" i="20" s="1"/>
  <c r="N248" i="20"/>
  <c r="U102" i="20" s="1"/>
  <c r="C172" i="20"/>
  <c r="F172" i="20"/>
  <c r="D172" i="20"/>
  <c r="G171" i="20"/>
  <c r="D171" i="20"/>
  <c r="C171" i="20"/>
  <c r="G109" i="20"/>
  <c r="N106" i="20"/>
  <c r="X52" i="20" s="1"/>
  <c r="N103" i="20"/>
  <c r="U52" i="20" s="1"/>
  <c r="D59" i="20"/>
  <c r="G59" i="20"/>
  <c r="F59" i="20"/>
  <c r="N47" i="20"/>
  <c r="W32" i="20" s="1"/>
  <c r="J47" i="20"/>
  <c r="H29" i="20"/>
  <c r="I29" i="20" s="1"/>
  <c r="J17" i="20"/>
  <c r="O553" i="20"/>
  <c r="J131" i="20"/>
  <c r="N131" i="20"/>
  <c r="T62" i="20" s="1"/>
  <c r="H142" i="20"/>
  <c r="AL90" i="20"/>
  <c r="AW83" i="20"/>
  <c r="AL115" i="20" s="1"/>
  <c r="G51" i="20"/>
  <c r="N48" i="20"/>
  <c r="X32" i="20" s="1"/>
  <c r="N18" i="20"/>
  <c r="W22" i="20" s="1"/>
  <c r="F22" i="20"/>
  <c r="E435" i="20"/>
  <c r="C435" i="20"/>
  <c r="O408" i="20"/>
  <c r="C521" i="20"/>
  <c r="J423" i="20"/>
  <c r="N423" i="20"/>
  <c r="V162" i="20" s="1"/>
  <c r="C548" i="20"/>
  <c r="F552" i="20"/>
  <c r="G552" i="20"/>
  <c r="E552" i="20"/>
  <c r="D552" i="20"/>
  <c r="C552" i="20"/>
  <c r="F548" i="20"/>
  <c r="F405" i="20"/>
  <c r="N480" i="20"/>
  <c r="U182" i="20" s="1"/>
  <c r="C374" i="20"/>
  <c r="H375" i="20"/>
  <c r="I375" i="20" s="1"/>
  <c r="H346" i="20"/>
  <c r="I346" i="20" s="1"/>
  <c r="D173" i="20"/>
  <c r="G173" i="20"/>
  <c r="F173" i="20"/>
  <c r="E173" i="20"/>
  <c r="C173" i="20"/>
  <c r="AP97" i="20"/>
  <c r="AL97" i="20"/>
  <c r="AM97" i="20"/>
  <c r="AN97" i="20"/>
  <c r="AO97" i="20"/>
  <c r="F146" i="20"/>
  <c r="E146" i="20"/>
  <c r="D146" i="20"/>
  <c r="C146" i="20"/>
  <c r="G146" i="20"/>
  <c r="N76" i="20"/>
  <c r="W42" i="20" s="1"/>
  <c r="N74" i="20"/>
  <c r="U42" i="20" s="1"/>
  <c r="H26" i="20"/>
  <c r="N16" i="20"/>
  <c r="U22" i="20" s="1"/>
  <c r="D22" i="20"/>
  <c r="D86" i="20"/>
  <c r="C86" i="20"/>
  <c r="D521" i="20"/>
  <c r="G548" i="20"/>
  <c r="F550" i="20"/>
  <c r="G550" i="20"/>
  <c r="E550" i="20"/>
  <c r="D550" i="20"/>
  <c r="C550" i="20"/>
  <c r="F318" i="20"/>
  <c r="D318" i="20"/>
  <c r="C318" i="20"/>
  <c r="H433" i="20"/>
  <c r="I433" i="20" s="1"/>
  <c r="D374" i="20"/>
  <c r="F138" i="20"/>
  <c r="N134" i="20"/>
  <c r="W62" i="20" s="1"/>
  <c r="G145" i="20"/>
  <c r="F145" i="20"/>
  <c r="E145" i="20"/>
  <c r="D145" i="20"/>
  <c r="C145" i="20"/>
  <c r="D114" i="20"/>
  <c r="C114" i="20"/>
  <c r="E114" i="20"/>
  <c r="G114" i="20"/>
  <c r="F114" i="20"/>
  <c r="G57" i="20"/>
  <c r="F57" i="20"/>
  <c r="C57" i="20"/>
  <c r="E57" i="20"/>
  <c r="D57" i="20"/>
  <c r="N77" i="20"/>
  <c r="X42" i="20" s="1"/>
  <c r="G85" i="20"/>
  <c r="E85" i="20"/>
  <c r="D85" i="20"/>
  <c r="C85" i="20"/>
  <c r="F85" i="20"/>
  <c r="E258" i="20"/>
  <c r="O263" i="20"/>
  <c r="G258" i="20"/>
  <c r="F258" i="20"/>
  <c r="G520" i="20"/>
  <c r="F520" i="20"/>
  <c r="E520" i="20"/>
  <c r="D522" i="20"/>
  <c r="C522" i="20"/>
  <c r="G522" i="20"/>
  <c r="F522" i="20"/>
  <c r="E522" i="20"/>
  <c r="G580" i="20"/>
  <c r="F580" i="20"/>
  <c r="C580" i="20"/>
  <c r="E580" i="20"/>
  <c r="D580" i="20"/>
  <c r="F434" i="20"/>
  <c r="G434" i="20"/>
  <c r="E434" i="20"/>
  <c r="D434" i="20"/>
  <c r="C434" i="20"/>
  <c r="N508" i="20"/>
  <c r="T192" i="20" s="1"/>
  <c r="C515" i="20"/>
  <c r="G465" i="20"/>
  <c r="F465" i="20"/>
  <c r="C465" i="20"/>
  <c r="E465" i="20"/>
  <c r="D465" i="20"/>
  <c r="G317" i="20"/>
  <c r="F317" i="20"/>
  <c r="E317" i="20"/>
  <c r="D317" i="20"/>
  <c r="C317" i="20"/>
  <c r="H464" i="20"/>
  <c r="I464" i="20" s="1"/>
  <c r="D200" i="20"/>
  <c r="C200" i="20"/>
  <c r="G200" i="20"/>
  <c r="F200" i="20"/>
  <c r="E200" i="20"/>
  <c r="C204" i="20"/>
  <c r="H229" i="20"/>
  <c r="C167" i="20"/>
  <c r="N160" i="20"/>
  <c r="T72" i="20" s="1"/>
  <c r="H201" i="20"/>
  <c r="I201" i="20" s="1"/>
  <c r="N189" i="20"/>
  <c r="T82" i="20" s="1"/>
  <c r="N280" i="20"/>
  <c r="X112" i="20" s="1"/>
  <c r="J46" i="20"/>
  <c r="N46" i="20"/>
  <c r="V32" i="20" s="1"/>
  <c r="D87" i="20"/>
  <c r="H28" i="20"/>
  <c r="I28" i="20" s="1"/>
  <c r="G202" i="20"/>
  <c r="F202" i="20"/>
  <c r="E202" i="20"/>
  <c r="D202" i="20"/>
  <c r="C202" i="20"/>
  <c r="O31" i="20"/>
  <c r="D548" i="20"/>
  <c r="H288" i="20"/>
  <c r="I288" i="20" s="1"/>
  <c r="F56" i="20"/>
  <c r="E56" i="20"/>
  <c r="E60" i="20" s="1"/>
  <c r="V26" i="20" s="1"/>
  <c r="V34" i="20" s="1"/>
  <c r="V232" i="20" s="1"/>
  <c r="D56" i="20"/>
  <c r="G56" i="20"/>
  <c r="C56" i="20"/>
  <c r="F435" i="20"/>
  <c r="I523" i="20"/>
  <c r="G376" i="20"/>
  <c r="E376" i="20"/>
  <c r="G490" i="20"/>
  <c r="F490" i="20"/>
  <c r="E490" i="20"/>
  <c r="D490" i="20"/>
  <c r="C490" i="20"/>
  <c r="F376" i="20"/>
  <c r="G405" i="20"/>
  <c r="E405" i="20"/>
  <c r="C258" i="20"/>
  <c r="O205" i="20"/>
  <c r="G287" i="20"/>
  <c r="E287" i="20"/>
  <c r="D287" i="20"/>
  <c r="C287" i="20"/>
  <c r="F287" i="20"/>
  <c r="H320" i="20"/>
  <c r="I320" i="20" s="1"/>
  <c r="G143" i="20"/>
  <c r="F143" i="20"/>
  <c r="E143" i="20"/>
  <c r="E147" i="20" s="1"/>
  <c r="D143" i="20"/>
  <c r="C143" i="20"/>
  <c r="G117" i="20"/>
  <c r="F117" i="20"/>
  <c r="E117" i="20"/>
  <c r="C117" i="20"/>
  <c r="D117" i="20"/>
  <c r="AQ95" i="20"/>
  <c r="AR95" i="20" s="1"/>
  <c r="C87" i="20"/>
  <c r="D27" i="20"/>
  <c r="C27" i="20"/>
  <c r="G27" i="20"/>
  <c r="F27" i="20"/>
  <c r="E27" i="20"/>
  <c r="J463" i="20"/>
  <c r="V171" i="20" s="1"/>
  <c r="K463" i="20"/>
  <c r="P463" i="20" s="1"/>
  <c r="F436" i="20"/>
  <c r="G436" i="20"/>
  <c r="E436" i="20"/>
  <c r="D436" i="20"/>
  <c r="C436" i="20"/>
  <c r="G87" i="20"/>
  <c r="D348" i="20"/>
  <c r="C348" i="20"/>
  <c r="G348" i="20"/>
  <c r="F348" i="20"/>
  <c r="E348" i="20"/>
  <c r="N541" i="20"/>
  <c r="X202" i="20" s="1"/>
  <c r="G544" i="20"/>
  <c r="D399" i="20"/>
  <c r="N393" i="20"/>
  <c r="U152" i="20" s="1"/>
  <c r="D291" i="20"/>
  <c r="C405" i="20"/>
  <c r="G261" i="20"/>
  <c r="N161" i="20"/>
  <c r="U72" i="20" s="1"/>
  <c r="D167" i="20"/>
  <c r="I262" i="20"/>
  <c r="N218" i="20"/>
  <c r="T92" i="20" s="1"/>
  <c r="E138" i="20"/>
  <c r="N133" i="20"/>
  <c r="V62" i="20" s="1"/>
  <c r="G84" i="20"/>
  <c r="F84" i="20"/>
  <c r="D84" i="20"/>
  <c r="C84" i="20"/>
  <c r="E84" i="20"/>
  <c r="AP94" i="20"/>
  <c r="AO94" i="20"/>
  <c r="AN94" i="20"/>
  <c r="AM94" i="20"/>
  <c r="AL94" i="20"/>
  <c r="N19" i="20"/>
  <c r="X22" i="20" s="1"/>
  <c r="G493" i="20"/>
  <c r="F493" i="20"/>
  <c r="E493" i="20"/>
  <c r="D493" i="20"/>
  <c r="C493" i="20"/>
  <c r="J452" i="20"/>
  <c r="N452" i="20"/>
  <c r="V172" i="20" s="1"/>
  <c r="G232" i="20"/>
  <c r="F232" i="20"/>
  <c r="E232" i="20"/>
  <c r="D232" i="20"/>
  <c r="C232" i="20"/>
  <c r="O321" i="20"/>
  <c r="G318" i="20"/>
  <c r="C319" i="20"/>
  <c r="O292" i="20"/>
  <c r="E283" i="20"/>
  <c r="N278" i="20"/>
  <c r="V112" i="20" s="1"/>
  <c r="G549" i="20"/>
  <c r="N249" i="20"/>
  <c r="V102" i="20" s="1"/>
  <c r="I113" i="20"/>
  <c r="N569" i="20"/>
  <c r="W212" i="20" s="1"/>
  <c r="F573" i="20"/>
  <c r="N483" i="20"/>
  <c r="X182" i="20" s="1"/>
  <c r="G486" i="20"/>
  <c r="E109" i="20"/>
  <c r="N104" i="20"/>
  <c r="V52" i="20" s="1"/>
  <c r="E548" i="20"/>
  <c r="D175" i="20"/>
  <c r="G175" i="20"/>
  <c r="F175" i="20"/>
  <c r="E175" i="20"/>
  <c r="C175" i="20"/>
  <c r="H492" i="20"/>
  <c r="I492" i="20" s="1"/>
  <c r="N392" i="20"/>
  <c r="T152" i="20" s="1"/>
  <c r="C399" i="20"/>
  <c r="D347" i="20"/>
  <c r="C347" i="20"/>
  <c r="G347" i="20"/>
  <c r="F347" i="20"/>
  <c r="E347" i="20"/>
  <c r="J568" i="20"/>
  <c r="N568" i="20"/>
  <c r="V212" i="20" s="1"/>
  <c r="N479" i="20"/>
  <c r="T182" i="20" s="1"/>
  <c r="J479" i="20"/>
  <c r="F377" i="20"/>
  <c r="D377" i="20"/>
  <c r="C377" i="20"/>
  <c r="G377" i="20"/>
  <c r="E377" i="20"/>
  <c r="N482" i="20"/>
  <c r="W182" i="20" s="1"/>
  <c r="F486" i="20"/>
  <c r="C291" i="20"/>
  <c r="D319" i="20"/>
  <c r="F204" i="20"/>
  <c r="E291" i="20"/>
  <c r="N75" i="20"/>
  <c r="V42" i="20" s="1"/>
  <c r="E80" i="20"/>
  <c r="N105" i="20"/>
  <c r="W52" i="20" s="1"/>
  <c r="F109" i="20"/>
  <c r="C80" i="20"/>
  <c r="N73" i="20"/>
  <c r="T42" i="20" s="1"/>
  <c r="N44" i="20"/>
  <c r="T32" i="20" s="1"/>
  <c r="C51" i="20"/>
  <c r="O89" i="20"/>
  <c r="N15" i="20"/>
  <c r="T22" i="20" s="1"/>
  <c r="E549" i="20"/>
  <c r="D549" i="20"/>
  <c r="C549" i="20"/>
  <c r="O524" i="20"/>
  <c r="J510" i="20"/>
  <c r="N510" i="20"/>
  <c r="V192" i="20" s="1"/>
  <c r="O437" i="20"/>
  <c r="N539" i="20"/>
  <c r="V202" i="20" s="1"/>
  <c r="D403" i="20"/>
  <c r="C403" i="20"/>
  <c r="E403" i="20"/>
  <c r="G403" i="20"/>
  <c r="F403" i="20"/>
  <c r="D404" i="20"/>
  <c r="C404" i="20"/>
  <c r="G404" i="20"/>
  <c r="F404" i="20"/>
  <c r="E404" i="20"/>
  <c r="G581" i="20"/>
  <c r="F581" i="20"/>
  <c r="C581" i="20"/>
  <c r="E581" i="20"/>
  <c r="D581" i="20"/>
  <c r="H577" i="20"/>
  <c r="N363" i="20"/>
  <c r="T142" i="20" s="1"/>
  <c r="E319" i="20"/>
  <c r="G521" i="20"/>
  <c r="E204" i="20"/>
  <c r="F261" i="20"/>
  <c r="F291" i="20"/>
  <c r="E261" i="20"/>
  <c r="E115" i="20"/>
  <c r="G115" i="20"/>
  <c r="F115" i="20"/>
  <c r="D115" i="20"/>
  <c r="C115" i="20"/>
  <c r="G116" i="20"/>
  <c r="F116" i="20"/>
  <c r="E116" i="20"/>
  <c r="D116" i="20"/>
  <c r="C116" i="20"/>
  <c r="E86" i="20"/>
  <c r="E88" i="20"/>
  <c r="D88" i="20"/>
  <c r="C88" i="20"/>
  <c r="F88" i="20"/>
  <c r="G88" i="20"/>
  <c r="G203" i="20"/>
  <c r="F203" i="20"/>
  <c r="D203" i="20"/>
  <c r="E203" i="20"/>
  <c r="C203" i="20"/>
  <c r="G579" i="20"/>
  <c r="F579" i="20"/>
  <c r="C579" i="20"/>
  <c r="E579" i="20"/>
  <c r="D579" i="20"/>
  <c r="D519" i="20"/>
  <c r="C519" i="20"/>
  <c r="G519" i="20"/>
  <c r="F519" i="20"/>
  <c r="E519" i="20"/>
  <c r="G316" i="20"/>
  <c r="F316" i="20"/>
  <c r="E316" i="20"/>
  <c r="D316" i="20"/>
  <c r="C316" i="20"/>
  <c r="N192" i="20"/>
  <c r="W82" i="20" s="1"/>
  <c r="F196" i="20"/>
  <c r="H174" i="20"/>
  <c r="I174" i="20" s="1"/>
  <c r="D30" i="20"/>
  <c r="C30" i="20"/>
  <c r="G30" i="20"/>
  <c r="F30" i="20"/>
  <c r="E30" i="20"/>
  <c r="D406" i="20"/>
  <c r="C406" i="20"/>
  <c r="G406" i="20"/>
  <c r="F406" i="20"/>
  <c r="E406" i="20"/>
  <c r="E551" i="20"/>
  <c r="D551" i="20"/>
  <c r="O379" i="20"/>
  <c r="G491" i="20"/>
  <c r="F491" i="20"/>
  <c r="E491" i="20"/>
  <c r="D491" i="20"/>
  <c r="C491" i="20"/>
  <c r="N570" i="20"/>
  <c r="X212" i="20" s="1"/>
  <c r="G573" i="20"/>
  <c r="N396" i="20"/>
  <c r="X152" i="20" s="1"/>
  <c r="G578" i="20"/>
  <c r="F578" i="20"/>
  <c r="C578" i="20"/>
  <c r="E578" i="20"/>
  <c r="D578" i="20"/>
  <c r="N425" i="20"/>
  <c r="X162" i="20" s="1"/>
  <c r="E370" i="20"/>
  <c r="N365" i="20"/>
  <c r="V142" i="20" s="1"/>
  <c r="H378" i="20"/>
  <c r="I378" i="20" s="1"/>
  <c r="F319" i="20"/>
  <c r="G291" i="20"/>
  <c r="H144" i="20"/>
  <c r="I144" i="20" s="1"/>
  <c r="E260" i="20"/>
  <c r="H260" i="20" s="1"/>
  <c r="H231" i="20"/>
  <c r="I231" i="20" s="1"/>
  <c r="E259" i="20"/>
  <c r="D259" i="20"/>
  <c r="D264" i="20" s="1"/>
  <c r="U97" i="20" s="1"/>
  <c r="U105" i="20" s="1"/>
  <c r="C259" i="20"/>
  <c r="G259" i="20"/>
  <c r="F259" i="20"/>
  <c r="G233" i="20"/>
  <c r="F233" i="20"/>
  <c r="D233" i="20"/>
  <c r="E233" i="20"/>
  <c r="C233" i="20"/>
  <c r="G204" i="20"/>
  <c r="AW86" i="20"/>
  <c r="AO115" i="20" s="1"/>
  <c r="H55" i="20"/>
  <c r="I55" i="20" s="1"/>
  <c r="F86" i="20"/>
  <c r="AA288" i="20"/>
  <c r="N582" i="18"/>
  <c r="O580" i="18" s="1"/>
  <c r="C573" i="18"/>
  <c r="P571" i="18"/>
  <c r="O571" i="18"/>
  <c r="G571" i="18"/>
  <c r="G572" i="18" s="1"/>
  <c r="F571" i="18"/>
  <c r="E571" i="18"/>
  <c r="D571" i="18"/>
  <c r="C571" i="18"/>
  <c r="C572" i="18" s="1"/>
  <c r="H570" i="18"/>
  <c r="I570" i="18" s="1"/>
  <c r="J570" i="18" s="1"/>
  <c r="H569" i="18"/>
  <c r="L580" i="18" s="1"/>
  <c r="H568" i="18"/>
  <c r="L579" i="18" s="1"/>
  <c r="H567" i="18"/>
  <c r="I567" i="18" s="1"/>
  <c r="J567" i="18" s="1"/>
  <c r="H566" i="18"/>
  <c r="L577" i="18" s="1"/>
  <c r="N553" i="18"/>
  <c r="O550" i="18" s="1"/>
  <c r="L548" i="18"/>
  <c r="P542" i="18"/>
  <c r="O542" i="18"/>
  <c r="G542" i="18"/>
  <c r="G543" i="18" s="1"/>
  <c r="F542" i="18"/>
  <c r="E542" i="18"/>
  <c r="D542" i="18"/>
  <c r="C542" i="18"/>
  <c r="C543" i="18" s="1"/>
  <c r="C544" i="18" s="1"/>
  <c r="H541" i="18"/>
  <c r="H540" i="18"/>
  <c r="H539" i="18"/>
  <c r="L550" i="18" s="1"/>
  <c r="H538" i="18"/>
  <c r="I537" i="18"/>
  <c r="J537" i="18" s="1"/>
  <c r="H537" i="18"/>
  <c r="N524" i="18"/>
  <c r="P513" i="18"/>
  <c r="O513" i="18"/>
  <c r="G513" i="18"/>
  <c r="G529" i="18" s="1"/>
  <c r="F513" i="18"/>
  <c r="F514" i="18" s="1"/>
  <c r="F515" i="18" s="1"/>
  <c r="E513" i="18"/>
  <c r="E529" i="18" s="1"/>
  <c r="D513" i="18"/>
  <c r="D529" i="18" s="1"/>
  <c r="C513" i="18"/>
  <c r="C529" i="18" s="1"/>
  <c r="H512" i="18"/>
  <c r="H511" i="18"/>
  <c r="H510" i="18"/>
  <c r="L521" i="18" s="1"/>
  <c r="H509" i="18"/>
  <c r="I509" i="18" s="1"/>
  <c r="J509" i="18" s="1"/>
  <c r="H508" i="18"/>
  <c r="N495" i="18"/>
  <c r="E485" i="18"/>
  <c r="E486" i="18" s="1"/>
  <c r="P484" i="18"/>
  <c r="O484" i="18"/>
  <c r="G484" i="18"/>
  <c r="G500" i="18" s="1"/>
  <c r="F484" i="18"/>
  <c r="F500" i="18" s="1"/>
  <c r="E484" i="18"/>
  <c r="E500" i="18" s="1"/>
  <c r="D484" i="18"/>
  <c r="C484" i="18"/>
  <c r="C500" i="18" s="1"/>
  <c r="H483" i="18"/>
  <c r="H482" i="18"/>
  <c r="L493" i="18" s="1"/>
  <c r="H481" i="18"/>
  <c r="L492" i="18" s="1"/>
  <c r="H480" i="18"/>
  <c r="L491" i="18" s="1"/>
  <c r="H479" i="18"/>
  <c r="N466" i="18"/>
  <c r="AA173" i="18" s="1"/>
  <c r="F456" i="18"/>
  <c r="F457" i="18" s="1"/>
  <c r="P455" i="18"/>
  <c r="O455" i="18"/>
  <c r="G455" i="18"/>
  <c r="G471" i="18" s="1"/>
  <c r="F455" i="18"/>
  <c r="F471" i="18" s="1"/>
  <c r="E455" i="18"/>
  <c r="E471" i="18" s="1"/>
  <c r="D455" i="18"/>
  <c r="D456" i="18" s="1"/>
  <c r="D457" i="18" s="1"/>
  <c r="C455" i="18"/>
  <c r="C471" i="18" s="1"/>
  <c r="H454" i="18"/>
  <c r="I454" i="18" s="1"/>
  <c r="J454" i="18" s="1"/>
  <c r="H453" i="18"/>
  <c r="I453" i="18" s="1"/>
  <c r="J453" i="18" s="1"/>
  <c r="H452" i="18"/>
  <c r="L463" i="18" s="1"/>
  <c r="H451" i="18"/>
  <c r="I451" i="18" s="1"/>
  <c r="H450" i="18"/>
  <c r="E442" i="18"/>
  <c r="N437" i="18"/>
  <c r="O436" i="18" s="1"/>
  <c r="L434" i="18"/>
  <c r="D427" i="18"/>
  <c r="D428" i="18" s="1"/>
  <c r="P426" i="18"/>
  <c r="O426" i="18"/>
  <c r="G426" i="18"/>
  <c r="G427" i="18" s="1"/>
  <c r="G428" i="18" s="1"/>
  <c r="F426" i="18"/>
  <c r="F442" i="18" s="1"/>
  <c r="E426" i="18"/>
  <c r="E427" i="18" s="1"/>
  <c r="D426" i="18"/>
  <c r="D442" i="18" s="1"/>
  <c r="C426" i="18"/>
  <c r="H425" i="18"/>
  <c r="L436" i="18" s="1"/>
  <c r="I424" i="18"/>
  <c r="J424" i="18" s="1"/>
  <c r="H424" i="18"/>
  <c r="H423" i="18"/>
  <c r="K423" i="18" s="1"/>
  <c r="H422" i="18"/>
  <c r="H421" i="18"/>
  <c r="N408" i="18"/>
  <c r="O407" i="18" s="1"/>
  <c r="L407" i="18"/>
  <c r="O406" i="18"/>
  <c r="O405" i="18"/>
  <c r="O404" i="18"/>
  <c r="E398" i="18"/>
  <c r="P397" i="18"/>
  <c r="O397" i="18"/>
  <c r="G397" i="18"/>
  <c r="G398" i="18" s="1"/>
  <c r="G399" i="18" s="1"/>
  <c r="F397" i="18"/>
  <c r="F413" i="18" s="1"/>
  <c r="E397" i="18"/>
  <c r="E413" i="18" s="1"/>
  <c r="D397" i="18"/>
  <c r="D398" i="18" s="1"/>
  <c r="C397" i="18"/>
  <c r="C413" i="18" s="1"/>
  <c r="H396" i="18"/>
  <c r="K396" i="18" s="1"/>
  <c r="I395" i="18"/>
  <c r="J395" i="18" s="1"/>
  <c r="H395" i="18"/>
  <c r="L406" i="18" s="1"/>
  <c r="H394" i="18"/>
  <c r="L405" i="18" s="1"/>
  <c r="H393" i="18"/>
  <c r="K393" i="18" s="1"/>
  <c r="H392" i="18"/>
  <c r="N379" i="18"/>
  <c r="P368" i="18"/>
  <c r="O368" i="18"/>
  <c r="G368" i="18"/>
  <c r="F368" i="18"/>
  <c r="F369" i="18" s="1"/>
  <c r="F370" i="18" s="1"/>
  <c r="E368" i="18"/>
  <c r="E384" i="18" s="1"/>
  <c r="D368" i="18"/>
  <c r="D369" i="18" s="1"/>
  <c r="D370" i="18" s="1"/>
  <c r="C368" i="18"/>
  <c r="C369" i="18" s="1"/>
  <c r="C370" i="18" s="1"/>
  <c r="H367" i="18"/>
  <c r="I367" i="18" s="1"/>
  <c r="J367" i="18" s="1"/>
  <c r="H366" i="18"/>
  <c r="I366" i="18" s="1"/>
  <c r="J366" i="18" s="1"/>
  <c r="H365" i="18"/>
  <c r="H364" i="18"/>
  <c r="K364" i="18" s="1"/>
  <c r="I363" i="18"/>
  <c r="H363" i="18"/>
  <c r="L374" i="18" s="1"/>
  <c r="N350" i="18"/>
  <c r="AA133" i="18" s="1"/>
  <c r="D340" i="18"/>
  <c r="C340" i="18"/>
  <c r="C341" i="18" s="1"/>
  <c r="P339" i="18"/>
  <c r="O339" i="18"/>
  <c r="G339" i="18"/>
  <c r="G355" i="18" s="1"/>
  <c r="F339" i="18"/>
  <c r="F355" i="18" s="1"/>
  <c r="E339" i="18"/>
  <c r="E340" i="18" s="1"/>
  <c r="D339" i="18"/>
  <c r="C339" i="18"/>
  <c r="C355" i="18" s="1"/>
  <c r="H338" i="18"/>
  <c r="L349" i="18" s="1"/>
  <c r="H337" i="18"/>
  <c r="L348" i="18" s="1"/>
  <c r="H336" i="18"/>
  <c r="L347" i="18" s="1"/>
  <c r="H335" i="18"/>
  <c r="L346" i="18" s="1"/>
  <c r="H334" i="18"/>
  <c r="N321" i="18"/>
  <c r="O320" i="18" s="1"/>
  <c r="C311" i="18"/>
  <c r="P310" i="18"/>
  <c r="O310" i="18"/>
  <c r="G310" i="18"/>
  <c r="F310" i="18"/>
  <c r="F326" i="18" s="1"/>
  <c r="E310" i="18"/>
  <c r="E326" i="18" s="1"/>
  <c r="D310" i="18"/>
  <c r="D326" i="18" s="1"/>
  <c r="C310" i="18"/>
  <c r="C326" i="18" s="1"/>
  <c r="H309" i="18"/>
  <c r="K309" i="18" s="1"/>
  <c r="H308" i="18"/>
  <c r="L319" i="18" s="1"/>
  <c r="H307" i="18"/>
  <c r="H306" i="18"/>
  <c r="H305" i="18"/>
  <c r="L316" i="18" s="1"/>
  <c r="N292" i="18"/>
  <c r="O291" i="18" s="1"/>
  <c r="O288" i="18"/>
  <c r="P281" i="18"/>
  <c r="O281" i="18"/>
  <c r="G281" i="18"/>
  <c r="G297" i="18" s="1"/>
  <c r="F281" i="18"/>
  <c r="F297" i="18" s="1"/>
  <c r="E281" i="18"/>
  <c r="E297" i="18" s="1"/>
  <c r="D281" i="18"/>
  <c r="D297" i="18" s="1"/>
  <c r="C281" i="18"/>
  <c r="C297" i="18" s="1"/>
  <c r="H280" i="18"/>
  <c r="H279" i="18"/>
  <c r="I279" i="18" s="1"/>
  <c r="J279" i="18" s="1"/>
  <c r="H278" i="18"/>
  <c r="I278" i="18" s="1"/>
  <c r="J278" i="18" s="1"/>
  <c r="H277" i="18"/>
  <c r="I276" i="18"/>
  <c r="J276" i="18" s="1"/>
  <c r="H276" i="18"/>
  <c r="N263" i="18"/>
  <c r="AA103" i="18" s="1"/>
  <c r="L262" i="18"/>
  <c r="P252" i="18"/>
  <c r="O252" i="18"/>
  <c r="G252" i="18"/>
  <c r="G253" i="18" s="1"/>
  <c r="F252" i="18"/>
  <c r="E252" i="18"/>
  <c r="E253" i="18" s="1"/>
  <c r="E254" i="18" s="1"/>
  <c r="D252" i="18"/>
  <c r="D253" i="18" s="1"/>
  <c r="C252" i="18"/>
  <c r="C253" i="18" s="1"/>
  <c r="H251" i="18"/>
  <c r="H250" i="18"/>
  <c r="H249" i="18"/>
  <c r="I249" i="18" s="1"/>
  <c r="J249" i="18" s="1"/>
  <c r="H248" i="18"/>
  <c r="H247" i="18"/>
  <c r="N234" i="18"/>
  <c r="O231" i="18" s="1"/>
  <c r="E224" i="18"/>
  <c r="E225" i="18" s="1"/>
  <c r="P223" i="18"/>
  <c r="O223" i="18"/>
  <c r="G223" i="18"/>
  <c r="G239" i="18" s="1"/>
  <c r="F223" i="18"/>
  <c r="E223" i="18"/>
  <c r="E239" i="18" s="1"/>
  <c r="D223" i="18"/>
  <c r="D224" i="18" s="1"/>
  <c r="C223" i="18"/>
  <c r="C224" i="18" s="1"/>
  <c r="H222" i="18"/>
  <c r="L233" i="18" s="1"/>
  <c r="H221" i="18"/>
  <c r="K221" i="18" s="1"/>
  <c r="H220" i="18"/>
  <c r="I220" i="18" s="1"/>
  <c r="J220" i="18" s="1"/>
  <c r="I219" i="18"/>
  <c r="J219" i="18" s="1"/>
  <c r="H219" i="18"/>
  <c r="L230" i="18" s="1"/>
  <c r="H218" i="18"/>
  <c r="AA213" i="18"/>
  <c r="X213" i="18"/>
  <c r="W213" i="18"/>
  <c r="V213" i="18"/>
  <c r="U213" i="18"/>
  <c r="T213" i="18"/>
  <c r="N205" i="18"/>
  <c r="O200" i="18" s="1"/>
  <c r="X203" i="18"/>
  <c r="W203" i="18"/>
  <c r="V203" i="18"/>
  <c r="U203" i="18"/>
  <c r="T203" i="18"/>
  <c r="L200" i="18"/>
  <c r="P194" i="18"/>
  <c r="O194" i="18"/>
  <c r="G194" i="18"/>
  <c r="G210" i="18" s="1"/>
  <c r="F194" i="18"/>
  <c r="F210" i="18" s="1"/>
  <c r="E194" i="18"/>
  <c r="E195" i="18" s="1"/>
  <c r="D194" i="18"/>
  <c r="D195" i="18" s="1"/>
  <c r="D196" i="18" s="1"/>
  <c r="C194" i="18"/>
  <c r="AA193" i="18"/>
  <c r="X193" i="18"/>
  <c r="W193" i="18"/>
  <c r="V193" i="18"/>
  <c r="U193" i="18"/>
  <c r="T193" i="18"/>
  <c r="H193" i="18"/>
  <c r="L204" i="18" s="1"/>
  <c r="H192" i="18"/>
  <c r="I192" i="18" s="1"/>
  <c r="J192" i="18" s="1"/>
  <c r="H191" i="18"/>
  <c r="H190" i="18"/>
  <c r="H189" i="18"/>
  <c r="I189" i="18" s="1"/>
  <c r="J189" i="18" s="1"/>
  <c r="X183" i="18"/>
  <c r="W183" i="18"/>
  <c r="V183" i="18"/>
  <c r="U183" i="18"/>
  <c r="T183" i="18"/>
  <c r="N176" i="18"/>
  <c r="AA73" i="18" s="1"/>
  <c r="X173" i="18"/>
  <c r="W173" i="18"/>
  <c r="V173" i="18"/>
  <c r="U173" i="18"/>
  <c r="T173" i="18"/>
  <c r="P165" i="18"/>
  <c r="O165" i="18"/>
  <c r="G165" i="18"/>
  <c r="G181" i="18" s="1"/>
  <c r="F165" i="18"/>
  <c r="F181" i="18" s="1"/>
  <c r="E165" i="18"/>
  <c r="E181" i="18" s="1"/>
  <c r="D165" i="18"/>
  <c r="D166" i="18" s="1"/>
  <c r="D167" i="18" s="1"/>
  <c r="C165" i="18"/>
  <c r="H164" i="18"/>
  <c r="BH163" i="18"/>
  <c r="AA163" i="18"/>
  <c r="X163" i="18"/>
  <c r="W163" i="18"/>
  <c r="V163" i="18"/>
  <c r="U163" i="18"/>
  <c r="T163" i="18"/>
  <c r="H163" i="18"/>
  <c r="BH162" i="18"/>
  <c r="H162" i="18"/>
  <c r="L173" i="18" s="1"/>
  <c r="BH161" i="18"/>
  <c r="I161" i="18"/>
  <c r="J161" i="18" s="1"/>
  <c r="H161" i="18"/>
  <c r="L172" i="18" s="1"/>
  <c r="BH160" i="18"/>
  <c r="H160" i="18"/>
  <c r="I160" i="18" s="1"/>
  <c r="J160" i="18" s="1"/>
  <c r="BH159" i="18"/>
  <c r="BH158" i="18"/>
  <c r="BH157" i="18"/>
  <c r="BH156" i="18"/>
  <c r="BH155" i="18"/>
  <c r="J155" i="18"/>
  <c r="E156" i="18" s="1"/>
  <c r="BH154" i="18"/>
  <c r="BH153" i="18"/>
  <c r="AA153" i="18"/>
  <c r="X153" i="18"/>
  <c r="W153" i="18"/>
  <c r="V153" i="18"/>
  <c r="U153" i="18"/>
  <c r="T153" i="18"/>
  <c r="BH152" i="18"/>
  <c r="BH151" i="18"/>
  <c r="BH150" i="18"/>
  <c r="BH149" i="18"/>
  <c r="BH148" i="18"/>
  <c r="BH147" i="18"/>
  <c r="N147" i="18"/>
  <c r="O144" i="18" s="1"/>
  <c r="C144" i="18" s="1"/>
  <c r="BH146" i="18"/>
  <c r="BH145" i="18"/>
  <c r="BH144" i="18"/>
  <c r="BH143" i="18"/>
  <c r="AA143" i="18"/>
  <c r="X143" i="18"/>
  <c r="W143" i="18"/>
  <c r="V143" i="18"/>
  <c r="U143" i="18"/>
  <c r="T143" i="18"/>
  <c r="O143" i="18"/>
  <c r="BH142" i="18"/>
  <c r="BH141" i="18"/>
  <c r="BH140" i="18"/>
  <c r="BH139" i="18"/>
  <c r="BH138" i="18"/>
  <c r="BH137" i="18"/>
  <c r="BH136" i="18"/>
  <c r="P136" i="18"/>
  <c r="O136" i="18"/>
  <c r="G136" i="18"/>
  <c r="G152" i="18" s="1"/>
  <c r="F136" i="18"/>
  <c r="F137" i="18" s="1"/>
  <c r="F138" i="18" s="1"/>
  <c r="E136" i="18"/>
  <c r="E137" i="18" s="1"/>
  <c r="D136" i="18"/>
  <c r="C136" i="18"/>
  <c r="C137" i="18" s="1"/>
  <c r="C138" i="18" s="1"/>
  <c r="BH135" i="18"/>
  <c r="AP135" i="18"/>
  <c r="AO135" i="18"/>
  <c r="AN135" i="18"/>
  <c r="AM135" i="18"/>
  <c r="AL135" i="18"/>
  <c r="H135" i="18"/>
  <c r="I135" i="18" s="1"/>
  <c r="J135" i="18" s="1"/>
  <c r="BH134" i="18"/>
  <c r="AP134" i="18"/>
  <c r="AO134" i="18"/>
  <c r="AN134" i="18"/>
  <c r="AM134" i="18"/>
  <c r="AL134" i="18"/>
  <c r="H134" i="18"/>
  <c r="L145" i="18" s="1"/>
  <c r="BH133" i="18"/>
  <c r="X133" i="18"/>
  <c r="W133" i="18"/>
  <c r="V133" i="18"/>
  <c r="U133" i="18"/>
  <c r="T133" i="18"/>
  <c r="I133" i="18"/>
  <c r="J133" i="18" s="1"/>
  <c r="H133" i="18"/>
  <c r="L144" i="18" s="1"/>
  <c r="BH132" i="18"/>
  <c r="AS132" i="18"/>
  <c r="AL133" i="18" s="1"/>
  <c r="H132" i="18"/>
  <c r="BH131" i="18"/>
  <c r="H131" i="18"/>
  <c r="L142" i="18" s="1"/>
  <c r="BH130" i="18"/>
  <c r="AP130" i="18"/>
  <c r="AO130" i="18"/>
  <c r="AN130" i="18"/>
  <c r="AM130" i="18"/>
  <c r="AL130" i="18"/>
  <c r="BH129" i="18"/>
  <c r="AP129" i="18"/>
  <c r="AO129" i="18"/>
  <c r="AN129" i="18"/>
  <c r="AM129" i="18"/>
  <c r="AL129" i="18"/>
  <c r="AS129" i="18" s="1"/>
  <c r="BH128" i="18"/>
  <c r="BH127" i="18"/>
  <c r="AS127" i="18"/>
  <c r="AM128" i="18" s="1"/>
  <c r="BH126" i="18"/>
  <c r="BH125" i="18"/>
  <c r="BH124" i="18"/>
  <c r="BH123" i="18"/>
  <c r="X123" i="18"/>
  <c r="W123" i="18"/>
  <c r="V123" i="18"/>
  <c r="U123" i="18"/>
  <c r="T123" i="18"/>
  <c r="BH122" i="18"/>
  <c r="AS122" i="18"/>
  <c r="AN123" i="18" s="1"/>
  <c r="BH121" i="18"/>
  <c r="BH120" i="18"/>
  <c r="BH119" i="18"/>
  <c r="BH118" i="18"/>
  <c r="AP116" i="18"/>
  <c r="AO116" i="18"/>
  <c r="AN116" i="18"/>
  <c r="AM116" i="18"/>
  <c r="AL116" i="18"/>
  <c r="N118" i="18"/>
  <c r="O114" i="18" s="1"/>
  <c r="BH117" i="18"/>
  <c r="BH116" i="18"/>
  <c r="BH115" i="18"/>
  <c r="BH114" i="18"/>
  <c r="BH113" i="18"/>
  <c r="X113" i="18"/>
  <c r="W113" i="18"/>
  <c r="V113" i="18"/>
  <c r="U113" i="18"/>
  <c r="T113" i="18"/>
  <c r="BH112" i="18"/>
  <c r="BH111" i="18"/>
  <c r="BH110" i="18"/>
  <c r="BH109" i="18"/>
  <c r="BH108" i="18"/>
  <c r="G108" i="18"/>
  <c r="G109" i="18" s="1"/>
  <c r="BH107" i="18"/>
  <c r="P107" i="18"/>
  <c r="O107" i="18"/>
  <c r="G107" i="18"/>
  <c r="G123" i="18" s="1"/>
  <c r="F107" i="18"/>
  <c r="E107" i="18"/>
  <c r="E123" i="18" s="1"/>
  <c r="D107" i="18"/>
  <c r="C107" i="18"/>
  <c r="C108" i="18" s="1"/>
  <c r="BH106" i="18"/>
  <c r="H106" i="18"/>
  <c r="L117" i="18" s="1"/>
  <c r="BH105" i="18"/>
  <c r="H105" i="18"/>
  <c r="L116" i="18" s="1"/>
  <c r="BH104" i="18"/>
  <c r="H104" i="18"/>
  <c r="K104" i="18" s="1"/>
  <c r="BH103" i="18"/>
  <c r="X103" i="18"/>
  <c r="W103" i="18"/>
  <c r="V103" i="18"/>
  <c r="U103" i="18"/>
  <c r="T103" i="18"/>
  <c r="H103" i="18"/>
  <c r="I103" i="18" s="1"/>
  <c r="J103" i="18" s="1"/>
  <c r="BH102" i="18"/>
  <c r="H102" i="18"/>
  <c r="BH101" i="18"/>
  <c r="BH100" i="18"/>
  <c r="BH99" i="18"/>
  <c r="AW99" i="18"/>
  <c r="AX98" i="18" s="1"/>
  <c r="BH98" i="18"/>
  <c r="BH97" i="18"/>
  <c r="BH96" i="18"/>
  <c r="BH95" i="18"/>
  <c r="BH94" i="18"/>
  <c r="F94" i="18"/>
  <c r="BH93" i="18"/>
  <c r="AA93" i="18"/>
  <c r="X93" i="18"/>
  <c r="W93" i="18"/>
  <c r="V93" i="18"/>
  <c r="U93" i="18"/>
  <c r="T93" i="18"/>
  <c r="BH92" i="18"/>
  <c r="BH91" i="18"/>
  <c r="BH90" i="18"/>
  <c r="BH89" i="18"/>
  <c r="AM89" i="18"/>
  <c r="AM90" i="18" s="1"/>
  <c r="N89" i="18"/>
  <c r="O88" i="18" s="1"/>
  <c r="D88" i="18" s="1"/>
  <c r="BH88" i="18"/>
  <c r="AP88" i="18"/>
  <c r="AO88" i="18"/>
  <c r="AO104" i="18" s="1"/>
  <c r="AN88" i="18"/>
  <c r="AN89" i="18" s="1"/>
  <c r="AM88" i="18"/>
  <c r="AM104" i="18" s="1"/>
  <c r="AL88" i="18"/>
  <c r="AL89" i="18" s="1"/>
  <c r="AL90" i="18" s="1"/>
  <c r="BH87" i="18"/>
  <c r="AT87" i="18"/>
  <c r="AQ87" i="18"/>
  <c r="BH86" i="18"/>
  <c r="AQ86" i="18"/>
  <c r="AU97" i="18" s="1"/>
  <c r="O86" i="18"/>
  <c r="BH85" i="18"/>
  <c r="AQ85" i="18"/>
  <c r="AU96" i="18" s="1"/>
  <c r="BH84" i="18"/>
  <c r="AQ84" i="18"/>
  <c r="BH83" i="18"/>
  <c r="AQ83" i="18"/>
  <c r="X83" i="18"/>
  <c r="W83" i="18"/>
  <c r="V83" i="18"/>
  <c r="U83" i="18"/>
  <c r="T83" i="18"/>
  <c r="BH82" i="18"/>
  <c r="BH81" i="18"/>
  <c r="BH80" i="18"/>
  <c r="BH79" i="18"/>
  <c r="BH78" i="18"/>
  <c r="P78" i="18"/>
  <c r="O78" i="18"/>
  <c r="G78" i="18"/>
  <c r="G94" i="18" s="1"/>
  <c r="F78" i="18"/>
  <c r="F79" i="18" s="1"/>
  <c r="F80" i="18" s="1"/>
  <c r="E78" i="18"/>
  <c r="E79" i="18" s="1"/>
  <c r="D78" i="18"/>
  <c r="C78" i="18"/>
  <c r="C94" i="18" s="1"/>
  <c r="BH77" i="18"/>
  <c r="H77" i="18"/>
  <c r="L88" i="18" s="1"/>
  <c r="BH76" i="18"/>
  <c r="H76" i="18"/>
  <c r="K76" i="18" s="1"/>
  <c r="BH75" i="18"/>
  <c r="H75" i="18"/>
  <c r="L86" i="18" s="1"/>
  <c r="BH74" i="18"/>
  <c r="H74" i="18"/>
  <c r="I74" i="18" s="1"/>
  <c r="J74" i="18" s="1"/>
  <c r="BH73" i="18"/>
  <c r="X73" i="18"/>
  <c r="W73" i="18"/>
  <c r="V73" i="18"/>
  <c r="U73" i="18"/>
  <c r="T73" i="18"/>
  <c r="H73" i="18"/>
  <c r="BH72" i="18"/>
  <c r="BH71" i="18"/>
  <c r="BH70" i="18"/>
  <c r="BH69" i="18"/>
  <c r="BL68" i="18"/>
  <c r="BH68" i="18"/>
  <c r="BL67" i="18"/>
  <c r="BH67" i="18"/>
  <c r="BH66" i="18"/>
  <c r="BH65" i="18"/>
  <c r="BH64" i="18"/>
  <c r="BL63" i="18"/>
  <c r="AA63" i="18"/>
  <c r="X63" i="18"/>
  <c r="W63" i="18"/>
  <c r="V63" i="18"/>
  <c r="U63" i="18"/>
  <c r="T63" i="18"/>
  <c r="BK61" i="18"/>
  <c r="N60" i="18"/>
  <c r="O58" i="18" s="1"/>
  <c r="BH58" i="18"/>
  <c r="BH57" i="18"/>
  <c r="BH56" i="18"/>
  <c r="BH55" i="18"/>
  <c r="BH54" i="18"/>
  <c r="BH53" i="18"/>
  <c r="X53" i="18"/>
  <c r="W53" i="18"/>
  <c r="V53" i="18"/>
  <c r="U53" i="18"/>
  <c r="T53" i="18"/>
  <c r="BH52" i="18"/>
  <c r="BH51" i="18"/>
  <c r="BH50" i="18"/>
  <c r="BH49" i="18"/>
  <c r="P49" i="18"/>
  <c r="O49" i="18"/>
  <c r="G49" i="18"/>
  <c r="G65" i="18" s="1"/>
  <c r="F49" i="18"/>
  <c r="F50" i="18" s="1"/>
  <c r="E49" i="18"/>
  <c r="E50" i="18" s="1"/>
  <c r="E51" i="18" s="1"/>
  <c r="D49" i="18"/>
  <c r="D65" i="18" s="1"/>
  <c r="C49" i="18"/>
  <c r="C65" i="18" s="1"/>
  <c r="BH48" i="18"/>
  <c r="H48" i="18"/>
  <c r="BH47" i="18"/>
  <c r="H47" i="18"/>
  <c r="L58" i="18" s="1"/>
  <c r="BH46" i="18"/>
  <c r="H46" i="18"/>
  <c r="BH45" i="18"/>
  <c r="H45" i="18"/>
  <c r="L56" i="18" s="1"/>
  <c r="BH44" i="18"/>
  <c r="H44" i="18"/>
  <c r="BL43" i="18"/>
  <c r="BH43" i="18"/>
  <c r="X43" i="18"/>
  <c r="W43" i="18"/>
  <c r="V43" i="18"/>
  <c r="U43" i="18"/>
  <c r="T43" i="18"/>
  <c r="BL42" i="18"/>
  <c r="BH42" i="18"/>
  <c r="BH41" i="18"/>
  <c r="BH40" i="18"/>
  <c r="BH39" i="18"/>
  <c r="BL38" i="18"/>
  <c r="BK36" i="18"/>
  <c r="X33" i="18"/>
  <c r="W33" i="18"/>
  <c r="V33" i="18"/>
  <c r="U33" i="18"/>
  <c r="T33" i="18"/>
  <c r="N31" i="18"/>
  <c r="O26" i="18" s="1"/>
  <c r="X23" i="18"/>
  <c r="W23" i="18"/>
  <c r="V23" i="18"/>
  <c r="U23" i="18"/>
  <c r="T23" i="18"/>
  <c r="E21" i="18"/>
  <c r="E22" i="18" s="1"/>
  <c r="P20" i="18"/>
  <c r="O20" i="18"/>
  <c r="G20" i="18"/>
  <c r="G36" i="18" s="1"/>
  <c r="F20" i="18"/>
  <c r="E20" i="18"/>
  <c r="E36" i="18" s="1"/>
  <c r="D20" i="18"/>
  <c r="D36" i="18" s="1"/>
  <c r="C20" i="18"/>
  <c r="C21" i="18" s="1"/>
  <c r="C22" i="18" s="1"/>
  <c r="I19" i="18"/>
  <c r="J19" i="18" s="1"/>
  <c r="H19" i="18"/>
  <c r="K19" i="18" s="1"/>
  <c r="H18" i="18"/>
  <c r="L29" i="18" s="1"/>
  <c r="H17" i="18"/>
  <c r="K17" i="18" s="1"/>
  <c r="H16" i="18"/>
  <c r="I16" i="18" s="1"/>
  <c r="J16" i="18" s="1"/>
  <c r="H15" i="18"/>
  <c r="N582" i="17"/>
  <c r="O581" i="17" s="1"/>
  <c r="P571" i="17"/>
  <c r="O571" i="17"/>
  <c r="G571" i="17"/>
  <c r="G587" i="17" s="1"/>
  <c r="F571" i="17"/>
  <c r="F587" i="17" s="1"/>
  <c r="E571" i="17"/>
  <c r="E587" i="17" s="1"/>
  <c r="D571" i="17"/>
  <c r="D572" i="17" s="1"/>
  <c r="C571" i="17"/>
  <c r="H570" i="17"/>
  <c r="I570" i="17" s="1"/>
  <c r="J570" i="17" s="1"/>
  <c r="H569" i="17"/>
  <c r="L580" i="17" s="1"/>
  <c r="H568" i="17"/>
  <c r="L579" i="17" s="1"/>
  <c r="H567" i="17"/>
  <c r="I567" i="17" s="1"/>
  <c r="J567" i="17" s="1"/>
  <c r="H566" i="17"/>
  <c r="I566" i="17" s="1"/>
  <c r="J566" i="17" s="1"/>
  <c r="N553" i="17"/>
  <c r="O552" i="17" s="1"/>
  <c r="E543" i="17"/>
  <c r="P542" i="17"/>
  <c r="O542" i="17"/>
  <c r="G542" i="17"/>
  <c r="G558" i="17" s="1"/>
  <c r="F542" i="17"/>
  <c r="F558" i="17" s="1"/>
  <c r="E542" i="17"/>
  <c r="E558" i="17" s="1"/>
  <c r="D542" i="17"/>
  <c r="D558" i="17" s="1"/>
  <c r="C542" i="17"/>
  <c r="C543" i="17" s="1"/>
  <c r="H541" i="17"/>
  <c r="L552" i="17" s="1"/>
  <c r="G552" i="17" s="1"/>
  <c r="H540" i="17"/>
  <c r="L551" i="17" s="1"/>
  <c r="H539" i="17"/>
  <c r="I539" i="17" s="1"/>
  <c r="J539" i="17" s="1"/>
  <c r="H538" i="17"/>
  <c r="H537" i="17"/>
  <c r="N524" i="17"/>
  <c r="O522" i="17" s="1"/>
  <c r="O519" i="17"/>
  <c r="P513" i="17"/>
  <c r="O513" i="17"/>
  <c r="G513" i="17"/>
  <c r="G529" i="17" s="1"/>
  <c r="F513" i="17"/>
  <c r="K511" i="17" s="1"/>
  <c r="E513" i="17"/>
  <c r="E529" i="17" s="1"/>
  <c r="D513" i="17"/>
  <c r="D529" i="17" s="1"/>
  <c r="C513" i="17"/>
  <c r="C529" i="17" s="1"/>
  <c r="I512" i="17"/>
  <c r="J512" i="17" s="1"/>
  <c r="H512" i="17"/>
  <c r="L523" i="17" s="1"/>
  <c r="H511" i="17"/>
  <c r="L522" i="17" s="1"/>
  <c r="H510" i="17"/>
  <c r="I510" i="17" s="1"/>
  <c r="J510" i="17" s="1"/>
  <c r="H509" i="17"/>
  <c r="K509" i="17" s="1"/>
  <c r="H508" i="17"/>
  <c r="N495" i="17"/>
  <c r="O494" i="17" s="1"/>
  <c r="D485" i="17"/>
  <c r="D486" i="17" s="1"/>
  <c r="P484" i="17"/>
  <c r="O484" i="17"/>
  <c r="G484" i="17"/>
  <c r="G500" i="17" s="1"/>
  <c r="F484" i="17"/>
  <c r="F500" i="17" s="1"/>
  <c r="E484" i="17"/>
  <c r="E500" i="17" s="1"/>
  <c r="D484" i="17"/>
  <c r="D500" i="17" s="1"/>
  <c r="C484" i="17"/>
  <c r="C500" i="17" s="1"/>
  <c r="H483" i="17"/>
  <c r="I483" i="17" s="1"/>
  <c r="J483" i="17" s="1"/>
  <c r="H482" i="17"/>
  <c r="H481" i="17"/>
  <c r="H480" i="17"/>
  <c r="I480" i="17" s="1"/>
  <c r="J480" i="17" s="1"/>
  <c r="H479" i="17"/>
  <c r="H484" i="17" s="1"/>
  <c r="I485" i="17" s="1"/>
  <c r="AD32" i="17" s="1"/>
  <c r="N466" i="17"/>
  <c r="O465" i="17" s="1"/>
  <c r="P455" i="17"/>
  <c r="O455" i="17"/>
  <c r="G455" i="17"/>
  <c r="G471" i="17" s="1"/>
  <c r="F455" i="17"/>
  <c r="F471" i="17" s="1"/>
  <c r="E455" i="17"/>
  <c r="E471" i="17" s="1"/>
  <c r="D455" i="17"/>
  <c r="D471" i="17" s="1"/>
  <c r="C455" i="17"/>
  <c r="C471" i="17" s="1"/>
  <c r="H454" i="17"/>
  <c r="I454" i="17" s="1"/>
  <c r="J454" i="17" s="1"/>
  <c r="H453" i="17"/>
  <c r="H452" i="17"/>
  <c r="H451" i="17"/>
  <c r="L462" i="17" s="1"/>
  <c r="K450" i="17"/>
  <c r="H450" i="17"/>
  <c r="L461" i="17" s="1"/>
  <c r="N437" i="17"/>
  <c r="AA163" i="17" s="1"/>
  <c r="P426" i="17"/>
  <c r="O426" i="17"/>
  <c r="G426" i="17"/>
  <c r="G427" i="17" s="1"/>
  <c r="G428" i="17" s="1"/>
  <c r="F426" i="17"/>
  <c r="F442" i="17" s="1"/>
  <c r="E426" i="17"/>
  <c r="E442" i="17" s="1"/>
  <c r="D426" i="17"/>
  <c r="D442" i="17" s="1"/>
  <c r="C426" i="17"/>
  <c r="K421" i="17" s="1"/>
  <c r="H425" i="17"/>
  <c r="H424" i="17"/>
  <c r="L435" i="17" s="1"/>
  <c r="H423" i="17"/>
  <c r="L434" i="17" s="1"/>
  <c r="H422" i="17"/>
  <c r="L433" i="17" s="1"/>
  <c r="H421" i="17"/>
  <c r="L432" i="17" s="1"/>
  <c r="N408" i="17"/>
  <c r="O406" i="17" s="1"/>
  <c r="P397" i="17"/>
  <c r="O397" i="17"/>
  <c r="G397" i="17"/>
  <c r="G413" i="17" s="1"/>
  <c r="F397" i="17"/>
  <c r="F398" i="17" s="1"/>
  <c r="E397" i="17"/>
  <c r="E413" i="17" s="1"/>
  <c r="D397" i="17"/>
  <c r="D413" i="17" s="1"/>
  <c r="C397" i="17"/>
  <c r="H396" i="17"/>
  <c r="K396" i="17" s="1"/>
  <c r="H395" i="17"/>
  <c r="I395" i="17" s="1"/>
  <c r="J395" i="17" s="1"/>
  <c r="H394" i="17"/>
  <c r="I394" i="17" s="1"/>
  <c r="J394" i="17" s="1"/>
  <c r="H393" i="17"/>
  <c r="H392" i="17"/>
  <c r="N379" i="17"/>
  <c r="AA143" i="17" s="1"/>
  <c r="P368" i="17"/>
  <c r="O368" i="17"/>
  <c r="G368" i="17"/>
  <c r="F368" i="17"/>
  <c r="E368" i="17"/>
  <c r="E384" i="17" s="1"/>
  <c r="D368" i="17"/>
  <c r="D384" i="17" s="1"/>
  <c r="C368" i="17"/>
  <c r="C384" i="17" s="1"/>
  <c r="H367" i="17"/>
  <c r="L378" i="17" s="1"/>
  <c r="H366" i="17"/>
  <c r="L377" i="17" s="1"/>
  <c r="H365" i="17"/>
  <c r="L376" i="17" s="1"/>
  <c r="H364" i="17"/>
  <c r="H363" i="17"/>
  <c r="L374" i="17" s="1"/>
  <c r="N350" i="17"/>
  <c r="O349" i="17" s="1"/>
  <c r="O348" i="17"/>
  <c r="P339" i="17"/>
  <c r="O339" i="17"/>
  <c r="G339" i="17"/>
  <c r="G340" i="17" s="1"/>
  <c r="F339" i="17"/>
  <c r="E339" i="17"/>
  <c r="E340" i="17" s="1"/>
  <c r="D339" i="17"/>
  <c r="D340" i="17" s="1"/>
  <c r="D341" i="17" s="1"/>
  <c r="C339" i="17"/>
  <c r="C355" i="17" s="1"/>
  <c r="H338" i="17"/>
  <c r="K338" i="17" s="1"/>
  <c r="H337" i="17"/>
  <c r="H336" i="17"/>
  <c r="H335" i="17"/>
  <c r="H334" i="17"/>
  <c r="I334" i="17" s="1"/>
  <c r="J334" i="17" s="1"/>
  <c r="N321" i="17"/>
  <c r="P310" i="17"/>
  <c r="O310" i="17"/>
  <c r="G310" i="17"/>
  <c r="G311" i="17" s="1"/>
  <c r="F310" i="17"/>
  <c r="F311" i="17" s="1"/>
  <c r="E310" i="17"/>
  <c r="D310" i="17"/>
  <c r="D311" i="17" s="1"/>
  <c r="C310" i="17"/>
  <c r="C311" i="17" s="1"/>
  <c r="H309" i="17"/>
  <c r="I309" i="17" s="1"/>
  <c r="J309" i="17" s="1"/>
  <c r="H308" i="17"/>
  <c r="H307" i="17"/>
  <c r="H306" i="17"/>
  <c r="I306" i="17" s="1"/>
  <c r="J306" i="17" s="1"/>
  <c r="H305" i="17"/>
  <c r="L316" i="17" s="1"/>
  <c r="N292" i="17"/>
  <c r="O291" i="17" s="1"/>
  <c r="P281" i="17"/>
  <c r="O281" i="17"/>
  <c r="G281" i="17"/>
  <c r="F281" i="17"/>
  <c r="F297" i="17" s="1"/>
  <c r="E281" i="17"/>
  <c r="E297" i="17" s="1"/>
  <c r="D281" i="17"/>
  <c r="D282" i="17" s="1"/>
  <c r="C281" i="17"/>
  <c r="C282" i="17" s="1"/>
  <c r="H280" i="17"/>
  <c r="L291" i="17" s="1"/>
  <c r="H279" i="17"/>
  <c r="L290" i="17" s="1"/>
  <c r="H278" i="17"/>
  <c r="L289" i="17" s="1"/>
  <c r="H277" i="17"/>
  <c r="I277" i="17" s="1"/>
  <c r="J277" i="17" s="1"/>
  <c r="H276" i="17"/>
  <c r="BH263" i="17"/>
  <c r="N263" i="17"/>
  <c r="O259" i="17" s="1"/>
  <c r="BH262" i="17"/>
  <c r="BH261" i="17"/>
  <c r="BH260" i="17"/>
  <c r="BH259" i="17"/>
  <c r="BH258" i="17"/>
  <c r="BH257" i="17"/>
  <c r="BH256" i="17"/>
  <c r="BH255" i="17"/>
  <c r="BH254" i="17"/>
  <c r="BH253" i="17"/>
  <c r="BH252" i="17"/>
  <c r="P252" i="17"/>
  <c r="O252" i="17"/>
  <c r="G252" i="17"/>
  <c r="G268" i="17" s="1"/>
  <c r="F252" i="17"/>
  <c r="F268" i="17" s="1"/>
  <c r="E252" i="17"/>
  <c r="E268" i="17" s="1"/>
  <c r="D252" i="17"/>
  <c r="D253" i="17" s="1"/>
  <c r="C252" i="17"/>
  <c r="C268" i="17" s="1"/>
  <c r="BH251" i="17"/>
  <c r="H251" i="17"/>
  <c r="L262" i="17" s="1"/>
  <c r="BH250" i="17"/>
  <c r="H250" i="17"/>
  <c r="L261" i="17" s="1"/>
  <c r="BH249" i="17"/>
  <c r="H249" i="17"/>
  <c r="L260" i="17" s="1"/>
  <c r="BH248" i="17"/>
  <c r="H248" i="17"/>
  <c r="L259" i="17" s="1"/>
  <c r="BH247" i="17"/>
  <c r="H247" i="17"/>
  <c r="L258" i="17" s="1"/>
  <c r="BH246" i="17"/>
  <c r="BH245" i="17"/>
  <c r="BH244" i="17"/>
  <c r="BH243" i="17"/>
  <c r="BH242" i="17"/>
  <c r="BH241" i="17"/>
  <c r="BH240" i="17"/>
  <c r="BH239" i="17"/>
  <c r="BH238" i="17"/>
  <c r="BH237" i="17"/>
  <c r="BH236" i="17"/>
  <c r="BH235" i="17"/>
  <c r="BH234" i="17"/>
  <c r="N234" i="17"/>
  <c r="O232" i="17" s="1"/>
  <c r="BH233" i="17"/>
  <c r="BH232" i="17"/>
  <c r="BH231" i="17"/>
  <c r="BH230" i="17"/>
  <c r="BH229" i="17"/>
  <c r="O229" i="17"/>
  <c r="BH228" i="17"/>
  <c r="BH227" i="17"/>
  <c r="BH226" i="17"/>
  <c r="BH225" i="17"/>
  <c r="BH224" i="17"/>
  <c r="BH223" i="17"/>
  <c r="P223" i="17"/>
  <c r="O223" i="17"/>
  <c r="G223" i="17"/>
  <c r="G224" i="17" s="1"/>
  <c r="F223" i="17"/>
  <c r="F224" i="17" s="1"/>
  <c r="E223" i="17"/>
  <c r="E224" i="17" s="1"/>
  <c r="E225" i="17" s="1"/>
  <c r="D223" i="17"/>
  <c r="C223" i="17"/>
  <c r="C239" i="17" s="1"/>
  <c r="BH222" i="17"/>
  <c r="H222" i="17"/>
  <c r="I222" i="17" s="1"/>
  <c r="J222" i="17" s="1"/>
  <c r="BH221" i="17"/>
  <c r="H221" i="17"/>
  <c r="L232" i="17" s="1"/>
  <c r="BH220" i="17"/>
  <c r="H220" i="17"/>
  <c r="BH219" i="17"/>
  <c r="H219" i="17"/>
  <c r="K219" i="17" s="1"/>
  <c r="BH218" i="17"/>
  <c r="H218" i="17"/>
  <c r="I218" i="17" s="1"/>
  <c r="BH217" i="17"/>
  <c r="BH216" i="17"/>
  <c r="BH215" i="17"/>
  <c r="BH214" i="17"/>
  <c r="BH213" i="17"/>
  <c r="AA213" i="17"/>
  <c r="X213" i="17"/>
  <c r="W213" i="17"/>
  <c r="V213" i="17"/>
  <c r="U213" i="17"/>
  <c r="T213" i="17"/>
  <c r="BH212" i="17"/>
  <c r="BH211" i="17"/>
  <c r="BH210" i="17"/>
  <c r="BH209" i="17"/>
  <c r="BH208" i="17"/>
  <c r="BH207" i="17"/>
  <c r="BH206" i="17"/>
  <c r="BH205" i="17"/>
  <c r="N205" i="17"/>
  <c r="O204" i="17" s="1"/>
  <c r="BH204" i="17"/>
  <c r="BH203" i="17"/>
  <c r="X203" i="17"/>
  <c r="W203" i="17"/>
  <c r="V203" i="17"/>
  <c r="U203" i="17"/>
  <c r="T203" i="17"/>
  <c r="O203" i="17"/>
  <c r="BH202" i="17"/>
  <c r="BH201" i="17"/>
  <c r="BH200" i="17"/>
  <c r="BH199" i="17"/>
  <c r="BH198" i="17"/>
  <c r="BH197" i="17"/>
  <c r="BH196" i="17"/>
  <c r="BH195" i="17"/>
  <c r="BH194" i="17"/>
  <c r="P194" i="17"/>
  <c r="O194" i="17"/>
  <c r="G194" i="17"/>
  <c r="G210" i="17" s="1"/>
  <c r="F194" i="17"/>
  <c r="F210" i="17" s="1"/>
  <c r="E194" i="17"/>
  <c r="E210" i="17" s="1"/>
  <c r="D194" i="17"/>
  <c r="D210" i="17" s="1"/>
  <c r="C194" i="17"/>
  <c r="C195" i="17" s="1"/>
  <c r="BH193" i="17"/>
  <c r="AA193" i="17"/>
  <c r="X193" i="17"/>
  <c r="W193" i="17"/>
  <c r="V193" i="17"/>
  <c r="U193" i="17"/>
  <c r="T193" i="17"/>
  <c r="H193" i="17"/>
  <c r="L204" i="17" s="1"/>
  <c r="BH192" i="17"/>
  <c r="H192" i="17"/>
  <c r="BH191" i="17"/>
  <c r="H191" i="17"/>
  <c r="K191" i="17" s="1"/>
  <c r="BH190" i="17"/>
  <c r="H190" i="17"/>
  <c r="BH189" i="17"/>
  <c r="H189" i="17"/>
  <c r="BH188" i="17"/>
  <c r="BH187" i="17"/>
  <c r="BH186" i="17"/>
  <c r="BH185" i="17"/>
  <c r="BH184" i="17"/>
  <c r="BH183" i="17"/>
  <c r="X183" i="17"/>
  <c r="W183" i="17"/>
  <c r="V183" i="17"/>
  <c r="U183" i="17"/>
  <c r="T183" i="17"/>
  <c r="BH182" i="17"/>
  <c r="BH181" i="17"/>
  <c r="BH180" i="17"/>
  <c r="BH179" i="17"/>
  <c r="BH178" i="17"/>
  <c r="BH177" i="17"/>
  <c r="BH176" i="17"/>
  <c r="N176" i="17"/>
  <c r="AA73" i="17" s="1"/>
  <c r="BH175" i="17"/>
  <c r="BH174" i="17"/>
  <c r="BH173" i="17"/>
  <c r="AA173" i="17"/>
  <c r="X173" i="17"/>
  <c r="W173" i="17"/>
  <c r="V173" i="17"/>
  <c r="U173" i="17"/>
  <c r="T173" i="17"/>
  <c r="O173" i="17"/>
  <c r="BH172" i="17"/>
  <c r="BH171" i="17"/>
  <c r="BH170" i="17"/>
  <c r="BH169" i="17"/>
  <c r="BH168" i="17"/>
  <c r="BH167" i="17"/>
  <c r="BH166" i="17"/>
  <c r="BH165" i="17"/>
  <c r="P165" i="17"/>
  <c r="O165" i="17"/>
  <c r="G165" i="17"/>
  <c r="G181" i="17" s="1"/>
  <c r="F165" i="17"/>
  <c r="F181" i="17" s="1"/>
  <c r="E165" i="17"/>
  <c r="E181" i="17" s="1"/>
  <c r="D165" i="17"/>
  <c r="D181" i="17" s="1"/>
  <c r="C165" i="17"/>
  <c r="C181" i="17" s="1"/>
  <c r="BH164" i="17"/>
  <c r="H164" i="17"/>
  <c r="L175" i="17" s="1"/>
  <c r="BH163" i="17"/>
  <c r="X163" i="17"/>
  <c r="W163" i="17"/>
  <c r="V163" i="17"/>
  <c r="U163" i="17"/>
  <c r="T163" i="17"/>
  <c r="H163" i="17"/>
  <c r="K163" i="17" s="1"/>
  <c r="BH162" i="17"/>
  <c r="H162" i="17"/>
  <c r="L173" i="17" s="1"/>
  <c r="BH161" i="17"/>
  <c r="H161" i="17"/>
  <c r="L172" i="17" s="1"/>
  <c r="BH160" i="17"/>
  <c r="H160" i="17"/>
  <c r="BH159" i="17"/>
  <c r="BH158" i="17"/>
  <c r="BH157" i="17"/>
  <c r="BH156" i="17"/>
  <c r="BH155" i="17"/>
  <c r="BH154" i="17"/>
  <c r="BH153" i="17"/>
  <c r="X153" i="17"/>
  <c r="W153" i="17"/>
  <c r="V153" i="17"/>
  <c r="U153" i="17"/>
  <c r="T153" i="17"/>
  <c r="BH152" i="17"/>
  <c r="BH151" i="17"/>
  <c r="BH150" i="17"/>
  <c r="BH149" i="17"/>
  <c r="BH148" i="17"/>
  <c r="BH147" i="17"/>
  <c r="N147" i="17"/>
  <c r="O142" i="17" s="1"/>
  <c r="BH146" i="17"/>
  <c r="BH145" i="17"/>
  <c r="BH144" i="17"/>
  <c r="BH143" i="17"/>
  <c r="X143" i="17"/>
  <c r="W143" i="17"/>
  <c r="V143" i="17"/>
  <c r="U143" i="17"/>
  <c r="T143" i="17"/>
  <c r="O143" i="17"/>
  <c r="BH142" i="17"/>
  <c r="BH141" i="17"/>
  <c r="BH140" i="17"/>
  <c r="BH139" i="17"/>
  <c r="BH138" i="17"/>
  <c r="BH137" i="17"/>
  <c r="BH136" i="17"/>
  <c r="P136" i="17"/>
  <c r="O136" i="17"/>
  <c r="G136" i="17"/>
  <c r="G137" i="17" s="1"/>
  <c r="F136" i="17"/>
  <c r="F137" i="17" s="1"/>
  <c r="E136" i="17"/>
  <c r="D136" i="17"/>
  <c r="D137" i="17" s="1"/>
  <c r="C136" i="17"/>
  <c r="C137" i="17" s="1"/>
  <c r="BH135" i="17"/>
  <c r="AP135" i="17"/>
  <c r="AO135" i="17"/>
  <c r="AN135" i="17"/>
  <c r="AM135" i="17"/>
  <c r="AL135" i="17"/>
  <c r="H135" i="17"/>
  <c r="L146" i="17" s="1"/>
  <c r="BH134" i="17"/>
  <c r="AP134" i="17"/>
  <c r="AO134" i="17"/>
  <c r="AN134" i="17"/>
  <c r="AM134" i="17"/>
  <c r="AL134" i="17"/>
  <c r="H134" i="17"/>
  <c r="K134" i="17" s="1"/>
  <c r="BH133" i="17"/>
  <c r="X133" i="17"/>
  <c r="W133" i="17"/>
  <c r="V133" i="17"/>
  <c r="U133" i="17"/>
  <c r="T133" i="17"/>
  <c r="H133" i="17"/>
  <c r="I133" i="17" s="1"/>
  <c r="J133" i="17" s="1"/>
  <c r="BH132" i="17"/>
  <c r="AS132" i="17"/>
  <c r="AP133" i="17" s="1"/>
  <c r="H132" i="17"/>
  <c r="L143" i="17" s="1"/>
  <c r="BH131" i="17"/>
  <c r="H131" i="17"/>
  <c r="L142" i="17" s="1"/>
  <c r="BH130" i="17"/>
  <c r="AP130" i="17"/>
  <c r="AO130" i="17"/>
  <c r="AN130" i="17"/>
  <c r="AM130" i="17"/>
  <c r="AL130" i="17"/>
  <c r="BH129" i="17"/>
  <c r="AP129" i="17"/>
  <c r="AO129" i="17"/>
  <c r="AN129" i="17"/>
  <c r="AM129" i="17"/>
  <c r="BH128" i="17"/>
  <c r="BH127" i="17"/>
  <c r="AS127" i="17"/>
  <c r="AP128" i="17" s="1"/>
  <c r="BH126" i="17"/>
  <c r="BH125" i="17"/>
  <c r="BH124" i="17"/>
  <c r="BH123" i="17"/>
  <c r="AA123" i="17"/>
  <c r="X123" i="17"/>
  <c r="W123" i="17"/>
  <c r="V123" i="17"/>
  <c r="U123" i="17"/>
  <c r="T123" i="17"/>
  <c r="BH122" i="17"/>
  <c r="AS122" i="17"/>
  <c r="AL123" i="17" s="1"/>
  <c r="BH121" i="17"/>
  <c r="BH120" i="17"/>
  <c r="BH119" i="17"/>
  <c r="BH118" i="17"/>
  <c r="AP116" i="17"/>
  <c r="AO116" i="17"/>
  <c r="AN116" i="17"/>
  <c r="AM116" i="17"/>
  <c r="AL116" i="17"/>
  <c r="N118" i="17"/>
  <c r="O117" i="17" s="1"/>
  <c r="BH117" i="17"/>
  <c r="BH116" i="17"/>
  <c r="BH115" i="17"/>
  <c r="BH114" i="17"/>
  <c r="O114" i="17"/>
  <c r="BH113" i="17"/>
  <c r="X113" i="17"/>
  <c r="W113" i="17"/>
  <c r="V113" i="17"/>
  <c r="U113" i="17"/>
  <c r="T113" i="17"/>
  <c r="BH112" i="17"/>
  <c r="BH111" i="17"/>
  <c r="BH110" i="17"/>
  <c r="BH109" i="17"/>
  <c r="BH108" i="17"/>
  <c r="BH107" i="17"/>
  <c r="P107" i="17"/>
  <c r="O107" i="17"/>
  <c r="G107" i="17"/>
  <c r="G108" i="17" s="1"/>
  <c r="F107" i="17"/>
  <c r="F123" i="17" s="1"/>
  <c r="E107" i="17"/>
  <c r="E123" i="17" s="1"/>
  <c r="D107" i="17"/>
  <c r="D123" i="17" s="1"/>
  <c r="C107" i="17"/>
  <c r="C123" i="17" s="1"/>
  <c r="BH106" i="17"/>
  <c r="H106" i="17"/>
  <c r="L117" i="17" s="1"/>
  <c r="BH105" i="17"/>
  <c r="H105" i="17"/>
  <c r="BH104" i="17"/>
  <c r="H104" i="17"/>
  <c r="BH103" i="17"/>
  <c r="X103" i="17"/>
  <c r="W103" i="17"/>
  <c r="V103" i="17"/>
  <c r="U103" i="17"/>
  <c r="T103" i="17"/>
  <c r="H103" i="17"/>
  <c r="L114" i="17" s="1"/>
  <c r="BH102" i="17"/>
  <c r="H102" i="17"/>
  <c r="BH101" i="17"/>
  <c r="BH100" i="17"/>
  <c r="BH99" i="17"/>
  <c r="AW99" i="17"/>
  <c r="BH98" i="17"/>
  <c r="BH97" i="17"/>
  <c r="BH96" i="17"/>
  <c r="BH95" i="17"/>
  <c r="AX95" i="17"/>
  <c r="BH94" i="17"/>
  <c r="BH93" i="17"/>
  <c r="X93" i="17"/>
  <c r="W93" i="17"/>
  <c r="V93" i="17"/>
  <c r="U93" i="17"/>
  <c r="T93" i="17"/>
  <c r="BH92" i="17"/>
  <c r="BH91" i="17"/>
  <c r="BH90" i="17"/>
  <c r="BH89" i="17"/>
  <c r="N89" i="17"/>
  <c r="O87" i="17" s="1"/>
  <c r="BH88" i="17"/>
  <c r="AP88" i="17"/>
  <c r="AP104" i="17" s="1"/>
  <c r="AO88" i="17"/>
  <c r="AO104" i="17" s="1"/>
  <c r="AN88" i="17"/>
  <c r="AM88" i="17"/>
  <c r="AM104" i="17" s="1"/>
  <c r="AL88" i="17"/>
  <c r="AL104" i="17" s="1"/>
  <c r="BH87" i="17"/>
  <c r="AQ87" i="17"/>
  <c r="AT87" i="17" s="1"/>
  <c r="BH86" i="17"/>
  <c r="AQ86" i="17"/>
  <c r="AT86" i="17" s="1"/>
  <c r="BH85" i="17"/>
  <c r="AQ85" i="17"/>
  <c r="AR85" i="17" s="1"/>
  <c r="AS85" i="17" s="1"/>
  <c r="BH84" i="17"/>
  <c r="AQ84" i="17"/>
  <c r="AU95" i="17" s="1"/>
  <c r="BH83" i="17"/>
  <c r="AQ83" i="17"/>
  <c r="AA83" i="17"/>
  <c r="X83" i="17"/>
  <c r="W83" i="17"/>
  <c r="V83" i="17"/>
  <c r="U83" i="17"/>
  <c r="T83" i="17"/>
  <c r="BH82" i="17"/>
  <c r="BH81" i="17"/>
  <c r="BH80" i="17"/>
  <c r="BH79" i="17"/>
  <c r="BH78" i="17"/>
  <c r="P78" i="17"/>
  <c r="O78" i="17"/>
  <c r="G78" i="17"/>
  <c r="G94" i="17" s="1"/>
  <c r="F78" i="17"/>
  <c r="F94" i="17" s="1"/>
  <c r="E78" i="17"/>
  <c r="D78" i="17"/>
  <c r="D94" i="17" s="1"/>
  <c r="C78" i="17"/>
  <c r="C94" i="17" s="1"/>
  <c r="BH77" i="17"/>
  <c r="H77" i="17"/>
  <c r="L88" i="17" s="1"/>
  <c r="BH76" i="17"/>
  <c r="H76" i="17"/>
  <c r="BH75" i="17"/>
  <c r="H75" i="17"/>
  <c r="L86" i="17" s="1"/>
  <c r="BH74" i="17"/>
  <c r="H74" i="17"/>
  <c r="I74" i="17" s="1"/>
  <c r="BH73" i="17"/>
  <c r="X73" i="17"/>
  <c r="W73" i="17"/>
  <c r="V73" i="17"/>
  <c r="U73" i="17"/>
  <c r="T73" i="17"/>
  <c r="H73" i="17"/>
  <c r="BH72" i="17"/>
  <c r="BH71" i="17"/>
  <c r="BH70" i="17"/>
  <c r="BH69" i="17"/>
  <c r="BL68" i="17"/>
  <c r="BH68" i="17"/>
  <c r="BL67" i="17"/>
  <c r="BH67" i="17"/>
  <c r="BH66" i="17"/>
  <c r="BH65" i="17"/>
  <c r="BH64" i="17"/>
  <c r="BL63" i="17"/>
  <c r="X63" i="17"/>
  <c r="W63" i="17"/>
  <c r="V63" i="17"/>
  <c r="U63" i="17"/>
  <c r="T63" i="17"/>
  <c r="BK61" i="17"/>
  <c r="N60" i="17"/>
  <c r="O59" i="17" s="1"/>
  <c r="L59" i="17"/>
  <c r="BH58" i="17"/>
  <c r="BH57" i="17"/>
  <c r="BH56" i="17"/>
  <c r="BH55" i="17"/>
  <c r="BH54" i="17"/>
  <c r="BH53" i="17"/>
  <c r="AA53" i="17"/>
  <c r="X53" i="17"/>
  <c r="W53" i="17"/>
  <c r="V53" i="17"/>
  <c r="U53" i="17"/>
  <c r="T53" i="17"/>
  <c r="BH52" i="17"/>
  <c r="BH51" i="17"/>
  <c r="BH50" i="17"/>
  <c r="BH49" i="17"/>
  <c r="P49" i="17"/>
  <c r="O49" i="17"/>
  <c r="G49" i="17"/>
  <c r="G65" i="17" s="1"/>
  <c r="F49" i="17"/>
  <c r="E49" i="17"/>
  <c r="E65" i="17" s="1"/>
  <c r="D49" i="17"/>
  <c r="C49" i="17"/>
  <c r="C65" i="17" s="1"/>
  <c r="BH48" i="17"/>
  <c r="H48" i="17"/>
  <c r="BH47" i="17"/>
  <c r="H47" i="17"/>
  <c r="L58" i="17" s="1"/>
  <c r="BH46" i="17"/>
  <c r="H46" i="17"/>
  <c r="L57" i="17" s="1"/>
  <c r="BH45" i="17"/>
  <c r="H45" i="17"/>
  <c r="L56" i="17" s="1"/>
  <c r="BH44" i="17"/>
  <c r="H44" i="17"/>
  <c r="L55" i="17" s="1"/>
  <c r="BL43" i="17"/>
  <c r="BH43" i="17"/>
  <c r="X43" i="17"/>
  <c r="W43" i="17"/>
  <c r="V43" i="17"/>
  <c r="U43" i="17"/>
  <c r="T43" i="17"/>
  <c r="BL42" i="17"/>
  <c r="BH42" i="17"/>
  <c r="BH41" i="17"/>
  <c r="BH40" i="17"/>
  <c r="BH39" i="17"/>
  <c r="BL38" i="17"/>
  <c r="BK36" i="17"/>
  <c r="X33" i="17"/>
  <c r="W33" i="17"/>
  <c r="V33" i="17"/>
  <c r="U33" i="17"/>
  <c r="T33" i="17"/>
  <c r="N31" i="17"/>
  <c r="O30" i="17" s="1"/>
  <c r="AA23" i="17"/>
  <c r="X23" i="17"/>
  <c r="W23" i="17"/>
  <c r="V23" i="17"/>
  <c r="U23" i="17"/>
  <c r="T23" i="17"/>
  <c r="C21" i="17"/>
  <c r="C22" i="17" s="1"/>
  <c r="P20" i="17"/>
  <c r="O20" i="17"/>
  <c r="G20" i="17"/>
  <c r="G36" i="17" s="1"/>
  <c r="F20" i="17"/>
  <c r="F36" i="17" s="1"/>
  <c r="E20" i="17"/>
  <c r="E36" i="17" s="1"/>
  <c r="D20" i="17"/>
  <c r="D36" i="17" s="1"/>
  <c r="C20" i="17"/>
  <c r="C36" i="17" s="1"/>
  <c r="H19" i="17"/>
  <c r="I19" i="17" s="1"/>
  <c r="J19" i="17" s="1"/>
  <c r="H18" i="17"/>
  <c r="H17" i="17"/>
  <c r="I17" i="17" s="1"/>
  <c r="J17" i="17" s="1"/>
  <c r="H16" i="17"/>
  <c r="L27" i="17" s="1"/>
  <c r="H15" i="17"/>
  <c r="I15" i="17" s="1"/>
  <c r="AO118" i="21" l="1"/>
  <c r="G304" i="27" s="1"/>
  <c r="G295" i="27"/>
  <c r="AN99" i="26"/>
  <c r="AN109" i="26" s="1"/>
  <c r="AN117" i="26" s="1"/>
  <c r="H87" i="26"/>
  <c r="I87" i="26" s="1"/>
  <c r="J87" i="26" s="1"/>
  <c r="W41" i="26" s="1"/>
  <c r="F90" i="26"/>
  <c r="W37" i="26" s="1"/>
  <c r="W45" i="26" s="1"/>
  <c r="G118" i="26"/>
  <c r="X46" i="26" s="1"/>
  <c r="X54" i="26" s="1"/>
  <c r="X234" i="26" s="1"/>
  <c r="H175" i="26"/>
  <c r="H258" i="26"/>
  <c r="I258" i="26" s="1"/>
  <c r="C321" i="26"/>
  <c r="F351" i="26"/>
  <c r="W127" i="26" s="1"/>
  <c r="W135" i="26" s="1"/>
  <c r="H349" i="26"/>
  <c r="I349" i="26" s="1"/>
  <c r="H375" i="26"/>
  <c r="I375" i="26" s="1"/>
  <c r="G437" i="26"/>
  <c r="X156" i="26" s="1"/>
  <c r="X164" i="26" s="1"/>
  <c r="X245" i="26" s="1"/>
  <c r="E438" i="26"/>
  <c r="V157" i="26" s="1"/>
  <c r="V165" i="26" s="1"/>
  <c r="D495" i="26"/>
  <c r="C495" i="26"/>
  <c r="T176" i="26" s="1"/>
  <c r="T184" i="26" s="1"/>
  <c r="D553" i="26"/>
  <c r="D583" i="26"/>
  <c r="U207" i="26" s="1"/>
  <c r="U215" i="26" s="1"/>
  <c r="E495" i="26"/>
  <c r="V176" i="26" s="1"/>
  <c r="V184" i="26" s="1"/>
  <c r="V247" i="26" s="1"/>
  <c r="U180" i="26"/>
  <c r="J491" i="26"/>
  <c r="U181" i="26" s="1"/>
  <c r="D437" i="26"/>
  <c r="U156" i="26" s="1"/>
  <c r="U164" i="26" s="1"/>
  <c r="U245" i="26" s="1"/>
  <c r="X150" i="26"/>
  <c r="J407" i="26"/>
  <c r="X151" i="26" s="1"/>
  <c r="D350" i="26"/>
  <c r="U126" i="26" s="1"/>
  <c r="U134" i="26" s="1"/>
  <c r="U242" i="26" s="1"/>
  <c r="G350" i="26"/>
  <c r="X126" i="26" s="1"/>
  <c r="X134" i="26" s="1"/>
  <c r="X242" i="26" s="1"/>
  <c r="E351" i="26"/>
  <c r="V127" i="26" s="1"/>
  <c r="V135" i="26" s="1"/>
  <c r="D351" i="26"/>
  <c r="U127" i="26" s="1"/>
  <c r="U135" i="26" s="1"/>
  <c r="E293" i="26"/>
  <c r="V107" i="26" s="1"/>
  <c r="V115" i="26" s="1"/>
  <c r="H230" i="26"/>
  <c r="I230" i="26" s="1"/>
  <c r="U90" i="26" s="1"/>
  <c r="E235" i="26"/>
  <c r="V87" i="26" s="1"/>
  <c r="V95" i="26" s="1"/>
  <c r="G235" i="26"/>
  <c r="X87" i="26" s="1"/>
  <c r="X95" i="26" s="1"/>
  <c r="J173" i="26"/>
  <c r="V71" i="26" s="1"/>
  <c r="D177" i="26"/>
  <c r="U67" i="26" s="1"/>
  <c r="U75" i="26" s="1"/>
  <c r="H174" i="26"/>
  <c r="H176" i="26" s="1"/>
  <c r="I177" i="26" s="1"/>
  <c r="AE21" i="26" s="1"/>
  <c r="K146" i="26"/>
  <c r="P146" i="26" s="1"/>
  <c r="J146" i="26"/>
  <c r="X61" i="26" s="1"/>
  <c r="U60" i="26"/>
  <c r="J143" i="26"/>
  <c r="U61" i="26" s="1"/>
  <c r="V284" i="26"/>
  <c r="C89" i="26"/>
  <c r="T36" i="26" s="1"/>
  <c r="T44" i="26" s="1"/>
  <c r="V285" i="26"/>
  <c r="V286" i="26" s="1"/>
  <c r="H28" i="26"/>
  <c r="I28" i="26" s="1"/>
  <c r="C31" i="25"/>
  <c r="T16" i="25" s="1"/>
  <c r="C61" i="25"/>
  <c r="T27" i="25" s="1"/>
  <c r="T35" i="25" s="1"/>
  <c r="H58" i="25"/>
  <c r="I58" i="25" s="1"/>
  <c r="W30" i="25" s="1"/>
  <c r="H114" i="25"/>
  <c r="E235" i="25"/>
  <c r="V87" i="25" s="1"/>
  <c r="V95" i="25" s="1"/>
  <c r="H229" i="25"/>
  <c r="I229" i="25" s="1"/>
  <c r="E263" i="25"/>
  <c r="V96" i="25" s="1"/>
  <c r="V104" i="25" s="1"/>
  <c r="V239" i="25" s="1"/>
  <c r="E264" i="25"/>
  <c r="V97" i="25" s="1"/>
  <c r="V105" i="25" s="1"/>
  <c r="U110" i="25"/>
  <c r="F322" i="25"/>
  <c r="W117" i="25" s="1"/>
  <c r="W125" i="25" s="1"/>
  <c r="F380" i="25"/>
  <c r="W137" i="25" s="1"/>
  <c r="W145" i="25" s="1"/>
  <c r="H404" i="25"/>
  <c r="I404" i="25" s="1"/>
  <c r="K404" i="25" s="1"/>
  <c r="P404" i="25" s="1"/>
  <c r="H432" i="25"/>
  <c r="I432" i="25" s="1"/>
  <c r="C437" i="25"/>
  <c r="T156" i="25" s="1"/>
  <c r="T164" i="25" s="1"/>
  <c r="T245" i="25" s="1"/>
  <c r="E496" i="25"/>
  <c r="V177" i="25" s="1"/>
  <c r="V185" i="25" s="1"/>
  <c r="G583" i="25"/>
  <c r="X207" i="25" s="1"/>
  <c r="X215" i="25" s="1"/>
  <c r="E582" i="25"/>
  <c r="V206" i="25" s="1"/>
  <c r="V214" i="25" s="1"/>
  <c r="V250" i="25" s="1"/>
  <c r="H578" i="25"/>
  <c r="I578" i="25" s="1"/>
  <c r="C582" i="25"/>
  <c r="H549" i="25"/>
  <c r="I549" i="25" s="1"/>
  <c r="T200" i="25"/>
  <c r="H492" i="25"/>
  <c r="F468" i="25"/>
  <c r="W168" i="25" s="1"/>
  <c r="E437" i="25"/>
  <c r="V156" i="25" s="1"/>
  <c r="V164" i="25" s="1"/>
  <c r="V245" i="25" s="1"/>
  <c r="H347" i="25"/>
  <c r="H289" i="25"/>
  <c r="I289" i="25" s="1"/>
  <c r="E293" i="25"/>
  <c r="V107" i="25" s="1"/>
  <c r="V115" i="25" s="1"/>
  <c r="F293" i="25"/>
  <c r="W107" i="25" s="1"/>
  <c r="W115" i="25" s="1"/>
  <c r="F264" i="25"/>
  <c r="W97" i="25" s="1"/>
  <c r="W105" i="25" s="1"/>
  <c r="D263" i="25"/>
  <c r="U96" i="25" s="1"/>
  <c r="U104" i="25" s="1"/>
  <c r="U239" i="25" s="1"/>
  <c r="H233" i="25"/>
  <c r="I233" i="25" s="1"/>
  <c r="K233" i="25" s="1"/>
  <c r="D205" i="25"/>
  <c r="U76" i="25" s="1"/>
  <c r="U84" i="25" s="1"/>
  <c r="U237" i="25" s="1"/>
  <c r="H146" i="25"/>
  <c r="G119" i="25"/>
  <c r="X47" i="25" s="1"/>
  <c r="X55" i="25" s="1"/>
  <c r="F61" i="25"/>
  <c r="W27" i="25" s="1"/>
  <c r="W35" i="25" s="1"/>
  <c r="G61" i="25"/>
  <c r="X27" i="25" s="1"/>
  <c r="X35" i="25" s="1"/>
  <c r="D61" i="25"/>
  <c r="U27" i="25" s="1"/>
  <c r="U35" i="25" s="1"/>
  <c r="H27" i="25"/>
  <c r="I27" i="25" s="1"/>
  <c r="H55" i="24"/>
  <c r="I55" i="24" s="1"/>
  <c r="F60" i="24"/>
  <c r="W26" i="24" s="1"/>
  <c r="W34" i="24" s="1"/>
  <c r="W232" i="24" s="1"/>
  <c r="C89" i="24"/>
  <c r="G119" i="24"/>
  <c r="X47" i="24" s="1"/>
  <c r="X55" i="24" s="1"/>
  <c r="C118" i="24"/>
  <c r="F147" i="24"/>
  <c r="H175" i="24"/>
  <c r="D205" i="24"/>
  <c r="E263" i="24"/>
  <c r="V96" i="24" s="1"/>
  <c r="V104" i="24" s="1"/>
  <c r="V239" i="24" s="1"/>
  <c r="F263" i="24"/>
  <c r="W96" i="24" s="1"/>
  <c r="W104" i="24" s="1"/>
  <c r="W239" i="24" s="1"/>
  <c r="F293" i="24"/>
  <c r="W107" i="24" s="1"/>
  <c r="W115" i="24" s="1"/>
  <c r="H288" i="24"/>
  <c r="I288" i="24" s="1"/>
  <c r="X130" i="24"/>
  <c r="H345" i="24"/>
  <c r="I345" i="24" s="1"/>
  <c r="J519" i="24"/>
  <c r="T191" i="24" s="1"/>
  <c r="K519" i="24"/>
  <c r="P519" i="24" s="1"/>
  <c r="E554" i="24"/>
  <c r="V197" i="24" s="1"/>
  <c r="V205" i="24" s="1"/>
  <c r="G555" i="24"/>
  <c r="F555" i="24"/>
  <c r="W198" i="24" s="1"/>
  <c r="C554" i="24"/>
  <c r="T197" i="24" s="1"/>
  <c r="T205" i="24" s="1"/>
  <c r="E495" i="24"/>
  <c r="V176" i="24" s="1"/>
  <c r="V184" i="24" s="1"/>
  <c r="V247" i="24" s="1"/>
  <c r="D437" i="24"/>
  <c r="U156" i="24" s="1"/>
  <c r="U164" i="24" s="1"/>
  <c r="U245" i="24" s="1"/>
  <c r="D350" i="24"/>
  <c r="U126" i="24" s="1"/>
  <c r="U134" i="24" s="1"/>
  <c r="U242" i="24" s="1"/>
  <c r="E322" i="24"/>
  <c r="V117" i="24" s="1"/>
  <c r="V125" i="24" s="1"/>
  <c r="C292" i="24"/>
  <c r="T106" i="24" s="1"/>
  <c r="T114" i="24" s="1"/>
  <c r="E264" i="24"/>
  <c r="V97" i="24" s="1"/>
  <c r="V105" i="24" s="1"/>
  <c r="H145" i="24"/>
  <c r="I145" i="24" s="1"/>
  <c r="F118" i="24"/>
  <c r="W46" i="24" s="1"/>
  <c r="W54" i="24" s="1"/>
  <c r="W234" i="24" s="1"/>
  <c r="D90" i="24"/>
  <c r="U37" i="24" s="1"/>
  <c r="U45" i="24" s="1"/>
  <c r="H86" i="24"/>
  <c r="I86" i="24" s="1"/>
  <c r="V40" i="24" s="1"/>
  <c r="K55" i="24"/>
  <c r="P55" i="24" s="1"/>
  <c r="J55" i="24"/>
  <c r="T31" i="24" s="1"/>
  <c r="H60" i="24"/>
  <c r="I61" i="24" s="1"/>
  <c r="AE17" i="24" s="1"/>
  <c r="F32" i="24"/>
  <c r="W17" i="24" s="1"/>
  <c r="W25" i="24" s="1"/>
  <c r="H201" i="23"/>
  <c r="I201" i="23" s="1"/>
  <c r="C234" i="23"/>
  <c r="T86" i="23" s="1"/>
  <c r="T94" i="23" s="1"/>
  <c r="D235" i="23"/>
  <c r="U87" i="23" s="1"/>
  <c r="U95" i="23" s="1"/>
  <c r="H407" i="23"/>
  <c r="D437" i="23"/>
  <c r="H463" i="23"/>
  <c r="I463" i="23" s="1"/>
  <c r="J463" i="23" s="1"/>
  <c r="V171" i="23" s="1"/>
  <c r="H550" i="23"/>
  <c r="I550" i="23" s="1"/>
  <c r="E583" i="23"/>
  <c r="V207" i="23" s="1"/>
  <c r="V215" i="23" s="1"/>
  <c r="D583" i="23"/>
  <c r="U207" i="23" s="1"/>
  <c r="U215" i="23" s="1"/>
  <c r="H520" i="23"/>
  <c r="I520" i="23" s="1"/>
  <c r="D524" i="23"/>
  <c r="D495" i="23"/>
  <c r="U176" i="23" s="1"/>
  <c r="U184" i="23" s="1"/>
  <c r="U247" i="23" s="1"/>
  <c r="E437" i="23"/>
  <c r="V156" i="23" s="1"/>
  <c r="V164" i="23" s="1"/>
  <c r="V245" i="23" s="1"/>
  <c r="F409" i="23"/>
  <c r="W147" i="23" s="1"/>
  <c r="W155" i="23" s="1"/>
  <c r="E379" i="23"/>
  <c r="V136" i="23" s="1"/>
  <c r="V144" i="23" s="1"/>
  <c r="V243" i="23" s="1"/>
  <c r="H347" i="23"/>
  <c r="I347" i="23" s="1"/>
  <c r="F350" i="23"/>
  <c r="W126" i="23" s="1"/>
  <c r="W134" i="23" s="1"/>
  <c r="W242" i="23" s="1"/>
  <c r="H290" i="23"/>
  <c r="I290" i="23" s="1"/>
  <c r="G293" i="23"/>
  <c r="X107" i="23" s="1"/>
  <c r="X115" i="23" s="1"/>
  <c r="E293" i="23"/>
  <c r="V107" i="23" s="1"/>
  <c r="V115" i="23" s="1"/>
  <c r="F293" i="23"/>
  <c r="W107" i="23" s="1"/>
  <c r="W115" i="23" s="1"/>
  <c r="J258" i="23"/>
  <c r="T101" i="23" s="1"/>
  <c r="K258" i="23"/>
  <c r="P258" i="23" s="1"/>
  <c r="F263" i="23"/>
  <c r="W96" i="23" s="1"/>
  <c r="W104" i="23" s="1"/>
  <c r="W239" i="23" s="1"/>
  <c r="H262" i="23"/>
  <c r="D264" i="23"/>
  <c r="U97" i="23" s="1"/>
  <c r="U105" i="23" s="1"/>
  <c r="F235" i="23"/>
  <c r="W87" i="23" s="1"/>
  <c r="W95" i="23" s="1"/>
  <c r="G89" i="23"/>
  <c r="X36" i="23" s="1"/>
  <c r="X44" i="23" s="1"/>
  <c r="X233" i="23" s="1"/>
  <c r="H88" i="23"/>
  <c r="W285" i="23"/>
  <c r="W286" i="23" s="1"/>
  <c r="F60" i="23"/>
  <c r="W26" i="23" s="1"/>
  <c r="W34" i="23" s="1"/>
  <c r="W232" i="23" s="1"/>
  <c r="X284" i="23"/>
  <c r="H59" i="23"/>
  <c r="I59" i="23" s="1"/>
  <c r="AO99" i="21"/>
  <c r="AN110" i="21"/>
  <c r="AQ96" i="21"/>
  <c r="AR96" i="21" s="1"/>
  <c r="AP99" i="21"/>
  <c r="AP109" i="21" s="1"/>
  <c r="AP117" i="21" s="1"/>
  <c r="AQ98" i="21"/>
  <c r="AR98" i="21" s="1"/>
  <c r="AT98" i="21" s="1"/>
  <c r="AY98" i="21" s="1"/>
  <c r="AN99" i="21"/>
  <c r="AN109" i="21" s="1"/>
  <c r="AN117" i="21" s="1"/>
  <c r="H288" i="21"/>
  <c r="I288" i="21" s="1"/>
  <c r="X126" i="21"/>
  <c r="X134" i="21" s="1"/>
  <c r="X242" i="21" s="1"/>
  <c r="G352" i="21"/>
  <c r="F352" i="21"/>
  <c r="F409" i="21"/>
  <c r="W147" i="21" s="1"/>
  <c r="W155" i="21" s="1"/>
  <c r="H493" i="21"/>
  <c r="I493" i="21" s="1"/>
  <c r="F496" i="21"/>
  <c r="W177" i="21" s="1"/>
  <c r="W185" i="21" s="1"/>
  <c r="G554" i="21"/>
  <c r="X197" i="21" s="1"/>
  <c r="X205" i="21" s="1"/>
  <c r="H550" i="21"/>
  <c r="F554" i="21"/>
  <c r="W197" i="21" s="1"/>
  <c r="W205" i="21" s="1"/>
  <c r="C467" i="21"/>
  <c r="T167" i="21" s="1"/>
  <c r="T175" i="21" s="1"/>
  <c r="D438" i="21"/>
  <c r="U157" i="21" s="1"/>
  <c r="U165" i="21" s="1"/>
  <c r="G409" i="21"/>
  <c r="X147" i="21" s="1"/>
  <c r="X155" i="21" s="1"/>
  <c r="E409" i="21"/>
  <c r="V147" i="21" s="1"/>
  <c r="V155" i="21" s="1"/>
  <c r="E350" i="21"/>
  <c r="D205" i="21"/>
  <c r="F206" i="21"/>
  <c r="W77" i="21" s="1"/>
  <c r="W85" i="21" s="1"/>
  <c r="F205" i="21"/>
  <c r="W76" i="21" s="1"/>
  <c r="W84" i="21" s="1"/>
  <c r="W237" i="21" s="1"/>
  <c r="H203" i="21"/>
  <c r="I203" i="21" s="1"/>
  <c r="I143" i="21"/>
  <c r="D61" i="21"/>
  <c r="U27" i="21" s="1"/>
  <c r="U35" i="21" s="1"/>
  <c r="AT98" i="20"/>
  <c r="AP113" i="20"/>
  <c r="H116" i="20"/>
  <c r="D176" i="20"/>
  <c r="U66" i="20" s="1"/>
  <c r="U74" i="20" s="1"/>
  <c r="U236" i="20" s="1"/>
  <c r="F264" i="20"/>
  <c r="W97" i="20" s="1"/>
  <c r="W105" i="20" s="1"/>
  <c r="H349" i="20"/>
  <c r="I349" i="20" s="1"/>
  <c r="D438" i="20"/>
  <c r="U157" i="20" s="1"/>
  <c r="U165" i="20" s="1"/>
  <c r="D553" i="20"/>
  <c r="D583" i="20"/>
  <c r="U207" i="20" s="1"/>
  <c r="U215" i="20" s="1"/>
  <c r="C554" i="20"/>
  <c r="T197" i="20" s="1"/>
  <c r="T205" i="20" s="1"/>
  <c r="F525" i="20"/>
  <c r="W187" i="20" s="1"/>
  <c r="W195" i="20" s="1"/>
  <c r="H461" i="20"/>
  <c r="F466" i="20"/>
  <c r="G466" i="20"/>
  <c r="X166" i="20" s="1"/>
  <c r="X174" i="20" s="1"/>
  <c r="X246" i="20" s="1"/>
  <c r="X150" i="20"/>
  <c r="J407" i="20"/>
  <c r="X151" i="20" s="1"/>
  <c r="D380" i="20"/>
  <c r="U137" i="20" s="1"/>
  <c r="U145" i="20" s="1"/>
  <c r="G379" i="20"/>
  <c r="X136" i="20" s="1"/>
  <c r="X144" i="20" s="1"/>
  <c r="X243" i="20" s="1"/>
  <c r="F234" i="20"/>
  <c r="W86" i="20" s="1"/>
  <c r="W94" i="20" s="1"/>
  <c r="W238" i="20" s="1"/>
  <c r="E234" i="20"/>
  <c r="V86" i="20" s="1"/>
  <c r="V94" i="20" s="1"/>
  <c r="V238" i="20" s="1"/>
  <c r="D206" i="20"/>
  <c r="U77" i="20" s="1"/>
  <c r="U85" i="20" s="1"/>
  <c r="E176" i="20"/>
  <c r="V66" i="20" s="1"/>
  <c r="V74" i="20" s="1"/>
  <c r="V236" i="20" s="1"/>
  <c r="E61" i="20"/>
  <c r="V27" i="20" s="1"/>
  <c r="V35" i="20" s="1"/>
  <c r="H59" i="20"/>
  <c r="I59" i="20" s="1"/>
  <c r="J59" i="20" s="1"/>
  <c r="X31" i="20" s="1"/>
  <c r="F32" i="20"/>
  <c r="W17" i="20" s="1"/>
  <c r="W25" i="20" s="1"/>
  <c r="D32" i="20"/>
  <c r="U17" i="20" s="1"/>
  <c r="U25" i="20" s="1"/>
  <c r="AT83" i="18"/>
  <c r="AS134" i="18"/>
  <c r="O145" i="18"/>
  <c r="O201" i="18"/>
  <c r="O229" i="18"/>
  <c r="O548" i="18"/>
  <c r="E548" i="18" s="1"/>
  <c r="E550" i="18"/>
  <c r="K566" i="18"/>
  <c r="F580" i="18"/>
  <c r="I539" i="18"/>
  <c r="J539" i="18" s="1"/>
  <c r="K539" i="18"/>
  <c r="C514" i="18"/>
  <c r="F529" i="18"/>
  <c r="I480" i="18"/>
  <c r="J480" i="18" s="1"/>
  <c r="F485" i="18"/>
  <c r="F486" i="18" s="1"/>
  <c r="K481" i="18"/>
  <c r="N453" i="18"/>
  <c r="W172" i="18" s="1"/>
  <c r="L464" i="18"/>
  <c r="E456" i="18"/>
  <c r="E457" i="18" s="1"/>
  <c r="K453" i="18"/>
  <c r="G456" i="18"/>
  <c r="K424" i="18"/>
  <c r="F427" i="18"/>
  <c r="F428" i="18" s="1"/>
  <c r="G442" i="18"/>
  <c r="F398" i="18"/>
  <c r="F399" i="18" s="1"/>
  <c r="F384" i="18"/>
  <c r="K363" i="18"/>
  <c r="E369" i="18"/>
  <c r="E370" i="18" s="1"/>
  <c r="D384" i="18"/>
  <c r="K337" i="18"/>
  <c r="F340" i="18"/>
  <c r="G340" i="18"/>
  <c r="G341" i="18" s="1"/>
  <c r="K338" i="18"/>
  <c r="E355" i="18"/>
  <c r="I337" i="18"/>
  <c r="J337" i="18" s="1"/>
  <c r="L320" i="18"/>
  <c r="F282" i="18"/>
  <c r="F283" i="18" s="1"/>
  <c r="L260" i="18"/>
  <c r="K219" i="18"/>
  <c r="H194" i="18"/>
  <c r="I195" i="18" s="1"/>
  <c r="AD22" i="18" s="1"/>
  <c r="F200" i="18"/>
  <c r="N161" i="18"/>
  <c r="U72" i="18" s="1"/>
  <c r="D181" i="18"/>
  <c r="F166" i="18"/>
  <c r="K135" i="18"/>
  <c r="E152" i="18"/>
  <c r="C123" i="18"/>
  <c r="K73" i="18"/>
  <c r="K46" i="18"/>
  <c r="K47" i="18"/>
  <c r="D50" i="18"/>
  <c r="E65" i="18"/>
  <c r="K16" i="18"/>
  <c r="AO123" i="17"/>
  <c r="AP123" i="17"/>
  <c r="AT83" i="17"/>
  <c r="AS134" i="17"/>
  <c r="AS129" i="17"/>
  <c r="O490" i="17"/>
  <c r="O492" i="17"/>
  <c r="O403" i="17"/>
  <c r="O345" i="17"/>
  <c r="O260" i="17"/>
  <c r="AA93" i="17"/>
  <c r="O233" i="17"/>
  <c r="O144" i="17"/>
  <c r="O115" i="17"/>
  <c r="D117" i="17"/>
  <c r="K569" i="17"/>
  <c r="K538" i="17"/>
  <c r="D543" i="17"/>
  <c r="H513" i="17"/>
  <c r="I514" i="17" s="1"/>
  <c r="AD33" i="17" s="1"/>
  <c r="C514" i="17"/>
  <c r="H455" i="17"/>
  <c r="I456" i="17" s="1"/>
  <c r="AD31" i="17" s="1"/>
  <c r="I451" i="17"/>
  <c r="J451" i="17" s="1"/>
  <c r="K392" i="17"/>
  <c r="K393" i="17"/>
  <c r="L405" i="17"/>
  <c r="K394" i="17"/>
  <c r="C369" i="17"/>
  <c r="C370" i="17" s="1"/>
  <c r="K334" i="17"/>
  <c r="K336" i="17"/>
  <c r="D326" i="17"/>
  <c r="I305" i="17"/>
  <c r="J305" i="17" s="1"/>
  <c r="K276" i="17"/>
  <c r="G291" i="17"/>
  <c r="I278" i="17"/>
  <c r="J278" i="17" s="1"/>
  <c r="I250" i="17"/>
  <c r="J250" i="17" s="1"/>
  <c r="F253" i="17"/>
  <c r="F254" i="17" s="1"/>
  <c r="K222" i="17"/>
  <c r="D195" i="17"/>
  <c r="I193" i="17"/>
  <c r="J193" i="17" s="1"/>
  <c r="K162" i="17"/>
  <c r="I134" i="17"/>
  <c r="J134" i="17" s="1"/>
  <c r="E117" i="17"/>
  <c r="H78" i="17"/>
  <c r="I79" i="17" s="1"/>
  <c r="AD18" i="17" s="1"/>
  <c r="K76" i="17"/>
  <c r="I75" i="17"/>
  <c r="J75" i="17" s="1"/>
  <c r="C50" i="17"/>
  <c r="C51" i="17" s="1"/>
  <c r="K48" i="17"/>
  <c r="I48" i="17"/>
  <c r="J48" i="17" s="1"/>
  <c r="K15" i="17"/>
  <c r="K17" i="17"/>
  <c r="F582" i="26"/>
  <c r="W206" i="26" s="1"/>
  <c r="W214" i="26" s="1"/>
  <c r="W250" i="26" s="1"/>
  <c r="H551" i="26"/>
  <c r="F496" i="26"/>
  <c r="W177" i="26" s="1"/>
  <c r="W185" i="26" s="1"/>
  <c r="C437" i="26"/>
  <c r="T156" i="26" s="1"/>
  <c r="T164" i="26" s="1"/>
  <c r="T245" i="26" s="1"/>
  <c r="G438" i="26"/>
  <c r="X157" i="26" s="1"/>
  <c r="X165" i="26" s="1"/>
  <c r="E437" i="26"/>
  <c r="V156" i="26" s="1"/>
  <c r="V164" i="26" s="1"/>
  <c r="V245" i="26" s="1"/>
  <c r="E350" i="26"/>
  <c r="V126" i="26" s="1"/>
  <c r="V134" i="26" s="1"/>
  <c r="V242" i="26" s="1"/>
  <c r="H317" i="26"/>
  <c r="I317" i="26" s="1"/>
  <c r="H261" i="26"/>
  <c r="D263" i="26"/>
  <c r="U96" i="26" s="1"/>
  <c r="U104" i="26" s="1"/>
  <c r="U239" i="26" s="1"/>
  <c r="F263" i="26"/>
  <c r="W96" i="26" s="1"/>
  <c r="W104" i="26" s="1"/>
  <c r="W239" i="26" s="1"/>
  <c r="G264" i="26"/>
  <c r="X97" i="26" s="1"/>
  <c r="X105" i="26" s="1"/>
  <c r="F235" i="26"/>
  <c r="W87" i="26" s="1"/>
  <c r="W95" i="26" s="1"/>
  <c r="D234" i="26"/>
  <c r="G205" i="26"/>
  <c r="X76" i="26" s="1"/>
  <c r="X84" i="26" s="1"/>
  <c r="X237" i="26" s="1"/>
  <c r="F176" i="26"/>
  <c r="F178" i="26" s="1"/>
  <c r="G177" i="26"/>
  <c r="X67" i="26" s="1"/>
  <c r="X75" i="26" s="1"/>
  <c r="C118" i="26"/>
  <c r="T46" i="26" s="1"/>
  <c r="T54" i="26" s="1"/>
  <c r="D119" i="26"/>
  <c r="U47" i="26" s="1"/>
  <c r="U55" i="26" s="1"/>
  <c r="K87" i="26"/>
  <c r="P87" i="26" s="1"/>
  <c r="W40" i="26"/>
  <c r="E89" i="26"/>
  <c r="E91" i="26" s="1"/>
  <c r="C583" i="26"/>
  <c r="T207" i="26" s="1"/>
  <c r="T215" i="26" s="1"/>
  <c r="D582" i="26"/>
  <c r="U206" i="26" s="1"/>
  <c r="U214" i="26" s="1"/>
  <c r="U250" i="26" s="1"/>
  <c r="E582" i="26"/>
  <c r="V206" i="26" s="1"/>
  <c r="V214" i="26" s="1"/>
  <c r="V250" i="26" s="1"/>
  <c r="G554" i="26"/>
  <c r="X197" i="26" s="1"/>
  <c r="X205" i="26" s="1"/>
  <c r="F554" i="26"/>
  <c r="W197" i="26" s="1"/>
  <c r="W205" i="26" s="1"/>
  <c r="E554" i="26"/>
  <c r="V197" i="26" s="1"/>
  <c r="V205" i="26" s="1"/>
  <c r="E439" i="26"/>
  <c r="E441" i="26" s="1"/>
  <c r="C438" i="26"/>
  <c r="T157" i="26" s="1"/>
  <c r="T165" i="26" s="1"/>
  <c r="F438" i="26"/>
  <c r="W157" i="26" s="1"/>
  <c r="W165" i="26" s="1"/>
  <c r="H405" i="26"/>
  <c r="I405" i="26" s="1"/>
  <c r="F350" i="26"/>
  <c r="W126" i="26" s="1"/>
  <c r="W134" i="26" s="1"/>
  <c r="W242" i="26" s="1"/>
  <c r="C350" i="26"/>
  <c r="T126" i="26" s="1"/>
  <c r="T134" i="26" s="1"/>
  <c r="T242" i="26" s="1"/>
  <c r="H346" i="26"/>
  <c r="H290" i="26"/>
  <c r="I290" i="26" s="1"/>
  <c r="K290" i="26" s="1"/>
  <c r="P290" i="26" s="1"/>
  <c r="G293" i="26"/>
  <c r="X107" i="26" s="1"/>
  <c r="X115" i="26" s="1"/>
  <c r="H291" i="26"/>
  <c r="I291" i="26" s="1"/>
  <c r="H259" i="26"/>
  <c r="I259" i="26" s="1"/>
  <c r="E264" i="26"/>
  <c r="V97" i="26" s="1"/>
  <c r="V105" i="26" s="1"/>
  <c r="F206" i="26"/>
  <c r="W77" i="26" s="1"/>
  <c r="W85" i="26" s="1"/>
  <c r="D206" i="26"/>
  <c r="U77" i="26" s="1"/>
  <c r="U85" i="26" s="1"/>
  <c r="V70" i="26"/>
  <c r="F177" i="26"/>
  <c r="W67" i="26" s="1"/>
  <c r="W75" i="26" s="1"/>
  <c r="E177" i="26"/>
  <c r="V67" i="26" s="1"/>
  <c r="V75" i="26" s="1"/>
  <c r="D176" i="26"/>
  <c r="T285" i="26"/>
  <c r="T286" i="26" s="1"/>
  <c r="H85" i="26"/>
  <c r="T225" i="26"/>
  <c r="T284" i="26"/>
  <c r="G91" i="26"/>
  <c r="E61" i="26"/>
  <c r="V27" i="26" s="1"/>
  <c r="V35" i="26" s="1"/>
  <c r="G60" i="26"/>
  <c r="X26" i="26" s="1"/>
  <c r="X34" i="26" s="1"/>
  <c r="X232" i="26" s="1"/>
  <c r="C62" i="26"/>
  <c r="C64" i="26" s="1"/>
  <c r="D61" i="26"/>
  <c r="U27" i="26" s="1"/>
  <c r="U35" i="26" s="1"/>
  <c r="F60" i="26"/>
  <c r="W26" i="26" s="1"/>
  <c r="W34" i="26" s="1"/>
  <c r="W232" i="26" s="1"/>
  <c r="E33" i="26"/>
  <c r="E35" i="26" s="1"/>
  <c r="X285" i="26"/>
  <c r="X286" i="26" s="1"/>
  <c r="H31" i="26"/>
  <c r="I32" i="26" s="1"/>
  <c r="AE16" i="26" s="1"/>
  <c r="K289" i="26"/>
  <c r="P289" i="26" s="1"/>
  <c r="J289" i="26"/>
  <c r="V111" i="26" s="1"/>
  <c r="V110" i="26"/>
  <c r="U116" i="26"/>
  <c r="U124" i="26" s="1"/>
  <c r="U241" i="26" s="1"/>
  <c r="D323" i="26"/>
  <c r="AS97" i="26"/>
  <c r="AO114" i="26" s="1"/>
  <c r="AO113" i="26"/>
  <c r="AT97" i="26"/>
  <c r="AY97" i="26"/>
  <c r="U196" i="26"/>
  <c r="U204" i="26" s="1"/>
  <c r="U249" i="26" s="1"/>
  <c r="D555" i="26"/>
  <c r="K113" i="26"/>
  <c r="P113" i="26" s="1"/>
  <c r="J113" i="26"/>
  <c r="T51" i="26" s="1"/>
  <c r="T50" i="26"/>
  <c r="K316" i="26"/>
  <c r="P316" i="26" s="1"/>
  <c r="J316" i="26"/>
  <c r="T121" i="26" s="1"/>
  <c r="T120" i="26"/>
  <c r="V116" i="26"/>
  <c r="V124" i="26" s="1"/>
  <c r="V241" i="26" s="1"/>
  <c r="E323" i="26"/>
  <c r="G352" i="26"/>
  <c r="K434" i="26"/>
  <c r="P434" i="26" s="1"/>
  <c r="J434" i="26"/>
  <c r="V161" i="26" s="1"/>
  <c r="V160" i="26"/>
  <c r="K349" i="26"/>
  <c r="P349" i="26" s="1"/>
  <c r="J349" i="26"/>
  <c r="X131" i="26" s="1"/>
  <c r="X130" i="26"/>
  <c r="K345" i="26"/>
  <c r="P345" i="26" s="1"/>
  <c r="J345" i="26"/>
  <c r="T131" i="26" s="1"/>
  <c r="T130" i="26"/>
  <c r="W106" i="26"/>
  <c r="W114" i="26" s="1"/>
  <c r="W240" i="26" s="1"/>
  <c r="F294" i="26"/>
  <c r="X116" i="26"/>
  <c r="X124" i="26" s="1"/>
  <c r="X241" i="26" s="1"/>
  <c r="G323" i="26"/>
  <c r="T86" i="26"/>
  <c r="T94" i="26" s="1"/>
  <c r="C236" i="26"/>
  <c r="K258" i="26"/>
  <c r="P258" i="26" s="1"/>
  <c r="J258" i="26"/>
  <c r="T101" i="26" s="1"/>
  <c r="T100" i="26"/>
  <c r="K579" i="26"/>
  <c r="P579" i="26" s="1"/>
  <c r="J579" i="26"/>
  <c r="V211" i="26" s="1"/>
  <c r="V210" i="26"/>
  <c r="J27" i="26"/>
  <c r="U21" i="26" s="1"/>
  <c r="U20" i="26"/>
  <c r="K27" i="26"/>
  <c r="P27" i="26" s="1"/>
  <c r="T116" i="26"/>
  <c r="T124" i="26" s="1"/>
  <c r="C323" i="26"/>
  <c r="J290" i="26"/>
  <c r="W111" i="26" s="1"/>
  <c r="W110" i="26"/>
  <c r="K58" i="26"/>
  <c r="P58" i="26" s="1"/>
  <c r="J58" i="26"/>
  <c r="W31" i="26" s="1"/>
  <c r="W30" i="26"/>
  <c r="K463" i="26"/>
  <c r="P463" i="26" s="1"/>
  <c r="J463" i="26"/>
  <c r="V171" i="26" s="1"/>
  <c r="V170" i="26"/>
  <c r="J29" i="26"/>
  <c r="W21" i="26" s="1"/>
  <c r="K29" i="26"/>
  <c r="P29" i="26" s="1"/>
  <c r="W20" i="26"/>
  <c r="K522" i="26"/>
  <c r="P522" i="26" s="1"/>
  <c r="J522" i="26"/>
  <c r="W191" i="26" s="1"/>
  <c r="W190" i="26"/>
  <c r="K523" i="26"/>
  <c r="P523" i="26" s="1"/>
  <c r="J523" i="26"/>
  <c r="X191" i="26" s="1"/>
  <c r="X190" i="26"/>
  <c r="H202" i="26"/>
  <c r="X16" i="26"/>
  <c r="G33" i="26"/>
  <c r="H404" i="26"/>
  <c r="I404" i="26" s="1"/>
  <c r="D120" i="26"/>
  <c r="D292" i="26"/>
  <c r="U106" i="26" s="1"/>
  <c r="U114" i="26" s="1"/>
  <c r="U240" i="26" s="1"/>
  <c r="F555" i="26"/>
  <c r="I551" i="26"/>
  <c r="D90" i="26"/>
  <c r="U37" i="26" s="1"/>
  <c r="U45" i="26" s="1"/>
  <c r="D524" i="26"/>
  <c r="U186" i="26" s="1"/>
  <c r="U194" i="26" s="1"/>
  <c r="U248" i="26" s="1"/>
  <c r="D525" i="26"/>
  <c r="U187" i="26" s="1"/>
  <c r="U195" i="26" s="1"/>
  <c r="H521" i="26"/>
  <c r="C33" i="26"/>
  <c r="AO99" i="26"/>
  <c r="AO110" i="26"/>
  <c r="K86" i="26"/>
  <c r="V40" i="26"/>
  <c r="J86" i="26"/>
  <c r="V41" i="26" s="1"/>
  <c r="P86" i="26"/>
  <c r="D322" i="26"/>
  <c r="U117" i="26" s="1"/>
  <c r="U125" i="26" s="1"/>
  <c r="F264" i="26"/>
  <c r="W97" i="26" s="1"/>
  <c r="W105" i="26" s="1"/>
  <c r="K580" i="26"/>
  <c r="P580" i="26" s="1"/>
  <c r="J580" i="26"/>
  <c r="W211" i="26" s="1"/>
  <c r="W210" i="26"/>
  <c r="E205" i="26"/>
  <c r="V76" i="26" s="1"/>
  <c r="V84" i="26" s="1"/>
  <c r="V237" i="26" s="1"/>
  <c r="E379" i="26"/>
  <c r="V136" i="26" s="1"/>
  <c r="V144" i="26" s="1"/>
  <c r="V243" i="26" s="1"/>
  <c r="E380" i="26"/>
  <c r="V137" i="26" s="1"/>
  <c r="V145" i="26" s="1"/>
  <c r="D554" i="26"/>
  <c r="U197" i="26" s="1"/>
  <c r="U205" i="26" s="1"/>
  <c r="G408" i="26"/>
  <c r="G409" i="26"/>
  <c r="X147" i="26" s="1"/>
  <c r="X155" i="26" s="1"/>
  <c r="H578" i="26"/>
  <c r="I578" i="26" s="1"/>
  <c r="F293" i="26"/>
  <c r="W107" i="26" s="1"/>
  <c r="W115" i="26" s="1"/>
  <c r="E322" i="26"/>
  <c r="V117" i="26" s="1"/>
  <c r="V125" i="26" s="1"/>
  <c r="I202" i="26"/>
  <c r="W225" i="26"/>
  <c r="W285" i="26"/>
  <c r="W286" i="26" s="1"/>
  <c r="W284" i="26"/>
  <c r="V24" i="26"/>
  <c r="K406" i="26"/>
  <c r="P406" i="26" s="1"/>
  <c r="J406" i="26"/>
  <c r="W151" i="26" s="1"/>
  <c r="W150" i="26"/>
  <c r="C524" i="26"/>
  <c r="T186" i="26" s="1"/>
  <c r="T194" i="26" s="1"/>
  <c r="H519" i="26"/>
  <c r="I519" i="26" s="1"/>
  <c r="C525" i="26"/>
  <c r="T187" i="26" s="1"/>
  <c r="T195" i="26" s="1"/>
  <c r="I26" i="26"/>
  <c r="AN110" i="26"/>
  <c r="J377" i="26"/>
  <c r="W141" i="26" s="1"/>
  <c r="K377" i="26"/>
  <c r="P377" i="26" s="1"/>
  <c r="W140" i="26"/>
  <c r="F495" i="26"/>
  <c r="U25" i="26"/>
  <c r="G236" i="26"/>
  <c r="C553" i="26"/>
  <c r="J378" i="26"/>
  <c r="X141" i="26" s="1"/>
  <c r="K378" i="26"/>
  <c r="P378" i="26" s="1"/>
  <c r="X140" i="26"/>
  <c r="F408" i="26"/>
  <c r="F409" i="26"/>
  <c r="W147" i="26" s="1"/>
  <c r="W155" i="26" s="1"/>
  <c r="E206" i="26"/>
  <c r="V77" i="26" s="1"/>
  <c r="V85" i="26" s="1"/>
  <c r="D33" i="26"/>
  <c r="H115" i="26"/>
  <c r="I115" i="26" s="1"/>
  <c r="C119" i="26"/>
  <c r="T47" i="26" s="1"/>
  <c r="T55" i="26" s="1"/>
  <c r="J231" i="26"/>
  <c r="V91" i="26" s="1"/>
  <c r="K231" i="26"/>
  <c r="P231" i="26" s="1"/>
  <c r="V90" i="26"/>
  <c r="V66" i="26"/>
  <c r="V74" i="26" s="1"/>
  <c r="V236" i="26" s="1"/>
  <c r="E178" i="26"/>
  <c r="H403" i="26"/>
  <c r="I403" i="26" s="1"/>
  <c r="C408" i="26"/>
  <c r="T146" i="26" s="1"/>
  <c r="T154" i="26" s="1"/>
  <c r="C409" i="26"/>
  <c r="T147" i="26" s="1"/>
  <c r="T155" i="26" s="1"/>
  <c r="F89" i="26"/>
  <c r="K493" i="26"/>
  <c r="P493" i="26" s="1"/>
  <c r="J493" i="26"/>
  <c r="W181" i="26" s="1"/>
  <c r="W180" i="26"/>
  <c r="F524" i="26"/>
  <c r="F525" i="26"/>
  <c r="W187" i="26" s="1"/>
  <c r="W195" i="26" s="1"/>
  <c r="T25" i="26"/>
  <c r="AP99" i="26"/>
  <c r="AP110" i="26"/>
  <c r="G120" i="26"/>
  <c r="E60" i="26"/>
  <c r="V26" i="26" s="1"/>
  <c r="V34" i="26" s="1"/>
  <c r="V232" i="26" s="1"/>
  <c r="H56" i="26"/>
  <c r="I56" i="26" s="1"/>
  <c r="D352" i="26"/>
  <c r="I346" i="26"/>
  <c r="E408" i="26"/>
  <c r="V146" i="26" s="1"/>
  <c r="V154" i="26" s="1"/>
  <c r="V244" i="26" s="1"/>
  <c r="E409" i="26"/>
  <c r="V147" i="26" s="1"/>
  <c r="V155" i="26" s="1"/>
  <c r="C147" i="26"/>
  <c r="T56" i="26" s="1"/>
  <c r="T64" i="26" s="1"/>
  <c r="H142" i="26"/>
  <c r="C148" i="26"/>
  <c r="T57" i="26" s="1"/>
  <c r="T65" i="26" s="1"/>
  <c r="F61" i="26"/>
  <c r="W27" i="26" s="1"/>
  <c r="W35" i="26" s="1"/>
  <c r="C263" i="26"/>
  <c r="H436" i="26"/>
  <c r="I436" i="26" s="1"/>
  <c r="F583" i="26"/>
  <c r="W207" i="26" s="1"/>
  <c r="W215" i="26" s="1"/>
  <c r="I261" i="26"/>
  <c r="H319" i="26"/>
  <c r="H321" i="26" s="1"/>
  <c r="I322" i="26" s="1"/>
  <c r="AE26" i="26" s="1"/>
  <c r="E524" i="26"/>
  <c r="V186" i="26" s="1"/>
  <c r="V194" i="26" s="1"/>
  <c r="V248" i="26" s="1"/>
  <c r="E525" i="26"/>
  <c r="V187" i="26" s="1"/>
  <c r="V195" i="26" s="1"/>
  <c r="I521" i="26"/>
  <c r="T24" i="26"/>
  <c r="T234" i="26"/>
  <c r="E263" i="26"/>
  <c r="V96" i="26" s="1"/>
  <c r="V104" i="26" s="1"/>
  <c r="V239" i="26" s="1"/>
  <c r="C176" i="26"/>
  <c r="AQ95" i="26"/>
  <c r="AR95" i="26" s="1"/>
  <c r="K548" i="26"/>
  <c r="P548" i="26" s="1"/>
  <c r="J548" i="26"/>
  <c r="T201" i="26" s="1"/>
  <c r="T200" i="26"/>
  <c r="AQ96" i="26"/>
  <c r="AR96" i="26" s="1"/>
  <c r="E553" i="26"/>
  <c r="D147" i="26"/>
  <c r="D148" i="26"/>
  <c r="U57" i="26" s="1"/>
  <c r="U65" i="26" s="1"/>
  <c r="G206" i="26"/>
  <c r="X77" i="26" s="1"/>
  <c r="X85" i="26" s="1"/>
  <c r="E118" i="26"/>
  <c r="V46" i="26" s="1"/>
  <c r="V54" i="26" s="1"/>
  <c r="V234" i="26" s="1"/>
  <c r="E119" i="26"/>
  <c r="V47" i="26" s="1"/>
  <c r="V55" i="26" s="1"/>
  <c r="E234" i="26"/>
  <c r="G524" i="26"/>
  <c r="G525" i="26"/>
  <c r="X187" i="26" s="1"/>
  <c r="X195" i="26" s="1"/>
  <c r="C554" i="26"/>
  <c r="T197" i="26" s="1"/>
  <c r="T205" i="26" s="1"/>
  <c r="H144" i="26"/>
  <c r="I144" i="26" s="1"/>
  <c r="G439" i="26"/>
  <c r="C91" i="26"/>
  <c r="C582" i="26"/>
  <c r="T206" i="26" s="1"/>
  <c r="T214" i="26" s="1"/>
  <c r="H577" i="26"/>
  <c r="K28" i="26"/>
  <c r="P28" i="26" s="1"/>
  <c r="J28" i="26"/>
  <c r="V21" i="26" s="1"/>
  <c r="V20" i="26"/>
  <c r="G466" i="26"/>
  <c r="G467" i="26"/>
  <c r="X167" i="26" s="1"/>
  <c r="X175" i="26" s="1"/>
  <c r="C120" i="26"/>
  <c r="G351" i="26"/>
  <c r="X127" i="26" s="1"/>
  <c r="X135" i="26" s="1"/>
  <c r="D264" i="26"/>
  <c r="U97" i="26" s="1"/>
  <c r="U105" i="26" s="1"/>
  <c r="C497" i="26"/>
  <c r="I175" i="26"/>
  <c r="G178" i="26"/>
  <c r="G147" i="26"/>
  <c r="G148" i="26"/>
  <c r="X57" i="26" s="1"/>
  <c r="X65" i="26" s="1"/>
  <c r="H581" i="26"/>
  <c r="I581" i="26" s="1"/>
  <c r="C322" i="26"/>
  <c r="T117" i="26" s="1"/>
  <c r="T125" i="26" s="1"/>
  <c r="T233" i="26"/>
  <c r="G582" i="26"/>
  <c r="X206" i="26" s="1"/>
  <c r="X214" i="26" s="1"/>
  <c r="X250" i="26" s="1"/>
  <c r="H88" i="26"/>
  <c r="I88" i="26" s="1"/>
  <c r="U24" i="26"/>
  <c r="J232" i="26"/>
  <c r="W91" i="26" s="1"/>
  <c r="K232" i="26"/>
  <c r="P232" i="26" s="1"/>
  <c r="W90" i="26"/>
  <c r="H461" i="26"/>
  <c r="C466" i="26"/>
  <c r="T166" i="26" s="1"/>
  <c r="T174" i="26" s="1"/>
  <c r="C467" i="26"/>
  <c r="T167" i="26" s="1"/>
  <c r="T175" i="26" s="1"/>
  <c r="J30" i="26"/>
  <c r="X21" i="26" s="1"/>
  <c r="K30" i="26"/>
  <c r="P30" i="26" s="1"/>
  <c r="X20" i="26"/>
  <c r="K490" i="26"/>
  <c r="P490" i="26" s="1"/>
  <c r="J490" i="26"/>
  <c r="T181" i="26" s="1"/>
  <c r="T180" i="26"/>
  <c r="K465" i="26"/>
  <c r="P465" i="26" s="1"/>
  <c r="J465" i="26"/>
  <c r="X171" i="26" s="1"/>
  <c r="X170" i="26"/>
  <c r="H55" i="26"/>
  <c r="F321" i="26"/>
  <c r="W116" i="26" s="1"/>
  <c r="W124" i="26" s="1"/>
  <c r="W241" i="26" s="1"/>
  <c r="E147" i="26"/>
  <c r="V56" i="26" s="1"/>
  <c r="V64" i="26" s="1"/>
  <c r="V235" i="26" s="1"/>
  <c r="E148" i="26"/>
  <c r="V57" i="26" s="1"/>
  <c r="V65" i="26" s="1"/>
  <c r="E496" i="26"/>
  <c r="V177" i="26" s="1"/>
  <c r="V185" i="26" s="1"/>
  <c r="K550" i="26"/>
  <c r="P550" i="26" s="1"/>
  <c r="J550" i="26"/>
  <c r="V201" i="26" s="1"/>
  <c r="V200" i="26"/>
  <c r="E583" i="26"/>
  <c r="V207" i="26" s="1"/>
  <c r="V215" i="26" s="1"/>
  <c r="T232" i="26"/>
  <c r="C90" i="26"/>
  <c r="T37" i="26" s="1"/>
  <c r="T45" i="26" s="1"/>
  <c r="K320" i="26"/>
  <c r="P320" i="26" s="1"/>
  <c r="J320" i="26"/>
  <c r="X121" i="26" s="1"/>
  <c r="X120" i="26"/>
  <c r="K287" i="26"/>
  <c r="P287" i="26" s="1"/>
  <c r="J287" i="26"/>
  <c r="T111" i="26" s="1"/>
  <c r="T110" i="26"/>
  <c r="D466" i="26"/>
  <c r="U166" i="26" s="1"/>
  <c r="U174" i="26" s="1"/>
  <c r="U246" i="26" s="1"/>
  <c r="D467" i="26"/>
  <c r="U167" i="26" s="1"/>
  <c r="U175" i="26" s="1"/>
  <c r="E90" i="26"/>
  <c r="V37" i="26" s="1"/>
  <c r="V45" i="26" s="1"/>
  <c r="G263" i="26"/>
  <c r="X96" i="26" s="1"/>
  <c r="X104" i="26" s="1"/>
  <c r="X239" i="26" s="1"/>
  <c r="T247" i="26"/>
  <c r="D438" i="26"/>
  <c r="U157" i="26" s="1"/>
  <c r="U165" i="26" s="1"/>
  <c r="H435" i="26"/>
  <c r="I435" i="26" s="1"/>
  <c r="H117" i="26"/>
  <c r="H118" i="26" s="1"/>
  <c r="I119" i="26" s="1"/>
  <c r="AE19" i="26" s="1"/>
  <c r="H57" i="26"/>
  <c r="I57" i="26" s="1"/>
  <c r="F147" i="26"/>
  <c r="W56" i="26" s="1"/>
  <c r="W64" i="26" s="1"/>
  <c r="W235" i="26" s="1"/>
  <c r="F148" i="26"/>
  <c r="W57" i="26" s="1"/>
  <c r="W65" i="26" s="1"/>
  <c r="G495" i="26"/>
  <c r="X176" i="26" s="1"/>
  <c r="X184" i="26" s="1"/>
  <c r="X247" i="26" s="1"/>
  <c r="G496" i="26"/>
  <c r="X177" i="26" s="1"/>
  <c r="X185" i="26" s="1"/>
  <c r="C235" i="26"/>
  <c r="T87" i="26" s="1"/>
  <c r="T95" i="26" s="1"/>
  <c r="H288" i="26"/>
  <c r="H376" i="26"/>
  <c r="I376" i="26" s="1"/>
  <c r="J432" i="26"/>
  <c r="T161" i="26" s="1"/>
  <c r="K432" i="26"/>
  <c r="P432" i="26" s="1"/>
  <c r="T160" i="26"/>
  <c r="C292" i="26"/>
  <c r="E466" i="26"/>
  <c r="E467" i="26"/>
  <c r="V167" i="26" s="1"/>
  <c r="V175" i="26" s="1"/>
  <c r="AT98" i="26"/>
  <c r="AY98" i="26" s="1"/>
  <c r="AS98" i="26"/>
  <c r="AP114" i="26" s="1"/>
  <c r="AP113" i="26"/>
  <c r="G265" i="26"/>
  <c r="F379" i="26"/>
  <c r="F380" i="26"/>
  <c r="W137" i="26" s="1"/>
  <c r="W145" i="26" s="1"/>
  <c r="X225" i="26"/>
  <c r="D497" i="26"/>
  <c r="U176" i="26"/>
  <c r="U184" i="26" s="1"/>
  <c r="U247" i="26" s="1"/>
  <c r="C205" i="26"/>
  <c r="T76" i="26" s="1"/>
  <c r="T84" i="26" s="1"/>
  <c r="H200" i="26"/>
  <c r="I200" i="26" s="1"/>
  <c r="H492" i="26"/>
  <c r="D60" i="26"/>
  <c r="U26" i="26" s="1"/>
  <c r="U34" i="26" s="1"/>
  <c r="U232" i="26" s="1"/>
  <c r="K549" i="26"/>
  <c r="P549" i="26" s="1"/>
  <c r="J549" i="26"/>
  <c r="U201" i="26" s="1"/>
  <c r="U200" i="26"/>
  <c r="J114" i="26"/>
  <c r="U51" i="26" s="1"/>
  <c r="U50" i="26"/>
  <c r="K114" i="26"/>
  <c r="P114" i="26" s="1"/>
  <c r="W25" i="26"/>
  <c r="G583" i="26"/>
  <c r="X207" i="26" s="1"/>
  <c r="X215" i="26" s="1"/>
  <c r="T40" i="26"/>
  <c r="J84" i="26"/>
  <c r="T41" i="26" s="1"/>
  <c r="K84" i="26"/>
  <c r="P84" i="26" s="1"/>
  <c r="D294" i="26"/>
  <c r="H201" i="26"/>
  <c r="I201" i="26" s="1"/>
  <c r="J230" i="26"/>
  <c r="U91" i="26" s="1"/>
  <c r="K230" i="26"/>
  <c r="P230" i="26" s="1"/>
  <c r="I171" i="26"/>
  <c r="F466" i="26"/>
  <c r="F467" i="26"/>
  <c r="W167" i="26" s="1"/>
  <c r="W175" i="26" s="1"/>
  <c r="H262" i="26"/>
  <c r="I262" i="26" s="1"/>
  <c r="C264" i="26"/>
  <c r="T97" i="26" s="1"/>
  <c r="T105" i="26" s="1"/>
  <c r="K172" i="26"/>
  <c r="P172" i="26" s="1"/>
  <c r="J172" i="26"/>
  <c r="U71" i="26" s="1"/>
  <c r="U70" i="26"/>
  <c r="H348" i="26"/>
  <c r="H350" i="26" s="1"/>
  <c r="I351" i="26" s="1"/>
  <c r="AE27" i="26" s="1"/>
  <c r="G379" i="26"/>
  <c r="G380" i="26"/>
  <c r="X137" i="26" s="1"/>
  <c r="X145" i="26" s="1"/>
  <c r="K464" i="26"/>
  <c r="P464" i="26" s="1"/>
  <c r="J464" i="26"/>
  <c r="W171" i="26" s="1"/>
  <c r="W170" i="26"/>
  <c r="X284" i="26"/>
  <c r="F205" i="26"/>
  <c r="W76" i="26" s="1"/>
  <c r="W84" i="26" s="1"/>
  <c r="W237" i="26" s="1"/>
  <c r="H260" i="26"/>
  <c r="H494" i="26"/>
  <c r="I494" i="26" s="1"/>
  <c r="C61" i="26"/>
  <c r="T27" i="26" s="1"/>
  <c r="T35" i="26" s="1"/>
  <c r="H520" i="26"/>
  <c r="I520" i="26" s="1"/>
  <c r="G119" i="26"/>
  <c r="X47" i="26" s="1"/>
  <c r="X55" i="26" s="1"/>
  <c r="AM110" i="26"/>
  <c r="AM99" i="26"/>
  <c r="I85" i="26"/>
  <c r="W24" i="26"/>
  <c r="H462" i="26"/>
  <c r="I462" i="26" s="1"/>
  <c r="U225" i="26"/>
  <c r="U285" i="26"/>
  <c r="U286" i="26" s="1"/>
  <c r="U284" i="26"/>
  <c r="H145" i="26"/>
  <c r="I145" i="26" s="1"/>
  <c r="G322" i="26"/>
  <c r="X117" i="26" s="1"/>
  <c r="X125" i="26" s="1"/>
  <c r="H552" i="26"/>
  <c r="H553" i="26" s="1"/>
  <c r="I554" i="26" s="1"/>
  <c r="AE34" i="26" s="1"/>
  <c r="H374" i="26"/>
  <c r="H379" i="26" s="1"/>
  <c r="I380" i="26" s="1"/>
  <c r="AE28" i="26" s="1"/>
  <c r="C379" i="26"/>
  <c r="T136" i="26" s="1"/>
  <c r="T144" i="26" s="1"/>
  <c r="C380" i="26"/>
  <c r="T137" i="26" s="1"/>
  <c r="T145" i="26" s="1"/>
  <c r="D205" i="26"/>
  <c r="K375" i="26"/>
  <c r="P375" i="26" s="1"/>
  <c r="J375" i="26"/>
  <c r="U141" i="26" s="1"/>
  <c r="U140" i="26"/>
  <c r="C177" i="26"/>
  <c r="T67" i="26" s="1"/>
  <c r="T75" i="26" s="1"/>
  <c r="F33" i="26"/>
  <c r="G61" i="26"/>
  <c r="X27" i="26" s="1"/>
  <c r="X35" i="26" s="1"/>
  <c r="J229" i="26"/>
  <c r="T91" i="26" s="1"/>
  <c r="K229" i="26"/>
  <c r="P229" i="26" s="1"/>
  <c r="T90" i="26"/>
  <c r="J59" i="26"/>
  <c r="X31" i="26" s="1"/>
  <c r="X30" i="26"/>
  <c r="K59" i="26"/>
  <c r="P59" i="26" s="1"/>
  <c r="K347" i="26"/>
  <c r="J347" i="26"/>
  <c r="V131" i="26" s="1"/>
  <c r="V130" i="26"/>
  <c r="P347" i="26"/>
  <c r="X25" i="26"/>
  <c r="E292" i="26"/>
  <c r="F322" i="26"/>
  <c r="W117" i="26" s="1"/>
  <c r="W125" i="26" s="1"/>
  <c r="K433" i="26"/>
  <c r="P433" i="26" s="1"/>
  <c r="J433" i="26"/>
  <c r="U161" i="26" s="1"/>
  <c r="U160" i="26"/>
  <c r="J116" i="26"/>
  <c r="W51" i="26" s="1"/>
  <c r="K116" i="26"/>
  <c r="P116" i="26" s="1"/>
  <c r="W50" i="26"/>
  <c r="D89" i="26"/>
  <c r="U36" i="26" s="1"/>
  <c r="U44" i="26" s="1"/>
  <c r="U233" i="26" s="1"/>
  <c r="F437" i="26"/>
  <c r="W156" i="26" s="1"/>
  <c r="W164" i="26" s="1"/>
  <c r="W245" i="26" s="1"/>
  <c r="K318" i="26"/>
  <c r="P318" i="26" s="1"/>
  <c r="J318" i="26"/>
  <c r="V121" i="26" s="1"/>
  <c r="V120" i="26"/>
  <c r="AL99" i="26"/>
  <c r="AL109" i="26" s="1"/>
  <c r="AL117" i="26" s="1"/>
  <c r="AQ94" i="26"/>
  <c r="AL110" i="26"/>
  <c r="F118" i="26"/>
  <c r="H203" i="26"/>
  <c r="I203" i="26" s="1"/>
  <c r="G555" i="26"/>
  <c r="K204" i="26"/>
  <c r="P204" i="26" s="1"/>
  <c r="J204" i="26"/>
  <c r="X81" i="26" s="1"/>
  <c r="X80" i="26"/>
  <c r="H233" i="26"/>
  <c r="D379" i="26"/>
  <c r="D380" i="26"/>
  <c r="U137" i="26" s="1"/>
  <c r="U145" i="26" s="1"/>
  <c r="D408" i="26"/>
  <c r="U146" i="26" s="1"/>
  <c r="U154" i="26" s="1"/>
  <c r="U244" i="26" s="1"/>
  <c r="D409" i="26"/>
  <c r="U147" i="26" s="1"/>
  <c r="U155" i="26" s="1"/>
  <c r="V225" i="26"/>
  <c r="C206" i="26"/>
  <c r="T77" i="26" s="1"/>
  <c r="T85" i="26" s="1"/>
  <c r="G292" i="26"/>
  <c r="X106" i="26" s="1"/>
  <c r="X114" i="26" s="1"/>
  <c r="X240" i="26" s="1"/>
  <c r="F234" i="26"/>
  <c r="D293" i="26"/>
  <c r="U107" i="26" s="1"/>
  <c r="U115" i="26" s="1"/>
  <c r="C293" i="26"/>
  <c r="T107" i="26" s="1"/>
  <c r="T115" i="26" s="1"/>
  <c r="AP110" i="25"/>
  <c r="AL110" i="25"/>
  <c r="AM110" i="25"/>
  <c r="G582" i="25"/>
  <c r="G584" i="25" s="1"/>
  <c r="K548" i="25"/>
  <c r="P548" i="25" s="1"/>
  <c r="F554" i="25"/>
  <c r="W197" i="25" s="1"/>
  <c r="W205" i="25" s="1"/>
  <c r="G524" i="25"/>
  <c r="X186" i="25" s="1"/>
  <c r="X194" i="25" s="1"/>
  <c r="X248" i="25" s="1"/>
  <c r="G468" i="25"/>
  <c r="G470" i="25" s="1"/>
  <c r="D438" i="25"/>
  <c r="U157" i="25" s="1"/>
  <c r="U165" i="25" s="1"/>
  <c r="G408" i="25"/>
  <c r="X146" i="25" s="1"/>
  <c r="X154" i="25" s="1"/>
  <c r="X244" i="25" s="1"/>
  <c r="C409" i="25"/>
  <c r="T147" i="25" s="1"/>
  <c r="T155" i="25" s="1"/>
  <c r="C351" i="25"/>
  <c r="T127" i="25" s="1"/>
  <c r="T135" i="25" s="1"/>
  <c r="G351" i="25"/>
  <c r="X127" i="25" s="1"/>
  <c r="X135" i="25" s="1"/>
  <c r="C322" i="25"/>
  <c r="T117" i="25" s="1"/>
  <c r="T125" i="25" s="1"/>
  <c r="E321" i="25"/>
  <c r="V116" i="25" s="1"/>
  <c r="V124" i="25" s="1"/>
  <c r="V241" i="25" s="1"/>
  <c r="H258" i="25"/>
  <c r="I258" i="25" s="1"/>
  <c r="H259" i="25"/>
  <c r="I259" i="25" s="1"/>
  <c r="U100" i="25" s="1"/>
  <c r="H231" i="25"/>
  <c r="I231" i="25" s="1"/>
  <c r="E234" i="25"/>
  <c r="V86" i="25" s="1"/>
  <c r="V94" i="25" s="1"/>
  <c r="V238" i="25" s="1"/>
  <c r="H172" i="25"/>
  <c r="I172" i="25" s="1"/>
  <c r="F119" i="25"/>
  <c r="W47" i="25" s="1"/>
  <c r="W55" i="25" s="1"/>
  <c r="G60" i="25"/>
  <c r="X26" i="25" s="1"/>
  <c r="X34" i="25" s="1"/>
  <c r="X232" i="25" s="1"/>
  <c r="G31" i="25"/>
  <c r="X16" i="25" s="1"/>
  <c r="X24" i="25" s="1"/>
  <c r="E31" i="25"/>
  <c r="V16" i="25" s="1"/>
  <c r="V24" i="25" s="1"/>
  <c r="V231" i="25" s="1"/>
  <c r="F31" i="25"/>
  <c r="W16" i="25" s="1"/>
  <c r="W24" i="25" s="1"/>
  <c r="F553" i="25"/>
  <c r="W196" i="25" s="1"/>
  <c r="W204" i="25" s="1"/>
  <c r="W249" i="25" s="1"/>
  <c r="C525" i="25"/>
  <c r="T187" i="25" s="1"/>
  <c r="T195" i="25" s="1"/>
  <c r="H523" i="25"/>
  <c r="I523" i="25" s="1"/>
  <c r="K523" i="25" s="1"/>
  <c r="P523" i="25" s="1"/>
  <c r="H521" i="25"/>
  <c r="I521" i="25" s="1"/>
  <c r="G496" i="25"/>
  <c r="X177" i="25" s="1"/>
  <c r="X185" i="25" s="1"/>
  <c r="D495" i="25"/>
  <c r="U176" i="25" s="1"/>
  <c r="U184" i="25" s="1"/>
  <c r="U247" i="25" s="1"/>
  <c r="E495" i="25"/>
  <c r="V176" i="25" s="1"/>
  <c r="V184" i="25" s="1"/>
  <c r="V247" i="25" s="1"/>
  <c r="F495" i="25"/>
  <c r="W176" i="25" s="1"/>
  <c r="W184" i="25" s="1"/>
  <c r="W247" i="25" s="1"/>
  <c r="F439" i="25"/>
  <c r="W158" i="25" s="1"/>
  <c r="D437" i="25"/>
  <c r="U156" i="25" s="1"/>
  <c r="U164" i="25" s="1"/>
  <c r="U245" i="25" s="1"/>
  <c r="H436" i="25"/>
  <c r="I436" i="25" s="1"/>
  <c r="D408" i="25"/>
  <c r="U146" i="25" s="1"/>
  <c r="U154" i="25" s="1"/>
  <c r="U244" i="25" s="1"/>
  <c r="F408" i="25"/>
  <c r="W146" i="25" s="1"/>
  <c r="W154" i="25" s="1"/>
  <c r="W244" i="25" s="1"/>
  <c r="E409" i="25"/>
  <c r="V147" i="25" s="1"/>
  <c r="V155" i="25" s="1"/>
  <c r="H407" i="25"/>
  <c r="I407" i="25" s="1"/>
  <c r="J407" i="25" s="1"/>
  <c r="X151" i="25" s="1"/>
  <c r="G380" i="25"/>
  <c r="X137" i="25" s="1"/>
  <c r="X145" i="25" s="1"/>
  <c r="F379" i="25"/>
  <c r="W136" i="25" s="1"/>
  <c r="W144" i="25" s="1"/>
  <c r="W243" i="25" s="1"/>
  <c r="F351" i="25"/>
  <c r="W127" i="25" s="1"/>
  <c r="W135" i="25" s="1"/>
  <c r="D351" i="25"/>
  <c r="U127" i="25" s="1"/>
  <c r="U135" i="25" s="1"/>
  <c r="E351" i="25"/>
  <c r="V127" i="25" s="1"/>
  <c r="V135" i="25" s="1"/>
  <c r="E322" i="25"/>
  <c r="V117" i="25" s="1"/>
  <c r="V125" i="25" s="1"/>
  <c r="F321" i="25"/>
  <c r="W116" i="25" s="1"/>
  <c r="W124" i="25" s="1"/>
  <c r="W241" i="25" s="1"/>
  <c r="G322" i="25"/>
  <c r="X117" i="25" s="1"/>
  <c r="X125" i="25" s="1"/>
  <c r="H320" i="25"/>
  <c r="I320" i="25" s="1"/>
  <c r="F294" i="25"/>
  <c r="F296" i="25" s="1"/>
  <c r="E294" i="25"/>
  <c r="V108" i="25" s="1"/>
  <c r="G294" i="25"/>
  <c r="G299" i="25" s="1"/>
  <c r="C265" i="25"/>
  <c r="C270" i="25" s="1"/>
  <c r="E265" i="25"/>
  <c r="E267" i="25" s="1"/>
  <c r="F235" i="25"/>
  <c r="W87" i="25" s="1"/>
  <c r="W95" i="25" s="1"/>
  <c r="F206" i="25"/>
  <c r="W77" i="25" s="1"/>
  <c r="W85" i="25" s="1"/>
  <c r="G205" i="25"/>
  <c r="X76" i="25" s="1"/>
  <c r="X84" i="25" s="1"/>
  <c r="X237" i="25" s="1"/>
  <c r="E119" i="25"/>
  <c r="V47" i="25" s="1"/>
  <c r="V55" i="25" s="1"/>
  <c r="D119" i="25"/>
  <c r="U47" i="25" s="1"/>
  <c r="U55" i="25" s="1"/>
  <c r="H86" i="25"/>
  <c r="I86" i="25" s="1"/>
  <c r="J58" i="25"/>
  <c r="W31" i="25" s="1"/>
  <c r="K58" i="25"/>
  <c r="P58" i="25" s="1"/>
  <c r="D32" i="25"/>
  <c r="U17" i="25" s="1"/>
  <c r="U25" i="25" s="1"/>
  <c r="G32" i="25"/>
  <c r="X17" i="25" s="1"/>
  <c r="X25" i="25" s="1"/>
  <c r="F32" i="25"/>
  <c r="W17" i="25" s="1"/>
  <c r="W25" i="25" s="1"/>
  <c r="D31" i="25"/>
  <c r="U16" i="25" s="1"/>
  <c r="U24" i="25" s="1"/>
  <c r="K522" i="25"/>
  <c r="P522" i="25" s="1"/>
  <c r="J522" i="25"/>
  <c r="W191" i="25" s="1"/>
  <c r="W190" i="25"/>
  <c r="X136" i="25"/>
  <c r="X144" i="25" s="1"/>
  <c r="X243" i="25" s="1"/>
  <c r="G381" i="25"/>
  <c r="J291" i="25"/>
  <c r="X111" i="25" s="1"/>
  <c r="X110" i="25"/>
  <c r="K291" i="25"/>
  <c r="P291" i="25" s="1"/>
  <c r="K232" i="25"/>
  <c r="P232" i="25" s="1"/>
  <c r="J232" i="25"/>
  <c r="W91" i="25" s="1"/>
  <c r="W90" i="25"/>
  <c r="K465" i="25"/>
  <c r="P465" i="25" s="1"/>
  <c r="J465" i="25"/>
  <c r="X171" i="25" s="1"/>
  <c r="X170" i="25"/>
  <c r="J404" i="25"/>
  <c r="U151" i="25" s="1"/>
  <c r="K579" i="25"/>
  <c r="P579" i="25" s="1"/>
  <c r="J579" i="25"/>
  <c r="V211" i="25" s="1"/>
  <c r="V210" i="25"/>
  <c r="W231" i="25"/>
  <c r="K405" i="25"/>
  <c r="P405" i="25" s="1"/>
  <c r="J405" i="25"/>
  <c r="V151" i="25" s="1"/>
  <c r="V150" i="25"/>
  <c r="J433" i="25"/>
  <c r="U161" i="25" s="1"/>
  <c r="K433" i="25"/>
  <c r="P433" i="25" s="1"/>
  <c r="U160" i="25"/>
  <c r="K203" i="25"/>
  <c r="P203" i="25" s="1"/>
  <c r="J203" i="25"/>
  <c r="W81" i="25" s="1"/>
  <c r="W80" i="25"/>
  <c r="J233" i="25"/>
  <c r="X91" i="25" s="1"/>
  <c r="X90" i="25"/>
  <c r="J523" i="25"/>
  <c r="X191" i="25" s="1"/>
  <c r="K144" i="25"/>
  <c r="P144" i="25" s="1"/>
  <c r="J144" i="25"/>
  <c r="V61" i="25" s="1"/>
  <c r="V60" i="25"/>
  <c r="K262" i="25"/>
  <c r="P262" i="25" s="1"/>
  <c r="J262" i="25"/>
  <c r="X101" i="25" s="1"/>
  <c r="X100" i="25"/>
  <c r="K520" i="25"/>
  <c r="P520" i="25" s="1"/>
  <c r="J520" i="25"/>
  <c r="U191" i="25" s="1"/>
  <c r="U190" i="25"/>
  <c r="K200" i="25"/>
  <c r="P200" i="25" s="1"/>
  <c r="J200" i="25"/>
  <c r="T81" i="25" s="1"/>
  <c r="T80" i="25"/>
  <c r="K551" i="25"/>
  <c r="P551" i="25" s="1"/>
  <c r="J551" i="25"/>
  <c r="W201" i="25" s="1"/>
  <c r="W200" i="25"/>
  <c r="K290" i="25"/>
  <c r="P290" i="25" s="1"/>
  <c r="J290" i="25"/>
  <c r="W111" i="25" s="1"/>
  <c r="W110" i="25"/>
  <c r="E32" i="25"/>
  <c r="V17" i="25" s="1"/>
  <c r="T166" i="25"/>
  <c r="T174" i="25" s="1"/>
  <c r="C468" i="25"/>
  <c r="K201" i="25"/>
  <c r="P201" i="25" s="1"/>
  <c r="J201" i="25"/>
  <c r="U81" i="25" s="1"/>
  <c r="U80" i="25"/>
  <c r="H57" i="25"/>
  <c r="K143" i="25"/>
  <c r="P143" i="25" s="1"/>
  <c r="J143" i="25"/>
  <c r="U61" i="25" s="1"/>
  <c r="U60" i="25"/>
  <c r="K26" i="25"/>
  <c r="P26" i="25" s="1"/>
  <c r="J26" i="25"/>
  <c r="T21" i="25" s="1"/>
  <c r="T20" i="25"/>
  <c r="H202" i="25"/>
  <c r="I202" i="25" s="1"/>
  <c r="C206" i="25"/>
  <c r="T77" i="25" s="1"/>
  <c r="T85" i="25" s="1"/>
  <c r="W284" i="25"/>
  <c r="W225" i="25"/>
  <c r="W285" i="25"/>
  <c r="W286" i="25" s="1"/>
  <c r="K88" i="25"/>
  <c r="P88" i="25" s="1"/>
  <c r="X40" i="25"/>
  <c r="J88" i="25"/>
  <c r="X41" i="25" s="1"/>
  <c r="H346" i="25"/>
  <c r="I346" i="25" s="1"/>
  <c r="C90" i="25"/>
  <c r="T37" i="25" s="1"/>
  <c r="T45" i="25" s="1"/>
  <c r="H84" i="25"/>
  <c r="C89" i="25"/>
  <c r="T36" i="25" s="1"/>
  <c r="T44" i="25" s="1"/>
  <c r="E148" i="25"/>
  <c r="V57" i="25" s="1"/>
  <c r="V65" i="25" s="1"/>
  <c r="E147" i="25"/>
  <c r="F496" i="25"/>
  <c r="W177" i="25" s="1"/>
  <c r="W185" i="25" s="1"/>
  <c r="H230" i="25"/>
  <c r="I230" i="25" s="1"/>
  <c r="C235" i="25"/>
  <c r="T87" i="25" s="1"/>
  <c r="T95" i="25" s="1"/>
  <c r="I494" i="25"/>
  <c r="F524" i="25"/>
  <c r="U285" i="25"/>
  <c r="U286" i="25" s="1"/>
  <c r="U284" i="25"/>
  <c r="U225" i="25"/>
  <c r="H115" i="25"/>
  <c r="I115" i="25" s="1"/>
  <c r="I114" i="25"/>
  <c r="D468" i="25"/>
  <c r="AN99" i="25"/>
  <c r="AN109" i="25" s="1"/>
  <c r="AN117" i="25" s="1"/>
  <c r="C294" i="25"/>
  <c r="C408" i="25"/>
  <c r="T146" i="25" s="1"/>
  <c r="T154" i="25" s="1"/>
  <c r="H403" i="25"/>
  <c r="D439" i="25"/>
  <c r="H493" i="25"/>
  <c r="I493" i="25" s="1"/>
  <c r="I347" i="25"/>
  <c r="C176" i="25"/>
  <c r="T66" i="25" s="1"/>
  <c r="T74" i="25" s="1"/>
  <c r="C177" i="25"/>
  <c r="T67" i="25" s="1"/>
  <c r="T75" i="25" s="1"/>
  <c r="H171" i="25"/>
  <c r="K261" i="25"/>
  <c r="P261" i="25" s="1"/>
  <c r="J261" i="25"/>
  <c r="W101" i="25" s="1"/>
  <c r="W100" i="25"/>
  <c r="I492" i="25"/>
  <c r="D89" i="25"/>
  <c r="D90" i="25"/>
  <c r="U37" i="25" s="1"/>
  <c r="U45" i="25" s="1"/>
  <c r="D321" i="25"/>
  <c r="U116" i="25" s="1"/>
  <c r="U124" i="25" s="1"/>
  <c r="U241" i="25" s="1"/>
  <c r="F234" i="25"/>
  <c r="K174" i="25"/>
  <c r="P174" i="25" s="1"/>
  <c r="J174" i="25"/>
  <c r="W71" i="25" s="1"/>
  <c r="W70" i="25"/>
  <c r="K435" i="25"/>
  <c r="P435" i="25" s="1"/>
  <c r="J435" i="25"/>
  <c r="W161" i="25" s="1"/>
  <c r="W160" i="25"/>
  <c r="D553" i="25"/>
  <c r="D554" i="25"/>
  <c r="U197" i="25" s="1"/>
  <c r="U205" i="25" s="1"/>
  <c r="J56" i="25"/>
  <c r="U31" i="25" s="1"/>
  <c r="K56" i="25"/>
  <c r="P56" i="25" s="1"/>
  <c r="U30" i="25"/>
  <c r="D524" i="25"/>
  <c r="I57" i="25"/>
  <c r="G206" i="25"/>
  <c r="X77" i="25" s="1"/>
  <c r="X85" i="25" s="1"/>
  <c r="K464" i="25"/>
  <c r="P464" i="25" s="1"/>
  <c r="J464" i="25"/>
  <c r="W171" i="25" s="1"/>
  <c r="W170" i="25"/>
  <c r="J462" i="25"/>
  <c r="U171" i="25" s="1"/>
  <c r="K462" i="25"/>
  <c r="P462" i="25" s="1"/>
  <c r="U170" i="25"/>
  <c r="V285" i="25"/>
  <c r="V286" i="25" s="1"/>
  <c r="V284" i="25"/>
  <c r="V225" i="25"/>
  <c r="D60" i="25"/>
  <c r="I146" i="25"/>
  <c r="H319" i="25"/>
  <c r="I319" i="25" s="1"/>
  <c r="D176" i="25"/>
  <c r="D177" i="25"/>
  <c r="U67" i="25" s="1"/>
  <c r="U75" i="25" s="1"/>
  <c r="F265" i="25"/>
  <c r="C438" i="25"/>
  <c r="T157" i="25" s="1"/>
  <c r="T165" i="25" s="1"/>
  <c r="E89" i="25"/>
  <c r="E90" i="25"/>
  <c r="V37" i="25" s="1"/>
  <c r="V45" i="25" s="1"/>
  <c r="C321" i="25"/>
  <c r="T116" i="25" s="1"/>
  <c r="T124" i="25" s="1"/>
  <c r="H316" i="25"/>
  <c r="I316" i="25" s="1"/>
  <c r="D380" i="25"/>
  <c r="U137" i="25" s="1"/>
  <c r="U145" i="25" s="1"/>
  <c r="G495" i="25"/>
  <c r="X176" i="25" s="1"/>
  <c r="X184" i="25" s="1"/>
  <c r="X247" i="25" s="1"/>
  <c r="H142" i="25"/>
  <c r="H147" i="25" s="1"/>
  <c r="I148" i="25" s="1"/>
  <c r="AE20" i="25" s="1"/>
  <c r="C147" i="25"/>
  <c r="T56" i="25" s="1"/>
  <c r="T64" i="25" s="1"/>
  <c r="C148" i="25"/>
  <c r="T57" i="25" s="1"/>
  <c r="T65" i="25" s="1"/>
  <c r="C495" i="25"/>
  <c r="T176" i="25" s="1"/>
  <c r="T184" i="25" s="1"/>
  <c r="H490" i="25"/>
  <c r="I490" i="25" s="1"/>
  <c r="H317" i="25"/>
  <c r="I317" i="25" s="1"/>
  <c r="E524" i="25"/>
  <c r="V186" i="25" s="1"/>
  <c r="V194" i="25" s="1"/>
  <c r="V248" i="25" s="1"/>
  <c r="D235" i="25"/>
  <c r="U87" i="25" s="1"/>
  <c r="U95" i="25" s="1"/>
  <c r="F470" i="25"/>
  <c r="F473" i="25"/>
  <c r="F472" i="25"/>
  <c r="G235" i="25"/>
  <c r="X87" i="25" s="1"/>
  <c r="X95" i="25" s="1"/>
  <c r="G234" i="25"/>
  <c r="K378" i="25"/>
  <c r="P378" i="25" s="1"/>
  <c r="J378" i="25"/>
  <c r="X141" i="25" s="1"/>
  <c r="X140" i="25"/>
  <c r="D525" i="25"/>
  <c r="U187" i="25" s="1"/>
  <c r="U195" i="25" s="1"/>
  <c r="AP99" i="25"/>
  <c r="C60" i="25"/>
  <c r="T26" i="25" s="1"/>
  <c r="T34" i="25" s="1"/>
  <c r="H55" i="25"/>
  <c r="H60" i="25" s="1"/>
  <c r="I61" i="25" s="1"/>
  <c r="AE17" i="25" s="1"/>
  <c r="I577" i="25"/>
  <c r="C118" i="25"/>
  <c r="T46" i="25" s="1"/>
  <c r="T54" i="25" s="1"/>
  <c r="H113" i="25"/>
  <c r="H318" i="25"/>
  <c r="I318" i="25" s="1"/>
  <c r="E176" i="25"/>
  <c r="E177" i="25"/>
  <c r="V67" i="25" s="1"/>
  <c r="V75" i="25" s="1"/>
  <c r="AN110" i="25"/>
  <c r="C524" i="25"/>
  <c r="T186" i="25" s="1"/>
  <c r="T194" i="25" s="1"/>
  <c r="H519" i="25"/>
  <c r="H406" i="25"/>
  <c r="I406" i="25" s="1"/>
  <c r="J259" i="25"/>
  <c r="U101" i="25" s="1"/>
  <c r="D322" i="25"/>
  <c r="U117" i="25" s="1"/>
  <c r="U125" i="25" s="1"/>
  <c r="AO99" i="25"/>
  <c r="AO109" i="25" s="1"/>
  <c r="AO117" i="25" s="1"/>
  <c r="D234" i="25"/>
  <c r="U86" i="25" s="1"/>
  <c r="U94" i="25" s="1"/>
  <c r="U238" i="25" s="1"/>
  <c r="E525" i="25"/>
  <c r="V187" i="25" s="1"/>
  <c r="V195" i="25" s="1"/>
  <c r="E60" i="25"/>
  <c r="V26" i="25" s="1"/>
  <c r="V34" i="25" s="1"/>
  <c r="V232" i="25" s="1"/>
  <c r="E206" i="25"/>
  <c r="V77" i="25" s="1"/>
  <c r="V85" i="25" s="1"/>
  <c r="H580" i="25"/>
  <c r="C583" i="25"/>
  <c r="T207" i="25" s="1"/>
  <c r="T215" i="25" s="1"/>
  <c r="D118" i="25"/>
  <c r="U46" i="25" s="1"/>
  <c r="U54" i="25" s="1"/>
  <c r="U234" i="25" s="1"/>
  <c r="F176" i="25"/>
  <c r="F177" i="25"/>
  <c r="W67" i="25" s="1"/>
  <c r="W75" i="25" s="1"/>
  <c r="K581" i="25"/>
  <c r="P581" i="25" s="1"/>
  <c r="J581" i="25"/>
  <c r="X211" i="25" s="1"/>
  <c r="X210" i="25"/>
  <c r="T240" i="25"/>
  <c r="U40" i="25"/>
  <c r="K85" i="25"/>
  <c r="P85" i="25" s="1"/>
  <c r="J85" i="25"/>
  <c r="U41" i="25" s="1"/>
  <c r="AQ94" i="25"/>
  <c r="AL99" i="25"/>
  <c r="AL109" i="25" s="1"/>
  <c r="AL117" i="25" s="1"/>
  <c r="G89" i="25"/>
  <c r="G90" i="25"/>
  <c r="X37" i="25" s="1"/>
  <c r="X45" i="25" s="1"/>
  <c r="E270" i="25"/>
  <c r="K578" i="25"/>
  <c r="P578" i="25" s="1"/>
  <c r="J578" i="25"/>
  <c r="U211" i="25" s="1"/>
  <c r="U210" i="25"/>
  <c r="E379" i="25"/>
  <c r="T24" i="25"/>
  <c r="H117" i="25"/>
  <c r="I117" i="25" s="1"/>
  <c r="K59" i="25"/>
  <c r="P59" i="25" s="1"/>
  <c r="J59" i="25"/>
  <c r="X31" i="25" s="1"/>
  <c r="X30" i="25"/>
  <c r="F60" i="25"/>
  <c r="E205" i="25"/>
  <c r="V76" i="25" s="1"/>
  <c r="V84" i="25" s="1"/>
  <c r="V237" i="25" s="1"/>
  <c r="D582" i="25"/>
  <c r="D583" i="25"/>
  <c r="U207" i="25" s="1"/>
  <c r="U215" i="25" s="1"/>
  <c r="AM99" i="25"/>
  <c r="AM109" i="25" s="1"/>
  <c r="AM117" i="25" s="1"/>
  <c r="G118" i="25"/>
  <c r="X46" i="25" s="1"/>
  <c r="X54" i="25" s="1"/>
  <c r="X234" i="25" s="1"/>
  <c r="D350" i="25"/>
  <c r="U126" i="25" s="1"/>
  <c r="U134" i="25" s="1"/>
  <c r="U242" i="25" s="1"/>
  <c r="AQ97" i="25"/>
  <c r="AR97" i="25" s="1"/>
  <c r="G176" i="25"/>
  <c r="G177" i="25"/>
  <c r="X67" i="25" s="1"/>
  <c r="X75" i="25" s="1"/>
  <c r="K229" i="25"/>
  <c r="P229" i="25" s="1"/>
  <c r="J229" i="25"/>
  <c r="T91" i="25" s="1"/>
  <c r="T90" i="25"/>
  <c r="E584" i="25"/>
  <c r="H348" i="25"/>
  <c r="I348" i="25" s="1"/>
  <c r="AO110" i="25"/>
  <c r="K374" i="25"/>
  <c r="P374" i="25" s="1"/>
  <c r="J374" i="25"/>
  <c r="T141" i="25" s="1"/>
  <c r="T140" i="25"/>
  <c r="K260" i="25"/>
  <c r="J260" i="25"/>
  <c r="V101" i="25" s="1"/>
  <c r="P260" i="25"/>
  <c r="V100" i="25"/>
  <c r="F409" i="25"/>
  <c r="W147" i="25" s="1"/>
  <c r="W155" i="25" s="1"/>
  <c r="H29" i="25"/>
  <c r="I29" i="25" s="1"/>
  <c r="E118" i="25"/>
  <c r="V46" i="25" s="1"/>
  <c r="V54" i="25" s="1"/>
  <c r="V234" i="25" s="1"/>
  <c r="E350" i="25"/>
  <c r="V126" i="25" s="1"/>
  <c r="V134" i="25" s="1"/>
  <c r="V242" i="25" s="1"/>
  <c r="J173" i="25"/>
  <c r="V71" i="25" s="1"/>
  <c r="K173" i="25"/>
  <c r="P173" i="25" s="1"/>
  <c r="V70" i="25"/>
  <c r="H234" i="25"/>
  <c r="I235" i="25" s="1"/>
  <c r="AE23" i="25" s="1"/>
  <c r="K145" i="25"/>
  <c r="P145" i="25" s="1"/>
  <c r="J145" i="25"/>
  <c r="W61" i="25" s="1"/>
  <c r="W60" i="25"/>
  <c r="K377" i="25"/>
  <c r="P377" i="25" s="1"/>
  <c r="J377" i="25"/>
  <c r="W141" i="25" s="1"/>
  <c r="W140" i="25"/>
  <c r="F438" i="25"/>
  <c r="W157" i="25" s="1"/>
  <c r="W165" i="25" s="1"/>
  <c r="F89" i="25"/>
  <c r="F90" i="25"/>
  <c r="W37" i="25" s="1"/>
  <c r="W45" i="25" s="1"/>
  <c r="F443" i="25"/>
  <c r="D148" i="25"/>
  <c r="U57" i="25" s="1"/>
  <c r="U65" i="25" s="1"/>
  <c r="D147" i="25"/>
  <c r="U106" i="25"/>
  <c r="U114" i="25" s="1"/>
  <c r="U240" i="25" s="1"/>
  <c r="D294" i="25"/>
  <c r="T206" i="25"/>
  <c r="T214" i="25" s="1"/>
  <c r="C584" i="25"/>
  <c r="T239" i="25"/>
  <c r="G321" i="25"/>
  <c r="X116" i="25" s="1"/>
  <c r="X124" i="25" s="1"/>
  <c r="X241" i="25" s="1"/>
  <c r="K376" i="25"/>
  <c r="P376" i="25" s="1"/>
  <c r="J376" i="25"/>
  <c r="V141" i="25" s="1"/>
  <c r="V140" i="25"/>
  <c r="G409" i="25"/>
  <c r="X147" i="25" s="1"/>
  <c r="X155" i="25" s="1"/>
  <c r="X284" i="25"/>
  <c r="X225" i="25"/>
  <c r="X285" i="25"/>
  <c r="X286" i="25" s="1"/>
  <c r="F584" i="25"/>
  <c r="F583" i="25"/>
  <c r="W207" i="25" s="1"/>
  <c r="W215" i="25" s="1"/>
  <c r="F118" i="25"/>
  <c r="W46" i="25" s="1"/>
  <c r="W54" i="25" s="1"/>
  <c r="W234" i="25" s="1"/>
  <c r="U20" i="25"/>
  <c r="K27" i="25"/>
  <c r="P27" i="25" s="1"/>
  <c r="J27" i="25"/>
  <c r="U21" i="25" s="1"/>
  <c r="F350" i="25"/>
  <c r="W126" i="25" s="1"/>
  <c r="W134" i="25" s="1"/>
  <c r="W242" i="25" s="1"/>
  <c r="H116" i="25"/>
  <c r="I116" i="25" s="1"/>
  <c r="J87" i="25"/>
  <c r="W41" i="25" s="1"/>
  <c r="W40" i="25"/>
  <c r="K87" i="25"/>
  <c r="P87" i="25" s="1"/>
  <c r="H552" i="25"/>
  <c r="I552" i="25" s="1"/>
  <c r="F207" i="25"/>
  <c r="G265" i="25"/>
  <c r="G438" i="25"/>
  <c r="X157" i="25" s="1"/>
  <c r="X165" i="25" s="1"/>
  <c r="E554" i="25"/>
  <c r="V197" i="25" s="1"/>
  <c r="V205" i="25" s="1"/>
  <c r="E553" i="25"/>
  <c r="V196" i="25" s="1"/>
  <c r="V204" i="25" s="1"/>
  <c r="V249" i="25" s="1"/>
  <c r="E33" i="25"/>
  <c r="D409" i="25"/>
  <c r="U147" i="25" s="1"/>
  <c r="U155" i="25" s="1"/>
  <c r="G298" i="25"/>
  <c r="D379" i="25"/>
  <c r="U136" i="25" s="1"/>
  <c r="U144" i="25" s="1"/>
  <c r="U243" i="25" s="1"/>
  <c r="E61" i="25"/>
  <c r="V27" i="25" s="1"/>
  <c r="V35" i="25" s="1"/>
  <c r="C381" i="25"/>
  <c r="G33" i="25"/>
  <c r="D497" i="25"/>
  <c r="E468" i="25"/>
  <c r="AQ98" i="25"/>
  <c r="AR98" i="25" s="1"/>
  <c r="I287" i="25"/>
  <c r="G525" i="25"/>
  <c r="X187" i="25" s="1"/>
  <c r="X195" i="25" s="1"/>
  <c r="K549" i="25"/>
  <c r="P549" i="25" s="1"/>
  <c r="J549" i="25"/>
  <c r="U201" i="25" s="1"/>
  <c r="U200" i="25"/>
  <c r="G350" i="25"/>
  <c r="X126" i="25" s="1"/>
  <c r="X134" i="25" s="1"/>
  <c r="X242" i="25" s="1"/>
  <c r="AQ96" i="25"/>
  <c r="AR96" i="25" s="1"/>
  <c r="C205" i="25"/>
  <c r="C234" i="25"/>
  <c r="T225" i="25"/>
  <c r="T285" i="25"/>
  <c r="T286" i="25" s="1"/>
  <c r="T284" i="25"/>
  <c r="G147" i="25"/>
  <c r="X56" i="25" s="1"/>
  <c r="X64" i="25" s="1"/>
  <c r="X235" i="25" s="1"/>
  <c r="G148" i="25"/>
  <c r="X57" i="25" s="1"/>
  <c r="X65" i="25" s="1"/>
  <c r="H466" i="25"/>
  <c r="I467" i="25" s="1"/>
  <c r="AE31" i="25" s="1"/>
  <c r="I461" i="25"/>
  <c r="C496" i="25"/>
  <c r="T177" i="25" s="1"/>
  <c r="T185" i="25" s="1"/>
  <c r="H434" i="25"/>
  <c r="H437" i="25" s="1"/>
  <c r="I438" i="25" s="1"/>
  <c r="AE30" i="25" s="1"/>
  <c r="G553" i="25"/>
  <c r="X196" i="25" s="1"/>
  <c r="X204" i="25" s="1"/>
  <c r="X249" i="25" s="1"/>
  <c r="G554" i="25"/>
  <c r="X197" i="25" s="1"/>
  <c r="X205" i="25" s="1"/>
  <c r="G437" i="25"/>
  <c r="X156" i="25" s="1"/>
  <c r="X164" i="25" s="1"/>
  <c r="X245" i="25" s="1"/>
  <c r="T243" i="25"/>
  <c r="C267" i="25"/>
  <c r="H30" i="25"/>
  <c r="H375" i="25"/>
  <c r="I375" i="25" s="1"/>
  <c r="C380" i="25"/>
  <c r="T137" i="25" s="1"/>
  <c r="T145" i="25" s="1"/>
  <c r="K491" i="25"/>
  <c r="J491" i="25"/>
  <c r="U181" i="25" s="1"/>
  <c r="U180" i="25"/>
  <c r="P491" i="25"/>
  <c r="AQ95" i="25"/>
  <c r="AR95" i="25" s="1"/>
  <c r="K463" i="25"/>
  <c r="P463" i="25" s="1"/>
  <c r="J463" i="25"/>
  <c r="V171" i="25" s="1"/>
  <c r="V170" i="25"/>
  <c r="C33" i="25"/>
  <c r="H28" i="25"/>
  <c r="I28" i="25" s="1"/>
  <c r="H204" i="25"/>
  <c r="I204" i="25" s="1"/>
  <c r="E408" i="25"/>
  <c r="F33" i="25"/>
  <c r="H349" i="25"/>
  <c r="I349" i="25" s="1"/>
  <c r="C350" i="25"/>
  <c r="T126" i="25" s="1"/>
  <c r="T134" i="25" s="1"/>
  <c r="H345" i="25"/>
  <c r="C352" i="25"/>
  <c r="F147" i="25"/>
  <c r="F148" i="25"/>
  <c r="W57" i="25" s="1"/>
  <c r="W65" i="25" s="1"/>
  <c r="D496" i="25"/>
  <c r="U177" i="25" s="1"/>
  <c r="U185" i="25" s="1"/>
  <c r="H550" i="25"/>
  <c r="I550" i="25" s="1"/>
  <c r="C553" i="25"/>
  <c r="C554" i="25"/>
  <c r="T197" i="25" s="1"/>
  <c r="T205" i="25" s="1"/>
  <c r="C32" i="25"/>
  <c r="T17" i="25" s="1"/>
  <c r="E438" i="25"/>
  <c r="V157" i="25" s="1"/>
  <c r="V165" i="25" s="1"/>
  <c r="G584" i="24"/>
  <c r="G586" i="24" s="1"/>
  <c r="H548" i="24"/>
  <c r="I548" i="24" s="1"/>
  <c r="E555" i="24"/>
  <c r="C466" i="24"/>
  <c r="T166" i="24" s="1"/>
  <c r="T174" i="24" s="1"/>
  <c r="T246" i="24" s="1"/>
  <c r="E379" i="24"/>
  <c r="V136" i="24" s="1"/>
  <c r="V144" i="24" s="1"/>
  <c r="V243" i="24" s="1"/>
  <c r="D379" i="24"/>
  <c r="U136" i="24" s="1"/>
  <c r="U144" i="24" s="1"/>
  <c r="U243" i="24" s="1"/>
  <c r="C379" i="24"/>
  <c r="T136" i="24" s="1"/>
  <c r="T144" i="24" s="1"/>
  <c r="J349" i="24"/>
  <c r="X131" i="24" s="1"/>
  <c r="C350" i="24"/>
  <c r="T126" i="24" s="1"/>
  <c r="T134" i="24" s="1"/>
  <c r="E350" i="24"/>
  <c r="V126" i="24" s="1"/>
  <c r="V134" i="24" s="1"/>
  <c r="V242" i="24" s="1"/>
  <c r="D322" i="24"/>
  <c r="U117" i="24" s="1"/>
  <c r="U125" i="24" s="1"/>
  <c r="F265" i="24"/>
  <c r="F267" i="24" s="1"/>
  <c r="H203" i="24"/>
  <c r="I203" i="24" s="1"/>
  <c r="J203" i="24" s="1"/>
  <c r="W81" i="24" s="1"/>
  <c r="F206" i="24"/>
  <c r="W77" i="24" s="1"/>
  <c r="W85" i="24" s="1"/>
  <c r="G205" i="24"/>
  <c r="X76" i="24" s="1"/>
  <c r="X84" i="24" s="1"/>
  <c r="X237" i="24" s="1"/>
  <c r="H174" i="24"/>
  <c r="G148" i="24"/>
  <c r="X57" i="24" s="1"/>
  <c r="X65" i="24" s="1"/>
  <c r="H114" i="24"/>
  <c r="I114" i="24" s="1"/>
  <c r="D119" i="24"/>
  <c r="U47" i="24" s="1"/>
  <c r="U55" i="24" s="1"/>
  <c r="G118" i="24"/>
  <c r="X46" i="24" s="1"/>
  <c r="X54" i="24" s="1"/>
  <c r="X234" i="24" s="1"/>
  <c r="G90" i="24"/>
  <c r="X37" i="24" s="1"/>
  <c r="X45" i="24" s="1"/>
  <c r="F90" i="24"/>
  <c r="W37" i="24" s="1"/>
  <c r="W45" i="24" s="1"/>
  <c r="E90" i="24"/>
  <c r="V37" i="24" s="1"/>
  <c r="V45" i="24" s="1"/>
  <c r="E62" i="24"/>
  <c r="E64" i="24" s="1"/>
  <c r="T30" i="24"/>
  <c r="H582" i="24"/>
  <c r="I583" i="24" s="1"/>
  <c r="AE35" i="24" s="1"/>
  <c r="D555" i="24"/>
  <c r="D557" i="24" s="1"/>
  <c r="D524" i="24"/>
  <c r="U186" i="24" s="1"/>
  <c r="U194" i="24" s="1"/>
  <c r="U248" i="24" s="1"/>
  <c r="H521" i="24"/>
  <c r="F495" i="24"/>
  <c r="W176" i="24" s="1"/>
  <c r="W184" i="24" s="1"/>
  <c r="W247" i="24" s="1"/>
  <c r="G495" i="24"/>
  <c r="X176" i="24" s="1"/>
  <c r="X184" i="24" s="1"/>
  <c r="X247" i="24" s="1"/>
  <c r="F379" i="24"/>
  <c r="W136" i="24" s="1"/>
  <c r="W144" i="24" s="1"/>
  <c r="W243" i="24" s="1"/>
  <c r="G322" i="24"/>
  <c r="X117" i="24" s="1"/>
  <c r="X125" i="24" s="1"/>
  <c r="H318" i="24"/>
  <c r="I318" i="24" s="1"/>
  <c r="J318" i="24" s="1"/>
  <c r="V121" i="24" s="1"/>
  <c r="F322" i="24"/>
  <c r="W117" i="24" s="1"/>
  <c r="W125" i="24" s="1"/>
  <c r="H319" i="24"/>
  <c r="I319" i="24" s="1"/>
  <c r="H291" i="24"/>
  <c r="I291" i="24" s="1"/>
  <c r="G292" i="24"/>
  <c r="X106" i="24" s="1"/>
  <c r="X114" i="24" s="1"/>
  <c r="X240" i="24" s="1"/>
  <c r="D264" i="24"/>
  <c r="U97" i="24" s="1"/>
  <c r="U105" i="24" s="1"/>
  <c r="G263" i="24"/>
  <c r="X96" i="24" s="1"/>
  <c r="X104" i="24" s="1"/>
  <c r="X239" i="24" s="1"/>
  <c r="G206" i="24"/>
  <c r="X77" i="24" s="1"/>
  <c r="X85" i="24" s="1"/>
  <c r="E206" i="24"/>
  <c r="V77" i="24" s="1"/>
  <c r="V85" i="24" s="1"/>
  <c r="D206" i="24"/>
  <c r="U77" i="24" s="1"/>
  <c r="U85" i="24" s="1"/>
  <c r="I175" i="24"/>
  <c r="H146" i="24"/>
  <c r="I146" i="24" s="1"/>
  <c r="E148" i="24"/>
  <c r="V57" i="24" s="1"/>
  <c r="V65" i="24" s="1"/>
  <c r="F119" i="24"/>
  <c r="W47" i="24" s="1"/>
  <c r="W55" i="24" s="1"/>
  <c r="X284" i="24"/>
  <c r="E119" i="24"/>
  <c r="V47" i="24" s="1"/>
  <c r="V55" i="24" s="1"/>
  <c r="W285" i="24"/>
  <c r="W286" i="24" s="1"/>
  <c r="D31" i="24"/>
  <c r="U16" i="24" s="1"/>
  <c r="U24" i="24" s="1"/>
  <c r="H27" i="24"/>
  <c r="I27" i="24" s="1"/>
  <c r="G31" i="24"/>
  <c r="X16" i="24" s="1"/>
  <c r="C32" i="24"/>
  <c r="T17" i="24" s="1"/>
  <c r="T25" i="24" s="1"/>
  <c r="K113" i="24"/>
  <c r="P113" i="24" s="1"/>
  <c r="J113" i="24"/>
  <c r="T51" i="24" s="1"/>
  <c r="T50" i="24"/>
  <c r="V36" i="24"/>
  <c r="V44" i="24" s="1"/>
  <c r="V233" i="24" s="1"/>
  <c r="E91" i="24"/>
  <c r="K436" i="24"/>
  <c r="P436" i="24" s="1"/>
  <c r="J436" i="24"/>
  <c r="X161" i="24" s="1"/>
  <c r="X160" i="24"/>
  <c r="T36" i="24"/>
  <c r="T44" i="24" s="1"/>
  <c r="C91" i="24"/>
  <c r="K230" i="24"/>
  <c r="P230" i="24" s="1"/>
  <c r="J230" i="24"/>
  <c r="U91" i="24" s="1"/>
  <c r="U90" i="24"/>
  <c r="K318" i="24"/>
  <c r="K317" i="24"/>
  <c r="P317" i="24" s="1"/>
  <c r="J317" i="24"/>
  <c r="U121" i="24" s="1"/>
  <c r="U120" i="24"/>
  <c r="K287" i="24"/>
  <c r="P287" i="24" s="1"/>
  <c r="J287" i="24"/>
  <c r="T111" i="24" s="1"/>
  <c r="T110" i="24"/>
  <c r="W56" i="24"/>
  <c r="W64" i="24" s="1"/>
  <c r="W235" i="24" s="1"/>
  <c r="F149" i="24"/>
  <c r="K465" i="24"/>
  <c r="P465" i="24" s="1"/>
  <c r="J465" i="24"/>
  <c r="X171" i="24" s="1"/>
  <c r="X170" i="24"/>
  <c r="X36" i="24"/>
  <c r="X44" i="24" s="1"/>
  <c r="X233" i="24" s="1"/>
  <c r="G91" i="24"/>
  <c r="K580" i="24"/>
  <c r="P580" i="24" s="1"/>
  <c r="J580" i="24"/>
  <c r="W211" i="24" s="1"/>
  <c r="W210" i="24"/>
  <c r="T46" i="24"/>
  <c r="T54" i="24" s="1"/>
  <c r="C120" i="24"/>
  <c r="U76" i="24"/>
  <c r="U84" i="24" s="1"/>
  <c r="U237" i="24" s="1"/>
  <c r="D207" i="24"/>
  <c r="K115" i="24"/>
  <c r="P115" i="24" s="1"/>
  <c r="J115" i="24"/>
  <c r="V51" i="24" s="1"/>
  <c r="V50" i="24"/>
  <c r="T40" i="24"/>
  <c r="K84" i="24"/>
  <c r="P84" i="24" s="1"/>
  <c r="J84" i="24"/>
  <c r="T41" i="24" s="1"/>
  <c r="J145" i="24"/>
  <c r="W61" i="24" s="1"/>
  <c r="K145" i="24"/>
  <c r="P145" i="24" s="1"/>
  <c r="W60" i="24"/>
  <c r="V166" i="24"/>
  <c r="V174" i="24" s="1"/>
  <c r="V246" i="24" s="1"/>
  <c r="E468" i="24"/>
  <c r="K232" i="24"/>
  <c r="P232" i="24" s="1"/>
  <c r="J232" i="24"/>
  <c r="W91" i="24" s="1"/>
  <c r="W90" i="24"/>
  <c r="H144" i="24"/>
  <c r="I144" i="24" s="1"/>
  <c r="E147" i="24"/>
  <c r="V56" i="24" s="1"/>
  <c r="V64" i="24" s="1"/>
  <c r="V235" i="24" s="1"/>
  <c r="C439" i="24"/>
  <c r="I577" i="24"/>
  <c r="E351" i="24"/>
  <c r="V127" i="24" s="1"/>
  <c r="V135" i="24" s="1"/>
  <c r="H28" i="24"/>
  <c r="I28" i="24" s="1"/>
  <c r="C381" i="24"/>
  <c r="G466" i="24"/>
  <c r="AQ98" i="24"/>
  <c r="AR98" i="24" s="1"/>
  <c r="G379" i="24"/>
  <c r="X136" i="24" s="1"/>
  <c r="X144" i="24" s="1"/>
  <c r="X243" i="24" s="1"/>
  <c r="E497" i="24"/>
  <c r="I492" i="24"/>
  <c r="E467" i="24"/>
  <c r="V167" i="24" s="1"/>
  <c r="V175" i="24" s="1"/>
  <c r="AM99" i="24"/>
  <c r="AM109" i="24" s="1"/>
  <c r="AM117" i="24" s="1"/>
  <c r="AM110" i="24"/>
  <c r="D263" i="24"/>
  <c r="U96" i="24" s="1"/>
  <c r="U104" i="24" s="1"/>
  <c r="U239" i="24" s="1"/>
  <c r="E380" i="24"/>
  <c r="V137" i="24" s="1"/>
  <c r="V145" i="24" s="1"/>
  <c r="K407" i="24"/>
  <c r="P407" i="24" s="1"/>
  <c r="J407" i="24"/>
  <c r="X151" i="24" s="1"/>
  <c r="X150" i="24"/>
  <c r="T245" i="24"/>
  <c r="AA164" i="24"/>
  <c r="T243" i="24"/>
  <c r="AQ94" i="24"/>
  <c r="AR94" i="24" s="1"/>
  <c r="AL99" i="24"/>
  <c r="AL109" i="24" s="1"/>
  <c r="AL117" i="24" s="1"/>
  <c r="AL110" i="24"/>
  <c r="T26" i="24"/>
  <c r="T34" i="24" s="1"/>
  <c r="C62" i="24"/>
  <c r="K288" i="24"/>
  <c r="P288" i="24" s="1"/>
  <c r="J288" i="24"/>
  <c r="U111" i="24" s="1"/>
  <c r="U110" i="24"/>
  <c r="H406" i="24"/>
  <c r="I406" i="24" s="1"/>
  <c r="K233" i="24"/>
  <c r="P233" i="24" s="1"/>
  <c r="J233" i="24"/>
  <c r="X91" i="24" s="1"/>
  <c r="X90" i="24"/>
  <c r="H553" i="24"/>
  <c r="I554" i="24" s="1"/>
  <c r="AE34" i="24" s="1"/>
  <c r="H437" i="24"/>
  <c r="I438" i="24" s="1"/>
  <c r="AE30" i="24" s="1"/>
  <c r="K433" i="24"/>
  <c r="P433" i="24" s="1"/>
  <c r="J433" i="24"/>
  <c r="U161" i="24" s="1"/>
  <c r="U160" i="24"/>
  <c r="F89" i="24"/>
  <c r="H316" i="24"/>
  <c r="I316" i="24" s="1"/>
  <c r="C321" i="24"/>
  <c r="T116" i="24" s="1"/>
  <c r="T124" i="24" s="1"/>
  <c r="G264" i="24"/>
  <c r="X97" i="24" s="1"/>
  <c r="X105" i="24" s="1"/>
  <c r="K463" i="24"/>
  <c r="P463" i="24" s="1"/>
  <c r="J463" i="24"/>
  <c r="V171" i="24" s="1"/>
  <c r="V170" i="24"/>
  <c r="C90" i="24"/>
  <c r="T37" i="24" s="1"/>
  <c r="T45" i="24" s="1"/>
  <c r="F148" i="24"/>
  <c r="W57" i="24" s="1"/>
  <c r="W65" i="24" s="1"/>
  <c r="H204" i="24"/>
  <c r="I204" i="24" s="1"/>
  <c r="I493" i="24"/>
  <c r="G32" i="24"/>
  <c r="X17" i="24" s="1"/>
  <c r="AQ95" i="24"/>
  <c r="AR95" i="24" s="1"/>
  <c r="AN99" i="24"/>
  <c r="AN109" i="24" s="1"/>
  <c r="AN117" i="24" s="1"/>
  <c r="AN110" i="24"/>
  <c r="F205" i="24"/>
  <c r="T240" i="24"/>
  <c r="C205" i="24"/>
  <c r="T76" i="24" s="1"/>
  <c r="T84" i="24" s="1"/>
  <c r="H200" i="24"/>
  <c r="I200" i="24" s="1"/>
  <c r="H490" i="24"/>
  <c r="I490" i="24" s="1"/>
  <c r="C495" i="24"/>
  <c r="T176" i="24" s="1"/>
  <c r="T184" i="24" s="1"/>
  <c r="E118" i="24"/>
  <c r="K435" i="24"/>
  <c r="P435" i="24" s="1"/>
  <c r="J435" i="24"/>
  <c r="W161" i="24" s="1"/>
  <c r="W160" i="24"/>
  <c r="G439" i="24"/>
  <c r="F408" i="24"/>
  <c r="W146" i="24" s="1"/>
  <c r="W154" i="24" s="1"/>
  <c r="W244" i="24" s="1"/>
  <c r="F409" i="24"/>
  <c r="W147" i="24" s="1"/>
  <c r="W155" i="24" s="1"/>
  <c r="X24" i="24"/>
  <c r="H259" i="24"/>
  <c r="I259" i="24" s="1"/>
  <c r="I432" i="24"/>
  <c r="AQ96" i="24"/>
  <c r="AR96" i="24" s="1"/>
  <c r="H289" i="24"/>
  <c r="C293" i="24"/>
  <c r="T107" i="24" s="1"/>
  <c r="T115" i="24" s="1"/>
  <c r="H377" i="24"/>
  <c r="I377" i="24" s="1"/>
  <c r="D321" i="24"/>
  <c r="G147" i="24"/>
  <c r="X56" i="24" s="1"/>
  <c r="X64" i="24" s="1"/>
  <c r="X235" i="24" s="1"/>
  <c r="T284" i="24"/>
  <c r="T285" i="24"/>
  <c r="T286" i="24" s="1"/>
  <c r="T225" i="24"/>
  <c r="AQ97" i="24"/>
  <c r="AR97" i="24" s="1"/>
  <c r="G497" i="24"/>
  <c r="AO110" i="24"/>
  <c r="AO99" i="24"/>
  <c r="AO109" i="24" s="1"/>
  <c r="AO117" i="24" s="1"/>
  <c r="V285" i="24"/>
  <c r="V286" i="24" s="1"/>
  <c r="V284" i="24"/>
  <c r="V225" i="24"/>
  <c r="F31" i="24"/>
  <c r="W16" i="24" s="1"/>
  <c r="H464" i="24"/>
  <c r="H466" i="24" s="1"/>
  <c r="I467" i="24" s="1"/>
  <c r="AE31" i="24" s="1"/>
  <c r="D495" i="24"/>
  <c r="U176" i="24" s="1"/>
  <c r="U184" i="24" s="1"/>
  <c r="U247" i="24" s="1"/>
  <c r="F444" i="24"/>
  <c r="F441" i="24"/>
  <c r="W158" i="24"/>
  <c r="F443" i="24"/>
  <c r="G408" i="24"/>
  <c r="G409" i="24"/>
  <c r="X147" i="24" s="1"/>
  <c r="X155" i="24" s="1"/>
  <c r="H85" i="24"/>
  <c r="H89" i="24" s="1"/>
  <c r="I90" i="24" s="1"/>
  <c r="AE18" i="24" s="1"/>
  <c r="D292" i="24"/>
  <c r="D293" i="24"/>
  <c r="U107" i="24" s="1"/>
  <c r="U115" i="24" s="1"/>
  <c r="E321" i="24"/>
  <c r="G524" i="24"/>
  <c r="G525" i="24"/>
  <c r="X187" i="24" s="1"/>
  <c r="X195" i="24" s="1"/>
  <c r="D62" i="24"/>
  <c r="F584" i="24"/>
  <c r="AP99" i="24"/>
  <c r="AP109" i="24" s="1"/>
  <c r="AP117" i="24" s="1"/>
  <c r="AP110" i="24"/>
  <c r="G234" i="24"/>
  <c r="G235" i="24"/>
  <c r="X87" i="24" s="1"/>
  <c r="X95" i="24" s="1"/>
  <c r="K461" i="24"/>
  <c r="P461" i="24" s="1"/>
  <c r="J461" i="24"/>
  <c r="T171" i="24" s="1"/>
  <c r="T170" i="24"/>
  <c r="K552" i="24"/>
  <c r="P552" i="24" s="1"/>
  <c r="J552" i="24"/>
  <c r="X201" i="24" s="1"/>
  <c r="X200" i="24"/>
  <c r="C408" i="24"/>
  <c r="T146" i="24" s="1"/>
  <c r="T154" i="24" s="1"/>
  <c r="H403" i="24"/>
  <c r="C409" i="24"/>
  <c r="T147" i="24" s="1"/>
  <c r="T155" i="24" s="1"/>
  <c r="D91" i="24"/>
  <c r="E292" i="24"/>
  <c r="V106" i="24" s="1"/>
  <c r="V114" i="24" s="1"/>
  <c r="V240" i="24" s="1"/>
  <c r="T196" i="24"/>
  <c r="T204" i="24" s="1"/>
  <c r="C555" i="24"/>
  <c r="K30" i="24"/>
  <c r="P30" i="24" s="1"/>
  <c r="J30" i="24"/>
  <c r="X21" i="24" s="1"/>
  <c r="X20" i="24"/>
  <c r="H201" i="24"/>
  <c r="I201" i="24" s="1"/>
  <c r="F321" i="24"/>
  <c r="W116" i="24" s="1"/>
  <c r="W124" i="24" s="1"/>
  <c r="W241" i="24" s="1"/>
  <c r="C263" i="24"/>
  <c r="T96" i="24" s="1"/>
  <c r="T104" i="24" s="1"/>
  <c r="H258" i="24"/>
  <c r="F524" i="24"/>
  <c r="W186" i="24" s="1"/>
  <c r="W194" i="24" s="1"/>
  <c r="W248" i="24" s="1"/>
  <c r="F525" i="24"/>
  <c r="W187" i="24" s="1"/>
  <c r="W195" i="24" s="1"/>
  <c r="E439" i="24"/>
  <c r="I56" i="24"/>
  <c r="H320" i="24"/>
  <c r="I320" i="24" s="1"/>
  <c r="C496" i="24"/>
  <c r="T177" i="24" s="1"/>
  <c r="T185" i="24" s="1"/>
  <c r="H260" i="24"/>
  <c r="I260" i="24" s="1"/>
  <c r="D466" i="24"/>
  <c r="U284" i="24"/>
  <c r="U225" i="24"/>
  <c r="U285" i="24"/>
  <c r="U286" i="24" s="1"/>
  <c r="E31" i="24"/>
  <c r="V16" i="24" s="1"/>
  <c r="K550" i="24"/>
  <c r="P550" i="24" s="1"/>
  <c r="J550" i="24"/>
  <c r="V201" i="24" s="1"/>
  <c r="V200" i="24"/>
  <c r="G557" i="24"/>
  <c r="X198" i="24"/>
  <c r="G559" i="24"/>
  <c r="D408" i="24"/>
  <c r="U146" i="24" s="1"/>
  <c r="U154" i="24" s="1"/>
  <c r="U244" i="24" s="1"/>
  <c r="D409" i="24"/>
  <c r="U147" i="24" s="1"/>
  <c r="U155" i="24" s="1"/>
  <c r="K172" i="24"/>
  <c r="P172" i="24" s="1"/>
  <c r="J172" i="24"/>
  <c r="U71" i="24" s="1"/>
  <c r="U70" i="24"/>
  <c r="K581" i="24"/>
  <c r="P581" i="24" s="1"/>
  <c r="J581" i="24"/>
  <c r="X211" i="24" s="1"/>
  <c r="X210" i="24"/>
  <c r="H202" i="24"/>
  <c r="I202" i="24" s="1"/>
  <c r="G321" i="24"/>
  <c r="X116" i="24" s="1"/>
  <c r="X124" i="24" s="1"/>
  <c r="X241" i="24" s="1"/>
  <c r="H520" i="24"/>
  <c r="I520" i="24" s="1"/>
  <c r="C524" i="24"/>
  <c r="C525" i="24"/>
  <c r="T187" i="24" s="1"/>
  <c r="T195" i="24" s="1"/>
  <c r="K86" i="24"/>
  <c r="J86" i="24"/>
  <c r="V41" i="24" s="1"/>
  <c r="P86" i="24"/>
  <c r="H117" i="24"/>
  <c r="I117" i="24" s="1"/>
  <c r="E265" i="24"/>
  <c r="K434" i="24"/>
  <c r="P434" i="24" s="1"/>
  <c r="J434" i="24"/>
  <c r="V161" i="24" s="1"/>
  <c r="V160" i="24"/>
  <c r="D32" i="24"/>
  <c r="U17" i="24" s="1"/>
  <c r="D496" i="24"/>
  <c r="U177" i="24" s="1"/>
  <c r="U185" i="24" s="1"/>
  <c r="J88" i="24"/>
  <c r="X41" i="24" s="1"/>
  <c r="K88" i="24"/>
  <c r="P88" i="24" s="1"/>
  <c r="X40" i="24"/>
  <c r="F468" i="24"/>
  <c r="F467" i="24"/>
  <c r="W167" i="24" s="1"/>
  <c r="W175" i="24" s="1"/>
  <c r="W225" i="24"/>
  <c r="E584" i="24"/>
  <c r="E408" i="24"/>
  <c r="V146" i="24" s="1"/>
  <c r="V154" i="24" s="1"/>
  <c r="V244" i="24" s="1"/>
  <c r="E409" i="24"/>
  <c r="V147" i="24" s="1"/>
  <c r="V155" i="24" s="1"/>
  <c r="F120" i="24"/>
  <c r="K347" i="24"/>
  <c r="P347" i="24" s="1"/>
  <c r="J347" i="24"/>
  <c r="V131" i="24" s="1"/>
  <c r="V130" i="24"/>
  <c r="G589" i="24"/>
  <c r="X208" i="24"/>
  <c r="G588" i="24"/>
  <c r="F292" i="24"/>
  <c r="E32" i="24"/>
  <c r="V17" i="24" s="1"/>
  <c r="F176" i="24"/>
  <c r="W66" i="24" s="1"/>
  <c r="W74" i="24" s="1"/>
  <c r="W236" i="24" s="1"/>
  <c r="F177" i="24"/>
  <c r="W67" i="24" s="1"/>
  <c r="W75" i="24" s="1"/>
  <c r="E496" i="24"/>
  <c r="V177" i="24" s="1"/>
  <c r="V185" i="24" s="1"/>
  <c r="E205" i="24"/>
  <c r="V76" i="24" s="1"/>
  <c r="V84" i="24" s="1"/>
  <c r="V237" i="24" s="1"/>
  <c r="G293" i="24"/>
  <c r="X107" i="24" s="1"/>
  <c r="X115" i="24" s="1"/>
  <c r="K58" i="24"/>
  <c r="P58" i="24" s="1"/>
  <c r="J58" i="24"/>
  <c r="W31" i="24" s="1"/>
  <c r="W30" i="24"/>
  <c r="H262" i="24"/>
  <c r="I262" i="24" s="1"/>
  <c r="H404" i="24"/>
  <c r="I404" i="24" s="1"/>
  <c r="W284" i="24"/>
  <c r="K579" i="24"/>
  <c r="P579" i="24" s="1"/>
  <c r="J579" i="24"/>
  <c r="V211" i="24" s="1"/>
  <c r="V210" i="24"/>
  <c r="H229" i="24"/>
  <c r="H234" i="24" s="1"/>
  <c r="I235" i="24" s="1"/>
  <c r="AE23" i="24" s="1"/>
  <c r="C234" i="24"/>
  <c r="T86" i="24" s="1"/>
  <c r="T94" i="24" s="1"/>
  <c r="C235" i="24"/>
  <c r="T87" i="24" s="1"/>
  <c r="T95" i="24" s="1"/>
  <c r="I521" i="24"/>
  <c r="C147" i="24"/>
  <c r="H376" i="24"/>
  <c r="I376" i="24" s="1"/>
  <c r="C380" i="24"/>
  <c r="T137" i="24" s="1"/>
  <c r="T145" i="24" s="1"/>
  <c r="H348" i="24"/>
  <c r="E525" i="24"/>
  <c r="V187" i="24" s="1"/>
  <c r="V195" i="24" s="1"/>
  <c r="E524" i="24"/>
  <c r="V186" i="24" s="1"/>
  <c r="V194" i="24" s="1"/>
  <c r="V248" i="24" s="1"/>
  <c r="K87" i="24"/>
  <c r="P87" i="24" s="1"/>
  <c r="J87" i="24"/>
  <c r="W41" i="24" s="1"/>
  <c r="W40" i="24"/>
  <c r="K290" i="24"/>
  <c r="P290" i="24" s="1"/>
  <c r="J290" i="24"/>
  <c r="W111" i="24" s="1"/>
  <c r="W110" i="24"/>
  <c r="H522" i="24"/>
  <c r="I522" i="24" s="1"/>
  <c r="K231" i="24"/>
  <c r="P231" i="24" s="1"/>
  <c r="J231" i="24"/>
  <c r="V91" i="24" s="1"/>
  <c r="V90" i="24"/>
  <c r="H405" i="24"/>
  <c r="I405" i="24" s="1"/>
  <c r="E176" i="24"/>
  <c r="E177" i="24"/>
  <c r="V67" i="24" s="1"/>
  <c r="V75" i="24" s="1"/>
  <c r="K551" i="24"/>
  <c r="P551" i="24" s="1"/>
  <c r="J551" i="24"/>
  <c r="W201" i="24" s="1"/>
  <c r="W200" i="24"/>
  <c r="K345" i="24"/>
  <c r="P345" i="24" s="1"/>
  <c r="J345" i="24"/>
  <c r="T131" i="24" s="1"/>
  <c r="T130" i="24"/>
  <c r="E293" i="24"/>
  <c r="V107" i="24" s="1"/>
  <c r="V115" i="24" s="1"/>
  <c r="D351" i="24"/>
  <c r="U127" i="24" s="1"/>
  <c r="U135" i="24" s="1"/>
  <c r="K523" i="24"/>
  <c r="P523" i="24" s="1"/>
  <c r="J523" i="24"/>
  <c r="X191" i="24" s="1"/>
  <c r="X190" i="24"/>
  <c r="H116" i="24"/>
  <c r="I116" i="24" s="1"/>
  <c r="D234" i="24"/>
  <c r="D235" i="24"/>
  <c r="U87" i="24" s="1"/>
  <c r="U95" i="24" s="1"/>
  <c r="C322" i="24"/>
  <c r="T117" i="24" s="1"/>
  <c r="T125" i="24" s="1"/>
  <c r="T250" i="24"/>
  <c r="AA214" i="24"/>
  <c r="C31" i="24"/>
  <c r="T16" i="24" s="1"/>
  <c r="H26" i="24"/>
  <c r="C33" i="24"/>
  <c r="I174" i="24"/>
  <c r="D380" i="24"/>
  <c r="U137" i="24" s="1"/>
  <c r="U145" i="24" s="1"/>
  <c r="X285" i="24"/>
  <c r="X286" i="24" s="1"/>
  <c r="I348" i="24"/>
  <c r="C119" i="24"/>
  <c r="T47" i="24" s="1"/>
  <c r="T55" i="24" s="1"/>
  <c r="K173" i="24"/>
  <c r="P173" i="24" s="1"/>
  <c r="J173" i="24"/>
  <c r="V71" i="24" s="1"/>
  <c r="V70" i="24"/>
  <c r="G176" i="24"/>
  <c r="G177" i="24"/>
  <c r="X67" i="24" s="1"/>
  <c r="X75" i="24" s="1"/>
  <c r="F557" i="24"/>
  <c r="F559" i="24"/>
  <c r="F496" i="24"/>
  <c r="W177" i="24" s="1"/>
  <c r="W185" i="24" s="1"/>
  <c r="D584" i="24"/>
  <c r="D118" i="24"/>
  <c r="U46" i="24" s="1"/>
  <c r="U54" i="24" s="1"/>
  <c r="U234" i="24" s="1"/>
  <c r="U231" i="24"/>
  <c r="E234" i="24"/>
  <c r="E235" i="24"/>
  <c r="V87" i="24" s="1"/>
  <c r="V95" i="24" s="1"/>
  <c r="H346" i="24"/>
  <c r="I346" i="24" s="1"/>
  <c r="C351" i="24"/>
  <c r="T127" i="24" s="1"/>
  <c r="T135" i="24" s="1"/>
  <c r="X225" i="24"/>
  <c r="K462" i="24"/>
  <c r="P462" i="24" s="1"/>
  <c r="J462" i="24"/>
  <c r="U171" i="24" s="1"/>
  <c r="U170" i="24"/>
  <c r="H29" i="24"/>
  <c r="I29" i="24" s="1"/>
  <c r="I374" i="24"/>
  <c r="U198" i="24"/>
  <c r="H261" i="24"/>
  <c r="I261" i="24" s="1"/>
  <c r="F269" i="24" s="1"/>
  <c r="C176" i="24"/>
  <c r="T66" i="24" s="1"/>
  <c r="T74" i="24" s="1"/>
  <c r="H171" i="24"/>
  <c r="H176" i="24" s="1"/>
  <c r="I177" i="24" s="1"/>
  <c r="AE21" i="24" s="1"/>
  <c r="C177" i="24"/>
  <c r="T67" i="24" s="1"/>
  <c r="T75" i="24" s="1"/>
  <c r="H378" i="24"/>
  <c r="I378" i="24" s="1"/>
  <c r="K375" i="24"/>
  <c r="P375" i="24" s="1"/>
  <c r="J375" i="24"/>
  <c r="U141" i="24" s="1"/>
  <c r="U140" i="24"/>
  <c r="K578" i="24"/>
  <c r="P578" i="24" s="1"/>
  <c r="J578" i="24"/>
  <c r="U211" i="24" s="1"/>
  <c r="U210" i="24"/>
  <c r="K59" i="24"/>
  <c r="P59" i="24" s="1"/>
  <c r="J59" i="24"/>
  <c r="X31" i="24" s="1"/>
  <c r="X30" i="24"/>
  <c r="D525" i="24"/>
  <c r="U187" i="24" s="1"/>
  <c r="U195" i="24" s="1"/>
  <c r="G350" i="24"/>
  <c r="G351" i="24"/>
  <c r="X127" i="24" s="1"/>
  <c r="X135" i="24" s="1"/>
  <c r="D147" i="24"/>
  <c r="U56" i="24" s="1"/>
  <c r="U64" i="24" s="1"/>
  <c r="U235" i="24" s="1"/>
  <c r="D148" i="24"/>
  <c r="U57" i="24" s="1"/>
  <c r="U65" i="24" s="1"/>
  <c r="J57" i="24"/>
  <c r="V31" i="24" s="1"/>
  <c r="V30" i="24"/>
  <c r="K57" i="24"/>
  <c r="P57" i="24" s="1"/>
  <c r="F234" i="24"/>
  <c r="F235" i="24"/>
  <c r="W87" i="24" s="1"/>
  <c r="W95" i="24" s="1"/>
  <c r="C584" i="24"/>
  <c r="C148" i="24"/>
  <c r="T57" i="24" s="1"/>
  <c r="T65" i="24" s="1"/>
  <c r="I142" i="24"/>
  <c r="F350" i="24"/>
  <c r="W126" i="24" s="1"/>
  <c r="W134" i="24" s="1"/>
  <c r="W242" i="24" s="1"/>
  <c r="F351" i="24"/>
  <c r="W127" i="24" s="1"/>
  <c r="W135" i="24" s="1"/>
  <c r="C264" i="24"/>
  <c r="T97" i="24" s="1"/>
  <c r="T105" i="24" s="1"/>
  <c r="H143" i="24"/>
  <c r="I143" i="24" s="1"/>
  <c r="K549" i="24"/>
  <c r="P549" i="24" s="1"/>
  <c r="J549" i="24"/>
  <c r="U201" i="24" s="1"/>
  <c r="U200" i="24"/>
  <c r="H491" i="24"/>
  <c r="I491" i="24" s="1"/>
  <c r="D176" i="24"/>
  <c r="D177" i="24"/>
  <c r="U67" i="24" s="1"/>
  <c r="U75" i="24" s="1"/>
  <c r="H492" i="24"/>
  <c r="G496" i="24"/>
  <c r="X177" i="24" s="1"/>
  <c r="X185" i="24" s="1"/>
  <c r="F62" i="24"/>
  <c r="D381" i="24"/>
  <c r="H494" i="24"/>
  <c r="I494" i="24" s="1"/>
  <c r="G62" i="24"/>
  <c r="G582" i="23"/>
  <c r="X206" i="23" s="1"/>
  <c r="X214" i="23" s="1"/>
  <c r="X250" i="23" s="1"/>
  <c r="F583" i="23"/>
  <c r="W207" i="23" s="1"/>
  <c r="W215" i="23" s="1"/>
  <c r="E524" i="23"/>
  <c r="V186" i="23" s="1"/>
  <c r="V194" i="23" s="1"/>
  <c r="V248" i="23" s="1"/>
  <c r="C524" i="23"/>
  <c r="C526" i="23" s="1"/>
  <c r="E496" i="23"/>
  <c r="V177" i="23" s="1"/>
  <c r="V185" i="23" s="1"/>
  <c r="C438" i="23"/>
  <c r="T157" i="23" s="1"/>
  <c r="T165" i="23" s="1"/>
  <c r="H435" i="23"/>
  <c r="I435" i="23" s="1"/>
  <c r="F438" i="23"/>
  <c r="W157" i="23" s="1"/>
  <c r="W165" i="23" s="1"/>
  <c r="G438" i="23"/>
  <c r="X157" i="23" s="1"/>
  <c r="X165" i="23" s="1"/>
  <c r="D409" i="23"/>
  <c r="U147" i="23" s="1"/>
  <c r="U155" i="23" s="1"/>
  <c r="H377" i="23"/>
  <c r="I377" i="23" s="1"/>
  <c r="F380" i="23"/>
  <c r="W137" i="23" s="1"/>
  <c r="W145" i="23" s="1"/>
  <c r="G321" i="23"/>
  <c r="X116" i="23" s="1"/>
  <c r="X124" i="23" s="1"/>
  <c r="X241" i="23" s="1"/>
  <c r="J290" i="23"/>
  <c r="W111" i="23" s="1"/>
  <c r="W110" i="23"/>
  <c r="E292" i="23"/>
  <c r="V106" i="23" s="1"/>
  <c r="V114" i="23" s="1"/>
  <c r="V240" i="23" s="1"/>
  <c r="T100" i="23"/>
  <c r="F265" i="23"/>
  <c r="F267" i="23" s="1"/>
  <c r="G234" i="23"/>
  <c r="G236" i="23" s="1"/>
  <c r="E235" i="23"/>
  <c r="V87" i="23" s="1"/>
  <c r="V95" i="23" s="1"/>
  <c r="H172" i="23"/>
  <c r="D147" i="23"/>
  <c r="U56" i="23" s="1"/>
  <c r="U64" i="23" s="1"/>
  <c r="U235" i="23" s="1"/>
  <c r="C148" i="23"/>
  <c r="T57" i="23" s="1"/>
  <c r="T65" i="23" s="1"/>
  <c r="D118" i="23"/>
  <c r="U46" i="23" s="1"/>
  <c r="U54" i="23" s="1"/>
  <c r="U234" i="23" s="1"/>
  <c r="E119" i="23"/>
  <c r="V47" i="23" s="1"/>
  <c r="V55" i="23" s="1"/>
  <c r="F118" i="23"/>
  <c r="W46" i="23" s="1"/>
  <c r="W54" i="23" s="1"/>
  <c r="W234" i="23" s="1"/>
  <c r="C90" i="23"/>
  <c r="T37" i="23" s="1"/>
  <c r="T45" i="23" s="1"/>
  <c r="E90" i="23"/>
  <c r="V37" i="23" s="1"/>
  <c r="V45" i="23" s="1"/>
  <c r="D89" i="23"/>
  <c r="U36" i="23" s="1"/>
  <c r="U44" i="23" s="1"/>
  <c r="U233" i="23" s="1"/>
  <c r="E61" i="23"/>
  <c r="V27" i="23" s="1"/>
  <c r="V35" i="23" s="1"/>
  <c r="H57" i="23"/>
  <c r="I57" i="23" s="1"/>
  <c r="D60" i="23"/>
  <c r="F61" i="23"/>
  <c r="W27" i="23" s="1"/>
  <c r="W35" i="23" s="1"/>
  <c r="H27" i="23"/>
  <c r="I27" i="23" s="1"/>
  <c r="H580" i="23"/>
  <c r="I580" i="23" s="1"/>
  <c r="C583" i="23"/>
  <c r="T207" i="23" s="1"/>
  <c r="T215" i="23" s="1"/>
  <c r="H549" i="23"/>
  <c r="I549" i="23" s="1"/>
  <c r="G525" i="23"/>
  <c r="X187" i="23" s="1"/>
  <c r="X195" i="23" s="1"/>
  <c r="E525" i="23"/>
  <c r="V187" i="23" s="1"/>
  <c r="V195" i="23" s="1"/>
  <c r="F525" i="23"/>
  <c r="W187" i="23" s="1"/>
  <c r="W195" i="23" s="1"/>
  <c r="G496" i="23"/>
  <c r="X177" i="23" s="1"/>
  <c r="X185" i="23" s="1"/>
  <c r="G495" i="23"/>
  <c r="X176" i="23" s="1"/>
  <c r="X184" i="23" s="1"/>
  <c r="X247" i="23" s="1"/>
  <c r="F495" i="23"/>
  <c r="W176" i="23" s="1"/>
  <c r="W184" i="23" s="1"/>
  <c r="W247" i="23" s="1"/>
  <c r="C495" i="23"/>
  <c r="T176" i="23" s="1"/>
  <c r="T184" i="23" s="1"/>
  <c r="C437" i="23"/>
  <c r="T156" i="23" s="1"/>
  <c r="T164" i="23" s="1"/>
  <c r="T245" i="23" s="1"/>
  <c r="H432" i="23"/>
  <c r="F437" i="23"/>
  <c r="W156" i="23" s="1"/>
  <c r="W164" i="23" s="1"/>
  <c r="W245" i="23" s="1"/>
  <c r="G437" i="23"/>
  <c r="X156" i="23" s="1"/>
  <c r="X164" i="23" s="1"/>
  <c r="X245" i="23" s="1"/>
  <c r="C408" i="23"/>
  <c r="T146" i="23" s="1"/>
  <c r="T154" i="23" s="1"/>
  <c r="C380" i="23"/>
  <c r="T137" i="23" s="1"/>
  <c r="T145" i="23" s="1"/>
  <c r="F379" i="23"/>
  <c r="W136" i="23" s="1"/>
  <c r="W144" i="23" s="1"/>
  <c r="W243" i="23" s="1"/>
  <c r="V130" i="23"/>
  <c r="K347" i="23"/>
  <c r="P347" i="23" s="1"/>
  <c r="J347" i="23"/>
  <c r="V131" i="23" s="1"/>
  <c r="F351" i="23"/>
  <c r="W127" i="23" s="1"/>
  <c r="W135" i="23" s="1"/>
  <c r="G351" i="23"/>
  <c r="X127" i="23" s="1"/>
  <c r="X135" i="23" s="1"/>
  <c r="C350" i="23"/>
  <c r="T126" i="23" s="1"/>
  <c r="T134" i="23" s="1"/>
  <c r="H320" i="23"/>
  <c r="I320" i="23" s="1"/>
  <c r="X106" i="23"/>
  <c r="X114" i="23" s="1"/>
  <c r="X240" i="23" s="1"/>
  <c r="G294" i="23"/>
  <c r="G298" i="23" s="1"/>
  <c r="K290" i="23"/>
  <c r="P290" i="23" s="1"/>
  <c r="T225" i="23"/>
  <c r="G235" i="23"/>
  <c r="X87" i="23" s="1"/>
  <c r="X95" i="23" s="1"/>
  <c r="E234" i="23"/>
  <c r="V86" i="23" s="1"/>
  <c r="V94" i="23" s="1"/>
  <c r="V238" i="23" s="1"/>
  <c r="H204" i="23"/>
  <c r="I204" i="23" s="1"/>
  <c r="U225" i="23"/>
  <c r="H146" i="23"/>
  <c r="I146" i="23" s="1"/>
  <c r="F147" i="23"/>
  <c r="W56" i="23" s="1"/>
  <c r="W64" i="23" s="1"/>
  <c r="W235" i="23" s="1"/>
  <c r="H144" i="23"/>
  <c r="I144" i="23" s="1"/>
  <c r="H117" i="23"/>
  <c r="I117" i="23" s="1"/>
  <c r="G119" i="23"/>
  <c r="X47" i="23" s="1"/>
  <c r="X55" i="23" s="1"/>
  <c r="D119" i="23"/>
  <c r="U47" i="23" s="1"/>
  <c r="U55" i="23" s="1"/>
  <c r="T284" i="23"/>
  <c r="V285" i="23"/>
  <c r="V286" i="23" s="1"/>
  <c r="G118" i="23"/>
  <c r="X46" i="23" s="1"/>
  <c r="X54" i="23" s="1"/>
  <c r="X234" i="23" s="1"/>
  <c r="W284" i="23"/>
  <c r="E118" i="23"/>
  <c r="V46" i="23" s="1"/>
  <c r="V54" i="23" s="1"/>
  <c r="V234" i="23" s="1"/>
  <c r="F119" i="23"/>
  <c r="W47" i="23" s="1"/>
  <c r="W55" i="23" s="1"/>
  <c r="X225" i="23"/>
  <c r="U26" i="23"/>
  <c r="U34" i="23" s="1"/>
  <c r="U232" i="23" s="1"/>
  <c r="D62" i="23"/>
  <c r="U28" i="23" s="1"/>
  <c r="E60" i="23"/>
  <c r="V26" i="23" s="1"/>
  <c r="V34" i="23" s="1"/>
  <c r="V232" i="23" s="1"/>
  <c r="D61" i="23"/>
  <c r="U27" i="23" s="1"/>
  <c r="U35" i="23" s="1"/>
  <c r="T285" i="23"/>
  <c r="T286" i="23" s="1"/>
  <c r="K145" i="23"/>
  <c r="P145" i="23" s="1"/>
  <c r="J145" i="23"/>
  <c r="W61" i="23" s="1"/>
  <c r="W60" i="23"/>
  <c r="K349" i="23"/>
  <c r="P349" i="23" s="1"/>
  <c r="J349" i="23"/>
  <c r="X131" i="23" s="1"/>
  <c r="X130" i="23"/>
  <c r="U186" i="23"/>
  <c r="U194" i="23" s="1"/>
  <c r="U248" i="23" s="1"/>
  <c r="D526" i="23"/>
  <c r="J317" i="23"/>
  <c r="U121" i="23" s="1"/>
  <c r="K317" i="23"/>
  <c r="P317" i="23" s="1"/>
  <c r="U120" i="23"/>
  <c r="K374" i="23"/>
  <c r="P374" i="23" s="1"/>
  <c r="J374" i="23"/>
  <c r="T141" i="23" s="1"/>
  <c r="T140" i="23"/>
  <c r="K404" i="23"/>
  <c r="P404" i="23" s="1"/>
  <c r="J404" i="23"/>
  <c r="U151" i="23" s="1"/>
  <c r="U150" i="23"/>
  <c r="C497" i="23"/>
  <c r="K30" i="23"/>
  <c r="P30" i="23" s="1"/>
  <c r="J30" i="23"/>
  <c r="X21" i="23" s="1"/>
  <c r="X20" i="23"/>
  <c r="K175" i="23"/>
  <c r="P175" i="23" s="1"/>
  <c r="J175" i="23"/>
  <c r="X71" i="23" s="1"/>
  <c r="X70" i="23"/>
  <c r="U156" i="23"/>
  <c r="U164" i="23" s="1"/>
  <c r="U245" i="23" s="1"/>
  <c r="D439" i="23"/>
  <c r="K288" i="23"/>
  <c r="P288" i="23" s="1"/>
  <c r="J288" i="23"/>
  <c r="U111" i="23" s="1"/>
  <c r="U110" i="23"/>
  <c r="J520" i="23"/>
  <c r="U191" i="23" s="1"/>
  <c r="K520" i="23"/>
  <c r="P520" i="23" s="1"/>
  <c r="U190" i="23"/>
  <c r="K233" i="23"/>
  <c r="P233" i="23" s="1"/>
  <c r="J233" i="23"/>
  <c r="X91" i="23" s="1"/>
  <c r="X90" i="23"/>
  <c r="K464" i="23"/>
  <c r="P464" i="23" s="1"/>
  <c r="J464" i="23"/>
  <c r="W171" i="23" s="1"/>
  <c r="W170" i="23"/>
  <c r="K202" i="23"/>
  <c r="P202" i="23" s="1"/>
  <c r="J202" i="23"/>
  <c r="V81" i="23" s="1"/>
  <c r="V80" i="23"/>
  <c r="K56" i="23"/>
  <c r="P56" i="23" s="1"/>
  <c r="J56" i="23"/>
  <c r="U31" i="23" s="1"/>
  <c r="U30" i="23"/>
  <c r="D351" i="23"/>
  <c r="U127" i="23" s="1"/>
  <c r="U135" i="23" s="1"/>
  <c r="G497" i="23"/>
  <c r="AL99" i="23"/>
  <c r="AL109" i="23" s="1"/>
  <c r="AL117" i="23" s="1"/>
  <c r="AQ94" i="23"/>
  <c r="AL110" i="23"/>
  <c r="J319" i="23"/>
  <c r="W121" i="23" s="1"/>
  <c r="W120" i="23"/>
  <c r="K319" i="23"/>
  <c r="P319" i="23" s="1"/>
  <c r="F524" i="23"/>
  <c r="W186" i="23" s="1"/>
  <c r="W194" i="23" s="1"/>
  <c r="W248" i="23" s="1"/>
  <c r="G90" i="23"/>
  <c r="X37" i="23" s="1"/>
  <c r="X45" i="23" s="1"/>
  <c r="I316" i="23"/>
  <c r="H519" i="23"/>
  <c r="V225" i="23"/>
  <c r="C236" i="23"/>
  <c r="I172" i="23"/>
  <c r="G583" i="23"/>
  <c r="X207" i="23" s="1"/>
  <c r="X215" i="23" s="1"/>
  <c r="J465" i="23"/>
  <c r="X171" i="23" s="1"/>
  <c r="K465" i="23"/>
  <c r="P465" i="23" s="1"/>
  <c r="X170" i="23"/>
  <c r="H114" i="23"/>
  <c r="I114" i="23" s="1"/>
  <c r="C119" i="23"/>
  <c r="T47" i="23" s="1"/>
  <c r="T55" i="23" s="1"/>
  <c r="H230" i="23"/>
  <c r="I230" i="23" s="1"/>
  <c r="E263" i="23"/>
  <c r="H491" i="23"/>
  <c r="I491" i="23" s="1"/>
  <c r="C379" i="23"/>
  <c r="AN99" i="23"/>
  <c r="AN109" i="23" s="1"/>
  <c r="AN117" i="23" s="1"/>
  <c r="AN110" i="23"/>
  <c r="X108" i="23"/>
  <c r="H348" i="23"/>
  <c r="I348" i="23" s="1"/>
  <c r="V284" i="23"/>
  <c r="H174" i="23"/>
  <c r="I174" i="23" s="1"/>
  <c r="E350" i="23"/>
  <c r="H406" i="23"/>
  <c r="I406" i="23" s="1"/>
  <c r="H58" i="23"/>
  <c r="I58" i="23" s="1"/>
  <c r="H86" i="23"/>
  <c r="I86" i="23" s="1"/>
  <c r="AQ96" i="23"/>
  <c r="AR96" i="23" s="1"/>
  <c r="E321" i="23"/>
  <c r="E322" i="23"/>
  <c r="V117" i="23" s="1"/>
  <c r="V125" i="23" s="1"/>
  <c r="K578" i="23"/>
  <c r="P578" i="23" s="1"/>
  <c r="J578" i="23"/>
  <c r="U211" i="23" s="1"/>
  <c r="U210" i="23"/>
  <c r="T238" i="23"/>
  <c r="G120" i="23"/>
  <c r="K433" i="23"/>
  <c r="P433" i="23" s="1"/>
  <c r="J433" i="23"/>
  <c r="U161" i="23" s="1"/>
  <c r="U160" i="23"/>
  <c r="H405" i="23"/>
  <c r="I405" i="23" s="1"/>
  <c r="H28" i="23"/>
  <c r="I28" i="23" s="1"/>
  <c r="K551" i="23"/>
  <c r="P551" i="23" s="1"/>
  <c r="J551" i="23"/>
  <c r="W201" i="23" s="1"/>
  <c r="W200" i="23"/>
  <c r="H376" i="23"/>
  <c r="I376" i="23" s="1"/>
  <c r="E147" i="23"/>
  <c r="V56" i="23" s="1"/>
  <c r="V64" i="23" s="1"/>
  <c r="V235" i="23" s="1"/>
  <c r="H116" i="23"/>
  <c r="I116" i="23" s="1"/>
  <c r="I262" i="23"/>
  <c r="G263" i="23"/>
  <c r="X96" i="23" s="1"/>
  <c r="X104" i="23" s="1"/>
  <c r="X239" i="23" s="1"/>
  <c r="H87" i="23"/>
  <c r="I87" i="23" s="1"/>
  <c r="I490" i="23"/>
  <c r="I229" i="23"/>
  <c r="H85" i="23"/>
  <c r="I85" i="23" s="1"/>
  <c r="K318" i="23"/>
  <c r="P318" i="23" s="1"/>
  <c r="J318" i="23"/>
  <c r="V121" i="23" s="1"/>
  <c r="V120" i="23"/>
  <c r="F322" i="23"/>
  <c r="W117" i="23" s="1"/>
  <c r="W125" i="23" s="1"/>
  <c r="F321" i="23"/>
  <c r="AM113" i="23"/>
  <c r="AS95" i="23"/>
  <c r="AM114" i="23" s="1"/>
  <c r="AT95" i="23"/>
  <c r="AY95" i="23" s="1"/>
  <c r="K203" i="23"/>
  <c r="P203" i="23" s="1"/>
  <c r="J203" i="23"/>
  <c r="W81" i="23" s="1"/>
  <c r="W80" i="23"/>
  <c r="K259" i="23"/>
  <c r="P259" i="23" s="1"/>
  <c r="J259" i="23"/>
  <c r="U101" i="23" s="1"/>
  <c r="U100" i="23"/>
  <c r="J201" i="23"/>
  <c r="U81" i="23" s="1"/>
  <c r="K201" i="23"/>
  <c r="P201" i="23" s="1"/>
  <c r="U80" i="23"/>
  <c r="D205" i="23"/>
  <c r="D206" i="23"/>
  <c r="U77" i="23" s="1"/>
  <c r="U85" i="23" s="1"/>
  <c r="F408" i="23"/>
  <c r="W146" i="23" s="1"/>
  <c r="W154" i="23" s="1"/>
  <c r="W244" i="23" s="1"/>
  <c r="D91" i="23"/>
  <c r="E176" i="23"/>
  <c r="E177" i="23"/>
  <c r="V67" i="23" s="1"/>
  <c r="V75" i="23" s="1"/>
  <c r="H346" i="23"/>
  <c r="C351" i="23"/>
  <c r="T127" i="23" s="1"/>
  <c r="T135" i="23" s="1"/>
  <c r="K260" i="23"/>
  <c r="P260" i="23" s="1"/>
  <c r="J260" i="23"/>
  <c r="V101" i="23" s="1"/>
  <c r="V100" i="23"/>
  <c r="W106" i="23"/>
  <c r="W114" i="23" s="1"/>
  <c r="W240" i="23" s="1"/>
  <c r="F294" i="23"/>
  <c r="H522" i="23"/>
  <c r="I522" i="23" s="1"/>
  <c r="H523" i="23"/>
  <c r="I523" i="23" s="1"/>
  <c r="D497" i="23"/>
  <c r="U284" i="23"/>
  <c r="F496" i="23"/>
  <c r="W177" i="23" s="1"/>
  <c r="W185" i="23" s="1"/>
  <c r="H375" i="23"/>
  <c r="I375" i="23" s="1"/>
  <c r="E495" i="23"/>
  <c r="H143" i="23"/>
  <c r="I143" i="23" s="1"/>
  <c r="D496" i="23"/>
  <c r="U177" i="23" s="1"/>
  <c r="U185" i="23" s="1"/>
  <c r="E206" i="23"/>
  <c r="V77" i="23" s="1"/>
  <c r="V85" i="23" s="1"/>
  <c r="E205" i="23"/>
  <c r="C525" i="23"/>
  <c r="T187" i="23" s="1"/>
  <c r="T195" i="23" s="1"/>
  <c r="H403" i="23"/>
  <c r="F352" i="23"/>
  <c r="H29" i="23"/>
  <c r="I29" i="23" s="1"/>
  <c r="H552" i="23"/>
  <c r="I552" i="23" s="1"/>
  <c r="C294" i="23"/>
  <c r="D408" i="23"/>
  <c r="F62" i="23"/>
  <c r="H461" i="23"/>
  <c r="I461" i="23"/>
  <c r="C466" i="23"/>
  <c r="T166" i="23" s="1"/>
  <c r="T174" i="23" s="1"/>
  <c r="C467" i="23"/>
  <c r="T167" i="23" s="1"/>
  <c r="T175" i="23" s="1"/>
  <c r="D176" i="23"/>
  <c r="U66" i="23" s="1"/>
  <c r="U74" i="23" s="1"/>
  <c r="U236" i="23" s="1"/>
  <c r="D177" i="23"/>
  <c r="U67" i="23" s="1"/>
  <c r="U75" i="23" s="1"/>
  <c r="D263" i="23"/>
  <c r="U285" i="23"/>
  <c r="U286" i="23" s="1"/>
  <c r="E62" i="23"/>
  <c r="D380" i="23"/>
  <c r="U137" i="23" s="1"/>
  <c r="U145" i="23" s="1"/>
  <c r="D379" i="23"/>
  <c r="U136" i="23" s="1"/>
  <c r="U144" i="23" s="1"/>
  <c r="U243" i="23" s="1"/>
  <c r="F205" i="23"/>
  <c r="F206" i="23"/>
  <c r="W77" i="23" s="1"/>
  <c r="W85" i="23" s="1"/>
  <c r="D525" i="23"/>
  <c r="U187" i="23" s="1"/>
  <c r="U195" i="23" s="1"/>
  <c r="K550" i="23"/>
  <c r="P550" i="23" s="1"/>
  <c r="J550" i="23"/>
  <c r="V201" i="23" s="1"/>
  <c r="V200" i="23"/>
  <c r="T240" i="23"/>
  <c r="E467" i="23"/>
  <c r="V167" i="23" s="1"/>
  <c r="V175" i="23" s="1"/>
  <c r="E466" i="23"/>
  <c r="D31" i="23"/>
  <c r="U16" i="23" s="1"/>
  <c r="D32" i="23"/>
  <c r="U17" i="23" s="1"/>
  <c r="G323" i="23"/>
  <c r="F176" i="23"/>
  <c r="W66" i="23" s="1"/>
  <c r="W74" i="23" s="1"/>
  <c r="W236" i="23" s="1"/>
  <c r="F177" i="23"/>
  <c r="W67" i="23" s="1"/>
  <c r="W75" i="23" s="1"/>
  <c r="E554" i="23"/>
  <c r="V197" i="23" s="1"/>
  <c r="V205" i="23" s="1"/>
  <c r="E553" i="23"/>
  <c r="AP99" i="23"/>
  <c r="AP110" i="23"/>
  <c r="K289" i="23"/>
  <c r="P289" i="23" s="1"/>
  <c r="J289" i="23"/>
  <c r="V111" i="23" s="1"/>
  <c r="V110" i="23"/>
  <c r="F89" i="23"/>
  <c r="W36" i="23" s="1"/>
  <c r="W44" i="23" s="1"/>
  <c r="W233" i="23" s="1"/>
  <c r="D350" i="23"/>
  <c r="U126" i="23" s="1"/>
  <c r="U134" i="23" s="1"/>
  <c r="U242" i="23" s="1"/>
  <c r="I407" i="23"/>
  <c r="AQ97" i="23"/>
  <c r="AR97" i="23" s="1"/>
  <c r="G380" i="23"/>
  <c r="X137" i="23" s="1"/>
  <c r="X145" i="23" s="1"/>
  <c r="G379" i="23"/>
  <c r="G205" i="23"/>
  <c r="X76" i="23" s="1"/>
  <c r="X84" i="23" s="1"/>
  <c r="X237" i="23" s="1"/>
  <c r="G206" i="23"/>
  <c r="X77" i="23" s="1"/>
  <c r="X85" i="23" s="1"/>
  <c r="F90" i="23"/>
  <c r="W37" i="23" s="1"/>
  <c r="W45" i="23" s="1"/>
  <c r="I345" i="23"/>
  <c r="C264" i="23"/>
  <c r="T97" i="23" s="1"/>
  <c r="T105" i="23" s="1"/>
  <c r="H494" i="23"/>
  <c r="I494" i="23" s="1"/>
  <c r="D148" i="23"/>
  <c r="U57" i="23" s="1"/>
  <c r="U65" i="23" s="1"/>
  <c r="F553" i="23"/>
  <c r="F554" i="23"/>
  <c r="W197" i="23" s="1"/>
  <c r="W205" i="23" s="1"/>
  <c r="H292" i="23"/>
  <c r="I293" i="23" s="1"/>
  <c r="AE25" i="23" s="1"/>
  <c r="I113" i="23"/>
  <c r="H577" i="23"/>
  <c r="C582" i="23"/>
  <c r="T206" i="23" s="1"/>
  <c r="T214" i="23" s="1"/>
  <c r="D466" i="23"/>
  <c r="D467" i="23"/>
  <c r="U167" i="23" s="1"/>
  <c r="U175" i="23" s="1"/>
  <c r="E31" i="23"/>
  <c r="V16" i="23" s="1"/>
  <c r="E32" i="23"/>
  <c r="V17" i="23" s="1"/>
  <c r="D294" i="23"/>
  <c r="G176" i="23"/>
  <c r="G177" i="23"/>
  <c r="X67" i="23" s="1"/>
  <c r="X75" i="23" s="1"/>
  <c r="AO99" i="23"/>
  <c r="AO109" i="23" s="1"/>
  <c r="AO117" i="23" s="1"/>
  <c r="AO110" i="23"/>
  <c r="H581" i="23"/>
  <c r="I581" i="23" s="1"/>
  <c r="E89" i="23"/>
  <c r="V36" i="23" s="1"/>
  <c r="V44" i="23" s="1"/>
  <c r="V233" i="23" s="1"/>
  <c r="H263" i="23"/>
  <c r="I264" i="23" s="1"/>
  <c r="AE24" i="23" s="1"/>
  <c r="G524" i="23"/>
  <c r="X186" i="23" s="1"/>
  <c r="X194" i="23" s="1"/>
  <c r="X248" i="23" s="1"/>
  <c r="J291" i="23"/>
  <c r="X111" i="23" s="1"/>
  <c r="X110" i="23"/>
  <c r="K291" i="23"/>
  <c r="P291" i="23" s="1"/>
  <c r="G61" i="23"/>
  <c r="X27" i="23" s="1"/>
  <c r="X35" i="23" s="1"/>
  <c r="G60" i="23"/>
  <c r="E380" i="23"/>
  <c r="V137" i="23" s="1"/>
  <c r="V145" i="23" s="1"/>
  <c r="H232" i="23"/>
  <c r="I232" i="23" s="1"/>
  <c r="C205" i="23"/>
  <c r="T76" i="23" s="1"/>
  <c r="T84" i="23" s="1"/>
  <c r="H200" i="23"/>
  <c r="C206" i="23"/>
  <c r="T77" i="23" s="1"/>
  <c r="T85" i="23" s="1"/>
  <c r="D90" i="23"/>
  <c r="U37" i="23" s="1"/>
  <c r="U45" i="23" s="1"/>
  <c r="C322" i="23"/>
  <c r="T117" i="23" s="1"/>
  <c r="T125" i="23" s="1"/>
  <c r="K173" i="23"/>
  <c r="P173" i="23" s="1"/>
  <c r="J173" i="23"/>
  <c r="V71" i="23" s="1"/>
  <c r="V70" i="23"/>
  <c r="E148" i="23"/>
  <c r="V57" i="23" s="1"/>
  <c r="V65" i="23" s="1"/>
  <c r="C409" i="23"/>
  <c r="T147" i="23" s="1"/>
  <c r="T155" i="23" s="1"/>
  <c r="H521" i="23"/>
  <c r="I55" i="23"/>
  <c r="J231" i="23"/>
  <c r="V91" i="23" s="1"/>
  <c r="K231" i="23"/>
  <c r="P231" i="23" s="1"/>
  <c r="V90" i="23"/>
  <c r="G553" i="23"/>
  <c r="X196" i="23" s="1"/>
  <c r="X204" i="23" s="1"/>
  <c r="X249" i="23" s="1"/>
  <c r="G554" i="23"/>
  <c r="X197" i="23" s="1"/>
  <c r="X205" i="23" s="1"/>
  <c r="I287" i="23"/>
  <c r="C118" i="23"/>
  <c r="J462" i="23"/>
  <c r="U171" i="23" s="1"/>
  <c r="K462" i="23"/>
  <c r="P462" i="23" s="1"/>
  <c r="U170" i="23"/>
  <c r="D582" i="23"/>
  <c r="F467" i="23"/>
  <c r="W167" i="23" s="1"/>
  <c r="W175" i="23" s="1"/>
  <c r="F466" i="23"/>
  <c r="F31" i="23"/>
  <c r="W16" i="23" s="1"/>
  <c r="F32" i="23"/>
  <c r="W17" i="23" s="1"/>
  <c r="H434" i="23"/>
  <c r="H171" i="23"/>
  <c r="C176" i="23"/>
  <c r="T66" i="23" s="1"/>
  <c r="T74" i="23" s="1"/>
  <c r="C177" i="23"/>
  <c r="T67" i="23" s="1"/>
  <c r="T75" i="23" s="1"/>
  <c r="D323" i="23"/>
  <c r="E408" i="23"/>
  <c r="V146" i="23" s="1"/>
  <c r="V154" i="23" s="1"/>
  <c r="V244" i="23" s="1"/>
  <c r="H436" i="23"/>
  <c r="I436" i="23" s="1"/>
  <c r="I432" i="23"/>
  <c r="C61" i="23"/>
  <c r="T27" i="23" s="1"/>
  <c r="T35" i="23" s="1"/>
  <c r="G350" i="23"/>
  <c r="G147" i="23"/>
  <c r="X56" i="23" s="1"/>
  <c r="X64" i="23" s="1"/>
  <c r="X235" i="23" s="1"/>
  <c r="G408" i="23"/>
  <c r="X146" i="23" s="1"/>
  <c r="X154" i="23" s="1"/>
  <c r="X244" i="23" s="1"/>
  <c r="G91" i="23"/>
  <c r="I88" i="23"/>
  <c r="F148" i="23"/>
  <c r="W57" i="23" s="1"/>
  <c r="W65" i="23" s="1"/>
  <c r="G409" i="23"/>
  <c r="X147" i="23" s="1"/>
  <c r="X155" i="23" s="1"/>
  <c r="H579" i="23"/>
  <c r="I579" i="23" s="1"/>
  <c r="D553" i="23"/>
  <c r="U196" i="23" s="1"/>
  <c r="U204" i="23" s="1"/>
  <c r="U249" i="23" s="1"/>
  <c r="D554" i="23"/>
  <c r="U197" i="23" s="1"/>
  <c r="U205" i="23" s="1"/>
  <c r="W225" i="23"/>
  <c r="AT98" i="23"/>
  <c r="AY98" i="23" s="1"/>
  <c r="AP113" i="23"/>
  <c r="AS98" i="23"/>
  <c r="AP114" i="23" s="1"/>
  <c r="E582" i="23"/>
  <c r="V206" i="23" s="1"/>
  <c r="V214" i="23" s="1"/>
  <c r="V250" i="23" s="1"/>
  <c r="G466" i="23"/>
  <c r="G467" i="23"/>
  <c r="X167" i="23" s="1"/>
  <c r="X175" i="23" s="1"/>
  <c r="C31" i="23"/>
  <c r="T16" i="23" s="1"/>
  <c r="H26" i="23"/>
  <c r="I26" i="23" s="1"/>
  <c r="C32" i="23"/>
  <c r="T17" i="23" s="1"/>
  <c r="D438" i="23"/>
  <c r="U157" i="23" s="1"/>
  <c r="U165" i="23" s="1"/>
  <c r="E438" i="23"/>
  <c r="V157" i="23" s="1"/>
  <c r="V165" i="23" s="1"/>
  <c r="X30" i="23"/>
  <c r="K59" i="23"/>
  <c r="P59" i="23" s="1"/>
  <c r="J59" i="23"/>
  <c r="X31" i="23" s="1"/>
  <c r="C89" i="23"/>
  <c r="T36" i="23" s="1"/>
  <c r="T44" i="23" s="1"/>
  <c r="H84" i="23"/>
  <c r="H492" i="23"/>
  <c r="I492" i="23" s="1"/>
  <c r="C147" i="23"/>
  <c r="T56" i="23" s="1"/>
  <c r="T64" i="23" s="1"/>
  <c r="H142" i="23"/>
  <c r="F497" i="23"/>
  <c r="C263" i="23"/>
  <c r="K261" i="23"/>
  <c r="P261" i="23" s="1"/>
  <c r="J261" i="23"/>
  <c r="W101" i="23" s="1"/>
  <c r="W100" i="23"/>
  <c r="AM99" i="23"/>
  <c r="AM110" i="23"/>
  <c r="C235" i="23"/>
  <c r="T87" i="23" s="1"/>
  <c r="T95" i="23" s="1"/>
  <c r="C321" i="23"/>
  <c r="H115" i="23"/>
  <c r="I115" i="23" s="1"/>
  <c r="G148" i="23"/>
  <c r="X57" i="23" s="1"/>
  <c r="X65" i="23" s="1"/>
  <c r="E409" i="23"/>
  <c r="V147" i="23" s="1"/>
  <c r="V155" i="23" s="1"/>
  <c r="C60" i="23"/>
  <c r="G264" i="23"/>
  <c r="X97" i="23" s="1"/>
  <c r="X105" i="23" s="1"/>
  <c r="H548" i="23"/>
  <c r="I548" i="23" s="1"/>
  <c r="C553" i="23"/>
  <c r="T196" i="23" s="1"/>
  <c r="T204" i="23" s="1"/>
  <c r="C554" i="23"/>
  <c r="T197" i="23" s="1"/>
  <c r="T205" i="23" s="1"/>
  <c r="D234" i="23"/>
  <c r="U86" i="23" s="1"/>
  <c r="U94" i="23" s="1"/>
  <c r="U238" i="23" s="1"/>
  <c r="K378" i="23"/>
  <c r="P378" i="23" s="1"/>
  <c r="J378" i="23"/>
  <c r="X141" i="23" s="1"/>
  <c r="X140" i="23"/>
  <c r="F582" i="23"/>
  <c r="W206" i="23" s="1"/>
  <c r="W214" i="23" s="1"/>
  <c r="W250" i="23" s="1"/>
  <c r="G31" i="23"/>
  <c r="G32" i="23"/>
  <c r="X17" i="23" s="1"/>
  <c r="F234" i="23"/>
  <c r="W86" i="23" s="1"/>
  <c r="W94" i="23" s="1"/>
  <c r="W238" i="23" s="1"/>
  <c r="E439" i="23"/>
  <c r="H493" i="23"/>
  <c r="I493" i="23" s="1"/>
  <c r="C496" i="23"/>
  <c r="T177" i="23" s="1"/>
  <c r="T185" i="23" s="1"/>
  <c r="AL110" i="21"/>
  <c r="AP101" i="21"/>
  <c r="AP103" i="21" s="1"/>
  <c r="F583" i="21"/>
  <c r="W207" i="21" s="1"/>
  <c r="W215" i="21" s="1"/>
  <c r="G553" i="21"/>
  <c r="E496" i="21"/>
  <c r="V177" i="21" s="1"/>
  <c r="V185" i="21" s="1"/>
  <c r="D497" i="21"/>
  <c r="D502" i="21" s="1"/>
  <c r="G467" i="21"/>
  <c r="X167" i="21" s="1"/>
  <c r="X175" i="21" s="1"/>
  <c r="H405" i="21"/>
  <c r="I405" i="21" s="1"/>
  <c r="X130" i="21"/>
  <c r="K349" i="21"/>
  <c r="P349" i="21" s="1"/>
  <c r="H348" i="21"/>
  <c r="I348" i="21" s="1"/>
  <c r="F322" i="21"/>
  <c r="W117" i="21" s="1"/>
  <c r="W125" i="21" s="1"/>
  <c r="E321" i="21"/>
  <c r="V116" i="21" s="1"/>
  <c r="V124" i="21" s="1"/>
  <c r="V241" i="21" s="1"/>
  <c r="H319" i="21"/>
  <c r="F234" i="21"/>
  <c r="W86" i="21" s="1"/>
  <c r="W94" i="21" s="1"/>
  <c r="W238" i="21" s="1"/>
  <c r="H175" i="21"/>
  <c r="D176" i="21"/>
  <c r="U66" i="21" s="1"/>
  <c r="U74" i="21" s="1"/>
  <c r="U236" i="21" s="1"/>
  <c r="C147" i="21"/>
  <c r="T56" i="21" s="1"/>
  <c r="T64" i="21" s="1"/>
  <c r="F148" i="21"/>
  <c r="W57" i="21" s="1"/>
  <c r="W65" i="21" s="1"/>
  <c r="D147" i="21"/>
  <c r="U56" i="21" s="1"/>
  <c r="U64" i="21" s="1"/>
  <c r="U235" i="21" s="1"/>
  <c r="E148" i="21"/>
  <c r="V57" i="21" s="1"/>
  <c r="V65" i="21" s="1"/>
  <c r="H88" i="21"/>
  <c r="I88" i="21" s="1"/>
  <c r="H86" i="21"/>
  <c r="I86" i="21" s="1"/>
  <c r="F60" i="21"/>
  <c r="W26" i="21" s="1"/>
  <c r="W34" i="21" s="1"/>
  <c r="W232" i="21" s="1"/>
  <c r="E60" i="21"/>
  <c r="E62" i="21" s="1"/>
  <c r="G60" i="21"/>
  <c r="X26" i="21" s="1"/>
  <c r="X34" i="21" s="1"/>
  <c r="X232" i="21" s="1"/>
  <c r="D60" i="21"/>
  <c r="U26" i="21" s="1"/>
  <c r="U34" i="21" s="1"/>
  <c r="U232" i="21" s="1"/>
  <c r="E32" i="21"/>
  <c r="V17" i="21" s="1"/>
  <c r="V25" i="21" s="1"/>
  <c r="G32" i="21"/>
  <c r="X17" i="21" s="1"/>
  <c r="C583" i="21"/>
  <c r="T207" i="21" s="1"/>
  <c r="T215" i="21" s="1"/>
  <c r="H579" i="21"/>
  <c r="I579" i="21" s="1"/>
  <c r="K579" i="21" s="1"/>
  <c r="P579" i="21" s="1"/>
  <c r="D583" i="21"/>
  <c r="U207" i="21" s="1"/>
  <c r="U215" i="21" s="1"/>
  <c r="E554" i="21"/>
  <c r="V197" i="21" s="1"/>
  <c r="V205" i="21" s="1"/>
  <c r="H551" i="21"/>
  <c r="I551" i="21" s="1"/>
  <c r="C554" i="21"/>
  <c r="T197" i="21" s="1"/>
  <c r="T205" i="21" s="1"/>
  <c r="D553" i="21"/>
  <c r="U196" i="21" s="1"/>
  <c r="U204" i="21" s="1"/>
  <c r="U249" i="21" s="1"/>
  <c r="H521" i="21"/>
  <c r="I521" i="21" s="1"/>
  <c r="D496" i="21"/>
  <c r="U177" i="21" s="1"/>
  <c r="U185" i="21" s="1"/>
  <c r="F495" i="21"/>
  <c r="W176" i="21" s="1"/>
  <c r="W184" i="21" s="1"/>
  <c r="W247" i="21" s="1"/>
  <c r="E497" i="21"/>
  <c r="H490" i="21"/>
  <c r="H495" i="21" s="1"/>
  <c r="I496" i="21" s="1"/>
  <c r="AE32" i="21" s="1"/>
  <c r="G497" i="21"/>
  <c r="G501" i="21" s="1"/>
  <c r="E467" i="21"/>
  <c r="V167" i="21" s="1"/>
  <c r="V175" i="21" s="1"/>
  <c r="H464" i="21"/>
  <c r="I464" i="21" s="1"/>
  <c r="E466" i="21"/>
  <c r="V166" i="21" s="1"/>
  <c r="V174" i="21" s="1"/>
  <c r="V246" i="21" s="1"/>
  <c r="F467" i="21"/>
  <c r="W167" i="21" s="1"/>
  <c r="W175" i="21" s="1"/>
  <c r="D437" i="21"/>
  <c r="U156" i="21" s="1"/>
  <c r="U164" i="21" s="1"/>
  <c r="U245" i="21" s="1"/>
  <c r="E437" i="21"/>
  <c r="V156" i="21" s="1"/>
  <c r="V164" i="21" s="1"/>
  <c r="V245" i="21" s="1"/>
  <c r="G438" i="21"/>
  <c r="X157" i="21" s="1"/>
  <c r="X165" i="21" s="1"/>
  <c r="D409" i="21"/>
  <c r="U147" i="21" s="1"/>
  <c r="U155" i="21" s="1"/>
  <c r="D321" i="21"/>
  <c r="U116" i="21" s="1"/>
  <c r="U124" i="21" s="1"/>
  <c r="U241" i="21" s="1"/>
  <c r="G321" i="21"/>
  <c r="X116" i="21" s="1"/>
  <c r="X124" i="21" s="1"/>
  <c r="X241" i="21" s="1"/>
  <c r="C322" i="21"/>
  <c r="T117" i="21" s="1"/>
  <c r="T125" i="21" s="1"/>
  <c r="H291" i="21"/>
  <c r="I291" i="21" s="1"/>
  <c r="H260" i="21"/>
  <c r="I260" i="21" s="1"/>
  <c r="J260" i="21" s="1"/>
  <c r="V101" i="21" s="1"/>
  <c r="H232" i="21"/>
  <c r="I232" i="21" s="1"/>
  <c r="E235" i="21"/>
  <c r="V87" i="21" s="1"/>
  <c r="V95" i="21" s="1"/>
  <c r="F235" i="21"/>
  <c r="W87" i="21" s="1"/>
  <c r="W95" i="21" s="1"/>
  <c r="H233" i="21"/>
  <c r="I233" i="21" s="1"/>
  <c r="G234" i="21"/>
  <c r="X86" i="21" s="1"/>
  <c r="X94" i="21" s="1"/>
  <c r="X238" i="21" s="1"/>
  <c r="E205" i="21"/>
  <c r="V76" i="21" s="1"/>
  <c r="V84" i="21" s="1"/>
  <c r="V237" i="21" s="1"/>
  <c r="C206" i="21"/>
  <c r="T77" i="21" s="1"/>
  <c r="T85" i="21" s="1"/>
  <c r="F207" i="21"/>
  <c r="F211" i="21" s="1"/>
  <c r="D206" i="21"/>
  <c r="U77" i="21" s="1"/>
  <c r="U85" i="21" s="1"/>
  <c r="H173" i="21"/>
  <c r="E177" i="21"/>
  <c r="V67" i="21" s="1"/>
  <c r="V75" i="21" s="1"/>
  <c r="G176" i="21"/>
  <c r="X66" i="21" s="1"/>
  <c r="X74" i="21" s="1"/>
  <c r="X236" i="21" s="1"/>
  <c r="F147" i="21"/>
  <c r="W56" i="21" s="1"/>
  <c r="W64" i="21" s="1"/>
  <c r="W235" i="21" s="1"/>
  <c r="G148" i="21"/>
  <c r="X57" i="21" s="1"/>
  <c r="X65" i="21" s="1"/>
  <c r="D148" i="21"/>
  <c r="U57" i="21" s="1"/>
  <c r="U65" i="21" s="1"/>
  <c r="V285" i="21"/>
  <c r="V286" i="21" s="1"/>
  <c r="C60" i="21"/>
  <c r="T26" i="21" s="1"/>
  <c r="T34" i="21" s="1"/>
  <c r="F31" i="21"/>
  <c r="W16" i="21" s="1"/>
  <c r="W24" i="21" s="1"/>
  <c r="C32" i="21"/>
  <c r="T17" i="21" s="1"/>
  <c r="T25" i="21" s="1"/>
  <c r="K59" i="21"/>
  <c r="P59" i="21" s="1"/>
  <c r="X30" i="21"/>
  <c r="J59" i="21"/>
  <c r="X31" i="21" s="1"/>
  <c r="K290" i="21"/>
  <c r="P290" i="21" s="1"/>
  <c r="J290" i="21"/>
  <c r="W111" i="21" s="1"/>
  <c r="W110" i="21"/>
  <c r="U40" i="21"/>
  <c r="K85" i="21"/>
  <c r="P85" i="21" s="1"/>
  <c r="J85" i="21"/>
  <c r="U41" i="21" s="1"/>
  <c r="J579" i="21"/>
  <c r="V211" i="21" s="1"/>
  <c r="V210" i="21"/>
  <c r="V26" i="21"/>
  <c r="V34" i="21" s="1"/>
  <c r="V232" i="21" s="1"/>
  <c r="K288" i="21"/>
  <c r="P288" i="21" s="1"/>
  <c r="J288" i="21"/>
  <c r="U111" i="21" s="1"/>
  <c r="U110" i="21"/>
  <c r="T16" i="21"/>
  <c r="C33" i="21"/>
  <c r="K29" i="21"/>
  <c r="P29" i="21" s="1"/>
  <c r="J29" i="21"/>
  <c r="W21" i="21" s="1"/>
  <c r="W20" i="21"/>
  <c r="J204" i="21"/>
  <c r="X81" i="21" s="1"/>
  <c r="K204" i="21"/>
  <c r="P204" i="21" s="1"/>
  <c r="X80" i="21"/>
  <c r="V24" i="21"/>
  <c r="J552" i="21"/>
  <c r="X201" i="21" s="1"/>
  <c r="K552" i="21"/>
  <c r="X200" i="21"/>
  <c r="P552" i="21"/>
  <c r="K114" i="21"/>
  <c r="P114" i="21" s="1"/>
  <c r="J114" i="21"/>
  <c r="U51" i="21" s="1"/>
  <c r="U50" i="21"/>
  <c r="X76" i="21"/>
  <c r="X84" i="21" s="1"/>
  <c r="X237" i="21" s="1"/>
  <c r="G207" i="21"/>
  <c r="W25" i="21"/>
  <c r="K433" i="21"/>
  <c r="P433" i="21" s="1"/>
  <c r="J433" i="21"/>
  <c r="U161" i="21" s="1"/>
  <c r="U160" i="21"/>
  <c r="X196" i="21"/>
  <c r="X204" i="21" s="1"/>
  <c r="X249" i="21" s="1"/>
  <c r="G555" i="21"/>
  <c r="U76" i="21"/>
  <c r="U84" i="21" s="1"/>
  <c r="U237" i="21" s="1"/>
  <c r="D207" i="21"/>
  <c r="K377" i="21"/>
  <c r="P377" i="21" s="1"/>
  <c r="J377" i="21"/>
  <c r="W141" i="21" s="1"/>
  <c r="W140" i="21"/>
  <c r="G62" i="21"/>
  <c r="K201" i="21"/>
  <c r="P201" i="21" s="1"/>
  <c r="J201" i="21"/>
  <c r="U81" i="21" s="1"/>
  <c r="U80" i="21"/>
  <c r="K434" i="21"/>
  <c r="P434" i="21" s="1"/>
  <c r="J434" i="21"/>
  <c r="V161" i="21" s="1"/>
  <c r="V160" i="21"/>
  <c r="J406" i="21"/>
  <c r="W151" i="21" s="1"/>
  <c r="K406" i="21"/>
  <c r="P406" i="21" s="1"/>
  <c r="W150" i="21"/>
  <c r="U25" i="21"/>
  <c r="G524" i="21"/>
  <c r="G525" i="21"/>
  <c r="X187" i="21" s="1"/>
  <c r="X195" i="21" s="1"/>
  <c r="E61" i="21"/>
  <c r="V27" i="21" s="1"/>
  <c r="V35" i="21" s="1"/>
  <c r="K345" i="21"/>
  <c r="P345" i="21" s="1"/>
  <c r="J345" i="21"/>
  <c r="T131" i="21" s="1"/>
  <c r="T130" i="21"/>
  <c r="H287" i="21"/>
  <c r="I287" i="21" s="1"/>
  <c r="C292" i="21"/>
  <c r="T106" i="21" s="1"/>
  <c r="T114" i="21" s="1"/>
  <c r="C293" i="21"/>
  <c r="T107" i="21" s="1"/>
  <c r="T115" i="21" s="1"/>
  <c r="H318" i="21"/>
  <c r="I318" i="21" s="1"/>
  <c r="T285" i="21"/>
  <c r="T286" i="21" s="1"/>
  <c r="T284" i="21"/>
  <c r="T225" i="21"/>
  <c r="H436" i="21"/>
  <c r="H117" i="21"/>
  <c r="I117" i="21" s="1"/>
  <c r="F236" i="21"/>
  <c r="E582" i="21"/>
  <c r="H230" i="21"/>
  <c r="I230" i="21" s="1"/>
  <c r="F466" i="21"/>
  <c r="W166" i="21" s="1"/>
  <c r="W174" i="21" s="1"/>
  <c r="W246" i="21" s="1"/>
  <c r="H289" i="21"/>
  <c r="I289" i="21" s="1"/>
  <c r="G61" i="21"/>
  <c r="X27" i="21" s="1"/>
  <c r="X35" i="21" s="1"/>
  <c r="D292" i="21"/>
  <c r="D293" i="21"/>
  <c r="U107" i="21" s="1"/>
  <c r="U115" i="21" s="1"/>
  <c r="AM110" i="21"/>
  <c r="K57" i="21"/>
  <c r="P57" i="21" s="1"/>
  <c r="J57" i="21"/>
  <c r="V31" i="21" s="1"/>
  <c r="V30" i="21"/>
  <c r="D234" i="21"/>
  <c r="U86" i="21" s="1"/>
  <c r="U94" i="21" s="1"/>
  <c r="U238" i="21" s="1"/>
  <c r="D62" i="21"/>
  <c r="G235" i="21"/>
  <c r="X87" i="21" s="1"/>
  <c r="X95" i="21" s="1"/>
  <c r="I550" i="21"/>
  <c r="E147" i="21"/>
  <c r="V56" i="21" s="1"/>
  <c r="V64" i="21" s="1"/>
  <c r="V235" i="21" s="1"/>
  <c r="I319" i="21"/>
  <c r="D322" i="21"/>
  <c r="U117" i="21" s="1"/>
  <c r="U125" i="21" s="1"/>
  <c r="C177" i="21"/>
  <c r="T67" i="21" s="1"/>
  <c r="T75" i="21" s="1"/>
  <c r="F582" i="21"/>
  <c r="W206" i="21" s="1"/>
  <c r="W214" i="21" s="1"/>
  <c r="W250" i="21" s="1"/>
  <c r="K261" i="21"/>
  <c r="P261" i="21" s="1"/>
  <c r="J261" i="21"/>
  <c r="W101" i="21" s="1"/>
  <c r="W100" i="21"/>
  <c r="E553" i="21"/>
  <c r="V196" i="21" s="1"/>
  <c r="V204" i="21" s="1"/>
  <c r="V249" i="21" s="1"/>
  <c r="T176" i="21"/>
  <c r="T184" i="21" s="1"/>
  <c r="C497" i="21"/>
  <c r="C352" i="21"/>
  <c r="E292" i="21"/>
  <c r="V106" i="21" s="1"/>
  <c r="V114" i="21" s="1"/>
  <c r="V240" i="21" s="1"/>
  <c r="E293" i="21"/>
  <c r="V107" i="21" s="1"/>
  <c r="V115" i="21" s="1"/>
  <c r="F176" i="21"/>
  <c r="W66" i="21" s="1"/>
  <c r="W74" i="21" s="1"/>
  <c r="W236" i="21" s="1"/>
  <c r="H578" i="21"/>
  <c r="I578" i="21" s="1"/>
  <c r="H144" i="21"/>
  <c r="I144" i="21" s="1"/>
  <c r="C148" i="21"/>
  <c r="T57" i="21" s="1"/>
  <c r="T65" i="21" s="1"/>
  <c r="E322" i="21"/>
  <c r="V117" i="21" s="1"/>
  <c r="V125" i="21" s="1"/>
  <c r="G582" i="21"/>
  <c r="X206" i="21" s="1"/>
  <c r="X214" i="21" s="1"/>
  <c r="X250" i="21" s="1"/>
  <c r="E438" i="21"/>
  <c r="V157" i="21" s="1"/>
  <c r="V165" i="21" s="1"/>
  <c r="H407" i="21"/>
  <c r="I407" i="21" s="1"/>
  <c r="K26" i="21"/>
  <c r="P26" i="21" s="1"/>
  <c r="J26" i="21"/>
  <c r="T21" i="21" s="1"/>
  <c r="T20" i="21"/>
  <c r="T242" i="21"/>
  <c r="H549" i="21"/>
  <c r="H553" i="21" s="1"/>
  <c r="I554" i="21" s="1"/>
  <c r="AE34" i="21" s="1"/>
  <c r="G292" i="21"/>
  <c r="X106" i="21" s="1"/>
  <c r="X114" i="21" s="1"/>
  <c r="X240" i="21" s="1"/>
  <c r="G293" i="21"/>
  <c r="X107" i="21" s="1"/>
  <c r="X115" i="21" s="1"/>
  <c r="H435" i="21"/>
  <c r="I435" i="21" s="1"/>
  <c r="H258" i="21"/>
  <c r="C263" i="21"/>
  <c r="T96" i="21" s="1"/>
  <c r="T104" i="21" s="1"/>
  <c r="C264" i="21"/>
  <c r="T97" i="21" s="1"/>
  <c r="T105" i="21" s="1"/>
  <c r="W40" i="21"/>
  <c r="J87" i="21"/>
  <c r="W41" i="21" s="1"/>
  <c r="K87" i="21"/>
  <c r="P87" i="21" s="1"/>
  <c r="K320" i="21"/>
  <c r="P320" i="21" s="1"/>
  <c r="J320" i="21"/>
  <c r="X121" i="21" s="1"/>
  <c r="X120" i="21"/>
  <c r="K520" i="21"/>
  <c r="P520" i="21" s="1"/>
  <c r="J520" i="21"/>
  <c r="U191" i="21" s="1"/>
  <c r="U190" i="21"/>
  <c r="X16" i="21"/>
  <c r="G33" i="21"/>
  <c r="K203" i="21"/>
  <c r="P203" i="21" s="1"/>
  <c r="J203" i="21"/>
  <c r="W81" i="21" s="1"/>
  <c r="W80" i="21"/>
  <c r="J143" i="21"/>
  <c r="U61" i="21" s="1"/>
  <c r="U60" i="21"/>
  <c r="K143" i="21"/>
  <c r="P143" i="21" s="1"/>
  <c r="G437" i="21"/>
  <c r="X156" i="21" s="1"/>
  <c r="X164" i="21" s="1"/>
  <c r="X245" i="21" s="1"/>
  <c r="K346" i="21"/>
  <c r="P346" i="21" s="1"/>
  <c r="J346" i="21"/>
  <c r="U131" i="21" s="1"/>
  <c r="U130" i="21"/>
  <c r="K548" i="21"/>
  <c r="P548" i="21" s="1"/>
  <c r="J548" i="21"/>
  <c r="T201" i="21" s="1"/>
  <c r="T200" i="21"/>
  <c r="D263" i="21"/>
  <c r="U96" i="21" s="1"/>
  <c r="U104" i="21" s="1"/>
  <c r="U239" i="21" s="1"/>
  <c r="D264" i="21"/>
  <c r="U97" i="21" s="1"/>
  <c r="U105" i="21" s="1"/>
  <c r="J494" i="21"/>
  <c r="X181" i="21" s="1"/>
  <c r="K494" i="21"/>
  <c r="P494" i="21" s="1"/>
  <c r="X180" i="21"/>
  <c r="U225" i="21"/>
  <c r="U285" i="21"/>
  <c r="U286" i="21" s="1"/>
  <c r="U284" i="21"/>
  <c r="AP113" i="21"/>
  <c r="X25" i="21"/>
  <c r="W78" i="21"/>
  <c r="G147" i="21"/>
  <c r="X56" i="21" s="1"/>
  <c r="X64" i="21" s="1"/>
  <c r="X235" i="21" s="1"/>
  <c r="H58" i="21"/>
  <c r="I58" i="21" s="1"/>
  <c r="C438" i="21"/>
  <c r="T157" i="21" s="1"/>
  <c r="T165" i="21" s="1"/>
  <c r="D31" i="21"/>
  <c r="C61" i="21"/>
  <c r="T27" i="21" s="1"/>
  <c r="T35" i="21" s="1"/>
  <c r="W285" i="21"/>
  <c r="W286" i="21" s="1"/>
  <c r="W284" i="21"/>
  <c r="W225" i="21"/>
  <c r="G408" i="21"/>
  <c r="X146" i="21" s="1"/>
  <c r="X154" i="21" s="1"/>
  <c r="X244" i="21" s="1"/>
  <c r="D354" i="21"/>
  <c r="D356" i="21"/>
  <c r="D357" i="21"/>
  <c r="U128" i="21"/>
  <c r="I142" i="21"/>
  <c r="C379" i="21"/>
  <c r="T136" i="21" s="1"/>
  <c r="T144" i="21" s="1"/>
  <c r="H374" i="21"/>
  <c r="H379" i="21" s="1"/>
  <c r="I380" i="21" s="1"/>
  <c r="AE28" i="21" s="1"/>
  <c r="C380" i="21"/>
  <c r="T137" i="21" s="1"/>
  <c r="T145" i="21" s="1"/>
  <c r="F438" i="21"/>
  <c r="W157" i="21" s="1"/>
  <c r="W165" i="21" s="1"/>
  <c r="D177" i="21"/>
  <c r="U67" i="21" s="1"/>
  <c r="U75" i="21" s="1"/>
  <c r="K347" i="21"/>
  <c r="P347" i="21" s="1"/>
  <c r="J347" i="21"/>
  <c r="V131" i="21" s="1"/>
  <c r="V130" i="21"/>
  <c r="J348" i="21"/>
  <c r="W131" i="21" s="1"/>
  <c r="K348" i="21"/>
  <c r="P348" i="21" s="1"/>
  <c r="W130" i="21"/>
  <c r="K376" i="21"/>
  <c r="P376" i="21" s="1"/>
  <c r="J376" i="21"/>
  <c r="V141" i="21" s="1"/>
  <c r="V140" i="21"/>
  <c r="E263" i="21"/>
  <c r="E264" i="21"/>
  <c r="V97" i="21" s="1"/>
  <c r="V105" i="21" s="1"/>
  <c r="D118" i="21"/>
  <c r="D119" i="21"/>
  <c r="U47" i="21" s="1"/>
  <c r="U55" i="21" s="1"/>
  <c r="V225" i="21"/>
  <c r="AL99" i="21"/>
  <c r="AL109" i="21" s="1"/>
  <c r="AL117" i="21" s="1"/>
  <c r="AQ94" i="21"/>
  <c r="H259" i="21"/>
  <c r="I259" i="21" s="1"/>
  <c r="F553" i="21"/>
  <c r="W196" i="21" s="1"/>
  <c r="W204" i="21" s="1"/>
  <c r="W249" i="21" s="1"/>
  <c r="F177" i="21"/>
  <c r="W67" i="21" s="1"/>
  <c r="W75" i="21" s="1"/>
  <c r="K231" i="21"/>
  <c r="P231" i="21" s="1"/>
  <c r="J231" i="21"/>
  <c r="V91" i="21" s="1"/>
  <c r="V90" i="21"/>
  <c r="I171" i="21"/>
  <c r="J378" i="21"/>
  <c r="X141" i="21" s="1"/>
  <c r="K378" i="21"/>
  <c r="P378" i="21" s="1"/>
  <c r="X140" i="21"/>
  <c r="H146" i="21"/>
  <c r="I146" i="21" s="1"/>
  <c r="H522" i="21"/>
  <c r="I522" i="21" s="1"/>
  <c r="E379" i="21"/>
  <c r="E380" i="21"/>
  <c r="V137" i="21" s="1"/>
  <c r="V145" i="21" s="1"/>
  <c r="C408" i="21"/>
  <c r="T146" i="21" s="1"/>
  <c r="T154" i="21" s="1"/>
  <c r="H403" i="21"/>
  <c r="J116" i="21"/>
  <c r="W51" i="21" s="1"/>
  <c r="K116" i="21"/>
  <c r="P116" i="21" s="1"/>
  <c r="W50" i="21"/>
  <c r="F357" i="21"/>
  <c r="F354" i="21"/>
  <c r="W128" i="21"/>
  <c r="F356" i="21"/>
  <c r="H202" i="21"/>
  <c r="I202" i="21" s="1"/>
  <c r="F263" i="21"/>
  <c r="F264" i="21"/>
  <c r="W97" i="21" s="1"/>
  <c r="W105" i="21" s="1"/>
  <c r="J493" i="21"/>
  <c r="W181" i="21" s="1"/>
  <c r="K493" i="21"/>
  <c r="P493" i="21" s="1"/>
  <c r="W180" i="21"/>
  <c r="H55" i="21"/>
  <c r="G322" i="21"/>
  <c r="X117" i="21" s="1"/>
  <c r="X125" i="21" s="1"/>
  <c r="C437" i="21"/>
  <c r="G118" i="21"/>
  <c r="X46" i="21" s="1"/>
  <c r="X54" i="21" s="1"/>
  <c r="X234" i="21" s="1"/>
  <c r="G119" i="21"/>
  <c r="X47" i="21" s="1"/>
  <c r="X55" i="21" s="1"/>
  <c r="J492" i="21"/>
  <c r="V181" i="21" s="1"/>
  <c r="K492" i="21"/>
  <c r="P492" i="21" s="1"/>
  <c r="V180" i="21"/>
  <c r="V284" i="21"/>
  <c r="AM99" i="21"/>
  <c r="AM109" i="21" s="1"/>
  <c r="AM117" i="21" s="1"/>
  <c r="E583" i="21"/>
  <c r="V207" i="21" s="1"/>
  <c r="V215" i="21" s="1"/>
  <c r="G177" i="21"/>
  <c r="X67" i="21" s="1"/>
  <c r="X75" i="21" s="1"/>
  <c r="F62" i="21"/>
  <c r="C205" i="21"/>
  <c r="D466" i="21"/>
  <c r="U166" i="21" s="1"/>
  <c r="U174" i="21" s="1"/>
  <c r="U246" i="21" s="1"/>
  <c r="D379" i="21"/>
  <c r="D380" i="21"/>
  <c r="U137" i="21" s="1"/>
  <c r="U145" i="21" s="1"/>
  <c r="F89" i="21"/>
  <c r="F90" i="21"/>
  <c r="W37" i="21" s="1"/>
  <c r="W45" i="21" s="1"/>
  <c r="C553" i="21"/>
  <c r="I175" i="21"/>
  <c r="G263" i="21"/>
  <c r="G264" i="21"/>
  <c r="X97" i="21" s="1"/>
  <c r="X105" i="21" s="1"/>
  <c r="D501" i="21"/>
  <c r="C118" i="21"/>
  <c r="T46" i="21" s="1"/>
  <c r="T54" i="21" s="1"/>
  <c r="H113" i="21"/>
  <c r="C119" i="21"/>
  <c r="T47" i="21" s="1"/>
  <c r="T55" i="21" s="1"/>
  <c r="H172" i="21"/>
  <c r="C176" i="21"/>
  <c r="H28" i="21"/>
  <c r="I28" i="21" s="1"/>
  <c r="AQ95" i="21"/>
  <c r="AR95" i="21" s="1"/>
  <c r="K262" i="21"/>
  <c r="P262" i="21" s="1"/>
  <c r="J262" i="21"/>
  <c r="X101" i="21" s="1"/>
  <c r="X100" i="21"/>
  <c r="D524" i="21"/>
  <c r="D525" i="21"/>
  <c r="U187" i="21" s="1"/>
  <c r="U195" i="21" s="1"/>
  <c r="H463" i="21"/>
  <c r="I463" i="21" s="1"/>
  <c r="K88" i="21"/>
  <c r="P88" i="21" s="1"/>
  <c r="J88" i="21"/>
  <c r="X41" i="21" s="1"/>
  <c r="X40" i="21"/>
  <c r="F379" i="21"/>
  <c r="F380" i="21"/>
  <c r="W137" i="21" s="1"/>
  <c r="W145" i="21" s="1"/>
  <c r="F408" i="21"/>
  <c r="D408" i="21"/>
  <c r="U146" i="21" s="1"/>
  <c r="U154" i="21" s="1"/>
  <c r="U244" i="21" s="1"/>
  <c r="E90" i="21"/>
  <c r="V37" i="21" s="1"/>
  <c r="V45" i="21" s="1"/>
  <c r="E89" i="21"/>
  <c r="V36" i="21" s="1"/>
  <c r="V44" i="21" s="1"/>
  <c r="V233" i="21" s="1"/>
  <c r="G206" i="21"/>
  <c r="X77" i="21" s="1"/>
  <c r="X85" i="21" s="1"/>
  <c r="H581" i="21"/>
  <c r="I581" i="21" s="1"/>
  <c r="I432" i="21"/>
  <c r="E118" i="21"/>
  <c r="E119" i="21"/>
  <c r="V47" i="21" s="1"/>
  <c r="V55" i="21" s="1"/>
  <c r="F321" i="21"/>
  <c r="W116" i="21" s="1"/>
  <c r="W124" i="21" s="1"/>
  <c r="W241" i="21" s="1"/>
  <c r="G583" i="21"/>
  <c r="X207" i="21" s="1"/>
  <c r="X215" i="21" s="1"/>
  <c r="E33" i="21"/>
  <c r="E524" i="21"/>
  <c r="V186" i="21" s="1"/>
  <c r="V194" i="21" s="1"/>
  <c r="V248" i="21" s="1"/>
  <c r="E525" i="21"/>
  <c r="V187" i="21" s="1"/>
  <c r="V195" i="21" s="1"/>
  <c r="I200" i="21"/>
  <c r="X20" i="21"/>
  <c r="K30" i="21"/>
  <c r="P30" i="21" s="1"/>
  <c r="J30" i="21"/>
  <c r="X21" i="21" s="1"/>
  <c r="G379" i="21"/>
  <c r="G380" i="21"/>
  <c r="X137" i="21" s="1"/>
  <c r="X145" i="21" s="1"/>
  <c r="C409" i="21"/>
  <c r="T147" i="21" s="1"/>
  <c r="T155" i="21" s="1"/>
  <c r="AP110" i="21"/>
  <c r="G89" i="21"/>
  <c r="G90" i="21"/>
  <c r="X37" i="21" s="1"/>
  <c r="X45" i="21" s="1"/>
  <c r="K375" i="21"/>
  <c r="P375" i="21" s="1"/>
  <c r="J375" i="21"/>
  <c r="U141" i="21" s="1"/>
  <c r="U140" i="21"/>
  <c r="D235" i="21"/>
  <c r="U87" i="21" s="1"/>
  <c r="U95" i="21" s="1"/>
  <c r="E323" i="21"/>
  <c r="AT97" i="21"/>
  <c r="AY97" i="21" s="1"/>
  <c r="AS97" i="21"/>
  <c r="AO114" i="21" s="1"/>
  <c r="AO113" i="21"/>
  <c r="J491" i="21"/>
  <c r="U181" i="21" s="1"/>
  <c r="K491" i="21"/>
  <c r="P491" i="21" s="1"/>
  <c r="U180" i="21"/>
  <c r="G357" i="21"/>
  <c r="G354" i="21"/>
  <c r="G356" i="21"/>
  <c r="X128" i="21"/>
  <c r="C466" i="21"/>
  <c r="T166" i="21" s="1"/>
  <c r="T174" i="21" s="1"/>
  <c r="H461" i="21"/>
  <c r="AS96" i="21"/>
  <c r="AN114" i="21" s="1"/>
  <c r="AT96" i="21"/>
  <c r="AY96" i="21" s="1"/>
  <c r="AN113" i="21"/>
  <c r="F118" i="21"/>
  <c r="F119" i="21"/>
  <c r="W47" i="21" s="1"/>
  <c r="W55" i="21" s="1"/>
  <c r="X284" i="21"/>
  <c r="X225" i="21"/>
  <c r="X285" i="21"/>
  <c r="X286" i="21" s="1"/>
  <c r="H316" i="21"/>
  <c r="C524" i="21"/>
  <c r="T186" i="21" s="1"/>
  <c r="T194" i="21" s="1"/>
  <c r="H519" i="21"/>
  <c r="I519" i="21" s="1"/>
  <c r="C525" i="21"/>
  <c r="T187" i="21" s="1"/>
  <c r="T195" i="21" s="1"/>
  <c r="F61" i="21"/>
  <c r="W27" i="21" s="1"/>
  <c r="W35" i="21" s="1"/>
  <c r="E234" i="21"/>
  <c r="H465" i="21"/>
  <c r="I465" i="21" s="1"/>
  <c r="E408" i="21"/>
  <c r="V146" i="21" s="1"/>
  <c r="V154" i="21" s="1"/>
  <c r="V244" i="21" s="1"/>
  <c r="C89" i="21"/>
  <c r="T36" i="21" s="1"/>
  <c r="T44" i="21" s="1"/>
  <c r="H84" i="21"/>
  <c r="C90" i="21"/>
  <c r="T37" i="21" s="1"/>
  <c r="T45" i="21" s="1"/>
  <c r="H56" i="21"/>
  <c r="I56" i="21" s="1"/>
  <c r="E176" i="21"/>
  <c r="V66" i="21" s="1"/>
  <c r="V74" i="21" s="1"/>
  <c r="V236" i="21" s="1"/>
  <c r="H462" i="21"/>
  <c r="I462" i="21" s="1"/>
  <c r="G466" i="21"/>
  <c r="X166" i="21" s="1"/>
  <c r="X174" i="21" s="1"/>
  <c r="X246" i="21" s="1"/>
  <c r="AN101" i="21"/>
  <c r="K115" i="21"/>
  <c r="P115" i="21" s="1"/>
  <c r="J115" i="21"/>
  <c r="V51" i="21" s="1"/>
  <c r="V50" i="21"/>
  <c r="C582" i="21"/>
  <c r="T206" i="21" s="1"/>
  <c r="T214" i="21" s="1"/>
  <c r="H577" i="21"/>
  <c r="I577" i="21"/>
  <c r="I173" i="21"/>
  <c r="K523" i="21"/>
  <c r="P523" i="21" s="1"/>
  <c r="J523" i="21"/>
  <c r="X191" i="21" s="1"/>
  <c r="X190" i="21"/>
  <c r="H174" i="21"/>
  <c r="I174" i="21" s="1"/>
  <c r="F524" i="21"/>
  <c r="W186" i="21" s="1"/>
  <c r="W194" i="21" s="1"/>
  <c r="W248" i="21" s="1"/>
  <c r="F525" i="21"/>
  <c r="W187" i="21" s="1"/>
  <c r="W195" i="21" s="1"/>
  <c r="H145" i="21"/>
  <c r="I145" i="21" s="1"/>
  <c r="F292" i="21"/>
  <c r="F293" i="21"/>
  <c r="W107" i="21" s="1"/>
  <c r="W115" i="21" s="1"/>
  <c r="D554" i="21"/>
  <c r="U197" i="21" s="1"/>
  <c r="U205" i="21" s="1"/>
  <c r="D89" i="21"/>
  <c r="D90" i="21"/>
  <c r="U37" i="21" s="1"/>
  <c r="U45" i="21" s="1"/>
  <c r="C234" i="21"/>
  <c r="T86" i="21" s="1"/>
  <c r="T94" i="21" s="1"/>
  <c r="C236" i="21"/>
  <c r="H229" i="21"/>
  <c r="I229" i="21" s="1"/>
  <c r="C235" i="21"/>
  <c r="T87" i="21" s="1"/>
  <c r="T95" i="21" s="1"/>
  <c r="H317" i="21"/>
  <c r="I317" i="21" s="1"/>
  <c r="D467" i="21"/>
  <c r="U167" i="21" s="1"/>
  <c r="U175" i="21" s="1"/>
  <c r="D582" i="21"/>
  <c r="U206" i="21" s="1"/>
  <c r="U214" i="21" s="1"/>
  <c r="U250" i="21" s="1"/>
  <c r="I404" i="21"/>
  <c r="F437" i="21"/>
  <c r="W156" i="21" s="1"/>
  <c r="W164" i="21" s="1"/>
  <c r="W245" i="21" s="1"/>
  <c r="H580" i="21"/>
  <c r="I580" i="21" s="1"/>
  <c r="C321" i="21"/>
  <c r="AY98" i="20"/>
  <c r="G583" i="20"/>
  <c r="X207" i="20" s="1"/>
  <c r="X215" i="20" s="1"/>
  <c r="H552" i="20"/>
  <c r="F554" i="20"/>
  <c r="W197" i="20" s="1"/>
  <c r="W205" i="20" s="1"/>
  <c r="D524" i="20"/>
  <c r="U186" i="20" s="1"/>
  <c r="U194" i="20" s="1"/>
  <c r="U248" i="20" s="1"/>
  <c r="I494" i="20"/>
  <c r="J494" i="20" s="1"/>
  <c r="X181" i="20" s="1"/>
  <c r="D466" i="20"/>
  <c r="U166" i="20" s="1"/>
  <c r="U174" i="20" s="1"/>
  <c r="U246" i="20" s="1"/>
  <c r="C467" i="20"/>
  <c r="T167" i="20" s="1"/>
  <c r="T175" i="20" s="1"/>
  <c r="F467" i="20"/>
  <c r="W167" i="20" s="1"/>
  <c r="W175" i="20" s="1"/>
  <c r="D437" i="20"/>
  <c r="D439" i="20" s="1"/>
  <c r="C438" i="20"/>
  <c r="T157" i="20" s="1"/>
  <c r="T165" i="20" s="1"/>
  <c r="E437" i="20"/>
  <c r="V156" i="20" s="1"/>
  <c r="V164" i="20" s="1"/>
  <c r="V245" i="20" s="1"/>
  <c r="G438" i="20"/>
  <c r="X157" i="20" s="1"/>
  <c r="X165" i="20" s="1"/>
  <c r="F380" i="20"/>
  <c r="W137" i="20" s="1"/>
  <c r="W145" i="20" s="1"/>
  <c r="E379" i="20"/>
  <c r="V136" i="20" s="1"/>
  <c r="V144" i="20" s="1"/>
  <c r="V243" i="20" s="1"/>
  <c r="E321" i="20"/>
  <c r="V116" i="20" s="1"/>
  <c r="V124" i="20" s="1"/>
  <c r="V241" i="20" s="1"/>
  <c r="G148" i="20"/>
  <c r="X57" i="20" s="1"/>
  <c r="X65" i="20" s="1"/>
  <c r="H85" i="20"/>
  <c r="I85" i="20" s="1"/>
  <c r="D60" i="20"/>
  <c r="U26" i="20" s="1"/>
  <c r="U34" i="20" s="1"/>
  <c r="U232" i="20" s="1"/>
  <c r="H57" i="20"/>
  <c r="I57" i="20" s="1"/>
  <c r="F61" i="20"/>
  <c r="W27" i="20" s="1"/>
  <c r="W35" i="20" s="1"/>
  <c r="F582" i="20"/>
  <c r="W206" i="20" s="1"/>
  <c r="W214" i="20" s="1"/>
  <c r="W250" i="20" s="1"/>
  <c r="H549" i="20"/>
  <c r="I549" i="20" s="1"/>
  <c r="H551" i="20"/>
  <c r="I551" i="20" s="1"/>
  <c r="K551" i="20" s="1"/>
  <c r="P551" i="20" s="1"/>
  <c r="H520" i="20"/>
  <c r="I520" i="20" s="1"/>
  <c r="K520" i="20" s="1"/>
  <c r="P520" i="20" s="1"/>
  <c r="H493" i="20"/>
  <c r="I493" i="20" s="1"/>
  <c r="W166" i="20"/>
  <c r="W174" i="20" s="1"/>
  <c r="W246" i="20" s="1"/>
  <c r="F468" i="20"/>
  <c r="F470" i="20" s="1"/>
  <c r="C466" i="20"/>
  <c r="T166" i="20" s="1"/>
  <c r="T174" i="20" s="1"/>
  <c r="T246" i="20" s="1"/>
  <c r="D467" i="20"/>
  <c r="U167" i="20" s="1"/>
  <c r="U175" i="20" s="1"/>
  <c r="G437" i="20"/>
  <c r="X156" i="20" s="1"/>
  <c r="X164" i="20" s="1"/>
  <c r="X245" i="20" s="1"/>
  <c r="H434" i="20"/>
  <c r="I434" i="20" s="1"/>
  <c r="G409" i="20"/>
  <c r="X147" i="20" s="1"/>
  <c r="X155" i="20" s="1"/>
  <c r="E408" i="20"/>
  <c r="V146" i="20" s="1"/>
  <c r="V154" i="20" s="1"/>
  <c r="V244" i="20" s="1"/>
  <c r="H405" i="20"/>
  <c r="I405" i="20" s="1"/>
  <c r="D409" i="20"/>
  <c r="U147" i="20" s="1"/>
  <c r="U155" i="20" s="1"/>
  <c r="E380" i="20"/>
  <c r="V137" i="20" s="1"/>
  <c r="V145" i="20" s="1"/>
  <c r="G380" i="20"/>
  <c r="X137" i="20" s="1"/>
  <c r="X145" i="20" s="1"/>
  <c r="F379" i="20"/>
  <c r="W136" i="20" s="1"/>
  <c r="W144" i="20" s="1"/>
  <c r="W243" i="20" s="1"/>
  <c r="J349" i="20"/>
  <c r="X131" i="20" s="1"/>
  <c r="X130" i="20"/>
  <c r="K349" i="20"/>
  <c r="P349" i="20" s="1"/>
  <c r="H345" i="20"/>
  <c r="I345" i="20" s="1"/>
  <c r="E351" i="20"/>
  <c r="V127" i="20" s="1"/>
  <c r="V135" i="20" s="1"/>
  <c r="H261" i="20"/>
  <c r="E264" i="20"/>
  <c r="V97" i="20" s="1"/>
  <c r="V105" i="20" s="1"/>
  <c r="H232" i="20"/>
  <c r="I232" i="20" s="1"/>
  <c r="D235" i="20"/>
  <c r="U87" i="20" s="1"/>
  <c r="U95" i="20" s="1"/>
  <c r="E235" i="20"/>
  <c r="V87" i="20" s="1"/>
  <c r="V95" i="20" s="1"/>
  <c r="H202" i="20"/>
  <c r="I202" i="20" s="1"/>
  <c r="G206" i="20"/>
  <c r="X77" i="20" s="1"/>
  <c r="X85" i="20" s="1"/>
  <c r="C206" i="20"/>
  <c r="T77" i="20" s="1"/>
  <c r="T85" i="20" s="1"/>
  <c r="F177" i="20"/>
  <c r="W67" i="20" s="1"/>
  <c r="W75" i="20" s="1"/>
  <c r="H171" i="20"/>
  <c r="I171" i="20" s="1"/>
  <c r="D178" i="20"/>
  <c r="D180" i="20" s="1"/>
  <c r="H172" i="20"/>
  <c r="I172" i="20" s="1"/>
  <c r="F148" i="20"/>
  <c r="W57" i="20" s="1"/>
  <c r="W65" i="20" s="1"/>
  <c r="F147" i="20"/>
  <c r="W56" i="20" s="1"/>
  <c r="W64" i="20" s="1"/>
  <c r="W235" i="20" s="1"/>
  <c r="G147" i="20"/>
  <c r="X56" i="20" s="1"/>
  <c r="X64" i="20" s="1"/>
  <c r="X235" i="20" s="1"/>
  <c r="H143" i="20"/>
  <c r="I143" i="20" s="1"/>
  <c r="G61" i="20"/>
  <c r="X27" i="20" s="1"/>
  <c r="X35" i="20" s="1"/>
  <c r="F60" i="20"/>
  <c r="W26" i="20" s="1"/>
  <c r="W34" i="20" s="1"/>
  <c r="W232" i="20" s="1"/>
  <c r="F31" i="20"/>
  <c r="W16" i="20" s="1"/>
  <c r="G31" i="20"/>
  <c r="X16" i="20" s="1"/>
  <c r="X24" i="20" s="1"/>
  <c r="C32" i="20"/>
  <c r="T17" i="20" s="1"/>
  <c r="T25" i="20" s="1"/>
  <c r="E31" i="20"/>
  <c r="E33" i="20" s="1"/>
  <c r="E32" i="20"/>
  <c r="V17" i="20" s="1"/>
  <c r="V25" i="20" s="1"/>
  <c r="K492" i="20"/>
  <c r="P492" i="20" s="1"/>
  <c r="J492" i="20"/>
  <c r="V181" i="20" s="1"/>
  <c r="V180" i="20"/>
  <c r="J174" i="20"/>
  <c r="W71" i="20" s="1"/>
  <c r="K174" i="20"/>
  <c r="P174" i="20" s="1"/>
  <c r="W70" i="20"/>
  <c r="AS95" i="20"/>
  <c r="AM114" i="20" s="1"/>
  <c r="AM113" i="20"/>
  <c r="AT95" i="20"/>
  <c r="AY95" i="20" s="1"/>
  <c r="K231" i="20"/>
  <c r="J231" i="20"/>
  <c r="V91" i="20" s="1"/>
  <c r="V90" i="20"/>
  <c r="P231" i="20"/>
  <c r="J462" i="20"/>
  <c r="U171" i="20" s="1"/>
  <c r="K462" i="20"/>
  <c r="P462" i="20" s="1"/>
  <c r="U170" i="20"/>
  <c r="K378" i="20"/>
  <c r="P378" i="20" s="1"/>
  <c r="J378" i="20"/>
  <c r="X141" i="20" s="1"/>
  <c r="X140" i="20"/>
  <c r="K375" i="20"/>
  <c r="P375" i="20" s="1"/>
  <c r="J375" i="20"/>
  <c r="U141" i="20" s="1"/>
  <c r="U140" i="20"/>
  <c r="C60" i="20"/>
  <c r="H578" i="20"/>
  <c r="C583" i="20"/>
  <c r="T207" i="20" s="1"/>
  <c r="T215" i="20" s="1"/>
  <c r="G524" i="20"/>
  <c r="T285" i="20"/>
  <c r="T286" i="20" s="1"/>
  <c r="T284" i="20"/>
  <c r="T225" i="20"/>
  <c r="F350" i="20"/>
  <c r="W126" i="20" s="1"/>
  <c r="W134" i="20" s="1"/>
  <c r="W242" i="20" s="1"/>
  <c r="F351" i="20"/>
  <c r="W127" i="20" s="1"/>
  <c r="W135" i="20" s="1"/>
  <c r="X225" i="20"/>
  <c r="X285" i="20"/>
  <c r="X286" i="20" s="1"/>
  <c r="X284" i="20"/>
  <c r="G89" i="20"/>
  <c r="X36" i="20" s="1"/>
  <c r="X44" i="20" s="1"/>
  <c r="X233" i="20" s="1"/>
  <c r="G90" i="20"/>
  <c r="X37" i="20" s="1"/>
  <c r="X45" i="20" s="1"/>
  <c r="J58" i="20"/>
  <c r="W31" i="20" s="1"/>
  <c r="W30" i="20"/>
  <c r="K58" i="20"/>
  <c r="P58" i="20" s="1"/>
  <c r="C292" i="20"/>
  <c r="T106" i="20" s="1"/>
  <c r="T114" i="20" s="1"/>
  <c r="H287" i="20"/>
  <c r="I287" i="20" s="1"/>
  <c r="C293" i="20"/>
  <c r="T107" i="20" s="1"/>
  <c r="T115" i="20" s="1"/>
  <c r="C263" i="20"/>
  <c r="T96" i="20" s="1"/>
  <c r="T104" i="20" s="1"/>
  <c r="C265" i="20"/>
  <c r="H258" i="20"/>
  <c r="J464" i="20"/>
  <c r="W171" i="20" s="1"/>
  <c r="K464" i="20"/>
  <c r="P464" i="20" s="1"/>
  <c r="W170" i="20"/>
  <c r="V285" i="20"/>
  <c r="V286" i="20" s="1"/>
  <c r="V225" i="20"/>
  <c r="V284" i="20"/>
  <c r="G263" i="20"/>
  <c r="E118" i="20"/>
  <c r="V46" i="20" s="1"/>
  <c r="V54" i="20" s="1"/>
  <c r="V234" i="20" s="1"/>
  <c r="E119" i="20"/>
  <c r="V47" i="20" s="1"/>
  <c r="V55" i="20" s="1"/>
  <c r="U284" i="20"/>
  <c r="U225" i="20"/>
  <c r="U285" i="20"/>
  <c r="U286" i="20" s="1"/>
  <c r="G176" i="20"/>
  <c r="X66" i="20" s="1"/>
  <c r="X74" i="20" s="1"/>
  <c r="X236" i="20" s="1"/>
  <c r="G177" i="20"/>
  <c r="X67" i="20" s="1"/>
  <c r="X75" i="20" s="1"/>
  <c r="G235" i="20"/>
  <c r="X87" i="20" s="1"/>
  <c r="X95" i="20" s="1"/>
  <c r="C524" i="20"/>
  <c r="T186" i="20" s="1"/>
  <c r="T194" i="20" s="1"/>
  <c r="H519" i="20"/>
  <c r="V56" i="20"/>
  <c r="V64" i="20" s="1"/>
  <c r="V235" i="20" s="1"/>
  <c r="E149" i="20"/>
  <c r="H581" i="20"/>
  <c r="C408" i="20"/>
  <c r="T146" i="20" s="1"/>
  <c r="T154" i="20" s="1"/>
  <c r="H403" i="20"/>
  <c r="I403" i="20" s="1"/>
  <c r="H377" i="20"/>
  <c r="I377" i="20" s="1"/>
  <c r="G350" i="20"/>
  <c r="G351" i="20"/>
  <c r="X127" i="20" s="1"/>
  <c r="X135" i="20" s="1"/>
  <c r="K290" i="20"/>
  <c r="P290" i="20" s="1"/>
  <c r="J290" i="20"/>
  <c r="W111" i="20" s="1"/>
  <c r="W110" i="20"/>
  <c r="AL110" i="20"/>
  <c r="AQ94" i="20"/>
  <c r="AR94" i="20" s="1"/>
  <c r="AL99" i="20"/>
  <c r="AL109" i="20" s="1"/>
  <c r="AL117" i="20" s="1"/>
  <c r="F352" i="20"/>
  <c r="D292" i="20"/>
  <c r="D293" i="20"/>
  <c r="U107" i="20" s="1"/>
  <c r="U115" i="20" s="1"/>
  <c r="E350" i="20"/>
  <c r="V126" i="20" s="1"/>
  <c r="V134" i="20" s="1"/>
  <c r="V242" i="20" s="1"/>
  <c r="H114" i="20"/>
  <c r="I114" i="20" s="1"/>
  <c r="C119" i="20"/>
  <c r="T47" i="20" s="1"/>
  <c r="T55" i="20" s="1"/>
  <c r="C118" i="20"/>
  <c r="K289" i="20"/>
  <c r="P289" i="20" s="1"/>
  <c r="J289" i="20"/>
  <c r="V111" i="20" s="1"/>
  <c r="V110" i="20"/>
  <c r="D177" i="20"/>
  <c r="U67" i="20" s="1"/>
  <c r="U75" i="20" s="1"/>
  <c r="K55" i="20"/>
  <c r="P55" i="20" s="1"/>
  <c r="J55" i="20"/>
  <c r="T31" i="20" s="1"/>
  <c r="T30" i="20"/>
  <c r="F583" i="20"/>
  <c r="W207" i="20" s="1"/>
  <c r="W215" i="20" s="1"/>
  <c r="G234" i="20"/>
  <c r="X86" i="20" s="1"/>
  <c r="X94" i="20" s="1"/>
  <c r="X238" i="20" s="1"/>
  <c r="D408" i="20"/>
  <c r="U146" i="20" s="1"/>
  <c r="U154" i="20" s="1"/>
  <c r="U244" i="20" s="1"/>
  <c r="G525" i="20"/>
  <c r="X187" i="20" s="1"/>
  <c r="X195" i="20" s="1"/>
  <c r="H347" i="20"/>
  <c r="I347" i="20" s="1"/>
  <c r="C351" i="20"/>
  <c r="T127" i="20" s="1"/>
  <c r="T135" i="20" s="1"/>
  <c r="C350" i="20"/>
  <c r="AM99" i="20"/>
  <c r="AM110" i="20"/>
  <c r="D148" i="20"/>
  <c r="U57" i="20" s="1"/>
  <c r="U65" i="20" s="1"/>
  <c r="E292" i="20"/>
  <c r="E293" i="20"/>
  <c r="V107" i="20" s="1"/>
  <c r="V115" i="20" s="1"/>
  <c r="H204" i="20"/>
  <c r="I204" i="20" s="1"/>
  <c r="C264" i="20"/>
  <c r="T97" i="20" s="1"/>
  <c r="T105" i="20" s="1"/>
  <c r="D118" i="20"/>
  <c r="U46" i="20" s="1"/>
  <c r="U54" i="20" s="1"/>
  <c r="U234" i="20" s="1"/>
  <c r="D119" i="20"/>
  <c r="U47" i="20" s="1"/>
  <c r="U55" i="20" s="1"/>
  <c r="C437" i="20"/>
  <c r="E409" i="20"/>
  <c r="V147" i="20" s="1"/>
  <c r="V155" i="20" s="1"/>
  <c r="H259" i="20"/>
  <c r="I259" i="20" s="1"/>
  <c r="F176" i="20"/>
  <c r="I581" i="20"/>
  <c r="F381" i="20"/>
  <c r="D350" i="20"/>
  <c r="D351" i="20"/>
  <c r="U127" i="20" s="1"/>
  <c r="U135" i="20" s="1"/>
  <c r="E553" i="20"/>
  <c r="V196" i="20" s="1"/>
  <c r="V204" i="20" s="1"/>
  <c r="V249" i="20" s="1"/>
  <c r="H319" i="20"/>
  <c r="I319" i="20" s="1"/>
  <c r="F236" i="20"/>
  <c r="F235" i="20"/>
  <c r="W87" i="20" s="1"/>
  <c r="W95" i="20" s="1"/>
  <c r="AN99" i="20"/>
  <c r="AN110" i="20"/>
  <c r="H348" i="20"/>
  <c r="I348" i="20" s="1"/>
  <c r="E148" i="20"/>
  <c r="V57" i="20" s="1"/>
  <c r="V65" i="20" s="1"/>
  <c r="G292" i="20"/>
  <c r="X106" i="20" s="1"/>
  <c r="X114" i="20" s="1"/>
  <c r="X240" i="20" s="1"/>
  <c r="G293" i="20"/>
  <c r="X107" i="20" s="1"/>
  <c r="X115" i="20" s="1"/>
  <c r="H522" i="20"/>
  <c r="I522" i="20" s="1"/>
  <c r="G60" i="20"/>
  <c r="D379" i="20"/>
  <c r="G553" i="20"/>
  <c r="X196" i="20" s="1"/>
  <c r="X204" i="20" s="1"/>
  <c r="X249" i="20" s="1"/>
  <c r="C31" i="20"/>
  <c r="E236" i="20"/>
  <c r="I552" i="20"/>
  <c r="G554" i="20"/>
  <c r="X197" i="20" s="1"/>
  <c r="X205" i="20" s="1"/>
  <c r="I116" i="20"/>
  <c r="K113" i="20"/>
  <c r="P113" i="20" s="1"/>
  <c r="J113" i="20"/>
  <c r="T51" i="20" s="1"/>
  <c r="T50" i="20"/>
  <c r="AO99" i="20"/>
  <c r="AO109" i="20" s="1"/>
  <c r="AO117" i="20" s="1"/>
  <c r="AO110" i="20"/>
  <c r="H27" i="20"/>
  <c r="I27" i="20" s="1"/>
  <c r="J523" i="20"/>
  <c r="X191" i="20" s="1"/>
  <c r="K523" i="20"/>
  <c r="P523" i="20" s="1"/>
  <c r="X190" i="20"/>
  <c r="K288" i="20"/>
  <c r="P288" i="20" s="1"/>
  <c r="J288" i="20"/>
  <c r="U111" i="20" s="1"/>
  <c r="U110" i="20"/>
  <c r="E205" i="20"/>
  <c r="V76" i="20" s="1"/>
  <c r="V84" i="20" s="1"/>
  <c r="V237" i="20" s="1"/>
  <c r="E438" i="20"/>
  <c r="V157" i="20" s="1"/>
  <c r="V165" i="20" s="1"/>
  <c r="H145" i="20"/>
  <c r="J433" i="20"/>
  <c r="U161" i="20" s="1"/>
  <c r="K433" i="20"/>
  <c r="P433" i="20" s="1"/>
  <c r="U160" i="20"/>
  <c r="K346" i="20"/>
  <c r="P346" i="20" s="1"/>
  <c r="J346" i="20"/>
  <c r="U131" i="20" s="1"/>
  <c r="U130" i="20"/>
  <c r="J432" i="20"/>
  <c r="T161" i="20" s="1"/>
  <c r="K432" i="20"/>
  <c r="P432" i="20" s="1"/>
  <c r="T160" i="20"/>
  <c r="C147" i="20"/>
  <c r="D263" i="20"/>
  <c r="U96" i="20" s="1"/>
  <c r="U104" i="20" s="1"/>
  <c r="U239" i="20" s="1"/>
  <c r="C148" i="20"/>
  <c r="T57" i="20" s="1"/>
  <c r="T65" i="20" s="1"/>
  <c r="C321" i="20"/>
  <c r="T116" i="20" s="1"/>
  <c r="T124" i="20" s="1"/>
  <c r="H316" i="20"/>
  <c r="I316" i="20" s="1"/>
  <c r="H579" i="20"/>
  <c r="I579" i="20" s="1"/>
  <c r="K201" i="20"/>
  <c r="P201" i="20" s="1"/>
  <c r="J201" i="20"/>
  <c r="U81" i="20" s="1"/>
  <c r="U80" i="20"/>
  <c r="C582" i="20"/>
  <c r="D234" i="20"/>
  <c r="C322" i="20"/>
  <c r="T117" i="20" s="1"/>
  <c r="T125" i="20" s="1"/>
  <c r="AP110" i="20"/>
  <c r="AP99" i="20"/>
  <c r="K262" i="20"/>
  <c r="P262" i="20" s="1"/>
  <c r="J262" i="20"/>
  <c r="X101" i="20" s="1"/>
  <c r="X100" i="20"/>
  <c r="C495" i="20"/>
  <c r="T176" i="20" s="1"/>
  <c r="T184" i="20" s="1"/>
  <c r="H490" i="20"/>
  <c r="C496" i="20"/>
  <c r="T177" i="20" s="1"/>
  <c r="T185" i="20" s="1"/>
  <c r="F205" i="20"/>
  <c r="W76" i="20" s="1"/>
  <c r="W84" i="20" s="1"/>
  <c r="W237" i="20" s="1"/>
  <c r="I26" i="20"/>
  <c r="H491" i="20"/>
  <c r="I491" i="20" s="1"/>
  <c r="C380" i="20"/>
  <c r="T137" i="20" s="1"/>
  <c r="T145" i="20" s="1"/>
  <c r="H406" i="20"/>
  <c r="I406" i="20" s="1"/>
  <c r="D321" i="20"/>
  <c r="U116" i="20" s="1"/>
  <c r="U124" i="20" s="1"/>
  <c r="U241" i="20" s="1"/>
  <c r="H115" i="20"/>
  <c r="I115" i="20" s="1"/>
  <c r="G582" i="20"/>
  <c r="X206" i="20" s="1"/>
  <c r="X214" i="20" s="1"/>
  <c r="X250" i="20" s="1"/>
  <c r="H291" i="20"/>
  <c r="I291" i="20" s="1"/>
  <c r="D322" i="20"/>
  <c r="U117" i="20" s="1"/>
  <c r="U125" i="20" s="1"/>
  <c r="H87" i="20"/>
  <c r="I87" i="20" s="1"/>
  <c r="D495" i="20"/>
  <c r="U176" i="20" s="1"/>
  <c r="U184" i="20" s="1"/>
  <c r="U247" i="20" s="1"/>
  <c r="D496" i="20"/>
  <c r="U177" i="20" s="1"/>
  <c r="U185" i="20" s="1"/>
  <c r="H56" i="20"/>
  <c r="C61" i="20"/>
  <c r="T27" i="20" s="1"/>
  <c r="T35" i="20" s="1"/>
  <c r="U196" i="20"/>
  <c r="U204" i="20" s="1"/>
  <c r="U249" i="20" s="1"/>
  <c r="G205" i="20"/>
  <c r="X76" i="20" s="1"/>
  <c r="X84" i="20" s="1"/>
  <c r="X237" i="20" s="1"/>
  <c r="F437" i="20"/>
  <c r="W156" i="20" s="1"/>
  <c r="W164" i="20" s="1"/>
  <c r="W245" i="20" s="1"/>
  <c r="F438" i="20"/>
  <c r="W157" i="20" s="1"/>
  <c r="W165" i="20" s="1"/>
  <c r="E62" i="20"/>
  <c r="H318" i="20"/>
  <c r="I318" i="20" s="1"/>
  <c r="AQ97" i="20"/>
  <c r="AR97" i="20" s="1"/>
  <c r="C379" i="20"/>
  <c r="T136" i="20" s="1"/>
  <c r="T144" i="20" s="1"/>
  <c r="H374" i="20"/>
  <c r="I374" i="20" s="1"/>
  <c r="I260" i="20"/>
  <c r="E322" i="20"/>
  <c r="V117" i="20" s="1"/>
  <c r="V125" i="20" s="1"/>
  <c r="U68" i="20"/>
  <c r="V20" i="20"/>
  <c r="K28" i="20"/>
  <c r="P28" i="20" s="1"/>
  <c r="J28" i="20"/>
  <c r="V21" i="20" s="1"/>
  <c r="K230" i="20"/>
  <c r="P230" i="20" s="1"/>
  <c r="J230" i="20"/>
  <c r="U91" i="20" s="1"/>
  <c r="U90" i="20"/>
  <c r="E495" i="20"/>
  <c r="E496" i="20"/>
  <c r="V177" i="20" s="1"/>
  <c r="V185" i="20" s="1"/>
  <c r="C205" i="20"/>
  <c r="T76" i="20" s="1"/>
  <c r="T84" i="20" s="1"/>
  <c r="H200" i="20"/>
  <c r="I200" i="20" s="1"/>
  <c r="E467" i="20"/>
  <c r="V167" i="20" s="1"/>
  <c r="V175" i="20" s="1"/>
  <c r="E466" i="20"/>
  <c r="H86" i="20"/>
  <c r="I86" i="20" s="1"/>
  <c r="H521" i="20"/>
  <c r="I521" i="20" s="1"/>
  <c r="H435" i="20"/>
  <c r="I435" i="20" s="1"/>
  <c r="I142" i="20"/>
  <c r="H233" i="20"/>
  <c r="I233" i="20" s="1"/>
  <c r="K144" i="20"/>
  <c r="P144" i="20" s="1"/>
  <c r="J144" i="20"/>
  <c r="V61" i="20" s="1"/>
  <c r="V60" i="20"/>
  <c r="F321" i="20"/>
  <c r="W116" i="20" s="1"/>
  <c r="W124" i="20" s="1"/>
  <c r="W241" i="20" s="1"/>
  <c r="H203" i="20"/>
  <c r="I203" i="20" s="1"/>
  <c r="H404" i="20"/>
  <c r="I404" i="20" s="1"/>
  <c r="C525" i="20"/>
  <c r="T187" i="20" s="1"/>
  <c r="T195" i="20" s="1"/>
  <c r="E89" i="20"/>
  <c r="V36" i="20" s="1"/>
  <c r="V44" i="20" s="1"/>
  <c r="V233" i="20" s="1"/>
  <c r="E90" i="20"/>
  <c r="V37" i="20" s="1"/>
  <c r="V45" i="20" s="1"/>
  <c r="H436" i="20"/>
  <c r="I436" i="20" s="1"/>
  <c r="E206" i="20"/>
  <c r="V77" i="20" s="1"/>
  <c r="V85" i="20" s="1"/>
  <c r="F495" i="20"/>
  <c r="W176" i="20" s="1"/>
  <c r="W184" i="20" s="1"/>
  <c r="W247" i="20" s="1"/>
  <c r="F496" i="20"/>
  <c r="W177" i="20" s="1"/>
  <c r="W185" i="20" s="1"/>
  <c r="D62" i="20"/>
  <c r="D61" i="20"/>
  <c r="U27" i="20" s="1"/>
  <c r="U35" i="20" s="1"/>
  <c r="C234" i="20"/>
  <c r="D205" i="20"/>
  <c r="H465" i="20"/>
  <c r="H466" i="20" s="1"/>
  <c r="I467" i="20" s="1"/>
  <c r="AE31" i="20" s="1"/>
  <c r="G264" i="20"/>
  <c r="X97" i="20" s="1"/>
  <c r="X105" i="20" s="1"/>
  <c r="D147" i="20"/>
  <c r="U56" i="20" s="1"/>
  <c r="U64" i="20" s="1"/>
  <c r="U235" i="20" s="1"/>
  <c r="D554" i="20"/>
  <c r="U197" i="20" s="1"/>
  <c r="U205" i="20" s="1"/>
  <c r="G321" i="20"/>
  <c r="H88" i="20"/>
  <c r="I88" i="20" s="1"/>
  <c r="I577" i="20"/>
  <c r="D525" i="20"/>
  <c r="U187" i="20" s="1"/>
  <c r="U195" i="20" s="1"/>
  <c r="F322" i="20"/>
  <c r="W117" i="20" s="1"/>
  <c r="W125" i="20" s="1"/>
  <c r="H84" i="20"/>
  <c r="C89" i="20"/>
  <c r="T36" i="20" s="1"/>
  <c r="T44" i="20" s="1"/>
  <c r="C90" i="20"/>
  <c r="T37" i="20" s="1"/>
  <c r="T45" i="20" s="1"/>
  <c r="G32" i="20"/>
  <c r="X17" i="20" s="1"/>
  <c r="H117" i="20"/>
  <c r="I117" i="20" s="1"/>
  <c r="F206" i="20"/>
  <c r="W77" i="20" s="1"/>
  <c r="W85" i="20" s="1"/>
  <c r="G495" i="20"/>
  <c r="G496" i="20"/>
  <c r="X177" i="20" s="1"/>
  <c r="X185" i="20" s="1"/>
  <c r="H580" i="20"/>
  <c r="E263" i="20"/>
  <c r="V96" i="20" s="1"/>
  <c r="V104" i="20" s="1"/>
  <c r="V239" i="20" s="1"/>
  <c r="H173" i="20"/>
  <c r="C176" i="20"/>
  <c r="C177" i="20"/>
  <c r="T67" i="20" s="1"/>
  <c r="T75" i="20" s="1"/>
  <c r="C409" i="20"/>
  <c r="T147" i="20" s="1"/>
  <c r="T155" i="20" s="1"/>
  <c r="E554" i="20"/>
  <c r="V197" i="20" s="1"/>
  <c r="V205" i="20" s="1"/>
  <c r="I578" i="20"/>
  <c r="E524" i="20"/>
  <c r="I261" i="20"/>
  <c r="F408" i="20"/>
  <c r="W146" i="20" s="1"/>
  <c r="W154" i="20" s="1"/>
  <c r="W244" i="20" s="1"/>
  <c r="E525" i="20"/>
  <c r="V187" i="20" s="1"/>
  <c r="V195" i="20" s="1"/>
  <c r="E582" i="20"/>
  <c r="V206" i="20" s="1"/>
  <c r="V214" i="20" s="1"/>
  <c r="V250" i="20" s="1"/>
  <c r="H175" i="20"/>
  <c r="I175" i="20" s="1"/>
  <c r="D89" i="20"/>
  <c r="U36" i="20" s="1"/>
  <c r="U44" i="20" s="1"/>
  <c r="U233" i="20" s="1"/>
  <c r="D90" i="20"/>
  <c r="U37" i="20" s="1"/>
  <c r="U45" i="20" s="1"/>
  <c r="K320" i="20"/>
  <c r="P320" i="20" s="1"/>
  <c r="J320" i="20"/>
  <c r="X121" i="20" s="1"/>
  <c r="X120" i="20"/>
  <c r="E381" i="20"/>
  <c r="K29" i="20"/>
  <c r="P29" i="20" s="1"/>
  <c r="J29" i="20"/>
  <c r="W21" i="20" s="1"/>
  <c r="W20" i="20"/>
  <c r="G468" i="20"/>
  <c r="D31" i="20"/>
  <c r="U16" i="20" s="1"/>
  <c r="F119" i="20"/>
  <c r="W47" i="20" s="1"/>
  <c r="W55" i="20" s="1"/>
  <c r="F118" i="20"/>
  <c r="W46" i="20" s="1"/>
  <c r="W54" i="20" s="1"/>
  <c r="W234" i="20" s="1"/>
  <c r="H550" i="20"/>
  <c r="I550" i="20" s="1"/>
  <c r="E178" i="20"/>
  <c r="E177" i="20"/>
  <c r="V67" i="20" s="1"/>
  <c r="V75" i="20" s="1"/>
  <c r="H548" i="20"/>
  <c r="I548" i="20" s="1"/>
  <c r="C553" i="20"/>
  <c r="T196" i="20" s="1"/>
  <c r="T204" i="20" s="1"/>
  <c r="C235" i="20"/>
  <c r="T87" i="20" s="1"/>
  <c r="T95" i="20" s="1"/>
  <c r="E583" i="20"/>
  <c r="V207" i="20" s="1"/>
  <c r="V215" i="20" s="1"/>
  <c r="H30" i="20"/>
  <c r="I30" i="20" s="1"/>
  <c r="F524" i="20"/>
  <c r="W186" i="20" s="1"/>
  <c r="W194" i="20" s="1"/>
  <c r="W248" i="20" s="1"/>
  <c r="AN113" i="20"/>
  <c r="AT96" i="20"/>
  <c r="AY96" i="20" s="1"/>
  <c r="AS96" i="20"/>
  <c r="AN114" i="20" s="1"/>
  <c r="G408" i="20"/>
  <c r="I461" i="20"/>
  <c r="G322" i="20"/>
  <c r="X117" i="20" s="1"/>
  <c r="X125" i="20" s="1"/>
  <c r="F89" i="20"/>
  <c r="F90" i="20"/>
  <c r="W37" i="20" s="1"/>
  <c r="W45" i="20" s="1"/>
  <c r="F292" i="20"/>
  <c r="F293" i="20"/>
  <c r="W107" i="20" s="1"/>
  <c r="W115" i="20" s="1"/>
  <c r="I229" i="20"/>
  <c r="H317" i="20"/>
  <c r="I317" i="20" s="1"/>
  <c r="H376" i="20"/>
  <c r="I376" i="20" s="1"/>
  <c r="F263" i="20"/>
  <c r="W96" i="20" s="1"/>
  <c r="W104" i="20" s="1"/>
  <c r="W239" i="20" s="1"/>
  <c r="G119" i="20"/>
  <c r="X47" i="20" s="1"/>
  <c r="X55" i="20" s="1"/>
  <c r="G118" i="20"/>
  <c r="X46" i="20" s="1"/>
  <c r="X54" i="20" s="1"/>
  <c r="X234" i="20" s="1"/>
  <c r="H146" i="20"/>
  <c r="I146" i="20" s="1"/>
  <c r="F553" i="20"/>
  <c r="F409" i="20"/>
  <c r="W147" i="20" s="1"/>
  <c r="W155" i="20" s="1"/>
  <c r="W285" i="20"/>
  <c r="W286" i="20" s="1"/>
  <c r="W225" i="20"/>
  <c r="W284" i="20"/>
  <c r="D582" i="20"/>
  <c r="U206" i="20" s="1"/>
  <c r="U214" i="20" s="1"/>
  <c r="U250" i="20" s="1"/>
  <c r="G467" i="20"/>
  <c r="X167" i="20" s="1"/>
  <c r="X175" i="20" s="1"/>
  <c r="C156" i="18"/>
  <c r="O549" i="18"/>
  <c r="AA203" i="18"/>
  <c r="O403" i="18"/>
  <c r="G405" i="18"/>
  <c r="O345" i="18"/>
  <c r="O346" i="18"/>
  <c r="O347" i="18"/>
  <c r="G347" i="18" s="1"/>
  <c r="O348" i="18"/>
  <c r="E348" i="18" s="1"/>
  <c r="O349" i="18"/>
  <c r="D349" i="18" s="1"/>
  <c r="AA113" i="18"/>
  <c r="O287" i="18"/>
  <c r="O142" i="18"/>
  <c r="O147" i="18" s="1"/>
  <c r="AA53" i="18"/>
  <c r="O87" i="18"/>
  <c r="AA43" i="18"/>
  <c r="O84" i="18"/>
  <c r="C88" i="18"/>
  <c r="O85" i="18"/>
  <c r="D58" i="18"/>
  <c r="AN123" i="17"/>
  <c r="AM123" i="17"/>
  <c r="F552" i="17"/>
  <c r="AA203" i="17"/>
  <c r="O549" i="17"/>
  <c r="O523" i="17"/>
  <c r="D523" i="17" s="1"/>
  <c r="AA183" i="17"/>
  <c r="O491" i="17"/>
  <c r="O493" i="17"/>
  <c r="O495" i="17" s="1"/>
  <c r="O433" i="17"/>
  <c r="D433" i="17" s="1"/>
  <c r="AA133" i="17"/>
  <c r="O346" i="17"/>
  <c r="AA113" i="17"/>
  <c r="F291" i="17"/>
  <c r="O261" i="17"/>
  <c r="E261" i="17" s="1"/>
  <c r="O262" i="17"/>
  <c r="AA103" i="17"/>
  <c r="O258" i="17"/>
  <c r="C258" i="17" s="1"/>
  <c r="O171" i="17"/>
  <c r="O172" i="17"/>
  <c r="G172" i="17" s="1"/>
  <c r="O175" i="17"/>
  <c r="C175" i="17" s="1"/>
  <c r="O174" i="17"/>
  <c r="G174" i="17" s="1"/>
  <c r="O145" i="17"/>
  <c r="O147" i="17" s="1"/>
  <c r="O146" i="17"/>
  <c r="C146" i="17" s="1"/>
  <c r="AA63" i="17"/>
  <c r="O116" i="17"/>
  <c r="O113" i="17"/>
  <c r="G59" i="17"/>
  <c r="O55" i="17"/>
  <c r="F55" i="17" s="1"/>
  <c r="AA33" i="17"/>
  <c r="O56" i="17"/>
  <c r="F56" i="17" s="1"/>
  <c r="O57" i="17"/>
  <c r="O26" i="17"/>
  <c r="O31" i="17" s="1"/>
  <c r="O27" i="17"/>
  <c r="O29" i="17"/>
  <c r="F399" i="17"/>
  <c r="N395" i="17"/>
  <c r="W152" i="17" s="1"/>
  <c r="F86" i="17"/>
  <c r="K45" i="17"/>
  <c r="O86" i="17"/>
  <c r="G86" i="17" s="1"/>
  <c r="I162" i="17"/>
  <c r="J162" i="17" s="1"/>
  <c r="K164" i="17"/>
  <c r="E166" i="17"/>
  <c r="O230" i="17"/>
  <c r="E253" i="17"/>
  <c r="E254" i="17" s="1"/>
  <c r="O290" i="17"/>
  <c r="F290" i="17" s="1"/>
  <c r="C326" i="17"/>
  <c r="O347" i="17"/>
  <c r="O350" i="17" s="1"/>
  <c r="I365" i="17"/>
  <c r="J365" i="17" s="1"/>
  <c r="O378" i="17"/>
  <c r="C378" i="17" s="1"/>
  <c r="K395" i="17"/>
  <c r="G398" i="17"/>
  <c r="G399" i="17" s="1"/>
  <c r="O407" i="17"/>
  <c r="O432" i="17"/>
  <c r="C432" i="17" s="1"/>
  <c r="E514" i="17"/>
  <c r="N510" i="17" s="1"/>
  <c r="V192" i="17" s="1"/>
  <c r="O548" i="17"/>
  <c r="K567" i="17"/>
  <c r="K424" i="17"/>
  <c r="E57" i="17"/>
  <c r="O84" i="17"/>
  <c r="AM89" i="17"/>
  <c r="AM90" i="17" s="1"/>
  <c r="K193" i="17"/>
  <c r="I221" i="17"/>
  <c r="J221" i="17" s="1"/>
  <c r="O231" i="17"/>
  <c r="E239" i="17"/>
  <c r="I247" i="17"/>
  <c r="I276" i="17"/>
  <c r="J276" i="17" s="1"/>
  <c r="N305" i="17"/>
  <c r="T122" i="17" s="1"/>
  <c r="G326" i="17"/>
  <c r="L349" i="17"/>
  <c r="G349" i="17" s="1"/>
  <c r="K365" i="17"/>
  <c r="D369" i="17"/>
  <c r="D370" i="17" s="1"/>
  <c r="F413" i="17"/>
  <c r="K479" i="17"/>
  <c r="K512" i="17"/>
  <c r="O520" i="17"/>
  <c r="O550" i="17"/>
  <c r="K18" i="17"/>
  <c r="AA43" i="17"/>
  <c r="I46" i="17"/>
  <c r="J46" i="17" s="1"/>
  <c r="AP89" i="17"/>
  <c r="K221" i="17"/>
  <c r="K247" i="17"/>
  <c r="C297" i="17"/>
  <c r="L404" i="17"/>
  <c r="O434" i="17"/>
  <c r="C434" i="17" s="1"/>
  <c r="O521" i="17"/>
  <c r="O551" i="17"/>
  <c r="F551" i="17" s="1"/>
  <c r="I568" i="17"/>
  <c r="J568" i="17" s="1"/>
  <c r="L26" i="17"/>
  <c r="AT84" i="17"/>
  <c r="K104" i="17"/>
  <c r="AO128" i="17"/>
  <c r="O200" i="17"/>
  <c r="C224" i="17"/>
  <c r="C225" i="17" s="1"/>
  <c r="K277" i="17"/>
  <c r="I366" i="17"/>
  <c r="J366" i="17" s="1"/>
  <c r="O404" i="17"/>
  <c r="F404" i="17" s="1"/>
  <c r="O435" i="17"/>
  <c r="E435" i="17" s="1"/>
  <c r="K480" i="17"/>
  <c r="E552" i="17"/>
  <c r="K568" i="17"/>
  <c r="E572" i="17"/>
  <c r="K541" i="17"/>
  <c r="H223" i="17"/>
  <c r="I224" i="17" s="1"/>
  <c r="AD23" i="17" s="1"/>
  <c r="O374" i="17"/>
  <c r="D374" i="17" s="1"/>
  <c r="I393" i="17"/>
  <c r="J393" i="17" s="1"/>
  <c r="I421" i="17"/>
  <c r="J421" i="17" s="1"/>
  <c r="O436" i="17"/>
  <c r="K451" i="17"/>
  <c r="C456" i="17"/>
  <c r="C457" i="17" s="1"/>
  <c r="C485" i="17"/>
  <c r="F572" i="17"/>
  <c r="K482" i="17"/>
  <c r="F21" i="17"/>
  <c r="F22" i="17" s="1"/>
  <c r="O28" i="17"/>
  <c r="I44" i="17"/>
  <c r="E50" i="17"/>
  <c r="E51" i="17" s="1"/>
  <c r="I73" i="17"/>
  <c r="J73" i="17" s="1"/>
  <c r="K75" i="17"/>
  <c r="AU96" i="17"/>
  <c r="C108" i="17"/>
  <c r="C109" i="17" s="1"/>
  <c r="K131" i="17"/>
  <c r="E195" i="17"/>
  <c r="K218" i="17"/>
  <c r="O287" i="17"/>
  <c r="K335" i="17"/>
  <c r="E355" i="17"/>
  <c r="O405" i="17"/>
  <c r="G405" i="17" s="1"/>
  <c r="I422" i="17"/>
  <c r="J422" i="17" s="1"/>
  <c r="G442" i="17"/>
  <c r="K453" i="17"/>
  <c r="I540" i="17"/>
  <c r="J540" i="17" s="1"/>
  <c r="O577" i="17"/>
  <c r="F108" i="17"/>
  <c r="F109" i="17" s="1"/>
  <c r="AM133" i="17"/>
  <c r="L174" i="17"/>
  <c r="I191" i="17"/>
  <c r="J191" i="17" s="1"/>
  <c r="F195" i="17"/>
  <c r="L288" i="17"/>
  <c r="K305" i="17"/>
  <c r="L345" i="17"/>
  <c r="G345" i="17" s="1"/>
  <c r="O376" i="17"/>
  <c r="C376" i="17" s="1"/>
  <c r="H397" i="17"/>
  <c r="I398" i="17" s="1"/>
  <c r="AD29" i="17" s="1"/>
  <c r="K570" i="17"/>
  <c r="O88" i="17"/>
  <c r="G88" i="17" s="1"/>
  <c r="D355" i="17"/>
  <c r="I16" i="17"/>
  <c r="J16" i="17" s="1"/>
  <c r="BL39" i="17"/>
  <c r="D79" i="17"/>
  <c r="D80" i="17" s="1"/>
  <c r="I106" i="17"/>
  <c r="J106" i="17" s="1"/>
  <c r="AN133" i="17"/>
  <c r="AA153" i="17"/>
  <c r="G195" i="17"/>
  <c r="G196" i="17" s="1"/>
  <c r="I280" i="17"/>
  <c r="J280" i="17" s="1"/>
  <c r="O288" i="17"/>
  <c r="F288" i="17" s="1"/>
  <c r="I336" i="17"/>
  <c r="J336" i="17" s="1"/>
  <c r="K363" i="17"/>
  <c r="L406" i="17"/>
  <c r="G406" i="17" s="1"/>
  <c r="K422" i="17"/>
  <c r="K540" i="17"/>
  <c r="E282" i="17"/>
  <c r="N278" i="17" s="1"/>
  <c r="V112" i="17" s="1"/>
  <c r="O375" i="17"/>
  <c r="G572" i="17"/>
  <c r="G573" i="17" s="1"/>
  <c r="K16" i="17"/>
  <c r="F79" i="17"/>
  <c r="F80" i="17" s="1"/>
  <c r="AU97" i="17"/>
  <c r="C166" i="17"/>
  <c r="C167" i="17" s="1"/>
  <c r="O289" i="17"/>
  <c r="D289" i="17" s="1"/>
  <c r="L320" i="17"/>
  <c r="O377" i="17"/>
  <c r="G377" i="17" s="1"/>
  <c r="O85" i="17"/>
  <c r="I45" i="17"/>
  <c r="J45" i="17" s="1"/>
  <c r="D166" i="17"/>
  <c r="D167" i="17" s="1"/>
  <c r="K220" i="17"/>
  <c r="K250" i="17"/>
  <c r="C253" i="17"/>
  <c r="C254" i="17" s="1"/>
  <c r="L347" i="17"/>
  <c r="L407" i="17"/>
  <c r="K423" i="17"/>
  <c r="I511" i="17"/>
  <c r="J511" i="17" s="1"/>
  <c r="D514" i="17"/>
  <c r="D515" i="17" s="1"/>
  <c r="I541" i="17"/>
  <c r="J541" i="17" s="1"/>
  <c r="F543" i="17"/>
  <c r="F544" i="17" s="1"/>
  <c r="D399" i="18"/>
  <c r="G406" i="18"/>
  <c r="F406" i="18"/>
  <c r="E406" i="18"/>
  <c r="K133" i="18"/>
  <c r="I221" i="18"/>
  <c r="J221" i="18" s="1"/>
  <c r="G224" i="18"/>
  <c r="K279" i="18"/>
  <c r="G50" i="18"/>
  <c r="G51" i="18" s="1"/>
  <c r="I76" i="18"/>
  <c r="N76" i="18" s="1"/>
  <c r="W42" i="18" s="1"/>
  <c r="AX97" i="18"/>
  <c r="AL97" i="18" s="1"/>
  <c r="H107" i="18"/>
  <c r="I108" i="18" s="1"/>
  <c r="AD19" i="18" s="1"/>
  <c r="I104" i="18"/>
  <c r="J104" i="18" s="1"/>
  <c r="I134" i="18"/>
  <c r="J134" i="18" s="1"/>
  <c r="N279" i="18"/>
  <c r="W112" i="18" s="1"/>
  <c r="I305" i="18"/>
  <c r="J305" i="18" s="1"/>
  <c r="D471" i="18"/>
  <c r="G485" i="18"/>
  <c r="I568" i="18"/>
  <c r="J568" i="18" s="1"/>
  <c r="H49" i="18"/>
  <c r="I50" i="18" s="1"/>
  <c r="AD17" i="18" s="1"/>
  <c r="K48" i="18"/>
  <c r="I102" i="18"/>
  <c r="J102" i="18" s="1"/>
  <c r="AL104" i="18"/>
  <c r="K103" i="18"/>
  <c r="L114" i="18"/>
  <c r="K134" i="18"/>
  <c r="L146" i="18"/>
  <c r="I162" i="18"/>
  <c r="J162" i="18" s="1"/>
  <c r="I222" i="18"/>
  <c r="J222" i="18" s="1"/>
  <c r="K250" i="18"/>
  <c r="C268" i="18"/>
  <c r="K280" i="18"/>
  <c r="O289" i="18"/>
  <c r="D311" i="18"/>
  <c r="D312" i="18" s="1"/>
  <c r="H339" i="18"/>
  <c r="I340" i="18" s="1"/>
  <c r="AD27" i="18" s="1"/>
  <c r="K335" i="18"/>
  <c r="I393" i="18"/>
  <c r="J393" i="18" s="1"/>
  <c r="K482" i="18"/>
  <c r="I510" i="18"/>
  <c r="J510" i="18" s="1"/>
  <c r="D514" i="18"/>
  <c r="D515" i="18" s="1"/>
  <c r="C550" i="18"/>
  <c r="K44" i="18"/>
  <c r="C79" i="18"/>
  <c r="C80" i="18" s="1"/>
  <c r="AA123" i="18"/>
  <c r="G137" i="18"/>
  <c r="G138" i="18" s="1"/>
  <c r="O146" i="18"/>
  <c r="K162" i="18"/>
  <c r="K222" i="18"/>
  <c r="K251" i="18"/>
  <c r="E268" i="18"/>
  <c r="O290" i="18"/>
  <c r="K307" i="18"/>
  <c r="E311" i="18"/>
  <c r="E312" i="18" s="1"/>
  <c r="E347" i="18"/>
  <c r="L375" i="18"/>
  <c r="L404" i="18"/>
  <c r="D413" i="18"/>
  <c r="L435" i="18"/>
  <c r="K510" i="18"/>
  <c r="E514" i="18"/>
  <c r="AA23" i="18"/>
  <c r="O56" i="18"/>
  <c r="G56" i="18" s="1"/>
  <c r="K77" i="18"/>
  <c r="AA83" i="18"/>
  <c r="O115" i="18"/>
  <c r="AM123" i="18"/>
  <c r="F195" i="18"/>
  <c r="F311" i="18"/>
  <c r="I335" i="18"/>
  <c r="J335" i="18" s="1"/>
  <c r="F347" i="18"/>
  <c r="L378" i="18"/>
  <c r="I423" i="18"/>
  <c r="J423" i="18" s="1"/>
  <c r="O435" i="18"/>
  <c r="I452" i="18"/>
  <c r="J452" i="18" s="1"/>
  <c r="K511" i="18"/>
  <c r="O552" i="18"/>
  <c r="L581" i="18"/>
  <c r="C36" i="18"/>
  <c r="G79" i="18"/>
  <c r="G80" i="18" s="1"/>
  <c r="L87" i="18"/>
  <c r="C87" i="18" s="1"/>
  <c r="I105" i="18"/>
  <c r="J105" i="18" s="1"/>
  <c r="AO123" i="18"/>
  <c r="G195" i="18"/>
  <c r="G196" i="18" s="1"/>
  <c r="D405" i="18"/>
  <c r="K452" i="18"/>
  <c r="G514" i="18"/>
  <c r="G515" i="18" s="1"/>
  <c r="H78" i="18"/>
  <c r="I79" i="18" s="1"/>
  <c r="AD18" i="18" s="1"/>
  <c r="K192" i="18"/>
  <c r="L27" i="18"/>
  <c r="O57" i="18"/>
  <c r="O116" i="18"/>
  <c r="D116" i="18" s="1"/>
  <c r="AP123" i="18"/>
  <c r="H281" i="18"/>
  <c r="I282" i="18" s="1"/>
  <c r="AD25" i="18" s="1"/>
  <c r="N366" i="18"/>
  <c r="W142" i="18" s="1"/>
  <c r="C384" i="18"/>
  <c r="C398" i="18"/>
  <c r="C399" i="18" s="1"/>
  <c r="G413" i="18"/>
  <c r="L520" i="18"/>
  <c r="N537" i="18"/>
  <c r="T202" i="18" s="1"/>
  <c r="G587" i="18"/>
  <c r="K15" i="18"/>
  <c r="E94" i="18"/>
  <c r="AM133" i="18"/>
  <c r="G320" i="18"/>
  <c r="L522" i="18"/>
  <c r="O28" i="18"/>
  <c r="AN133" i="18"/>
  <c r="O29" i="18"/>
  <c r="F29" i="18" s="1"/>
  <c r="F65" i="18"/>
  <c r="I106" i="18"/>
  <c r="AO133" i="18"/>
  <c r="I364" i="18"/>
  <c r="J364" i="18" s="1"/>
  <c r="K395" i="18"/>
  <c r="N424" i="18"/>
  <c r="W162" i="18" s="1"/>
  <c r="L30" i="18"/>
  <c r="I47" i="18"/>
  <c r="J47" i="18" s="1"/>
  <c r="K106" i="18"/>
  <c r="E108" i="18"/>
  <c r="E109" i="18" s="1"/>
  <c r="G144" i="18"/>
  <c r="AP133" i="18"/>
  <c r="K161" i="18"/>
  <c r="E166" i="18"/>
  <c r="E167" i="18" s="1"/>
  <c r="K220" i="18"/>
  <c r="D282" i="18"/>
  <c r="D283" i="18" s="1"/>
  <c r="I338" i="18"/>
  <c r="J338" i="18" s="1"/>
  <c r="I481" i="18"/>
  <c r="J481" i="18" s="1"/>
  <c r="F51" i="18"/>
  <c r="N47" i="18"/>
  <c r="W32" i="18" s="1"/>
  <c r="C58" i="18"/>
  <c r="D94" i="18"/>
  <c r="D79" i="18"/>
  <c r="E80" i="18"/>
  <c r="BL64" i="18"/>
  <c r="G88" i="18"/>
  <c r="F88" i="18"/>
  <c r="E88" i="18"/>
  <c r="K74" i="18"/>
  <c r="AU95" i="18"/>
  <c r="AT84" i="18"/>
  <c r="AR84" i="18"/>
  <c r="F36" i="18"/>
  <c r="F21" i="18"/>
  <c r="G58" i="18"/>
  <c r="F58" i="18"/>
  <c r="E58" i="18"/>
  <c r="D29" i="18"/>
  <c r="AN90" i="18"/>
  <c r="D142" i="18"/>
  <c r="U287" i="18"/>
  <c r="U288" i="18"/>
  <c r="U289" i="18" s="1"/>
  <c r="U226" i="18"/>
  <c r="G86" i="18"/>
  <c r="F86" i="18"/>
  <c r="E86" i="18"/>
  <c r="D86" i="18"/>
  <c r="V287" i="18"/>
  <c r="V288" i="18"/>
  <c r="V289" i="18" s="1"/>
  <c r="V226" i="18"/>
  <c r="C86" i="18"/>
  <c r="BL39" i="18"/>
  <c r="W287" i="18"/>
  <c r="W288" i="18"/>
  <c r="W289" i="18" s="1"/>
  <c r="W226" i="18"/>
  <c r="L28" i="18"/>
  <c r="L59" i="18"/>
  <c r="AQ88" i="18"/>
  <c r="AR89" i="18" s="1"/>
  <c r="X287" i="18"/>
  <c r="X288" i="18"/>
  <c r="X289" i="18" s="1"/>
  <c r="X226" i="18"/>
  <c r="O59" i="18"/>
  <c r="I77" i="18"/>
  <c r="J77" i="18" s="1"/>
  <c r="AR83" i="18"/>
  <c r="D21" i="18"/>
  <c r="I44" i="18"/>
  <c r="J44" i="18" s="1"/>
  <c r="L57" i="18"/>
  <c r="BI162" i="18"/>
  <c r="BI163" i="18"/>
  <c r="L84" i="18"/>
  <c r="C116" i="18"/>
  <c r="D123" i="18"/>
  <c r="D108" i="18"/>
  <c r="K131" i="18"/>
  <c r="I131" i="18"/>
  <c r="L55" i="18"/>
  <c r="BI58" i="18"/>
  <c r="AR85" i="18"/>
  <c r="AS85" i="18" s="1"/>
  <c r="AP104" i="18"/>
  <c r="AP89" i="18"/>
  <c r="C109" i="18"/>
  <c r="I18" i="18"/>
  <c r="J18" i="18" s="1"/>
  <c r="H20" i="18"/>
  <c r="I21" i="18" s="1"/>
  <c r="AD16" i="18" s="1"/>
  <c r="G21" i="18"/>
  <c r="O27" i="18"/>
  <c r="E27" i="18" s="1"/>
  <c r="O30" i="18"/>
  <c r="I45" i="18"/>
  <c r="J45" i="18" s="1"/>
  <c r="C50" i="18"/>
  <c r="D51" i="18"/>
  <c r="O55" i="18"/>
  <c r="I75" i="18"/>
  <c r="J75" i="18" s="1"/>
  <c r="AR86" i="18"/>
  <c r="AS86" i="18" s="1"/>
  <c r="AU98" i="18"/>
  <c r="AR87" i="18"/>
  <c r="AS87" i="18" s="1"/>
  <c r="F108" i="18"/>
  <c r="F123" i="18"/>
  <c r="AT85" i="18"/>
  <c r="AU94" i="18"/>
  <c r="C195" i="18"/>
  <c r="C210" i="18"/>
  <c r="K189" i="18"/>
  <c r="L229" i="18"/>
  <c r="K218" i="18"/>
  <c r="I218" i="18"/>
  <c r="J218" i="18" s="1"/>
  <c r="H223" i="18"/>
  <c r="I224" i="18" s="1"/>
  <c r="AD23" i="18" s="1"/>
  <c r="I15" i="18"/>
  <c r="I17" i="18"/>
  <c r="K18" i="18"/>
  <c r="L26" i="18"/>
  <c r="K45" i="18"/>
  <c r="I46" i="18"/>
  <c r="J46" i="18" s="1"/>
  <c r="I48" i="18"/>
  <c r="I73" i="18"/>
  <c r="K75" i="18"/>
  <c r="L85" i="18"/>
  <c r="AT86" i="18"/>
  <c r="AN104" i="18"/>
  <c r="AA33" i="18"/>
  <c r="G116" i="18"/>
  <c r="H136" i="18"/>
  <c r="I137" i="18" s="1"/>
  <c r="AD20" i="18" s="1"/>
  <c r="T287" i="18"/>
  <c r="T288" i="18"/>
  <c r="T289" i="18" s="1"/>
  <c r="T226" i="18"/>
  <c r="AO89" i="18"/>
  <c r="AX94" i="18"/>
  <c r="K105" i="18"/>
  <c r="F114" i="18"/>
  <c r="AX95" i="18"/>
  <c r="K102" i="18"/>
  <c r="L113" i="18"/>
  <c r="G114" i="18"/>
  <c r="F144" i="18"/>
  <c r="F224" i="18"/>
  <c r="F239" i="18"/>
  <c r="AX96" i="18"/>
  <c r="O113" i="18"/>
  <c r="O117" i="18"/>
  <c r="AS116" i="18"/>
  <c r="L115" i="18"/>
  <c r="K132" i="18"/>
  <c r="I132" i="18"/>
  <c r="J132" i="18" s="1"/>
  <c r="G145" i="18"/>
  <c r="E145" i="18"/>
  <c r="D145" i="18"/>
  <c r="C145" i="18"/>
  <c r="F145" i="18"/>
  <c r="E173" i="18"/>
  <c r="C173" i="18"/>
  <c r="O490" i="18"/>
  <c r="O491" i="18"/>
  <c r="F491" i="18" s="1"/>
  <c r="O494" i="18"/>
  <c r="O493" i="18"/>
  <c r="D493" i="18" s="1"/>
  <c r="O492" i="18"/>
  <c r="C492" i="18" s="1"/>
  <c r="AA183" i="18"/>
  <c r="D137" i="18"/>
  <c r="D152" i="18"/>
  <c r="E144" i="18"/>
  <c r="D144" i="18"/>
  <c r="E138" i="18"/>
  <c r="N133" i="18"/>
  <c r="V62" i="18" s="1"/>
  <c r="O174" i="18"/>
  <c r="O171" i="18"/>
  <c r="O175" i="18"/>
  <c r="O173" i="18"/>
  <c r="F173" i="18" s="1"/>
  <c r="O172" i="18"/>
  <c r="E172" i="18" s="1"/>
  <c r="C114" i="18"/>
  <c r="N135" i="18"/>
  <c r="X62" i="18" s="1"/>
  <c r="L143" i="18"/>
  <c r="AP128" i="18"/>
  <c r="AN128" i="18"/>
  <c r="AL128" i="18"/>
  <c r="AO128" i="18"/>
  <c r="C152" i="18"/>
  <c r="L174" i="18"/>
  <c r="K163" i="18"/>
  <c r="I163" i="18"/>
  <c r="J163" i="18" s="1"/>
  <c r="G200" i="18"/>
  <c r="E200" i="18"/>
  <c r="D200" i="18"/>
  <c r="C200" i="18"/>
  <c r="K160" i="18"/>
  <c r="F167" i="18"/>
  <c r="E196" i="18"/>
  <c r="D146" i="18"/>
  <c r="C166" i="18"/>
  <c r="C181" i="18"/>
  <c r="G166" i="18"/>
  <c r="K190" i="18"/>
  <c r="I190" i="18"/>
  <c r="J190" i="18" s="1"/>
  <c r="L201" i="18"/>
  <c r="D348" i="18"/>
  <c r="C348" i="18"/>
  <c r="G348" i="18"/>
  <c r="F348" i="18"/>
  <c r="E146" i="18"/>
  <c r="L202" i="18"/>
  <c r="K191" i="18"/>
  <c r="I191" i="18"/>
  <c r="J191" i="18" s="1"/>
  <c r="D558" i="18"/>
  <c r="D543" i="18"/>
  <c r="AL123" i="18"/>
  <c r="F152" i="18"/>
  <c r="D156" i="18"/>
  <c r="H165" i="18"/>
  <c r="I166" i="18" s="1"/>
  <c r="AD21" i="18" s="1"/>
  <c r="L171" i="18"/>
  <c r="G225" i="18"/>
  <c r="F156" i="18"/>
  <c r="D172" i="18"/>
  <c r="C172" i="18"/>
  <c r="O202" i="18"/>
  <c r="O204" i="18"/>
  <c r="E204" i="18" s="1"/>
  <c r="O203" i="18"/>
  <c r="N218" i="18"/>
  <c r="T92" i="18" s="1"/>
  <c r="C225" i="18"/>
  <c r="G156" i="18"/>
  <c r="K164" i="18"/>
  <c r="I164" i="18"/>
  <c r="J164" i="18" s="1"/>
  <c r="L175" i="18"/>
  <c r="N220" i="18"/>
  <c r="V92" i="18" s="1"/>
  <c r="D225" i="18"/>
  <c r="N219" i="18"/>
  <c r="U92" i="18" s="1"/>
  <c r="C254" i="18"/>
  <c r="D210" i="18"/>
  <c r="C239" i="18"/>
  <c r="I306" i="18"/>
  <c r="J306" i="18" s="1"/>
  <c r="K306" i="18"/>
  <c r="L317" i="18"/>
  <c r="G384" i="18"/>
  <c r="K367" i="18"/>
  <c r="G369" i="18"/>
  <c r="I193" i="18"/>
  <c r="L203" i="18"/>
  <c r="E210" i="18"/>
  <c r="D239" i="18"/>
  <c r="G346" i="18"/>
  <c r="D436" i="18"/>
  <c r="C436" i="18"/>
  <c r="F436" i="18"/>
  <c r="E436" i="18"/>
  <c r="G436" i="18"/>
  <c r="K249" i="18"/>
  <c r="F253" i="18"/>
  <c r="F268" i="18"/>
  <c r="K365" i="18"/>
  <c r="I365" i="18"/>
  <c r="H368" i="18"/>
  <c r="I369" i="18" s="1"/>
  <c r="AD28" i="18" s="1"/>
  <c r="L376" i="18"/>
  <c r="K193" i="18"/>
  <c r="L231" i="18"/>
  <c r="L232" i="18"/>
  <c r="N249" i="18"/>
  <c r="V102" i="18" s="1"/>
  <c r="D268" i="18"/>
  <c r="H252" i="18"/>
  <c r="I253" i="18" s="1"/>
  <c r="AD24" i="18" s="1"/>
  <c r="L258" i="18"/>
  <c r="I247" i="18"/>
  <c r="J247" i="18" s="1"/>
  <c r="C491" i="18"/>
  <c r="E491" i="18"/>
  <c r="O233" i="18"/>
  <c r="D233" i="18" s="1"/>
  <c r="O232" i="18"/>
  <c r="K247" i="18"/>
  <c r="D341" i="18"/>
  <c r="N335" i="18"/>
  <c r="U132" i="18" s="1"/>
  <c r="L259" i="18"/>
  <c r="K248" i="18"/>
  <c r="D254" i="18"/>
  <c r="O262" i="18"/>
  <c r="O261" i="18"/>
  <c r="O260" i="18"/>
  <c r="E260" i="18" s="1"/>
  <c r="O259" i="18"/>
  <c r="O258" i="18"/>
  <c r="L288" i="18"/>
  <c r="I277" i="18"/>
  <c r="J277" i="18" s="1"/>
  <c r="O230" i="18"/>
  <c r="I248" i="18"/>
  <c r="J248" i="18" s="1"/>
  <c r="G254" i="18"/>
  <c r="K277" i="18"/>
  <c r="J451" i="18"/>
  <c r="N451" i="18"/>
  <c r="U172" i="18" s="1"/>
  <c r="O461" i="18"/>
  <c r="O462" i="18"/>
  <c r="O465" i="18"/>
  <c r="O463" i="18"/>
  <c r="D463" i="18" s="1"/>
  <c r="O464" i="18"/>
  <c r="G464" i="18" s="1"/>
  <c r="L289" i="18"/>
  <c r="K278" i="18"/>
  <c r="G326" i="18"/>
  <c r="G311" i="18"/>
  <c r="N363" i="18"/>
  <c r="T142" i="18" s="1"/>
  <c r="J363" i="18"/>
  <c r="H310" i="18"/>
  <c r="I311" i="18" s="1"/>
  <c r="AD26" i="18" s="1"/>
  <c r="K308" i="18"/>
  <c r="I308" i="18"/>
  <c r="J308" i="18" s="1"/>
  <c r="E407" i="18"/>
  <c r="D407" i="18"/>
  <c r="C407" i="18"/>
  <c r="G407" i="18"/>
  <c r="F407" i="18"/>
  <c r="L433" i="18"/>
  <c r="K422" i="18"/>
  <c r="I422" i="18"/>
  <c r="C442" i="18"/>
  <c r="C427" i="18"/>
  <c r="L465" i="18"/>
  <c r="K454" i="18"/>
  <c r="L345" i="18"/>
  <c r="K334" i="18"/>
  <c r="O374" i="18"/>
  <c r="O378" i="18"/>
  <c r="O375" i="18"/>
  <c r="C375" i="18" s="1"/>
  <c r="O376" i="18"/>
  <c r="N454" i="18"/>
  <c r="X172" i="18" s="1"/>
  <c r="L494" i="18"/>
  <c r="K483" i="18"/>
  <c r="I483" i="18"/>
  <c r="J483" i="18" s="1"/>
  <c r="O523" i="18"/>
  <c r="O522" i="18"/>
  <c r="O521" i="18"/>
  <c r="D521" i="18" s="1"/>
  <c r="O520" i="18"/>
  <c r="C520" i="18" s="1"/>
  <c r="O519" i="18"/>
  <c r="I540" i="18"/>
  <c r="J540" i="18" s="1"/>
  <c r="L551" i="18"/>
  <c r="K540" i="18"/>
  <c r="L261" i="18"/>
  <c r="N305" i="18"/>
  <c r="T122" i="18" s="1"/>
  <c r="I334" i="18"/>
  <c r="C405" i="18"/>
  <c r="F405" i="18"/>
  <c r="E405" i="18"/>
  <c r="O408" i="18"/>
  <c r="K450" i="18"/>
  <c r="L461" i="18"/>
  <c r="I450" i="18"/>
  <c r="J450" i="18" s="1"/>
  <c r="H455" i="18"/>
  <c r="I456" i="18" s="1"/>
  <c r="AD31" i="18" s="1"/>
  <c r="G457" i="18"/>
  <c r="D548" i="18"/>
  <c r="C548" i="18"/>
  <c r="G548" i="18"/>
  <c r="F548" i="18"/>
  <c r="G268" i="18"/>
  <c r="L287" i="18"/>
  <c r="K305" i="18"/>
  <c r="I309" i="18"/>
  <c r="J309" i="18" s="1"/>
  <c r="L462" i="18"/>
  <c r="K451" i="18"/>
  <c r="L490" i="18"/>
  <c r="K479" i="18"/>
  <c r="I479" i="18"/>
  <c r="J479" i="18" s="1"/>
  <c r="H484" i="18"/>
  <c r="I485" i="18" s="1"/>
  <c r="AD32" i="18" s="1"/>
  <c r="D500" i="18"/>
  <c r="K480" i="18"/>
  <c r="D485" i="18"/>
  <c r="L523" i="18"/>
  <c r="K512" i="18"/>
  <c r="I512" i="18"/>
  <c r="F312" i="18"/>
  <c r="C320" i="18"/>
  <c r="E341" i="18"/>
  <c r="H426" i="18"/>
  <c r="I427" i="18" s="1"/>
  <c r="AD30" i="18" s="1"/>
  <c r="H513" i="18"/>
  <c r="I514" i="18" s="1"/>
  <c r="AD33" i="18" s="1"/>
  <c r="K508" i="18"/>
  <c r="L519" i="18"/>
  <c r="I508" i="18"/>
  <c r="J508" i="18" s="1"/>
  <c r="C515" i="18"/>
  <c r="D580" i="18"/>
  <c r="O579" i="18"/>
  <c r="E579" i="18" s="1"/>
  <c r="O581" i="18"/>
  <c r="I251" i="18"/>
  <c r="J251" i="18" s="1"/>
  <c r="D262" i="18"/>
  <c r="K276" i="18"/>
  <c r="C282" i="18"/>
  <c r="D320" i="18"/>
  <c r="N338" i="18"/>
  <c r="X132" i="18" s="1"/>
  <c r="N337" i="18"/>
  <c r="W132" i="18" s="1"/>
  <c r="K366" i="18"/>
  <c r="L377" i="18"/>
  <c r="E262" i="18"/>
  <c r="L290" i="18"/>
  <c r="C312" i="18"/>
  <c r="E320" i="18"/>
  <c r="D347" i="18"/>
  <c r="O377" i="18"/>
  <c r="D406" i="18"/>
  <c r="C406" i="18"/>
  <c r="O577" i="18"/>
  <c r="G577" i="18" s="1"/>
  <c r="I250" i="18"/>
  <c r="J250" i="18" s="1"/>
  <c r="F262" i="18"/>
  <c r="I280" i="18"/>
  <c r="J280" i="18" s="1"/>
  <c r="E282" i="18"/>
  <c r="I307" i="18"/>
  <c r="L318" i="18"/>
  <c r="F320" i="18"/>
  <c r="I336" i="18"/>
  <c r="J336" i="18" s="1"/>
  <c r="I396" i="18"/>
  <c r="E399" i="18"/>
  <c r="K509" i="18"/>
  <c r="F577" i="18"/>
  <c r="O578" i="18"/>
  <c r="L291" i="18"/>
  <c r="F341" i="18"/>
  <c r="G404" i="18"/>
  <c r="E404" i="18"/>
  <c r="C404" i="18"/>
  <c r="C456" i="18"/>
  <c r="C485" i="18"/>
  <c r="G282" i="18"/>
  <c r="K336" i="18"/>
  <c r="C374" i="18"/>
  <c r="K425" i="18"/>
  <c r="I425" i="18"/>
  <c r="J425" i="18" s="1"/>
  <c r="K567" i="18"/>
  <c r="L578" i="18"/>
  <c r="E515" i="18"/>
  <c r="D572" i="18"/>
  <c r="D587" i="18"/>
  <c r="D355" i="18"/>
  <c r="N364" i="18"/>
  <c r="U142" i="18" s="1"/>
  <c r="I394" i="18"/>
  <c r="J394" i="18" s="1"/>
  <c r="K421" i="18"/>
  <c r="L432" i="18"/>
  <c r="I421" i="18"/>
  <c r="J421" i="18" s="1"/>
  <c r="H542" i="18"/>
  <c r="I543" i="18" s="1"/>
  <c r="AD34" i="18" s="1"/>
  <c r="E587" i="18"/>
  <c r="E572" i="18"/>
  <c r="I541" i="18"/>
  <c r="J541" i="18" s="1"/>
  <c r="K541" i="18"/>
  <c r="L552" i="18"/>
  <c r="F587" i="18"/>
  <c r="F572" i="18"/>
  <c r="K394" i="18"/>
  <c r="K537" i="18"/>
  <c r="K568" i="18"/>
  <c r="N570" i="18"/>
  <c r="X212" i="18" s="1"/>
  <c r="G573" i="18"/>
  <c r="C587" i="18"/>
  <c r="O316" i="18"/>
  <c r="G316" i="18" s="1"/>
  <c r="O317" i="18"/>
  <c r="O318" i="18"/>
  <c r="O319" i="18"/>
  <c r="O432" i="18"/>
  <c r="O433" i="18"/>
  <c r="O434" i="18"/>
  <c r="G434" i="18" s="1"/>
  <c r="L549" i="18"/>
  <c r="K538" i="18"/>
  <c r="I538" i="18"/>
  <c r="J538" i="18" s="1"/>
  <c r="E558" i="18"/>
  <c r="E543" i="18"/>
  <c r="H571" i="18"/>
  <c r="I572" i="18" s="1"/>
  <c r="AD35" i="18" s="1"/>
  <c r="E580" i="18"/>
  <c r="C580" i="18"/>
  <c r="G580" i="18"/>
  <c r="K392" i="18"/>
  <c r="L403" i="18"/>
  <c r="I392" i="18"/>
  <c r="J392" i="18" s="1"/>
  <c r="H397" i="18"/>
  <c r="I398" i="18" s="1"/>
  <c r="AD29" i="18" s="1"/>
  <c r="D550" i="18"/>
  <c r="F558" i="18"/>
  <c r="F543" i="18"/>
  <c r="F550" i="18"/>
  <c r="O551" i="18"/>
  <c r="C558" i="18"/>
  <c r="I566" i="18"/>
  <c r="J566" i="18" s="1"/>
  <c r="I569" i="18"/>
  <c r="J569" i="18" s="1"/>
  <c r="N395" i="18"/>
  <c r="W152" i="18" s="1"/>
  <c r="E428" i="18"/>
  <c r="N423" i="18"/>
  <c r="V162" i="18" s="1"/>
  <c r="G544" i="18"/>
  <c r="G550" i="18"/>
  <c r="G558" i="18"/>
  <c r="K569" i="18"/>
  <c r="N452" i="18"/>
  <c r="V172" i="18" s="1"/>
  <c r="N481" i="18"/>
  <c r="V182" i="18" s="1"/>
  <c r="C579" i="18"/>
  <c r="K570" i="18"/>
  <c r="I482" i="18"/>
  <c r="J482" i="18" s="1"/>
  <c r="I511" i="18"/>
  <c r="J15" i="17"/>
  <c r="N15" i="17"/>
  <c r="T22" i="17" s="1"/>
  <c r="E27" i="17"/>
  <c r="G27" i="17"/>
  <c r="F27" i="17"/>
  <c r="D27" i="17"/>
  <c r="C27" i="17"/>
  <c r="U287" i="17"/>
  <c r="U288" i="17"/>
  <c r="U289" i="17" s="1"/>
  <c r="U226" i="17"/>
  <c r="V288" i="17"/>
  <c r="V289" i="17" s="1"/>
  <c r="V226" i="17"/>
  <c r="V287" i="17"/>
  <c r="L28" i="17"/>
  <c r="G55" i="17"/>
  <c r="E55" i="17"/>
  <c r="D55" i="17"/>
  <c r="G114" i="17"/>
  <c r="F114" i="17"/>
  <c r="E114" i="17"/>
  <c r="D114" i="17"/>
  <c r="C114" i="17"/>
  <c r="W288" i="17"/>
  <c r="W289" i="17" s="1"/>
  <c r="W226" i="17"/>
  <c r="W287" i="17"/>
  <c r="T287" i="17"/>
  <c r="T288" i="17"/>
  <c r="T289" i="17" s="1"/>
  <c r="T226" i="17"/>
  <c r="X288" i="17"/>
  <c r="X289" i="17" s="1"/>
  <c r="X287" i="17"/>
  <c r="X226" i="17"/>
  <c r="L30" i="17"/>
  <c r="D21" i="17"/>
  <c r="AA288" i="17"/>
  <c r="AA287" i="17"/>
  <c r="G56" i="17"/>
  <c r="E56" i="17"/>
  <c r="D56" i="17"/>
  <c r="D57" i="17"/>
  <c r="C57" i="17"/>
  <c r="G57" i="17"/>
  <c r="F57" i="17"/>
  <c r="D50" i="17"/>
  <c r="D65" i="17"/>
  <c r="J74" i="17"/>
  <c r="E21" i="17"/>
  <c r="K47" i="17"/>
  <c r="BL64" i="17"/>
  <c r="BI262" i="17" s="1"/>
  <c r="F65" i="17"/>
  <c r="F50" i="17"/>
  <c r="I18" i="17"/>
  <c r="J18" i="17" s="1"/>
  <c r="K19" i="17"/>
  <c r="H20" i="17"/>
  <c r="I21" i="17" s="1"/>
  <c r="AD16" i="17" s="1"/>
  <c r="G21" i="17"/>
  <c r="F59" i="17"/>
  <c r="L29" i="17"/>
  <c r="O58" i="17"/>
  <c r="G58" i="17" s="1"/>
  <c r="K74" i="17"/>
  <c r="C79" i="17"/>
  <c r="AU98" i="17"/>
  <c r="AR87" i="17"/>
  <c r="AS87" i="17" s="1"/>
  <c r="K46" i="17"/>
  <c r="I47" i="17"/>
  <c r="J47" i="17" s="1"/>
  <c r="H49" i="17"/>
  <c r="I50" i="17" s="1"/>
  <c r="AD17" i="17" s="1"/>
  <c r="G50" i="17"/>
  <c r="K73" i="17"/>
  <c r="L84" i="17"/>
  <c r="L85" i="17"/>
  <c r="G142" i="17"/>
  <c r="F142" i="17"/>
  <c r="E142" i="17"/>
  <c r="D142" i="17"/>
  <c r="C142" i="17"/>
  <c r="C86" i="17"/>
  <c r="L200" i="17"/>
  <c r="H194" i="17"/>
  <c r="I195" i="17" s="1"/>
  <c r="AD22" i="17" s="1"/>
  <c r="K189" i="17"/>
  <c r="I189" i="17"/>
  <c r="J189" i="17" s="1"/>
  <c r="BI57" i="17"/>
  <c r="G79" i="17"/>
  <c r="D86" i="17"/>
  <c r="AR86" i="17"/>
  <c r="AS86" i="17" s="1"/>
  <c r="K103" i="17"/>
  <c r="I103" i="17"/>
  <c r="J103" i="17" s="1"/>
  <c r="C117" i="17"/>
  <c r="G117" i="17"/>
  <c r="F117" i="17"/>
  <c r="E79" i="17"/>
  <c r="E94" i="17"/>
  <c r="AR83" i="17"/>
  <c r="AS83" i="17" s="1"/>
  <c r="AU94" i="17"/>
  <c r="L116" i="17"/>
  <c r="K105" i="17"/>
  <c r="L171" i="17"/>
  <c r="K160" i="17"/>
  <c r="I160" i="17"/>
  <c r="H165" i="17"/>
  <c r="I166" i="17" s="1"/>
  <c r="AD21" i="17" s="1"/>
  <c r="I77" i="17"/>
  <c r="J77" i="17" s="1"/>
  <c r="I105" i="17"/>
  <c r="L87" i="17"/>
  <c r="AN104" i="17"/>
  <c r="AN89" i="17"/>
  <c r="H107" i="17"/>
  <c r="I108" i="17" s="1"/>
  <c r="AD19" i="17" s="1"/>
  <c r="L113" i="17"/>
  <c r="I102" i="17"/>
  <c r="J102" i="17" s="1"/>
  <c r="G109" i="17"/>
  <c r="N106" i="17"/>
  <c r="X52" i="17" s="1"/>
  <c r="C59" i="17"/>
  <c r="I76" i="17"/>
  <c r="K77" i="17"/>
  <c r="AS116" i="17"/>
  <c r="AX96" i="17"/>
  <c r="AP96" i="17" s="1"/>
  <c r="AX94" i="17"/>
  <c r="AX97" i="17"/>
  <c r="AL97" i="17" s="1"/>
  <c r="K102" i="17"/>
  <c r="D138" i="17"/>
  <c r="N132" i="17"/>
  <c r="U62" i="17" s="1"/>
  <c r="K44" i="17"/>
  <c r="BI58" i="17"/>
  <c r="D59" i="17"/>
  <c r="AX98" i="17"/>
  <c r="E137" i="17"/>
  <c r="E152" i="17"/>
  <c r="E59" i="17"/>
  <c r="AP95" i="17"/>
  <c r="AO95" i="17"/>
  <c r="AN95" i="17"/>
  <c r="AM95" i="17"/>
  <c r="AL95" i="17"/>
  <c r="E86" i="17"/>
  <c r="AQ88" i="17"/>
  <c r="AR89" i="17" s="1"/>
  <c r="AR84" i="17"/>
  <c r="AT85" i="17"/>
  <c r="AM97" i="17"/>
  <c r="F138" i="17"/>
  <c r="N134" i="17"/>
  <c r="W62" i="17" s="1"/>
  <c r="L115" i="17"/>
  <c r="K133" i="17"/>
  <c r="G146" i="17"/>
  <c r="F146" i="17"/>
  <c r="E146" i="17"/>
  <c r="G138" i="17"/>
  <c r="F172" i="17"/>
  <c r="AL89" i="17"/>
  <c r="K106" i="17"/>
  <c r="G173" i="17"/>
  <c r="F173" i="17"/>
  <c r="E173" i="17"/>
  <c r="D173" i="17"/>
  <c r="C173" i="17"/>
  <c r="E175" i="17"/>
  <c r="O118" i="17"/>
  <c r="D143" i="17"/>
  <c r="C143" i="17"/>
  <c r="G143" i="17"/>
  <c r="F143" i="17"/>
  <c r="L203" i="17"/>
  <c r="K192" i="17"/>
  <c r="I192" i="17"/>
  <c r="J192" i="17" s="1"/>
  <c r="D108" i="17"/>
  <c r="E143" i="17"/>
  <c r="O176" i="17"/>
  <c r="AO89" i="17"/>
  <c r="I104" i="17"/>
  <c r="J104" i="17" s="1"/>
  <c r="E108" i="17"/>
  <c r="G123" i="17"/>
  <c r="C138" i="17"/>
  <c r="AL133" i="17"/>
  <c r="L145" i="17"/>
  <c r="N192" i="17"/>
  <c r="W82" i="17" s="1"/>
  <c r="D239" i="17"/>
  <c r="D224" i="17"/>
  <c r="I161" i="17"/>
  <c r="J161" i="17" s="1"/>
  <c r="F166" i="17"/>
  <c r="C196" i="17"/>
  <c r="N193" i="17"/>
  <c r="X82" i="17" s="1"/>
  <c r="H136" i="17"/>
  <c r="I137" i="17" s="1"/>
  <c r="AD20" i="17" s="1"/>
  <c r="C152" i="17"/>
  <c r="G166" i="17"/>
  <c r="E167" i="17"/>
  <c r="F225" i="17"/>
  <c r="J247" i="17"/>
  <c r="AL128" i="17"/>
  <c r="I132" i="17"/>
  <c r="J132" i="17" s="1"/>
  <c r="AO133" i="17"/>
  <c r="L144" i="17"/>
  <c r="D152" i="17"/>
  <c r="K161" i="17"/>
  <c r="I163" i="17"/>
  <c r="J163" i="17" s="1"/>
  <c r="C204" i="17"/>
  <c r="G204" i="17"/>
  <c r="F204" i="17"/>
  <c r="E204" i="17"/>
  <c r="F232" i="17"/>
  <c r="E232" i="17"/>
  <c r="D232" i="17"/>
  <c r="C232" i="17"/>
  <c r="G225" i="17"/>
  <c r="N222" i="17"/>
  <c r="X92" i="17" s="1"/>
  <c r="G232" i="17"/>
  <c r="G259" i="17"/>
  <c r="E259" i="17"/>
  <c r="D259" i="17"/>
  <c r="F259" i="17"/>
  <c r="C259" i="17"/>
  <c r="G341" i="17"/>
  <c r="AM128" i="17"/>
  <c r="I135" i="17"/>
  <c r="J135" i="17" s="1"/>
  <c r="L201" i="17"/>
  <c r="K190" i="17"/>
  <c r="I190" i="17"/>
  <c r="J190" i="17" s="1"/>
  <c r="D204" i="17"/>
  <c r="D268" i="17"/>
  <c r="AN128" i="17"/>
  <c r="I131" i="17"/>
  <c r="J131" i="17" s="1"/>
  <c r="K132" i="17"/>
  <c r="F152" i="17"/>
  <c r="I164" i="17"/>
  <c r="J164" i="17" s="1"/>
  <c r="H252" i="17"/>
  <c r="I253" i="17" s="1"/>
  <c r="AD24" i="17" s="1"/>
  <c r="K248" i="17"/>
  <c r="I248" i="17"/>
  <c r="J248" i="17" s="1"/>
  <c r="K135" i="17"/>
  <c r="G152" i="17"/>
  <c r="J218" i="17"/>
  <c r="D254" i="17"/>
  <c r="D283" i="17"/>
  <c r="N277" i="17"/>
  <c r="U112" i="17" s="1"/>
  <c r="N190" i="17"/>
  <c r="U82" i="17" s="1"/>
  <c r="D196" i="17"/>
  <c r="O320" i="17"/>
  <c r="F320" i="17" s="1"/>
  <c r="O319" i="17"/>
  <c r="O318" i="17"/>
  <c r="O317" i="17"/>
  <c r="O316" i="17"/>
  <c r="E316" i="17" s="1"/>
  <c r="G384" i="17"/>
  <c r="G369" i="17"/>
  <c r="L233" i="17"/>
  <c r="F239" i="17"/>
  <c r="E260" i="17"/>
  <c r="D260" i="17"/>
  <c r="D261" i="17"/>
  <c r="H310" i="17"/>
  <c r="I311" i="17" s="1"/>
  <c r="AD26" i="17" s="1"/>
  <c r="K308" i="17"/>
  <c r="L319" i="17"/>
  <c r="I308" i="17"/>
  <c r="J308" i="17" s="1"/>
  <c r="G239" i="17"/>
  <c r="I249" i="17"/>
  <c r="J249" i="17" s="1"/>
  <c r="G253" i="17"/>
  <c r="G258" i="17"/>
  <c r="E376" i="17"/>
  <c r="G407" i="17"/>
  <c r="F407" i="17"/>
  <c r="E407" i="17"/>
  <c r="D407" i="17"/>
  <c r="L202" i="17"/>
  <c r="L229" i="17"/>
  <c r="G262" i="17"/>
  <c r="F262" i="17"/>
  <c r="D262" i="17"/>
  <c r="G297" i="17"/>
  <c r="G282" i="17"/>
  <c r="K280" i="17"/>
  <c r="F196" i="17"/>
  <c r="O202" i="17"/>
  <c r="K249" i="17"/>
  <c r="I251" i="17"/>
  <c r="J251" i="17" s="1"/>
  <c r="C260" i="17"/>
  <c r="N306" i="17"/>
  <c r="U122" i="17" s="1"/>
  <c r="D312" i="17"/>
  <c r="G435" i="17"/>
  <c r="F260" i="17"/>
  <c r="E311" i="17"/>
  <c r="E326" i="17"/>
  <c r="K337" i="17"/>
  <c r="L348" i="17"/>
  <c r="F377" i="17"/>
  <c r="E377" i="17"/>
  <c r="D377" i="17"/>
  <c r="C377" i="17"/>
  <c r="C210" i="17"/>
  <c r="L230" i="17"/>
  <c r="N250" i="17"/>
  <c r="W102" i="17" s="1"/>
  <c r="K251" i="17"/>
  <c r="G260" i="17"/>
  <c r="F312" i="17"/>
  <c r="I337" i="17"/>
  <c r="J337" i="17" s="1"/>
  <c r="D404" i="17"/>
  <c r="O234" i="17"/>
  <c r="K279" i="17"/>
  <c r="H281" i="17"/>
  <c r="I282" i="17" s="1"/>
  <c r="AD25" i="17" s="1"/>
  <c r="I279" i="17"/>
  <c r="J279" i="17" s="1"/>
  <c r="F282" i="17"/>
  <c r="N309" i="17"/>
  <c r="X122" i="17" s="1"/>
  <c r="G312" i="17"/>
  <c r="K367" i="17"/>
  <c r="O201" i="17"/>
  <c r="I219" i="17"/>
  <c r="J219" i="17" s="1"/>
  <c r="E291" i="17"/>
  <c r="D291" i="17"/>
  <c r="C291" i="17"/>
  <c r="G378" i="17"/>
  <c r="F378" i="17"/>
  <c r="E378" i="17"/>
  <c r="D378" i="17"/>
  <c r="I220" i="17"/>
  <c r="L231" i="17"/>
  <c r="D258" i="17"/>
  <c r="C262" i="17"/>
  <c r="F289" i="17"/>
  <c r="K306" i="17"/>
  <c r="C435" i="17"/>
  <c r="E258" i="17"/>
  <c r="E262" i="17"/>
  <c r="E341" i="17"/>
  <c r="F258" i="17"/>
  <c r="N276" i="17"/>
  <c r="T112" i="17" s="1"/>
  <c r="C283" i="17"/>
  <c r="K307" i="17"/>
  <c r="C312" i="17"/>
  <c r="F340" i="17"/>
  <c r="F355" i="17"/>
  <c r="K364" i="17"/>
  <c r="H368" i="17"/>
  <c r="I369" i="17" s="1"/>
  <c r="AD28" i="17" s="1"/>
  <c r="I364" i="17"/>
  <c r="F384" i="17"/>
  <c r="F369" i="17"/>
  <c r="K366" i="17"/>
  <c r="L375" i="17"/>
  <c r="D297" i="17"/>
  <c r="L346" i="17"/>
  <c r="D551" i="17"/>
  <c r="C551" i="17"/>
  <c r="L317" i="17"/>
  <c r="L318" i="17"/>
  <c r="F326" i="17"/>
  <c r="I335" i="17"/>
  <c r="J335" i="17" s="1"/>
  <c r="H339" i="17"/>
  <c r="I340" i="17" s="1"/>
  <c r="AD27" i="17" s="1"/>
  <c r="G355" i="17"/>
  <c r="L436" i="17"/>
  <c r="K425" i="17"/>
  <c r="I425" i="17"/>
  <c r="J425" i="17" s="1"/>
  <c r="L521" i="17"/>
  <c r="K510" i="17"/>
  <c r="E573" i="17"/>
  <c r="N568" i="17"/>
  <c r="V212" i="17" s="1"/>
  <c r="F432" i="17"/>
  <c r="E432" i="17"/>
  <c r="D432" i="17"/>
  <c r="O437" i="17"/>
  <c r="F573" i="17"/>
  <c r="C345" i="17"/>
  <c r="I367" i="17"/>
  <c r="J367" i="17" s="1"/>
  <c r="I392" i="17"/>
  <c r="J392" i="17" s="1"/>
  <c r="F405" i="17"/>
  <c r="E405" i="17"/>
  <c r="D405" i="17"/>
  <c r="C405" i="17"/>
  <c r="C522" i="17"/>
  <c r="G522" i="17"/>
  <c r="K278" i="17"/>
  <c r="I338" i="17"/>
  <c r="J338" i="17" s="1"/>
  <c r="C340" i="17"/>
  <c r="D345" i="17"/>
  <c r="D349" i="17"/>
  <c r="G433" i="17"/>
  <c r="F433" i="17"/>
  <c r="E433" i="17"/>
  <c r="C433" i="17"/>
  <c r="C515" i="17"/>
  <c r="D552" i="17"/>
  <c r="C552" i="17"/>
  <c r="D544" i="17"/>
  <c r="L287" i="17"/>
  <c r="E345" i="17"/>
  <c r="E349" i="17"/>
  <c r="E369" i="17"/>
  <c r="C413" i="17"/>
  <c r="C398" i="17"/>
  <c r="L465" i="17"/>
  <c r="K454" i="17"/>
  <c r="N480" i="17"/>
  <c r="U182" i="17" s="1"/>
  <c r="E544" i="17"/>
  <c r="N539" i="17"/>
  <c r="V202" i="17" s="1"/>
  <c r="H571" i="17"/>
  <c r="I572" i="17" s="1"/>
  <c r="AD35" i="17" s="1"/>
  <c r="L577" i="17"/>
  <c r="K566" i="17"/>
  <c r="N570" i="17"/>
  <c r="X212" i="17" s="1"/>
  <c r="F345" i="17"/>
  <c r="F347" i="17"/>
  <c r="F349" i="17"/>
  <c r="L492" i="17"/>
  <c r="K481" i="17"/>
  <c r="I481" i="17"/>
  <c r="J481" i="17" s="1"/>
  <c r="C486" i="17"/>
  <c r="E515" i="17"/>
  <c r="C572" i="17"/>
  <c r="C587" i="17"/>
  <c r="I307" i="17"/>
  <c r="J307" i="17" s="1"/>
  <c r="K309" i="17"/>
  <c r="I363" i="17"/>
  <c r="L403" i="17"/>
  <c r="F406" i="17"/>
  <c r="E406" i="17"/>
  <c r="C406" i="17"/>
  <c r="H426" i="17"/>
  <c r="I427" i="17" s="1"/>
  <c r="AD30" i="17" s="1"/>
  <c r="D522" i="17"/>
  <c r="H542" i="17"/>
  <c r="I543" i="17" s="1"/>
  <c r="AD34" i="17" s="1"/>
  <c r="L548" i="17"/>
  <c r="K537" i="17"/>
  <c r="I537" i="17"/>
  <c r="J537" i="17" s="1"/>
  <c r="E551" i="17"/>
  <c r="N567" i="17"/>
  <c r="U212" i="17" s="1"/>
  <c r="D573" i="17"/>
  <c r="G434" i="17"/>
  <c r="F434" i="17"/>
  <c r="D434" i="17"/>
  <c r="L494" i="17"/>
  <c r="K483" i="17"/>
  <c r="E522" i="17"/>
  <c r="F522" i="17"/>
  <c r="L550" i="17"/>
  <c r="K539" i="17"/>
  <c r="C544" i="17"/>
  <c r="C427" i="17"/>
  <c r="D456" i="17"/>
  <c r="E485" i="17"/>
  <c r="F514" i="17"/>
  <c r="G543" i="17"/>
  <c r="I396" i="17"/>
  <c r="J396" i="17" s="1"/>
  <c r="D427" i="17"/>
  <c r="I452" i="17"/>
  <c r="J452" i="17" s="1"/>
  <c r="E456" i="17"/>
  <c r="F485" i="17"/>
  <c r="I508" i="17"/>
  <c r="J508" i="17" s="1"/>
  <c r="G514" i="17"/>
  <c r="C558" i="17"/>
  <c r="D587" i="17"/>
  <c r="D398" i="17"/>
  <c r="I423" i="17"/>
  <c r="J423" i="17" s="1"/>
  <c r="E427" i="17"/>
  <c r="F456" i="17"/>
  <c r="I479" i="17"/>
  <c r="J479" i="17" s="1"/>
  <c r="G485" i="17"/>
  <c r="I569" i="17"/>
  <c r="J569" i="17" s="1"/>
  <c r="E398" i="17"/>
  <c r="F427" i="17"/>
  <c r="I450" i="17"/>
  <c r="J450" i="17" s="1"/>
  <c r="K452" i="17"/>
  <c r="G456" i="17"/>
  <c r="K508" i="17"/>
  <c r="L578" i="17"/>
  <c r="L581" i="17"/>
  <c r="L549" i="17"/>
  <c r="O578" i="17"/>
  <c r="O579" i="17"/>
  <c r="C579" i="17" s="1"/>
  <c r="O580" i="17"/>
  <c r="D580" i="17" s="1"/>
  <c r="C442" i="17"/>
  <c r="I482" i="17"/>
  <c r="J482" i="17" s="1"/>
  <c r="L519" i="17"/>
  <c r="L520" i="17"/>
  <c r="F529" i="17"/>
  <c r="I538" i="17"/>
  <c r="J538" i="17" s="1"/>
  <c r="I453" i="17"/>
  <c r="J453" i="17" s="1"/>
  <c r="L490" i="17"/>
  <c r="L491" i="17"/>
  <c r="L493" i="17"/>
  <c r="I509" i="17"/>
  <c r="I424" i="17"/>
  <c r="J424" i="17" s="1"/>
  <c r="L463" i="17"/>
  <c r="L464" i="17"/>
  <c r="O461" i="17"/>
  <c r="G461" i="17" s="1"/>
  <c r="O462" i="17"/>
  <c r="G462" i="17" s="1"/>
  <c r="O463" i="17"/>
  <c r="O464" i="17"/>
  <c r="AO118" i="26" l="1"/>
  <c r="G496" i="27" s="1"/>
  <c r="G487" i="27"/>
  <c r="AN118" i="26"/>
  <c r="F496" i="27" s="1"/>
  <c r="F487" i="27"/>
  <c r="AM118" i="26"/>
  <c r="E496" i="27" s="1"/>
  <c r="E487" i="27"/>
  <c r="AL118" i="26"/>
  <c r="D496" i="27" s="1"/>
  <c r="D487" i="27"/>
  <c r="AP118" i="26"/>
  <c r="H496" i="27" s="1"/>
  <c r="H487" i="27"/>
  <c r="AN118" i="25"/>
  <c r="F448" i="27" s="1"/>
  <c r="F439" i="27"/>
  <c r="AM118" i="25"/>
  <c r="E448" i="27" s="1"/>
  <c r="E439" i="27"/>
  <c r="AL118" i="25"/>
  <c r="D448" i="27" s="1"/>
  <c r="D439" i="27"/>
  <c r="AP118" i="25"/>
  <c r="H448" i="27" s="1"/>
  <c r="H439" i="27"/>
  <c r="AO118" i="25"/>
  <c r="G448" i="27" s="1"/>
  <c r="G439" i="27"/>
  <c r="AN118" i="24"/>
  <c r="F400" i="27" s="1"/>
  <c r="F391" i="27"/>
  <c r="AM118" i="24"/>
  <c r="E400" i="27" s="1"/>
  <c r="E391" i="27"/>
  <c r="AL118" i="24"/>
  <c r="D400" i="27" s="1"/>
  <c r="D391" i="27"/>
  <c r="AO118" i="24"/>
  <c r="G400" i="27" s="1"/>
  <c r="G391" i="27"/>
  <c r="AP118" i="24"/>
  <c r="H400" i="27" s="1"/>
  <c r="H391" i="27"/>
  <c r="AP118" i="23"/>
  <c r="H352" i="27" s="1"/>
  <c r="H343" i="27"/>
  <c r="AL118" i="23"/>
  <c r="D352" i="27" s="1"/>
  <c r="D343" i="27"/>
  <c r="AN118" i="23"/>
  <c r="F352" i="27" s="1"/>
  <c r="F343" i="27"/>
  <c r="AM118" i="23"/>
  <c r="E352" i="27" s="1"/>
  <c r="E343" i="27"/>
  <c r="AO118" i="23"/>
  <c r="G352" i="27" s="1"/>
  <c r="G343" i="27"/>
  <c r="AM118" i="21"/>
  <c r="E304" i="27" s="1"/>
  <c r="E295" i="27"/>
  <c r="AP118" i="21"/>
  <c r="H304" i="27" s="1"/>
  <c r="H295" i="27"/>
  <c r="AN118" i="21"/>
  <c r="F304" i="27" s="1"/>
  <c r="F295" i="27"/>
  <c r="AL118" i="21"/>
  <c r="D304" i="27" s="1"/>
  <c r="D295" i="27"/>
  <c r="G305" i="27"/>
  <c r="G306" i="27"/>
  <c r="AO118" i="20"/>
  <c r="G256" i="27" s="1"/>
  <c r="G247" i="27"/>
  <c r="AM118" i="20"/>
  <c r="E256" i="27" s="1"/>
  <c r="E247" i="27"/>
  <c r="AP118" i="20"/>
  <c r="H256" i="27" s="1"/>
  <c r="H247" i="27"/>
  <c r="AL118" i="20"/>
  <c r="D256" i="27" s="1"/>
  <c r="D247" i="27"/>
  <c r="AN118" i="20"/>
  <c r="F256" i="27" s="1"/>
  <c r="F247" i="27"/>
  <c r="G96" i="26"/>
  <c r="I174" i="26"/>
  <c r="H234" i="26"/>
  <c r="I235" i="26" s="1"/>
  <c r="AE23" i="26" s="1"/>
  <c r="D265" i="26"/>
  <c r="U98" i="26" s="1"/>
  <c r="H292" i="26"/>
  <c r="I293" i="26" s="1"/>
  <c r="AE25" i="26" s="1"/>
  <c r="I288" i="26"/>
  <c r="K288" i="26" s="1"/>
  <c r="P288" i="26" s="1"/>
  <c r="V158" i="26"/>
  <c r="H495" i="26"/>
  <c r="I496" i="26" s="1"/>
  <c r="AE32" i="26" s="1"/>
  <c r="E497" i="26"/>
  <c r="C439" i="26"/>
  <c r="D439" i="26"/>
  <c r="F352" i="26"/>
  <c r="E352" i="26"/>
  <c r="F265" i="26"/>
  <c r="F270" i="26" s="1"/>
  <c r="G207" i="26"/>
  <c r="G211" i="26" s="1"/>
  <c r="G208" i="26" s="1"/>
  <c r="X79" i="26" s="1"/>
  <c r="W66" i="26"/>
  <c r="W74" i="26" s="1"/>
  <c r="W236" i="26" s="1"/>
  <c r="E149" i="26"/>
  <c r="E154" i="26" s="1"/>
  <c r="V36" i="26"/>
  <c r="V44" i="26" s="1"/>
  <c r="V233" i="26" s="1"/>
  <c r="G62" i="25"/>
  <c r="H176" i="25"/>
  <c r="I177" i="25" s="1"/>
  <c r="AE21" i="25" s="1"/>
  <c r="D207" i="25"/>
  <c r="K259" i="25"/>
  <c r="P259" i="25" s="1"/>
  <c r="E299" i="25"/>
  <c r="E296" i="25"/>
  <c r="E323" i="25"/>
  <c r="X150" i="25"/>
  <c r="K407" i="25"/>
  <c r="P407" i="25" s="1"/>
  <c r="U150" i="25"/>
  <c r="D410" i="25"/>
  <c r="C439" i="25"/>
  <c r="C444" i="25" s="1"/>
  <c r="E439" i="25"/>
  <c r="X168" i="25"/>
  <c r="G526" i="25"/>
  <c r="H582" i="25"/>
  <c r="I583" i="25" s="1"/>
  <c r="AE35" i="25" s="1"/>
  <c r="X206" i="25"/>
  <c r="X214" i="25" s="1"/>
  <c r="X250" i="25" s="1"/>
  <c r="I580" i="25"/>
  <c r="F588" i="25" s="1"/>
  <c r="F555" i="25"/>
  <c r="X190" i="25"/>
  <c r="E497" i="25"/>
  <c r="F497" i="25"/>
  <c r="F441" i="25"/>
  <c r="AA164" i="25"/>
  <c r="F444" i="25"/>
  <c r="F410" i="25"/>
  <c r="F381" i="25"/>
  <c r="F386" i="25" s="1"/>
  <c r="J289" i="25"/>
  <c r="V111" i="25" s="1"/>
  <c r="K289" i="25"/>
  <c r="P289" i="25" s="1"/>
  <c r="V110" i="25"/>
  <c r="G296" i="25"/>
  <c r="E298" i="25"/>
  <c r="E295" i="25" s="1"/>
  <c r="V109" i="25" s="1"/>
  <c r="H292" i="25"/>
  <c r="I293" i="25" s="1"/>
  <c r="AE25" i="25" s="1"/>
  <c r="AA104" i="25"/>
  <c r="D265" i="25"/>
  <c r="P233" i="25"/>
  <c r="E236" i="25"/>
  <c r="E241" i="25" s="1"/>
  <c r="H89" i="25"/>
  <c r="I90" i="25" s="1"/>
  <c r="AE18" i="25" s="1"/>
  <c r="D33" i="25"/>
  <c r="AN101" i="24"/>
  <c r="E66" i="24"/>
  <c r="V28" i="24"/>
  <c r="E67" i="24"/>
  <c r="F178" i="24"/>
  <c r="G265" i="24"/>
  <c r="G267" i="24" s="1"/>
  <c r="D352" i="24"/>
  <c r="F381" i="24"/>
  <c r="D439" i="24"/>
  <c r="D444" i="24" s="1"/>
  <c r="C468" i="24"/>
  <c r="F526" i="24"/>
  <c r="D560" i="24"/>
  <c r="E560" i="24"/>
  <c r="D559" i="24"/>
  <c r="D556" i="24" s="1"/>
  <c r="U199" i="24" s="1"/>
  <c r="F560" i="24"/>
  <c r="F556" i="24" s="1"/>
  <c r="W199" i="24" s="1"/>
  <c r="F497" i="24"/>
  <c r="U158" i="24"/>
  <c r="D441" i="24"/>
  <c r="E381" i="24"/>
  <c r="E385" i="24" s="1"/>
  <c r="E352" i="24"/>
  <c r="G323" i="24"/>
  <c r="C294" i="24"/>
  <c r="C296" i="24" s="1"/>
  <c r="K203" i="24"/>
  <c r="G207" i="24"/>
  <c r="G211" i="24" s="1"/>
  <c r="G120" i="24"/>
  <c r="G125" i="24" s="1"/>
  <c r="E33" i="24"/>
  <c r="G33" i="24"/>
  <c r="E149" i="23"/>
  <c r="E381" i="23"/>
  <c r="F381" i="23"/>
  <c r="C410" i="23"/>
  <c r="F439" i="23"/>
  <c r="C439" i="23"/>
  <c r="H466" i="23"/>
  <c r="I467" i="23" s="1"/>
  <c r="AE31" i="23" s="1"/>
  <c r="K463" i="23"/>
  <c r="P463" i="23" s="1"/>
  <c r="V170" i="23"/>
  <c r="F526" i="23"/>
  <c r="C584" i="23"/>
  <c r="E526" i="23"/>
  <c r="D381" i="23"/>
  <c r="H321" i="23"/>
  <c r="I322" i="23" s="1"/>
  <c r="AE26" i="23" s="1"/>
  <c r="G296" i="23"/>
  <c r="G299" i="23"/>
  <c r="G295" i="23" s="1"/>
  <c r="X109" i="23" s="1"/>
  <c r="E294" i="23"/>
  <c r="F269" i="23"/>
  <c r="W98" i="23"/>
  <c r="F270" i="23"/>
  <c r="X86" i="23"/>
  <c r="X94" i="23" s="1"/>
  <c r="X238" i="23" s="1"/>
  <c r="E236" i="23"/>
  <c r="H176" i="23"/>
  <c r="I177" i="23" s="1"/>
  <c r="AE21" i="23" s="1"/>
  <c r="E120" i="23"/>
  <c r="F120" i="23"/>
  <c r="AO106" i="21"/>
  <c r="AP105" i="21"/>
  <c r="AS98" i="21"/>
  <c r="AP114" i="21" s="1"/>
  <c r="AO109" i="21"/>
  <c r="AO117" i="21" s="1"/>
  <c r="AO101" i="21"/>
  <c r="AP111" i="21"/>
  <c r="H89" i="21"/>
  <c r="I90" i="21" s="1"/>
  <c r="AE18" i="21" s="1"/>
  <c r="F149" i="21"/>
  <c r="C149" i="21"/>
  <c r="D149" i="21"/>
  <c r="G178" i="21"/>
  <c r="F209" i="21"/>
  <c r="K260" i="21"/>
  <c r="P260" i="21" s="1"/>
  <c r="U178" i="21"/>
  <c r="D499" i="21"/>
  <c r="X178" i="21"/>
  <c r="G499" i="21"/>
  <c r="I490" i="21"/>
  <c r="E502" i="21"/>
  <c r="G502" i="21"/>
  <c r="E468" i="21"/>
  <c r="D439" i="21"/>
  <c r="E439" i="21"/>
  <c r="F353" i="21"/>
  <c r="W129" i="21" s="1"/>
  <c r="V126" i="21"/>
  <c r="V134" i="21" s="1"/>
  <c r="E352" i="21"/>
  <c r="V100" i="21"/>
  <c r="H263" i="21"/>
  <c r="I264" i="21" s="1"/>
  <c r="AE24" i="21" s="1"/>
  <c r="D178" i="21"/>
  <c r="H176" i="21"/>
  <c r="I177" i="21" s="1"/>
  <c r="AE21" i="21" s="1"/>
  <c r="E149" i="21"/>
  <c r="E154" i="21" s="1"/>
  <c r="G120" i="21"/>
  <c r="C62" i="21"/>
  <c r="X30" i="20"/>
  <c r="K59" i="20"/>
  <c r="P59" i="20" s="1"/>
  <c r="H60" i="20"/>
  <c r="I61" i="20" s="1"/>
  <c r="AE17" i="20" s="1"/>
  <c r="G149" i="20"/>
  <c r="H234" i="20"/>
  <c r="I235" i="20" s="1"/>
  <c r="AE23" i="20" s="1"/>
  <c r="F265" i="20"/>
  <c r="G381" i="20"/>
  <c r="E439" i="20"/>
  <c r="K494" i="20"/>
  <c r="P494" i="20" s="1"/>
  <c r="W200" i="20"/>
  <c r="J551" i="20"/>
  <c r="W201" i="20" s="1"/>
  <c r="D497" i="20"/>
  <c r="D502" i="20" s="1"/>
  <c r="F472" i="20"/>
  <c r="D468" i="20"/>
  <c r="D473" i="20" s="1"/>
  <c r="I465" i="20"/>
  <c r="U156" i="20"/>
  <c r="U164" i="20" s="1"/>
  <c r="U245" i="20" s="1"/>
  <c r="C56" i="18"/>
  <c r="D56" i="18"/>
  <c r="E56" i="18"/>
  <c r="O89" i="18"/>
  <c r="H88" i="18"/>
  <c r="C142" i="18"/>
  <c r="E142" i="18"/>
  <c r="F142" i="18"/>
  <c r="G142" i="18"/>
  <c r="G146" i="18"/>
  <c r="F233" i="18"/>
  <c r="E233" i="18"/>
  <c r="F260" i="18"/>
  <c r="G260" i="18"/>
  <c r="D260" i="18"/>
  <c r="C260" i="18"/>
  <c r="O292" i="18"/>
  <c r="C463" i="18"/>
  <c r="E463" i="18"/>
  <c r="C493" i="18"/>
  <c r="D491" i="18"/>
  <c r="E522" i="18"/>
  <c r="N483" i="18"/>
  <c r="X182" i="18" s="1"/>
  <c r="N394" i="18"/>
  <c r="V152" i="18" s="1"/>
  <c r="N393" i="18"/>
  <c r="U152" i="18" s="1"/>
  <c r="E378" i="18"/>
  <c r="N306" i="18"/>
  <c r="U122" i="18" s="1"/>
  <c r="N248" i="18"/>
  <c r="U102" i="18" s="1"/>
  <c r="C146" i="18"/>
  <c r="H146" i="18" s="1"/>
  <c r="I146" i="18" s="1"/>
  <c r="N134" i="18"/>
  <c r="W62" i="18" s="1"/>
  <c r="F146" i="18"/>
  <c r="N102" i="18"/>
  <c r="T52" i="18" s="1"/>
  <c r="D87" i="18"/>
  <c r="E87" i="18"/>
  <c r="F87" i="18"/>
  <c r="G87" i="18"/>
  <c r="AW87" i="17"/>
  <c r="AP115" i="17" s="1"/>
  <c r="AN97" i="17"/>
  <c r="AP97" i="17"/>
  <c r="G551" i="17"/>
  <c r="O553" i="17"/>
  <c r="H552" i="17"/>
  <c r="I552" i="17" s="1"/>
  <c r="K552" i="17" s="1"/>
  <c r="P552" i="17" s="1"/>
  <c r="O524" i="17"/>
  <c r="C523" i="17"/>
  <c r="G523" i="17"/>
  <c r="E404" i="17"/>
  <c r="O408" i="17"/>
  <c r="C407" i="17"/>
  <c r="E374" i="17"/>
  <c r="F374" i="17"/>
  <c r="G320" i="17"/>
  <c r="C290" i="17"/>
  <c r="G290" i="17"/>
  <c r="G261" i="17"/>
  <c r="O205" i="17"/>
  <c r="D175" i="17"/>
  <c r="C174" i="17"/>
  <c r="E174" i="17"/>
  <c r="E88" i="17"/>
  <c r="F88" i="17"/>
  <c r="D88" i="17"/>
  <c r="C88" i="17"/>
  <c r="O89" i="17"/>
  <c r="C56" i="17"/>
  <c r="F26" i="17"/>
  <c r="E283" i="17"/>
  <c r="D264" i="17"/>
  <c r="U97" i="17" s="1"/>
  <c r="U105" i="17" s="1"/>
  <c r="N247" i="17"/>
  <c r="T102" i="17" s="1"/>
  <c r="N218" i="17"/>
  <c r="T92" i="17" s="1"/>
  <c r="N189" i="17"/>
  <c r="T82" i="17" s="1"/>
  <c r="N135" i="17"/>
  <c r="X62" i="17" s="1"/>
  <c r="C26" i="17"/>
  <c r="E26" i="17"/>
  <c r="AQ99" i="26"/>
  <c r="AR100" i="26" s="1"/>
  <c r="AS109" i="26" s="1"/>
  <c r="F584" i="26"/>
  <c r="F589" i="26" s="1"/>
  <c r="D584" i="26"/>
  <c r="D586" i="26" s="1"/>
  <c r="D526" i="26"/>
  <c r="D528" i="26" s="1"/>
  <c r="E444" i="26"/>
  <c r="AA134" i="26"/>
  <c r="C352" i="26"/>
  <c r="C357" i="26" s="1"/>
  <c r="F323" i="26"/>
  <c r="F325" i="26" s="1"/>
  <c r="K317" i="26"/>
  <c r="P317" i="26" s="1"/>
  <c r="J317" i="26"/>
  <c r="U121" i="26" s="1"/>
  <c r="U120" i="26"/>
  <c r="H263" i="26"/>
  <c r="I264" i="26" s="1"/>
  <c r="AE24" i="26" s="1"/>
  <c r="U86" i="26"/>
  <c r="U94" i="26" s="1"/>
  <c r="U238" i="26" s="1"/>
  <c r="D236" i="26"/>
  <c r="I117" i="26"/>
  <c r="K117" i="26" s="1"/>
  <c r="P117" i="26" s="1"/>
  <c r="X38" i="26"/>
  <c r="G95" i="26"/>
  <c r="G93" i="26"/>
  <c r="G62" i="26"/>
  <c r="G64" i="26" s="1"/>
  <c r="F62" i="26"/>
  <c r="F64" i="26" s="1"/>
  <c r="AA34" i="26"/>
  <c r="D62" i="26"/>
  <c r="T28" i="26"/>
  <c r="C67" i="26"/>
  <c r="E38" i="26"/>
  <c r="E584" i="26"/>
  <c r="E589" i="26" s="1"/>
  <c r="H582" i="26"/>
  <c r="I583" i="26" s="1"/>
  <c r="AE35" i="26" s="1"/>
  <c r="H437" i="26"/>
  <c r="I438" i="26" s="1"/>
  <c r="AE30" i="26" s="1"/>
  <c r="E443" i="26"/>
  <c r="E440" i="26" s="1"/>
  <c r="V159" i="26" s="1"/>
  <c r="I374" i="26"/>
  <c r="E381" i="26"/>
  <c r="E386" i="26" s="1"/>
  <c r="I319" i="26"/>
  <c r="F327" i="26" s="1"/>
  <c r="I233" i="26"/>
  <c r="J233" i="26" s="1"/>
  <c r="X91" i="26" s="1"/>
  <c r="H205" i="26"/>
  <c r="I206" i="26" s="1"/>
  <c r="AE22" i="26" s="1"/>
  <c r="C207" i="26"/>
  <c r="C209" i="26" s="1"/>
  <c r="U66" i="26"/>
  <c r="U74" i="26" s="1"/>
  <c r="U236" i="26" s="1"/>
  <c r="D178" i="26"/>
  <c r="H89" i="26"/>
  <c r="I90" i="26" s="1"/>
  <c r="AE18" i="26" s="1"/>
  <c r="V228" i="26"/>
  <c r="E37" i="26"/>
  <c r="V18" i="26"/>
  <c r="K581" i="26"/>
  <c r="P581" i="26" s="1"/>
  <c r="J581" i="26"/>
  <c r="X211" i="26" s="1"/>
  <c r="X210" i="26"/>
  <c r="K520" i="26"/>
  <c r="P520" i="26" s="1"/>
  <c r="J520" i="26"/>
  <c r="U191" i="26" s="1"/>
  <c r="U190" i="26"/>
  <c r="K462" i="26"/>
  <c r="P462" i="26" s="1"/>
  <c r="J462" i="26"/>
  <c r="U171" i="26" s="1"/>
  <c r="U170" i="26"/>
  <c r="J57" i="26"/>
  <c r="V31" i="26" s="1"/>
  <c r="K57" i="26"/>
  <c r="P57" i="26" s="1"/>
  <c r="V30" i="26"/>
  <c r="K494" i="26"/>
  <c r="P494" i="26" s="1"/>
  <c r="J494" i="26"/>
  <c r="X181" i="26" s="1"/>
  <c r="X180" i="26"/>
  <c r="K436" i="26"/>
  <c r="P436" i="26" s="1"/>
  <c r="J436" i="26"/>
  <c r="X161" i="26" s="1"/>
  <c r="X160" i="26"/>
  <c r="K404" i="26"/>
  <c r="P404" i="26" s="1"/>
  <c r="J404" i="26"/>
  <c r="U151" i="26" s="1"/>
  <c r="U150" i="26"/>
  <c r="K262" i="26"/>
  <c r="P262" i="26" s="1"/>
  <c r="J262" i="26"/>
  <c r="X101" i="26" s="1"/>
  <c r="X100" i="26"/>
  <c r="K145" i="26"/>
  <c r="P145" i="26" s="1"/>
  <c r="J145" i="26"/>
  <c r="W61" i="26" s="1"/>
  <c r="W282" i="26" s="1"/>
  <c r="W283" i="26" s="1"/>
  <c r="W60" i="26"/>
  <c r="W281" i="26" s="1"/>
  <c r="K144" i="26"/>
  <c r="P144" i="26" s="1"/>
  <c r="J144" i="26"/>
  <c r="V61" i="26" s="1"/>
  <c r="V60" i="26"/>
  <c r="G270" i="26"/>
  <c r="G267" i="26"/>
  <c r="X98" i="26"/>
  <c r="G269" i="26"/>
  <c r="E151" i="26"/>
  <c r="V58" i="26"/>
  <c r="K435" i="26"/>
  <c r="P435" i="26" s="1"/>
  <c r="J435" i="26"/>
  <c r="W161" i="26" s="1"/>
  <c r="W160" i="26"/>
  <c r="K175" i="26"/>
  <c r="P175" i="26" s="1"/>
  <c r="J175" i="26"/>
  <c r="X71" i="26" s="1"/>
  <c r="X70" i="26"/>
  <c r="T235" i="26"/>
  <c r="X50" i="26"/>
  <c r="W36" i="26"/>
  <c r="F91" i="26"/>
  <c r="K578" i="26"/>
  <c r="P578" i="26" s="1"/>
  <c r="J578" i="26"/>
  <c r="U211" i="26" s="1"/>
  <c r="U210" i="26"/>
  <c r="K233" i="26"/>
  <c r="E354" i="26"/>
  <c r="E357" i="26"/>
  <c r="V128" i="26"/>
  <c r="E356" i="26"/>
  <c r="E353" i="26" s="1"/>
  <c r="V129" i="26" s="1"/>
  <c r="F299" i="26"/>
  <c r="F296" i="26"/>
  <c r="W108" i="26"/>
  <c r="F298" i="26"/>
  <c r="W86" i="26"/>
  <c r="W94" i="26" s="1"/>
  <c r="W238" i="26" s="1"/>
  <c r="F236" i="26"/>
  <c r="D91" i="26"/>
  <c r="F67" i="26"/>
  <c r="F439" i="26"/>
  <c r="C499" i="26"/>
  <c r="C502" i="26"/>
  <c r="T178" i="26"/>
  <c r="C501" i="26"/>
  <c r="I577" i="26"/>
  <c r="G238" i="26"/>
  <c r="G241" i="26"/>
  <c r="X88" i="26"/>
  <c r="V291" i="26"/>
  <c r="V292" i="26" s="1"/>
  <c r="V290" i="26"/>
  <c r="V231" i="26"/>
  <c r="X146" i="26"/>
  <c r="X154" i="26" s="1"/>
  <c r="X244" i="26" s="1"/>
  <c r="G410" i="26"/>
  <c r="K405" i="26"/>
  <c r="P405" i="26" s="1"/>
  <c r="J405" i="26"/>
  <c r="V151" i="26" s="1"/>
  <c r="V150" i="26"/>
  <c r="W228" i="26"/>
  <c r="D502" i="26"/>
  <c r="D499" i="26"/>
  <c r="U178" i="26"/>
  <c r="D501" i="26"/>
  <c r="H60" i="26"/>
  <c r="I61" i="26" s="1"/>
  <c r="AE17" i="26" s="1"/>
  <c r="I55" i="26"/>
  <c r="F328" i="26"/>
  <c r="X186" i="26"/>
  <c r="X194" i="26" s="1"/>
  <c r="X248" i="26" s="1"/>
  <c r="G526" i="26"/>
  <c r="T66" i="26"/>
  <c r="T74" i="26" s="1"/>
  <c r="C178" i="26"/>
  <c r="AP109" i="26"/>
  <c r="AP117" i="26" s="1"/>
  <c r="AP101" i="26"/>
  <c r="E62" i="26"/>
  <c r="D270" i="26"/>
  <c r="D267" i="26"/>
  <c r="D269" i="26"/>
  <c r="U228" i="26"/>
  <c r="J26" i="26"/>
  <c r="T21" i="26" s="1"/>
  <c r="T20" i="26"/>
  <c r="K26" i="26"/>
  <c r="P26" i="26" s="1"/>
  <c r="J32" i="26" s="1"/>
  <c r="AF16" i="26" s="1"/>
  <c r="E410" i="26"/>
  <c r="G67" i="26"/>
  <c r="X28" i="26"/>
  <c r="D328" i="26"/>
  <c r="D325" i="26"/>
  <c r="U118" i="26"/>
  <c r="D327" i="26"/>
  <c r="G557" i="26"/>
  <c r="G560" i="26"/>
  <c r="X198" i="26"/>
  <c r="W220" i="26"/>
  <c r="U231" i="26"/>
  <c r="AA214" i="26"/>
  <c r="T250" i="26"/>
  <c r="U56" i="26"/>
  <c r="U64" i="26" s="1"/>
  <c r="U235" i="26" s="1"/>
  <c r="D149" i="26"/>
  <c r="K261" i="26"/>
  <c r="P261" i="26" s="1"/>
  <c r="J261" i="26"/>
  <c r="W101" i="26" s="1"/>
  <c r="W100" i="26"/>
  <c r="T228" i="26"/>
  <c r="K259" i="26"/>
  <c r="P259" i="26" s="1"/>
  <c r="J259" i="26"/>
  <c r="U101" i="26" s="1"/>
  <c r="U100" i="26"/>
  <c r="U220" i="26"/>
  <c r="V275" i="26"/>
  <c r="K551" i="26"/>
  <c r="P551" i="26" s="1"/>
  <c r="J551" i="26"/>
  <c r="W201" i="26" s="1"/>
  <c r="W200" i="26"/>
  <c r="G357" i="26"/>
  <c r="G354" i="26"/>
  <c r="X128" i="26"/>
  <c r="G356" i="26"/>
  <c r="I552" i="26"/>
  <c r="G559" i="26" s="1"/>
  <c r="V106" i="26"/>
  <c r="V114" i="26" s="1"/>
  <c r="V240" i="26" s="1"/>
  <c r="E294" i="26"/>
  <c r="W276" i="26"/>
  <c r="W277" i="26" s="1"/>
  <c r="D241" i="26"/>
  <c r="T246" i="26"/>
  <c r="C125" i="26"/>
  <c r="C122" i="26"/>
  <c r="T48" i="26"/>
  <c r="C124" i="26"/>
  <c r="V196" i="26"/>
  <c r="V204" i="26" s="1"/>
  <c r="V249" i="26" s="1"/>
  <c r="E555" i="26"/>
  <c r="K346" i="26"/>
  <c r="P346" i="26" s="1"/>
  <c r="J346" i="26"/>
  <c r="U131" i="26" s="1"/>
  <c r="U130" i="26"/>
  <c r="T220" i="26"/>
  <c r="T244" i="26"/>
  <c r="U276" i="26"/>
  <c r="U277" i="26" s="1"/>
  <c r="K519" i="26"/>
  <c r="P519" i="26" s="1"/>
  <c r="J519" i="26"/>
  <c r="T191" i="26" s="1"/>
  <c r="T190" i="26"/>
  <c r="F557" i="26"/>
  <c r="F560" i="26"/>
  <c r="F559" i="26"/>
  <c r="W198" i="26"/>
  <c r="D444" i="26"/>
  <c r="D441" i="26"/>
  <c r="U158" i="26"/>
  <c r="D443" i="26"/>
  <c r="C328" i="26"/>
  <c r="C325" i="26"/>
  <c r="T118" i="26"/>
  <c r="C327" i="26"/>
  <c r="X228" i="26"/>
  <c r="U76" i="26"/>
  <c r="U84" i="26" s="1"/>
  <c r="U237" i="26" s="1"/>
  <c r="D207" i="26"/>
  <c r="K201" i="26"/>
  <c r="P201" i="26" s="1"/>
  <c r="J201" i="26"/>
  <c r="U81" i="26" s="1"/>
  <c r="U80" i="26"/>
  <c r="G497" i="26"/>
  <c r="W136" i="26"/>
  <c r="W144" i="26" s="1"/>
  <c r="W243" i="26" s="1"/>
  <c r="F381" i="26"/>
  <c r="H466" i="26"/>
  <c r="I467" i="26" s="1"/>
  <c r="AE31" i="26" s="1"/>
  <c r="C584" i="26"/>
  <c r="D410" i="26"/>
  <c r="D357" i="26"/>
  <c r="D354" i="26"/>
  <c r="U128" i="26"/>
  <c r="D356" i="26"/>
  <c r="T276" i="26"/>
  <c r="T277" i="26" s="1"/>
  <c r="K403" i="26"/>
  <c r="P403" i="26" s="1"/>
  <c r="J403" i="26"/>
  <c r="T151" i="26" s="1"/>
  <c r="T150" i="26"/>
  <c r="W176" i="26"/>
  <c r="W184" i="26" s="1"/>
  <c r="W247" i="26" s="1"/>
  <c r="F497" i="26"/>
  <c r="H524" i="26"/>
  <c r="I525" i="26" s="1"/>
  <c r="AE33" i="26" s="1"/>
  <c r="I348" i="26"/>
  <c r="F356" i="26" s="1"/>
  <c r="T241" i="26"/>
  <c r="AA124" i="26"/>
  <c r="D560" i="26"/>
  <c r="D557" i="26"/>
  <c r="U198" i="26"/>
  <c r="D559" i="26"/>
  <c r="G212" i="26"/>
  <c r="G209" i="26"/>
  <c r="X78" i="26"/>
  <c r="J85" i="26"/>
  <c r="U41" i="26" s="1"/>
  <c r="K85" i="26"/>
  <c r="P85" i="26" s="1"/>
  <c r="U40" i="26"/>
  <c r="W46" i="26"/>
  <c r="W54" i="26" s="1"/>
  <c r="W234" i="26" s="1"/>
  <c r="F120" i="26"/>
  <c r="X220" i="26"/>
  <c r="F149" i="26"/>
  <c r="J288" i="26"/>
  <c r="U111" i="26" s="1"/>
  <c r="I461" i="26"/>
  <c r="AA164" i="26"/>
  <c r="X56" i="26"/>
  <c r="X64" i="26" s="1"/>
  <c r="X235" i="26" s="1"/>
  <c r="G149" i="26"/>
  <c r="X166" i="26"/>
  <c r="X174" i="26" s="1"/>
  <c r="X246" i="26" s="1"/>
  <c r="G468" i="26"/>
  <c r="C96" i="26"/>
  <c r="C93" i="26"/>
  <c r="T38" i="26"/>
  <c r="C95" i="26"/>
  <c r="G584" i="26"/>
  <c r="T291" i="26"/>
  <c r="T292" i="26" s="1"/>
  <c r="T290" i="26"/>
  <c r="T231" i="26"/>
  <c r="T96" i="26"/>
  <c r="T104" i="26" s="1"/>
  <c r="C265" i="26"/>
  <c r="H408" i="26"/>
  <c r="I409" i="26" s="1"/>
  <c r="AE29" i="26" s="1"/>
  <c r="W146" i="26"/>
  <c r="W154" i="26" s="1"/>
  <c r="W244" i="26" s="1"/>
  <c r="F410" i="26"/>
  <c r="F354" i="26"/>
  <c r="F357" i="26"/>
  <c r="W128" i="26"/>
  <c r="D122" i="26"/>
  <c r="D125" i="26"/>
  <c r="D124" i="26"/>
  <c r="U48" i="26"/>
  <c r="C241" i="26"/>
  <c r="C238" i="26"/>
  <c r="T88" i="26"/>
  <c r="C240" i="26"/>
  <c r="E328" i="26"/>
  <c r="E325" i="26"/>
  <c r="V118" i="26"/>
  <c r="E327" i="26"/>
  <c r="X276" i="26"/>
  <c r="X277" i="26" s="1"/>
  <c r="K374" i="26"/>
  <c r="P374" i="26" s="1"/>
  <c r="J374" i="26"/>
  <c r="T141" i="26" s="1"/>
  <c r="T140" i="26"/>
  <c r="K376" i="26"/>
  <c r="P376" i="26" s="1"/>
  <c r="J376" i="26"/>
  <c r="V141" i="26" s="1"/>
  <c r="V140" i="26"/>
  <c r="AM109" i="26"/>
  <c r="AM117" i="26" s="1"/>
  <c r="AM101" i="26"/>
  <c r="D296" i="26"/>
  <c r="D299" i="26"/>
  <c r="U108" i="26"/>
  <c r="D298" i="26"/>
  <c r="V166" i="26"/>
  <c r="V174" i="26" s="1"/>
  <c r="V246" i="26" s="1"/>
  <c r="E468" i="26"/>
  <c r="I492" i="26"/>
  <c r="E501" i="26" s="1"/>
  <c r="AT96" i="26"/>
  <c r="AY96" i="26" s="1"/>
  <c r="AS96" i="26"/>
  <c r="AN114" i="26" s="1"/>
  <c r="AN113" i="26"/>
  <c r="G441" i="26"/>
  <c r="G444" i="26"/>
  <c r="X158" i="26"/>
  <c r="G443" i="26"/>
  <c r="V86" i="26"/>
  <c r="V94" i="26" s="1"/>
  <c r="V238" i="26" s="1"/>
  <c r="E236" i="26"/>
  <c r="W186" i="26"/>
  <c r="W194" i="26" s="1"/>
  <c r="W248" i="26" s="1"/>
  <c r="F526" i="26"/>
  <c r="T248" i="26"/>
  <c r="K202" i="26"/>
  <c r="P202" i="26" s="1"/>
  <c r="J202" i="26"/>
  <c r="V81" i="26" s="1"/>
  <c r="V80" i="26"/>
  <c r="AO109" i="26"/>
  <c r="AO117" i="26" s="1"/>
  <c r="AO101" i="26"/>
  <c r="T238" i="26"/>
  <c r="V220" i="26"/>
  <c r="AR94" i="26"/>
  <c r="T243" i="26"/>
  <c r="V138" i="26"/>
  <c r="T106" i="26"/>
  <c r="T114" i="26" s="1"/>
  <c r="C294" i="26"/>
  <c r="E502" i="26"/>
  <c r="E499" i="26"/>
  <c r="V178" i="26"/>
  <c r="C468" i="26"/>
  <c r="X40" i="26"/>
  <c r="K88" i="26"/>
  <c r="P88" i="26" s="1"/>
  <c r="J88" i="26"/>
  <c r="X41" i="26" s="1"/>
  <c r="AN101" i="26"/>
  <c r="C444" i="26"/>
  <c r="C441" i="26"/>
  <c r="T158" i="26"/>
  <c r="C443" i="26"/>
  <c r="T275" i="26"/>
  <c r="E265" i="26"/>
  <c r="C410" i="26"/>
  <c r="C526" i="26"/>
  <c r="E207" i="26"/>
  <c r="C35" i="26"/>
  <c r="C38" i="26"/>
  <c r="T18" i="26"/>
  <c r="C37" i="26"/>
  <c r="C34" i="26" s="1"/>
  <c r="T19" i="26" s="1"/>
  <c r="D468" i="26"/>
  <c r="F183" i="26"/>
  <c r="F180" i="26"/>
  <c r="W68" i="26"/>
  <c r="F182" i="26"/>
  <c r="V276" i="26"/>
  <c r="V277" i="26" s="1"/>
  <c r="U136" i="26"/>
  <c r="U144" i="26" s="1"/>
  <c r="U243" i="26" s="1"/>
  <c r="D381" i="26"/>
  <c r="AL101" i="26"/>
  <c r="K200" i="26"/>
  <c r="P200" i="26" s="1"/>
  <c r="J200" i="26"/>
  <c r="T81" i="26" s="1"/>
  <c r="T80" i="26"/>
  <c r="J291" i="26"/>
  <c r="X111" i="26" s="1"/>
  <c r="K291" i="26"/>
  <c r="P291" i="26" s="1"/>
  <c r="X110" i="26"/>
  <c r="K521" i="26"/>
  <c r="P521" i="26" s="1"/>
  <c r="J521" i="26"/>
  <c r="V191" i="26" s="1"/>
  <c r="V190" i="26"/>
  <c r="C149" i="26"/>
  <c r="I260" i="26"/>
  <c r="U30" i="26"/>
  <c r="K56" i="26"/>
  <c r="P56" i="26" s="1"/>
  <c r="J56" i="26"/>
  <c r="U31" i="26" s="1"/>
  <c r="E93" i="26"/>
  <c r="E96" i="26"/>
  <c r="V38" i="26"/>
  <c r="E95" i="26"/>
  <c r="W231" i="26"/>
  <c r="W166" i="26"/>
  <c r="W174" i="26" s="1"/>
  <c r="W246" i="26" s="1"/>
  <c r="F468" i="26"/>
  <c r="G294" i="26"/>
  <c r="K115" i="26"/>
  <c r="P115" i="26" s="1"/>
  <c r="J115" i="26"/>
  <c r="V51" i="26" s="1"/>
  <c r="V50" i="26"/>
  <c r="AS95" i="26"/>
  <c r="AM114" i="26" s="1"/>
  <c r="AM113" i="26"/>
  <c r="AT95" i="26"/>
  <c r="AY95" i="26" s="1"/>
  <c r="E526" i="26"/>
  <c r="H147" i="26"/>
  <c r="I148" i="26" s="1"/>
  <c r="AE20" i="26" s="1"/>
  <c r="D64" i="26"/>
  <c r="U28" i="26"/>
  <c r="D67" i="26"/>
  <c r="D66" i="26"/>
  <c r="J203" i="26"/>
  <c r="W81" i="26" s="1"/>
  <c r="K203" i="26"/>
  <c r="P203" i="26" s="1"/>
  <c r="W80" i="26"/>
  <c r="G35" i="26"/>
  <c r="X18" i="26"/>
  <c r="G38" i="26"/>
  <c r="G37" i="26"/>
  <c r="G328" i="26"/>
  <c r="G325" i="26"/>
  <c r="X118" i="26"/>
  <c r="G327" i="26"/>
  <c r="G324" i="26" s="1"/>
  <c r="X119" i="26" s="1"/>
  <c r="F38" i="26"/>
  <c r="F35" i="26"/>
  <c r="W18" i="26"/>
  <c r="F37" i="26"/>
  <c r="C381" i="26"/>
  <c r="X136" i="26"/>
  <c r="X144" i="26" s="1"/>
  <c r="X243" i="26" s="1"/>
  <c r="G381" i="26"/>
  <c r="J171" i="26"/>
  <c r="T71" i="26" s="1"/>
  <c r="K171" i="26"/>
  <c r="P171" i="26" s="1"/>
  <c r="T70" i="26"/>
  <c r="T237" i="26"/>
  <c r="G180" i="26"/>
  <c r="G183" i="26"/>
  <c r="X68" i="26"/>
  <c r="G182" i="26"/>
  <c r="E120" i="26"/>
  <c r="I142" i="26"/>
  <c r="G125" i="26"/>
  <c r="G122" i="26"/>
  <c r="X48" i="26"/>
  <c r="G124" i="26"/>
  <c r="E183" i="26"/>
  <c r="E180" i="26"/>
  <c r="V68" i="26"/>
  <c r="E182" i="26"/>
  <c r="D35" i="26"/>
  <c r="U18" i="26"/>
  <c r="D38" i="26"/>
  <c r="D37" i="26"/>
  <c r="T196" i="26"/>
  <c r="T204" i="26" s="1"/>
  <c r="C555" i="26"/>
  <c r="F207" i="26"/>
  <c r="X24" i="26"/>
  <c r="AA24" i="26" s="1"/>
  <c r="AO101" i="25"/>
  <c r="AO106" i="25" s="1"/>
  <c r="H524" i="25"/>
  <c r="I525" i="25" s="1"/>
  <c r="AE33" i="25" s="1"/>
  <c r="C526" i="25"/>
  <c r="C528" i="25" s="1"/>
  <c r="F469" i="25"/>
  <c r="W169" i="25" s="1"/>
  <c r="G472" i="25"/>
  <c r="G473" i="25"/>
  <c r="I434" i="25"/>
  <c r="K434" i="25" s="1"/>
  <c r="P434" i="25" s="1"/>
  <c r="C410" i="25"/>
  <c r="T148" i="25" s="1"/>
  <c r="G410" i="25"/>
  <c r="G415" i="25" s="1"/>
  <c r="H350" i="25"/>
  <c r="I351" i="25" s="1"/>
  <c r="AE27" i="25" s="1"/>
  <c r="F352" i="25"/>
  <c r="F356" i="25" s="1"/>
  <c r="F323" i="25"/>
  <c r="F328" i="25" s="1"/>
  <c r="F298" i="25"/>
  <c r="W108" i="25"/>
  <c r="F299" i="25"/>
  <c r="F295" i="25" s="1"/>
  <c r="W109" i="25" s="1"/>
  <c r="X108" i="25"/>
  <c r="E269" i="25"/>
  <c r="V98" i="25"/>
  <c r="H263" i="25"/>
  <c r="I264" i="25" s="1"/>
  <c r="AE24" i="25" s="1"/>
  <c r="G207" i="25"/>
  <c r="X78" i="25" s="1"/>
  <c r="I171" i="25"/>
  <c r="J171" i="25" s="1"/>
  <c r="T71" i="25" s="1"/>
  <c r="J172" i="25"/>
  <c r="U71" i="25" s="1"/>
  <c r="U70" i="25"/>
  <c r="K172" i="25"/>
  <c r="P172" i="25" s="1"/>
  <c r="H31" i="25"/>
  <c r="I32" i="25" s="1"/>
  <c r="AE16" i="25" s="1"/>
  <c r="H553" i="25"/>
  <c r="I554" i="25" s="1"/>
  <c r="AE34" i="25" s="1"/>
  <c r="E555" i="25"/>
  <c r="E559" i="25" s="1"/>
  <c r="F440" i="25"/>
  <c r="W159" i="25" s="1"/>
  <c r="H379" i="25"/>
  <c r="I380" i="25" s="1"/>
  <c r="AE28" i="25" s="1"/>
  <c r="D352" i="25"/>
  <c r="D357" i="25" s="1"/>
  <c r="G352" i="25"/>
  <c r="G357" i="25" s="1"/>
  <c r="G295" i="25"/>
  <c r="X109" i="25" s="1"/>
  <c r="C269" i="25"/>
  <c r="C266" i="25" s="1"/>
  <c r="T99" i="25" s="1"/>
  <c r="T98" i="25"/>
  <c r="H205" i="25"/>
  <c r="I206" i="25" s="1"/>
  <c r="AE22" i="25" s="1"/>
  <c r="I142" i="25"/>
  <c r="K142" i="25" s="1"/>
  <c r="P142" i="25" s="1"/>
  <c r="F120" i="25"/>
  <c r="W48" i="25" s="1"/>
  <c r="C120" i="25"/>
  <c r="C122" i="25" s="1"/>
  <c r="I84" i="25"/>
  <c r="T40" i="25" s="1"/>
  <c r="K86" i="25"/>
  <c r="P86" i="25" s="1"/>
  <c r="V40" i="25"/>
  <c r="J86" i="25"/>
  <c r="V41" i="25" s="1"/>
  <c r="E62" i="25"/>
  <c r="E67" i="25" s="1"/>
  <c r="I55" i="25"/>
  <c r="T30" i="25" s="1"/>
  <c r="K375" i="25"/>
  <c r="J375" i="25"/>
  <c r="U141" i="25" s="1"/>
  <c r="P375" i="25"/>
  <c r="J380" i="25" s="1"/>
  <c r="AF28" i="25" s="1"/>
  <c r="U140" i="25"/>
  <c r="K116" i="25"/>
  <c r="P116" i="25" s="1"/>
  <c r="J116" i="25"/>
  <c r="W51" i="25" s="1"/>
  <c r="W50" i="25"/>
  <c r="K117" i="25"/>
  <c r="P117" i="25" s="1"/>
  <c r="J117" i="25"/>
  <c r="X51" i="25" s="1"/>
  <c r="X50" i="25"/>
  <c r="K202" i="25"/>
  <c r="P202" i="25" s="1"/>
  <c r="J202" i="25"/>
  <c r="V81" i="25" s="1"/>
  <c r="V80" i="25"/>
  <c r="K348" i="25"/>
  <c r="P348" i="25" s="1"/>
  <c r="J348" i="25"/>
  <c r="W131" i="25" s="1"/>
  <c r="W130" i="25"/>
  <c r="K318" i="25"/>
  <c r="P318" i="25" s="1"/>
  <c r="J318" i="25"/>
  <c r="V121" i="25" s="1"/>
  <c r="V120" i="25"/>
  <c r="AS96" i="25"/>
  <c r="AN114" i="25" s="1"/>
  <c r="AN113" i="25"/>
  <c r="AT96" i="25"/>
  <c r="AY96" i="25" s="1"/>
  <c r="K319" i="25"/>
  <c r="P319" i="25" s="1"/>
  <c r="J319" i="25"/>
  <c r="W121" i="25" s="1"/>
  <c r="W120" i="25"/>
  <c r="K230" i="25"/>
  <c r="P230" i="25" s="1"/>
  <c r="J230" i="25"/>
  <c r="U91" i="25" s="1"/>
  <c r="U90" i="25"/>
  <c r="K115" i="25"/>
  <c r="P115" i="25" s="1"/>
  <c r="J115" i="25"/>
  <c r="V51" i="25" s="1"/>
  <c r="V50" i="25"/>
  <c r="AM113" i="25"/>
  <c r="AT95" i="25"/>
  <c r="AY95" i="25" s="1"/>
  <c r="AS95" i="25"/>
  <c r="AM114" i="25" s="1"/>
  <c r="K317" i="25"/>
  <c r="P317" i="25" s="1"/>
  <c r="J317" i="25"/>
  <c r="U121" i="25" s="1"/>
  <c r="U120" i="25"/>
  <c r="J493" i="25"/>
  <c r="W181" i="25" s="1"/>
  <c r="K493" i="25"/>
  <c r="P493" i="25" s="1"/>
  <c r="W180" i="25"/>
  <c r="K550" i="25"/>
  <c r="P550" i="25" s="1"/>
  <c r="J550" i="25"/>
  <c r="V201" i="25" s="1"/>
  <c r="V200" i="25"/>
  <c r="C441" i="25"/>
  <c r="C443" i="25"/>
  <c r="V66" i="25"/>
  <c r="V74" i="25" s="1"/>
  <c r="V236" i="25" s="1"/>
  <c r="E178" i="25"/>
  <c r="C415" i="25"/>
  <c r="I345" i="25"/>
  <c r="C356" i="25" s="1"/>
  <c r="D499" i="25"/>
  <c r="D502" i="25"/>
  <c r="U178" i="25"/>
  <c r="D501" i="25"/>
  <c r="E38" i="25"/>
  <c r="V18" i="25"/>
  <c r="E35" i="25"/>
  <c r="E37" i="25"/>
  <c r="K231" i="25"/>
  <c r="P231" i="25" s="1"/>
  <c r="J231" i="25"/>
  <c r="V91" i="25" s="1"/>
  <c r="V90" i="25"/>
  <c r="J580" i="25"/>
  <c r="W211" i="25" s="1"/>
  <c r="W210" i="25"/>
  <c r="K258" i="25"/>
  <c r="J258" i="25"/>
  <c r="T101" i="25" s="1"/>
  <c r="P258" i="25"/>
  <c r="J264" i="25" s="1"/>
  <c r="AF24" i="25" s="1"/>
  <c r="T100" i="25"/>
  <c r="T232" i="25"/>
  <c r="T247" i="25"/>
  <c r="AA184" i="25"/>
  <c r="V36" i="25"/>
  <c r="E91" i="25"/>
  <c r="E66" i="25"/>
  <c r="T236" i="25"/>
  <c r="C299" i="25"/>
  <c r="C296" i="25"/>
  <c r="C298" i="25"/>
  <c r="T108" i="25"/>
  <c r="C91" i="25"/>
  <c r="W276" i="25"/>
  <c r="W277" i="25" s="1"/>
  <c r="T276" i="25"/>
  <c r="T277" i="25" s="1"/>
  <c r="T220" i="25"/>
  <c r="T25" i="25"/>
  <c r="T228" i="25" s="1"/>
  <c r="K490" i="25"/>
  <c r="P490" i="25" s="1"/>
  <c r="J490" i="25"/>
  <c r="T181" i="25" s="1"/>
  <c r="T180" i="25"/>
  <c r="T233" i="25"/>
  <c r="C555" i="25"/>
  <c r="T196" i="25"/>
  <c r="T204" i="25" s="1"/>
  <c r="T242" i="25"/>
  <c r="AA134" i="25"/>
  <c r="I30" i="25"/>
  <c r="F589" i="25"/>
  <c r="F586" i="25"/>
  <c r="W208" i="25"/>
  <c r="AA114" i="25"/>
  <c r="K436" i="25"/>
  <c r="P436" i="25" s="1"/>
  <c r="J436" i="25"/>
  <c r="X161" i="25" s="1"/>
  <c r="X160" i="25"/>
  <c r="D381" i="25"/>
  <c r="U186" i="25"/>
  <c r="U194" i="25" s="1"/>
  <c r="U248" i="25" s="1"/>
  <c r="D526" i="25"/>
  <c r="D555" i="25"/>
  <c r="U196" i="25"/>
  <c r="U204" i="25" s="1"/>
  <c r="U249" i="25" s="1"/>
  <c r="W220" i="25"/>
  <c r="E473" i="25"/>
  <c r="E470" i="25"/>
  <c r="E472" i="25"/>
  <c r="V168" i="25"/>
  <c r="K57" i="25"/>
  <c r="P57" i="25" s="1"/>
  <c r="J57" i="25"/>
  <c r="V31" i="25" s="1"/>
  <c r="V30" i="25"/>
  <c r="W228" i="25"/>
  <c r="G35" i="25"/>
  <c r="X18" i="25"/>
  <c r="G38" i="25"/>
  <c r="G37" i="25"/>
  <c r="C589" i="25"/>
  <c r="C586" i="25"/>
  <c r="T208" i="25"/>
  <c r="C588" i="25"/>
  <c r="AM101" i="25"/>
  <c r="G439" i="25"/>
  <c r="C62" i="25"/>
  <c r="C497" i="25"/>
  <c r="J320" i="25"/>
  <c r="X121" i="25" s="1"/>
  <c r="K320" i="25"/>
  <c r="P320" i="25" s="1"/>
  <c r="X120" i="25"/>
  <c r="U36" i="25"/>
  <c r="U44" i="25" s="1"/>
  <c r="U233" i="25" s="1"/>
  <c r="D91" i="25"/>
  <c r="C178" i="25"/>
  <c r="D473" i="25"/>
  <c r="D470" i="25"/>
  <c r="D472" i="25"/>
  <c r="U168" i="25"/>
  <c r="W186" i="25"/>
  <c r="W194" i="25" s="1"/>
  <c r="W248" i="25" s="1"/>
  <c r="F526" i="25"/>
  <c r="G589" i="25"/>
  <c r="G586" i="25"/>
  <c r="X208" i="25"/>
  <c r="G588" i="25"/>
  <c r="G386" i="25"/>
  <c r="G383" i="25"/>
  <c r="X138" i="25"/>
  <c r="G385" i="25"/>
  <c r="AO113" i="25"/>
  <c r="AT97" i="25"/>
  <c r="AY97" i="25" s="1"/>
  <c r="AS97" i="25"/>
  <c r="AO114" i="25" s="1"/>
  <c r="F35" i="25"/>
  <c r="F38" i="25"/>
  <c r="W18" i="25"/>
  <c r="F37" i="25"/>
  <c r="C386" i="25"/>
  <c r="C383" i="25"/>
  <c r="T138" i="25"/>
  <c r="C385" i="25"/>
  <c r="T250" i="25"/>
  <c r="T231" i="25"/>
  <c r="T291" i="25"/>
  <c r="T292" i="25" s="1"/>
  <c r="T290" i="25"/>
  <c r="AA24" i="25"/>
  <c r="X36" i="25"/>
  <c r="G91" i="25"/>
  <c r="E444" i="25"/>
  <c r="E441" i="25"/>
  <c r="E443" i="25"/>
  <c r="V158" i="25"/>
  <c r="H118" i="25"/>
  <c r="I119" i="25" s="1"/>
  <c r="AE19" i="25" s="1"/>
  <c r="AP109" i="25"/>
  <c r="AP117" i="25" s="1"/>
  <c r="AS117" i="25" s="1"/>
  <c r="AP101" i="25"/>
  <c r="G323" i="25"/>
  <c r="T275" i="25"/>
  <c r="K492" i="25"/>
  <c r="P492" i="25" s="1"/>
  <c r="J492" i="25"/>
  <c r="V181" i="25" s="1"/>
  <c r="V180" i="25"/>
  <c r="E352" i="25"/>
  <c r="K114" i="25"/>
  <c r="P114" i="25" s="1"/>
  <c r="J114" i="25"/>
  <c r="U51" i="25" s="1"/>
  <c r="U50" i="25"/>
  <c r="U281" i="25" s="1"/>
  <c r="K494" i="25"/>
  <c r="P494" i="25" s="1"/>
  <c r="J494" i="25"/>
  <c r="X181" i="25" s="1"/>
  <c r="X180" i="25"/>
  <c r="V220" i="25"/>
  <c r="V276" i="25"/>
  <c r="V277" i="25" s="1"/>
  <c r="V25" i="25"/>
  <c r="V228" i="25" s="1"/>
  <c r="C149" i="25"/>
  <c r="F270" i="25"/>
  <c r="F267" i="25"/>
  <c r="W98" i="25"/>
  <c r="F269" i="25"/>
  <c r="E499" i="25"/>
  <c r="E502" i="25"/>
  <c r="V178" i="25"/>
  <c r="E501" i="25"/>
  <c r="K347" i="25"/>
  <c r="P347" i="25" s="1"/>
  <c r="J347" i="25"/>
  <c r="V131" i="25" s="1"/>
  <c r="V130" i="25"/>
  <c r="D120" i="25"/>
  <c r="G497" i="25"/>
  <c r="X231" i="25"/>
  <c r="V146" i="25"/>
  <c r="V154" i="25" s="1"/>
  <c r="V244" i="25" s="1"/>
  <c r="E410" i="25"/>
  <c r="K204" i="25"/>
  <c r="P204" i="25" s="1"/>
  <c r="J204" i="25"/>
  <c r="X81" i="25" s="1"/>
  <c r="X80" i="25"/>
  <c r="K552" i="25"/>
  <c r="P552" i="25" s="1"/>
  <c r="J552" i="25"/>
  <c r="X201" i="25" s="1"/>
  <c r="X200" i="25"/>
  <c r="D35" i="25"/>
  <c r="U18" i="25"/>
  <c r="D38" i="25"/>
  <c r="D37" i="25"/>
  <c r="E589" i="25"/>
  <c r="E586" i="25"/>
  <c r="V208" i="25"/>
  <c r="E588" i="25"/>
  <c r="I519" i="25"/>
  <c r="C530" i="25" s="1"/>
  <c r="I113" i="25"/>
  <c r="T235" i="25"/>
  <c r="K316" i="25"/>
  <c r="J316" i="25"/>
  <c r="T121" i="25" s="1"/>
  <c r="T120" i="25"/>
  <c r="P316" i="25"/>
  <c r="D212" i="25"/>
  <c r="D209" i="25"/>
  <c r="U78" i="25"/>
  <c r="D211" i="25"/>
  <c r="X228" i="25"/>
  <c r="K28" i="25"/>
  <c r="P28" i="25" s="1"/>
  <c r="J28" i="25"/>
  <c r="V21" i="25" s="1"/>
  <c r="V20" i="25"/>
  <c r="K29" i="25"/>
  <c r="P29" i="25" s="1"/>
  <c r="J29" i="25"/>
  <c r="W21" i="25" s="1"/>
  <c r="W20" i="25"/>
  <c r="D415" i="25"/>
  <c r="D412" i="25"/>
  <c r="U148" i="25"/>
  <c r="D414" i="25"/>
  <c r="D299" i="25"/>
  <c r="D296" i="25"/>
  <c r="D298" i="25"/>
  <c r="U108" i="25"/>
  <c r="J434" i="25"/>
  <c r="V161" i="25" s="1"/>
  <c r="V160" i="25"/>
  <c r="W56" i="25"/>
  <c r="W64" i="25" s="1"/>
  <c r="W235" i="25" s="1"/>
  <c r="F149" i="25"/>
  <c r="T86" i="25"/>
  <c r="T94" i="25" s="1"/>
  <c r="C236" i="25"/>
  <c r="G209" i="25"/>
  <c r="G212" i="25"/>
  <c r="G211" i="25"/>
  <c r="G555" i="25"/>
  <c r="AL101" i="25"/>
  <c r="T234" i="25"/>
  <c r="AA54" i="25"/>
  <c r="H321" i="25"/>
  <c r="I322" i="25" s="1"/>
  <c r="AE26" i="25" s="1"/>
  <c r="U66" i="25"/>
  <c r="U74" i="25" s="1"/>
  <c r="U236" i="25" s="1"/>
  <c r="D178" i="25"/>
  <c r="D444" i="25"/>
  <c r="D441" i="25"/>
  <c r="D443" i="25"/>
  <c r="U158" i="25"/>
  <c r="AN101" i="25"/>
  <c r="X276" i="25"/>
  <c r="X277" i="25" s="1"/>
  <c r="K461" i="25"/>
  <c r="P461" i="25" s="1"/>
  <c r="J467" i="25" s="1"/>
  <c r="AF31" i="25" s="1"/>
  <c r="J461" i="25"/>
  <c r="T171" i="25" s="1"/>
  <c r="T170" i="25"/>
  <c r="E238" i="25"/>
  <c r="X66" i="25"/>
  <c r="X74" i="25" s="1"/>
  <c r="X236" i="25" s="1"/>
  <c r="G178" i="25"/>
  <c r="V136" i="25"/>
  <c r="V144" i="25" s="1"/>
  <c r="E381" i="25"/>
  <c r="U128" i="25"/>
  <c r="E325" i="25"/>
  <c r="E328" i="25"/>
  <c r="V118" i="25"/>
  <c r="E327" i="25"/>
  <c r="T76" i="25"/>
  <c r="T84" i="25" s="1"/>
  <c r="C207" i="25"/>
  <c r="G270" i="25"/>
  <c r="G267" i="25"/>
  <c r="X98" i="25"/>
  <c r="G269" i="25"/>
  <c r="U282" i="25"/>
  <c r="U283" i="25" s="1"/>
  <c r="K406" i="25"/>
  <c r="P406" i="25" s="1"/>
  <c r="J406" i="25"/>
  <c r="W151" i="25" s="1"/>
  <c r="W150" i="25"/>
  <c r="G531" i="25"/>
  <c r="G528" i="25"/>
  <c r="X188" i="25"/>
  <c r="G530" i="25"/>
  <c r="U206" i="25"/>
  <c r="U214" i="25" s="1"/>
  <c r="U250" i="25" s="1"/>
  <c r="D584" i="25"/>
  <c r="AQ99" i="25"/>
  <c r="AR100" i="25" s="1"/>
  <c r="AS109" i="25" s="1"/>
  <c r="G120" i="25"/>
  <c r="F357" i="25"/>
  <c r="F354" i="25"/>
  <c r="W128" i="25"/>
  <c r="T241" i="25"/>
  <c r="AA124" i="25"/>
  <c r="H408" i="25"/>
  <c r="I409" i="25" s="1"/>
  <c r="AE29" i="25" s="1"/>
  <c r="C473" i="25"/>
  <c r="C470" i="25"/>
  <c r="T168" i="25"/>
  <c r="C472" i="25"/>
  <c r="X220" i="25"/>
  <c r="F560" i="25"/>
  <c r="F559" i="25"/>
  <c r="F557" i="25"/>
  <c r="W198" i="25"/>
  <c r="W36" i="25"/>
  <c r="W44" i="25" s="1"/>
  <c r="W233" i="25" s="1"/>
  <c r="F91" i="25"/>
  <c r="K346" i="25"/>
  <c r="P346" i="25" s="1"/>
  <c r="J346" i="25"/>
  <c r="U131" i="25" s="1"/>
  <c r="U130" i="25"/>
  <c r="F212" i="25"/>
  <c r="F209" i="25"/>
  <c r="F211" i="25"/>
  <c r="W78" i="25"/>
  <c r="F415" i="25"/>
  <c r="F412" i="25"/>
  <c r="W148" i="25"/>
  <c r="F414" i="25"/>
  <c r="G469" i="25"/>
  <c r="X169" i="25" s="1"/>
  <c r="AR94" i="25"/>
  <c r="T248" i="25"/>
  <c r="F502" i="25"/>
  <c r="F499" i="25"/>
  <c r="W178" i="25"/>
  <c r="F501" i="25"/>
  <c r="K577" i="25"/>
  <c r="J577" i="25"/>
  <c r="T211" i="25" s="1"/>
  <c r="T210" i="25"/>
  <c r="P577" i="25"/>
  <c r="K146" i="25"/>
  <c r="P146" i="25" s="1"/>
  <c r="J146" i="25"/>
  <c r="X61" i="25" s="1"/>
  <c r="X60" i="25"/>
  <c r="I403" i="25"/>
  <c r="V56" i="25"/>
  <c r="V64" i="25" s="1"/>
  <c r="V235" i="25" s="1"/>
  <c r="E149" i="25"/>
  <c r="T246" i="25"/>
  <c r="AA174" i="25"/>
  <c r="U228" i="25"/>
  <c r="X28" i="25"/>
  <c r="G64" i="25"/>
  <c r="G67" i="25"/>
  <c r="G66" i="25"/>
  <c r="K287" i="25"/>
  <c r="P287" i="25" s="1"/>
  <c r="J293" i="25" s="1"/>
  <c r="AF25" i="25" s="1"/>
  <c r="T110" i="25"/>
  <c r="J287" i="25"/>
  <c r="T111" i="25" s="1"/>
  <c r="U56" i="25"/>
  <c r="U64" i="25" s="1"/>
  <c r="U235" i="25" s="1"/>
  <c r="D149" i="25"/>
  <c r="W26" i="25"/>
  <c r="F62" i="25"/>
  <c r="E266" i="25"/>
  <c r="V99" i="25" s="1"/>
  <c r="X86" i="25"/>
  <c r="X94" i="25" s="1"/>
  <c r="X238" i="25" s="1"/>
  <c r="G236" i="25"/>
  <c r="C323" i="25"/>
  <c r="G149" i="25"/>
  <c r="K171" i="25"/>
  <c r="P171" i="25" s="1"/>
  <c r="J177" i="25" s="1"/>
  <c r="AF21" i="25" s="1"/>
  <c r="D236" i="25"/>
  <c r="K521" i="25"/>
  <c r="J521" i="25"/>
  <c r="V191" i="25" s="1"/>
  <c r="V190" i="25"/>
  <c r="P521" i="25"/>
  <c r="E120" i="25"/>
  <c r="U276" i="25"/>
  <c r="U277" i="25" s="1"/>
  <c r="C357" i="25"/>
  <c r="C354" i="25"/>
  <c r="T128" i="25"/>
  <c r="C35" i="25"/>
  <c r="T18" i="25"/>
  <c r="C38" i="25"/>
  <c r="C37" i="25"/>
  <c r="K349" i="25"/>
  <c r="P349" i="25" s="1"/>
  <c r="J349" i="25"/>
  <c r="X131" i="25" s="1"/>
  <c r="X130" i="25"/>
  <c r="AP113" i="25"/>
  <c r="AT98" i="25"/>
  <c r="AY98" i="25" s="1"/>
  <c r="AS98" i="25"/>
  <c r="AP114" i="25" s="1"/>
  <c r="U231" i="25"/>
  <c r="W66" i="25"/>
  <c r="W74" i="25" s="1"/>
  <c r="W236" i="25" s="1"/>
  <c r="F178" i="25"/>
  <c r="E207" i="25"/>
  <c r="H495" i="25"/>
  <c r="I496" i="25" s="1"/>
  <c r="AE32" i="25" s="1"/>
  <c r="D323" i="25"/>
  <c r="J432" i="25"/>
  <c r="T161" i="25" s="1"/>
  <c r="K432" i="25"/>
  <c r="P432" i="25" s="1"/>
  <c r="T160" i="25"/>
  <c r="U26" i="25"/>
  <c r="D62" i="25"/>
  <c r="W86" i="25"/>
  <c r="W94" i="25" s="1"/>
  <c r="W238" i="25" s="1"/>
  <c r="F236" i="25"/>
  <c r="T244" i="25"/>
  <c r="AA154" i="25"/>
  <c r="E526" i="25"/>
  <c r="U220" i="25"/>
  <c r="AO101" i="24"/>
  <c r="AO111" i="24" s="1"/>
  <c r="AM101" i="24"/>
  <c r="V198" i="24"/>
  <c r="E559" i="24"/>
  <c r="E556" i="24" s="1"/>
  <c r="V199" i="24" s="1"/>
  <c r="G560" i="24"/>
  <c r="G556" i="24" s="1"/>
  <c r="X199" i="24" s="1"/>
  <c r="E557" i="24"/>
  <c r="I464" i="24"/>
  <c r="F472" i="24" s="1"/>
  <c r="D443" i="24"/>
  <c r="D440" i="24" s="1"/>
  <c r="U159" i="24" s="1"/>
  <c r="E410" i="24"/>
  <c r="E415" i="24" s="1"/>
  <c r="D410" i="24"/>
  <c r="D415" i="24" s="1"/>
  <c r="G381" i="24"/>
  <c r="X138" i="24" s="1"/>
  <c r="C352" i="24"/>
  <c r="T128" i="24" s="1"/>
  <c r="H292" i="24"/>
  <c r="I293" i="24" s="1"/>
  <c r="AE25" i="24" s="1"/>
  <c r="W98" i="24"/>
  <c r="P203" i="24"/>
  <c r="W80" i="24"/>
  <c r="E149" i="24"/>
  <c r="E154" i="24" s="1"/>
  <c r="D33" i="24"/>
  <c r="U18" i="24" s="1"/>
  <c r="D526" i="24"/>
  <c r="D528" i="24" s="1"/>
  <c r="H524" i="24"/>
  <c r="I525" i="24" s="1"/>
  <c r="AE33" i="24" s="1"/>
  <c r="AA144" i="24"/>
  <c r="P318" i="24"/>
  <c r="V120" i="24"/>
  <c r="E294" i="24"/>
  <c r="E299" i="24" s="1"/>
  <c r="I289" i="24"/>
  <c r="J289" i="24" s="1"/>
  <c r="V111" i="24" s="1"/>
  <c r="G294" i="24"/>
  <c r="G296" i="24" s="1"/>
  <c r="D265" i="24"/>
  <c r="D267" i="24" s="1"/>
  <c r="H263" i="24"/>
  <c r="I264" i="24" s="1"/>
  <c r="AE24" i="24" s="1"/>
  <c r="C265" i="24"/>
  <c r="C270" i="24" s="1"/>
  <c r="C236" i="24"/>
  <c r="T88" i="24" s="1"/>
  <c r="I229" i="24"/>
  <c r="K229" i="24" s="1"/>
  <c r="P229" i="24" s="1"/>
  <c r="J235" i="24" s="1"/>
  <c r="AF23" i="24" s="1"/>
  <c r="C207" i="24"/>
  <c r="C209" i="24" s="1"/>
  <c r="C178" i="24"/>
  <c r="C180" i="24" s="1"/>
  <c r="J175" i="24"/>
  <c r="X71" i="24" s="1"/>
  <c r="X70" i="24"/>
  <c r="K175" i="24"/>
  <c r="P175" i="24" s="1"/>
  <c r="D120" i="24"/>
  <c r="D122" i="24" s="1"/>
  <c r="W276" i="24"/>
  <c r="W277" i="24" s="1"/>
  <c r="H118" i="24"/>
  <c r="I119" i="24" s="1"/>
  <c r="AE19" i="24" s="1"/>
  <c r="F33" i="24"/>
  <c r="F38" i="24" s="1"/>
  <c r="H31" i="24"/>
  <c r="I32" i="24" s="1"/>
  <c r="AE16" i="24" s="1"/>
  <c r="K405" i="24"/>
  <c r="P405" i="24" s="1"/>
  <c r="J405" i="24"/>
  <c r="V151" i="24" s="1"/>
  <c r="V150" i="24"/>
  <c r="K491" i="24"/>
  <c r="P491" i="24" s="1"/>
  <c r="J491" i="24"/>
  <c r="U181" i="24" s="1"/>
  <c r="U180" i="24"/>
  <c r="K406" i="24"/>
  <c r="P406" i="24" s="1"/>
  <c r="J406" i="24"/>
  <c r="W151" i="24" s="1"/>
  <c r="W150" i="24"/>
  <c r="J116" i="24"/>
  <c r="W51" i="24" s="1"/>
  <c r="W50" i="24"/>
  <c r="K116" i="24"/>
  <c r="P116" i="24" s="1"/>
  <c r="K202" i="24"/>
  <c r="P202" i="24" s="1"/>
  <c r="J202" i="24"/>
  <c r="V81" i="24" s="1"/>
  <c r="V80" i="24"/>
  <c r="K260" i="24"/>
  <c r="P260" i="24" s="1"/>
  <c r="J260" i="24"/>
  <c r="V101" i="24" s="1"/>
  <c r="V100" i="24"/>
  <c r="J143" i="24"/>
  <c r="U61" i="24" s="1"/>
  <c r="K143" i="24"/>
  <c r="P143" i="24" s="1"/>
  <c r="U60" i="24"/>
  <c r="K494" i="24"/>
  <c r="P494" i="24" s="1"/>
  <c r="J494" i="24"/>
  <c r="X181" i="24" s="1"/>
  <c r="X180" i="24"/>
  <c r="K376" i="24"/>
  <c r="P376" i="24" s="1"/>
  <c r="J376" i="24"/>
  <c r="V141" i="24" s="1"/>
  <c r="V140" i="24"/>
  <c r="K346" i="24"/>
  <c r="P346" i="24" s="1"/>
  <c r="J346" i="24"/>
  <c r="U131" i="24" s="1"/>
  <c r="U130" i="24"/>
  <c r="J29" i="24"/>
  <c r="W21" i="24" s="1"/>
  <c r="W20" i="24"/>
  <c r="K29" i="24"/>
  <c r="P29" i="24" s="1"/>
  <c r="AN113" i="24"/>
  <c r="AT96" i="24"/>
  <c r="AY96" i="24" s="1"/>
  <c r="AS96" i="24"/>
  <c r="AN114" i="24" s="1"/>
  <c r="K174" i="24"/>
  <c r="P174" i="24" s="1"/>
  <c r="J174" i="24"/>
  <c r="W71" i="24" s="1"/>
  <c r="W70" i="24"/>
  <c r="G67" i="24"/>
  <c r="X28" i="24"/>
  <c r="G64" i="24"/>
  <c r="G66" i="24"/>
  <c r="X126" i="24"/>
  <c r="X134" i="24" s="1"/>
  <c r="X242" i="24" s="1"/>
  <c r="G352" i="24"/>
  <c r="K378" i="24"/>
  <c r="P378" i="24" s="1"/>
  <c r="J378" i="24"/>
  <c r="X141" i="24" s="1"/>
  <c r="X140" i="24"/>
  <c r="G124" i="24"/>
  <c r="C35" i="24"/>
  <c r="T18" i="24"/>
  <c r="C38" i="24"/>
  <c r="T90" i="24"/>
  <c r="K522" i="24"/>
  <c r="P522" i="24" s="1"/>
  <c r="J522" i="24"/>
  <c r="W191" i="24" s="1"/>
  <c r="W190" i="24"/>
  <c r="C267" i="24"/>
  <c r="U106" i="24"/>
  <c r="U114" i="24" s="1"/>
  <c r="D294" i="24"/>
  <c r="H495" i="24"/>
  <c r="I496" i="24" s="1"/>
  <c r="AE32" i="24" s="1"/>
  <c r="K316" i="24"/>
  <c r="P316" i="24" s="1"/>
  <c r="J316" i="24"/>
  <c r="T121" i="24" s="1"/>
  <c r="T120" i="24"/>
  <c r="C64" i="24"/>
  <c r="T28" i="24"/>
  <c r="C67" i="24"/>
  <c r="C66" i="24"/>
  <c r="F410" i="24"/>
  <c r="T234" i="24"/>
  <c r="F154" i="24"/>
  <c r="F151" i="24"/>
  <c r="W58" i="24"/>
  <c r="F153" i="24"/>
  <c r="W220" i="24"/>
  <c r="F531" i="24"/>
  <c r="F528" i="24"/>
  <c r="W188" i="24"/>
  <c r="F530" i="24"/>
  <c r="X276" i="24"/>
  <c r="X277" i="24" s="1"/>
  <c r="X220" i="24"/>
  <c r="X25" i="24"/>
  <c r="X228" i="24" s="1"/>
  <c r="T232" i="24"/>
  <c r="AA34" i="24"/>
  <c r="D386" i="24"/>
  <c r="D383" i="24"/>
  <c r="U138" i="24"/>
  <c r="D385" i="24"/>
  <c r="K259" i="24"/>
  <c r="P259" i="24" s="1"/>
  <c r="J259" i="24"/>
  <c r="U101" i="24" s="1"/>
  <c r="U100" i="24"/>
  <c r="E63" i="24"/>
  <c r="V29" i="24" s="1"/>
  <c r="H379" i="24"/>
  <c r="I380" i="24" s="1"/>
  <c r="AE28" i="24" s="1"/>
  <c r="T24" i="24"/>
  <c r="G270" i="24"/>
  <c r="K114" i="24"/>
  <c r="P114" i="24" s="1"/>
  <c r="J114" i="24"/>
  <c r="U51" i="24" s="1"/>
  <c r="U50" i="24"/>
  <c r="W106" i="24"/>
  <c r="W114" i="24" s="1"/>
  <c r="W240" i="24" s="1"/>
  <c r="F294" i="24"/>
  <c r="AO113" i="24"/>
  <c r="AT97" i="24"/>
  <c r="AY97" i="24" s="1"/>
  <c r="AS97" i="24"/>
  <c r="AO114" i="24" s="1"/>
  <c r="K201" i="24"/>
  <c r="P201" i="24" s="1"/>
  <c r="J201" i="24"/>
  <c r="U81" i="24" s="1"/>
  <c r="U80" i="24"/>
  <c r="I85" i="24"/>
  <c r="F589" i="24"/>
  <c r="F586" i="24"/>
  <c r="W208" i="24"/>
  <c r="F588" i="24"/>
  <c r="U116" i="24"/>
  <c r="U124" i="24" s="1"/>
  <c r="U241" i="24" s="1"/>
  <c r="D323" i="24"/>
  <c r="G444" i="24"/>
  <c r="G441" i="24"/>
  <c r="X158" i="24"/>
  <c r="G443" i="24"/>
  <c r="H205" i="24"/>
  <c r="I206" i="24" s="1"/>
  <c r="AE22" i="24" s="1"/>
  <c r="F499" i="24"/>
  <c r="F502" i="24"/>
  <c r="W178" i="24"/>
  <c r="F501" i="24"/>
  <c r="C323" i="24"/>
  <c r="E499" i="24"/>
  <c r="E502" i="24"/>
  <c r="V178" i="24"/>
  <c r="E501" i="24"/>
  <c r="T228" i="24"/>
  <c r="K520" i="24"/>
  <c r="P520" i="24" s="1"/>
  <c r="J520" i="24"/>
  <c r="U191" i="24" s="1"/>
  <c r="U190" i="24"/>
  <c r="AN111" i="24"/>
  <c r="AN106" i="24"/>
  <c r="AN103" i="24"/>
  <c r="AN105" i="24"/>
  <c r="F67" i="24"/>
  <c r="F64" i="24"/>
  <c r="W28" i="24"/>
  <c r="F66" i="24"/>
  <c r="AT98" i="24"/>
  <c r="AY98" i="24" s="1"/>
  <c r="AS98" i="24"/>
  <c r="AP114" i="24" s="1"/>
  <c r="AP113" i="24"/>
  <c r="K320" i="24"/>
  <c r="P320" i="24" s="1"/>
  <c r="J320" i="24"/>
  <c r="X121" i="24" s="1"/>
  <c r="X120" i="24"/>
  <c r="D412" i="24"/>
  <c r="U148" i="24"/>
  <c r="D414" i="24"/>
  <c r="U275" i="24"/>
  <c r="G585" i="24"/>
  <c r="X209" i="24" s="1"/>
  <c r="E589" i="24"/>
  <c r="E586" i="24"/>
  <c r="V208" i="24"/>
  <c r="E588" i="24"/>
  <c r="U276" i="24"/>
  <c r="U277" i="24" s="1"/>
  <c r="U220" i="24"/>
  <c r="U25" i="24"/>
  <c r="U228" i="24" s="1"/>
  <c r="J56" i="24"/>
  <c r="U31" i="24" s="1"/>
  <c r="K56" i="24"/>
  <c r="P56" i="24" s="1"/>
  <c r="J61" i="24" s="1"/>
  <c r="AF17" i="24" s="1"/>
  <c r="U30" i="24"/>
  <c r="D93" i="24"/>
  <c r="D96" i="24"/>
  <c r="U38" i="24"/>
  <c r="D67" i="24"/>
  <c r="D64" i="24"/>
  <c r="U28" i="24"/>
  <c r="D66" i="24"/>
  <c r="X146" i="24"/>
  <c r="X154" i="24" s="1"/>
  <c r="X244" i="24" s="1"/>
  <c r="G410" i="24"/>
  <c r="K493" i="24"/>
  <c r="P493" i="24" s="1"/>
  <c r="J493" i="24"/>
  <c r="W181" i="24" s="1"/>
  <c r="W180" i="24"/>
  <c r="T241" i="24"/>
  <c r="AS117" i="24"/>
  <c r="K319" i="24"/>
  <c r="P319" i="24" s="1"/>
  <c r="J319" i="24"/>
  <c r="W121" i="24" s="1"/>
  <c r="W120" i="24"/>
  <c r="T220" i="24"/>
  <c r="D269" i="24"/>
  <c r="K117" i="24"/>
  <c r="P117" i="24" s="1"/>
  <c r="J117" i="24"/>
  <c r="X51" i="24" s="1"/>
  <c r="X50" i="24"/>
  <c r="K262" i="24"/>
  <c r="P262" i="24" s="1"/>
  <c r="J262" i="24"/>
  <c r="X101" i="24" s="1"/>
  <c r="X100" i="24"/>
  <c r="C473" i="24"/>
  <c r="C470" i="24"/>
  <c r="T168" i="24"/>
  <c r="C472" i="24"/>
  <c r="K548" i="24"/>
  <c r="P548" i="24" s="1"/>
  <c r="J554" i="24" s="1"/>
  <c r="AF34" i="24" s="1"/>
  <c r="J548" i="24"/>
  <c r="T201" i="24" s="1"/>
  <c r="T200" i="24"/>
  <c r="K492" i="24"/>
  <c r="P492" i="24" s="1"/>
  <c r="J492" i="24"/>
  <c r="V181" i="24" s="1"/>
  <c r="V180" i="24"/>
  <c r="AP101" i="24"/>
  <c r="K374" i="24"/>
  <c r="P374" i="24" s="1"/>
  <c r="J374" i="24"/>
  <c r="T141" i="24" s="1"/>
  <c r="T140" i="24"/>
  <c r="G328" i="24"/>
  <c r="G325" i="24"/>
  <c r="X118" i="24"/>
  <c r="G327" i="24"/>
  <c r="K348" i="24"/>
  <c r="P348" i="24" s="1"/>
  <c r="J348" i="24"/>
  <c r="W131" i="24" s="1"/>
  <c r="W130" i="24"/>
  <c r="J404" i="24"/>
  <c r="U151" i="24" s="1"/>
  <c r="K404" i="24"/>
  <c r="P404" i="24" s="1"/>
  <c r="U150" i="24"/>
  <c r="E357" i="24"/>
  <c r="E354" i="24"/>
  <c r="V128" i="24"/>
  <c r="E356" i="24"/>
  <c r="E444" i="24"/>
  <c r="E441" i="24"/>
  <c r="E443" i="24"/>
  <c r="V158" i="24"/>
  <c r="K291" i="24"/>
  <c r="P291" i="24" s="1"/>
  <c r="J291" i="24"/>
  <c r="X111" i="24" s="1"/>
  <c r="X110" i="24"/>
  <c r="F440" i="24"/>
  <c r="W159" i="24" s="1"/>
  <c r="E207" i="24"/>
  <c r="T237" i="24"/>
  <c r="H321" i="24"/>
  <c r="I322" i="24" s="1"/>
  <c r="AE26" i="24" s="1"/>
  <c r="AL101" i="24"/>
  <c r="F323" i="24"/>
  <c r="E473" i="24"/>
  <c r="E470" i="24"/>
  <c r="V168" i="24"/>
  <c r="E472" i="24"/>
  <c r="T276" i="24"/>
  <c r="T277" i="24" s="1"/>
  <c r="E35" i="24"/>
  <c r="V18" i="24"/>
  <c r="E38" i="24"/>
  <c r="E37" i="24"/>
  <c r="H147" i="24"/>
  <c r="I148" i="24" s="1"/>
  <c r="AE20" i="24" s="1"/>
  <c r="F352" i="24"/>
  <c r="T56" i="24"/>
  <c r="T64" i="24" s="1"/>
  <c r="C149" i="24"/>
  <c r="H350" i="24"/>
  <c r="I351" i="24" s="1"/>
  <c r="AE27" i="24" s="1"/>
  <c r="C410" i="24"/>
  <c r="G299" i="24"/>
  <c r="T78" i="24"/>
  <c r="C211" i="24"/>
  <c r="W36" i="24"/>
  <c r="W44" i="24" s="1"/>
  <c r="W233" i="24" s="1"/>
  <c r="F91" i="24"/>
  <c r="AQ99" i="24"/>
  <c r="AR100" i="24" s="1"/>
  <c r="AS109" i="24" s="1"/>
  <c r="X275" i="24"/>
  <c r="K142" i="24"/>
  <c r="P142" i="24" s="1"/>
  <c r="J142" i="24"/>
  <c r="T61" i="24" s="1"/>
  <c r="T60" i="24"/>
  <c r="D497" i="24"/>
  <c r="I171" i="24"/>
  <c r="K28" i="24"/>
  <c r="P28" i="24" s="1"/>
  <c r="J28" i="24"/>
  <c r="V21" i="24" s="1"/>
  <c r="V20" i="24"/>
  <c r="X66" i="24"/>
  <c r="X74" i="24" s="1"/>
  <c r="X236" i="24" s="1"/>
  <c r="G178" i="24"/>
  <c r="K144" i="24"/>
  <c r="P144" i="24" s="1"/>
  <c r="J144" i="24"/>
  <c r="V61" i="24" s="1"/>
  <c r="V60" i="24"/>
  <c r="E526" i="24"/>
  <c r="K464" i="24"/>
  <c r="P464" i="24" s="1"/>
  <c r="J467" i="24" s="1"/>
  <c r="AF31" i="24" s="1"/>
  <c r="J464" i="24"/>
  <c r="W171" i="24" s="1"/>
  <c r="W170" i="24"/>
  <c r="H408" i="24"/>
  <c r="I409" i="24" s="1"/>
  <c r="AE29" i="24" s="1"/>
  <c r="G499" i="24"/>
  <c r="G502" i="24"/>
  <c r="X178" i="24"/>
  <c r="G501" i="24"/>
  <c r="J200" i="24"/>
  <c r="T81" i="24" s="1"/>
  <c r="K200" i="24"/>
  <c r="P200" i="24" s="1"/>
  <c r="T80" i="24"/>
  <c r="V138" i="24"/>
  <c r="G93" i="24"/>
  <c r="G95" i="24"/>
  <c r="G96" i="24"/>
  <c r="X38" i="24"/>
  <c r="C357" i="24"/>
  <c r="C356" i="24"/>
  <c r="E93" i="24"/>
  <c r="E95" i="24"/>
  <c r="E96" i="24"/>
  <c r="V38" i="24"/>
  <c r="U66" i="24"/>
  <c r="U74" i="24" s="1"/>
  <c r="U236" i="24" s="1"/>
  <c r="D178" i="24"/>
  <c r="T236" i="24"/>
  <c r="V86" i="24"/>
  <c r="V94" i="24" s="1"/>
  <c r="V238" i="24" s="1"/>
  <c r="E236" i="24"/>
  <c r="U86" i="24"/>
  <c r="U94" i="24" s="1"/>
  <c r="U238" i="24" s="1"/>
  <c r="D236" i="24"/>
  <c r="V66" i="24"/>
  <c r="V74" i="24" s="1"/>
  <c r="V236" i="24" s="1"/>
  <c r="E178" i="24"/>
  <c r="K521" i="24"/>
  <c r="P521" i="24" s="1"/>
  <c r="J521" i="24"/>
  <c r="V191" i="24" s="1"/>
  <c r="V190" i="24"/>
  <c r="F473" i="24"/>
  <c r="F470" i="24"/>
  <c r="W168" i="24"/>
  <c r="T186" i="24"/>
  <c r="T194" i="24" s="1"/>
  <c r="C526" i="24"/>
  <c r="V24" i="24"/>
  <c r="C560" i="24"/>
  <c r="C557" i="24"/>
  <c r="T198" i="24"/>
  <c r="C559" i="24"/>
  <c r="I403" i="24"/>
  <c r="X186" i="24"/>
  <c r="X194" i="24" s="1"/>
  <c r="X248" i="24" s="1"/>
  <c r="G526" i="24"/>
  <c r="AM106" i="24"/>
  <c r="AM111" i="24"/>
  <c r="AM103" i="24"/>
  <c r="AM105" i="24"/>
  <c r="V46" i="24"/>
  <c r="V54" i="24" s="1"/>
  <c r="V234" i="24" s="1"/>
  <c r="E120" i="24"/>
  <c r="AS94" i="24"/>
  <c r="AL114" i="24" s="1"/>
  <c r="AT94" i="24"/>
  <c r="AL113" i="24"/>
  <c r="X166" i="24"/>
  <c r="X174" i="24" s="1"/>
  <c r="X246" i="24" s="1"/>
  <c r="G468" i="24"/>
  <c r="K577" i="24"/>
  <c r="P577" i="24" s="1"/>
  <c r="J583" i="24" s="1"/>
  <c r="AF35" i="24" s="1"/>
  <c r="J577" i="24"/>
  <c r="T211" i="24" s="1"/>
  <c r="T210" i="24"/>
  <c r="F270" i="24"/>
  <c r="F266" i="24" s="1"/>
  <c r="W99" i="24" s="1"/>
  <c r="T242" i="24"/>
  <c r="D589" i="24"/>
  <c r="D586" i="24"/>
  <c r="U208" i="24"/>
  <c r="D588" i="24"/>
  <c r="E267" i="24"/>
  <c r="E270" i="24"/>
  <c r="V98" i="24"/>
  <c r="E269" i="24"/>
  <c r="AA204" i="24"/>
  <c r="T249" i="24"/>
  <c r="T244" i="24"/>
  <c r="V116" i="24"/>
  <c r="V124" i="24" s="1"/>
  <c r="V241" i="24" s="1"/>
  <c r="E323" i="24"/>
  <c r="AT95" i="24"/>
  <c r="AY95" i="24" s="1"/>
  <c r="AS95" i="24"/>
  <c r="AM114" i="24" s="1"/>
  <c r="AM113" i="24"/>
  <c r="K490" i="24"/>
  <c r="P490" i="24" s="1"/>
  <c r="J490" i="24"/>
  <c r="T181" i="24" s="1"/>
  <c r="T180" i="24"/>
  <c r="C444" i="24"/>
  <c r="C441" i="24"/>
  <c r="T158" i="24"/>
  <c r="C443" i="24"/>
  <c r="C589" i="24"/>
  <c r="C586" i="24"/>
  <c r="T208" i="24"/>
  <c r="C588" i="24"/>
  <c r="D149" i="24"/>
  <c r="W68" i="24"/>
  <c r="F183" i="24"/>
  <c r="F180" i="24"/>
  <c r="F182" i="24"/>
  <c r="T238" i="24"/>
  <c r="I258" i="24"/>
  <c r="K377" i="24"/>
  <c r="P377" i="24" s="1"/>
  <c r="J377" i="24"/>
  <c r="W141" i="24" s="1"/>
  <c r="W140" i="24"/>
  <c r="K432" i="24"/>
  <c r="P432" i="24" s="1"/>
  <c r="J438" i="24" s="1"/>
  <c r="AF30" i="24" s="1"/>
  <c r="J432" i="24"/>
  <c r="T161" i="24" s="1"/>
  <c r="T160" i="24"/>
  <c r="T247" i="24"/>
  <c r="AA184" i="24"/>
  <c r="W76" i="24"/>
  <c r="W84" i="24" s="1"/>
  <c r="W237" i="24" s="1"/>
  <c r="F207" i="24"/>
  <c r="J204" i="24"/>
  <c r="X81" i="24" s="1"/>
  <c r="K204" i="24"/>
  <c r="P204" i="24" s="1"/>
  <c r="X80" i="24"/>
  <c r="D212" i="24"/>
  <c r="D209" i="24"/>
  <c r="U78" i="24"/>
  <c r="D211" i="24"/>
  <c r="C93" i="24"/>
  <c r="C96" i="24"/>
  <c r="T38" i="24"/>
  <c r="C95" i="24"/>
  <c r="K146" i="24"/>
  <c r="P146" i="24" s="1"/>
  <c r="J146" i="24"/>
  <c r="X61" i="24" s="1"/>
  <c r="X60" i="24"/>
  <c r="W86" i="24"/>
  <c r="W94" i="24" s="1"/>
  <c r="W238" i="24" s="1"/>
  <c r="F236" i="24"/>
  <c r="U291" i="24"/>
  <c r="U292" i="24" s="1"/>
  <c r="I26" i="24"/>
  <c r="C37" i="24" s="1"/>
  <c r="C240" i="24"/>
  <c r="V276" i="24"/>
  <c r="V277" i="24" s="1"/>
  <c r="V220" i="24"/>
  <c r="V25" i="24"/>
  <c r="V228" i="24" s="1"/>
  <c r="T239" i="24"/>
  <c r="AA104" i="24"/>
  <c r="F386" i="24"/>
  <c r="F383" i="24"/>
  <c r="W138" i="24"/>
  <c r="F385" i="24"/>
  <c r="W24" i="24"/>
  <c r="D357" i="24"/>
  <c r="D354" i="24"/>
  <c r="D356" i="24"/>
  <c r="U128" i="24"/>
  <c r="C386" i="24"/>
  <c r="C385" i="24"/>
  <c r="C383" i="24"/>
  <c r="T138" i="24"/>
  <c r="T233" i="24"/>
  <c r="G149" i="24"/>
  <c r="K261" i="24"/>
  <c r="P261" i="24" s="1"/>
  <c r="J261" i="24"/>
  <c r="W101" i="24" s="1"/>
  <c r="W100" i="24"/>
  <c r="U290" i="24"/>
  <c r="F122" i="24"/>
  <c r="F125" i="24"/>
  <c r="W48" i="24"/>
  <c r="F124" i="24"/>
  <c r="G38" i="24"/>
  <c r="G35" i="24"/>
  <c r="X18" i="24"/>
  <c r="G37" i="24"/>
  <c r="U166" i="24"/>
  <c r="U174" i="24" s="1"/>
  <c r="D468" i="24"/>
  <c r="X86" i="24"/>
  <c r="X94" i="24" s="1"/>
  <c r="X238" i="24" s="1"/>
  <c r="G236" i="24"/>
  <c r="X290" i="24"/>
  <c r="X231" i="24"/>
  <c r="X291" i="24"/>
  <c r="X292" i="24" s="1"/>
  <c r="C497" i="24"/>
  <c r="K27" i="24"/>
  <c r="P27" i="24" s="1"/>
  <c r="J27" i="24"/>
  <c r="U21" i="24" s="1"/>
  <c r="U20" i="24"/>
  <c r="C122" i="24"/>
  <c r="C125" i="24"/>
  <c r="T48" i="24"/>
  <c r="C124" i="24"/>
  <c r="W228" i="24"/>
  <c r="AN101" i="23"/>
  <c r="AN106" i="23" s="1"/>
  <c r="G584" i="23"/>
  <c r="G589" i="23" s="1"/>
  <c r="H582" i="23"/>
  <c r="I583" i="23" s="1"/>
  <c r="AE35" i="23" s="1"/>
  <c r="C528" i="23"/>
  <c r="T188" i="23"/>
  <c r="T186" i="23"/>
  <c r="T194" i="23" s="1"/>
  <c r="AA194" i="23" s="1"/>
  <c r="C531" i="23"/>
  <c r="G439" i="23"/>
  <c r="X158" i="23" s="1"/>
  <c r="C352" i="23"/>
  <c r="C357" i="23" s="1"/>
  <c r="H205" i="23"/>
  <c r="I206" i="23" s="1"/>
  <c r="AE22" i="23" s="1"/>
  <c r="D149" i="23"/>
  <c r="U58" i="23" s="1"/>
  <c r="D120" i="23"/>
  <c r="D122" i="23" s="1"/>
  <c r="D64" i="23"/>
  <c r="D33" i="23"/>
  <c r="G555" i="23"/>
  <c r="X198" i="23" s="1"/>
  <c r="I521" i="23"/>
  <c r="J521" i="23" s="1"/>
  <c r="V191" i="23" s="1"/>
  <c r="H437" i="23"/>
  <c r="I438" i="23" s="1"/>
  <c r="AE30" i="23" s="1"/>
  <c r="AA164" i="23"/>
  <c r="E410" i="23"/>
  <c r="E412" i="23" s="1"/>
  <c r="H350" i="23"/>
  <c r="I351" i="23" s="1"/>
  <c r="AE27" i="23" s="1"/>
  <c r="I346" i="23"/>
  <c r="K346" i="23" s="1"/>
  <c r="P346" i="23" s="1"/>
  <c r="AA114" i="23"/>
  <c r="C207" i="23"/>
  <c r="C212" i="23" s="1"/>
  <c r="G207" i="23"/>
  <c r="X78" i="23" s="1"/>
  <c r="I200" i="23"/>
  <c r="K200" i="23" s="1"/>
  <c r="P200" i="23" s="1"/>
  <c r="F178" i="23"/>
  <c r="F180" i="23" s="1"/>
  <c r="H147" i="23"/>
  <c r="I148" i="23" s="1"/>
  <c r="AE20" i="23" s="1"/>
  <c r="C149" i="23"/>
  <c r="C154" i="23" s="1"/>
  <c r="F149" i="23"/>
  <c r="F153" i="23" s="1"/>
  <c r="H118" i="23"/>
  <c r="I119" i="23" s="1"/>
  <c r="AE19" i="23" s="1"/>
  <c r="C91" i="23"/>
  <c r="T38" i="23" s="1"/>
  <c r="F91" i="23"/>
  <c r="W38" i="23" s="1"/>
  <c r="D66" i="23"/>
  <c r="C33" i="23"/>
  <c r="C38" i="23" s="1"/>
  <c r="K232" i="23"/>
  <c r="P232" i="23" s="1"/>
  <c r="J232" i="23"/>
  <c r="W91" i="23" s="1"/>
  <c r="W90" i="23"/>
  <c r="K548" i="23"/>
  <c r="P548" i="23" s="1"/>
  <c r="J548" i="23"/>
  <c r="T201" i="23" s="1"/>
  <c r="T200" i="23"/>
  <c r="K581" i="23"/>
  <c r="P581" i="23" s="1"/>
  <c r="J581" i="23"/>
  <c r="X211" i="23" s="1"/>
  <c r="X210" i="23"/>
  <c r="K406" i="23"/>
  <c r="P406" i="23" s="1"/>
  <c r="J406" i="23"/>
  <c r="W151" i="23" s="1"/>
  <c r="W150" i="23"/>
  <c r="K28" i="23"/>
  <c r="P28" i="23" s="1"/>
  <c r="J28" i="23"/>
  <c r="V21" i="23" s="1"/>
  <c r="V20" i="23"/>
  <c r="K376" i="23"/>
  <c r="P376" i="23" s="1"/>
  <c r="J376" i="23"/>
  <c r="V141" i="23" s="1"/>
  <c r="V140" i="23"/>
  <c r="K552" i="23"/>
  <c r="P552" i="23" s="1"/>
  <c r="J552" i="23"/>
  <c r="X201" i="23" s="1"/>
  <c r="X200" i="23"/>
  <c r="K375" i="23"/>
  <c r="P375" i="23" s="1"/>
  <c r="J375" i="23"/>
  <c r="U141" i="23" s="1"/>
  <c r="U140" i="23"/>
  <c r="K58" i="23"/>
  <c r="P58" i="23" s="1"/>
  <c r="J58" i="23"/>
  <c r="W31" i="23" s="1"/>
  <c r="W30" i="23"/>
  <c r="J29" i="23"/>
  <c r="W21" i="23" s="1"/>
  <c r="W20" i="23"/>
  <c r="K29" i="23"/>
  <c r="P29" i="23" s="1"/>
  <c r="J116" i="23"/>
  <c r="W51" i="23" s="1"/>
  <c r="K116" i="23"/>
  <c r="P116" i="23" s="1"/>
  <c r="W50" i="23"/>
  <c r="AN113" i="23"/>
  <c r="AT96" i="23"/>
  <c r="AY96" i="23" s="1"/>
  <c r="AS96" i="23"/>
  <c r="AN114" i="23" s="1"/>
  <c r="V40" i="23"/>
  <c r="K86" i="23"/>
  <c r="P86" i="23" s="1"/>
  <c r="J86" i="23"/>
  <c r="V41" i="23" s="1"/>
  <c r="K579" i="23"/>
  <c r="P579" i="23" s="1"/>
  <c r="J579" i="23"/>
  <c r="V211" i="23" s="1"/>
  <c r="V210" i="23"/>
  <c r="D35" i="23"/>
  <c r="D38" i="23"/>
  <c r="U18" i="23"/>
  <c r="D37" i="23"/>
  <c r="T246" i="23"/>
  <c r="AM109" i="23"/>
  <c r="AM117" i="23" s="1"/>
  <c r="AM101" i="23"/>
  <c r="T235" i="23"/>
  <c r="AA64" i="23"/>
  <c r="K432" i="23"/>
  <c r="P432" i="23" s="1"/>
  <c r="J432" i="23"/>
  <c r="T161" i="23" s="1"/>
  <c r="T160" i="23"/>
  <c r="C178" i="23"/>
  <c r="T46" i="23"/>
  <c r="T54" i="23" s="1"/>
  <c r="C120" i="23"/>
  <c r="E584" i="23"/>
  <c r="V276" i="23"/>
  <c r="V277" i="23" s="1"/>
  <c r="V220" i="23"/>
  <c r="V25" i="23"/>
  <c r="V228" i="23" s="1"/>
  <c r="G328" i="23"/>
  <c r="G325" i="23"/>
  <c r="G327" i="23"/>
  <c r="X118" i="23"/>
  <c r="K461" i="23"/>
  <c r="P461" i="23" s="1"/>
  <c r="J467" i="23" s="1"/>
  <c r="AF31" i="23" s="1"/>
  <c r="J461" i="23"/>
  <c r="T171" i="23" s="1"/>
  <c r="T170" i="23"/>
  <c r="U76" i="23"/>
  <c r="U84" i="23" s="1"/>
  <c r="U237" i="23" s="1"/>
  <c r="D207" i="23"/>
  <c r="W116" i="23"/>
  <c r="W124" i="23" s="1"/>
  <c r="W241" i="23" s="1"/>
  <c r="F323" i="23"/>
  <c r="H234" i="23"/>
  <c r="I235" i="23" s="1"/>
  <c r="AE23" i="23" s="1"/>
  <c r="X16" i="23"/>
  <c r="G33" i="23"/>
  <c r="T116" i="23"/>
  <c r="T124" i="23" s="1"/>
  <c r="C323" i="23"/>
  <c r="T236" i="23"/>
  <c r="V176" i="23"/>
  <c r="V184" i="23" s="1"/>
  <c r="V247" i="23" s="1"/>
  <c r="E497" i="23"/>
  <c r="K523" i="23"/>
  <c r="P523" i="23" s="1"/>
  <c r="J523" i="23"/>
  <c r="X191" i="23" s="1"/>
  <c r="X190" i="23"/>
  <c r="K316" i="23"/>
  <c r="P316" i="23" s="1"/>
  <c r="J316" i="23"/>
  <c r="T121" i="23" s="1"/>
  <c r="T120" i="23"/>
  <c r="K27" i="23"/>
  <c r="P27" i="23" s="1"/>
  <c r="J27" i="23"/>
  <c r="U21" i="23" s="1"/>
  <c r="U20" i="23"/>
  <c r="X166" i="23"/>
  <c r="X174" i="23" s="1"/>
  <c r="X246" i="23" s="1"/>
  <c r="G468" i="23"/>
  <c r="E154" i="23"/>
  <c r="E151" i="23"/>
  <c r="V58" i="23"/>
  <c r="E153" i="23"/>
  <c r="I171" i="23"/>
  <c r="E414" i="23"/>
  <c r="W40" i="23"/>
  <c r="K87" i="23"/>
  <c r="P87" i="23" s="1"/>
  <c r="J87" i="23"/>
  <c r="W41" i="23" s="1"/>
  <c r="H379" i="23"/>
  <c r="I380" i="23" s="1"/>
  <c r="AE28" i="23" s="1"/>
  <c r="G502" i="23"/>
  <c r="G499" i="23"/>
  <c r="X178" i="23"/>
  <c r="G501" i="23"/>
  <c r="D531" i="23"/>
  <c r="D528" i="23"/>
  <c r="U188" i="23"/>
  <c r="D530" i="23"/>
  <c r="G212" i="23"/>
  <c r="G209" i="23"/>
  <c r="C444" i="23"/>
  <c r="C441" i="23"/>
  <c r="T158" i="23"/>
  <c r="C443" i="23"/>
  <c r="J287" i="23"/>
  <c r="T111" i="23" s="1"/>
  <c r="K287" i="23"/>
  <c r="P287" i="23" s="1"/>
  <c r="J293" i="23" s="1"/>
  <c r="AF25" i="23" s="1"/>
  <c r="T110" i="23"/>
  <c r="X26" i="23"/>
  <c r="X34" i="23" s="1"/>
  <c r="X232" i="23" s="1"/>
  <c r="G62" i="23"/>
  <c r="V275" i="23"/>
  <c r="V24" i="23"/>
  <c r="W196" i="23"/>
  <c r="W204" i="23" s="1"/>
  <c r="W249" i="23" s="1"/>
  <c r="F555" i="23"/>
  <c r="K320" i="23"/>
  <c r="P320" i="23" s="1"/>
  <c r="J320" i="23"/>
  <c r="X121" i="23" s="1"/>
  <c r="X120" i="23"/>
  <c r="K348" i="23"/>
  <c r="P348" i="23" s="1"/>
  <c r="J348" i="23"/>
  <c r="W131" i="23" s="1"/>
  <c r="W130" i="23"/>
  <c r="K491" i="23"/>
  <c r="P491" i="23" s="1"/>
  <c r="J491" i="23"/>
  <c r="U181" i="23" s="1"/>
  <c r="U180" i="23"/>
  <c r="G265" i="23"/>
  <c r="J146" i="23"/>
  <c r="X61" i="23" s="1"/>
  <c r="X60" i="23"/>
  <c r="K146" i="23"/>
  <c r="P146" i="23" s="1"/>
  <c r="D352" i="23"/>
  <c r="C499" i="23"/>
  <c r="C502" i="23"/>
  <c r="T178" i="23"/>
  <c r="C501" i="23"/>
  <c r="F444" i="23"/>
  <c r="F441" i="23"/>
  <c r="W158" i="23"/>
  <c r="F443" i="23"/>
  <c r="F528" i="23"/>
  <c r="F531" i="23"/>
  <c r="W188" i="23"/>
  <c r="F530" i="23"/>
  <c r="T244" i="23"/>
  <c r="H553" i="23"/>
  <c r="I554" i="23" s="1"/>
  <c r="AE34" i="23" s="1"/>
  <c r="K144" i="23"/>
  <c r="P144" i="23" s="1"/>
  <c r="J144" i="23"/>
  <c r="V61" i="23" s="1"/>
  <c r="V60" i="23"/>
  <c r="H60" i="23"/>
  <c r="I61" i="23" s="1"/>
  <c r="AE17" i="23" s="1"/>
  <c r="C468" i="23"/>
  <c r="D499" i="23"/>
  <c r="D502" i="23"/>
  <c r="U178" i="23"/>
  <c r="D501" i="23"/>
  <c r="G149" i="23"/>
  <c r="V126" i="23"/>
  <c r="V134" i="23" s="1"/>
  <c r="V242" i="23" s="1"/>
  <c r="E352" i="23"/>
  <c r="G238" i="23"/>
  <c r="G241" i="23"/>
  <c r="X88" i="23"/>
  <c r="G240" i="23"/>
  <c r="K115" i="23"/>
  <c r="P115" i="23" s="1"/>
  <c r="J115" i="23"/>
  <c r="V51" i="23" s="1"/>
  <c r="V50" i="23"/>
  <c r="T26" i="23"/>
  <c r="T34" i="23" s="1"/>
  <c r="C62" i="23"/>
  <c r="G444" i="23"/>
  <c r="G441" i="23"/>
  <c r="G443" i="23"/>
  <c r="W220" i="23"/>
  <c r="W276" i="23"/>
  <c r="W277" i="23" s="1"/>
  <c r="W25" i="23"/>
  <c r="W228" i="23" s="1"/>
  <c r="F266" i="23"/>
  <c r="W99" i="23" s="1"/>
  <c r="U166" i="23"/>
  <c r="U174" i="23" s="1"/>
  <c r="U246" i="23" s="1"/>
  <c r="D468" i="23"/>
  <c r="K580" i="23"/>
  <c r="P580" i="23" s="1"/>
  <c r="J580" i="23"/>
  <c r="W211" i="23" s="1"/>
  <c r="W210" i="23"/>
  <c r="F236" i="23"/>
  <c r="U275" i="23"/>
  <c r="U24" i="23"/>
  <c r="H408" i="23"/>
  <c r="I409" i="23" s="1"/>
  <c r="AE29" i="23" s="1"/>
  <c r="I403" i="23"/>
  <c r="C414" i="23" s="1"/>
  <c r="D96" i="23"/>
  <c r="U38" i="23"/>
  <c r="D93" i="23"/>
  <c r="D95" i="23"/>
  <c r="H495" i="23"/>
  <c r="I496" i="23" s="1"/>
  <c r="AE32" i="23" s="1"/>
  <c r="D555" i="23"/>
  <c r="V96" i="23"/>
  <c r="V104" i="23" s="1"/>
  <c r="V239" i="23" s="1"/>
  <c r="E265" i="23"/>
  <c r="D444" i="23"/>
  <c r="D441" i="23"/>
  <c r="U158" i="23"/>
  <c r="D443" i="23"/>
  <c r="K435" i="23"/>
  <c r="P435" i="23" s="1"/>
  <c r="J435" i="23"/>
  <c r="W161" i="23" s="1"/>
  <c r="W160" i="23"/>
  <c r="J113" i="23"/>
  <c r="T51" i="23" s="1"/>
  <c r="T50" i="23"/>
  <c r="K113" i="23"/>
  <c r="P113" i="23" s="1"/>
  <c r="J522" i="23"/>
  <c r="W191" i="23" s="1"/>
  <c r="K522" i="23"/>
  <c r="P522" i="23" s="1"/>
  <c r="W190" i="23"/>
  <c r="K377" i="23"/>
  <c r="P377" i="23" s="1"/>
  <c r="J377" i="23"/>
  <c r="W141" i="23" s="1"/>
  <c r="W140" i="23"/>
  <c r="K405" i="23"/>
  <c r="P405" i="23" s="1"/>
  <c r="J405" i="23"/>
  <c r="V151" i="23" s="1"/>
  <c r="V150" i="23"/>
  <c r="E91" i="23"/>
  <c r="U220" i="23"/>
  <c r="U276" i="23"/>
  <c r="U277" i="23" s="1"/>
  <c r="U25" i="23"/>
  <c r="U228" i="23" s="1"/>
  <c r="D383" i="23"/>
  <c r="D386" i="23"/>
  <c r="U138" i="23"/>
  <c r="D385" i="23"/>
  <c r="D382" i="23" s="1"/>
  <c r="U139" i="23" s="1"/>
  <c r="F357" i="23"/>
  <c r="F356" i="23"/>
  <c r="W128" i="23"/>
  <c r="F354" i="23"/>
  <c r="V66" i="23"/>
  <c r="V74" i="23" s="1"/>
  <c r="V236" i="23" s="1"/>
  <c r="E178" i="23"/>
  <c r="J262" i="23"/>
  <c r="X101" i="23" s="1"/>
  <c r="X100" i="23"/>
  <c r="K262" i="23"/>
  <c r="P262" i="23" s="1"/>
  <c r="J264" i="23" s="1"/>
  <c r="AF24" i="23" s="1"/>
  <c r="E122" i="23"/>
  <c r="E125" i="23"/>
  <c r="V48" i="23"/>
  <c r="E124" i="23"/>
  <c r="K492" i="23"/>
  <c r="P492" i="23" s="1"/>
  <c r="J492" i="23"/>
  <c r="V181" i="23" s="1"/>
  <c r="V180" i="23"/>
  <c r="T276" i="23"/>
  <c r="T277" i="23" s="1"/>
  <c r="T220" i="23"/>
  <c r="T25" i="23"/>
  <c r="T228" i="23" s="1"/>
  <c r="J88" i="23"/>
  <c r="X41" i="23" s="1"/>
  <c r="K88" i="23"/>
  <c r="P88" i="23" s="1"/>
  <c r="X40" i="23"/>
  <c r="D67" i="23"/>
  <c r="W275" i="23"/>
  <c r="W24" i="23"/>
  <c r="F584" i="23"/>
  <c r="X136" i="23"/>
  <c r="X144" i="23" s="1"/>
  <c r="X243" i="23" s="1"/>
  <c r="G381" i="23"/>
  <c r="V166" i="23"/>
  <c r="V174" i="23" s="1"/>
  <c r="V246" i="23" s="1"/>
  <c r="E468" i="23"/>
  <c r="K57" i="23"/>
  <c r="P57" i="23" s="1"/>
  <c r="V30" i="23"/>
  <c r="J57" i="23"/>
  <c r="V31" i="23" s="1"/>
  <c r="U40" i="23"/>
  <c r="K85" i="23"/>
  <c r="P85" i="23" s="1"/>
  <c r="J85" i="23"/>
  <c r="U41" i="23" s="1"/>
  <c r="V116" i="23"/>
  <c r="V124" i="23" s="1"/>
  <c r="V241" i="23" s="1"/>
  <c r="E323" i="23"/>
  <c r="K549" i="23"/>
  <c r="P549" i="23" s="1"/>
  <c r="J549" i="23"/>
  <c r="U201" i="23" s="1"/>
  <c r="U200" i="23"/>
  <c r="K172" i="23"/>
  <c r="P172" i="23" s="1"/>
  <c r="J172" i="23"/>
  <c r="U71" i="23" s="1"/>
  <c r="U70" i="23"/>
  <c r="I434" i="23"/>
  <c r="E443" i="23" s="1"/>
  <c r="E440" i="23" s="1"/>
  <c r="V159" i="23" s="1"/>
  <c r="E528" i="23"/>
  <c r="E531" i="23"/>
  <c r="V188" i="23"/>
  <c r="T96" i="23"/>
  <c r="T104" i="23" s="1"/>
  <c r="C265" i="23"/>
  <c r="H31" i="23"/>
  <c r="I32" i="23" s="1"/>
  <c r="AE16" i="23" s="1"/>
  <c r="G96" i="23"/>
  <c r="G93" i="23"/>
  <c r="X38" i="23"/>
  <c r="G95" i="23"/>
  <c r="W166" i="23"/>
  <c r="W174" i="23" s="1"/>
  <c r="W246" i="23" s="1"/>
  <c r="F468" i="23"/>
  <c r="V28" i="23"/>
  <c r="E64" i="23"/>
  <c r="E67" i="23"/>
  <c r="E66" i="23"/>
  <c r="F64" i="23"/>
  <c r="F66" i="23"/>
  <c r="F67" i="23"/>
  <c r="W28" i="23"/>
  <c r="V76" i="23"/>
  <c r="V84" i="23" s="1"/>
  <c r="V237" i="23" s="1"/>
  <c r="E207" i="23"/>
  <c r="F299" i="23"/>
  <c r="F296" i="23"/>
  <c r="W108" i="23"/>
  <c r="F298" i="23"/>
  <c r="E33" i="23"/>
  <c r="G125" i="23"/>
  <c r="X48" i="23"/>
  <c r="G122" i="23"/>
  <c r="G124" i="23"/>
  <c r="D236" i="23"/>
  <c r="T136" i="23"/>
  <c r="T144" i="23" s="1"/>
  <c r="C381" i="23"/>
  <c r="G586" i="23"/>
  <c r="X208" i="23"/>
  <c r="D178" i="23"/>
  <c r="AQ99" i="23"/>
  <c r="AR100" i="23" s="1"/>
  <c r="AS109" i="23" s="1"/>
  <c r="I142" i="23"/>
  <c r="X126" i="23"/>
  <c r="X134" i="23" s="1"/>
  <c r="X242" i="23" s="1"/>
  <c r="G352" i="23"/>
  <c r="J494" i="23"/>
  <c r="X181" i="23" s="1"/>
  <c r="X180" i="23"/>
  <c r="K494" i="23"/>
  <c r="P494" i="23" s="1"/>
  <c r="D296" i="23"/>
  <c r="D299" i="23"/>
  <c r="D298" i="23"/>
  <c r="U108" i="23"/>
  <c r="K204" i="23"/>
  <c r="P204" i="23" s="1"/>
  <c r="J204" i="23"/>
  <c r="X81" i="23" s="1"/>
  <c r="X80" i="23"/>
  <c r="AA184" i="23"/>
  <c r="T247" i="23"/>
  <c r="E441" i="23"/>
  <c r="E444" i="23"/>
  <c r="V158" i="23"/>
  <c r="J493" i="23"/>
  <c r="W181" i="23" s="1"/>
  <c r="K493" i="23"/>
  <c r="P493" i="23" s="1"/>
  <c r="W180" i="23"/>
  <c r="H89" i="23"/>
  <c r="I90" i="23" s="1"/>
  <c r="AE18" i="23" s="1"/>
  <c r="T250" i="23"/>
  <c r="AP109" i="23"/>
  <c r="AP117" i="23" s="1"/>
  <c r="AS117" i="23" s="1"/>
  <c r="AP101" i="23"/>
  <c r="U146" i="23"/>
  <c r="U154" i="23" s="1"/>
  <c r="U244" i="23" s="1"/>
  <c r="D410" i="23"/>
  <c r="F125" i="23"/>
  <c r="F122" i="23"/>
  <c r="W48" i="23"/>
  <c r="F124" i="23"/>
  <c r="K117" i="23"/>
  <c r="P117" i="23" s="1"/>
  <c r="J117" i="23"/>
  <c r="X51" i="23" s="1"/>
  <c r="X50" i="23"/>
  <c r="J230" i="23"/>
  <c r="U91" i="23" s="1"/>
  <c r="K230" i="23"/>
  <c r="P230" i="23" s="1"/>
  <c r="U90" i="23"/>
  <c r="F33" i="23"/>
  <c r="C241" i="23"/>
  <c r="C238" i="23"/>
  <c r="T88" i="23"/>
  <c r="C240" i="23"/>
  <c r="AL101" i="23"/>
  <c r="T249" i="23"/>
  <c r="C93" i="23"/>
  <c r="K26" i="23"/>
  <c r="P26" i="23" s="1"/>
  <c r="T20" i="23"/>
  <c r="J26" i="23"/>
  <c r="T21" i="23" s="1"/>
  <c r="E383" i="23"/>
  <c r="E386" i="23"/>
  <c r="V138" i="23"/>
  <c r="E385" i="23"/>
  <c r="F182" i="23"/>
  <c r="K174" i="23"/>
  <c r="P174" i="23" s="1"/>
  <c r="J174" i="23"/>
  <c r="W71" i="23" s="1"/>
  <c r="W70" i="23"/>
  <c r="AN111" i="23"/>
  <c r="K436" i="23"/>
  <c r="P436" i="23" s="1"/>
  <c r="J436" i="23"/>
  <c r="X161" i="23" s="1"/>
  <c r="X160" i="23"/>
  <c r="T242" i="23"/>
  <c r="F499" i="23"/>
  <c r="F502" i="23"/>
  <c r="W178" i="23"/>
  <c r="F501" i="23"/>
  <c r="I84" i="23"/>
  <c r="AO101" i="23"/>
  <c r="D328" i="23"/>
  <c r="D325" i="23"/>
  <c r="U118" i="23"/>
  <c r="D327" i="23"/>
  <c r="U206" i="23"/>
  <c r="U214" i="23" s="1"/>
  <c r="U250" i="23" s="1"/>
  <c r="D584" i="23"/>
  <c r="K55" i="23"/>
  <c r="P55" i="23" s="1"/>
  <c r="J55" i="23"/>
  <c r="T31" i="23" s="1"/>
  <c r="T30" i="23"/>
  <c r="C209" i="23"/>
  <c r="C211" i="23"/>
  <c r="C589" i="23"/>
  <c r="C586" i="23"/>
  <c r="T208" i="23"/>
  <c r="G410" i="23"/>
  <c r="W76" i="23"/>
  <c r="W84" i="23" s="1"/>
  <c r="W237" i="23" s="1"/>
  <c r="F207" i="23"/>
  <c r="U96" i="23"/>
  <c r="U104" i="23" s="1"/>
  <c r="U239" i="23" s="1"/>
  <c r="D265" i="23"/>
  <c r="J229" i="23"/>
  <c r="T91" i="23" s="1"/>
  <c r="K229" i="23"/>
  <c r="P229" i="23" s="1"/>
  <c r="T90" i="23"/>
  <c r="AA94" i="23"/>
  <c r="K114" i="23"/>
  <c r="P114" i="23" s="1"/>
  <c r="J114" i="23"/>
  <c r="U51" i="23" s="1"/>
  <c r="U50" i="23"/>
  <c r="AR94" i="23"/>
  <c r="F386" i="23"/>
  <c r="F383" i="23"/>
  <c r="W138" i="23"/>
  <c r="F385" i="23"/>
  <c r="X220" i="23"/>
  <c r="X276" i="23"/>
  <c r="X277" i="23" s="1"/>
  <c r="X25" i="23"/>
  <c r="X228" i="23" s="1"/>
  <c r="C555" i="23"/>
  <c r="T233" i="23"/>
  <c r="AA44" i="23"/>
  <c r="T24" i="23"/>
  <c r="AO113" i="23"/>
  <c r="AT97" i="23"/>
  <c r="AY97" i="23" s="1"/>
  <c r="AS97" i="23"/>
  <c r="AO114" i="23" s="1"/>
  <c r="T237" i="23"/>
  <c r="X66" i="23"/>
  <c r="X74" i="23" s="1"/>
  <c r="X236" i="23" s="1"/>
  <c r="G178" i="23"/>
  <c r="I577" i="23"/>
  <c r="K345" i="23"/>
  <c r="P345" i="23" s="1"/>
  <c r="J345" i="23"/>
  <c r="T131" i="23" s="1"/>
  <c r="T130" i="23"/>
  <c r="K407" i="23"/>
  <c r="P407" i="23" s="1"/>
  <c r="J407" i="23"/>
  <c r="X151" i="23" s="1"/>
  <c r="X150" i="23"/>
  <c r="V196" i="23"/>
  <c r="V204" i="23" s="1"/>
  <c r="V249" i="23" s="1"/>
  <c r="E555" i="23"/>
  <c r="K143" i="23"/>
  <c r="P143" i="23" s="1"/>
  <c r="J143" i="23"/>
  <c r="U61" i="23" s="1"/>
  <c r="U60" i="23"/>
  <c r="C299" i="23"/>
  <c r="C296" i="23"/>
  <c r="T108" i="23"/>
  <c r="C298" i="23"/>
  <c r="G526" i="23"/>
  <c r="J490" i="23"/>
  <c r="T181" i="23" s="1"/>
  <c r="K490" i="23"/>
  <c r="P490" i="23" s="1"/>
  <c r="T180" i="23"/>
  <c r="F410" i="23"/>
  <c r="H524" i="23"/>
  <c r="I525" i="23" s="1"/>
  <c r="AE33" i="23" s="1"/>
  <c r="I519" i="23"/>
  <c r="C415" i="23"/>
  <c r="C412" i="23"/>
  <c r="T148" i="23"/>
  <c r="E238" i="23"/>
  <c r="E241" i="23"/>
  <c r="V88" i="23"/>
  <c r="E240" i="23"/>
  <c r="E237" i="23" s="1"/>
  <c r="V89" i="23" s="1"/>
  <c r="AS117" i="21"/>
  <c r="AQ99" i="21"/>
  <c r="AR100" i="21" s="1"/>
  <c r="AS109" i="21" s="1"/>
  <c r="AR94" i="21"/>
  <c r="AL113" i="21" s="1"/>
  <c r="C584" i="21"/>
  <c r="C586" i="21" s="1"/>
  <c r="F584" i="21"/>
  <c r="F589" i="21" s="1"/>
  <c r="D555" i="21"/>
  <c r="D560" i="21" s="1"/>
  <c r="E501" i="21"/>
  <c r="V178" i="21"/>
  <c r="E499" i="21"/>
  <c r="F497" i="21"/>
  <c r="F502" i="21" s="1"/>
  <c r="H437" i="21"/>
  <c r="I438" i="21" s="1"/>
  <c r="AE30" i="21" s="1"/>
  <c r="H350" i="21"/>
  <c r="I351" i="21" s="1"/>
  <c r="AE27" i="21" s="1"/>
  <c r="D323" i="21"/>
  <c r="D328" i="21" s="1"/>
  <c r="G323" i="21"/>
  <c r="E294" i="21"/>
  <c r="E299" i="21" s="1"/>
  <c r="I258" i="21"/>
  <c r="K258" i="21" s="1"/>
  <c r="P258" i="21" s="1"/>
  <c r="G236" i="21"/>
  <c r="G241" i="21" s="1"/>
  <c r="E207" i="21"/>
  <c r="E178" i="21"/>
  <c r="E182" i="21" s="1"/>
  <c r="G149" i="21"/>
  <c r="G154" i="21" s="1"/>
  <c r="H118" i="21"/>
  <c r="I119" i="21" s="1"/>
  <c r="AE19" i="21" s="1"/>
  <c r="G584" i="21"/>
  <c r="G589" i="21" s="1"/>
  <c r="E555" i="21"/>
  <c r="E559" i="21" s="1"/>
  <c r="F555" i="21"/>
  <c r="F559" i="21" s="1"/>
  <c r="F526" i="21"/>
  <c r="F531" i="21" s="1"/>
  <c r="T180" i="21"/>
  <c r="J490" i="21"/>
  <c r="T181" i="21" s="1"/>
  <c r="K490" i="21"/>
  <c r="P490" i="21" s="1"/>
  <c r="J496" i="21" s="1"/>
  <c r="AF32" i="21" s="1"/>
  <c r="C468" i="21"/>
  <c r="C470" i="21" s="1"/>
  <c r="D468" i="21"/>
  <c r="D470" i="21" s="1"/>
  <c r="H408" i="21"/>
  <c r="I409" i="21" s="1"/>
  <c r="AE29" i="21" s="1"/>
  <c r="C381" i="21"/>
  <c r="C386" i="21" s="1"/>
  <c r="G353" i="21"/>
  <c r="X129" i="21" s="1"/>
  <c r="G294" i="21"/>
  <c r="G298" i="21" s="1"/>
  <c r="D265" i="21"/>
  <c r="D270" i="21" s="1"/>
  <c r="H234" i="21"/>
  <c r="I235" i="21" s="1"/>
  <c r="AE23" i="21" s="1"/>
  <c r="D236" i="21"/>
  <c r="D238" i="21" s="1"/>
  <c r="H147" i="21"/>
  <c r="I148" i="21" s="1"/>
  <c r="AE20" i="21" s="1"/>
  <c r="C120" i="21"/>
  <c r="T48" i="21" s="1"/>
  <c r="E91" i="21"/>
  <c r="V38" i="21" s="1"/>
  <c r="F33" i="21"/>
  <c r="W18" i="21" s="1"/>
  <c r="H31" i="21"/>
  <c r="I32" i="21" s="1"/>
  <c r="AE16" i="21" s="1"/>
  <c r="K58" i="21"/>
  <c r="P58" i="21" s="1"/>
  <c r="J58" i="21"/>
  <c r="W31" i="21" s="1"/>
  <c r="W30" i="21"/>
  <c r="K117" i="21"/>
  <c r="P117" i="21" s="1"/>
  <c r="J117" i="21"/>
  <c r="X51" i="21" s="1"/>
  <c r="X50" i="21"/>
  <c r="K202" i="21"/>
  <c r="P202" i="21" s="1"/>
  <c r="J202" i="21"/>
  <c r="V81" i="21" s="1"/>
  <c r="V80" i="21"/>
  <c r="J351" i="21"/>
  <c r="AF27" i="21" s="1"/>
  <c r="K56" i="21"/>
  <c r="P56" i="21" s="1"/>
  <c r="J56" i="21"/>
  <c r="U31" i="21" s="1"/>
  <c r="U30" i="21"/>
  <c r="K289" i="21"/>
  <c r="P289" i="21" s="1"/>
  <c r="J289" i="21"/>
  <c r="V111" i="21" s="1"/>
  <c r="V110" i="21"/>
  <c r="J145" i="21"/>
  <c r="W61" i="21" s="1"/>
  <c r="W60" i="21"/>
  <c r="K145" i="21"/>
  <c r="P145" i="21" s="1"/>
  <c r="J465" i="21"/>
  <c r="X171" i="21" s="1"/>
  <c r="K465" i="21"/>
  <c r="X170" i="21"/>
  <c r="P465" i="21"/>
  <c r="K463" i="21"/>
  <c r="P463" i="21" s="1"/>
  <c r="J463" i="21"/>
  <c r="V171" i="21" s="1"/>
  <c r="V170" i="21"/>
  <c r="K230" i="21"/>
  <c r="P230" i="21" s="1"/>
  <c r="U90" i="21"/>
  <c r="J230" i="21"/>
  <c r="U91" i="21" s="1"/>
  <c r="K522" i="21"/>
  <c r="P522" i="21" s="1"/>
  <c r="J522" i="21"/>
  <c r="W191" i="21" s="1"/>
  <c r="W190" i="21"/>
  <c r="J578" i="21"/>
  <c r="U211" i="21" s="1"/>
  <c r="K578" i="21"/>
  <c r="P578" i="21" s="1"/>
  <c r="U210" i="21"/>
  <c r="AT95" i="21"/>
  <c r="AY95" i="21" s="1"/>
  <c r="AM113" i="21"/>
  <c r="AS95" i="21"/>
  <c r="AM114" i="21" s="1"/>
  <c r="J174" i="21"/>
  <c r="W71" i="21" s="1"/>
  <c r="K174" i="21"/>
  <c r="P174" i="21" s="1"/>
  <c r="W70" i="21"/>
  <c r="K146" i="21"/>
  <c r="P146" i="21" s="1"/>
  <c r="J146" i="21"/>
  <c r="X61" i="21" s="1"/>
  <c r="X60" i="21"/>
  <c r="J173" i="21"/>
  <c r="V71" i="21" s="1"/>
  <c r="K173" i="21"/>
  <c r="P173" i="21" s="1"/>
  <c r="V70" i="21"/>
  <c r="F499" i="21"/>
  <c r="D410" i="21"/>
  <c r="E183" i="21"/>
  <c r="H524" i="21"/>
  <c r="I525" i="21" s="1"/>
  <c r="AE33" i="21" s="1"/>
  <c r="E35" i="21"/>
  <c r="E38" i="21"/>
  <c r="V18" i="21"/>
  <c r="E37" i="21"/>
  <c r="K521" i="21"/>
  <c r="P521" i="21" s="1"/>
  <c r="J521" i="21"/>
  <c r="V191" i="21" s="1"/>
  <c r="V190" i="21"/>
  <c r="E93" i="21"/>
  <c r="E212" i="21"/>
  <c r="E209" i="21"/>
  <c r="V78" i="21"/>
  <c r="E211" i="21"/>
  <c r="U16" i="21"/>
  <c r="D33" i="21"/>
  <c r="E296" i="21"/>
  <c r="E298" i="21"/>
  <c r="I436" i="21"/>
  <c r="E410" i="21"/>
  <c r="K550" i="21"/>
  <c r="P550" i="21" s="1"/>
  <c r="J550" i="21"/>
  <c r="V201" i="21" s="1"/>
  <c r="V200" i="21"/>
  <c r="C64" i="21"/>
  <c r="C67" i="21"/>
  <c r="T28" i="21"/>
  <c r="K144" i="21"/>
  <c r="P144" i="21" s="1"/>
  <c r="J144" i="21"/>
  <c r="V61" i="21" s="1"/>
  <c r="V60" i="21"/>
  <c r="X186" i="21"/>
  <c r="X194" i="21" s="1"/>
  <c r="X248" i="21" s="1"/>
  <c r="G526" i="21"/>
  <c r="W106" i="21"/>
  <c r="W114" i="21" s="1"/>
  <c r="W240" i="21" s="1"/>
  <c r="F294" i="21"/>
  <c r="T248" i="21"/>
  <c r="W146" i="21"/>
  <c r="W154" i="21" s="1"/>
  <c r="W244" i="21" s="1"/>
  <c r="F410" i="21"/>
  <c r="T76" i="21"/>
  <c r="T84" i="21" s="1"/>
  <c r="C207" i="21"/>
  <c r="D353" i="21"/>
  <c r="U129" i="21" s="1"/>
  <c r="K462" i="21"/>
  <c r="P462" i="21" s="1"/>
  <c r="J462" i="21"/>
  <c r="U171" i="21" s="1"/>
  <c r="U170" i="21"/>
  <c r="K317" i="21"/>
  <c r="P317" i="21" s="1"/>
  <c r="J317" i="21"/>
  <c r="U121" i="21" s="1"/>
  <c r="U120" i="21"/>
  <c r="C91" i="21"/>
  <c r="K519" i="21"/>
  <c r="P519" i="21" s="1"/>
  <c r="J519" i="21"/>
  <c r="T191" i="21" s="1"/>
  <c r="T190" i="21"/>
  <c r="H466" i="21"/>
  <c r="I467" i="21" s="1"/>
  <c r="AE31" i="21" s="1"/>
  <c r="J200" i="21"/>
  <c r="T81" i="21" s="1"/>
  <c r="K200" i="21"/>
  <c r="P200" i="21" s="1"/>
  <c r="T80" i="21"/>
  <c r="X96" i="21"/>
  <c r="X104" i="21" s="1"/>
  <c r="X239" i="21" s="1"/>
  <c r="G265" i="21"/>
  <c r="F439" i="21"/>
  <c r="V228" i="21"/>
  <c r="D473" i="21"/>
  <c r="U28" i="21"/>
  <c r="D64" i="21"/>
  <c r="D67" i="21"/>
  <c r="D66" i="21"/>
  <c r="H292" i="21"/>
  <c r="I293" i="21" s="1"/>
  <c r="AE25" i="21" s="1"/>
  <c r="U220" i="21"/>
  <c r="D154" i="21"/>
  <c r="D151" i="21"/>
  <c r="U58" i="21"/>
  <c r="D153" i="21"/>
  <c r="W96" i="21"/>
  <c r="W104" i="21" s="1"/>
  <c r="W239" i="21" s="1"/>
  <c r="F265" i="21"/>
  <c r="G439" i="21"/>
  <c r="K405" i="21"/>
  <c r="P405" i="21" s="1"/>
  <c r="J405" i="21"/>
  <c r="V151" i="21" s="1"/>
  <c r="V150" i="21"/>
  <c r="F212" i="21"/>
  <c r="F208" i="21" s="1"/>
  <c r="W79" i="21" s="1"/>
  <c r="U228" i="21"/>
  <c r="H582" i="21"/>
  <c r="I583" i="21" s="1"/>
  <c r="AE35" i="21" s="1"/>
  <c r="I84" i="21"/>
  <c r="C526" i="21"/>
  <c r="I461" i="21"/>
  <c r="X36" i="21"/>
  <c r="X44" i="21" s="1"/>
  <c r="X233" i="21" s="1"/>
  <c r="G91" i="21"/>
  <c r="W136" i="21"/>
  <c r="W144" i="21" s="1"/>
  <c r="W243" i="21" s="1"/>
  <c r="F381" i="21"/>
  <c r="I113" i="21"/>
  <c r="G180" i="21"/>
  <c r="G183" i="21"/>
  <c r="X68" i="21"/>
  <c r="G182" i="21"/>
  <c r="F64" i="21"/>
  <c r="W28" i="21"/>
  <c r="F67" i="21"/>
  <c r="F66" i="21"/>
  <c r="U46" i="21"/>
  <c r="U54" i="21" s="1"/>
  <c r="U234" i="21" s="1"/>
  <c r="D120" i="21"/>
  <c r="K435" i="21"/>
  <c r="P435" i="21" s="1"/>
  <c r="J435" i="21"/>
  <c r="W161" i="21" s="1"/>
  <c r="W160" i="21"/>
  <c r="V276" i="21"/>
  <c r="V277" i="21" s="1"/>
  <c r="X228" i="21"/>
  <c r="U276" i="21"/>
  <c r="U277" i="21" s="1"/>
  <c r="D212" i="21"/>
  <c r="D209" i="21"/>
  <c r="U78" i="21"/>
  <c r="D211" i="21"/>
  <c r="E64" i="21"/>
  <c r="E67" i="21"/>
  <c r="V28" i="21"/>
  <c r="E66" i="21"/>
  <c r="J577" i="21"/>
  <c r="T211" i="21" s="1"/>
  <c r="K577" i="21"/>
  <c r="P577" i="21" s="1"/>
  <c r="T210" i="21"/>
  <c r="T240" i="21"/>
  <c r="T250" i="21"/>
  <c r="H321" i="21"/>
  <c r="I322" i="21" s="1"/>
  <c r="AE26" i="21" s="1"/>
  <c r="I316" i="21"/>
  <c r="E470" i="21"/>
  <c r="E473" i="21"/>
  <c r="V168" i="21"/>
  <c r="E472" i="21"/>
  <c r="V46" i="21"/>
  <c r="V54" i="21" s="1"/>
  <c r="V234" i="21" s="1"/>
  <c r="E120" i="21"/>
  <c r="T234" i="21"/>
  <c r="J175" i="21"/>
  <c r="X71" i="21" s="1"/>
  <c r="K175" i="21"/>
  <c r="P175" i="21" s="1"/>
  <c r="X70" i="21"/>
  <c r="T156" i="21"/>
  <c r="T164" i="21" s="1"/>
  <c r="C439" i="21"/>
  <c r="I403" i="21"/>
  <c r="I374" i="21"/>
  <c r="V220" i="21"/>
  <c r="X220" i="21"/>
  <c r="F154" i="21"/>
  <c r="F151" i="21"/>
  <c r="W58" i="21"/>
  <c r="F153" i="21"/>
  <c r="AM101" i="21"/>
  <c r="C294" i="21"/>
  <c r="W228" i="21"/>
  <c r="J28" i="21"/>
  <c r="V21" i="21" s="1"/>
  <c r="V20" i="21"/>
  <c r="K28" i="21"/>
  <c r="P28" i="21" s="1"/>
  <c r="J32" i="21" s="1"/>
  <c r="AF16" i="21" s="1"/>
  <c r="T116" i="21"/>
  <c r="T124" i="21" s="1"/>
  <c r="C323" i="21"/>
  <c r="C241" i="21"/>
  <c r="C238" i="21"/>
  <c r="T88" i="21"/>
  <c r="C240" i="21"/>
  <c r="AA174" i="21"/>
  <c r="T246" i="21"/>
  <c r="J432" i="21"/>
  <c r="T161" i="21" s="1"/>
  <c r="K432" i="21"/>
  <c r="P432" i="21" s="1"/>
  <c r="T160" i="21"/>
  <c r="T196" i="21"/>
  <c r="T204" i="21" s="1"/>
  <c r="C555" i="21"/>
  <c r="T244" i="21"/>
  <c r="X276" i="21"/>
  <c r="X277" i="21" s="1"/>
  <c r="I549" i="21"/>
  <c r="W220" i="21"/>
  <c r="C154" i="21"/>
  <c r="C151" i="21"/>
  <c r="T58" i="21"/>
  <c r="C153" i="21"/>
  <c r="T233" i="21"/>
  <c r="K291" i="21"/>
  <c r="P291" i="21" s="1"/>
  <c r="J291" i="21"/>
  <c r="X111" i="21" s="1"/>
  <c r="X110" i="21"/>
  <c r="E557" i="21"/>
  <c r="K229" i="21"/>
  <c r="P229" i="21" s="1"/>
  <c r="J229" i="21"/>
  <c r="T91" i="21" s="1"/>
  <c r="T90" i="21"/>
  <c r="V86" i="21"/>
  <c r="V94" i="21" s="1"/>
  <c r="V238" i="21" s="1"/>
  <c r="E236" i="21"/>
  <c r="J551" i="21"/>
  <c r="W201" i="21" s="1"/>
  <c r="K551" i="21"/>
  <c r="P551" i="21" s="1"/>
  <c r="W200" i="21"/>
  <c r="H60" i="21"/>
  <c r="I61" i="21" s="1"/>
  <c r="AE17" i="21" s="1"/>
  <c r="I55" i="21"/>
  <c r="C383" i="21"/>
  <c r="E441" i="21"/>
  <c r="E444" i="21"/>
  <c r="V158" i="21"/>
  <c r="E443" i="21"/>
  <c r="T235" i="21"/>
  <c r="AA64" i="21"/>
  <c r="E328" i="21"/>
  <c r="E325" i="21"/>
  <c r="V118" i="21"/>
  <c r="E327" i="21"/>
  <c r="X136" i="21"/>
  <c r="X144" i="21" s="1"/>
  <c r="X243" i="21" s="1"/>
  <c r="G381" i="21"/>
  <c r="F468" i="21"/>
  <c r="F560" i="21"/>
  <c r="F557" i="21"/>
  <c r="W198" i="21"/>
  <c r="D498" i="21"/>
  <c r="U179" i="21" s="1"/>
  <c r="W36" i="21"/>
  <c r="F91" i="21"/>
  <c r="K259" i="21"/>
  <c r="P259" i="21" s="1"/>
  <c r="J259" i="21"/>
  <c r="U101" i="21" s="1"/>
  <c r="U100" i="21"/>
  <c r="C410" i="21"/>
  <c r="K171" i="21"/>
  <c r="P171" i="21" s="1"/>
  <c r="J171" i="21"/>
  <c r="T71" i="21" s="1"/>
  <c r="T70" i="21"/>
  <c r="G498" i="21"/>
  <c r="X179" i="21" s="1"/>
  <c r="I172" i="21"/>
  <c r="D182" i="21" s="1"/>
  <c r="T228" i="21"/>
  <c r="AP106" i="21"/>
  <c r="AP102" i="21" s="1"/>
  <c r="AP112" i="21" s="1"/>
  <c r="F586" i="21"/>
  <c r="G209" i="21"/>
  <c r="G212" i="21"/>
  <c r="X78" i="21"/>
  <c r="G211" i="21"/>
  <c r="V231" i="21"/>
  <c r="G328" i="21"/>
  <c r="G325" i="21"/>
  <c r="X118" i="21"/>
  <c r="G327" i="21"/>
  <c r="T232" i="21"/>
  <c r="AA34" i="21"/>
  <c r="U198" i="21"/>
  <c r="D584" i="21"/>
  <c r="K580" i="21"/>
  <c r="P580" i="21" s="1"/>
  <c r="J580" i="21"/>
  <c r="W211" i="21" s="1"/>
  <c r="W210" i="21"/>
  <c r="C357" i="21"/>
  <c r="C354" i="21"/>
  <c r="T128" i="21"/>
  <c r="C356" i="21"/>
  <c r="C353" i="21" s="1"/>
  <c r="T129" i="21" s="1"/>
  <c r="W276" i="21"/>
  <c r="W277" i="21" s="1"/>
  <c r="T238" i="21"/>
  <c r="J581" i="21"/>
  <c r="X211" i="21" s="1"/>
  <c r="K581" i="21"/>
  <c r="P581" i="21" s="1"/>
  <c r="X210" i="21"/>
  <c r="K318" i="21"/>
  <c r="P318" i="21" s="1"/>
  <c r="J318" i="21"/>
  <c r="V121" i="21" s="1"/>
  <c r="V120" i="21"/>
  <c r="K233" i="21"/>
  <c r="P233" i="21" s="1"/>
  <c r="J233" i="21"/>
  <c r="X91" i="21" s="1"/>
  <c r="X90" i="21"/>
  <c r="K464" i="21"/>
  <c r="P464" i="21" s="1"/>
  <c r="J464" i="21"/>
  <c r="W171" i="21" s="1"/>
  <c r="W170" i="21"/>
  <c r="T66" i="21"/>
  <c r="T74" i="21" s="1"/>
  <c r="C178" i="21"/>
  <c r="AL101" i="21"/>
  <c r="T243" i="21"/>
  <c r="H205" i="21"/>
  <c r="I206" i="21" s="1"/>
  <c r="AE22" i="21" s="1"/>
  <c r="D180" i="21"/>
  <c r="D183" i="21"/>
  <c r="U68" i="21"/>
  <c r="T220" i="21"/>
  <c r="G38" i="21"/>
  <c r="G35" i="21"/>
  <c r="X18" i="21"/>
  <c r="G37" i="21"/>
  <c r="T239" i="21"/>
  <c r="C499" i="21"/>
  <c r="C501" i="21"/>
  <c r="C502" i="21"/>
  <c r="T178" i="21"/>
  <c r="K319" i="21"/>
  <c r="J319" i="21"/>
  <c r="W121" i="21" s="1"/>
  <c r="W120" i="21"/>
  <c r="P319" i="21"/>
  <c r="V206" i="21"/>
  <c r="V214" i="21" s="1"/>
  <c r="V250" i="21" s="1"/>
  <c r="E584" i="21"/>
  <c r="D441" i="21"/>
  <c r="D444" i="21"/>
  <c r="U158" i="21"/>
  <c r="D443" i="21"/>
  <c r="G560" i="21"/>
  <c r="G557" i="21"/>
  <c r="X198" i="21"/>
  <c r="G559" i="21"/>
  <c r="K287" i="21"/>
  <c r="P287" i="21" s="1"/>
  <c r="J287" i="21"/>
  <c r="T111" i="21" s="1"/>
  <c r="T110" i="21"/>
  <c r="W46" i="21"/>
  <c r="W54" i="21" s="1"/>
  <c r="W234" i="21" s="1"/>
  <c r="F120" i="21"/>
  <c r="F178" i="21"/>
  <c r="U136" i="21"/>
  <c r="U144" i="21" s="1"/>
  <c r="U243" i="21" s="1"/>
  <c r="D381" i="21"/>
  <c r="V136" i="21"/>
  <c r="V144" i="21" s="1"/>
  <c r="V243" i="21" s="1"/>
  <c r="E381" i="21"/>
  <c r="V96" i="21"/>
  <c r="V104" i="21" s="1"/>
  <c r="V239" i="21" s="1"/>
  <c r="E265" i="21"/>
  <c r="K407" i="21"/>
  <c r="P407" i="21" s="1"/>
  <c r="J407" i="21"/>
  <c r="X151" i="21" s="1"/>
  <c r="X150" i="21"/>
  <c r="W231" i="21"/>
  <c r="T276" i="21"/>
  <c r="T277" i="21" s="1"/>
  <c r="X24" i="21"/>
  <c r="G125" i="21"/>
  <c r="G122" i="21"/>
  <c r="X48" i="21"/>
  <c r="G124" i="21"/>
  <c r="T247" i="21"/>
  <c r="AA184" i="21"/>
  <c r="F323" i="21"/>
  <c r="F238" i="21"/>
  <c r="F241" i="21"/>
  <c r="W88" i="21"/>
  <c r="F240" i="21"/>
  <c r="G468" i="21"/>
  <c r="G67" i="21"/>
  <c r="X28" i="21"/>
  <c r="G64" i="21"/>
  <c r="G66" i="21"/>
  <c r="C35" i="21"/>
  <c r="T18" i="21"/>
  <c r="C38" i="21"/>
  <c r="C37" i="21"/>
  <c r="J404" i="21"/>
  <c r="U151" i="21" s="1"/>
  <c r="K404" i="21"/>
  <c r="P404" i="21" s="1"/>
  <c r="U150" i="21"/>
  <c r="U36" i="21"/>
  <c r="U44" i="21" s="1"/>
  <c r="U233" i="21" s="1"/>
  <c r="D91" i="21"/>
  <c r="AN111" i="21"/>
  <c r="AN103" i="21"/>
  <c r="AN106" i="21"/>
  <c r="AN105" i="21"/>
  <c r="U186" i="21"/>
  <c r="U194" i="21" s="1"/>
  <c r="U248" i="21" s="1"/>
  <c r="D526" i="21"/>
  <c r="E526" i="21"/>
  <c r="V40" i="21"/>
  <c r="J86" i="21"/>
  <c r="V41" i="21" s="1"/>
  <c r="K86" i="21"/>
  <c r="P86" i="21" s="1"/>
  <c r="E498" i="21"/>
  <c r="V179" i="21" s="1"/>
  <c r="K142" i="21"/>
  <c r="P142" i="21" s="1"/>
  <c r="J142" i="21"/>
  <c r="T61" i="21" s="1"/>
  <c r="T60" i="21"/>
  <c r="G410" i="21"/>
  <c r="C265" i="21"/>
  <c r="U106" i="21"/>
  <c r="U114" i="21" s="1"/>
  <c r="U240" i="21" s="1"/>
  <c r="D294" i="21"/>
  <c r="K232" i="21"/>
  <c r="P232" i="21" s="1"/>
  <c r="W90" i="21"/>
  <c r="J232" i="21"/>
  <c r="W91" i="21" s="1"/>
  <c r="T275" i="21"/>
  <c r="T24" i="21"/>
  <c r="D526" i="20"/>
  <c r="D528" i="20" s="1"/>
  <c r="C526" i="20"/>
  <c r="C531" i="20" s="1"/>
  <c r="F526" i="20"/>
  <c r="F530" i="20" s="1"/>
  <c r="U190" i="20"/>
  <c r="J520" i="20"/>
  <c r="U191" i="20" s="1"/>
  <c r="X180" i="20"/>
  <c r="C468" i="20"/>
  <c r="C473" i="20" s="1"/>
  <c r="D470" i="20"/>
  <c r="W168" i="20"/>
  <c r="D472" i="20"/>
  <c r="D469" i="20" s="1"/>
  <c r="U169" i="20" s="1"/>
  <c r="F439" i="20"/>
  <c r="F441" i="20" s="1"/>
  <c r="E410" i="20"/>
  <c r="E412" i="20" s="1"/>
  <c r="E352" i="20"/>
  <c r="E356" i="20" s="1"/>
  <c r="E323" i="20"/>
  <c r="E327" i="20" s="1"/>
  <c r="G294" i="20"/>
  <c r="G296" i="20" s="1"/>
  <c r="D265" i="20"/>
  <c r="D267" i="20" s="1"/>
  <c r="C207" i="20"/>
  <c r="C209" i="20" s="1"/>
  <c r="F207" i="20"/>
  <c r="F211" i="20" s="1"/>
  <c r="F149" i="20"/>
  <c r="F154" i="20" s="1"/>
  <c r="G91" i="20"/>
  <c r="G93" i="20" s="1"/>
  <c r="F62" i="20"/>
  <c r="F64" i="20" s="1"/>
  <c r="I56" i="20"/>
  <c r="D66" i="20" s="1"/>
  <c r="G33" i="20"/>
  <c r="G35" i="20" s="1"/>
  <c r="H582" i="20"/>
  <c r="I583" i="20" s="1"/>
  <c r="AE35" i="20" s="1"/>
  <c r="F584" i="20"/>
  <c r="F589" i="20" s="1"/>
  <c r="G555" i="20"/>
  <c r="G560" i="20" s="1"/>
  <c r="D555" i="20"/>
  <c r="U198" i="20" s="1"/>
  <c r="F497" i="20"/>
  <c r="F499" i="20" s="1"/>
  <c r="U168" i="20"/>
  <c r="G439" i="20"/>
  <c r="G443" i="20" s="1"/>
  <c r="T130" i="20"/>
  <c r="K345" i="20"/>
  <c r="P345" i="20" s="1"/>
  <c r="J345" i="20"/>
  <c r="T131" i="20" s="1"/>
  <c r="G207" i="20"/>
  <c r="G212" i="20" s="1"/>
  <c r="E207" i="20"/>
  <c r="E209" i="20" s="1"/>
  <c r="K172" i="20"/>
  <c r="P172" i="20" s="1"/>
  <c r="J172" i="20"/>
  <c r="U71" i="20" s="1"/>
  <c r="U70" i="20"/>
  <c r="D182" i="20"/>
  <c r="H176" i="20"/>
  <c r="I177" i="20" s="1"/>
  <c r="AE21" i="20" s="1"/>
  <c r="K171" i="20"/>
  <c r="P171" i="20" s="1"/>
  <c r="J171" i="20"/>
  <c r="T71" i="20" s="1"/>
  <c r="T70" i="20"/>
  <c r="H147" i="20"/>
  <c r="I148" i="20" s="1"/>
  <c r="AE20" i="20" s="1"/>
  <c r="E120" i="20"/>
  <c r="E124" i="20" s="1"/>
  <c r="V16" i="20"/>
  <c r="F33" i="20"/>
  <c r="K317" i="20"/>
  <c r="P317" i="20" s="1"/>
  <c r="J317" i="20"/>
  <c r="U121" i="20" s="1"/>
  <c r="U120" i="20"/>
  <c r="J175" i="20"/>
  <c r="X71" i="20" s="1"/>
  <c r="K175" i="20"/>
  <c r="P175" i="20" s="1"/>
  <c r="X70" i="20"/>
  <c r="K491" i="20"/>
  <c r="P491" i="20" s="1"/>
  <c r="J491" i="20"/>
  <c r="U181" i="20" s="1"/>
  <c r="U180" i="20"/>
  <c r="K259" i="20"/>
  <c r="P259" i="20" s="1"/>
  <c r="J259" i="20"/>
  <c r="U101" i="20" s="1"/>
  <c r="U100" i="20"/>
  <c r="K233" i="20"/>
  <c r="P233" i="20" s="1"/>
  <c r="J233" i="20"/>
  <c r="X91" i="20" s="1"/>
  <c r="X90" i="20"/>
  <c r="K550" i="20"/>
  <c r="P550" i="20" s="1"/>
  <c r="J550" i="20"/>
  <c r="V201" i="20" s="1"/>
  <c r="V200" i="20"/>
  <c r="J435" i="20"/>
  <c r="W161" i="20" s="1"/>
  <c r="K435" i="20"/>
  <c r="P435" i="20" s="1"/>
  <c r="W160" i="20"/>
  <c r="AO113" i="20"/>
  <c r="AT97" i="20"/>
  <c r="AY97" i="20" s="1"/>
  <c r="AS97" i="20"/>
  <c r="AO114" i="20" s="1"/>
  <c r="K522" i="20"/>
  <c r="P522" i="20" s="1"/>
  <c r="J522" i="20"/>
  <c r="W191" i="20" s="1"/>
  <c r="W190" i="20"/>
  <c r="K319" i="20"/>
  <c r="P319" i="20" s="1"/>
  <c r="J319" i="20"/>
  <c r="W121" i="20" s="1"/>
  <c r="W120" i="20"/>
  <c r="K88" i="20"/>
  <c r="P88" i="20" s="1"/>
  <c r="J88" i="20"/>
  <c r="X41" i="20" s="1"/>
  <c r="X40" i="20"/>
  <c r="K86" i="20"/>
  <c r="P86" i="20" s="1"/>
  <c r="J86" i="20"/>
  <c r="V41" i="20" s="1"/>
  <c r="V40" i="20"/>
  <c r="K291" i="20"/>
  <c r="P291" i="20" s="1"/>
  <c r="J291" i="20"/>
  <c r="X111" i="20" s="1"/>
  <c r="X110" i="20"/>
  <c r="K146" i="20"/>
  <c r="P146" i="20" s="1"/>
  <c r="J146" i="20"/>
  <c r="X61" i="20" s="1"/>
  <c r="X60" i="20"/>
  <c r="K30" i="20"/>
  <c r="P30" i="20" s="1"/>
  <c r="J30" i="20"/>
  <c r="X21" i="20" s="1"/>
  <c r="X20" i="20"/>
  <c r="J579" i="20"/>
  <c r="V211" i="20" s="1"/>
  <c r="K579" i="20"/>
  <c r="P579" i="20" s="1"/>
  <c r="V210" i="20"/>
  <c r="K404" i="20"/>
  <c r="P404" i="20" s="1"/>
  <c r="J404" i="20"/>
  <c r="U151" i="20" s="1"/>
  <c r="U150" i="20"/>
  <c r="K348" i="20"/>
  <c r="P348" i="20" s="1"/>
  <c r="J348" i="20"/>
  <c r="W131" i="20" s="1"/>
  <c r="W130" i="20"/>
  <c r="X50" i="20"/>
  <c r="K117" i="20"/>
  <c r="P117" i="20" s="1"/>
  <c r="J117" i="20"/>
  <c r="X51" i="20" s="1"/>
  <c r="J436" i="20"/>
  <c r="X161" i="20" s="1"/>
  <c r="K436" i="20"/>
  <c r="P436" i="20" s="1"/>
  <c r="X160" i="20"/>
  <c r="T244" i="20"/>
  <c r="K229" i="20"/>
  <c r="P229" i="20" s="1"/>
  <c r="J229" i="20"/>
  <c r="T91" i="20" s="1"/>
  <c r="T90" i="20"/>
  <c r="K347" i="20"/>
  <c r="P347" i="20" s="1"/>
  <c r="J347" i="20"/>
  <c r="V131" i="20" s="1"/>
  <c r="V130" i="20"/>
  <c r="J578" i="20"/>
  <c r="U211" i="20" s="1"/>
  <c r="K578" i="20"/>
  <c r="P578" i="20" s="1"/>
  <c r="U210" i="20"/>
  <c r="X276" i="20"/>
  <c r="X277" i="20" s="1"/>
  <c r="X220" i="20"/>
  <c r="X25" i="20"/>
  <c r="X228" i="20" s="1"/>
  <c r="J577" i="20"/>
  <c r="T211" i="20" s="1"/>
  <c r="K577" i="20"/>
  <c r="P577" i="20" s="1"/>
  <c r="T210" i="20"/>
  <c r="T237" i="20"/>
  <c r="K374" i="20"/>
  <c r="P374" i="20" s="1"/>
  <c r="J374" i="20"/>
  <c r="T141" i="20" s="1"/>
  <c r="T140" i="20"/>
  <c r="D33" i="20"/>
  <c r="AN109" i="20"/>
  <c r="AN117" i="20" s="1"/>
  <c r="AN101" i="20"/>
  <c r="W66" i="20"/>
  <c r="W74" i="20" s="1"/>
  <c r="W236" i="20" s="1"/>
  <c r="F178" i="20"/>
  <c r="K202" i="20"/>
  <c r="P202" i="20" s="1"/>
  <c r="J202" i="20"/>
  <c r="V81" i="20" s="1"/>
  <c r="V80" i="20"/>
  <c r="W228" i="20"/>
  <c r="F357" i="20"/>
  <c r="F354" i="20"/>
  <c r="W128" i="20"/>
  <c r="F356" i="20"/>
  <c r="G178" i="20"/>
  <c r="H524" i="20"/>
  <c r="I525" i="20" s="1"/>
  <c r="AE33" i="20" s="1"/>
  <c r="T240" i="20"/>
  <c r="E325" i="20"/>
  <c r="E328" i="20"/>
  <c r="X186" i="20"/>
  <c r="X194" i="20" s="1"/>
  <c r="X248" i="20" s="1"/>
  <c r="G526" i="20"/>
  <c r="V275" i="20"/>
  <c r="V24" i="20"/>
  <c r="U20" i="20"/>
  <c r="K27" i="20"/>
  <c r="P27" i="20" s="1"/>
  <c r="J27" i="20"/>
  <c r="U21" i="20" s="1"/>
  <c r="K406" i="20"/>
  <c r="P406" i="20" s="1"/>
  <c r="J406" i="20"/>
  <c r="W151" i="20" s="1"/>
  <c r="W150" i="20"/>
  <c r="F531" i="20"/>
  <c r="W106" i="20"/>
  <c r="W114" i="20" s="1"/>
  <c r="W240" i="20" s="1"/>
  <c r="F294" i="20"/>
  <c r="K376" i="20"/>
  <c r="P376" i="20" s="1"/>
  <c r="J376" i="20"/>
  <c r="V141" i="20" s="1"/>
  <c r="V140" i="20"/>
  <c r="T233" i="20"/>
  <c r="X116" i="20"/>
  <c r="X124" i="20" s="1"/>
  <c r="X241" i="20" s="1"/>
  <c r="G323" i="20"/>
  <c r="D67" i="20"/>
  <c r="U28" i="20"/>
  <c r="D64" i="20"/>
  <c r="J200" i="20"/>
  <c r="T81" i="20" s="1"/>
  <c r="K200" i="20"/>
  <c r="P200" i="20" s="1"/>
  <c r="T80" i="20"/>
  <c r="K26" i="20"/>
  <c r="P26" i="20" s="1"/>
  <c r="J26" i="20"/>
  <c r="T21" i="20" s="1"/>
  <c r="T20" i="20"/>
  <c r="F410" i="20"/>
  <c r="X26" i="20"/>
  <c r="G62" i="20"/>
  <c r="K232" i="20"/>
  <c r="P232" i="20" s="1"/>
  <c r="J232" i="20"/>
  <c r="W91" i="20" s="1"/>
  <c r="W90" i="20"/>
  <c r="W276" i="20"/>
  <c r="W277" i="20" s="1"/>
  <c r="AL101" i="20"/>
  <c r="X126" i="20"/>
  <c r="X134" i="20" s="1"/>
  <c r="X242" i="20" s="1"/>
  <c r="G352" i="20"/>
  <c r="I519" i="20"/>
  <c r="H263" i="20"/>
  <c r="I264" i="20" s="1"/>
  <c r="AE24" i="20" s="1"/>
  <c r="E383" i="20"/>
  <c r="E386" i="20"/>
  <c r="V138" i="20"/>
  <c r="E385" i="20"/>
  <c r="T243" i="20"/>
  <c r="W220" i="20"/>
  <c r="F67" i="20"/>
  <c r="H553" i="20"/>
  <c r="I554" i="20" s="1"/>
  <c r="AE34" i="20" s="1"/>
  <c r="U275" i="20"/>
  <c r="U24" i="20"/>
  <c r="K142" i="20"/>
  <c r="P142" i="20" s="1"/>
  <c r="J142" i="20"/>
  <c r="T61" i="20" s="1"/>
  <c r="T60" i="20"/>
  <c r="C381" i="20"/>
  <c r="E444" i="20"/>
  <c r="E441" i="20"/>
  <c r="E443" i="20"/>
  <c r="V158" i="20"/>
  <c r="D270" i="20"/>
  <c r="U98" i="20"/>
  <c r="D269" i="20"/>
  <c r="F241" i="20"/>
  <c r="F238" i="20"/>
  <c r="W88" i="20"/>
  <c r="F240" i="20"/>
  <c r="V148" i="20"/>
  <c r="C352" i="20"/>
  <c r="T126" i="20"/>
  <c r="T134" i="20" s="1"/>
  <c r="AQ99" i="20"/>
  <c r="AR100" i="20" s="1"/>
  <c r="AS109" i="20" s="1"/>
  <c r="T248" i="20"/>
  <c r="X96" i="20"/>
  <c r="X104" i="20" s="1"/>
  <c r="X239" i="20" s="1"/>
  <c r="G265" i="20"/>
  <c r="C267" i="20"/>
  <c r="C270" i="20"/>
  <c r="T98" i="20"/>
  <c r="T249" i="20"/>
  <c r="U136" i="20"/>
  <c r="U144" i="20" s="1"/>
  <c r="U243" i="20" s="1"/>
  <c r="D381" i="20"/>
  <c r="G120" i="20"/>
  <c r="H437" i="20"/>
  <c r="I438" i="20" s="1"/>
  <c r="AE30" i="20" s="1"/>
  <c r="C555" i="20"/>
  <c r="I580" i="20"/>
  <c r="K261" i="20"/>
  <c r="P261" i="20" s="1"/>
  <c r="J261" i="20"/>
  <c r="W101" i="20" s="1"/>
  <c r="W100" i="20"/>
  <c r="T66" i="20"/>
  <c r="T74" i="20" s="1"/>
  <c r="C178" i="20"/>
  <c r="C91" i="20"/>
  <c r="G298" i="20"/>
  <c r="K549" i="20"/>
  <c r="P549" i="20" s="1"/>
  <c r="J549" i="20"/>
  <c r="U201" i="20" s="1"/>
  <c r="U200" i="20"/>
  <c r="V228" i="20"/>
  <c r="K87" i="20"/>
  <c r="P87" i="20" s="1"/>
  <c r="J87" i="20"/>
  <c r="W41" i="20" s="1"/>
  <c r="W40" i="20"/>
  <c r="H321" i="20"/>
  <c r="I322" i="20" s="1"/>
  <c r="AE26" i="20" s="1"/>
  <c r="J434" i="20"/>
  <c r="V161" i="20" s="1"/>
  <c r="K434" i="20"/>
  <c r="P434" i="20" s="1"/>
  <c r="V160" i="20"/>
  <c r="T156" i="20"/>
  <c r="T164" i="20" s="1"/>
  <c r="C439" i="20"/>
  <c r="K405" i="20"/>
  <c r="P405" i="20" s="1"/>
  <c r="J405" i="20"/>
  <c r="V151" i="20" s="1"/>
  <c r="V150" i="20"/>
  <c r="H408" i="20"/>
  <c r="I409" i="20" s="1"/>
  <c r="AE29" i="20" s="1"/>
  <c r="I258" i="20"/>
  <c r="C269" i="20" s="1"/>
  <c r="F323" i="20"/>
  <c r="X231" i="20"/>
  <c r="X146" i="20"/>
  <c r="X154" i="20" s="1"/>
  <c r="X244" i="20" s="1"/>
  <c r="G410" i="20"/>
  <c r="W196" i="20"/>
  <c r="W204" i="20" s="1"/>
  <c r="W249" i="20" s="1"/>
  <c r="F555" i="20"/>
  <c r="K548" i="20"/>
  <c r="P548" i="20" s="1"/>
  <c r="J548" i="20"/>
  <c r="T201" i="20" s="1"/>
  <c r="T200" i="20"/>
  <c r="F270" i="20"/>
  <c r="F267" i="20"/>
  <c r="W98" i="20"/>
  <c r="F269" i="20"/>
  <c r="H89" i="20"/>
  <c r="I90" i="20" s="1"/>
  <c r="AE18" i="20" s="1"/>
  <c r="J521" i="20"/>
  <c r="V191" i="20" s="1"/>
  <c r="K521" i="20"/>
  <c r="P521" i="20" s="1"/>
  <c r="V190" i="20"/>
  <c r="V220" i="20"/>
  <c r="D499" i="20"/>
  <c r="U178" i="20"/>
  <c r="D501" i="20"/>
  <c r="K318" i="20"/>
  <c r="P318" i="20" s="1"/>
  <c r="J318" i="20"/>
  <c r="V121" i="20" s="1"/>
  <c r="V120" i="20"/>
  <c r="F444" i="20"/>
  <c r="K316" i="20"/>
  <c r="P316" i="20" s="1"/>
  <c r="J316" i="20"/>
  <c r="T121" i="20" s="1"/>
  <c r="T120" i="20"/>
  <c r="H350" i="20"/>
  <c r="I351" i="20" s="1"/>
  <c r="AE27" i="20" s="1"/>
  <c r="F473" i="20"/>
  <c r="F469" i="20" s="1"/>
  <c r="W169" i="20" s="1"/>
  <c r="AT94" i="20"/>
  <c r="AY94" i="20" s="1"/>
  <c r="AS94" i="20"/>
  <c r="AL114" i="20" s="1"/>
  <c r="AL113" i="20"/>
  <c r="C410" i="20"/>
  <c r="D323" i="20"/>
  <c r="T239" i="20"/>
  <c r="F212" i="20"/>
  <c r="F209" i="20"/>
  <c r="W78" i="20"/>
  <c r="J465" i="20"/>
  <c r="X171" i="20" s="1"/>
  <c r="K465" i="20"/>
  <c r="P465" i="20" s="1"/>
  <c r="X170" i="20"/>
  <c r="K115" i="20"/>
  <c r="P115" i="20" s="1"/>
  <c r="J115" i="20"/>
  <c r="V51" i="20" s="1"/>
  <c r="V50" i="20"/>
  <c r="I84" i="20"/>
  <c r="V276" i="20"/>
  <c r="V277" i="20" s="1"/>
  <c r="E265" i="20"/>
  <c r="E67" i="20"/>
  <c r="E64" i="20"/>
  <c r="V28" i="20"/>
  <c r="E66" i="20"/>
  <c r="AP109" i="20"/>
  <c r="AP117" i="20" s="1"/>
  <c r="AP101" i="20"/>
  <c r="T241" i="20"/>
  <c r="K552" i="20"/>
  <c r="P552" i="20" s="1"/>
  <c r="J552" i="20"/>
  <c r="X201" i="20" s="1"/>
  <c r="X200" i="20"/>
  <c r="V106" i="20"/>
  <c r="V114" i="20" s="1"/>
  <c r="V240" i="20" s="1"/>
  <c r="E294" i="20"/>
  <c r="K403" i="20"/>
  <c r="P403" i="20" s="1"/>
  <c r="J403" i="20"/>
  <c r="T151" i="20" s="1"/>
  <c r="T150" i="20"/>
  <c r="G236" i="20"/>
  <c r="G470" i="20"/>
  <c r="G473" i="20"/>
  <c r="X168" i="20"/>
  <c r="G472" i="20"/>
  <c r="H495" i="20"/>
  <c r="I496" i="20" s="1"/>
  <c r="AE32" i="20" s="1"/>
  <c r="T26" i="20"/>
  <c r="T34" i="20" s="1"/>
  <c r="C62" i="20"/>
  <c r="F35" i="20"/>
  <c r="W18" i="20"/>
  <c r="F38" i="20"/>
  <c r="F37" i="20"/>
  <c r="E183" i="20"/>
  <c r="E180" i="20"/>
  <c r="V68" i="20"/>
  <c r="V186" i="20"/>
  <c r="V194" i="20" s="1"/>
  <c r="V248" i="20" s="1"/>
  <c r="E526" i="20"/>
  <c r="T168" i="20"/>
  <c r="C472" i="20"/>
  <c r="I145" i="20"/>
  <c r="V176" i="20"/>
  <c r="V184" i="20" s="1"/>
  <c r="V247" i="20" s="1"/>
  <c r="E497" i="20"/>
  <c r="D183" i="20"/>
  <c r="D179" i="20" s="1"/>
  <c r="U69" i="20" s="1"/>
  <c r="I490" i="20"/>
  <c r="C323" i="20"/>
  <c r="H31" i="20"/>
  <c r="I32" i="20" s="1"/>
  <c r="AE16" i="20" s="1"/>
  <c r="E241" i="20"/>
  <c r="E238" i="20"/>
  <c r="V88" i="20"/>
  <c r="E240" i="20"/>
  <c r="K377" i="20"/>
  <c r="P377" i="20" s="1"/>
  <c r="J377" i="20"/>
  <c r="W141" i="20" s="1"/>
  <c r="W140" i="20"/>
  <c r="K114" i="20"/>
  <c r="P114" i="20" s="1"/>
  <c r="J114" i="20"/>
  <c r="U51" i="20" s="1"/>
  <c r="U50" i="20"/>
  <c r="D149" i="20"/>
  <c r="U106" i="20"/>
  <c r="U114" i="20" s="1"/>
  <c r="U240" i="20" s="1"/>
  <c r="D294" i="20"/>
  <c r="K287" i="20"/>
  <c r="P287" i="20" s="1"/>
  <c r="J287" i="20"/>
  <c r="T111" i="20" s="1"/>
  <c r="T110" i="20"/>
  <c r="T228" i="20"/>
  <c r="W24" i="20"/>
  <c r="W36" i="20"/>
  <c r="W44" i="20" s="1"/>
  <c r="W233" i="20" s="1"/>
  <c r="F91" i="20"/>
  <c r="K203" i="20"/>
  <c r="P203" i="20" s="1"/>
  <c r="J203" i="20"/>
  <c r="W81" i="20" s="1"/>
  <c r="W80" i="20"/>
  <c r="E125" i="20"/>
  <c r="U126" i="20"/>
  <c r="U134" i="20" s="1"/>
  <c r="U242" i="20" s="1"/>
  <c r="D352" i="20"/>
  <c r="T46" i="20"/>
  <c r="T54" i="20" s="1"/>
  <c r="C120" i="20"/>
  <c r="J461" i="20"/>
  <c r="T171" i="20" s="1"/>
  <c r="K461" i="20"/>
  <c r="P461" i="20" s="1"/>
  <c r="T170" i="20"/>
  <c r="I173" i="20"/>
  <c r="E182" i="20" s="1"/>
  <c r="X176" i="20"/>
  <c r="X184" i="20" s="1"/>
  <c r="X247" i="20" s="1"/>
  <c r="G497" i="20"/>
  <c r="V166" i="20"/>
  <c r="V174" i="20" s="1"/>
  <c r="E468" i="20"/>
  <c r="J204" i="20"/>
  <c r="X81" i="20" s="1"/>
  <c r="K204" i="20"/>
  <c r="P204" i="20" s="1"/>
  <c r="X80" i="20"/>
  <c r="T247" i="20"/>
  <c r="U86" i="20"/>
  <c r="U94" i="20" s="1"/>
  <c r="U238" i="20" s="1"/>
  <c r="D236" i="20"/>
  <c r="F120" i="20"/>
  <c r="F383" i="20"/>
  <c r="F386" i="20"/>
  <c r="F385" i="20"/>
  <c r="W138" i="20"/>
  <c r="D120" i="20"/>
  <c r="K143" i="20"/>
  <c r="P143" i="20" s="1"/>
  <c r="J143" i="20"/>
  <c r="U61" i="20" s="1"/>
  <c r="U60" i="20"/>
  <c r="H118" i="20"/>
  <c r="I119" i="20" s="1"/>
  <c r="AE19" i="20" s="1"/>
  <c r="D443" i="20"/>
  <c r="D441" i="20"/>
  <c r="D444" i="20"/>
  <c r="U158" i="20"/>
  <c r="H292" i="20"/>
  <c r="I293" i="20" s="1"/>
  <c r="AE25" i="20" s="1"/>
  <c r="T220" i="20"/>
  <c r="G383" i="20"/>
  <c r="G386" i="20"/>
  <c r="X138" i="20"/>
  <c r="G385" i="20"/>
  <c r="U228" i="20"/>
  <c r="D531" i="20"/>
  <c r="U188" i="20"/>
  <c r="K493" i="20"/>
  <c r="P493" i="20" s="1"/>
  <c r="J493" i="20"/>
  <c r="W181" i="20" s="1"/>
  <c r="W180" i="20"/>
  <c r="D410" i="20"/>
  <c r="U76" i="20"/>
  <c r="U84" i="20" s="1"/>
  <c r="U237" i="20" s="1"/>
  <c r="D207" i="20"/>
  <c r="T206" i="20"/>
  <c r="T214" i="20" s="1"/>
  <c r="C584" i="20"/>
  <c r="K116" i="20"/>
  <c r="P116" i="20" s="1"/>
  <c r="J116" i="20"/>
  <c r="W51" i="20" s="1"/>
  <c r="W50" i="20"/>
  <c r="AO101" i="20"/>
  <c r="J581" i="20"/>
  <c r="X211" i="20" s="1"/>
  <c r="K581" i="20"/>
  <c r="P581" i="20" s="1"/>
  <c r="X210" i="20"/>
  <c r="J85" i="20"/>
  <c r="U41" i="20" s="1"/>
  <c r="U40" i="20"/>
  <c r="K85" i="20"/>
  <c r="P85" i="20" s="1"/>
  <c r="E154" i="20"/>
  <c r="E151" i="20"/>
  <c r="V58" i="20"/>
  <c r="E153" i="20"/>
  <c r="T276" i="20"/>
  <c r="T277" i="20" s="1"/>
  <c r="U220" i="20"/>
  <c r="K260" i="20"/>
  <c r="P260" i="20" s="1"/>
  <c r="J260" i="20"/>
  <c r="V101" i="20" s="1"/>
  <c r="V100" i="20"/>
  <c r="K57" i="20"/>
  <c r="P57" i="20" s="1"/>
  <c r="J57" i="20"/>
  <c r="V31" i="20" s="1"/>
  <c r="V30" i="20"/>
  <c r="E357" i="20"/>
  <c r="E354" i="20"/>
  <c r="V128" i="20"/>
  <c r="G154" i="20"/>
  <c r="G151" i="20"/>
  <c r="X58" i="20"/>
  <c r="G153" i="20"/>
  <c r="D584" i="20"/>
  <c r="T86" i="20"/>
  <c r="T94" i="20" s="1"/>
  <c r="C236" i="20"/>
  <c r="H205" i="20"/>
  <c r="I206" i="20" s="1"/>
  <c r="AE22" i="20" s="1"/>
  <c r="H379" i="20"/>
  <c r="I380" i="20" s="1"/>
  <c r="AE28" i="20" s="1"/>
  <c r="C497" i="20"/>
  <c r="T56" i="20"/>
  <c r="T64" i="20" s="1"/>
  <c r="C149" i="20"/>
  <c r="E584" i="20"/>
  <c r="T16" i="20"/>
  <c r="C33" i="20"/>
  <c r="G584" i="20"/>
  <c r="AM109" i="20"/>
  <c r="AM117" i="20" s="1"/>
  <c r="AM101" i="20"/>
  <c r="D91" i="20"/>
  <c r="E555" i="20"/>
  <c r="C294" i="20"/>
  <c r="E91" i="20"/>
  <c r="E35" i="20"/>
  <c r="V18" i="20"/>
  <c r="E38" i="20"/>
  <c r="E37" i="20"/>
  <c r="U276" i="20"/>
  <c r="U277" i="20" s="1"/>
  <c r="AN97" i="18"/>
  <c r="AM97" i="18"/>
  <c r="AP97" i="18"/>
  <c r="AQ97" i="18" s="1"/>
  <c r="AR97" i="18" s="1"/>
  <c r="AO97" i="18"/>
  <c r="C581" i="18"/>
  <c r="D464" i="18"/>
  <c r="C435" i="18"/>
  <c r="H406" i="18"/>
  <c r="I406" i="18" s="1"/>
  <c r="J406" i="18" s="1"/>
  <c r="W151" i="18" s="1"/>
  <c r="H405" i="18"/>
  <c r="D375" i="18"/>
  <c r="G378" i="18"/>
  <c r="E375" i="18"/>
  <c r="O350" i="18"/>
  <c r="F346" i="18"/>
  <c r="C346" i="18"/>
  <c r="C347" i="18"/>
  <c r="H347" i="18" s="1"/>
  <c r="I347" i="18" s="1"/>
  <c r="V130" i="18" s="1"/>
  <c r="G349" i="18"/>
  <c r="C349" i="18"/>
  <c r="D346" i="18"/>
  <c r="E346" i="18"/>
  <c r="F349" i="18"/>
  <c r="E349" i="18"/>
  <c r="H260" i="18"/>
  <c r="I260" i="18" s="1"/>
  <c r="O234" i="18"/>
  <c r="E116" i="18"/>
  <c r="H116" i="18" s="1"/>
  <c r="F116" i="18"/>
  <c r="F56" i="18"/>
  <c r="H56" i="18" s="1"/>
  <c r="I56" i="18" s="1"/>
  <c r="AO96" i="17"/>
  <c r="F523" i="17"/>
  <c r="E523" i="17"/>
  <c r="E461" i="17"/>
  <c r="G432" i="17"/>
  <c r="F435" i="17"/>
  <c r="E434" i="17"/>
  <c r="H434" i="17" s="1"/>
  <c r="I434" i="17" s="1"/>
  <c r="H432" i="17"/>
  <c r="I432" i="17" s="1"/>
  <c r="G404" i="17"/>
  <c r="G374" i="17"/>
  <c r="C374" i="17"/>
  <c r="C347" i="17"/>
  <c r="E347" i="17"/>
  <c r="G347" i="17"/>
  <c r="D347" i="17"/>
  <c r="G316" i="17"/>
  <c r="C320" i="17"/>
  <c r="D316" i="17"/>
  <c r="D290" i="17"/>
  <c r="G289" i="17"/>
  <c r="E289" i="17"/>
  <c r="C288" i="17"/>
  <c r="C289" i="17"/>
  <c r="H289" i="17" s="1"/>
  <c r="I289" i="17" s="1"/>
  <c r="D288" i="17"/>
  <c r="E288" i="17"/>
  <c r="G288" i="17"/>
  <c r="O292" i="17"/>
  <c r="E263" i="17"/>
  <c r="V96" i="17" s="1"/>
  <c r="V104" i="17" s="1"/>
  <c r="V239" i="17" s="1"/>
  <c r="C261" i="17"/>
  <c r="C264" i="17" s="1"/>
  <c r="T97" i="17" s="1"/>
  <c r="T105" i="17" s="1"/>
  <c r="G264" i="17"/>
  <c r="X97" i="17" s="1"/>
  <c r="X105" i="17" s="1"/>
  <c r="F261" i="17"/>
  <c r="F263" i="17"/>
  <c r="W96" i="17" s="1"/>
  <c r="W104" i="17" s="1"/>
  <c r="W239" i="17" s="1"/>
  <c r="O263" i="17"/>
  <c r="H260" i="17"/>
  <c r="H259" i="17"/>
  <c r="I259" i="17" s="1"/>
  <c r="F175" i="17"/>
  <c r="C172" i="17"/>
  <c r="D172" i="17"/>
  <c r="E172" i="17"/>
  <c r="G175" i="17"/>
  <c r="D146" i="17"/>
  <c r="H146" i="17" s="1"/>
  <c r="I146" i="17" s="1"/>
  <c r="H57" i="17"/>
  <c r="I57" i="17" s="1"/>
  <c r="V30" i="17" s="1"/>
  <c r="C55" i="17"/>
  <c r="H55" i="17"/>
  <c r="I55" i="17" s="1"/>
  <c r="G26" i="17"/>
  <c r="F316" i="17"/>
  <c r="C316" i="17"/>
  <c r="C349" i="17"/>
  <c r="H349" i="17" s="1"/>
  <c r="I349" i="17" s="1"/>
  <c r="X130" i="17" s="1"/>
  <c r="C404" i="17"/>
  <c r="D376" i="17"/>
  <c r="D174" i="17"/>
  <c r="H174" i="17" s="1"/>
  <c r="I174" i="17" s="1"/>
  <c r="H175" i="17"/>
  <c r="D26" i="17"/>
  <c r="N162" i="17"/>
  <c r="V72" i="17" s="1"/>
  <c r="D320" i="17"/>
  <c r="F376" i="17"/>
  <c r="F174" i="17"/>
  <c r="N74" i="17"/>
  <c r="U42" i="17" s="1"/>
  <c r="G376" i="17"/>
  <c r="H117" i="17"/>
  <c r="I117" i="17" s="1"/>
  <c r="E462" i="17"/>
  <c r="E320" i="17"/>
  <c r="H405" i="17"/>
  <c r="I405" i="17" s="1"/>
  <c r="N336" i="17"/>
  <c r="V132" i="17" s="1"/>
  <c r="D461" i="17"/>
  <c r="D435" i="17"/>
  <c r="E290" i="17"/>
  <c r="N221" i="17"/>
  <c r="W92" i="17" s="1"/>
  <c r="N46" i="17"/>
  <c r="V32" i="17" s="1"/>
  <c r="F462" i="17"/>
  <c r="D406" i="17"/>
  <c r="H406" i="17" s="1"/>
  <c r="I406" i="17" s="1"/>
  <c r="N308" i="17"/>
  <c r="W122" i="17" s="1"/>
  <c r="H56" i="17"/>
  <c r="I56" i="17" s="1"/>
  <c r="N44" i="17"/>
  <c r="T32" i="17" s="1"/>
  <c r="J44" i="17"/>
  <c r="N540" i="17"/>
  <c r="W202" i="17" s="1"/>
  <c r="O379" i="17"/>
  <c r="AP90" i="17"/>
  <c r="BI263" i="17"/>
  <c r="N191" i="17"/>
  <c r="V82" i="17" s="1"/>
  <c r="E196" i="17"/>
  <c r="N102" i="17"/>
  <c r="T52" i="17" s="1"/>
  <c r="F196" i="18"/>
  <c r="N192" i="18"/>
  <c r="W82" i="18" s="1"/>
  <c r="E581" i="18"/>
  <c r="N277" i="18"/>
  <c r="U112" i="18" s="1"/>
  <c r="C464" i="18"/>
  <c r="G491" i="18"/>
  <c r="D173" i="18"/>
  <c r="N104" i="18"/>
  <c r="V52" i="18" s="1"/>
  <c r="D30" i="18"/>
  <c r="C29" i="18"/>
  <c r="F581" i="18"/>
  <c r="H550" i="18"/>
  <c r="I550" i="18" s="1"/>
  <c r="V200" i="18" s="1"/>
  <c r="F435" i="18"/>
  <c r="G486" i="18"/>
  <c r="F404" i="18"/>
  <c r="D404" i="18"/>
  <c r="D378" i="18"/>
  <c r="N510" i="18"/>
  <c r="V192" i="18" s="1"/>
  <c r="G435" i="18"/>
  <c r="N509" i="18"/>
  <c r="U192" i="18" s="1"/>
  <c r="C378" i="18"/>
  <c r="D114" i="18"/>
  <c r="E114" i="18"/>
  <c r="C521" i="18"/>
  <c r="F522" i="18"/>
  <c r="G29" i="18"/>
  <c r="N75" i="18"/>
  <c r="V42" i="18" s="1"/>
  <c r="G522" i="18"/>
  <c r="N222" i="18"/>
  <c r="X92" i="18" s="1"/>
  <c r="C522" i="18"/>
  <c r="E29" i="18"/>
  <c r="J106" i="18"/>
  <c r="N106" i="18"/>
  <c r="X52" i="18" s="1"/>
  <c r="D522" i="18"/>
  <c r="H320" i="18"/>
  <c r="I320" i="18" s="1"/>
  <c r="K320" i="18" s="1"/>
  <c r="P320" i="18" s="1"/>
  <c r="N162" i="18"/>
  <c r="V72" i="18" s="1"/>
  <c r="F434" i="18"/>
  <c r="C27" i="18"/>
  <c r="D581" i="18"/>
  <c r="F464" i="18"/>
  <c r="E435" i="18"/>
  <c r="D435" i="18"/>
  <c r="N308" i="18"/>
  <c r="W122" i="18" s="1"/>
  <c r="D27" i="18"/>
  <c r="J76" i="18"/>
  <c r="O437" i="18"/>
  <c r="BJ163" i="18"/>
  <c r="BI64" i="18"/>
  <c r="H580" i="18"/>
  <c r="I580" i="18" s="1"/>
  <c r="E573" i="18"/>
  <c r="N568" i="18"/>
  <c r="V212" i="18" s="1"/>
  <c r="N396" i="18"/>
  <c r="X152" i="18" s="1"/>
  <c r="J396" i="18"/>
  <c r="G287" i="18"/>
  <c r="F287" i="18"/>
  <c r="E287" i="18"/>
  <c r="D287" i="18"/>
  <c r="C287" i="18"/>
  <c r="G461" i="18"/>
  <c r="E461" i="18"/>
  <c r="D461" i="18"/>
  <c r="C461" i="18"/>
  <c r="F461" i="18"/>
  <c r="O263" i="18"/>
  <c r="H491" i="18"/>
  <c r="I491" i="18" s="1"/>
  <c r="N508" i="18"/>
  <c r="T192" i="18" s="1"/>
  <c r="J365" i="18"/>
  <c r="N365" i="18"/>
  <c r="V142" i="18" s="1"/>
  <c r="H436" i="18"/>
  <c r="I436" i="18" s="1"/>
  <c r="N538" i="18"/>
  <c r="U202" i="18" s="1"/>
  <c r="D544" i="18"/>
  <c r="O176" i="18"/>
  <c r="G493" i="18"/>
  <c r="F493" i="18"/>
  <c r="E493" i="18"/>
  <c r="C196" i="18"/>
  <c r="N189" i="18"/>
  <c r="T82" i="18" s="1"/>
  <c r="O60" i="18"/>
  <c r="BJ162" i="18"/>
  <c r="BI65" i="18"/>
  <c r="BJ65" i="18" s="1"/>
  <c r="H86" i="18"/>
  <c r="I86" i="18" s="1"/>
  <c r="O31" i="18"/>
  <c r="O582" i="18"/>
  <c r="G312" i="18"/>
  <c r="N309" i="18"/>
  <c r="X122" i="18" s="1"/>
  <c r="N567" i="18"/>
  <c r="U212" i="18" s="1"/>
  <c r="D573" i="18"/>
  <c r="N450" i="18"/>
  <c r="T172" i="18" s="1"/>
  <c r="C457" i="18"/>
  <c r="C577" i="18"/>
  <c r="C345" i="18"/>
  <c r="D345" i="18"/>
  <c r="G345" i="18"/>
  <c r="F345" i="18"/>
  <c r="E345" i="18"/>
  <c r="G174" i="18"/>
  <c r="F174" i="18"/>
  <c r="E174" i="18"/>
  <c r="D174" i="18"/>
  <c r="C174" i="18"/>
  <c r="AO90" i="18"/>
  <c r="AW86" i="18"/>
  <c r="AO115" i="18" s="1"/>
  <c r="G26" i="18"/>
  <c r="F26" i="18"/>
  <c r="E26" i="18"/>
  <c r="C26" i="18"/>
  <c r="D26" i="18"/>
  <c r="N103" i="18"/>
  <c r="U52" i="18" s="1"/>
  <c r="D109" i="18"/>
  <c r="N46" i="18"/>
  <c r="V32" i="18" s="1"/>
  <c r="N18" i="18"/>
  <c r="W22" i="18" s="1"/>
  <c r="F22" i="18"/>
  <c r="I88" i="18"/>
  <c r="N479" i="18"/>
  <c r="T182" i="18" s="1"/>
  <c r="C486" i="18"/>
  <c r="G492" i="18"/>
  <c r="E492" i="18"/>
  <c r="D492" i="18"/>
  <c r="F492" i="18"/>
  <c r="E577" i="18"/>
  <c r="N392" i="18"/>
  <c r="T152" i="18" s="1"/>
  <c r="D520" i="18"/>
  <c r="G289" i="18"/>
  <c r="F289" i="18"/>
  <c r="E289" i="18"/>
  <c r="D289" i="18"/>
  <c r="C289" i="18"/>
  <c r="F230" i="18"/>
  <c r="G370" i="18"/>
  <c r="N367" i="18"/>
  <c r="X142" i="18" s="1"/>
  <c r="G317" i="18"/>
  <c r="F317" i="18"/>
  <c r="E317" i="18"/>
  <c r="D317" i="18"/>
  <c r="C317" i="18"/>
  <c r="C434" i="18"/>
  <c r="G143" i="18"/>
  <c r="G148" i="18" s="1"/>
  <c r="X57" i="18" s="1"/>
  <c r="X65" i="18" s="1"/>
  <c r="F143" i="18"/>
  <c r="F148" i="18" s="1"/>
  <c r="W57" i="18" s="1"/>
  <c r="W65" i="18" s="1"/>
  <c r="E143" i="18"/>
  <c r="E148" i="18" s="1"/>
  <c r="V57" i="18" s="1"/>
  <c r="V65" i="18" s="1"/>
  <c r="D143" i="18"/>
  <c r="D148" i="18" s="1"/>
  <c r="U57" i="18" s="1"/>
  <c r="U65" i="18" s="1"/>
  <c r="C143" i="18"/>
  <c r="N221" i="18"/>
  <c r="W92" i="18" s="1"/>
  <c r="F225" i="18"/>
  <c r="G85" i="18"/>
  <c r="F85" i="18"/>
  <c r="E85" i="18"/>
  <c r="D85" i="18"/>
  <c r="C85" i="18"/>
  <c r="G57" i="18"/>
  <c r="F57" i="18"/>
  <c r="E57" i="18"/>
  <c r="D57" i="18"/>
  <c r="C57" i="18"/>
  <c r="O118" i="18"/>
  <c r="N540" i="18"/>
  <c r="W202" i="18" s="1"/>
  <c r="F544" i="18"/>
  <c r="N482" i="18"/>
  <c r="W182" i="18" s="1"/>
  <c r="O553" i="18"/>
  <c r="G318" i="18"/>
  <c r="E318" i="18"/>
  <c r="D318" i="18"/>
  <c r="C318" i="18"/>
  <c r="F318" i="18"/>
  <c r="D377" i="18"/>
  <c r="C377" i="18"/>
  <c r="G377" i="18"/>
  <c r="E377" i="18"/>
  <c r="F377" i="18"/>
  <c r="G581" i="18"/>
  <c r="N336" i="18"/>
  <c r="V132" i="18" s="1"/>
  <c r="I405" i="18"/>
  <c r="E494" i="18"/>
  <c r="D494" i="18"/>
  <c r="C494" i="18"/>
  <c r="G494" i="18"/>
  <c r="F494" i="18"/>
  <c r="F520" i="18"/>
  <c r="C428" i="18"/>
  <c r="N421" i="18"/>
  <c r="T162" i="18" s="1"/>
  <c r="E464" i="18"/>
  <c r="H464" i="18" s="1"/>
  <c r="I464" i="18" s="1"/>
  <c r="G233" i="18"/>
  <c r="C233" i="18"/>
  <c r="N251" i="18"/>
  <c r="X102" i="18" s="1"/>
  <c r="E434" i="18"/>
  <c r="F496" i="18"/>
  <c r="W177" i="18" s="1"/>
  <c r="W185" i="18" s="1"/>
  <c r="O495" i="18"/>
  <c r="N105" i="18"/>
  <c r="W52" i="18" s="1"/>
  <c r="F109" i="18"/>
  <c r="N44" i="18"/>
  <c r="T32" i="18" s="1"/>
  <c r="C51" i="18"/>
  <c r="BJ58" i="18"/>
  <c r="BI39" i="18"/>
  <c r="AN96" i="18"/>
  <c r="N74" i="18"/>
  <c r="U42" i="18" s="1"/>
  <c r="D80" i="18"/>
  <c r="G261" i="18"/>
  <c r="F261" i="18"/>
  <c r="E261" i="18"/>
  <c r="D261" i="18"/>
  <c r="C261" i="18"/>
  <c r="F374" i="18"/>
  <c r="O379" i="18"/>
  <c r="E374" i="18"/>
  <c r="F288" i="18"/>
  <c r="E288" i="18"/>
  <c r="C288" i="18"/>
  <c r="D288" i="18"/>
  <c r="G288" i="18"/>
  <c r="H144" i="18"/>
  <c r="I144" i="18" s="1"/>
  <c r="C30" i="18"/>
  <c r="N541" i="18"/>
  <c r="X202" i="18" s="1"/>
  <c r="E544" i="18"/>
  <c r="N539" i="18"/>
  <c r="V202" i="18" s="1"/>
  <c r="O321" i="18"/>
  <c r="G374" i="18"/>
  <c r="J307" i="18"/>
  <c r="N307" i="18"/>
  <c r="V122" i="18" s="1"/>
  <c r="G579" i="18"/>
  <c r="F579" i="18"/>
  <c r="D579" i="18"/>
  <c r="G490" i="18"/>
  <c r="E490" i="18"/>
  <c r="D490" i="18"/>
  <c r="C490" i="18"/>
  <c r="F490" i="18"/>
  <c r="D551" i="18"/>
  <c r="C551" i="18"/>
  <c r="G551" i="18"/>
  <c r="F551" i="18"/>
  <c r="E551" i="18"/>
  <c r="F463" i="18"/>
  <c r="F316" i="18"/>
  <c r="F254" i="18"/>
  <c r="N250" i="18"/>
  <c r="W102" i="18" s="1"/>
  <c r="H348" i="18"/>
  <c r="I348" i="18" s="1"/>
  <c r="D434" i="18"/>
  <c r="E319" i="18"/>
  <c r="E316" i="18"/>
  <c r="D115" i="18"/>
  <c r="C115" i="18"/>
  <c r="G115" i="18"/>
  <c r="F115" i="18"/>
  <c r="E115" i="18"/>
  <c r="F113" i="18"/>
  <c r="G113" i="18"/>
  <c r="E113" i="18"/>
  <c r="C113" i="18"/>
  <c r="D113" i="18"/>
  <c r="J73" i="18"/>
  <c r="N73" i="18"/>
  <c r="T42" i="18" s="1"/>
  <c r="J17" i="18"/>
  <c r="N17" i="18"/>
  <c r="V22" i="18" s="1"/>
  <c r="E55" i="18"/>
  <c r="D55" i="18"/>
  <c r="D60" i="18" s="1"/>
  <c r="U26" i="18" s="1"/>
  <c r="U34" i="18" s="1"/>
  <c r="U232" i="18" s="1"/>
  <c r="C55" i="18"/>
  <c r="F55" i="18"/>
  <c r="G55" i="18"/>
  <c r="AL96" i="18"/>
  <c r="AW84" i="18"/>
  <c r="AM115" i="18" s="1"/>
  <c r="AS84" i="18"/>
  <c r="BL65" i="18"/>
  <c r="H58" i="18"/>
  <c r="I58" i="18" s="1"/>
  <c r="N422" i="18"/>
  <c r="U162" i="18" s="1"/>
  <c r="J422" i="18"/>
  <c r="F432" i="18"/>
  <c r="F438" i="18" s="1"/>
  <c r="W157" i="18" s="1"/>
  <c r="W165" i="18" s="1"/>
  <c r="G432" i="18"/>
  <c r="D432" i="18"/>
  <c r="C432" i="18"/>
  <c r="E432" i="18"/>
  <c r="D374" i="18"/>
  <c r="E283" i="18"/>
  <c r="N278" i="18"/>
  <c r="V112" i="18" s="1"/>
  <c r="F462" i="18"/>
  <c r="D462" i="18"/>
  <c r="C462" i="18"/>
  <c r="G462" i="18"/>
  <c r="E462" i="18"/>
  <c r="O524" i="18"/>
  <c r="C316" i="18"/>
  <c r="G231" i="18"/>
  <c r="F231" i="18"/>
  <c r="E231" i="18"/>
  <c r="D231" i="18"/>
  <c r="C231" i="18"/>
  <c r="E171" i="18"/>
  <c r="D171" i="18"/>
  <c r="D177" i="18" s="1"/>
  <c r="U67" i="18" s="1"/>
  <c r="U75" i="18" s="1"/>
  <c r="C171" i="18"/>
  <c r="G171" i="18"/>
  <c r="F171" i="18"/>
  <c r="F201" i="18"/>
  <c r="E201" i="18"/>
  <c r="D201" i="18"/>
  <c r="C201" i="18"/>
  <c r="G201" i="18"/>
  <c r="AX99" i="18"/>
  <c r="F27" i="18"/>
  <c r="G27" i="18"/>
  <c r="AO96" i="18"/>
  <c r="C117" i="18"/>
  <c r="AW83" i="18"/>
  <c r="AL115" i="18" s="1"/>
  <c r="AS83" i="18"/>
  <c r="N45" i="18"/>
  <c r="U32" i="18" s="1"/>
  <c r="H142" i="18"/>
  <c r="AP95" i="18"/>
  <c r="AL95" i="18"/>
  <c r="AN95" i="18"/>
  <c r="AM95" i="18"/>
  <c r="AO95" i="18"/>
  <c r="H548" i="18"/>
  <c r="F232" i="18"/>
  <c r="E232" i="18"/>
  <c r="D232" i="18"/>
  <c r="G232" i="18"/>
  <c r="C232" i="18"/>
  <c r="D204" i="18"/>
  <c r="C204" i="18"/>
  <c r="J15" i="18"/>
  <c r="N15" i="18"/>
  <c r="T22" i="18" s="1"/>
  <c r="N511" i="18"/>
  <c r="W192" i="18" s="1"/>
  <c r="J511" i="18"/>
  <c r="F573" i="18"/>
  <c r="N569" i="18"/>
  <c r="W212" i="18" s="1"/>
  <c r="E578" i="18"/>
  <c r="C578" i="18"/>
  <c r="F578" i="18"/>
  <c r="D578" i="18"/>
  <c r="G578" i="18"/>
  <c r="J512" i="18"/>
  <c r="N512" i="18"/>
  <c r="X192" i="18" s="1"/>
  <c r="G520" i="18"/>
  <c r="G433" i="18"/>
  <c r="C433" i="18"/>
  <c r="F433" i="18"/>
  <c r="E433" i="18"/>
  <c r="D433" i="18"/>
  <c r="F319" i="18"/>
  <c r="O466" i="18"/>
  <c r="G259" i="18"/>
  <c r="F259" i="18"/>
  <c r="E259" i="18"/>
  <c r="D259" i="18"/>
  <c r="C259" i="18"/>
  <c r="D316" i="18"/>
  <c r="G203" i="18"/>
  <c r="F203" i="18"/>
  <c r="D203" i="18"/>
  <c r="E203" i="18"/>
  <c r="C203" i="18"/>
  <c r="G202" i="18"/>
  <c r="F202" i="18"/>
  <c r="E202" i="18"/>
  <c r="D202" i="18"/>
  <c r="C202" i="18"/>
  <c r="F204" i="18"/>
  <c r="C167" i="18"/>
  <c r="N160" i="18"/>
  <c r="T72" i="18" s="1"/>
  <c r="C230" i="18"/>
  <c r="N191" i="18"/>
  <c r="V82" i="18" s="1"/>
  <c r="AP98" i="18"/>
  <c r="AO98" i="18"/>
  <c r="AN98" i="18"/>
  <c r="AM98" i="18"/>
  <c r="AL98" i="18"/>
  <c r="AP96" i="18"/>
  <c r="D117" i="18"/>
  <c r="G59" i="18"/>
  <c r="F59" i="18"/>
  <c r="E59" i="18"/>
  <c r="D59" i="18"/>
  <c r="C59" i="18"/>
  <c r="H200" i="18"/>
  <c r="F403" i="18"/>
  <c r="E403" i="18"/>
  <c r="D403" i="18"/>
  <c r="G403" i="18"/>
  <c r="C403" i="18"/>
  <c r="D549" i="18"/>
  <c r="F549" i="18"/>
  <c r="G549" i="18"/>
  <c r="E549" i="18"/>
  <c r="C549" i="18"/>
  <c r="G291" i="18"/>
  <c r="F291" i="18"/>
  <c r="D291" i="18"/>
  <c r="C291" i="18"/>
  <c r="E291" i="18"/>
  <c r="E519" i="18"/>
  <c r="D519" i="18"/>
  <c r="C519" i="18"/>
  <c r="G519" i="18"/>
  <c r="F519" i="18"/>
  <c r="G521" i="18"/>
  <c r="F521" i="18"/>
  <c r="E521" i="18"/>
  <c r="G319" i="18"/>
  <c r="G262" i="18"/>
  <c r="J193" i="18"/>
  <c r="N193" i="18"/>
  <c r="X82" i="18" s="1"/>
  <c r="O205" i="18"/>
  <c r="G204" i="18"/>
  <c r="D230" i="18"/>
  <c r="N163" i="18"/>
  <c r="W72" i="18" s="1"/>
  <c r="J48" i="18"/>
  <c r="N48" i="18"/>
  <c r="X32" i="18" s="1"/>
  <c r="N131" i="18"/>
  <c r="T62" i="18" s="1"/>
  <c r="J131" i="18"/>
  <c r="E117" i="18"/>
  <c r="G84" i="18"/>
  <c r="F84" i="18"/>
  <c r="E84" i="18"/>
  <c r="D84" i="18"/>
  <c r="C84" i="18"/>
  <c r="AA287" i="18"/>
  <c r="G28" i="18"/>
  <c r="F28" i="18"/>
  <c r="E28" i="18"/>
  <c r="D28" i="18"/>
  <c r="C28" i="18"/>
  <c r="AW85" i="18"/>
  <c r="AN115" i="18" s="1"/>
  <c r="G30" i="18"/>
  <c r="F30" i="18"/>
  <c r="D552" i="18"/>
  <c r="F552" i="18"/>
  <c r="E552" i="18"/>
  <c r="C552" i="18"/>
  <c r="G552" i="18"/>
  <c r="E520" i="18"/>
  <c r="G283" i="18"/>
  <c r="N280" i="18"/>
  <c r="X112" i="18" s="1"/>
  <c r="N276" i="18"/>
  <c r="T112" i="18" s="1"/>
  <c r="C283" i="18"/>
  <c r="F523" i="18"/>
  <c r="E523" i="18"/>
  <c r="D523" i="18"/>
  <c r="G523" i="18"/>
  <c r="C523" i="18"/>
  <c r="J334" i="18"/>
  <c r="N334" i="18"/>
  <c r="T132" i="18" s="1"/>
  <c r="G375" i="18"/>
  <c r="F375" i="18"/>
  <c r="C319" i="18"/>
  <c r="N425" i="18"/>
  <c r="X162" i="18" s="1"/>
  <c r="N247" i="18"/>
  <c r="T102" i="18" s="1"/>
  <c r="G175" i="18"/>
  <c r="F175" i="18"/>
  <c r="E175" i="18"/>
  <c r="C175" i="18"/>
  <c r="D175" i="18"/>
  <c r="N190" i="18"/>
  <c r="U82" i="18" s="1"/>
  <c r="E230" i="18"/>
  <c r="G172" i="18"/>
  <c r="D138" i="18"/>
  <c r="N132" i="18"/>
  <c r="U62" i="18" s="1"/>
  <c r="H145" i="18"/>
  <c r="I145" i="18" s="1"/>
  <c r="G229" i="18"/>
  <c r="F229" i="18"/>
  <c r="D229" i="18"/>
  <c r="C229" i="18"/>
  <c r="E229" i="18"/>
  <c r="AM94" i="18"/>
  <c r="AL94" i="18"/>
  <c r="AP94" i="18"/>
  <c r="AO94" i="18"/>
  <c r="AN94" i="18"/>
  <c r="N19" i="18"/>
  <c r="X22" i="18" s="1"/>
  <c r="G22" i="18"/>
  <c r="AW87" i="18"/>
  <c r="AP115" i="18" s="1"/>
  <c r="AP90" i="18"/>
  <c r="G117" i="18"/>
  <c r="AA288" i="18"/>
  <c r="BI57" i="18"/>
  <c r="BL40" i="18" s="1"/>
  <c r="E30" i="18"/>
  <c r="N164" i="18"/>
  <c r="X72" i="18" s="1"/>
  <c r="G167" i="18"/>
  <c r="N566" i="18"/>
  <c r="T212" i="18" s="1"/>
  <c r="D577" i="18"/>
  <c r="C290" i="18"/>
  <c r="G290" i="18"/>
  <c r="E290" i="18"/>
  <c r="F290" i="18"/>
  <c r="D290" i="18"/>
  <c r="C262" i="18"/>
  <c r="H262" i="18" s="1"/>
  <c r="D486" i="18"/>
  <c r="N480" i="18"/>
  <c r="U182" i="18" s="1"/>
  <c r="E465" i="18"/>
  <c r="E467" i="18" s="1"/>
  <c r="V167" i="18" s="1"/>
  <c r="V175" i="18" s="1"/>
  <c r="D465" i="18"/>
  <c r="C465" i="18"/>
  <c r="G465" i="18"/>
  <c r="F465" i="18"/>
  <c r="H407" i="18"/>
  <c r="I407" i="18" s="1"/>
  <c r="D319" i="18"/>
  <c r="G463" i="18"/>
  <c r="G258" i="18"/>
  <c r="F258" i="18"/>
  <c r="E258" i="18"/>
  <c r="D258" i="18"/>
  <c r="C258" i="18"/>
  <c r="D376" i="18"/>
  <c r="C376" i="18"/>
  <c r="G376" i="18"/>
  <c r="F376" i="18"/>
  <c r="E376" i="18"/>
  <c r="F378" i="18"/>
  <c r="F172" i="18"/>
  <c r="G230" i="18"/>
  <c r="G173" i="18"/>
  <c r="H173" i="18" s="1"/>
  <c r="I173" i="18" s="1"/>
  <c r="F117" i="18"/>
  <c r="D22" i="18"/>
  <c r="N16" i="18"/>
  <c r="U22" i="18" s="1"/>
  <c r="H87" i="18"/>
  <c r="I87" i="18" s="1"/>
  <c r="AM96" i="18"/>
  <c r="N77" i="18"/>
  <c r="X42" i="18" s="1"/>
  <c r="J552" i="17"/>
  <c r="X201" i="17" s="1"/>
  <c r="X200" i="17"/>
  <c r="N337" i="17"/>
  <c r="W132" i="17" s="1"/>
  <c r="F341" i="17"/>
  <c r="G229" i="17"/>
  <c r="F229" i="17"/>
  <c r="E229" i="17"/>
  <c r="D229" i="17"/>
  <c r="C229" i="17"/>
  <c r="F457" i="17"/>
  <c r="N453" i="17"/>
  <c r="W172" i="17" s="1"/>
  <c r="D428" i="17"/>
  <c r="N422" i="17"/>
  <c r="U162" i="17" s="1"/>
  <c r="F461" i="17"/>
  <c r="G465" i="17"/>
  <c r="F465" i="17"/>
  <c r="E465" i="17"/>
  <c r="D465" i="17"/>
  <c r="C465" i="17"/>
  <c r="D287" i="17"/>
  <c r="C287" i="17"/>
  <c r="G287" i="17"/>
  <c r="F287" i="17"/>
  <c r="E287" i="17"/>
  <c r="E312" i="17"/>
  <c r="N307" i="17"/>
  <c r="V122" i="17" s="1"/>
  <c r="H204" i="17"/>
  <c r="I204" i="17" s="1"/>
  <c r="G61" i="17"/>
  <c r="X27" i="17" s="1"/>
  <c r="X35" i="17" s="1"/>
  <c r="N76" i="17"/>
  <c r="W42" i="17" s="1"/>
  <c r="J76" i="17"/>
  <c r="G200" i="17"/>
  <c r="F200" i="17"/>
  <c r="E200" i="17"/>
  <c r="D200" i="17"/>
  <c r="C200" i="17"/>
  <c r="C29" i="17"/>
  <c r="G29" i="17"/>
  <c r="F29" i="17"/>
  <c r="E29" i="17"/>
  <c r="D29" i="17"/>
  <c r="G346" i="17"/>
  <c r="F346" i="17"/>
  <c r="E346" i="17"/>
  <c r="D346" i="17"/>
  <c r="C346" i="17"/>
  <c r="N160" i="17"/>
  <c r="T72" i="17" s="1"/>
  <c r="J160" i="17"/>
  <c r="E428" i="17"/>
  <c r="N423" i="17"/>
  <c r="V162" i="17" s="1"/>
  <c r="N537" i="17"/>
  <c r="T202" i="17" s="1"/>
  <c r="G494" i="17"/>
  <c r="F494" i="17"/>
  <c r="E494" i="17"/>
  <c r="D494" i="17"/>
  <c r="C494" i="17"/>
  <c r="N392" i="17"/>
  <c r="T152" i="17" s="1"/>
  <c r="C399" i="17"/>
  <c r="N569" i="17"/>
  <c r="W212" i="17" s="1"/>
  <c r="C521" i="17"/>
  <c r="G521" i="17"/>
  <c r="F521" i="17"/>
  <c r="E521" i="17"/>
  <c r="D521" i="17"/>
  <c r="N335" i="17"/>
  <c r="U132" i="17" s="1"/>
  <c r="F265" i="17"/>
  <c r="G202" i="17"/>
  <c r="F202" i="17"/>
  <c r="E202" i="17"/>
  <c r="D202" i="17"/>
  <c r="C202" i="17"/>
  <c r="I260" i="17"/>
  <c r="G171" i="17"/>
  <c r="F171" i="17"/>
  <c r="E171" i="17"/>
  <c r="D171" i="17"/>
  <c r="C171" i="17"/>
  <c r="N19" i="17"/>
  <c r="X22" i="17" s="1"/>
  <c r="G22" i="17"/>
  <c r="N18" i="17"/>
  <c r="W22" i="17" s="1"/>
  <c r="F580" i="17"/>
  <c r="N454" i="17"/>
  <c r="X172" i="17" s="1"/>
  <c r="G457" i="17"/>
  <c r="G544" i="17"/>
  <c r="N541" i="17"/>
  <c r="X202" i="17" s="1"/>
  <c r="N479" i="17"/>
  <c r="T182" i="17" s="1"/>
  <c r="G375" i="17"/>
  <c r="F375" i="17"/>
  <c r="F379" i="17" s="1"/>
  <c r="W136" i="17" s="1"/>
  <c r="W144" i="17" s="1"/>
  <c r="W243" i="17" s="1"/>
  <c r="E375" i="17"/>
  <c r="E380" i="17" s="1"/>
  <c r="V137" i="17" s="1"/>
  <c r="V145" i="17" s="1"/>
  <c r="D375" i="17"/>
  <c r="D380" i="17" s="1"/>
  <c r="U137" i="17" s="1"/>
  <c r="U145" i="17" s="1"/>
  <c r="C375" i="17"/>
  <c r="N425" i="17"/>
  <c r="X162" i="17" s="1"/>
  <c r="G319" i="17"/>
  <c r="F319" i="17"/>
  <c r="E319" i="17"/>
  <c r="D319" i="17"/>
  <c r="C319" i="17"/>
  <c r="N249" i="17"/>
  <c r="V102" i="17" s="1"/>
  <c r="N103" i="17"/>
  <c r="U52" i="17" s="1"/>
  <c r="D109" i="17"/>
  <c r="AW83" i="17"/>
  <c r="AL115" i="17" s="1"/>
  <c r="AL90" i="17"/>
  <c r="H59" i="17"/>
  <c r="I59" i="17" s="1"/>
  <c r="AN90" i="17"/>
  <c r="AW85" i="17"/>
  <c r="AN115" i="17" s="1"/>
  <c r="H114" i="17"/>
  <c r="I114" i="17" s="1"/>
  <c r="H551" i="17"/>
  <c r="I551" i="17" s="1"/>
  <c r="N280" i="17"/>
  <c r="X112" i="17" s="1"/>
  <c r="G283" i="17"/>
  <c r="G116" i="17"/>
  <c r="F116" i="17"/>
  <c r="E116" i="17"/>
  <c r="D116" i="17"/>
  <c r="C116" i="17"/>
  <c r="G579" i="17"/>
  <c r="F579" i="17"/>
  <c r="D399" i="17"/>
  <c r="N393" i="17"/>
  <c r="U152" i="17" s="1"/>
  <c r="N511" i="17"/>
  <c r="W192" i="17" s="1"/>
  <c r="F515" i="17"/>
  <c r="D550" i="17"/>
  <c r="C550" i="17"/>
  <c r="G550" i="17"/>
  <c r="F550" i="17"/>
  <c r="E550" i="17"/>
  <c r="E577" i="17"/>
  <c r="D577" i="17"/>
  <c r="C577" i="17"/>
  <c r="G577" i="17"/>
  <c r="F577" i="17"/>
  <c r="N365" i="17"/>
  <c r="V142" i="17" s="1"/>
  <c r="E370" i="17"/>
  <c r="N538" i="17"/>
  <c r="U202" i="17" s="1"/>
  <c r="N396" i="17"/>
  <c r="X152" i="17" s="1"/>
  <c r="N279" i="17"/>
  <c r="W112" i="17" s="1"/>
  <c r="F283" i="17"/>
  <c r="H407" i="17"/>
  <c r="I407" i="17" s="1"/>
  <c r="H232" i="17"/>
  <c r="I232" i="17" s="1"/>
  <c r="N161" i="17"/>
  <c r="U72" i="17" s="1"/>
  <c r="G115" i="17"/>
  <c r="F115" i="17"/>
  <c r="E115" i="17"/>
  <c r="D115" i="17"/>
  <c r="C115" i="17"/>
  <c r="J105" i="17"/>
  <c r="N105" i="17"/>
  <c r="W52" i="17" s="1"/>
  <c r="E22" i="17"/>
  <c r="N17" i="17"/>
  <c r="V22" i="17" s="1"/>
  <c r="D51" i="17"/>
  <c r="N45" i="17"/>
  <c r="U32" i="17" s="1"/>
  <c r="G464" i="17"/>
  <c r="F464" i="17"/>
  <c r="E464" i="17"/>
  <c r="D464" i="17"/>
  <c r="C464" i="17"/>
  <c r="J509" i="17"/>
  <c r="N509" i="17"/>
  <c r="U192" i="17" s="1"/>
  <c r="E486" i="17"/>
  <c r="N481" i="17"/>
  <c r="V182" i="17" s="1"/>
  <c r="G436" i="17"/>
  <c r="F436" i="17"/>
  <c r="F438" i="17" s="1"/>
  <c r="W157" i="17" s="1"/>
  <c r="W165" i="17" s="1"/>
  <c r="E436" i="17"/>
  <c r="E438" i="17" s="1"/>
  <c r="V157" i="17" s="1"/>
  <c r="V165" i="17" s="1"/>
  <c r="D436" i="17"/>
  <c r="D437" i="17" s="1"/>
  <c r="U156" i="17" s="1"/>
  <c r="U164" i="17" s="1"/>
  <c r="U245" i="17" s="1"/>
  <c r="C436" i="17"/>
  <c r="C438" i="17" s="1"/>
  <c r="T157" i="17" s="1"/>
  <c r="T165" i="17" s="1"/>
  <c r="N366" i="17"/>
  <c r="W142" i="17" s="1"/>
  <c r="F370" i="17"/>
  <c r="H262" i="17"/>
  <c r="I262" i="17" s="1"/>
  <c r="H377" i="17"/>
  <c r="I377" i="17" s="1"/>
  <c r="E264" i="17"/>
  <c r="V97" i="17" s="1"/>
  <c r="V105" i="17" s="1"/>
  <c r="G233" i="17"/>
  <c r="F233" i="17"/>
  <c r="E233" i="17"/>
  <c r="D233" i="17"/>
  <c r="C233" i="17"/>
  <c r="N131" i="17"/>
  <c r="T62" i="17" s="1"/>
  <c r="E109" i="17"/>
  <c r="N104" i="17"/>
  <c r="V52" i="17" s="1"/>
  <c r="AS84" i="17"/>
  <c r="AW84" i="17"/>
  <c r="AM115" i="17" s="1"/>
  <c r="H88" i="17"/>
  <c r="I88" i="17" s="1"/>
  <c r="AP98" i="17"/>
  <c r="AO98" i="17"/>
  <c r="AM98" i="17"/>
  <c r="AL98" i="17"/>
  <c r="AN98" i="17"/>
  <c r="N47" i="17"/>
  <c r="W32" i="17" s="1"/>
  <c r="F51" i="17"/>
  <c r="C58" i="17"/>
  <c r="C60" i="17" s="1"/>
  <c r="C462" i="17"/>
  <c r="G463" i="17"/>
  <c r="F463" i="17"/>
  <c r="E463" i="17"/>
  <c r="D463" i="17"/>
  <c r="C463" i="17"/>
  <c r="N424" i="17"/>
  <c r="W162" i="17" s="1"/>
  <c r="F428" i="17"/>
  <c r="O582" i="17"/>
  <c r="D457" i="17"/>
  <c r="N451" i="17"/>
  <c r="U172" i="17" s="1"/>
  <c r="G492" i="17"/>
  <c r="F492" i="17"/>
  <c r="E492" i="17"/>
  <c r="D492" i="17"/>
  <c r="C492" i="17"/>
  <c r="G580" i="17"/>
  <c r="D263" i="17"/>
  <c r="U96" i="17" s="1"/>
  <c r="U104" i="17" s="1"/>
  <c r="U239" i="17" s="1"/>
  <c r="H378" i="17"/>
  <c r="I378" i="17" s="1"/>
  <c r="H291" i="17"/>
  <c r="I291" i="17" s="1"/>
  <c r="F264" i="17"/>
  <c r="W97" i="17" s="1"/>
  <c r="W105" i="17" s="1"/>
  <c r="G263" i="17"/>
  <c r="X96" i="17" s="1"/>
  <c r="X104" i="17" s="1"/>
  <c r="X239" i="17" s="1"/>
  <c r="H290" i="17"/>
  <c r="I290" i="17" s="1"/>
  <c r="N338" i="17"/>
  <c r="X132" i="17" s="1"/>
  <c r="E138" i="17"/>
  <c r="N133" i="17"/>
  <c r="V62" i="17" s="1"/>
  <c r="AX99" i="17"/>
  <c r="C87" i="17"/>
  <c r="G87" i="17"/>
  <c r="F87" i="17"/>
  <c r="E87" i="17"/>
  <c r="D87" i="17"/>
  <c r="AP94" i="17"/>
  <c r="AO94" i="17"/>
  <c r="AN94" i="17"/>
  <c r="AM94" i="17"/>
  <c r="AL94" i="17"/>
  <c r="N77" i="17"/>
  <c r="X42" i="17" s="1"/>
  <c r="G80" i="17"/>
  <c r="E58" i="17"/>
  <c r="E61" i="17" s="1"/>
  <c r="V27" i="17" s="1"/>
  <c r="V35" i="17" s="1"/>
  <c r="D22" i="17"/>
  <c r="N16" i="17"/>
  <c r="U22" i="17" s="1"/>
  <c r="E30" i="17"/>
  <c r="G30" i="17"/>
  <c r="F30" i="17"/>
  <c r="D30" i="17"/>
  <c r="C30" i="17"/>
  <c r="D58" i="17"/>
  <c r="D61" i="17" s="1"/>
  <c r="U27" i="17" s="1"/>
  <c r="U35" i="17" s="1"/>
  <c r="O466" i="17"/>
  <c r="G493" i="17"/>
  <c r="F493" i="17"/>
  <c r="D493" i="17"/>
  <c r="C493" i="17"/>
  <c r="E493" i="17"/>
  <c r="D549" i="17"/>
  <c r="C549" i="17"/>
  <c r="G549" i="17"/>
  <c r="F549" i="17"/>
  <c r="E549" i="17"/>
  <c r="N394" i="17"/>
  <c r="V152" i="17" s="1"/>
  <c r="E399" i="17"/>
  <c r="N566" i="17"/>
  <c r="T212" i="17" s="1"/>
  <c r="C573" i="17"/>
  <c r="N450" i="17"/>
  <c r="T172" i="17" s="1"/>
  <c r="N364" i="17"/>
  <c r="U142" i="17" s="1"/>
  <c r="J364" i="17"/>
  <c r="G231" i="17"/>
  <c r="F231" i="17"/>
  <c r="E231" i="17"/>
  <c r="D231" i="17"/>
  <c r="C231" i="17"/>
  <c r="N164" i="17"/>
  <c r="X72" i="17" s="1"/>
  <c r="G167" i="17"/>
  <c r="N219" i="17"/>
  <c r="U92" i="17" s="1"/>
  <c r="D225" i="17"/>
  <c r="AO90" i="17"/>
  <c r="AW86" i="17"/>
  <c r="AO115" i="17" s="1"/>
  <c r="G203" i="17"/>
  <c r="F203" i="17"/>
  <c r="E203" i="17"/>
  <c r="D203" i="17"/>
  <c r="C203" i="17"/>
  <c r="BJ58" i="17"/>
  <c r="BI39" i="17"/>
  <c r="BJ263" i="17"/>
  <c r="BI64" i="17"/>
  <c r="H142" i="17"/>
  <c r="I142" i="17" s="1"/>
  <c r="C80" i="17"/>
  <c r="N73" i="17"/>
  <c r="T42" i="17" s="1"/>
  <c r="G60" i="17"/>
  <c r="F58" i="17"/>
  <c r="F60" i="17" s="1"/>
  <c r="W26" i="17" s="1"/>
  <c r="W34" i="17" s="1"/>
  <c r="W232" i="17" s="1"/>
  <c r="G491" i="17"/>
  <c r="F491" i="17"/>
  <c r="E491" i="17"/>
  <c r="D491" i="17"/>
  <c r="C491" i="17"/>
  <c r="C520" i="17"/>
  <c r="G520" i="17"/>
  <c r="F520" i="17"/>
  <c r="E520" i="17"/>
  <c r="D520" i="17"/>
  <c r="G515" i="17"/>
  <c r="N512" i="17"/>
  <c r="X192" i="17" s="1"/>
  <c r="N421" i="17"/>
  <c r="T162" i="17" s="1"/>
  <c r="C428" i="17"/>
  <c r="N508" i="17"/>
  <c r="T192" i="17" s="1"/>
  <c r="H522" i="17"/>
  <c r="I522" i="17" s="1"/>
  <c r="C580" i="17"/>
  <c r="G318" i="17"/>
  <c r="F318" i="17"/>
  <c r="E318" i="17"/>
  <c r="D318" i="17"/>
  <c r="C318" i="17"/>
  <c r="J220" i="17"/>
  <c r="N220" i="17"/>
  <c r="V92" i="17" s="1"/>
  <c r="E230" i="17"/>
  <c r="D230" i="17"/>
  <c r="C230" i="17"/>
  <c r="G230" i="17"/>
  <c r="F230" i="17"/>
  <c r="G254" i="17"/>
  <c r="N251" i="17"/>
  <c r="X102" i="17" s="1"/>
  <c r="N367" i="17"/>
  <c r="X142" i="17" s="1"/>
  <c r="G370" i="17"/>
  <c r="D201" i="17"/>
  <c r="C201" i="17"/>
  <c r="G201" i="17"/>
  <c r="F201" i="17"/>
  <c r="E201" i="17"/>
  <c r="G145" i="17"/>
  <c r="F145" i="17"/>
  <c r="E145" i="17"/>
  <c r="D145" i="17"/>
  <c r="C145" i="17"/>
  <c r="AQ95" i="17"/>
  <c r="AR95" i="17" s="1"/>
  <c r="BJ262" i="17"/>
  <c r="BI65" i="17"/>
  <c r="BJ65" i="17" s="1"/>
  <c r="BJ57" i="17"/>
  <c r="BI40" i="17"/>
  <c r="BJ40" i="17" s="1"/>
  <c r="F85" i="17"/>
  <c r="C85" i="17"/>
  <c r="G85" i="17"/>
  <c r="E85" i="17"/>
  <c r="D85" i="17"/>
  <c r="BL65" i="17"/>
  <c r="H27" i="17"/>
  <c r="I27" i="17" s="1"/>
  <c r="BL40" i="17"/>
  <c r="G490" i="17"/>
  <c r="F490" i="17"/>
  <c r="D490" i="17"/>
  <c r="C490" i="17"/>
  <c r="E490" i="17"/>
  <c r="C519" i="17"/>
  <c r="G519" i="17"/>
  <c r="F519" i="17"/>
  <c r="E519" i="17"/>
  <c r="D519" i="17"/>
  <c r="D548" i="17"/>
  <c r="C548" i="17"/>
  <c r="G548" i="17"/>
  <c r="F548" i="17"/>
  <c r="E548" i="17"/>
  <c r="C461" i="17"/>
  <c r="C341" i="17"/>
  <c r="N334" i="17"/>
  <c r="T132" i="17" s="1"/>
  <c r="H345" i="17"/>
  <c r="G317" i="17"/>
  <c r="F317" i="17"/>
  <c r="F321" i="17" s="1"/>
  <c r="W116" i="17" s="1"/>
  <c r="W124" i="17" s="1"/>
  <c r="W241" i="17" s="1"/>
  <c r="E317" i="17"/>
  <c r="D317" i="17"/>
  <c r="C317" i="17"/>
  <c r="C263" i="17"/>
  <c r="T96" i="17" s="1"/>
  <c r="T104" i="17" s="1"/>
  <c r="H258" i="17"/>
  <c r="AL96" i="17"/>
  <c r="N75" i="17"/>
  <c r="V42" i="17" s="1"/>
  <c r="E80" i="17"/>
  <c r="G84" i="17"/>
  <c r="F84" i="17"/>
  <c r="E84" i="17"/>
  <c r="D84" i="17"/>
  <c r="C84" i="17"/>
  <c r="O60" i="17"/>
  <c r="E581" i="17"/>
  <c r="D581" i="17"/>
  <c r="C581" i="17"/>
  <c r="G581" i="17"/>
  <c r="F581" i="17"/>
  <c r="N482" i="17"/>
  <c r="W182" i="17" s="1"/>
  <c r="F486" i="17"/>
  <c r="D579" i="17"/>
  <c r="F403" i="17"/>
  <c r="E403" i="17"/>
  <c r="D403" i="17"/>
  <c r="C403" i="17"/>
  <c r="G403" i="17"/>
  <c r="H433" i="17"/>
  <c r="I433" i="17" s="1"/>
  <c r="E580" i="17"/>
  <c r="D462" i="17"/>
  <c r="G348" i="17"/>
  <c r="F348" i="17"/>
  <c r="E348" i="17"/>
  <c r="D348" i="17"/>
  <c r="C348" i="17"/>
  <c r="O321" i="17"/>
  <c r="H143" i="17"/>
  <c r="I143" i="17" s="1"/>
  <c r="H173" i="17"/>
  <c r="I173" i="17" s="1"/>
  <c r="AM96" i="17"/>
  <c r="E578" i="17"/>
  <c r="D578" i="17"/>
  <c r="C578" i="17"/>
  <c r="G578" i="17"/>
  <c r="F578" i="17"/>
  <c r="G486" i="17"/>
  <c r="N483" i="17"/>
  <c r="X182" i="17" s="1"/>
  <c r="E457" i="17"/>
  <c r="N452" i="17"/>
  <c r="V172" i="17" s="1"/>
  <c r="E579" i="17"/>
  <c r="J363" i="17"/>
  <c r="N363" i="17"/>
  <c r="T142" i="17" s="1"/>
  <c r="H435" i="17"/>
  <c r="I435" i="17" s="1"/>
  <c r="N248" i="17"/>
  <c r="U102" i="17" s="1"/>
  <c r="G144" i="17"/>
  <c r="F144" i="17"/>
  <c r="E144" i="17"/>
  <c r="D144" i="17"/>
  <c r="C144" i="17"/>
  <c r="C147" i="17" s="1"/>
  <c r="N163" i="17"/>
  <c r="W72" i="17" s="1"/>
  <c r="F167" i="17"/>
  <c r="AO97" i="17"/>
  <c r="AQ97" i="17" s="1"/>
  <c r="AN96" i="17"/>
  <c r="C113" i="17"/>
  <c r="G113" i="17"/>
  <c r="F113" i="17"/>
  <c r="E113" i="17"/>
  <c r="D113" i="17"/>
  <c r="H86" i="17"/>
  <c r="I86" i="17" s="1"/>
  <c r="N48" i="17"/>
  <c r="X32" i="17" s="1"/>
  <c r="G51" i="17"/>
  <c r="G28" i="17"/>
  <c r="F28" i="17"/>
  <c r="E28" i="17"/>
  <c r="D28" i="17"/>
  <c r="C28" i="17"/>
  <c r="H497" i="27" l="1"/>
  <c r="H498" i="27"/>
  <c r="D497" i="27"/>
  <c r="D498" i="27"/>
  <c r="E497" i="27"/>
  <c r="E498" i="27"/>
  <c r="F497" i="27"/>
  <c r="F498" i="27"/>
  <c r="G497" i="27"/>
  <c r="G498" i="27"/>
  <c r="G449" i="27"/>
  <c r="G450" i="27"/>
  <c r="H449" i="27"/>
  <c r="H450" i="27"/>
  <c r="D450" i="27"/>
  <c r="D449" i="27"/>
  <c r="E449" i="27"/>
  <c r="E450" i="27"/>
  <c r="F449" i="27"/>
  <c r="F450" i="27"/>
  <c r="H401" i="27"/>
  <c r="H402" i="27"/>
  <c r="G401" i="27"/>
  <c r="G402" i="27"/>
  <c r="D402" i="27"/>
  <c r="D401" i="27"/>
  <c r="E401" i="27"/>
  <c r="E402" i="27"/>
  <c r="F401" i="27"/>
  <c r="F402" i="27"/>
  <c r="G353" i="27"/>
  <c r="G354" i="27"/>
  <c r="E353" i="27"/>
  <c r="E354" i="27"/>
  <c r="F353" i="27"/>
  <c r="F354" i="27"/>
  <c r="D354" i="27"/>
  <c r="D353" i="27"/>
  <c r="H353" i="27"/>
  <c r="H354" i="27"/>
  <c r="G307" i="27"/>
  <c r="G564" i="27"/>
  <c r="D306" i="27"/>
  <c r="D305" i="27"/>
  <c r="F305" i="27"/>
  <c r="F306" i="27"/>
  <c r="H305" i="27"/>
  <c r="H306" i="27"/>
  <c r="E305" i="27"/>
  <c r="E306" i="27"/>
  <c r="F257" i="27"/>
  <c r="F258" i="27"/>
  <c r="D258" i="27"/>
  <c r="D257" i="27"/>
  <c r="H257" i="27"/>
  <c r="H258" i="27"/>
  <c r="E257" i="27"/>
  <c r="E258" i="27"/>
  <c r="G257" i="27"/>
  <c r="G258" i="27"/>
  <c r="F66" i="26"/>
  <c r="W28" i="26"/>
  <c r="U282" i="26"/>
  <c r="U283" i="26" s="1"/>
  <c r="G66" i="26"/>
  <c r="G92" i="26"/>
  <c r="X39" i="26" s="1"/>
  <c r="X282" i="26"/>
  <c r="X283" i="26" s="1"/>
  <c r="J119" i="26"/>
  <c r="AF19" i="26" s="1"/>
  <c r="J117" i="26"/>
  <c r="X51" i="26" s="1"/>
  <c r="J174" i="26"/>
  <c r="W71" i="26" s="1"/>
  <c r="K174" i="26"/>
  <c r="P174" i="26" s="1"/>
  <c r="W70" i="26"/>
  <c r="AA84" i="26"/>
  <c r="F269" i="26"/>
  <c r="W98" i="26"/>
  <c r="F267" i="26"/>
  <c r="U110" i="26"/>
  <c r="D353" i="26"/>
  <c r="U129" i="26" s="1"/>
  <c r="D588" i="26"/>
  <c r="D589" i="26"/>
  <c r="D585" i="26" s="1"/>
  <c r="U209" i="26" s="1"/>
  <c r="G556" i="26"/>
  <c r="X199" i="26" s="1"/>
  <c r="D530" i="26"/>
  <c r="E385" i="26"/>
  <c r="E383" i="26"/>
  <c r="C356" i="26"/>
  <c r="T128" i="26"/>
  <c r="C354" i="26"/>
  <c r="K319" i="26"/>
  <c r="P319" i="26" s="1"/>
  <c r="J322" i="26" s="1"/>
  <c r="AF26" i="26" s="1"/>
  <c r="W118" i="26"/>
  <c r="D324" i="26"/>
  <c r="U119" i="26" s="1"/>
  <c r="G240" i="26"/>
  <c r="E153" i="26"/>
  <c r="E150" i="26" s="1"/>
  <c r="V59" i="26" s="1"/>
  <c r="U275" i="26"/>
  <c r="D121" i="26"/>
  <c r="U49" i="26" s="1"/>
  <c r="U281" i="26"/>
  <c r="F63" i="26"/>
  <c r="W29" i="26" s="1"/>
  <c r="D63" i="26"/>
  <c r="U29" i="26" s="1"/>
  <c r="AO105" i="25"/>
  <c r="AO103" i="25"/>
  <c r="AO111" i="25"/>
  <c r="G34" i="25"/>
  <c r="X19" i="25" s="1"/>
  <c r="T60" i="25"/>
  <c r="E240" i="25"/>
  <c r="V88" i="25"/>
  <c r="F327" i="25"/>
  <c r="W118" i="25"/>
  <c r="F325" i="25"/>
  <c r="D356" i="25"/>
  <c r="F383" i="25"/>
  <c r="G412" i="25"/>
  <c r="C414" i="25"/>
  <c r="C412" i="25"/>
  <c r="T158" i="25"/>
  <c r="G527" i="25"/>
  <c r="X189" i="25" s="1"/>
  <c r="V198" i="25"/>
  <c r="K580" i="25"/>
  <c r="P580" i="25" s="1"/>
  <c r="T188" i="25"/>
  <c r="D498" i="25"/>
  <c r="U179" i="25" s="1"/>
  <c r="F411" i="25"/>
  <c r="W149" i="25" s="1"/>
  <c r="F385" i="25"/>
  <c r="F382" i="25" s="1"/>
  <c r="W139" i="25" s="1"/>
  <c r="W138" i="25"/>
  <c r="D270" i="25"/>
  <c r="D267" i="25"/>
  <c r="U98" i="25"/>
  <c r="D269" i="25"/>
  <c r="J142" i="25"/>
  <c r="T61" i="25" s="1"/>
  <c r="T48" i="25"/>
  <c r="C125" i="25"/>
  <c r="C124" i="25"/>
  <c r="X48" i="24"/>
  <c r="G122" i="24"/>
  <c r="X281" i="24"/>
  <c r="E153" i="24"/>
  <c r="E151" i="24"/>
  <c r="X78" i="24"/>
  <c r="C212" i="24"/>
  <c r="G209" i="24"/>
  <c r="G212" i="24"/>
  <c r="C241" i="24"/>
  <c r="G269" i="24"/>
  <c r="X98" i="24"/>
  <c r="T98" i="24"/>
  <c r="E296" i="24"/>
  <c r="E386" i="24"/>
  <c r="E382" i="24" s="1"/>
  <c r="V139" i="24" s="1"/>
  <c r="E383" i="24"/>
  <c r="E440" i="24"/>
  <c r="V159" i="24" s="1"/>
  <c r="C585" i="24"/>
  <c r="T209" i="24" s="1"/>
  <c r="D530" i="24"/>
  <c r="U188" i="24"/>
  <c r="D531" i="24"/>
  <c r="E414" i="24"/>
  <c r="G385" i="24"/>
  <c r="G386" i="24"/>
  <c r="G383" i="24"/>
  <c r="T108" i="24"/>
  <c r="C299" i="24"/>
  <c r="C298" i="24"/>
  <c r="U98" i="24"/>
  <c r="D270" i="24"/>
  <c r="D266" i="24" s="1"/>
  <c r="U99" i="24" s="1"/>
  <c r="AA84" i="24"/>
  <c r="V58" i="24"/>
  <c r="F121" i="24"/>
  <c r="W49" i="24" s="1"/>
  <c r="G63" i="24"/>
  <c r="X29" i="24" s="1"/>
  <c r="D37" i="24"/>
  <c r="D34" i="24" s="1"/>
  <c r="U19" i="24" s="1"/>
  <c r="D38" i="24"/>
  <c r="D35" i="24"/>
  <c r="G588" i="23"/>
  <c r="E530" i="23"/>
  <c r="E527" i="23" s="1"/>
  <c r="V189" i="23" s="1"/>
  <c r="V190" i="23"/>
  <c r="E415" i="23"/>
  <c r="E411" i="23" s="1"/>
  <c r="V149" i="23" s="1"/>
  <c r="C411" i="23"/>
  <c r="T149" i="23" s="1"/>
  <c r="U130" i="23"/>
  <c r="T128" i="23"/>
  <c r="E296" i="23"/>
  <c r="E299" i="23"/>
  <c r="V108" i="23"/>
  <c r="E298" i="23"/>
  <c r="G211" i="23"/>
  <c r="G208" i="23" s="1"/>
  <c r="X79" i="23" s="1"/>
  <c r="J200" i="23"/>
  <c r="T81" i="23" s="1"/>
  <c r="F183" i="23"/>
  <c r="F95" i="23"/>
  <c r="F93" i="23"/>
  <c r="D151" i="23"/>
  <c r="W58" i="23"/>
  <c r="F151" i="23"/>
  <c r="D154" i="23"/>
  <c r="F121" i="23"/>
  <c r="W49" i="23" s="1"/>
  <c r="AO111" i="21"/>
  <c r="AO105" i="21"/>
  <c r="AO103" i="21"/>
  <c r="AO102" i="21"/>
  <c r="AO112" i="21" s="1"/>
  <c r="AS94" i="21"/>
  <c r="AL114" i="21" s="1"/>
  <c r="AT94" i="21"/>
  <c r="AY94" i="21" s="1"/>
  <c r="AS100" i="21" s="1"/>
  <c r="AS110" i="21" s="1"/>
  <c r="E63" i="21"/>
  <c r="V29" i="21" s="1"/>
  <c r="G121" i="21"/>
  <c r="X49" i="21" s="1"/>
  <c r="E153" i="21"/>
  <c r="V58" i="21"/>
  <c r="E151" i="21"/>
  <c r="E180" i="21"/>
  <c r="V68" i="21"/>
  <c r="V108" i="21"/>
  <c r="E560" i="21"/>
  <c r="V198" i="21"/>
  <c r="F588" i="21"/>
  <c r="W208" i="21"/>
  <c r="C588" i="21"/>
  <c r="T208" i="21"/>
  <c r="C589" i="21"/>
  <c r="D557" i="21"/>
  <c r="F556" i="21"/>
  <c r="W199" i="21" s="1"/>
  <c r="E556" i="21"/>
  <c r="V199" i="21" s="1"/>
  <c r="F501" i="21"/>
  <c r="F498" i="21" s="1"/>
  <c r="W179" i="21" s="1"/>
  <c r="W178" i="21"/>
  <c r="T168" i="21"/>
  <c r="C473" i="21"/>
  <c r="C385" i="21"/>
  <c r="E357" i="21"/>
  <c r="E354" i="21"/>
  <c r="V128" i="21"/>
  <c r="E356" i="21"/>
  <c r="E353" i="21" s="1"/>
  <c r="V129" i="21" s="1"/>
  <c r="V242" i="21"/>
  <c r="AA134" i="21"/>
  <c r="D327" i="21"/>
  <c r="U118" i="21"/>
  <c r="D325" i="21"/>
  <c r="J258" i="21"/>
  <c r="T101" i="21" s="1"/>
  <c r="G240" i="21"/>
  <c r="G237" i="21" s="1"/>
  <c r="X89" i="21" s="1"/>
  <c r="X88" i="21"/>
  <c r="G238" i="21"/>
  <c r="W282" i="21"/>
  <c r="W283" i="21" s="1"/>
  <c r="D150" i="21"/>
  <c r="U59" i="21" s="1"/>
  <c r="E95" i="21"/>
  <c r="E96" i="21"/>
  <c r="F35" i="21"/>
  <c r="G95" i="20"/>
  <c r="G96" i="20"/>
  <c r="V48" i="20"/>
  <c r="E122" i="20"/>
  <c r="W58" i="20"/>
  <c r="F151" i="20"/>
  <c r="F153" i="20"/>
  <c r="G211" i="20"/>
  <c r="G208" i="20" s="1"/>
  <c r="X79" i="20" s="1"/>
  <c r="X78" i="20"/>
  <c r="G209" i="20"/>
  <c r="F266" i="20"/>
  <c r="W99" i="20" s="1"/>
  <c r="E415" i="20"/>
  <c r="C530" i="20"/>
  <c r="F528" i="20"/>
  <c r="C528" i="20"/>
  <c r="W208" i="20"/>
  <c r="F586" i="20"/>
  <c r="D560" i="20"/>
  <c r="D557" i="20"/>
  <c r="W188" i="20"/>
  <c r="W178" i="20"/>
  <c r="J351" i="20"/>
  <c r="AF27" i="20" s="1"/>
  <c r="X38" i="20"/>
  <c r="W28" i="20"/>
  <c r="F66" i="20"/>
  <c r="J56" i="20"/>
  <c r="U31" i="20" s="1"/>
  <c r="U30" i="20"/>
  <c r="K56" i="20"/>
  <c r="P56" i="20" s="1"/>
  <c r="H29" i="18"/>
  <c r="I29" i="18" s="1"/>
  <c r="H114" i="18"/>
  <c r="I114" i="18" s="1"/>
  <c r="K114" i="18" s="1"/>
  <c r="D147" i="18"/>
  <c r="U56" i="18" s="1"/>
  <c r="U64" i="18" s="1"/>
  <c r="U235" i="18" s="1"/>
  <c r="G206" i="18"/>
  <c r="X77" i="18" s="1"/>
  <c r="X85" i="18" s="1"/>
  <c r="E205" i="18"/>
  <c r="V76" i="18" s="1"/>
  <c r="V84" i="18" s="1"/>
  <c r="V237" i="18" s="1"/>
  <c r="X120" i="18"/>
  <c r="H374" i="18"/>
  <c r="I374" i="18" s="1"/>
  <c r="K374" i="18" s="1"/>
  <c r="P374" i="18" s="1"/>
  <c r="P406" i="18"/>
  <c r="K406" i="18"/>
  <c r="C525" i="18"/>
  <c r="T187" i="18" s="1"/>
  <c r="T195" i="18" s="1"/>
  <c r="K550" i="18"/>
  <c r="J550" i="18"/>
  <c r="V201" i="18" s="1"/>
  <c r="H522" i="18"/>
  <c r="I522" i="18" s="1"/>
  <c r="H493" i="18"/>
  <c r="D467" i="18"/>
  <c r="U167" i="18" s="1"/>
  <c r="U175" i="18" s="1"/>
  <c r="H435" i="18"/>
  <c r="I435" i="18" s="1"/>
  <c r="H346" i="18"/>
  <c r="I346" i="18" s="1"/>
  <c r="K346" i="18" s="1"/>
  <c r="P346" i="18" s="1"/>
  <c r="J320" i="18"/>
  <c r="X121" i="18" s="1"/>
  <c r="D205" i="18"/>
  <c r="U76" i="18" s="1"/>
  <c r="U84" i="18" s="1"/>
  <c r="U237" i="18" s="1"/>
  <c r="H172" i="18"/>
  <c r="I172" i="18" s="1"/>
  <c r="F177" i="18"/>
  <c r="W67" i="18" s="1"/>
  <c r="W75" i="18" s="1"/>
  <c r="I116" i="18"/>
  <c r="J116" i="18" s="1"/>
  <c r="W51" i="18" s="1"/>
  <c r="AO99" i="17"/>
  <c r="AO109" i="17" s="1"/>
  <c r="AO117" i="17" s="1"/>
  <c r="G438" i="17"/>
  <c r="X157" i="17" s="1"/>
  <c r="X165" i="17" s="1"/>
  <c r="D438" i="17"/>
  <c r="U157" i="17" s="1"/>
  <c r="U165" i="17" s="1"/>
  <c r="H404" i="17"/>
  <c r="I404" i="17" s="1"/>
  <c r="C379" i="17"/>
  <c r="T136" i="17" s="1"/>
  <c r="T144" i="17" s="1"/>
  <c r="G379" i="17"/>
  <c r="X136" i="17" s="1"/>
  <c r="X144" i="17" s="1"/>
  <c r="X243" i="17" s="1"/>
  <c r="K349" i="17"/>
  <c r="P349" i="17" s="1"/>
  <c r="H288" i="17"/>
  <c r="I288" i="17" s="1"/>
  <c r="D148" i="17"/>
  <c r="U57" i="17" s="1"/>
  <c r="U65" i="17" s="1"/>
  <c r="G147" i="17"/>
  <c r="X56" i="17" s="1"/>
  <c r="X64" i="17" s="1"/>
  <c r="X235" i="17" s="1"/>
  <c r="J57" i="17"/>
  <c r="V31" i="17" s="1"/>
  <c r="H26" i="17"/>
  <c r="I26" i="17" s="1"/>
  <c r="C31" i="17"/>
  <c r="T16" i="17" s="1"/>
  <c r="H523" i="17"/>
  <c r="I523" i="17" s="1"/>
  <c r="F467" i="17"/>
  <c r="W167" i="17" s="1"/>
  <c r="W175" i="17" s="1"/>
  <c r="D439" i="17"/>
  <c r="D379" i="17"/>
  <c r="U136" i="17" s="1"/>
  <c r="U144" i="17" s="1"/>
  <c r="U243" i="17" s="1"/>
  <c r="E350" i="17"/>
  <c r="E352" i="17" s="1"/>
  <c r="H347" i="17"/>
  <c r="I347" i="17" s="1"/>
  <c r="K347" i="17" s="1"/>
  <c r="P347" i="17" s="1"/>
  <c r="J349" i="17"/>
  <c r="X131" i="17" s="1"/>
  <c r="H320" i="17"/>
  <c r="I320" i="17" s="1"/>
  <c r="C322" i="17"/>
  <c r="T117" i="17" s="1"/>
  <c r="T125" i="17" s="1"/>
  <c r="H316" i="17"/>
  <c r="I316" i="17" s="1"/>
  <c r="I175" i="17"/>
  <c r="H172" i="17"/>
  <c r="I172" i="17" s="1"/>
  <c r="H116" i="17"/>
  <c r="K57" i="17"/>
  <c r="P57" i="17" s="1"/>
  <c r="T284" i="17"/>
  <c r="AS117" i="26"/>
  <c r="U208" i="26"/>
  <c r="E588" i="26"/>
  <c r="V208" i="26"/>
  <c r="E586" i="26"/>
  <c r="F588" i="26"/>
  <c r="F585" i="26" s="1"/>
  <c r="W209" i="26" s="1"/>
  <c r="F586" i="26"/>
  <c r="W208" i="26"/>
  <c r="F556" i="26"/>
  <c r="W199" i="26" s="1"/>
  <c r="U188" i="26"/>
  <c r="D531" i="26"/>
  <c r="E498" i="26"/>
  <c r="V179" i="26" s="1"/>
  <c r="D498" i="26"/>
  <c r="U179" i="26" s="1"/>
  <c r="J409" i="26"/>
  <c r="AF29" i="26" s="1"/>
  <c r="G353" i="26"/>
  <c r="X129" i="26" s="1"/>
  <c r="F353" i="26"/>
  <c r="W129" i="26" s="1"/>
  <c r="P233" i="26"/>
  <c r="J235" i="26" s="1"/>
  <c r="AF23" i="26" s="1"/>
  <c r="X90" i="26"/>
  <c r="D238" i="26"/>
  <c r="U88" i="26"/>
  <c r="D240" i="26"/>
  <c r="D237" i="26" s="1"/>
  <c r="U89" i="26" s="1"/>
  <c r="C211" i="26"/>
  <c r="T78" i="26"/>
  <c r="C212" i="26"/>
  <c r="E179" i="26"/>
  <c r="V69" i="26" s="1"/>
  <c r="E34" i="26"/>
  <c r="V19" i="26" s="1"/>
  <c r="E585" i="26"/>
  <c r="V209" i="26" s="1"/>
  <c r="D527" i="26"/>
  <c r="U189" i="26" s="1"/>
  <c r="J525" i="26"/>
  <c r="AF33" i="26" s="1"/>
  <c r="C498" i="26"/>
  <c r="T179" i="26" s="1"/>
  <c r="J438" i="26"/>
  <c r="AF30" i="26" s="1"/>
  <c r="G440" i="26"/>
  <c r="X159" i="26" s="1"/>
  <c r="D440" i="26"/>
  <c r="U159" i="26" s="1"/>
  <c r="J380" i="26"/>
  <c r="AF28" i="26" s="1"/>
  <c r="W120" i="26"/>
  <c r="J319" i="26"/>
  <c r="W121" i="26" s="1"/>
  <c r="E324" i="26"/>
  <c r="V119" i="26" s="1"/>
  <c r="T227" i="26"/>
  <c r="D295" i="26"/>
  <c r="U109" i="26" s="1"/>
  <c r="U224" i="26"/>
  <c r="G237" i="26"/>
  <c r="X89" i="26" s="1"/>
  <c r="G179" i="26"/>
  <c r="X69" i="26" s="1"/>
  <c r="D182" i="26"/>
  <c r="D183" i="26"/>
  <c r="U68" i="26"/>
  <c r="D180" i="26"/>
  <c r="U219" i="26"/>
  <c r="V281" i="26"/>
  <c r="X275" i="26"/>
  <c r="U290" i="26"/>
  <c r="U291" i="26"/>
  <c r="U292" i="26" s="1"/>
  <c r="G121" i="26"/>
  <c r="X49" i="26" s="1"/>
  <c r="C92" i="26"/>
  <c r="T39" i="26" s="1"/>
  <c r="V282" i="26"/>
  <c r="V283" i="26" s="1"/>
  <c r="U223" i="26"/>
  <c r="G34" i="26"/>
  <c r="X19" i="26" s="1"/>
  <c r="J206" i="26"/>
  <c r="AF22" i="26" s="1"/>
  <c r="J90" i="26"/>
  <c r="AF18" i="26" s="1"/>
  <c r="J293" i="26"/>
  <c r="AF25" i="26" s="1"/>
  <c r="F499" i="26"/>
  <c r="F502" i="26"/>
  <c r="F501" i="26"/>
  <c r="W178" i="26"/>
  <c r="E296" i="26"/>
  <c r="E299" i="26"/>
  <c r="V108" i="26"/>
  <c r="E298" i="26"/>
  <c r="E295" i="26" s="1"/>
  <c r="V109" i="26" s="1"/>
  <c r="C183" i="26"/>
  <c r="C180" i="26"/>
  <c r="T68" i="26"/>
  <c r="C182" i="26"/>
  <c r="X219" i="26"/>
  <c r="G151" i="26"/>
  <c r="G154" i="26"/>
  <c r="X58" i="26"/>
  <c r="X278" i="26" s="1"/>
  <c r="G153" i="26"/>
  <c r="F125" i="26"/>
  <c r="F122" i="26"/>
  <c r="W48" i="26"/>
  <c r="F124" i="26"/>
  <c r="F383" i="26"/>
  <c r="F386" i="26"/>
  <c r="F385" i="26"/>
  <c r="W138" i="26"/>
  <c r="G63" i="26"/>
  <c r="X29" i="26" s="1"/>
  <c r="D96" i="26"/>
  <c r="D93" i="26"/>
  <c r="U38" i="26"/>
  <c r="D95" i="26"/>
  <c r="G266" i="26"/>
  <c r="X99" i="26" s="1"/>
  <c r="F238" i="26"/>
  <c r="F241" i="26"/>
  <c r="F240" i="26"/>
  <c r="W88" i="26"/>
  <c r="F209" i="26"/>
  <c r="F212" i="26"/>
  <c r="W78" i="26"/>
  <c r="F211" i="26"/>
  <c r="E209" i="26"/>
  <c r="E212" i="26"/>
  <c r="V78" i="26"/>
  <c r="E211" i="26"/>
  <c r="AM103" i="26"/>
  <c r="AM106" i="26"/>
  <c r="AM111" i="26"/>
  <c r="AM105" i="26"/>
  <c r="G499" i="26"/>
  <c r="G502" i="26"/>
  <c r="G501" i="26"/>
  <c r="X178" i="26"/>
  <c r="AA54" i="26"/>
  <c r="F441" i="26"/>
  <c r="F444" i="26"/>
  <c r="F443" i="26"/>
  <c r="W158" i="26"/>
  <c r="X281" i="26"/>
  <c r="C560" i="26"/>
  <c r="C557" i="26"/>
  <c r="T198" i="26"/>
  <c r="C559" i="26"/>
  <c r="J177" i="26"/>
  <c r="AF21" i="26" s="1"/>
  <c r="F179" i="26"/>
  <c r="W69" i="26" s="1"/>
  <c r="C531" i="26"/>
  <c r="C528" i="26"/>
  <c r="T188" i="26"/>
  <c r="C530" i="26"/>
  <c r="AA144" i="26"/>
  <c r="AA194" i="26"/>
  <c r="K461" i="26"/>
  <c r="P461" i="26" s="1"/>
  <c r="J467" i="26" s="1"/>
  <c r="AF31" i="26" s="1"/>
  <c r="J461" i="26"/>
  <c r="T171" i="26" s="1"/>
  <c r="T170" i="26"/>
  <c r="AA154" i="26"/>
  <c r="E560" i="26"/>
  <c r="E557" i="26"/>
  <c r="V198" i="26"/>
  <c r="E559" i="26"/>
  <c r="E67" i="26"/>
  <c r="E64" i="26"/>
  <c r="V28" i="26"/>
  <c r="E66" i="26"/>
  <c r="G415" i="26"/>
  <c r="G412" i="26"/>
  <c r="X148" i="26"/>
  <c r="G414" i="26"/>
  <c r="T249" i="26"/>
  <c r="AA204" i="26"/>
  <c r="C412" i="26"/>
  <c r="C415" i="26"/>
  <c r="T148" i="26"/>
  <c r="C414" i="26"/>
  <c r="C470" i="26"/>
  <c r="C473" i="26"/>
  <c r="C472" i="26"/>
  <c r="T168" i="26"/>
  <c r="K348" i="26"/>
  <c r="P348" i="26" s="1"/>
  <c r="J351" i="26" s="1"/>
  <c r="AF27" i="26" s="1"/>
  <c r="J348" i="26"/>
  <c r="W131" i="26" s="1"/>
  <c r="W130" i="26"/>
  <c r="W223" i="26" s="1"/>
  <c r="D151" i="26"/>
  <c r="U58" i="26"/>
  <c r="D154" i="26"/>
  <c r="D153" i="26"/>
  <c r="E412" i="26"/>
  <c r="E415" i="26"/>
  <c r="V148" i="26"/>
  <c r="E414" i="26"/>
  <c r="AP103" i="26"/>
  <c r="AP111" i="26"/>
  <c r="AP105" i="26"/>
  <c r="AP106" i="26"/>
  <c r="K55" i="26"/>
  <c r="P55" i="26" s="1"/>
  <c r="J61" i="26" s="1"/>
  <c r="AF17" i="26" s="1"/>
  <c r="T30" i="26"/>
  <c r="J55" i="26"/>
  <c r="T31" i="26" s="1"/>
  <c r="C66" i="26"/>
  <c r="C63" i="26" s="1"/>
  <c r="T29" i="26" s="1"/>
  <c r="F295" i="26"/>
  <c r="W109" i="26" s="1"/>
  <c r="AA64" i="26"/>
  <c r="D34" i="26"/>
  <c r="U19" i="26" s="1"/>
  <c r="J142" i="26"/>
  <c r="T61" i="26" s="1"/>
  <c r="K142" i="26"/>
  <c r="P142" i="26" s="1"/>
  <c r="J148" i="26" s="1"/>
  <c r="AF20" i="26" s="1"/>
  <c r="T60" i="26"/>
  <c r="K260" i="26"/>
  <c r="P260" i="26" s="1"/>
  <c r="J264" i="26" s="1"/>
  <c r="AF24" i="26" s="1"/>
  <c r="J260" i="26"/>
  <c r="V101" i="26" s="1"/>
  <c r="V100" i="26"/>
  <c r="E270" i="26"/>
  <c r="E267" i="26"/>
  <c r="V98" i="26"/>
  <c r="E269" i="26"/>
  <c r="AL113" i="26"/>
  <c r="AT94" i="26"/>
  <c r="AY94" i="26" s="1"/>
  <c r="AS94" i="26"/>
  <c r="AL114" i="26" s="1"/>
  <c r="F531" i="26"/>
  <c r="F528" i="26"/>
  <c r="W188" i="26"/>
  <c r="F530" i="26"/>
  <c r="C237" i="26"/>
  <c r="T89" i="26" s="1"/>
  <c r="F415" i="26"/>
  <c r="F412" i="26"/>
  <c r="W148" i="26"/>
  <c r="F414" i="26"/>
  <c r="G589" i="26"/>
  <c r="G586" i="26"/>
  <c r="X208" i="26"/>
  <c r="G588" i="26"/>
  <c r="D412" i="26"/>
  <c r="D415" i="26"/>
  <c r="U148" i="26"/>
  <c r="D414" i="26"/>
  <c r="C121" i="26"/>
  <c r="T49" i="26" s="1"/>
  <c r="V219" i="26"/>
  <c r="AZ22" i="26"/>
  <c r="BA20" i="26"/>
  <c r="BB14" i="26"/>
  <c r="AX22" i="26"/>
  <c r="BB17" i="26"/>
  <c r="AY16" i="26"/>
  <c r="BC23" i="26"/>
  <c r="BC18" i="26"/>
  <c r="AX23" i="26"/>
  <c r="BC21" i="26"/>
  <c r="AZ21" i="26"/>
  <c r="BB13" i="26"/>
  <c r="AX19" i="26"/>
  <c r="AY17" i="26"/>
  <c r="BA22" i="26"/>
  <c r="AY18" i="26"/>
  <c r="BC19" i="26"/>
  <c r="BA17" i="26"/>
  <c r="BC15" i="26"/>
  <c r="AY20" i="26"/>
  <c r="BC16" i="26"/>
  <c r="BA16" i="26"/>
  <c r="AZ13" i="26"/>
  <c r="BC14" i="26"/>
  <c r="BA18" i="26"/>
  <c r="AY15" i="26"/>
  <c r="AZ19" i="26"/>
  <c r="BB23" i="26"/>
  <c r="AX13" i="26"/>
  <c r="BA15" i="26"/>
  <c r="AY14" i="26"/>
  <c r="AY21" i="26"/>
  <c r="BC20" i="26"/>
  <c r="AY23" i="26"/>
  <c r="BA14" i="26"/>
  <c r="BA13" i="26"/>
  <c r="BB19" i="26"/>
  <c r="Z275" i="26"/>
  <c r="AZ17" i="26"/>
  <c r="BB22" i="26"/>
  <c r="AY22" i="26"/>
  <c r="BB21" i="26"/>
  <c r="AZ16" i="26"/>
  <c r="BB20" i="26"/>
  <c r="AY13" i="26"/>
  <c r="AZ20" i="26"/>
  <c r="AX20" i="26"/>
  <c r="AX18" i="26"/>
  <c r="BC13" i="26"/>
  <c r="AY19" i="26"/>
  <c r="AX16" i="26"/>
  <c r="BB18" i="26"/>
  <c r="AZ18" i="26"/>
  <c r="BB16" i="26"/>
  <c r="AX21" i="26"/>
  <c r="BA23" i="26"/>
  <c r="AZ23" i="26"/>
  <c r="AX17" i="26"/>
  <c r="AZ15" i="26"/>
  <c r="AX15" i="26"/>
  <c r="BA19" i="26"/>
  <c r="BA21" i="26"/>
  <c r="BC22" i="26"/>
  <c r="BB15" i="26"/>
  <c r="AZ14" i="26"/>
  <c r="AX14" i="26"/>
  <c r="BC17" i="26"/>
  <c r="V227" i="26"/>
  <c r="K577" i="26"/>
  <c r="P577" i="26" s="1"/>
  <c r="J583" i="26" s="1"/>
  <c r="AF35" i="26" s="1"/>
  <c r="J577" i="26"/>
  <c r="T211" i="26" s="1"/>
  <c r="T210" i="26"/>
  <c r="G296" i="26"/>
  <c r="G299" i="26"/>
  <c r="X108" i="26"/>
  <c r="G298" i="26"/>
  <c r="U278" i="26"/>
  <c r="G383" i="26"/>
  <c r="G386" i="26"/>
  <c r="G385" i="26"/>
  <c r="X138" i="26"/>
  <c r="E528" i="26"/>
  <c r="E531" i="26"/>
  <c r="V188" i="26"/>
  <c r="E530" i="26"/>
  <c r="E527" i="26" s="1"/>
  <c r="V189" i="26" s="1"/>
  <c r="C208" i="26"/>
  <c r="T79" i="26" s="1"/>
  <c r="E92" i="26"/>
  <c r="V39" i="26" s="1"/>
  <c r="C440" i="26"/>
  <c r="T159" i="26" s="1"/>
  <c r="AA94" i="26"/>
  <c r="T219" i="26"/>
  <c r="K492" i="26"/>
  <c r="P492" i="26" s="1"/>
  <c r="J496" i="26" s="1"/>
  <c r="AF32" i="26" s="1"/>
  <c r="J492" i="26"/>
  <c r="V181" i="26" s="1"/>
  <c r="V180" i="26"/>
  <c r="V223" i="26" s="1"/>
  <c r="D212" i="26"/>
  <c r="D209" i="26"/>
  <c r="U78" i="26"/>
  <c r="D211" i="26"/>
  <c r="T236" i="26"/>
  <c r="AA74" i="26"/>
  <c r="E241" i="26"/>
  <c r="E238" i="26"/>
  <c r="V88" i="26"/>
  <c r="E240" i="26"/>
  <c r="E470" i="26"/>
  <c r="E473" i="26"/>
  <c r="V168" i="26"/>
  <c r="E472" i="26"/>
  <c r="C267" i="26"/>
  <c r="C270" i="26"/>
  <c r="T98" i="26"/>
  <c r="C269" i="26"/>
  <c r="C589" i="26"/>
  <c r="C586" i="26"/>
  <c r="T208" i="26"/>
  <c r="C588" i="26"/>
  <c r="K552" i="26"/>
  <c r="P552" i="26" s="1"/>
  <c r="J554" i="26" s="1"/>
  <c r="AF34" i="26" s="1"/>
  <c r="J552" i="26"/>
  <c r="X201" i="26" s="1"/>
  <c r="X224" i="26" s="1"/>
  <c r="X200" i="26"/>
  <c r="X223" i="26" s="1"/>
  <c r="U227" i="26"/>
  <c r="G531" i="26"/>
  <c r="G528" i="26"/>
  <c r="X188" i="26"/>
  <c r="G530" i="26"/>
  <c r="C353" i="26"/>
  <c r="T129" i="26" s="1"/>
  <c r="C383" i="26"/>
  <c r="C386" i="26"/>
  <c r="T138" i="26"/>
  <c r="C385" i="26"/>
  <c r="AL106" i="26"/>
  <c r="AL111" i="26"/>
  <c r="AL103" i="26"/>
  <c r="AL105" i="26"/>
  <c r="D470" i="26"/>
  <c r="D473" i="26"/>
  <c r="U168" i="26"/>
  <c r="D472" i="26"/>
  <c r="C299" i="26"/>
  <c r="C296" i="26"/>
  <c r="T108" i="26"/>
  <c r="C298" i="26"/>
  <c r="AO103" i="26"/>
  <c r="AO106" i="26"/>
  <c r="AO111" i="26"/>
  <c r="AO105" i="26"/>
  <c r="T239" i="26"/>
  <c r="AA104" i="26"/>
  <c r="F151" i="26"/>
  <c r="F153" i="26"/>
  <c r="F154" i="26"/>
  <c r="W58" i="26"/>
  <c r="T282" i="26"/>
  <c r="T283" i="26" s="1"/>
  <c r="E125" i="26"/>
  <c r="E122" i="26"/>
  <c r="V48" i="26"/>
  <c r="E124" i="26"/>
  <c r="F34" i="26"/>
  <c r="W19" i="26" s="1"/>
  <c r="D386" i="26"/>
  <c r="D383" i="26"/>
  <c r="U138" i="26"/>
  <c r="D385" i="26"/>
  <c r="T240" i="26"/>
  <c r="AA114" i="26"/>
  <c r="G473" i="26"/>
  <c r="G470" i="26"/>
  <c r="X168" i="26"/>
  <c r="G472" i="26"/>
  <c r="D556" i="26"/>
  <c r="U199" i="26" s="1"/>
  <c r="C324" i="26"/>
  <c r="T119" i="26" s="1"/>
  <c r="F266" i="26"/>
  <c r="W99" i="26" s="1"/>
  <c r="AA174" i="26"/>
  <c r="F324" i="26"/>
  <c r="W119" i="26" s="1"/>
  <c r="F93" i="26"/>
  <c r="F96" i="26"/>
  <c r="W38" i="26"/>
  <c r="W278" i="26" s="1"/>
  <c r="F95" i="26"/>
  <c r="C154" i="26"/>
  <c r="C151" i="26"/>
  <c r="C153" i="26"/>
  <c r="T58" i="26"/>
  <c r="T278" i="26" s="1"/>
  <c r="X227" i="26"/>
  <c r="X291" i="26"/>
  <c r="X292" i="26" s="1"/>
  <c r="X290" i="26"/>
  <c r="X231" i="26"/>
  <c r="F470" i="26"/>
  <c r="F473" i="26"/>
  <c r="W168" i="26"/>
  <c r="F472" i="26"/>
  <c r="AN111" i="26"/>
  <c r="AN106" i="26"/>
  <c r="AN103" i="26"/>
  <c r="AN105" i="26"/>
  <c r="E382" i="26"/>
  <c r="V139" i="26" s="1"/>
  <c r="AA184" i="26"/>
  <c r="D266" i="26"/>
  <c r="U99" i="26" s="1"/>
  <c r="W44" i="26"/>
  <c r="W219" i="26"/>
  <c r="W275" i="26"/>
  <c r="AO102" i="25"/>
  <c r="AO112" i="25" s="1"/>
  <c r="E560" i="25"/>
  <c r="E556" i="25" s="1"/>
  <c r="V199" i="25" s="1"/>
  <c r="C531" i="25"/>
  <c r="C527" i="25" s="1"/>
  <c r="T189" i="25" s="1"/>
  <c r="E498" i="25"/>
  <c r="V179" i="25" s="1"/>
  <c r="D469" i="25"/>
  <c r="U169" i="25" s="1"/>
  <c r="G414" i="25"/>
  <c r="G411" i="25" s="1"/>
  <c r="X149" i="25" s="1"/>
  <c r="X148" i="25"/>
  <c r="C382" i="25"/>
  <c r="T139" i="25" s="1"/>
  <c r="D354" i="25"/>
  <c r="C353" i="25"/>
  <c r="T129" i="25" s="1"/>
  <c r="T70" i="25"/>
  <c r="F125" i="25"/>
  <c r="U224" i="25"/>
  <c r="K55" i="25"/>
  <c r="V28" i="25"/>
  <c r="G63" i="25"/>
  <c r="X29" i="25" s="1"/>
  <c r="C34" i="25"/>
  <c r="T19" i="25" s="1"/>
  <c r="E34" i="25"/>
  <c r="V19" i="25" s="1"/>
  <c r="G585" i="25"/>
  <c r="X209" i="25" s="1"/>
  <c r="C585" i="25"/>
  <c r="T209" i="25" s="1"/>
  <c r="E557" i="25"/>
  <c r="AA194" i="25"/>
  <c r="F498" i="25"/>
  <c r="W179" i="25" s="1"/>
  <c r="E440" i="25"/>
  <c r="V159" i="25" s="1"/>
  <c r="J438" i="25"/>
  <c r="AF30" i="25" s="1"/>
  <c r="C411" i="25"/>
  <c r="T149" i="25" s="1"/>
  <c r="BB22" i="25"/>
  <c r="G382" i="25"/>
  <c r="X139" i="25" s="1"/>
  <c r="F353" i="25"/>
  <c r="W129" i="25" s="1"/>
  <c r="G356" i="25"/>
  <c r="G353" i="25" s="1"/>
  <c r="X129" i="25" s="1"/>
  <c r="X128" i="25"/>
  <c r="G354" i="25"/>
  <c r="BA20" i="25"/>
  <c r="J322" i="25"/>
  <c r="AF26" i="25" s="1"/>
  <c r="C295" i="25"/>
  <c r="T109" i="25" s="1"/>
  <c r="F266" i="25"/>
  <c r="W99" i="25" s="1"/>
  <c r="J235" i="25"/>
  <c r="AF23" i="25" s="1"/>
  <c r="F208" i="25"/>
  <c r="W79" i="25" s="1"/>
  <c r="J148" i="25"/>
  <c r="AF20" i="25" s="1"/>
  <c r="F122" i="25"/>
  <c r="AY20" i="25"/>
  <c r="BC15" i="25"/>
  <c r="U223" i="25"/>
  <c r="BB13" i="25"/>
  <c r="BC20" i="25"/>
  <c r="F124" i="25"/>
  <c r="F121" i="25" s="1"/>
  <c r="W49" i="25" s="1"/>
  <c r="BC19" i="25"/>
  <c r="J84" i="25"/>
  <c r="T41" i="25" s="1"/>
  <c r="K84" i="25"/>
  <c r="P84" i="25" s="1"/>
  <c r="J90" i="25" s="1"/>
  <c r="AF18" i="25" s="1"/>
  <c r="P55" i="25"/>
  <c r="J55" i="25"/>
  <c r="T31" i="25" s="1"/>
  <c r="E64" i="25"/>
  <c r="F34" i="25"/>
  <c r="W19" i="25" s="1"/>
  <c r="D34" i="25"/>
  <c r="U19" i="25" s="1"/>
  <c r="J554" i="25"/>
  <c r="AF34" i="25" s="1"/>
  <c r="J206" i="25"/>
  <c r="AF22" i="25" s="1"/>
  <c r="F183" i="25"/>
  <c r="F182" i="25"/>
  <c r="F180" i="25"/>
  <c r="W68" i="25"/>
  <c r="AY15" i="25"/>
  <c r="W28" i="25"/>
  <c r="F64" i="25"/>
  <c r="F67" i="25"/>
  <c r="F66" i="25"/>
  <c r="J583" i="25"/>
  <c r="AF35" i="25" s="1"/>
  <c r="W38" i="25"/>
  <c r="F96" i="25"/>
  <c r="F93" i="25"/>
  <c r="F95" i="25"/>
  <c r="V243" i="25"/>
  <c r="AA144" i="25"/>
  <c r="AL111" i="25"/>
  <c r="AL103" i="25"/>
  <c r="AL106" i="25"/>
  <c r="AL105" i="25"/>
  <c r="T238" i="25"/>
  <c r="AA94" i="25"/>
  <c r="V281" i="25"/>
  <c r="V223" i="25"/>
  <c r="E415" i="25"/>
  <c r="E412" i="25"/>
  <c r="V148" i="25"/>
  <c r="E414" i="25"/>
  <c r="G444" i="25"/>
  <c r="G441" i="25"/>
  <c r="G443" i="25"/>
  <c r="X158" i="25"/>
  <c r="E93" i="25"/>
  <c r="V38" i="25"/>
  <c r="E96" i="25"/>
  <c r="E95" i="25"/>
  <c r="BA14" i="25"/>
  <c r="BC16" i="25"/>
  <c r="BC22" i="25"/>
  <c r="BC18" i="25"/>
  <c r="BC17" i="25"/>
  <c r="C499" i="25"/>
  <c r="C502" i="25"/>
  <c r="T178" i="25"/>
  <c r="C501" i="25"/>
  <c r="F238" i="25"/>
  <c r="F241" i="25"/>
  <c r="W88" i="25"/>
  <c r="F240" i="25"/>
  <c r="E386" i="25"/>
  <c r="E383" i="25"/>
  <c r="V138" i="25"/>
  <c r="E385" i="25"/>
  <c r="T28" i="25"/>
  <c r="C64" i="25"/>
  <c r="C67" i="25"/>
  <c r="C66" i="25"/>
  <c r="AY17" i="25"/>
  <c r="D64" i="25"/>
  <c r="D67" i="25"/>
  <c r="U28" i="25"/>
  <c r="D66" i="25"/>
  <c r="W34" i="25"/>
  <c r="W275" i="25"/>
  <c r="W219" i="25"/>
  <c r="C212" i="25"/>
  <c r="C209" i="25"/>
  <c r="T78" i="25"/>
  <c r="C211" i="25"/>
  <c r="G183" i="25"/>
  <c r="G182" i="25"/>
  <c r="G180" i="25"/>
  <c r="X68" i="25"/>
  <c r="F154" i="25"/>
  <c r="F151" i="25"/>
  <c r="W58" i="25"/>
  <c r="F153" i="25"/>
  <c r="V282" i="25"/>
  <c r="V283" i="25" s="1"/>
  <c r="V224" i="25"/>
  <c r="G96" i="25"/>
  <c r="X38" i="25"/>
  <c r="G93" i="25"/>
  <c r="G95" i="25"/>
  <c r="D560" i="25"/>
  <c r="D559" i="25"/>
  <c r="D557" i="25"/>
  <c r="U198" i="25"/>
  <c r="J496" i="25"/>
  <c r="AF32" i="25" s="1"/>
  <c r="C96" i="25"/>
  <c r="C93" i="25"/>
  <c r="C95" i="25"/>
  <c r="T38" i="25"/>
  <c r="V44" i="25"/>
  <c r="V219" i="25"/>
  <c r="BA18" i="25"/>
  <c r="AY13" i="25"/>
  <c r="AY23" i="25"/>
  <c r="AX20" i="25"/>
  <c r="AY19" i="25"/>
  <c r="AX23" i="25"/>
  <c r="U34" i="25"/>
  <c r="U219" i="25"/>
  <c r="U275" i="25"/>
  <c r="D238" i="25"/>
  <c r="D241" i="25"/>
  <c r="U88" i="25"/>
  <c r="D240" i="25"/>
  <c r="D151" i="25"/>
  <c r="D154" i="25"/>
  <c r="U58" i="25"/>
  <c r="D153" i="25"/>
  <c r="T237" i="25"/>
  <c r="AA84" i="25"/>
  <c r="AN106" i="25"/>
  <c r="AN111" i="25"/>
  <c r="AN103" i="25"/>
  <c r="AN105" i="25"/>
  <c r="G560" i="25"/>
  <c r="G557" i="25"/>
  <c r="G559" i="25"/>
  <c r="X198" i="25"/>
  <c r="X44" i="25"/>
  <c r="X275" i="25"/>
  <c r="X219" i="25"/>
  <c r="C183" i="25"/>
  <c r="C180" i="25"/>
  <c r="T68" i="25"/>
  <c r="C182" i="25"/>
  <c r="D531" i="25"/>
  <c r="D528" i="25"/>
  <c r="U188" i="25"/>
  <c r="D530" i="25"/>
  <c r="F585" i="25"/>
  <c r="W209" i="25" s="1"/>
  <c r="K345" i="25"/>
  <c r="P345" i="25" s="1"/>
  <c r="J351" i="25" s="1"/>
  <c r="AF27" i="25" s="1"/>
  <c r="J345" i="25"/>
  <c r="T131" i="25" s="1"/>
  <c r="T130" i="25"/>
  <c r="AY21" i="25"/>
  <c r="AX14" i="25"/>
  <c r="BA15" i="25"/>
  <c r="BB14" i="25"/>
  <c r="BA21" i="25"/>
  <c r="BB20" i="25"/>
  <c r="C557" i="25"/>
  <c r="T198" i="25"/>
  <c r="C560" i="25"/>
  <c r="C559" i="25"/>
  <c r="E324" i="25"/>
  <c r="V119" i="25" s="1"/>
  <c r="E237" i="25"/>
  <c r="V89" i="25" s="1"/>
  <c r="D411" i="25"/>
  <c r="U149" i="25" s="1"/>
  <c r="AA64" i="25"/>
  <c r="D93" i="25"/>
  <c r="U38" i="25"/>
  <c r="D96" i="25"/>
  <c r="D95" i="25"/>
  <c r="AY14" i="25"/>
  <c r="AZ17" i="25"/>
  <c r="AY22" i="25"/>
  <c r="BB15" i="25"/>
  <c r="BA23" i="25"/>
  <c r="BC13" i="25"/>
  <c r="AL113" i="25"/>
  <c r="AT94" i="25"/>
  <c r="AY94" i="25" s="1"/>
  <c r="AS100" i="25" s="1"/>
  <c r="AS110" i="25" s="1"/>
  <c r="AS94" i="25"/>
  <c r="AL114" i="25" s="1"/>
  <c r="AY16" i="25"/>
  <c r="F556" i="25"/>
  <c r="W199" i="25" s="1"/>
  <c r="D440" i="25"/>
  <c r="U159" i="25" s="1"/>
  <c r="G328" i="25"/>
  <c r="G325" i="25"/>
  <c r="X118" i="25"/>
  <c r="G327" i="25"/>
  <c r="AA214" i="25"/>
  <c r="D386" i="25"/>
  <c r="D383" i="25"/>
  <c r="U138" i="25"/>
  <c r="D385" i="25"/>
  <c r="AX18" i="25"/>
  <c r="BA19" i="25"/>
  <c r="BA22" i="25"/>
  <c r="AX17" i="25"/>
  <c r="BB23" i="25"/>
  <c r="AZ16" i="25"/>
  <c r="C238" i="25"/>
  <c r="C241" i="25"/>
  <c r="T88" i="25"/>
  <c r="C240" i="25"/>
  <c r="BC21" i="25"/>
  <c r="E151" i="25"/>
  <c r="E153" i="25"/>
  <c r="E154" i="25"/>
  <c r="V58" i="25"/>
  <c r="K113" i="25"/>
  <c r="P113" i="25" s="1"/>
  <c r="J119" i="25" s="1"/>
  <c r="AF19" i="25" s="1"/>
  <c r="J113" i="25"/>
  <c r="T51" i="25" s="1"/>
  <c r="T50" i="25"/>
  <c r="T281" i="25" s="1"/>
  <c r="AP111" i="25"/>
  <c r="AP106" i="25"/>
  <c r="AP103" i="25"/>
  <c r="AP105" i="25"/>
  <c r="T219" i="25"/>
  <c r="AM111" i="25"/>
  <c r="AM106" i="25"/>
  <c r="AM103" i="25"/>
  <c r="AM105" i="25"/>
  <c r="J61" i="25"/>
  <c r="AF17" i="25" s="1"/>
  <c r="BB19" i="25"/>
  <c r="BA17" i="25"/>
  <c r="AZ13" i="25"/>
  <c r="BB18" i="25"/>
  <c r="BA13" i="25"/>
  <c r="AZ19" i="25"/>
  <c r="G125" i="25"/>
  <c r="G122" i="25"/>
  <c r="X48" i="25"/>
  <c r="G124" i="25"/>
  <c r="K30" i="25"/>
  <c r="P30" i="25" s="1"/>
  <c r="J32" i="25" s="1"/>
  <c r="AF16" i="25" s="1"/>
  <c r="J30" i="25"/>
  <c r="X21" i="25" s="1"/>
  <c r="X20" i="25"/>
  <c r="AA74" i="25"/>
  <c r="AZ20" i="25"/>
  <c r="BA16" i="25"/>
  <c r="AZ22" i="25"/>
  <c r="AZ21" i="25"/>
  <c r="AX16" i="25"/>
  <c r="E531" i="25"/>
  <c r="E528" i="25"/>
  <c r="V188" i="25"/>
  <c r="E530" i="25"/>
  <c r="D325" i="25"/>
  <c r="D328" i="25"/>
  <c r="U118" i="25"/>
  <c r="D327" i="25"/>
  <c r="G154" i="25"/>
  <c r="G151" i="25"/>
  <c r="X58" i="25"/>
  <c r="G153" i="25"/>
  <c r="K403" i="25"/>
  <c r="P403" i="25" s="1"/>
  <c r="J409" i="25" s="1"/>
  <c r="AF29" i="25" s="1"/>
  <c r="J403" i="25"/>
  <c r="T151" i="25" s="1"/>
  <c r="T150" i="25"/>
  <c r="C469" i="25"/>
  <c r="T169" i="25" s="1"/>
  <c r="D353" i="25"/>
  <c r="U129" i="25" s="1"/>
  <c r="D183" i="25"/>
  <c r="D182" i="25"/>
  <c r="D180" i="25"/>
  <c r="U68" i="25"/>
  <c r="D208" i="25"/>
  <c r="U79" i="25" s="1"/>
  <c r="G499" i="25"/>
  <c r="G502" i="25"/>
  <c r="X178" i="25"/>
  <c r="G501" i="25"/>
  <c r="T227" i="25"/>
  <c r="E180" i="25"/>
  <c r="E183" i="25"/>
  <c r="E182" i="25"/>
  <c r="V68" i="25"/>
  <c r="BB21" i="25"/>
  <c r="AX15" i="25"/>
  <c r="AZ15" i="25"/>
  <c r="AZ23" i="25"/>
  <c r="BB17" i="25"/>
  <c r="AX22" i="25"/>
  <c r="E357" i="25"/>
  <c r="E354" i="25"/>
  <c r="V128" i="25"/>
  <c r="E356" i="25"/>
  <c r="K519" i="25"/>
  <c r="P519" i="25" s="1"/>
  <c r="J525" i="25" s="1"/>
  <c r="AF33" i="25" s="1"/>
  <c r="J519" i="25"/>
  <c r="T191" i="25" s="1"/>
  <c r="T190" i="25"/>
  <c r="C325" i="25"/>
  <c r="C328" i="25"/>
  <c r="T118" i="25"/>
  <c r="C327" i="25"/>
  <c r="D589" i="25"/>
  <c r="D586" i="25"/>
  <c r="U208" i="25"/>
  <c r="D588" i="25"/>
  <c r="G208" i="25"/>
  <c r="X79" i="25" s="1"/>
  <c r="D295" i="25"/>
  <c r="U109" i="25" s="1"/>
  <c r="W281" i="25"/>
  <c r="W223" i="25"/>
  <c r="E585" i="25"/>
  <c r="V209" i="25" s="1"/>
  <c r="D122" i="25"/>
  <c r="D125" i="25"/>
  <c r="U48" i="25"/>
  <c r="D124" i="25"/>
  <c r="V275" i="25"/>
  <c r="F324" i="25"/>
  <c r="W119" i="25" s="1"/>
  <c r="F528" i="25"/>
  <c r="F531" i="25"/>
  <c r="W188" i="25"/>
  <c r="F530" i="25"/>
  <c r="E469" i="25"/>
  <c r="V169" i="25" s="1"/>
  <c r="E63" i="25"/>
  <c r="V29" i="25" s="1"/>
  <c r="AZ14" i="25"/>
  <c r="BB16" i="25"/>
  <c r="AZ18" i="25"/>
  <c r="AX13" i="25"/>
  <c r="AX19" i="25"/>
  <c r="Z275" i="25"/>
  <c r="E212" i="25"/>
  <c r="E209" i="25"/>
  <c r="E211" i="25"/>
  <c r="V78" i="25"/>
  <c r="E122" i="25"/>
  <c r="E125" i="25"/>
  <c r="V48" i="25"/>
  <c r="E124" i="25"/>
  <c r="E121" i="25" s="1"/>
  <c r="V49" i="25" s="1"/>
  <c r="G238" i="25"/>
  <c r="G241" i="25"/>
  <c r="X88" i="25"/>
  <c r="G240" i="25"/>
  <c r="G266" i="25"/>
  <c r="X99" i="25" s="1"/>
  <c r="W282" i="25"/>
  <c r="W283" i="25" s="1"/>
  <c r="W224" i="25"/>
  <c r="C151" i="25"/>
  <c r="C154" i="25"/>
  <c r="T58" i="25"/>
  <c r="C153" i="25"/>
  <c r="C150" i="25" s="1"/>
  <c r="T59" i="25" s="1"/>
  <c r="AA204" i="25"/>
  <c r="T249" i="25"/>
  <c r="C440" i="25"/>
  <c r="T159" i="25" s="1"/>
  <c r="AY18" i="25"/>
  <c r="BC23" i="25"/>
  <c r="AX21" i="25"/>
  <c r="BC14" i="25"/>
  <c r="AN102" i="24"/>
  <c r="AN112" i="24" s="1"/>
  <c r="AO105" i="24"/>
  <c r="AO103" i="24"/>
  <c r="AO106" i="24"/>
  <c r="AO102" i="24" s="1"/>
  <c r="AO112" i="24" s="1"/>
  <c r="AY94" i="24"/>
  <c r="AS100" i="24" s="1"/>
  <c r="AS110" i="24" s="1"/>
  <c r="D527" i="24"/>
  <c r="U189" i="24" s="1"/>
  <c r="F498" i="24"/>
  <c r="W179" i="24" s="1"/>
  <c r="E411" i="24"/>
  <c r="V149" i="24" s="1"/>
  <c r="V148" i="24"/>
  <c r="E412" i="24"/>
  <c r="J380" i="24"/>
  <c r="AF28" i="24" s="1"/>
  <c r="C354" i="24"/>
  <c r="AA124" i="24"/>
  <c r="E298" i="24"/>
  <c r="E295" i="24" s="1"/>
  <c r="V109" i="24" s="1"/>
  <c r="X108" i="24"/>
  <c r="K289" i="24"/>
  <c r="P289" i="24" s="1"/>
  <c r="J293" i="24" s="1"/>
  <c r="AF25" i="24" s="1"/>
  <c r="V108" i="24"/>
  <c r="G298" i="24"/>
  <c r="G295" i="24" s="1"/>
  <c r="X109" i="24" s="1"/>
  <c r="C269" i="24"/>
  <c r="C266" i="24" s="1"/>
  <c r="T99" i="24" s="1"/>
  <c r="J229" i="24"/>
  <c r="T91" i="24" s="1"/>
  <c r="T68" i="24"/>
  <c r="D124" i="24"/>
  <c r="D121" i="24" s="1"/>
  <c r="U49" i="24" s="1"/>
  <c r="U48" i="24"/>
  <c r="D125" i="24"/>
  <c r="C121" i="24"/>
  <c r="T49" i="24" s="1"/>
  <c r="F585" i="24"/>
  <c r="W209" i="24" s="1"/>
  <c r="J525" i="24"/>
  <c r="AF33" i="24" s="1"/>
  <c r="F527" i="24"/>
  <c r="W189" i="24" s="1"/>
  <c r="G498" i="24"/>
  <c r="X179" i="24" s="1"/>
  <c r="C440" i="24"/>
  <c r="T159" i="24" s="1"/>
  <c r="AA154" i="24"/>
  <c r="C382" i="24"/>
  <c r="T139" i="24" s="1"/>
  <c r="BC21" i="24"/>
  <c r="D353" i="24"/>
  <c r="U129" i="24" s="1"/>
  <c r="AA134" i="24"/>
  <c r="BC23" i="24"/>
  <c r="V110" i="24"/>
  <c r="V223" i="24" s="1"/>
  <c r="X224" i="24"/>
  <c r="C238" i="24"/>
  <c r="D208" i="24"/>
  <c r="U79" i="24" s="1"/>
  <c r="X223" i="24"/>
  <c r="BB15" i="24"/>
  <c r="BA21" i="24"/>
  <c r="C182" i="24"/>
  <c r="C179" i="24" s="1"/>
  <c r="T69" i="24" s="1"/>
  <c r="C183" i="24"/>
  <c r="U227" i="24"/>
  <c r="AX18" i="24"/>
  <c r="X282" i="24"/>
  <c r="X283" i="24" s="1"/>
  <c r="BC13" i="24"/>
  <c r="AX21" i="24"/>
  <c r="W275" i="24"/>
  <c r="AA44" i="24"/>
  <c r="W219" i="24"/>
  <c r="W18" i="24"/>
  <c r="F37" i="24"/>
  <c r="F34" i="24" s="1"/>
  <c r="W19" i="24" s="1"/>
  <c r="F35" i="24"/>
  <c r="C34" i="24"/>
  <c r="T19" i="24" s="1"/>
  <c r="J119" i="24"/>
  <c r="AF19" i="24" s="1"/>
  <c r="J351" i="24"/>
  <c r="AF27" i="24" s="1"/>
  <c r="J206" i="24"/>
  <c r="AF22" i="24" s="1"/>
  <c r="T248" i="24"/>
  <c r="AA194" i="24"/>
  <c r="U40" i="24"/>
  <c r="U281" i="24" s="1"/>
  <c r="K85" i="24"/>
  <c r="J85" i="24"/>
  <c r="U41" i="24" s="1"/>
  <c r="U282" i="24" s="1"/>
  <c r="U283" i="24" s="1"/>
  <c r="P85" i="24"/>
  <c r="J90" i="24" s="1"/>
  <c r="AF18" i="24" s="1"/>
  <c r="F382" i="24"/>
  <c r="W139" i="24" s="1"/>
  <c r="G473" i="24"/>
  <c r="G470" i="24"/>
  <c r="X168" i="24"/>
  <c r="G472" i="24"/>
  <c r="G531" i="24"/>
  <c r="G528" i="24"/>
  <c r="G530" i="24"/>
  <c r="X188" i="24"/>
  <c r="F469" i="24"/>
  <c r="W169" i="24" s="1"/>
  <c r="F93" i="24"/>
  <c r="F95" i="24"/>
  <c r="F96" i="24"/>
  <c r="W38" i="24"/>
  <c r="W278" i="24" s="1"/>
  <c r="E469" i="24"/>
  <c r="V169" i="24" s="1"/>
  <c r="AZ16" i="24"/>
  <c r="BB19" i="24"/>
  <c r="BB22" i="24"/>
  <c r="AX17" i="24"/>
  <c r="BA23" i="24"/>
  <c r="Z275" i="24"/>
  <c r="C237" i="24"/>
  <c r="T89" i="24" s="1"/>
  <c r="C92" i="24"/>
  <c r="T39" i="24" s="1"/>
  <c r="F212" i="24"/>
  <c r="F209" i="24"/>
  <c r="W78" i="24"/>
  <c r="F211" i="24"/>
  <c r="K258" i="24"/>
  <c r="P258" i="24" s="1"/>
  <c r="J264" i="24" s="1"/>
  <c r="AF24" i="24" s="1"/>
  <c r="J258" i="24"/>
  <c r="T101" i="24" s="1"/>
  <c r="T100" i="24"/>
  <c r="D154" i="24"/>
  <c r="D151" i="24"/>
  <c r="U58" i="24"/>
  <c r="U278" i="24" s="1"/>
  <c r="D153" i="24"/>
  <c r="D585" i="24"/>
  <c r="U209" i="24" s="1"/>
  <c r="E92" i="24"/>
  <c r="V39" i="24" s="1"/>
  <c r="V281" i="24"/>
  <c r="D63" i="24"/>
  <c r="U29" i="24" s="1"/>
  <c r="G440" i="24"/>
  <c r="X159" i="24" s="1"/>
  <c r="C63" i="24"/>
  <c r="T29" i="24" s="1"/>
  <c r="AZ19" i="24"/>
  <c r="AZ22" i="24"/>
  <c r="AX23" i="24"/>
  <c r="BB18" i="24"/>
  <c r="AY13" i="24"/>
  <c r="G415" i="24"/>
  <c r="G412" i="24"/>
  <c r="G414" i="24"/>
  <c r="X148" i="24"/>
  <c r="D473" i="24"/>
  <c r="D470" i="24"/>
  <c r="U168" i="24"/>
  <c r="D472" i="24"/>
  <c r="D469" i="24" s="1"/>
  <c r="U169" i="24" s="1"/>
  <c r="C295" i="24"/>
  <c r="T109" i="24" s="1"/>
  <c r="AA94" i="24"/>
  <c r="J403" i="24"/>
  <c r="T151" i="24" s="1"/>
  <c r="K403" i="24"/>
  <c r="P403" i="24" s="1"/>
  <c r="J409" i="24" s="1"/>
  <c r="AF29" i="24" s="1"/>
  <c r="T150" i="24"/>
  <c r="D241" i="24"/>
  <c r="D238" i="24"/>
  <c r="U88" i="24"/>
  <c r="D240" i="24"/>
  <c r="V282" i="24"/>
  <c r="V283" i="24" s="1"/>
  <c r="V224" i="24"/>
  <c r="C208" i="24"/>
  <c r="T79" i="24" s="1"/>
  <c r="C154" i="24"/>
  <c r="C151" i="24"/>
  <c r="T58" i="24"/>
  <c r="C153" i="24"/>
  <c r="F150" i="24"/>
  <c r="W59" i="24" s="1"/>
  <c r="BC20" i="24"/>
  <c r="AY14" i="24"/>
  <c r="AY19" i="24"/>
  <c r="AZ21" i="24"/>
  <c r="AZ17" i="24"/>
  <c r="C502" i="24"/>
  <c r="C499" i="24"/>
  <c r="T178" i="24"/>
  <c r="C501" i="24"/>
  <c r="U246" i="24"/>
  <c r="AA174" i="24"/>
  <c r="G208" i="24"/>
  <c r="X79" i="24" s="1"/>
  <c r="E325" i="24"/>
  <c r="E328" i="24"/>
  <c r="V118" i="24"/>
  <c r="E327" i="24"/>
  <c r="C556" i="24"/>
  <c r="T199" i="24" s="1"/>
  <c r="C353" i="24"/>
  <c r="T129" i="24" s="1"/>
  <c r="T235" i="24"/>
  <c r="AA64" i="24"/>
  <c r="C469" i="24"/>
  <c r="T169" i="24" s="1"/>
  <c r="E498" i="24"/>
  <c r="V179" i="24" s="1"/>
  <c r="G266" i="24"/>
  <c r="X99" i="24" s="1"/>
  <c r="AX22" i="24"/>
  <c r="AY15" i="24"/>
  <c r="BA14" i="24"/>
  <c r="AZ23" i="24"/>
  <c r="AY20" i="24"/>
  <c r="G34" i="24"/>
  <c r="X19" i="24" s="1"/>
  <c r="F179" i="24"/>
  <c r="W69" i="24" s="1"/>
  <c r="E241" i="24"/>
  <c r="E238" i="24"/>
  <c r="V88" i="24"/>
  <c r="E240" i="24"/>
  <c r="K171" i="24"/>
  <c r="P171" i="24" s="1"/>
  <c r="J177" i="24" s="1"/>
  <c r="AF21" i="24" s="1"/>
  <c r="J171" i="24"/>
  <c r="T71" i="24" s="1"/>
  <c r="T70" i="24"/>
  <c r="F357" i="24"/>
  <c r="F354" i="24"/>
  <c r="W128" i="24"/>
  <c r="F356" i="24"/>
  <c r="X219" i="24"/>
  <c r="E585" i="24"/>
  <c r="V209" i="24" s="1"/>
  <c r="D382" i="24"/>
  <c r="U139" i="24" s="1"/>
  <c r="G357" i="24"/>
  <c r="G354" i="24"/>
  <c r="G356" i="24"/>
  <c r="X128" i="24"/>
  <c r="BA16" i="24"/>
  <c r="BC16" i="24"/>
  <c r="BA15" i="24"/>
  <c r="BB20" i="24"/>
  <c r="BB21" i="24"/>
  <c r="T20" i="24"/>
  <c r="J26" i="24"/>
  <c r="T21" i="24" s="1"/>
  <c r="K26" i="24"/>
  <c r="P26" i="24" s="1"/>
  <c r="J32" i="24" s="1"/>
  <c r="AF16" i="24" s="1"/>
  <c r="E531" i="24"/>
  <c r="E528" i="24"/>
  <c r="V188" i="24"/>
  <c r="E530" i="24"/>
  <c r="D502" i="24"/>
  <c r="D499" i="24"/>
  <c r="U178" i="24"/>
  <c r="D501" i="24"/>
  <c r="F325" i="24"/>
  <c r="F328" i="24"/>
  <c r="W118" i="24"/>
  <c r="F327" i="24"/>
  <c r="D328" i="24"/>
  <c r="D325" i="24"/>
  <c r="U118" i="24"/>
  <c r="D327" i="24"/>
  <c r="J322" i="24"/>
  <c r="AF26" i="24" s="1"/>
  <c r="BA19" i="24"/>
  <c r="AY18" i="24"/>
  <c r="BA18" i="24"/>
  <c r="AX13" i="24"/>
  <c r="BB23" i="24"/>
  <c r="X227" i="24"/>
  <c r="E122" i="24"/>
  <c r="V48" i="24"/>
  <c r="V278" i="24" s="1"/>
  <c r="E125" i="24"/>
  <c r="E124" i="24"/>
  <c r="AA74" i="24"/>
  <c r="J148" i="24"/>
  <c r="AF20" i="24" s="1"/>
  <c r="E34" i="24"/>
  <c r="V19" i="24" s="1"/>
  <c r="AL103" i="24"/>
  <c r="AL111" i="24"/>
  <c r="AL106" i="24"/>
  <c r="AL105" i="24"/>
  <c r="AP111" i="24"/>
  <c r="AP106" i="24"/>
  <c r="AP103" i="24"/>
  <c r="AP105" i="24"/>
  <c r="AA54" i="24"/>
  <c r="BA13" i="24"/>
  <c r="AY22" i="24"/>
  <c r="BC19" i="24"/>
  <c r="AY21" i="24"/>
  <c r="BC14" i="24"/>
  <c r="BC17" i="24"/>
  <c r="F241" i="24"/>
  <c r="F238" i="24"/>
  <c r="W88" i="24"/>
  <c r="F240" i="24"/>
  <c r="J496" i="24"/>
  <c r="AF32" i="24" s="1"/>
  <c r="V290" i="24"/>
  <c r="V291" i="24"/>
  <c r="V292" i="24" s="1"/>
  <c r="V227" i="24"/>
  <c r="V231" i="24"/>
  <c r="D95" i="24"/>
  <c r="D92" i="24" s="1"/>
  <c r="U39" i="24" s="1"/>
  <c r="C328" i="24"/>
  <c r="C325" i="24"/>
  <c r="T118" i="24"/>
  <c r="C327" i="24"/>
  <c r="T290" i="24"/>
  <c r="T291" i="24"/>
  <c r="T292" i="24" s="1"/>
  <c r="T227" i="24"/>
  <c r="T231" i="24"/>
  <c r="AA24" i="24"/>
  <c r="AX16" i="24"/>
  <c r="AY16" i="24"/>
  <c r="BA22" i="24"/>
  <c r="BC22" i="24"/>
  <c r="BC15" i="24"/>
  <c r="AZ13" i="24"/>
  <c r="G241" i="24"/>
  <c r="G238" i="24"/>
  <c r="X88" i="24"/>
  <c r="G240" i="24"/>
  <c r="AM102" i="24"/>
  <c r="AM112" i="24" s="1"/>
  <c r="V219" i="24"/>
  <c r="E180" i="24"/>
  <c r="E183" i="24"/>
  <c r="V68" i="24"/>
  <c r="E182" i="24"/>
  <c r="D183" i="24"/>
  <c r="D180" i="24"/>
  <c r="U68" i="24"/>
  <c r="D182" i="24"/>
  <c r="F299" i="24"/>
  <c r="F296" i="24"/>
  <c r="W108" i="24"/>
  <c r="F298" i="24"/>
  <c r="T219" i="24"/>
  <c r="F415" i="24"/>
  <c r="F412" i="24"/>
  <c r="W148" i="24"/>
  <c r="F414" i="24"/>
  <c r="G121" i="24"/>
  <c r="X49" i="24" s="1"/>
  <c r="W281" i="24"/>
  <c r="W223" i="24"/>
  <c r="BB17" i="24"/>
  <c r="AX14" i="24"/>
  <c r="AZ14" i="24"/>
  <c r="AY23" i="24"/>
  <c r="AY17" i="24"/>
  <c r="BA17" i="24"/>
  <c r="W290" i="24"/>
  <c r="W291" i="24"/>
  <c r="W292" i="24" s="1"/>
  <c r="W227" i="24"/>
  <c r="W231" i="24"/>
  <c r="E266" i="24"/>
  <c r="V99" i="24" s="1"/>
  <c r="V275" i="24"/>
  <c r="G92" i="24"/>
  <c r="X39" i="24" s="1"/>
  <c r="T275" i="24"/>
  <c r="W282" i="24"/>
  <c r="W283" i="24" s="1"/>
  <c r="W224" i="24"/>
  <c r="AX19" i="24"/>
  <c r="AX15" i="24"/>
  <c r="AZ15" i="24"/>
  <c r="BB13" i="24"/>
  <c r="BC18" i="24"/>
  <c r="AZ20" i="24"/>
  <c r="U240" i="24"/>
  <c r="AA114" i="24"/>
  <c r="G154" i="24"/>
  <c r="G151" i="24"/>
  <c r="X58" i="24"/>
  <c r="X278" i="24" s="1"/>
  <c r="G153" i="24"/>
  <c r="C528" i="24"/>
  <c r="C531" i="24"/>
  <c r="T188" i="24"/>
  <c r="C530" i="24"/>
  <c r="E150" i="24"/>
  <c r="V59" i="24" s="1"/>
  <c r="G180" i="24"/>
  <c r="G183" i="24"/>
  <c r="X68" i="24"/>
  <c r="G182" i="24"/>
  <c r="C412" i="24"/>
  <c r="C415" i="24"/>
  <c r="T148" i="24"/>
  <c r="C414" i="24"/>
  <c r="E209" i="24"/>
  <c r="E212" i="24"/>
  <c r="V78" i="24"/>
  <c r="E211" i="24"/>
  <c r="E353" i="24"/>
  <c r="V129" i="24" s="1"/>
  <c r="G324" i="24"/>
  <c r="X119" i="24" s="1"/>
  <c r="D411" i="24"/>
  <c r="U149" i="24" s="1"/>
  <c r="F63" i="24"/>
  <c r="W29" i="24" s="1"/>
  <c r="U219" i="24"/>
  <c r="D296" i="24"/>
  <c r="D299" i="24"/>
  <c r="U108" i="24"/>
  <c r="D298" i="24"/>
  <c r="BA20" i="24"/>
  <c r="BB16" i="24"/>
  <c r="AZ18" i="24"/>
  <c r="BB14" i="24"/>
  <c r="AX20" i="24"/>
  <c r="AN105" i="23"/>
  <c r="AN102" i="23" s="1"/>
  <c r="AN112" i="23" s="1"/>
  <c r="AN103" i="23"/>
  <c r="G557" i="23"/>
  <c r="G559" i="23"/>
  <c r="G560" i="23"/>
  <c r="T248" i="23"/>
  <c r="V148" i="23"/>
  <c r="E382" i="23"/>
  <c r="V139" i="23" s="1"/>
  <c r="C356" i="23"/>
  <c r="C353" i="23" s="1"/>
  <c r="T129" i="23" s="1"/>
  <c r="C354" i="23"/>
  <c r="C295" i="23"/>
  <c r="T109" i="23" s="1"/>
  <c r="T78" i="23"/>
  <c r="T80" i="23"/>
  <c r="D153" i="23"/>
  <c r="E150" i="23"/>
  <c r="V59" i="23" s="1"/>
  <c r="T275" i="23"/>
  <c r="D124" i="23"/>
  <c r="D125" i="23"/>
  <c r="D121" i="23" s="1"/>
  <c r="U49" i="23" s="1"/>
  <c r="U48" i="23"/>
  <c r="U278" i="23" s="1"/>
  <c r="C96" i="23"/>
  <c r="F96" i="23"/>
  <c r="F92" i="23" s="1"/>
  <c r="W39" i="23" s="1"/>
  <c r="E63" i="23"/>
  <c r="V29" i="23" s="1"/>
  <c r="D63" i="23"/>
  <c r="U29" i="23" s="1"/>
  <c r="C37" i="23"/>
  <c r="T18" i="23"/>
  <c r="C35" i="23"/>
  <c r="K521" i="23"/>
  <c r="P521" i="23" s="1"/>
  <c r="D527" i="23"/>
  <c r="U189" i="23" s="1"/>
  <c r="C498" i="23"/>
  <c r="T179" i="23" s="1"/>
  <c r="W219" i="23"/>
  <c r="C440" i="23"/>
  <c r="T159" i="23" s="1"/>
  <c r="D440" i="23"/>
  <c r="U159" i="23" s="1"/>
  <c r="G440" i="23"/>
  <c r="X159" i="23" s="1"/>
  <c r="F382" i="23"/>
  <c r="W139" i="23" s="1"/>
  <c r="J346" i="23"/>
  <c r="U131" i="23" s="1"/>
  <c r="U224" i="23" s="1"/>
  <c r="J351" i="23"/>
  <c r="AF27" i="23" s="1"/>
  <c r="F353" i="23"/>
  <c r="W129" i="23" s="1"/>
  <c r="D324" i="23"/>
  <c r="U119" i="23" s="1"/>
  <c r="J322" i="23"/>
  <c r="AF26" i="23" s="1"/>
  <c r="G324" i="23"/>
  <c r="X119" i="23" s="1"/>
  <c r="J235" i="23"/>
  <c r="AF23" i="23" s="1"/>
  <c r="C237" i="23"/>
  <c r="T89" i="23" s="1"/>
  <c r="C208" i="23"/>
  <c r="T79" i="23" s="1"/>
  <c r="W68" i="23"/>
  <c r="F154" i="23"/>
  <c r="F150" i="23" s="1"/>
  <c r="W59" i="23" s="1"/>
  <c r="T58" i="23"/>
  <c r="C151" i="23"/>
  <c r="G121" i="23"/>
  <c r="X49" i="23" s="1"/>
  <c r="X281" i="23"/>
  <c r="X282" i="23"/>
  <c r="X283" i="23" s="1"/>
  <c r="J380" i="23"/>
  <c r="AF28" i="23" s="1"/>
  <c r="J496" i="23"/>
  <c r="AF32" i="23" s="1"/>
  <c r="E96" i="23"/>
  <c r="E93" i="23"/>
  <c r="V38" i="23"/>
  <c r="E95" i="23"/>
  <c r="K403" i="23"/>
  <c r="P403" i="23" s="1"/>
  <c r="J409" i="23" s="1"/>
  <c r="AF29" i="23" s="1"/>
  <c r="J403" i="23"/>
  <c r="T151" i="23" s="1"/>
  <c r="T150" i="23"/>
  <c r="K84" i="23"/>
  <c r="P84" i="23" s="1"/>
  <c r="J90" i="23" s="1"/>
  <c r="AF18" i="23" s="1"/>
  <c r="J84" i="23"/>
  <c r="T41" i="23" s="1"/>
  <c r="T40" i="23"/>
  <c r="G357" i="23"/>
  <c r="G354" i="23"/>
  <c r="X128" i="23"/>
  <c r="G356" i="23"/>
  <c r="G67" i="23"/>
  <c r="G64" i="23"/>
  <c r="X28" i="23"/>
  <c r="G66" i="23"/>
  <c r="U282" i="23"/>
  <c r="U283" i="23" s="1"/>
  <c r="E499" i="23"/>
  <c r="E502" i="23"/>
  <c r="V178" i="23"/>
  <c r="E501" i="23"/>
  <c r="AA84" i="23"/>
  <c r="D241" i="23"/>
  <c r="D238" i="23"/>
  <c r="U88" i="23"/>
  <c r="D240" i="23"/>
  <c r="U281" i="23"/>
  <c r="U223" i="23"/>
  <c r="C473" i="23"/>
  <c r="T168" i="23"/>
  <c r="C470" i="23"/>
  <c r="C472" i="23"/>
  <c r="X18" i="23"/>
  <c r="G38" i="23"/>
  <c r="G35" i="23"/>
  <c r="G37" i="23"/>
  <c r="G528" i="23"/>
  <c r="X188" i="23"/>
  <c r="G531" i="23"/>
  <c r="G530" i="23"/>
  <c r="F498" i="23"/>
  <c r="W179" i="23" s="1"/>
  <c r="AL111" i="23"/>
  <c r="AL106" i="23"/>
  <c r="AL103" i="23"/>
  <c r="AL105" i="23"/>
  <c r="F63" i="23"/>
  <c r="W29" i="23" s="1"/>
  <c r="Z275" i="23"/>
  <c r="BA20" i="23"/>
  <c r="AX19" i="23"/>
  <c r="BB17" i="23"/>
  <c r="AX16" i="23"/>
  <c r="BA13" i="23"/>
  <c r="BB23" i="23"/>
  <c r="BB21" i="23"/>
  <c r="AY20" i="23"/>
  <c r="AZ17" i="23"/>
  <c r="AY13" i="23"/>
  <c r="AX23" i="23"/>
  <c r="BB22" i="23"/>
  <c r="BA23" i="23"/>
  <c r="BB20" i="23"/>
  <c r="AZ18" i="23"/>
  <c r="BB15" i="23"/>
  <c r="AZ14" i="23"/>
  <c r="AZ23" i="23"/>
  <c r="BC22" i="23"/>
  <c r="AZ20" i="23"/>
  <c r="AY18" i="23"/>
  <c r="BA15" i="23"/>
  <c r="AY14" i="23"/>
  <c r="BC14" i="23"/>
  <c r="AY23" i="23"/>
  <c r="BA22" i="23"/>
  <c r="AX20" i="23"/>
  <c r="AX18" i="23"/>
  <c r="AZ15" i="23"/>
  <c r="AX14" i="23"/>
  <c r="AY19" i="23"/>
  <c r="AZ22" i="23"/>
  <c r="BC17" i="23"/>
  <c r="AY15" i="23"/>
  <c r="BC18" i="23"/>
  <c r="AY22" i="23"/>
  <c r="BA17" i="23"/>
  <c r="AX15" i="23"/>
  <c r="BC13" i="23"/>
  <c r="AX22" i="23"/>
  <c r="BC21" i="23"/>
  <c r="BC19" i="23"/>
  <c r="AY17" i="23"/>
  <c r="BB13" i="23"/>
  <c r="AZ16" i="23"/>
  <c r="BA21" i="23"/>
  <c r="BB19" i="23"/>
  <c r="AX17" i="23"/>
  <c r="AZ13" i="23"/>
  <c r="AX21" i="23"/>
  <c r="BB18" i="23"/>
  <c r="AZ21" i="23"/>
  <c r="BA19" i="23"/>
  <c r="BC16" i="23"/>
  <c r="AX13" i="23"/>
  <c r="AY21" i="23"/>
  <c r="AZ19" i="23"/>
  <c r="BB16" i="23"/>
  <c r="BA16" i="23"/>
  <c r="BC23" i="23"/>
  <c r="BC20" i="23"/>
  <c r="BA18" i="23"/>
  <c r="AY16" i="23"/>
  <c r="BC15" i="23"/>
  <c r="BA14" i="23"/>
  <c r="BB14" i="23"/>
  <c r="W290" i="23"/>
  <c r="W227" i="23"/>
  <c r="W231" i="23"/>
  <c r="W291" i="23"/>
  <c r="W292" i="23" s="1"/>
  <c r="U290" i="23"/>
  <c r="U291" i="23"/>
  <c r="U292" i="23" s="1"/>
  <c r="U227" i="23"/>
  <c r="U231" i="23"/>
  <c r="G237" i="23"/>
  <c r="X89" i="23" s="1"/>
  <c r="F440" i="23"/>
  <c r="W159" i="23" s="1"/>
  <c r="D357" i="23"/>
  <c r="D354" i="23"/>
  <c r="D356" i="23"/>
  <c r="D353" i="23" s="1"/>
  <c r="U129" i="23" s="1"/>
  <c r="U128" i="23"/>
  <c r="X219" i="23"/>
  <c r="X275" i="23"/>
  <c r="X24" i="23"/>
  <c r="AA24" i="23" s="1"/>
  <c r="C325" i="23"/>
  <c r="C328" i="23"/>
  <c r="T118" i="23"/>
  <c r="C327" i="23"/>
  <c r="T241" i="23"/>
  <c r="AA124" i="23"/>
  <c r="J519" i="23"/>
  <c r="T191" i="23" s="1"/>
  <c r="T190" i="23"/>
  <c r="K519" i="23"/>
  <c r="P519" i="23" s="1"/>
  <c r="C530" i="23"/>
  <c r="C527" i="23" s="1"/>
  <c r="T189" i="23" s="1"/>
  <c r="K142" i="23"/>
  <c r="P142" i="23" s="1"/>
  <c r="J148" i="23" s="1"/>
  <c r="AF20" i="23" s="1"/>
  <c r="J142" i="23"/>
  <c r="T61" i="23" s="1"/>
  <c r="T60" i="23"/>
  <c r="T281" i="23" s="1"/>
  <c r="C267" i="23"/>
  <c r="C270" i="23"/>
  <c r="T98" i="23"/>
  <c r="C269" i="23"/>
  <c r="G470" i="23"/>
  <c r="G473" i="23"/>
  <c r="X168" i="23"/>
  <c r="G472" i="23"/>
  <c r="E270" i="23"/>
  <c r="E267" i="23"/>
  <c r="V98" i="23"/>
  <c r="E269" i="23"/>
  <c r="V281" i="23"/>
  <c r="F415" i="23"/>
  <c r="F412" i="23"/>
  <c r="W148" i="23"/>
  <c r="F414" i="23"/>
  <c r="D270" i="23"/>
  <c r="U98" i="23"/>
  <c r="D267" i="23"/>
  <c r="D269" i="23"/>
  <c r="D183" i="23"/>
  <c r="D180" i="23"/>
  <c r="U68" i="23"/>
  <c r="D182" i="23"/>
  <c r="V18" i="23"/>
  <c r="E38" i="23"/>
  <c r="E35" i="23"/>
  <c r="E37" i="23"/>
  <c r="E470" i="23"/>
  <c r="E473" i="23"/>
  <c r="V168" i="23"/>
  <c r="E472" i="23"/>
  <c r="F238" i="23"/>
  <c r="F241" i="23"/>
  <c r="W88" i="23"/>
  <c r="F240" i="23"/>
  <c r="C153" i="23"/>
  <c r="C150" i="23" s="1"/>
  <c r="T59" i="23" s="1"/>
  <c r="J206" i="23"/>
  <c r="AF22" i="23" s="1"/>
  <c r="AM106" i="23"/>
  <c r="AM103" i="23"/>
  <c r="AM111" i="23"/>
  <c r="AM105" i="23"/>
  <c r="V282" i="23"/>
  <c r="V283" i="23" s="1"/>
  <c r="F328" i="23"/>
  <c r="F325" i="23"/>
  <c r="W118" i="23"/>
  <c r="F327" i="23"/>
  <c r="J554" i="23"/>
  <c r="AF34" i="23" s="1"/>
  <c r="T290" i="23"/>
  <c r="T291" i="23"/>
  <c r="T292" i="23" s="1"/>
  <c r="T227" i="23"/>
  <c r="T231" i="23"/>
  <c r="AA134" i="23"/>
  <c r="D295" i="23"/>
  <c r="U109" i="23" s="1"/>
  <c r="G585" i="23"/>
  <c r="X209" i="23" s="1"/>
  <c r="F295" i="23"/>
  <c r="W109" i="23" s="1"/>
  <c r="D557" i="23"/>
  <c r="D560" i="23"/>
  <c r="U198" i="23"/>
  <c r="D559" i="23"/>
  <c r="E357" i="23"/>
  <c r="V128" i="23"/>
  <c r="E354" i="23"/>
  <c r="E356" i="23"/>
  <c r="D212" i="23"/>
  <c r="D209" i="23"/>
  <c r="U78" i="23"/>
  <c r="D211" i="23"/>
  <c r="C559" i="23"/>
  <c r="C560" i="23"/>
  <c r="C557" i="23"/>
  <c r="T198" i="23"/>
  <c r="AA204" i="23"/>
  <c r="T219" i="23"/>
  <c r="AL113" i="23"/>
  <c r="AT94" i="23"/>
  <c r="AY94" i="23" s="1"/>
  <c r="AS100" i="23" s="1"/>
  <c r="AS110" i="23" s="1"/>
  <c r="AS94" i="23"/>
  <c r="AL114" i="23" s="1"/>
  <c r="F212" i="23"/>
  <c r="F209" i="23"/>
  <c r="W78" i="23"/>
  <c r="F211" i="23"/>
  <c r="F35" i="23"/>
  <c r="F37" i="23"/>
  <c r="F38" i="23"/>
  <c r="W18" i="23"/>
  <c r="E328" i="23"/>
  <c r="E325" i="23"/>
  <c r="V118" i="23"/>
  <c r="E327" i="23"/>
  <c r="G386" i="23"/>
  <c r="G383" i="23"/>
  <c r="X138" i="23"/>
  <c r="G385" i="23"/>
  <c r="G270" i="23"/>
  <c r="G267" i="23"/>
  <c r="X98" i="23"/>
  <c r="G269" i="23"/>
  <c r="X224" i="23"/>
  <c r="E589" i="23"/>
  <c r="E586" i="23"/>
  <c r="V208" i="23"/>
  <c r="E588" i="23"/>
  <c r="V219" i="23"/>
  <c r="AO106" i="23"/>
  <c r="AO103" i="23"/>
  <c r="AO111" i="23"/>
  <c r="AO105" i="23"/>
  <c r="U219" i="23"/>
  <c r="F179" i="23"/>
  <c r="W69" i="23" s="1"/>
  <c r="C95" i="23"/>
  <c r="C92" i="23" s="1"/>
  <c r="T39" i="23" s="1"/>
  <c r="D412" i="23"/>
  <c r="D415" i="23"/>
  <c r="U148" i="23"/>
  <c r="D414" i="23"/>
  <c r="F470" i="23"/>
  <c r="F473" i="23"/>
  <c r="W168" i="23"/>
  <c r="F472" i="23"/>
  <c r="D92" i="23"/>
  <c r="U39" i="23" s="1"/>
  <c r="T28" i="23"/>
  <c r="C64" i="23"/>
  <c r="C67" i="23"/>
  <c r="C66" i="23"/>
  <c r="G154" i="23"/>
  <c r="G151" i="23"/>
  <c r="X58" i="23"/>
  <c r="G153" i="23"/>
  <c r="AA154" i="23"/>
  <c r="F560" i="23"/>
  <c r="F557" i="23"/>
  <c r="F559" i="23"/>
  <c r="W198" i="23"/>
  <c r="C122" i="23"/>
  <c r="C125" i="23"/>
  <c r="T48" i="23"/>
  <c r="C124" i="23"/>
  <c r="AA174" i="23"/>
  <c r="W281" i="23"/>
  <c r="W223" i="23"/>
  <c r="E560" i="23"/>
  <c r="E557" i="23"/>
  <c r="E559" i="23"/>
  <c r="V198" i="23"/>
  <c r="T243" i="23"/>
  <c r="AA144" i="23"/>
  <c r="AA214" i="23"/>
  <c r="J32" i="23"/>
  <c r="AF16" i="23" s="1"/>
  <c r="T239" i="23"/>
  <c r="AA104" i="23"/>
  <c r="J119" i="23"/>
  <c r="AF19" i="23" s="1"/>
  <c r="K577" i="23"/>
  <c r="P577" i="23" s="1"/>
  <c r="J583" i="23" s="1"/>
  <c r="AF35" i="23" s="1"/>
  <c r="T210" i="23"/>
  <c r="J577" i="23"/>
  <c r="T211" i="23" s="1"/>
  <c r="G415" i="23"/>
  <c r="G412" i="23"/>
  <c r="X148" i="23"/>
  <c r="G414" i="23"/>
  <c r="J61" i="23"/>
  <c r="AF17" i="23" s="1"/>
  <c r="C34" i="23"/>
  <c r="T19" i="23" s="1"/>
  <c r="K434" i="23"/>
  <c r="P434" i="23" s="1"/>
  <c r="J438" i="23" s="1"/>
  <c r="AF30" i="23" s="1"/>
  <c r="J434" i="23"/>
  <c r="V161" i="23" s="1"/>
  <c r="V224" i="23" s="1"/>
  <c r="V160" i="23"/>
  <c r="V223" i="23" s="1"/>
  <c r="F589" i="23"/>
  <c r="F586" i="23"/>
  <c r="W208" i="23"/>
  <c r="F588" i="23"/>
  <c r="E121" i="23"/>
  <c r="V49" i="23" s="1"/>
  <c r="E183" i="23"/>
  <c r="E180" i="23"/>
  <c r="V68" i="23"/>
  <c r="E182" i="23"/>
  <c r="T232" i="23"/>
  <c r="AA34" i="23"/>
  <c r="D498" i="23"/>
  <c r="U179" i="23" s="1"/>
  <c r="G498" i="23"/>
  <c r="X179" i="23" s="1"/>
  <c r="X223" i="23"/>
  <c r="AA74" i="23"/>
  <c r="T234" i="23"/>
  <c r="AA54" i="23"/>
  <c r="D34" i="23"/>
  <c r="U19" i="23" s="1"/>
  <c r="W282" i="23"/>
  <c r="W283" i="23" s="1"/>
  <c r="W224" i="23"/>
  <c r="G183" i="23"/>
  <c r="G182" i="23"/>
  <c r="G180" i="23"/>
  <c r="X68" i="23"/>
  <c r="C588" i="23"/>
  <c r="C585" i="23" s="1"/>
  <c r="T209" i="23" s="1"/>
  <c r="D589" i="23"/>
  <c r="D586" i="23"/>
  <c r="U208" i="23"/>
  <c r="D588" i="23"/>
  <c r="AP103" i="23"/>
  <c r="AP111" i="23"/>
  <c r="AP106" i="23"/>
  <c r="AP105" i="23"/>
  <c r="C383" i="23"/>
  <c r="C386" i="23"/>
  <c r="T138" i="23"/>
  <c r="C385" i="23"/>
  <c r="E212" i="23"/>
  <c r="E209" i="23"/>
  <c r="V78" i="23"/>
  <c r="E211" i="23"/>
  <c r="G92" i="23"/>
  <c r="X39" i="23" s="1"/>
  <c r="D473" i="23"/>
  <c r="D472" i="23"/>
  <c r="U168" i="23"/>
  <c r="D470" i="23"/>
  <c r="F527" i="23"/>
  <c r="W189" i="23" s="1"/>
  <c r="V291" i="23"/>
  <c r="V292" i="23" s="1"/>
  <c r="V290" i="23"/>
  <c r="V227" i="23"/>
  <c r="V231" i="23"/>
  <c r="K171" i="23"/>
  <c r="P171" i="23" s="1"/>
  <c r="J177" i="23" s="1"/>
  <c r="AF21" i="23" s="1"/>
  <c r="J171" i="23"/>
  <c r="T71" i="23" s="1"/>
  <c r="T70" i="23"/>
  <c r="C183" i="23"/>
  <c r="C180" i="23"/>
  <c r="T68" i="23"/>
  <c r="C182" i="23"/>
  <c r="AN102" i="21"/>
  <c r="AN112" i="21" s="1"/>
  <c r="X208" i="21"/>
  <c r="G586" i="21"/>
  <c r="F528" i="21"/>
  <c r="D472" i="21"/>
  <c r="D469" i="21" s="1"/>
  <c r="U169" i="21" s="1"/>
  <c r="U168" i="21"/>
  <c r="T138" i="21"/>
  <c r="C382" i="21"/>
  <c r="T139" i="21" s="1"/>
  <c r="E295" i="21"/>
  <c r="V109" i="21" s="1"/>
  <c r="X108" i="21"/>
  <c r="G296" i="21"/>
  <c r="G299" i="21"/>
  <c r="G295" i="21" s="1"/>
  <c r="X109" i="21" s="1"/>
  <c r="T100" i="21"/>
  <c r="D269" i="21"/>
  <c r="U98" i="21"/>
  <c r="D267" i="21"/>
  <c r="C237" i="21"/>
  <c r="T89" i="21" s="1"/>
  <c r="D240" i="21"/>
  <c r="U88" i="21"/>
  <c r="D241" i="21"/>
  <c r="D237" i="21" s="1"/>
  <c r="U89" i="21" s="1"/>
  <c r="G153" i="21"/>
  <c r="G150" i="21" s="1"/>
  <c r="X59" i="21" s="1"/>
  <c r="X58" i="21"/>
  <c r="G151" i="21"/>
  <c r="C122" i="21"/>
  <c r="C125" i="21"/>
  <c r="V275" i="21"/>
  <c r="V291" i="21"/>
  <c r="V292" i="21" s="1"/>
  <c r="V290" i="21"/>
  <c r="D63" i="21"/>
  <c r="U29" i="21" s="1"/>
  <c r="F63" i="21"/>
  <c r="W29" i="21" s="1"/>
  <c r="F38" i="21"/>
  <c r="E34" i="21"/>
  <c r="V19" i="21" s="1"/>
  <c r="Z275" i="21"/>
  <c r="F37" i="21"/>
  <c r="G588" i="21"/>
  <c r="G585" i="21" s="1"/>
  <c r="X209" i="21" s="1"/>
  <c r="J583" i="21"/>
  <c r="AF35" i="21" s="1"/>
  <c r="AX19" i="21"/>
  <c r="W188" i="21"/>
  <c r="F530" i="21"/>
  <c r="W224" i="21"/>
  <c r="BC16" i="21"/>
  <c r="AA154" i="21"/>
  <c r="AY22" i="21"/>
  <c r="AA114" i="21"/>
  <c r="J235" i="21"/>
  <c r="AF23" i="21" s="1"/>
  <c r="AA94" i="21"/>
  <c r="W223" i="21"/>
  <c r="G208" i="21"/>
  <c r="X79" i="21" s="1"/>
  <c r="D179" i="21"/>
  <c r="U69" i="21" s="1"/>
  <c r="X281" i="21"/>
  <c r="X282" i="21"/>
  <c r="X283" i="21" s="1"/>
  <c r="AA54" i="21"/>
  <c r="C124" i="21"/>
  <c r="C121" i="21" s="1"/>
  <c r="T49" i="21" s="1"/>
  <c r="BA15" i="21"/>
  <c r="BC15" i="21"/>
  <c r="AY17" i="21"/>
  <c r="AY13" i="21"/>
  <c r="AZ20" i="21"/>
  <c r="G63" i="21"/>
  <c r="X29" i="21" s="1"/>
  <c r="C34" i="21"/>
  <c r="T19" i="21" s="1"/>
  <c r="J293" i="21"/>
  <c r="AF25" i="21" s="1"/>
  <c r="C267" i="21"/>
  <c r="C270" i="21"/>
  <c r="T98" i="21"/>
  <c r="C269" i="21"/>
  <c r="C180" i="21"/>
  <c r="C183" i="21"/>
  <c r="T68" i="21"/>
  <c r="C182" i="21"/>
  <c r="J549" i="21"/>
  <c r="U201" i="21" s="1"/>
  <c r="K549" i="21"/>
  <c r="P549" i="21" s="1"/>
  <c r="J554" i="21" s="1"/>
  <c r="AF34" i="21" s="1"/>
  <c r="U200" i="21"/>
  <c r="J206" i="21"/>
  <c r="AF22" i="21" s="1"/>
  <c r="J436" i="21"/>
  <c r="X161" i="21" s="1"/>
  <c r="X224" i="21" s="1"/>
  <c r="K436" i="21"/>
  <c r="P436" i="21" s="1"/>
  <c r="J438" i="21" s="1"/>
  <c r="AF30" i="21" s="1"/>
  <c r="X160" i="21"/>
  <c r="T291" i="21"/>
  <c r="T292" i="21" s="1"/>
  <c r="T290" i="21"/>
  <c r="T227" i="21"/>
  <c r="T231" i="21"/>
  <c r="G412" i="21"/>
  <c r="G415" i="21"/>
  <c r="X148" i="21"/>
  <c r="G414" i="21"/>
  <c r="BA18" i="21"/>
  <c r="G324" i="21"/>
  <c r="X119" i="21" s="1"/>
  <c r="F585" i="21"/>
  <c r="W209" i="21" s="1"/>
  <c r="C415" i="21"/>
  <c r="C412" i="21"/>
  <c r="T148" i="21"/>
  <c r="C414" i="21"/>
  <c r="F470" i="21"/>
  <c r="F473" i="21"/>
  <c r="W168" i="21"/>
  <c r="F472" i="21"/>
  <c r="F469" i="21" s="1"/>
  <c r="W169" i="21" s="1"/>
  <c r="C557" i="21"/>
  <c r="C560" i="21"/>
  <c r="T198" i="21"/>
  <c r="C559" i="21"/>
  <c r="V281" i="21"/>
  <c r="V223" i="21"/>
  <c r="G179" i="21"/>
  <c r="X69" i="21" s="1"/>
  <c r="F269" i="21"/>
  <c r="F270" i="21"/>
  <c r="F267" i="21"/>
  <c r="W98" i="21"/>
  <c r="X223" i="21"/>
  <c r="U282" i="21"/>
  <c r="U283" i="21" s="1"/>
  <c r="BC17" i="21"/>
  <c r="AX14" i="21"/>
  <c r="AX23" i="21"/>
  <c r="BB14" i="21"/>
  <c r="BA21" i="21"/>
  <c r="D383" i="21"/>
  <c r="D386" i="21"/>
  <c r="U138" i="21"/>
  <c r="D385" i="21"/>
  <c r="F412" i="21"/>
  <c r="F415" i="21"/>
  <c r="W148" i="21"/>
  <c r="F414" i="21"/>
  <c r="AY18" i="21"/>
  <c r="G386" i="21"/>
  <c r="G383" i="21"/>
  <c r="X138" i="21"/>
  <c r="G385" i="21"/>
  <c r="G382" i="21" s="1"/>
  <c r="X139" i="21" s="1"/>
  <c r="E440" i="21"/>
  <c r="V159" i="21" s="1"/>
  <c r="K55" i="21"/>
  <c r="P55" i="21" s="1"/>
  <c r="J61" i="21" s="1"/>
  <c r="AF17" i="21" s="1"/>
  <c r="J55" i="21"/>
  <c r="T31" i="21" s="1"/>
  <c r="T30" i="21"/>
  <c r="J264" i="21"/>
  <c r="AF24" i="21" s="1"/>
  <c r="T249" i="21"/>
  <c r="AA204" i="21"/>
  <c r="V282" i="21"/>
  <c r="V283" i="21" s="1"/>
  <c r="V224" i="21"/>
  <c r="K374" i="21"/>
  <c r="J374" i="21"/>
  <c r="T141" i="21" s="1"/>
  <c r="T140" i="21"/>
  <c r="P374" i="21"/>
  <c r="J380" i="21" s="1"/>
  <c r="AF28" i="21" s="1"/>
  <c r="E469" i="21"/>
  <c r="V169" i="21" s="1"/>
  <c r="W281" i="21"/>
  <c r="F34" i="21"/>
  <c r="W19" i="21" s="1"/>
  <c r="AA194" i="21"/>
  <c r="D35" i="21"/>
  <c r="U18" i="21"/>
  <c r="D38" i="21"/>
  <c r="D37" i="21"/>
  <c r="AY19" i="21"/>
  <c r="AX15" i="21"/>
  <c r="AZ14" i="21"/>
  <c r="BB15" i="21"/>
  <c r="BB23" i="21"/>
  <c r="U275" i="21"/>
  <c r="U219" i="21"/>
  <c r="U24" i="21"/>
  <c r="AA24" i="21" s="1"/>
  <c r="AZ15" i="21"/>
  <c r="D440" i="21"/>
  <c r="U159" i="21" s="1"/>
  <c r="C498" i="21"/>
  <c r="T179" i="21" s="1"/>
  <c r="E324" i="21"/>
  <c r="V119" i="21" s="1"/>
  <c r="D266" i="21"/>
  <c r="U99" i="21" s="1"/>
  <c r="E238" i="21"/>
  <c r="E241" i="21"/>
  <c r="V88" i="21"/>
  <c r="E240" i="21"/>
  <c r="C441" i="21"/>
  <c r="C444" i="21"/>
  <c r="T158" i="21"/>
  <c r="C443" i="21"/>
  <c r="D208" i="21"/>
  <c r="U79" i="21" s="1"/>
  <c r="F299" i="21"/>
  <c r="F296" i="21"/>
  <c r="W108" i="21"/>
  <c r="F298" i="21"/>
  <c r="E208" i="21"/>
  <c r="V79" i="21" s="1"/>
  <c r="AX22" i="21"/>
  <c r="AX18" i="21"/>
  <c r="AZ18" i="21"/>
  <c r="BB18" i="21"/>
  <c r="AZ17" i="21"/>
  <c r="AX17" i="21"/>
  <c r="D296" i="21"/>
  <c r="D299" i="21"/>
  <c r="U108" i="21"/>
  <c r="D298" i="21"/>
  <c r="F125" i="21"/>
  <c r="F122" i="21"/>
  <c r="W48" i="21"/>
  <c r="F124" i="21"/>
  <c r="V227" i="21"/>
  <c r="D324" i="21"/>
  <c r="U119" i="21" s="1"/>
  <c r="C328" i="21"/>
  <c r="C325" i="21"/>
  <c r="T118" i="21"/>
  <c r="C327" i="21"/>
  <c r="AA164" i="21"/>
  <c r="T245" i="21"/>
  <c r="J113" i="21"/>
  <c r="T51" i="21" s="1"/>
  <c r="T50" i="21"/>
  <c r="K113" i="21"/>
  <c r="P113" i="21" s="1"/>
  <c r="J119" i="21" s="1"/>
  <c r="AF19" i="21" s="1"/>
  <c r="E179" i="21"/>
  <c r="V69" i="21" s="1"/>
  <c r="BC13" i="21"/>
  <c r="BB19" i="21"/>
  <c r="AX21" i="21"/>
  <c r="AZ21" i="21"/>
  <c r="AY20" i="21"/>
  <c r="AA214" i="21"/>
  <c r="T237" i="21"/>
  <c r="AA84" i="21"/>
  <c r="D415" i="21"/>
  <c r="D412" i="21"/>
  <c r="U148" i="21"/>
  <c r="D414" i="21"/>
  <c r="J525" i="21"/>
  <c r="AF33" i="21" s="1"/>
  <c r="BB16" i="21"/>
  <c r="G470" i="21"/>
  <c r="G473" i="21"/>
  <c r="X168" i="21"/>
  <c r="G472" i="21"/>
  <c r="X290" i="21"/>
  <c r="X291" i="21"/>
  <c r="X292" i="21" s="1"/>
  <c r="X227" i="21"/>
  <c r="X231" i="21"/>
  <c r="E267" i="21"/>
  <c r="V98" i="21"/>
  <c r="E270" i="21"/>
  <c r="E269" i="21"/>
  <c r="AA104" i="21"/>
  <c r="AA144" i="21"/>
  <c r="D589" i="21"/>
  <c r="D586" i="21"/>
  <c r="U208" i="21"/>
  <c r="D588" i="21"/>
  <c r="F96" i="21"/>
  <c r="F93" i="21"/>
  <c r="W38" i="21"/>
  <c r="F95" i="21"/>
  <c r="T241" i="21"/>
  <c r="AA124" i="21"/>
  <c r="C296" i="21"/>
  <c r="C299" i="21"/>
  <c r="T108" i="21"/>
  <c r="C298" i="21"/>
  <c r="K316" i="21"/>
  <c r="P316" i="21" s="1"/>
  <c r="J322" i="21" s="1"/>
  <c r="AF26" i="21" s="1"/>
  <c r="J316" i="21"/>
  <c r="T121" i="21" s="1"/>
  <c r="T120" i="21"/>
  <c r="F386" i="21"/>
  <c r="F383" i="21"/>
  <c r="W138" i="21"/>
  <c r="F385" i="21"/>
  <c r="F441" i="21"/>
  <c r="F444" i="21"/>
  <c r="W158" i="21"/>
  <c r="F443" i="21"/>
  <c r="C93" i="21"/>
  <c r="T38" i="21"/>
  <c r="C96" i="21"/>
  <c r="C95" i="21"/>
  <c r="C92" i="21" s="1"/>
  <c r="T39" i="21" s="1"/>
  <c r="G531" i="21"/>
  <c r="G528" i="21"/>
  <c r="X188" i="21"/>
  <c r="G530" i="21"/>
  <c r="BA13" i="21"/>
  <c r="AZ16" i="21"/>
  <c r="BA22" i="21"/>
  <c r="BC22" i="21"/>
  <c r="BA23" i="21"/>
  <c r="BB21" i="21"/>
  <c r="D93" i="21"/>
  <c r="U38" i="21"/>
  <c r="D96" i="21"/>
  <c r="D95" i="21"/>
  <c r="K403" i="21"/>
  <c r="P403" i="21" s="1"/>
  <c r="J409" i="21" s="1"/>
  <c r="AF29" i="21" s="1"/>
  <c r="J403" i="21"/>
  <c r="T151" i="21" s="1"/>
  <c r="T150" i="21"/>
  <c r="BB20" i="21"/>
  <c r="F237" i="21"/>
  <c r="W89" i="21" s="1"/>
  <c r="X275" i="21"/>
  <c r="D559" i="21"/>
  <c r="D556" i="21" s="1"/>
  <c r="U199" i="21" s="1"/>
  <c r="K172" i="21"/>
  <c r="P172" i="21" s="1"/>
  <c r="J177" i="21" s="1"/>
  <c r="AF21" i="21" s="1"/>
  <c r="J172" i="21"/>
  <c r="U71" i="21" s="1"/>
  <c r="U70" i="21"/>
  <c r="W44" i="21"/>
  <c r="W219" i="21"/>
  <c r="W275" i="21"/>
  <c r="AM111" i="21"/>
  <c r="AM103" i="21"/>
  <c r="AM106" i="21"/>
  <c r="AM105" i="21"/>
  <c r="D122" i="21"/>
  <c r="D125" i="21"/>
  <c r="D124" i="21"/>
  <c r="U48" i="21"/>
  <c r="G270" i="21"/>
  <c r="G267" i="21"/>
  <c r="X98" i="21"/>
  <c r="G269" i="21"/>
  <c r="C585" i="21"/>
  <c r="T209" i="21" s="1"/>
  <c r="AX16" i="21"/>
  <c r="AZ19" i="21"/>
  <c r="AY14" i="21"/>
  <c r="AY23" i="21"/>
  <c r="AX13" i="21"/>
  <c r="AZ13" i="21"/>
  <c r="E528" i="21"/>
  <c r="E531" i="21"/>
  <c r="V188" i="21"/>
  <c r="E530" i="21"/>
  <c r="X219" i="21"/>
  <c r="E386" i="21"/>
  <c r="E383" i="21"/>
  <c r="V138" i="21"/>
  <c r="E385" i="21"/>
  <c r="E589" i="21"/>
  <c r="E586" i="21"/>
  <c r="V208" i="21"/>
  <c r="E588" i="21"/>
  <c r="G34" i="21"/>
  <c r="X19" i="21" s="1"/>
  <c r="AL111" i="21"/>
  <c r="AL103" i="21"/>
  <c r="AL106" i="21"/>
  <c r="AL105" i="21"/>
  <c r="F527" i="21"/>
  <c r="W189" i="21" s="1"/>
  <c r="F150" i="21"/>
  <c r="W59" i="21" s="1"/>
  <c r="G96" i="21"/>
  <c r="G93" i="21"/>
  <c r="X38" i="21"/>
  <c r="X278" i="21" s="1"/>
  <c r="G95" i="21"/>
  <c r="C212" i="21"/>
  <c r="C209" i="21"/>
  <c r="T78" i="21"/>
  <c r="C211" i="21"/>
  <c r="E415" i="21"/>
  <c r="E412" i="21"/>
  <c r="V148" i="21"/>
  <c r="E414" i="21"/>
  <c r="E92" i="21"/>
  <c r="V39" i="21" s="1"/>
  <c r="BB17" i="21"/>
  <c r="BC20" i="21"/>
  <c r="AY15" i="21"/>
  <c r="BA14" i="21"/>
  <c r="BC14" i="21"/>
  <c r="BA17" i="21"/>
  <c r="BC21" i="21"/>
  <c r="BA20" i="21"/>
  <c r="T219" i="21"/>
  <c r="J148" i="21"/>
  <c r="AF20" i="21" s="1"/>
  <c r="T278" i="21"/>
  <c r="F328" i="21"/>
  <c r="F325" i="21"/>
  <c r="W118" i="21"/>
  <c r="F327" i="21"/>
  <c r="V219" i="21"/>
  <c r="C531" i="21"/>
  <c r="C530" i="21"/>
  <c r="C528" i="21"/>
  <c r="T188" i="21"/>
  <c r="BB13" i="21"/>
  <c r="BA19" i="21"/>
  <c r="BC19" i="21"/>
  <c r="AY21" i="21"/>
  <c r="BC18" i="21"/>
  <c r="BC23" i="21"/>
  <c r="D528" i="21"/>
  <c r="D531" i="21"/>
  <c r="D530" i="21"/>
  <c r="U188" i="21"/>
  <c r="T236" i="21"/>
  <c r="AA74" i="21"/>
  <c r="K461" i="21"/>
  <c r="P461" i="21" s="1"/>
  <c r="J467" i="21" s="1"/>
  <c r="AF31" i="21" s="1"/>
  <c r="J461" i="21"/>
  <c r="T171" i="21" s="1"/>
  <c r="T170" i="21"/>
  <c r="BA16" i="21"/>
  <c r="F183" i="21"/>
  <c r="F180" i="21"/>
  <c r="W68" i="21"/>
  <c r="F182" i="21"/>
  <c r="G556" i="21"/>
  <c r="X199" i="21" s="1"/>
  <c r="C472" i="21"/>
  <c r="C469" i="21" s="1"/>
  <c r="T169" i="21" s="1"/>
  <c r="C150" i="21"/>
  <c r="T59" i="21" s="1"/>
  <c r="E125" i="21"/>
  <c r="E122" i="21"/>
  <c r="V48" i="21"/>
  <c r="V278" i="21" s="1"/>
  <c r="E124" i="21"/>
  <c r="E150" i="21"/>
  <c r="V59" i="21" s="1"/>
  <c r="T40" i="21"/>
  <c r="K84" i="21"/>
  <c r="P84" i="21" s="1"/>
  <c r="J90" i="21" s="1"/>
  <c r="AF18" i="21" s="1"/>
  <c r="J84" i="21"/>
  <c r="T41" i="21" s="1"/>
  <c r="G444" i="21"/>
  <c r="G441" i="21"/>
  <c r="X158" i="21"/>
  <c r="G443" i="21"/>
  <c r="C66" i="21"/>
  <c r="C63" i="21" s="1"/>
  <c r="T29" i="21" s="1"/>
  <c r="U281" i="21"/>
  <c r="AY16" i="21"/>
  <c r="AZ22" i="21"/>
  <c r="BB22" i="21"/>
  <c r="AZ23" i="21"/>
  <c r="AX20" i="21"/>
  <c r="AS117" i="20"/>
  <c r="AS100" i="20"/>
  <c r="AS110" i="20" s="1"/>
  <c r="D559" i="20"/>
  <c r="D556" i="20" s="1"/>
  <c r="U199" i="20" s="1"/>
  <c r="D530" i="20"/>
  <c r="D527" i="20" s="1"/>
  <c r="U189" i="20" s="1"/>
  <c r="T188" i="20"/>
  <c r="F527" i="20"/>
  <c r="W189" i="20" s="1"/>
  <c r="F501" i="20"/>
  <c r="F502" i="20"/>
  <c r="C470" i="20"/>
  <c r="F443" i="20"/>
  <c r="F440" i="20" s="1"/>
  <c r="W159" i="20" s="1"/>
  <c r="W158" i="20"/>
  <c r="X158" i="20"/>
  <c r="E414" i="20"/>
  <c r="E411" i="20" s="1"/>
  <c r="V149" i="20" s="1"/>
  <c r="E382" i="20"/>
  <c r="V139" i="20" s="1"/>
  <c r="G382" i="20"/>
  <c r="X139" i="20" s="1"/>
  <c r="F353" i="20"/>
  <c r="W129" i="20" s="1"/>
  <c r="V118" i="20"/>
  <c r="X108" i="20"/>
  <c r="G299" i="20"/>
  <c r="AA104" i="20"/>
  <c r="C211" i="20"/>
  <c r="T78" i="20"/>
  <c r="C212" i="20"/>
  <c r="E211" i="20"/>
  <c r="V78" i="20"/>
  <c r="E212" i="20"/>
  <c r="E179" i="20"/>
  <c r="V69" i="20" s="1"/>
  <c r="E150" i="20"/>
  <c r="V59" i="20" s="1"/>
  <c r="F150" i="20"/>
  <c r="W59" i="20" s="1"/>
  <c r="E121" i="20"/>
  <c r="V49" i="20" s="1"/>
  <c r="W275" i="20"/>
  <c r="J61" i="20"/>
  <c r="AF17" i="20" s="1"/>
  <c r="G37" i="20"/>
  <c r="G34" i="20" s="1"/>
  <c r="X19" i="20" s="1"/>
  <c r="G38" i="20"/>
  <c r="X18" i="20"/>
  <c r="X198" i="20"/>
  <c r="G559" i="20"/>
  <c r="G556" i="20" s="1"/>
  <c r="X199" i="20" s="1"/>
  <c r="AA204" i="20"/>
  <c r="G557" i="20"/>
  <c r="W219" i="20"/>
  <c r="J467" i="20"/>
  <c r="AF31" i="20" s="1"/>
  <c r="G444" i="20"/>
  <c r="G440" i="20" s="1"/>
  <c r="X159" i="20" s="1"/>
  <c r="G441" i="20"/>
  <c r="J438" i="20"/>
  <c r="AF30" i="20" s="1"/>
  <c r="J293" i="20"/>
  <c r="AF25" i="20" s="1"/>
  <c r="E237" i="20"/>
  <c r="V89" i="20" s="1"/>
  <c r="F237" i="20"/>
  <c r="W89" i="20" s="1"/>
  <c r="F208" i="20"/>
  <c r="W79" i="20" s="1"/>
  <c r="G150" i="20"/>
  <c r="X59" i="20" s="1"/>
  <c r="V281" i="20"/>
  <c r="V282" i="20"/>
  <c r="V283" i="20" s="1"/>
  <c r="F34" i="20"/>
  <c r="W19" i="20" s="1"/>
  <c r="J554" i="20"/>
  <c r="AF34" i="20" s="1"/>
  <c r="J206" i="20"/>
  <c r="AF22" i="20" s="1"/>
  <c r="J119" i="20"/>
  <c r="AF19" i="20" s="1"/>
  <c r="T250" i="20"/>
  <c r="AA214" i="20"/>
  <c r="C354" i="20"/>
  <c r="C357" i="20"/>
  <c r="T128" i="20"/>
  <c r="C356" i="20"/>
  <c r="D96" i="20"/>
  <c r="D93" i="20"/>
  <c r="U38" i="20"/>
  <c r="D95" i="20"/>
  <c r="C241" i="20"/>
  <c r="C238" i="20"/>
  <c r="T88" i="20"/>
  <c r="C240" i="20"/>
  <c r="C589" i="20"/>
  <c r="C586" i="20"/>
  <c r="T208" i="20"/>
  <c r="C588" i="20"/>
  <c r="C585" i="20" s="1"/>
  <c r="T209" i="20" s="1"/>
  <c r="F382" i="20"/>
  <c r="W139" i="20" s="1"/>
  <c r="E473" i="20"/>
  <c r="E470" i="20"/>
  <c r="V168" i="20"/>
  <c r="E472" i="20"/>
  <c r="E499" i="20"/>
  <c r="E502" i="20"/>
  <c r="V178" i="20"/>
  <c r="E501" i="20"/>
  <c r="G238" i="20"/>
  <c r="G241" i="20"/>
  <c r="G240" i="20"/>
  <c r="X88" i="20"/>
  <c r="D325" i="20"/>
  <c r="D328" i="20"/>
  <c r="U118" i="20"/>
  <c r="D327" i="20"/>
  <c r="C96" i="20"/>
  <c r="C93" i="20"/>
  <c r="T38" i="20"/>
  <c r="C95" i="20"/>
  <c r="T242" i="20"/>
  <c r="AA134" i="20"/>
  <c r="AA144" i="20"/>
  <c r="G357" i="20"/>
  <c r="G354" i="20"/>
  <c r="G356" i="20"/>
  <c r="X128" i="20"/>
  <c r="J32" i="20"/>
  <c r="AF16" i="20" s="1"/>
  <c r="U281" i="20"/>
  <c r="U223" i="20"/>
  <c r="AA84" i="20"/>
  <c r="K145" i="20"/>
  <c r="P145" i="20" s="1"/>
  <c r="J148" i="20" s="1"/>
  <c r="AF20" i="20" s="1"/>
  <c r="J145" i="20"/>
  <c r="W61" i="20" s="1"/>
  <c r="W60" i="20"/>
  <c r="W281" i="20" s="1"/>
  <c r="T236" i="20"/>
  <c r="AA74" i="20"/>
  <c r="AL106" i="20"/>
  <c r="AL111" i="20"/>
  <c r="AL103" i="20"/>
  <c r="AL105" i="20"/>
  <c r="F299" i="20"/>
  <c r="F296" i="20"/>
  <c r="W108" i="20"/>
  <c r="F298" i="20"/>
  <c r="AA114" i="20"/>
  <c r="G589" i="20"/>
  <c r="G586" i="20"/>
  <c r="X208" i="20"/>
  <c r="G588" i="20"/>
  <c r="D209" i="20"/>
  <c r="D212" i="20"/>
  <c r="U78" i="20"/>
  <c r="D211" i="20"/>
  <c r="F122" i="20"/>
  <c r="F125" i="20"/>
  <c r="W48" i="20"/>
  <c r="F124" i="20"/>
  <c r="C122" i="20"/>
  <c r="T48" i="20"/>
  <c r="C125" i="20"/>
  <c r="C124" i="20"/>
  <c r="F93" i="20"/>
  <c r="W38" i="20"/>
  <c r="F96" i="20"/>
  <c r="F95" i="20"/>
  <c r="D151" i="20"/>
  <c r="D154" i="20"/>
  <c r="U58" i="20"/>
  <c r="D153" i="20"/>
  <c r="C469" i="20"/>
  <c r="T169" i="20" s="1"/>
  <c r="E63" i="20"/>
  <c r="V29" i="20" s="1"/>
  <c r="T245" i="20"/>
  <c r="AA164" i="20"/>
  <c r="C266" i="20"/>
  <c r="T99" i="20" s="1"/>
  <c r="E440" i="20"/>
  <c r="V159" i="20" s="1"/>
  <c r="U291" i="20"/>
  <c r="U292" i="20" s="1"/>
  <c r="U290" i="20"/>
  <c r="U231" i="20"/>
  <c r="U227" i="20"/>
  <c r="F183" i="20"/>
  <c r="F180" i="20"/>
  <c r="W68" i="20"/>
  <c r="F182" i="20"/>
  <c r="G499" i="20"/>
  <c r="G502" i="20"/>
  <c r="X178" i="20"/>
  <c r="G501" i="20"/>
  <c r="C38" i="20"/>
  <c r="C35" i="20"/>
  <c r="T18" i="20"/>
  <c r="C37" i="20"/>
  <c r="D440" i="20"/>
  <c r="U159" i="20" s="1"/>
  <c r="D241" i="20"/>
  <c r="D238" i="20"/>
  <c r="U88" i="20"/>
  <c r="D240" i="20"/>
  <c r="T234" i="20"/>
  <c r="AA54" i="20"/>
  <c r="Z275" i="20"/>
  <c r="AY22" i="20"/>
  <c r="BA19" i="20"/>
  <c r="BA16" i="20"/>
  <c r="AX22" i="20"/>
  <c r="BC20" i="20"/>
  <c r="AZ19" i="20"/>
  <c r="AZ16" i="20"/>
  <c r="BC13" i="20"/>
  <c r="BB20" i="20"/>
  <c r="AY19" i="20"/>
  <c r="BC17" i="20"/>
  <c r="AY16" i="20"/>
  <c r="BB13" i="20"/>
  <c r="BA20" i="20"/>
  <c r="AX19" i="20"/>
  <c r="BB17" i="20"/>
  <c r="AX16" i="20"/>
  <c r="BA13" i="20"/>
  <c r="BC23" i="20"/>
  <c r="BC21" i="20"/>
  <c r="AZ20" i="20"/>
  <c r="BA17" i="20"/>
  <c r="AZ13" i="20"/>
  <c r="BB23" i="20"/>
  <c r="BB21" i="20"/>
  <c r="AY20" i="20"/>
  <c r="AZ17" i="20"/>
  <c r="AY13" i="20"/>
  <c r="BA23" i="20"/>
  <c r="BA21" i="20"/>
  <c r="AX20" i="20"/>
  <c r="BC18" i="20"/>
  <c r="AY17" i="20"/>
  <c r="BC15" i="20"/>
  <c r="BC14" i="20"/>
  <c r="AX13" i="20"/>
  <c r="AZ23" i="20"/>
  <c r="AZ21" i="20"/>
  <c r="BB18" i="20"/>
  <c r="AX17" i="20"/>
  <c r="BB15" i="20"/>
  <c r="BB14" i="20"/>
  <c r="AY23" i="20"/>
  <c r="BC22" i="20"/>
  <c r="AY21" i="20"/>
  <c r="BA18" i="20"/>
  <c r="BA15" i="20"/>
  <c r="BA14" i="20"/>
  <c r="AX23" i="20"/>
  <c r="BB22" i="20"/>
  <c r="AX21" i="20"/>
  <c r="AZ18" i="20"/>
  <c r="AZ15" i="20"/>
  <c r="AZ14" i="20"/>
  <c r="BA22" i="20"/>
  <c r="BC19" i="20"/>
  <c r="AY18" i="20"/>
  <c r="BC16" i="20"/>
  <c r="AY15" i="20"/>
  <c r="AY14" i="20"/>
  <c r="AZ22" i="20"/>
  <c r="BB19" i="20"/>
  <c r="AX18" i="20"/>
  <c r="BB16" i="20"/>
  <c r="AX15" i="20"/>
  <c r="AX14" i="20"/>
  <c r="U219" i="20"/>
  <c r="G92" i="20"/>
  <c r="X39" i="20" s="1"/>
  <c r="D63" i="20"/>
  <c r="U29" i="20" s="1"/>
  <c r="C527" i="20"/>
  <c r="T189" i="20" s="1"/>
  <c r="E34" i="20"/>
  <c r="V19" i="20" s="1"/>
  <c r="T275" i="20"/>
  <c r="T219" i="20"/>
  <c r="T24" i="20"/>
  <c r="D415" i="20"/>
  <c r="D412" i="20"/>
  <c r="U148" i="20"/>
  <c r="D414" i="20"/>
  <c r="D356" i="20"/>
  <c r="D357" i="20"/>
  <c r="D354" i="20"/>
  <c r="U128" i="20"/>
  <c r="W291" i="20"/>
  <c r="W292" i="20" s="1"/>
  <c r="W290" i="20"/>
  <c r="W227" i="20"/>
  <c r="W231" i="20"/>
  <c r="C328" i="20"/>
  <c r="C325" i="20"/>
  <c r="T118" i="20"/>
  <c r="C327" i="20"/>
  <c r="C67" i="20"/>
  <c r="T28" i="20"/>
  <c r="C64" i="20"/>
  <c r="C66" i="20"/>
  <c r="E299" i="20"/>
  <c r="E296" i="20"/>
  <c r="V108" i="20"/>
  <c r="E298" i="20"/>
  <c r="E295" i="20" s="1"/>
  <c r="V109" i="20" s="1"/>
  <c r="V291" i="20"/>
  <c r="V292" i="20" s="1"/>
  <c r="V290" i="20"/>
  <c r="V227" i="20"/>
  <c r="V231" i="20"/>
  <c r="G183" i="20"/>
  <c r="G180" i="20"/>
  <c r="X68" i="20"/>
  <c r="G182" i="20"/>
  <c r="AN106" i="20"/>
  <c r="AN105" i="20"/>
  <c r="AN111" i="20"/>
  <c r="AN103" i="20"/>
  <c r="J235" i="20"/>
  <c r="AF23" i="20" s="1"/>
  <c r="J409" i="20"/>
  <c r="AF29" i="20" s="1"/>
  <c r="G412" i="20"/>
  <c r="G415" i="20"/>
  <c r="X148" i="20"/>
  <c r="G414" i="20"/>
  <c r="K490" i="20"/>
  <c r="P490" i="20" s="1"/>
  <c r="J496" i="20" s="1"/>
  <c r="AF32" i="20" s="1"/>
  <c r="J490" i="20"/>
  <c r="T181" i="20" s="1"/>
  <c r="T180" i="20"/>
  <c r="T232" i="20"/>
  <c r="C386" i="20"/>
  <c r="C383" i="20"/>
  <c r="T138" i="20"/>
  <c r="C385" i="20"/>
  <c r="G328" i="20"/>
  <c r="G325" i="20"/>
  <c r="X118" i="20"/>
  <c r="G327" i="20"/>
  <c r="V219" i="20"/>
  <c r="AA184" i="20"/>
  <c r="E531" i="20"/>
  <c r="E528" i="20"/>
  <c r="V188" i="20"/>
  <c r="E530" i="20"/>
  <c r="E527" i="20" s="1"/>
  <c r="V189" i="20" s="1"/>
  <c r="E270" i="20"/>
  <c r="E267" i="20"/>
  <c r="V98" i="20"/>
  <c r="E269" i="20"/>
  <c r="F325" i="20"/>
  <c r="F328" i="20"/>
  <c r="W118" i="20"/>
  <c r="F327" i="20"/>
  <c r="J580" i="20"/>
  <c r="W211" i="20" s="1"/>
  <c r="K580" i="20"/>
  <c r="W210" i="20"/>
  <c r="P580" i="20"/>
  <c r="J583" i="20" s="1"/>
  <c r="AF35" i="20" s="1"/>
  <c r="G270" i="20"/>
  <c r="G267" i="20"/>
  <c r="X98" i="20"/>
  <c r="G269" i="20"/>
  <c r="D35" i="20"/>
  <c r="U18" i="20"/>
  <c r="D38" i="20"/>
  <c r="D37" i="20"/>
  <c r="T238" i="20"/>
  <c r="AA94" i="20"/>
  <c r="C180" i="20"/>
  <c r="C183" i="20"/>
  <c r="T68" i="20"/>
  <c r="C182" i="20"/>
  <c r="C151" i="20"/>
  <c r="C154" i="20"/>
  <c r="T58" i="20"/>
  <c r="C153" i="20"/>
  <c r="AO111" i="20"/>
  <c r="AO106" i="20"/>
  <c r="AO103" i="20"/>
  <c r="AO105" i="20"/>
  <c r="T235" i="20"/>
  <c r="AA64" i="20"/>
  <c r="G469" i="20"/>
  <c r="X169" i="20" s="1"/>
  <c r="J322" i="20"/>
  <c r="AF26" i="20" s="1"/>
  <c r="D498" i="20"/>
  <c r="U179" i="20" s="1"/>
  <c r="K258" i="20"/>
  <c r="P258" i="20" s="1"/>
  <c r="J264" i="20" s="1"/>
  <c r="AF24" i="20" s="1"/>
  <c r="J258" i="20"/>
  <c r="T101" i="20" s="1"/>
  <c r="T100" i="20"/>
  <c r="G295" i="20"/>
  <c r="X109" i="20" s="1"/>
  <c r="C560" i="20"/>
  <c r="C557" i="20"/>
  <c r="T198" i="20"/>
  <c r="C559" i="20"/>
  <c r="C556" i="20" s="1"/>
  <c r="T199" i="20" s="1"/>
  <c r="AA44" i="20"/>
  <c r="G528" i="20"/>
  <c r="G531" i="20"/>
  <c r="X188" i="20"/>
  <c r="G530" i="20"/>
  <c r="J380" i="20"/>
  <c r="AF28" i="20" s="1"/>
  <c r="V246" i="20"/>
  <c r="AA174" i="20"/>
  <c r="D299" i="20"/>
  <c r="D296" i="20"/>
  <c r="U108" i="20"/>
  <c r="D298" i="20"/>
  <c r="C412" i="20"/>
  <c r="C415" i="20"/>
  <c r="T148" i="20"/>
  <c r="C414" i="20"/>
  <c r="D589" i="20"/>
  <c r="D586" i="20"/>
  <c r="U208" i="20"/>
  <c r="D588" i="20"/>
  <c r="E93" i="20"/>
  <c r="E96" i="20"/>
  <c r="V38" i="20"/>
  <c r="E95" i="20"/>
  <c r="C502" i="20"/>
  <c r="C499" i="20"/>
  <c r="T178" i="20"/>
  <c r="C501" i="20"/>
  <c r="E353" i="20"/>
  <c r="V129" i="20" s="1"/>
  <c r="K84" i="20"/>
  <c r="P84" i="20" s="1"/>
  <c r="J90" i="20" s="1"/>
  <c r="AF18" i="20" s="1"/>
  <c r="J84" i="20"/>
  <c r="T41" i="20" s="1"/>
  <c r="T282" i="20" s="1"/>
  <c r="T283" i="20" s="1"/>
  <c r="T40" i="20"/>
  <c r="T281" i="20" s="1"/>
  <c r="AA194" i="20"/>
  <c r="F63" i="20"/>
  <c r="W29" i="20" s="1"/>
  <c r="G64" i="20"/>
  <c r="G67" i="20"/>
  <c r="X28" i="20"/>
  <c r="G66" i="20"/>
  <c r="AA154" i="20"/>
  <c r="AP106" i="20"/>
  <c r="AP103" i="20"/>
  <c r="AP111" i="20"/>
  <c r="AP105" i="20"/>
  <c r="C299" i="20"/>
  <c r="C296" i="20"/>
  <c r="T108" i="20"/>
  <c r="C298" i="20"/>
  <c r="D124" i="20"/>
  <c r="D122" i="20"/>
  <c r="U48" i="20"/>
  <c r="D125" i="20"/>
  <c r="J173" i="20"/>
  <c r="V71" i="20" s="1"/>
  <c r="V224" i="20" s="1"/>
  <c r="K173" i="20"/>
  <c r="P173" i="20" s="1"/>
  <c r="J177" i="20" s="1"/>
  <c r="AF21" i="20" s="1"/>
  <c r="V70" i="20"/>
  <c r="V223" i="20" s="1"/>
  <c r="G125" i="20"/>
  <c r="G122" i="20"/>
  <c r="X48" i="20"/>
  <c r="G124" i="20"/>
  <c r="D266" i="20"/>
  <c r="U99" i="20" s="1"/>
  <c r="X34" i="20"/>
  <c r="X275" i="20"/>
  <c r="X219" i="20"/>
  <c r="U282" i="20"/>
  <c r="U283" i="20" s="1"/>
  <c r="U224" i="20"/>
  <c r="E324" i="20"/>
  <c r="V119" i="20" s="1"/>
  <c r="X281" i="20"/>
  <c r="X223" i="20"/>
  <c r="AM106" i="20"/>
  <c r="AM105" i="20"/>
  <c r="AM111" i="20"/>
  <c r="AM103" i="20"/>
  <c r="C444" i="20"/>
  <c r="C443" i="20"/>
  <c r="C441" i="20"/>
  <c r="T158" i="20"/>
  <c r="E589" i="20"/>
  <c r="E586" i="20"/>
  <c r="V208" i="20"/>
  <c r="E588" i="20"/>
  <c r="E560" i="20"/>
  <c r="E557" i="20"/>
  <c r="V198" i="20"/>
  <c r="E559" i="20"/>
  <c r="AA124" i="20"/>
  <c r="F588" i="20"/>
  <c r="F585" i="20" s="1"/>
  <c r="W209" i="20" s="1"/>
  <c r="F560" i="20"/>
  <c r="F557" i="20"/>
  <c r="W198" i="20"/>
  <c r="F559" i="20"/>
  <c r="D383" i="20"/>
  <c r="D386" i="20"/>
  <c r="U138" i="20"/>
  <c r="D385" i="20"/>
  <c r="K519" i="20"/>
  <c r="P519" i="20" s="1"/>
  <c r="J525" i="20" s="1"/>
  <c r="AF33" i="20" s="1"/>
  <c r="J519" i="20"/>
  <c r="T191" i="20" s="1"/>
  <c r="T190" i="20"/>
  <c r="F412" i="20"/>
  <c r="F415" i="20"/>
  <c r="W148" i="20"/>
  <c r="F414" i="20"/>
  <c r="X224" i="20"/>
  <c r="X282" i="20"/>
  <c r="X283" i="20" s="1"/>
  <c r="AP99" i="18"/>
  <c r="AP109" i="18" s="1"/>
  <c r="AP117" i="18" s="1"/>
  <c r="H579" i="18"/>
  <c r="I579" i="18" s="1"/>
  <c r="J579" i="18" s="1"/>
  <c r="V211" i="18" s="1"/>
  <c r="H581" i="18"/>
  <c r="D583" i="18"/>
  <c r="U207" i="18" s="1"/>
  <c r="U215" i="18" s="1"/>
  <c r="F553" i="18"/>
  <c r="W196" i="18" s="1"/>
  <c r="W204" i="18" s="1"/>
  <c r="W249" i="18" s="1"/>
  <c r="H520" i="18"/>
  <c r="F495" i="18"/>
  <c r="W176" i="18" s="1"/>
  <c r="W184" i="18" s="1"/>
  <c r="W247" i="18" s="1"/>
  <c r="H492" i="18"/>
  <c r="I492" i="18" s="1"/>
  <c r="E495" i="18"/>
  <c r="V176" i="18" s="1"/>
  <c r="V184" i="18" s="1"/>
  <c r="V247" i="18" s="1"/>
  <c r="H463" i="18"/>
  <c r="I463" i="18" s="1"/>
  <c r="D438" i="18"/>
  <c r="U157" i="18" s="1"/>
  <c r="U165" i="18" s="1"/>
  <c r="W150" i="18"/>
  <c r="H404" i="18"/>
  <c r="I404" i="18" s="1"/>
  <c r="J404" i="18" s="1"/>
  <c r="U151" i="18" s="1"/>
  <c r="G380" i="18"/>
  <c r="X137" i="18" s="1"/>
  <c r="X145" i="18" s="1"/>
  <c r="H349" i="18"/>
  <c r="I349" i="18" s="1"/>
  <c r="J349" i="18" s="1"/>
  <c r="X131" i="18" s="1"/>
  <c r="K347" i="18"/>
  <c r="P347" i="18" s="1"/>
  <c r="J347" i="18"/>
  <c r="V131" i="18" s="1"/>
  <c r="H318" i="18"/>
  <c r="F322" i="18"/>
  <c r="W117" i="18" s="1"/>
  <c r="W125" i="18" s="1"/>
  <c r="H233" i="18"/>
  <c r="D206" i="18"/>
  <c r="U77" i="18" s="1"/>
  <c r="U85" i="18" s="1"/>
  <c r="G205" i="18"/>
  <c r="X76" i="18" s="1"/>
  <c r="X84" i="18" s="1"/>
  <c r="X237" i="18" s="1"/>
  <c r="E177" i="18"/>
  <c r="V67" i="18" s="1"/>
  <c r="V75" i="18" s="1"/>
  <c r="G147" i="18"/>
  <c r="X56" i="18" s="1"/>
  <c r="X64" i="18" s="1"/>
  <c r="X235" i="18" s="1"/>
  <c r="H27" i="18"/>
  <c r="I27" i="18" s="1"/>
  <c r="U20" i="18" s="1"/>
  <c r="H28" i="18"/>
  <c r="I28" i="18" s="1"/>
  <c r="H579" i="17"/>
  <c r="I579" i="17" s="1"/>
  <c r="H465" i="17"/>
  <c r="G437" i="17"/>
  <c r="X156" i="17" s="1"/>
  <c r="X164" i="17" s="1"/>
  <c r="X245" i="17" s="1"/>
  <c r="I374" i="17"/>
  <c r="J374" i="17" s="1"/>
  <c r="T141" i="17" s="1"/>
  <c r="H376" i="17"/>
  <c r="I376" i="17" s="1"/>
  <c r="J376" i="17" s="1"/>
  <c r="V141" i="17" s="1"/>
  <c r="H374" i="17"/>
  <c r="C380" i="17"/>
  <c r="T137" i="17" s="1"/>
  <c r="T145" i="17" s="1"/>
  <c r="F350" i="17"/>
  <c r="W126" i="17" s="1"/>
  <c r="W134" i="17" s="1"/>
  <c r="W242" i="17" s="1"/>
  <c r="C350" i="17"/>
  <c r="T126" i="17" s="1"/>
  <c r="T134" i="17" s="1"/>
  <c r="H317" i="17"/>
  <c r="I317" i="17" s="1"/>
  <c r="D322" i="17"/>
  <c r="U117" i="17" s="1"/>
  <c r="U125" i="17" s="1"/>
  <c r="F322" i="17"/>
  <c r="W117" i="17" s="1"/>
  <c r="W125" i="17" s="1"/>
  <c r="G265" i="17"/>
  <c r="X98" i="17" s="1"/>
  <c r="D265" i="17"/>
  <c r="D270" i="17" s="1"/>
  <c r="H261" i="17"/>
  <c r="I261" i="17" s="1"/>
  <c r="E265" i="17"/>
  <c r="F147" i="17"/>
  <c r="W56" i="17" s="1"/>
  <c r="W64" i="17" s="1"/>
  <c r="W235" i="17" s="1"/>
  <c r="H85" i="17"/>
  <c r="C32" i="17"/>
  <c r="T17" i="17" s="1"/>
  <c r="F31" i="17"/>
  <c r="W16" i="17" s="1"/>
  <c r="W24" i="17" s="1"/>
  <c r="G148" i="17"/>
  <c r="X57" i="17" s="1"/>
  <c r="X65" i="17" s="1"/>
  <c r="D32" i="17"/>
  <c r="U17" i="17" s="1"/>
  <c r="U25" i="17" s="1"/>
  <c r="G321" i="17"/>
  <c r="X116" i="17" s="1"/>
  <c r="X124" i="17" s="1"/>
  <c r="X241" i="17" s="1"/>
  <c r="G466" i="17"/>
  <c r="X166" i="17" s="1"/>
  <c r="X174" i="17" s="1"/>
  <c r="X246" i="17" s="1"/>
  <c r="H115" i="17"/>
  <c r="I115" i="17" s="1"/>
  <c r="G380" i="17"/>
  <c r="X137" i="17" s="1"/>
  <c r="X145" i="17" s="1"/>
  <c r="AP99" i="17"/>
  <c r="AP109" i="17" s="1"/>
  <c r="AP117" i="17" s="1"/>
  <c r="E60" i="17"/>
  <c r="E62" i="17" s="1"/>
  <c r="H494" i="17"/>
  <c r="I494" i="17" s="1"/>
  <c r="E351" i="17"/>
  <c r="V127" i="17" s="1"/>
  <c r="V135" i="17" s="1"/>
  <c r="I258" i="17"/>
  <c r="T100" i="17" s="1"/>
  <c r="F148" i="17"/>
  <c r="W57" i="17" s="1"/>
  <c r="W65" i="17" s="1"/>
  <c r="C265" i="17"/>
  <c r="C270" i="17" s="1"/>
  <c r="G467" i="17"/>
  <c r="X167" i="17" s="1"/>
  <c r="X175" i="17" s="1"/>
  <c r="G149" i="17"/>
  <c r="G151" i="17" s="1"/>
  <c r="G381" i="17"/>
  <c r="X138" i="17" s="1"/>
  <c r="E321" i="17"/>
  <c r="V116" i="17" s="1"/>
  <c r="V124" i="17" s="1"/>
  <c r="V241" i="17" s="1"/>
  <c r="AL110" i="17"/>
  <c r="AM110" i="17"/>
  <c r="F380" i="17"/>
  <c r="W137" i="17" s="1"/>
  <c r="W145" i="17" s="1"/>
  <c r="E263" i="18"/>
  <c r="V96" i="18" s="1"/>
  <c r="V104" i="18" s="1"/>
  <c r="V239" i="18" s="1"/>
  <c r="H375" i="18"/>
  <c r="I375" i="18" s="1"/>
  <c r="K375" i="18" s="1"/>
  <c r="P375" i="18" s="1"/>
  <c r="F147" i="18"/>
  <c r="G438" i="18"/>
  <c r="X157" i="18" s="1"/>
  <c r="X165" i="18" s="1"/>
  <c r="G467" i="18"/>
  <c r="X167" i="18" s="1"/>
  <c r="X175" i="18" s="1"/>
  <c r="AM110" i="18"/>
  <c r="J114" i="18"/>
  <c r="U51" i="18" s="1"/>
  <c r="G263" i="18"/>
  <c r="X96" i="18" s="1"/>
  <c r="X104" i="18" s="1"/>
  <c r="X239" i="18" s="1"/>
  <c r="H462" i="18"/>
  <c r="I462" i="18" s="1"/>
  <c r="P114" i="18"/>
  <c r="H378" i="18"/>
  <c r="I378" i="18" s="1"/>
  <c r="J378" i="18" s="1"/>
  <c r="X141" i="18" s="1"/>
  <c r="H549" i="18"/>
  <c r="G583" i="18"/>
  <c r="X207" i="18" s="1"/>
  <c r="X215" i="18" s="1"/>
  <c r="H85" i="18"/>
  <c r="U50" i="18"/>
  <c r="F467" i="18"/>
  <c r="W167" i="18" s="1"/>
  <c r="W175" i="18" s="1"/>
  <c r="F525" i="18"/>
  <c r="W187" i="18" s="1"/>
  <c r="W195" i="18" s="1"/>
  <c r="G554" i="18"/>
  <c r="X197" i="18" s="1"/>
  <c r="X205" i="18" s="1"/>
  <c r="E147" i="18"/>
  <c r="V56" i="18" s="1"/>
  <c r="V64" i="18" s="1"/>
  <c r="V235" i="18" s="1"/>
  <c r="F583" i="18"/>
  <c r="W207" i="18" s="1"/>
  <c r="W215" i="18" s="1"/>
  <c r="C206" i="18"/>
  <c r="T77" i="18" s="1"/>
  <c r="T85" i="18" s="1"/>
  <c r="E321" i="18"/>
  <c r="V116" i="18" s="1"/>
  <c r="V124" i="18" s="1"/>
  <c r="V241" i="18" s="1"/>
  <c r="G525" i="18"/>
  <c r="X187" i="18" s="1"/>
  <c r="X195" i="18" s="1"/>
  <c r="C379" i="18"/>
  <c r="T136" i="18" s="1"/>
  <c r="T144" i="18" s="1"/>
  <c r="E206" i="18"/>
  <c r="V77" i="18" s="1"/>
  <c r="V85" i="18" s="1"/>
  <c r="D525" i="18"/>
  <c r="U187" i="18" s="1"/>
  <c r="U195" i="18" s="1"/>
  <c r="D495" i="18"/>
  <c r="U176" i="18" s="1"/>
  <c r="U184" i="18" s="1"/>
  <c r="U247" i="18" s="1"/>
  <c r="G322" i="18"/>
  <c r="X117" i="18" s="1"/>
  <c r="X125" i="18" s="1"/>
  <c r="P550" i="18"/>
  <c r="C264" i="18"/>
  <c r="T97" i="18" s="1"/>
  <c r="T105" i="18" s="1"/>
  <c r="E525" i="18"/>
  <c r="V187" i="18" s="1"/>
  <c r="V195" i="18" s="1"/>
  <c r="E119" i="18"/>
  <c r="V47" i="18" s="1"/>
  <c r="V55" i="18" s="1"/>
  <c r="D263" i="18"/>
  <c r="U96" i="18" s="1"/>
  <c r="U104" i="18" s="1"/>
  <c r="U239" i="18" s="1"/>
  <c r="AN99" i="18"/>
  <c r="AN109" i="18" s="1"/>
  <c r="AN117" i="18" s="1"/>
  <c r="H319" i="18"/>
  <c r="G177" i="18"/>
  <c r="X67" i="18" s="1"/>
  <c r="X75" i="18" s="1"/>
  <c r="G60" i="18"/>
  <c r="X26" i="18" s="1"/>
  <c r="X34" i="18" s="1"/>
  <c r="X232" i="18" s="1"/>
  <c r="G119" i="18"/>
  <c r="X47" i="18" s="1"/>
  <c r="X55" i="18" s="1"/>
  <c r="H143" i="18"/>
  <c r="H147" i="18" s="1"/>
  <c r="I148" i="18" s="1"/>
  <c r="AE20" i="18" s="1"/>
  <c r="K463" i="18"/>
  <c r="P463" i="18" s="1"/>
  <c r="J463" i="18"/>
  <c r="V171" i="18" s="1"/>
  <c r="V170" i="18"/>
  <c r="K173" i="18"/>
  <c r="P173" i="18" s="1"/>
  <c r="J173" i="18"/>
  <c r="V71" i="18" s="1"/>
  <c r="V70" i="18"/>
  <c r="J435" i="18"/>
  <c r="W161" i="18" s="1"/>
  <c r="K435" i="18"/>
  <c r="P435" i="18" s="1"/>
  <c r="W160" i="18"/>
  <c r="AO113" i="18"/>
  <c r="AT97" i="18"/>
  <c r="AY97" i="18" s="1"/>
  <c r="AS97" i="18"/>
  <c r="AO114" i="18" s="1"/>
  <c r="K86" i="18"/>
  <c r="P86" i="18" s="1"/>
  <c r="J86" i="18"/>
  <c r="V41" i="18" s="1"/>
  <c r="V40" i="18"/>
  <c r="K145" i="18"/>
  <c r="P145" i="18" s="1"/>
  <c r="J145" i="18"/>
  <c r="W61" i="18" s="1"/>
  <c r="W60" i="18"/>
  <c r="K58" i="18"/>
  <c r="P58" i="18" s="1"/>
  <c r="J58" i="18"/>
  <c r="W31" i="18" s="1"/>
  <c r="W30" i="18"/>
  <c r="J348" i="18"/>
  <c r="W131" i="18" s="1"/>
  <c r="K348" i="18"/>
  <c r="P348" i="18" s="1"/>
  <c r="W130" i="18"/>
  <c r="K172" i="18"/>
  <c r="P172" i="18" s="1"/>
  <c r="J172" i="18"/>
  <c r="U71" i="18" s="1"/>
  <c r="U70" i="18"/>
  <c r="K464" i="18"/>
  <c r="P464" i="18" s="1"/>
  <c r="J464" i="18"/>
  <c r="W171" i="18" s="1"/>
  <c r="W170" i="18"/>
  <c r="K522" i="18"/>
  <c r="P522" i="18" s="1"/>
  <c r="J522" i="18"/>
  <c r="W191" i="18" s="1"/>
  <c r="W190" i="18"/>
  <c r="J144" i="18"/>
  <c r="V61" i="18" s="1"/>
  <c r="K144" i="18"/>
  <c r="P144" i="18" s="1"/>
  <c r="V60" i="18"/>
  <c r="J407" i="18"/>
  <c r="X151" i="18" s="1"/>
  <c r="X150" i="18"/>
  <c r="K407" i="18"/>
  <c r="P407" i="18" s="1"/>
  <c r="K29" i="18"/>
  <c r="P29" i="18" s="1"/>
  <c r="J29" i="18"/>
  <c r="W21" i="18" s="1"/>
  <c r="W20" i="18"/>
  <c r="J87" i="18"/>
  <c r="W41" i="18" s="1"/>
  <c r="K87" i="18"/>
  <c r="P87" i="18" s="1"/>
  <c r="W40" i="18"/>
  <c r="D31" i="18"/>
  <c r="D32" i="18"/>
  <c r="U17" i="18" s="1"/>
  <c r="F263" i="18"/>
  <c r="W96" i="18" s="1"/>
  <c r="W104" i="18" s="1"/>
  <c r="W239" i="18" s="1"/>
  <c r="BI40" i="18"/>
  <c r="BJ40" i="18" s="1"/>
  <c r="BJ57" i="18"/>
  <c r="AO99" i="18"/>
  <c r="F89" i="18"/>
  <c r="F90" i="18"/>
  <c r="W37" i="18" s="1"/>
  <c r="W45" i="18" s="1"/>
  <c r="H291" i="18"/>
  <c r="I291" i="18" s="1"/>
  <c r="E408" i="18"/>
  <c r="E409" i="18"/>
  <c r="V147" i="18" s="1"/>
  <c r="V155" i="18" s="1"/>
  <c r="AQ96" i="18"/>
  <c r="G553" i="18"/>
  <c r="X196" i="18" s="1"/>
  <c r="X204" i="18" s="1"/>
  <c r="X249" i="18" s="1"/>
  <c r="G496" i="18"/>
  <c r="X177" i="18" s="1"/>
  <c r="X185" i="18" s="1"/>
  <c r="H494" i="18"/>
  <c r="I494" i="18" s="1"/>
  <c r="I143" i="18"/>
  <c r="D149" i="18"/>
  <c r="C31" i="18"/>
  <c r="T16" i="18" s="1"/>
  <c r="H26" i="18"/>
  <c r="C32" i="18"/>
  <c r="T17" i="18" s="1"/>
  <c r="C350" i="18"/>
  <c r="T126" i="18" s="1"/>
  <c r="T134" i="18" s="1"/>
  <c r="H345" i="18"/>
  <c r="C351" i="18"/>
  <c r="T127" i="18" s="1"/>
  <c r="T135" i="18" s="1"/>
  <c r="D466" i="18"/>
  <c r="U166" i="18" s="1"/>
  <c r="U174" i="18" s="1"/>
  <c r="U246" i="18" s="1"/>
  <c r="J374" i="18"/>
  <c r="T141" i="18" s="1"/>
  <c r="T140" i="18"/>
  <c r="G89" i="18"/>
  <c r="G90" i="18"/>
  <c r="X37" i="18" s="1"/>
  <c r="X45" i="18" s="1"/>
  <c r="F408" i="18"/>
  <c r="F409" i="18"/>
  <c r="W147" i="18" s="1"/>
  <c r="W155" i="18" s="1"/>
  <c r="H433" i="18"/>
  <c r="I433" i="18" s="1"/>
  <c r="H578" i="18"/>
  <c r="I578" i="18" s="1"/>
  <c r="AQ95" i="18"/>
  <c r="AR95" i="18" s="1"/>
  <c r="H231" i="18"/>
  <c r="I231" i="18" s="1"/>
  <c r="H288" i="18"/>
  <c r="I288" i="18" s="1"/>
  <c r="I233" i="18"/>
  <c r="H377" i="18"/>
  <c r="I377" i="18" s="1"/>
  <c r="E31" i="18"/>
  <c r="V16" i="18" s="1"/>
  <c r="E32" i="18"/>
  <c r="V17" i="18" s="1"/>
  <c r="C582" i="18"/>
  <c r="T206" i="18" s="1"/>
  <c r="T214" i="18" s="1"/>
  <c r="H577" i="18"/>
  <c r="E466" i="18"/>
  <c r="G582" i="18"/>
  <c r="X206" i="18" s="1"/>
  <c r="X214" i="18" s="1"/>
  <c r="X250" i="18" s="1"/>
  <c r="BI56" i="18"/>
  <c r="BJ56" i="18" s="1"/>
  <c r="BI49" i="18"/>
  <c r="BJ49" i="18" s="1"/>
  <c r="BI51" i="18"/>
  <c r="BJ51" i="18" s="1"/>
  <c r="BI45" i="18"/>
  <c r="BJ45" i="18" s="1"/>
  <c r="BI41" i="18"/>
  <c r="BJ41" i="18" s="1"/>
  <c r="BI43" i="18"/>
  <c r="BJ43" i="18" s="1"/>
  <c r="BI54" i="18"/>
  <c r="BJ54" i="18" s="1"/>
  <c r="BI42" i="18"/>
  <c r="BJ42" i="18" s="1"/>
  <c r="BI46" i="18"/>
  <c r="BJ46" i="18" s="1"/>
  <c r="BI50" i="18"/>
  <c r="BJ50" i="18" s="1"/>
  <c r="BI52" i="18"/>
  <c r="BJ52" i="18" s="1"/>
  <c r="BI53" i="18"/>
  <c r="BJ53" i="18" s="1"/>
  <c r="BI55" i="18"/>
  <c r="BJ55" i="18" s="1"/>
  <c r="BI44" i="18"/>
  <c r="BJ44" i="18" s="1"/>
  <c r="BI48" i="18"/>
  <c r="BJ48" i="18" s="1"/>
  <c r="BI47" i="18"/>
  <c r="BJ47" i="18" s="1"/>
  <c r="AQ94" i="18"/>
  <c r="AR94" i="18" s="1"/>
  <c r="AL99" i="18"/>
  <c r="AL109" i="18" s="1"/>
  <c r="AL117" i="18" s="1"/>
  <c r="H523" i="18"/>
  <c r="I523" i="18" s="1"/>
  <c r="K56" i="18"/>
  <c r="P56" i="18" s="1"/>
  <c r="U30" i="18"/>
  <c r="J56" i="18"/>
  <c r="U31" i="18" s="1"/>
  <c r="H203" i="18"/>
  <c r="I203" i="18" s="1"/>
  <c r="H201" i="18"/>
  <c r="I201" i="18" s="1"/>
  <c r="F60" i="18"/>
  <c r="D118" i="18"/>
  <c r="H490" i="18"/>
  <c r="C495" i="18"/>
  <c r="T176" i="18" s="1"/>
  <c r="T184" i="18" s="1"/>
  <c r="H261" i="18"/>
  <c r="I261" i="18" s="1"/>
  <c r="I520" i="18"/>
  <c r="F31" i="18"/>
  <c r="F32" i="18"/>
  <c r="W17" i="18" s="1"/>
  <c r="F264" i="18"/>
  <c r="W97" i="18" s="1"/>
  <c r="W105" i="18" s="1"/>
  <c r="G466" i="18"/>
  <c r="X166" i="18" s="1"/>
  <c r="X174" i="18" s="1"/>
  <c r="X246" i="18" s="1"/>
  <c r="J580" i="18"/>
  <c r="W211" i="18" s="1"/>
  <c r="K580" i="18"/>
  <c r="P580" i="18" s="1"/>
  <c r="W210" i="18"/>
  <c r="J436" i="18"/>
  <c r="X161" i="18" s="1"/>
  <c r="K436" i="18"/>
  <c r="P436" i="18" s="1"/>
  <c r="X160" i="18"/>
  <c r="AM99" i="18"/>
  <c r="AM109" i="18" s="1"/>
  <c r="AM117" i="18" s="1"/>
  <c r="H552" i="18"/>
  <c r="I552" i="18" s="1"/>
  <c r="D62" i="18"/>
  <c r="T285" i="18"/>
  <c r="T286" i="18" s="1"/>
  <c r="T284" i="18"/>
  <c r="T225" i="18"/>
  <c r="D207" i="18"/>
  <c r="C60" i="18"/>
  <c r="T26" i="18" s="1"/>
  <c r="T34" i="18" s="1"/>
  <c r="H55" i="18"/>
  <c r="C118" i="18"/>
  <c r="T46" i="18" s="1"/>
  <c r="T54" i="18" s="1"/>
  <c r="H113" i="18"/>
  <c r="I113" i="18" s="1"/>
  <c r="AR96" i="18"/>
  <c r="C496" i="18"/>
  <c r="T177" i="18" s="1"/>
  <c r="T185" i="18" s="1"/>
  <c r="G31" i="18"/>
  <c r="X16" i="18" s="1"/>
  <c r="G32" i="18"/>
  <c r="X17" i="18" s="1"/>
  <c r="K146" i="18"/>
  <c r="P146" i="18" s="1"/>
  <c r="J146" i="18"/>
  <c r="X61" i="18" s="1"/>
  <c r="X60" i="18"/>
  <c r="C292" i="18"/>
  <c r="T106" i="18" s="1"/>
  <c r="T114" i="18" s="1"/>
  <c r="H287" i="18"/>
  <c r="I287" i="18" s="1"/>
  <c r="C293" i="18"/>
  <c r="T107" i="18" s="1"/>
  <c r="T115" i="18" s="1"/>
  <c r="E234" i="18"/>
  <c r="V86" i="18" s="1"/>
  <c r="V94" i="18" s="1"/>
  <c r="V238" i="18" s="1"/>
  <c r="E235" i="18"/>
  <c r="V87" i="18" s="1"/>
  <c r="V95" i="18" s="1"/>
  <c r="H230" i="18"/>
  <c r="I230" i="18" s="1"/>
  <c r="AL110" i="18"/>
  <c r="BI141" i="18"/>
  <c r="BJ141" i="18" s="1"/>
  <c r="BI158" i="18"/>
  <c r="BJ158" i="18" s="1"/>
  <c r="BI160" i="18"/>
  <c r="BJ160" i="18" s="1"/>
  <c r="BI157" i="18"/>
  <c r="BJ157" i="18" s="1"/>
  <c r="BI143" i="18"/>
  <c r="BJ143" i="18" s="1"/>
  <c r="BI139" i="18"/>
  <c r="BJ139" i="18" s="1"/>
  <c r="BI137" i="18"/>
  <c r="BJ137" i="18" s="1"/>
  <c r="BI118" i="18"/>
  <c r="BJ118" i="18" s="1"/>
  <c r="BI133" i="18"/>
  <c r="BJ133" i="18" s="1"/>
  <c r="BI104" i="18"/>
  <c r="BJ104" i="18" s="1"/>
  <c r="BI148" i="18"/>
  <c r="BJ148" i="18" s="1"/>
  <c r="BI125" i="18"/>
  <c r="BJ125" i="18" s="1"/>
  <c r="BI115" i="18"/>
  <c r="BJ115" i="18" s="1"/>
  <c r="BI156" i="18"/>
  <c r="BJ156" i="18" s="1"/>
  <c r="BI147" i="18"/>
  <c r="BJ147" i="18" s="1"/>
  <c r="BI132" i="18"/>
  <c r="BJ132" i="18" s="1"/>
  <c r="BI117" i="18"/>
  <c r="BJ117" i="18" s="1"/>
  <c r="BI105" i="18"/>
  <c r="BJ105" i="18" s="1"/>
  <c r="BI100" i="18"/>
  <c r="BJ100" i="18" s="1"/>
  <c r="BI99" i="18"/>
  <c r="BJ99" i="18" s="1"/>
  <c r="BI93" i="18"/>
  <c r="BJ93" i="18" s="1"/>
  <c r="BI145" i="18"/>
  <c r="BJ145" i="18" s="1"/>
  <c r="BI120" i="18"/>
  <c r="BJ120" i="18" s="1"/>
  <c r="BI108" i="18"/>
  <c r="BJ108" i="18" s="1"/>
  <c r="BI106" i="18"/>
  <c r="BJ106" i="18" s="1"/>
  <c r="BI85" i="18"/>
  <c r="BJ85" i="18" s="1"/>
  <c r="BI80" i="18"/>
  <c r="BJ80" i="18" s="1"/>
  <c r="BI101" i="18"/>
  <c r="BJ101" i="18" s="1"/>
  <c r="BI113" i="18"/>
  <c r="BJ113" i="18" s="1"/>
  <c r="BI92" i="18"/>
  <c r="BJ92" i="18" s="1"/>
  <c r="BI88" i="18"/>
  <c r="BJ88" i="18" s="1"/>
  <c r="BI83" i="18"/>
  <c r="BJ83" i="18" s="1"/>
  <c r="BI73" i="18"/>
  <c r="BJ73" i="18" s="1"/>
  <c r="BI90" i="18"/>
  <c r="BJ90" i="18" s="1"/>
  <c r="BI75" i="18"/>
  <c r="BJ75" i="18" s="1"/>
  <c r="BI95" i="18"/>
  <c r="BJ95" i="18" s="1"/>
  <c r="BI81" i="18"/>
  <c r="BJ81" i="18" s="1"/>
  <c r="BI68" i="18"/>
  <c r="BJ68" i="18" s="1"/>
  <c r="BI116" i="18"/>
  <c r="BJ116" i="18" s="1"/>
  <c r="BI71" i="18"/>
  <c r="BJ71" i="18" s="1"/>
  <c r="BI66" i="18"/>
  <c r="BJ66" i="18" s="1"/>
  <c r="BI103" i="18"/>
  <c r="BJ103" i="18" s="1"/>
  <c r="BI119" i="18"/>
  <c r="BJ119" i="18" s="1"/>
  <c r="BI110" i="18"/>
  <c r="BJ110" i="18" s="1"/>
  <c r="BI121" i="18"/>
  <c r="BJ121" i="18" s="1"/>
  <c r="BI126" i="18"/>
  <c r="BJ126" i="18" s="1"/>
  <c r="BI161" i="18"/>
  <c r="BJ161" i="18" s="1"/>
  <c r="BI131" i="18"/>
  <c r="BJ131" i="18" s="1"/>
  <c r="BI146" i="18"/>
  <c r="BJ146" i="18" s="1"/>
  <c r="BI78" i="18"/>
  <c r="BJ78" i="18" s="1"/>
  <c r="BI89" i="18"/>
  <c r="BJ89" i="18" s="1"/>
  <c r="BI96" i="18"/>
  <c r="BJ96" i="18" s="1"/>
  <c r="BI94" i="18"/>
  <c r="BJ94" i="18" s="1"/>
  <c r="BI127" i="18"/>
  <c r="BJ127" i="18" s="1"/>
  <c r="BI135" i="18"/>
  <c r="BJ135" i="18" s="1"/>
  <c r="BI79" i="18"/>
  <c r="BJ79" i="18" s="1"/>
  <c r="BI107" i="18"/>
  <c r="BJ107" i="18" s="1"/>
  <c r="BI102" i="18"/>
  <c r="BJ102" i="18" s="1"/>
  <c r="BI149" i="18"/>
  <c r="BJ149" i="18" s="1"/>
  <c r="BI153" i="18"/>
  <c r="BJ153" i="18" s="1"/>
  <c r="BI138" i="18"/>
  <c r="BJ138" i="18" s="1"/>
  <c r="BI111" i="18"/>
  <c r="BJ111" i="18" s="1"/>
  <c r="BI112" i="18"/>
  <c r="BJ112" i="18" s="1"/>
  <c r="BI152" i="18"/>
  <c r="BJ152" i="18" s="1"/>
  <c r="BI142" i="18"/>
  <c r="BJ142" i="18" s="1"/>
  <c r="BI77" i="18"/>
  <c r="BJ77" i="18" s="1"/>
  <c r="BI76" i="18"/>
  <c r="BJ76" i="18" s="1"/>
  <c r="BI98" i="18"/>
  <c r="BJ98" i="18" s="1"/>
  <c r="BI91" i="18"/>
  <c r="BJ91" i="18" s="1"/>
  <c r="BI134" i="18"/>
  <c r="BJ134" i="18" s="1"/>
  <c r="BI124" i="18"/>
  <c r="BJ124" i="18" s="1"/>
  <c r="BI144" i="18"/>
  <c r="BJ144" i="18" s="1"/>
  <c r="BI128" i="18"/>
  <c r="BJ128" i="18" s="1"/>
  <c r="BI114" i="18"/>
  <c r="BJ114" i="18" s="1"/>
  <c r="BI109" i="18"/>
  <c r="BJ109" i="18" s="1"/>
  <c r="BI72" i="18"/>
  <c r="BJ72" i="18" s="1"/>
  <c r="BI123" i="18"/>
  <c r="BJ123" i="18" s="1"/>
  <c r="BI122" i="18"/>
  <c r="BJ122" i="18" s="1"/>
  <c r="BI140" i="18"/>
  <c r="BJ140" i="18" s="1"/>
  <c r="BI150" i="18"/>
  <c r="BJ150" i="18" s="1"/>
  <c r="BI159" i="18"/>
  <c r="BJ159" i="18" s="1"/>
  <c r="BI82" i="18"/>
  <c r="BJ82" i="18" s="1"/>
  <c r="BI70" i="18"/>
  <c r="BJ70" i="18" s="1"/>
  <c r="BI87" i="18"/>
  <c r="BJ87" i="18" s="1"/>
  <c r="BI86" i="18"/>
  <c r="BJ86" i="18" s="1"/>
  <c r="BI151" i="18"/>
  <c r="BJ151" i="18" s="1"/>
  <c r="BI129" i="18"/>
  <c r="BJ129" i="18" s="1"/>
  <c r="BI84" i="18"/>
  <c r="BJ84" i="18" s="1"/>
  <c r="BI67" i="18"/>
  <c r="BJ67" i="18" s="1"/>
  <c r="BI154" i="18"/>
  <c r="BJ154" i="18" s="1"/>
  <c r="BI136" i="18"/>
  <c r="BJ136" i="18" s="1"/>
  <c r="BI74" i="18"/>
  <c r="BJ74" i="18" s="1"/>
  <c r="BI69" i="18"/>
  <c r="BJ69" i="18" s="1"/>
  <c r="BI97" i="18"/>
  <c r="BJ97" i="18" s="1"/>
  <c r="BI155" i="18"/>
  <c r="BJ155" i="18" s="1"/>
  <c r="BI130" i="18"/>
  <c r="BJ130" i="18" s="1"/>
  <c r="E118" i="18"/>
  <c r="V46" i="18" s="1"/>
  <c r="V54" i="18" s="1"/>
  <c r="V234" i="18" s="1"/>
  <c r="F380" i="18"/>
  <c r="W137" i="18" s="1"/>
  <c r="W145" i="18" s="1"/>
  <c r="BJ39" i="18"/>
  <c r="K405" i="18"/>
  <c r="P405" i="18" s="1"/>
  <c r="J405" i="18"/>
  <c r="V151" i="18" s="1"/>
  <c r="V150" i="18"/>
  <c r="F582" i="18"/>
  <c r="H434" i="18"/>
  <c r="I434" i="18" s="1"/>
  <c r="E582" i="18"/>
  <c r="K491" i="18"/>
  <c r="J491" i="18"/>
  <c r="U181" i="18" s="1"/>
  <c r="U180" i="18"/>
  <c r="D292" i="18"/>
  <c r="U106" i="18" s="1"/>
  <c r="U114" i="18" s="1"/>
  <c r="U240" i="18" s="1"/>
  <c r="D293" i="18"/>
  <c r="U107" i="18" s="1"/>
  <c r="U115" i="18" s="1"/>
  <c r="BJ64" i="18"/>
  <c r="E89" i="18"/>
  <c r="E90" i="18"/>
  <c r="V37" i="18" s="1"/>
  <c r="V45" i="18" s="1"/>
  <c r="C466" i="18"/>
  <c r="T166" i="18" s="1"/>
  <c r="T174" i="18" s="1"/>
  <c r="H461" i="18"/>
  <c r="C234" i="18"/>
  <c r="T86" i="18" s="1"/>
  <c r="T94" i="18" s="1"/>
  <c r="H229" i="18"/>
  <c r="C235" i="18"/>
  <c r="T87" i="18" s="1"/>
  <c r="T95" i="18" s="1"/>
  <c r="G321" i="18"/>
  <c r="E553" i="18"/>
  <c r="E554" i="18"/>
  <c r="V197" i="18" s="1"/>
  <c r="V205" i="18" s="1"/>
  <c r="H204" i="18"/>
  <c r="I204" i="18" s="1"/>
  <c r="C553" i="18"/>
  <c r="I142" i="18"/>
  <c r="AN110" i="18"/>
  <c r="F205" i="18"/>
  <c r="W76" i="18" s="1"/>
  <c r="W84" i="18" s="1"/>
  <c r="W237" i="18" s="1"/>
  <c r="F206" i="18"/>
  <c r="W77" i="18" s="1"/>
  <c r="W85" i="18" s="1"/>
  <c r="D379" i="18"/>
  <c r="E60" i="18"/>
  <c r="V26" i="18" s="1"/>
  <c r="V34" i="18" s="1"/>
  <c r="V232" i="18" s="1"/>
  <c r="G118" i="18"/>
  <c r="X46" i="18" s="1"/>
  <c r="X54" i="18" s="1"/>
  <c r="X234" i="18" s="1"/>
  <c r="G495" i="18"/>
  <c r="X176" i="18" s="1"/>
  <c r="X184" i="18" s="1"/>
  <c r="X247" i="18" s="1"/>
  <c r="G379" i="18"/>
  <c r="H30" i="18"/>
  <c r="I30" i="18" s="1"/>
  <c r="E379" i="18"/>
  <c r="V136" i="18" s="1"/>
  <c r="V144" i="18" s="1"/>
  <c r="V243" i="18" s="1"/>
  <c r="E496" i="18"/>
  <c r="V177" i="18" s="1"/>
  <c r="V185" i="18" s="1"/>
  <c r="I85" i="18"/>
  <c r="D497" i="18"/>
  <c r="C583" i="18"/>
  <c r="T207" i="18" s="1"/>
  <c r="T215" i="18" s="1"/>
  <c r="C61" i="18"/>
  <c r="T27" i="18" s="1"/>
  <c r="T35" i="18" s="1"/>
  <c r="E292" i="18"/>
  <c r="V106" i="18" s="1"/>
  <c r="V114" i="18" s="1"/>
  <c r="V240" i="18" s="1"/>
  <c r="E293" i="18"/>
  <c r="V107" i="18" s="1"/>
  <c r="V115" i="18" s="1"/>
  <c r="D234" i="18"/>
  <c r="U86" i="18" s="1"/>
  <c r="U94" i="18" s="1"/>
  <c r="U238" i="18" s="1"/>
  <c r="D235" i="18"/>
  <c r="U87" i="18" s="1"/>
  <c r="U95" i="18" s="1"/>
  <c r="H175" i="18"/>
  <c r="I175" i="18" s="1"/>
  <c r="F524" i="18"/>
  <c r="H59" i="18"/>
  <c r="I59" i="18" s="1"/>
  <c r="C147" i="18"/>
  <c r="F176" i="18"/>
  <c r="W66" i="18" s="1"/>
  <c r="W74" i="18" s="1"/>
  <c r="W236" i="18" s="1"/>
  <c r="H316" i="18"/>
  <c r="C321" i="18"/>
  <c r="T116" i="18" s="1"/>
  <c r="T124" i="18" s="1"/>
  <c r="E437" i="18"/>
  <c r="V156" i="18" s="1"/>
  <c r="V164" i="18" s="1"/>
  <c r="V245" i="18" s="1"/>
  <c r="V285" i="18"/>
  <c r="V286" i="18" s="1"/>
  <c r="V284" i="18"/>
  <c r="V225" i="18"/>
  <c r="F118" i="18"/>
  <c r="I318" i="18"/>
  <c r="D119" i="18"/>
  <c r="U47" i="18" s="1"/>
  <c r="U55" i="18" s="1"/>
  <c r="H521" i="18"/>
  <c r="I521" i="18" s="1"/>
  <c r="D61" i="18"/>
  <c r="U27" i="18" s="1"/>
  <c r="U35" i="18" s="1"/>
  <c r="F497" i="18"/>
  <c r="I493" i="18"/>
  <c r="F292" i="18"/>
  <c r="W106" i="18" s="1"/>
  <c r="W114" i="18" s="1"/>
  <c r="W240" i="18" s="1"/>
  <c r="F293" i="18"/>
  <c r="W107" i="18" s="1"/>
  <c r="W115" i="18" s="1"/>
  <c r="C554" i="18"/>
  <c r="T197" i="18" s="1"/>
  <c r="T205" i="18" s="1"/>
  <c r="H376" i="18"/>
  <c r="H465" i="18"/>
  <c r="I465" i="18" s="1"/>
  <c r="F234" i="18"/>
  <c r="W86" i="18" s="1"/>
  <c r="W94" i="18" s="1"/>
  <c r="W238" i="18" s="1"/>
  <c r="F235" i="18"/>
  <c r="W87" i="18" s="1"/>
  <c r="W95" i="18" s="1"/>
  <c r="G524" i="18"/>
  <c r="X186" i="18" s="1"/>
  <c r="X194" i="18" s="1"/>
  <c r="X248" i="18" s="1"/>
  <c r="F554" i="18"/>
  <c r="W197" i="18" s="1"/>
  <c r="W205" i="18" s="1"/>
  <c r="D321" i="18"/>
  <c r="U116" i="18" s="1"/>
  <c r="U124" i="18" s="1"/>
  <c r="U241" i="18" s="1"/>
  <c r="I548" i="18"/>
  <c r="C148" i="18"/>
  <c r="T57" i="18" s="1"/>
  <c r="T65" i="18" s="1"/>
  <c r="H117" i="18"/>
  <c r="I117" i="18" s="1"/>
  <c r="AO110" i="18"/>
  <c r="G176" i="18"/>
  <c r="X66" i="18" s="1"/>
  <c r="X74" i="18" s="1"/>
  <c r="X236" i="18" s="1"/>
  <c r="C437" i="18"/>
  <c r="T156" i="18" s="1"/>
  <c r="T164" i="18" s="1"/>
  <c r="H432" i="18"/>
  <c r="I432" i="18" s="1"/>
  <c r="D322" i="18"/>
  <c r="U117" i="18" s="1"/>
  <c r="U125" i="18" s="1"/>
  <c r="F379" i="18"/>
  <c r="W136" i="18" s="1"/>
  <c r="W144" i="18" s="1"/>
  <c r="W243" i="18" s="1"/>
  <c r="D496" i="18"/>
  <c r="U177" i="18" s="1"/>
  <c r="U185" i="18" s="1"/>
  <c r="I581" i="18"/>
  <c r="H317" i="18"/>
  <c r="I317" i="18" s="1"/>
  <c r="K88" i="18"/>
  <c r="P88" i="18" s="1"/>
  <c r="J88" i="18"/>
  <c r="X41" i="18" s="1"/>
  <c r="X40" i="18"/>
  <c r="E583" i="18"/>
  <c r="V207" i="18" s="1"/>
  <c r="V215" i="18" s="1"/>
  <c r="E61" i="18"/>
  <c r="V27" i="18" s="1"/>
  <c r="V35" i="18" s="1"/>
  <c r="D264" i="18"/>
  <c r="U97" i="18" s="1"/>
  <c r="U105" i="18" s="1"/>
  <c r="G292" i="18"/>
  <c r="X106" i="18" s="1"/>
  <c r="X114" i="18" s="1"/>
  <c r="X240" i="18" s="1"/>
  <c r="G293" i="18"/>
  <c r="X107" i="18" s="1"/>
  <c r="X115" i="18" s="1"/>
  <c r="G234" i="18"/>
  <c r="X86" i="18" s="1"/>
  <c r="X94" i="18" s="1"/>
  <c r="X238" i="18" s="1"/>
  <c r="G235" i="18"/>
  <c r="X87" i="18" s="1"/>
  <c r="X95" i="18" s="1"/>
  <c r="H519" i="18"/>
  <c r="H524" i="18" s="1"/>
  <c r="I525" i="18" s="1"/>
  <c r="AE33" i="18" s="1"/>
  <c r="C524" i="18"/>
  <c r="T186" i="18" s="1"/>
  <c r="T194" i="18" s="1"/>
  <c r="I549" i="18"/>
  <c r="D554" i="18"/>
  <c r="U197" i="18" s="1"/>
  <c r="U205" i="18" s="1"/>
  <c r="C205" i="18"/>
  <c r="AQ98" i="18"/>
  <c r="AR98" i="18" s="1"/>
  <c r="H202" i="18"/>
  <c r="I202" i="18" s="1"/>
  <c r="H259" i="18"/>
  <c r="I259" i="18" s="1"/>
  <c r="C467" i="18"/>
  <c r="T167" i="18" s="1"/>
  <c r="T175" i="18" s="1"/>
  <c r="AP110" i="18"/>
  <c r="H171" i="18"/>
  <c r="C176" i="18"/>
  <c r="T66" i="18" s="1"/>
  <c r="T74" i="18" s="1"/>
  <c r="D553" i="18"/>
  <c r="U196" i="18" s="1"/>
  <c r="U204" i="18" s="1"/>
  <c r="U249" i="18" s="1"/>
  <c r="D437" i="18"/>
  <c r="U156" i="18" s="1"/>
  <c r="U164" i="18" s="1"/>
  <c r="U245" i="18" s="1"/>
  <c r="C380" i="18"/>
  <c r="T137" i="18" s="1"/>
  <c r="T145" i="18" s="1"/>
  <c r="E350" i="18"/>
  <c r="E351" i="18"/>
  <c r="V127" i="18" s="1"/>
  <c r="V135" i="18" s="1"/>
  <c r="F61" i="18"/>
  <c r="W27" i="18" s="1"/>
  <c r="W35" i="18" s="1"/>
  <c r="E264" i="18"/>
  <c r="V97" i="18" s="1"/>
  <c r="V105" i="18" s="1"/>
  <c r="K260" i="18"/>
  <c r="P260" i="18" s="1"/>
  <c r="J260" i="18"/>
  <c r="V101" i="18" s="1"/>
  <c r="V100" i="18"/>
  <c r="D408" i="18"/>
  <c r="D409" i="18"/>
  <c r="U147" i="18" s="1"/>
  <c r="U155" i="18" s="1"/>
  <c r="U285" i="18"/>
  <c r="U286" i="18" s="1"/>
  <c r="U225" i="18"/>
  <c r="U284" i="18"/>
  <c r="H258" i="18"/>
  <c r="C263" i="18"/>
  <c r="T96" i="18" s="1"/>
  <c r="T104" i="18" s="1"/>
  <c r="H290" i="18"/>
  <c r="I290" i="18" s="1"/>
  <c r="C89" i="18"/>
  <c r="T36" i="18" s="1"/>
  <c r="T44" i="18" s="1"/>
  <c r="H84" i="18"/>
  <c r="C90" i="18"/>
  <c r="T37" i="18" s="1"/>
  <c r="T45" i="18" s="1"/>
  <c r="I262" i="18"/>
  <c r="D524" i="18"/>
  <c r="U186" i="18" s="1"/>
  <c r="U194" i="18" s="1"/>
  <c r="U248" i="18" s="1"/>
  <c r="C409" i="18"/>
  <c r="T147" i="18" s="1"/>
  <c r="T155" i="18" s="1"/>
  <c r="C408" i="18"/>
  <c r="T146" i="18" s="1"/>
  <c r="T154" i="18" s="1"/>
  <c r="H403" i="18"/>
  <c r="H408" i="18" s="1"/>
  <c r="I409" i="18" s="1"/>
  <c r="AE29" i="18" s="1"/>
  <c r="I319" i="18"/>
  <c r="H232" i="18"/>
  <c r="I232" i="18" s="1"/>
  <c r="D176" i="18"/>
  <c r="G437" i="18"/>
  <c r="C322" i="18"/>
  <c r="T117" i="18" s="1"/>
  <c r="T125" i="18" s="1"/>
  <c r="D380" i="18"/>
  <c r="U137" i="18" s="1"/>
  <c r="U145" i="18" s="1"/>
  <c r="C119" i="18"/>
  <c r="T47" i="18" s="1"/>
  <c r="T55" i="18" s="1"/>
  <c r="H57" i="18"/>
  <c r="I57" i="18" s="1"/>
  <c r="H289" i="18"/>
  <c r="I289" i="18" s="1"/>
  <c r="W284" i="18"/>
  <c r="W225" i="18"/>
  <c r="W285" i="18"/>
  <c r="W286" i="18" s="1"/>
  <c r="F350" i="18"/>
  <c r="F351" i="18"/>
  <c r="W127" i="18" s="1"/>
  <c r="W135" i="18" s="1"/>
  <c r="G61" i="18"/>
  <c r="X27" i="18" s="1"/>
  <c r="X35" i="18" s="1"/>
  <c r="G264" i="18"/>
  <c r="X97" i="18" s="1"/>
  <c r="X105" i="18" s="1"/>
  <c r="E265" i="18"/>
  <c r="C438" i="18"/>
  <c r="T157" i="18" s="1"/>
  <c r="T165" i="18" s="1"/>
  <c r="D350" i="18"/>
  <c r="D351" i="18"/>
  <c r="U127" i="18" s="1"/>
  <c r="U135" i="18" s="1"/>
  <c r="D582" i="18"/>
  <c r="U206" i="18" s="1"/>
  <c r="U214" i="18" s="1"/>
  <c r="U250" i="18" s="1"/>
  <c r="X284" i="18"/>
  <c r="X225" i="18"/>
  <c r="X285" i="18"/>
  <c r="X286" i="18" s="1"/>
  <c r="D89" i="18"/>
  <c r="U36" i="18" s="1"/>
  <c r="U44" i="18" s="1"/>
  <c r="U233" i="18" s="1"/>
  <c r="D90" i="18"/>
  <c r="U37" i="18" s="1"/>
  <c r="U45" i="18" s="1"/>
  <c r="E524" i="18"/>
  <c r="V186" i="18" s="1"/>
  <c r="V194" i="18" s="1"/>
  <c r="V248" i="18" s="1"/>
  <c r="G409" i="18"/>
  <c r="X147" i="18" s="1"/>
  <c r="X155" i="18" s="1"/>
  <c r="G408" i="18"/>
  <c r="I200" i="18"/>
  <c r="G62" i="18"/>
  <c r="E207" i="18"/>
  <c r="E176" i="18"/>
  <c r="F437" i="18"/>
  <c r="H115" i="18"/>
  <c r="I115" i="18" s="1"/>
  <c r="F321" i="18"/>
  <c r="W116" i="18" s="1"/>
  <c r="W124" i="18" s="1"/>
  <c r="W241" i="18" s="1"/>
  <c r="H551" i="18"/>
  <c r="I551" i="18" s="1"/>
  <c r="E322" i="18"/>
  <c r="V117" i="18" s="1"/>
  <c r="V125" i="18" s="1"/>
  <c r="E380" i="18"/>
  <c r="V137" i="18" s="1"/>
  <c r="V145" i="18" s="1"/>
  <c r="F119" i="18"/>
  <c r="W47" i="18" s="1"/>
  <c r="W55" i="18" s="1"/>
  <c r="P491" i="18"/>
  <c r="H174" i="18"/>
  <c r="I174" i="18" s="1"/>
  <c r="G350" i="18"/>
  <c r="G351" i="18"/>
  <c r="X127" i="18" s="1"/>
  <c r="X135" i="18" s="1"/>
  <c r="C177" i="18"/>
  <c r="T67" i="18" s="1"/>
  <c r="T75" i="18" s="1"/>
  <c r="F466" i="18"/>
  <c r="E438" i="18"/>
  <c r="V157" i="18" s="1"/>
  <c r="V165" i="18" s="1"/>
  <c r="K290" i="17"/>
  <c r="P290" i="17" s="1"/>
  <c r="J290" i="17"/>
  <c r="W111" i="17" s="1"/>
  <c r="W110" i="17"/>
  <c r="K407" i="17"/>
  <c r="P407" i="17" s="1"/>
  <c r="J407" i="17"/>
  <c r="X151" i="17" s="1"/>
  <c r="X150" i="17"/>
  <c r="K289" i="17"/>
  <c r="P289" i="17" s="1"/>
  <c r="J289" i="17"/>
  <c r="V111" i="17" s="1"/>
  <c r="V110" i="17"/>
  <c r="J114" i="17"/>
  <c r="U51" i="17" s="1"/>
  <c r="K114" i="17"/>
  <c r="P114" i="17" s="1"/>
  <c r="U50" i="17"/>
  <c r="K173" i="17"/>
  <c r="P173" i="17" s="1"/>
  <c r="J173" i="17"/>
  <c r="V71" i="17" s="1"/>
  <c r="V70" i="17"/>
  <c r="K376" i="17"/>
  <c r="P376" i="17" s="1"/>
  <c r="K27" i="17"/>
  <c r="P27" i="17" s="1"/>
  <c r="J27" i="17"/>
  <c r="U21" i="17" s="1"/>
  <c r="U20" i="17"/>
  <c r="K204" i="17"/>
  <c r="P204" i="17" s="1"/>
  <c r="J204" i="17"/>
  <c r="X81" i="17" s="1"/>
  <c r="X80" i="17"/>
  <c r="K174" i="17"/>
  <c r="P174" i="17" s="1"/>
  <c r="J174" i="17"/>
  <c r="W71" i="17" s="1"/>
  <c r="W70" i="17"/>
  <c r="K143" i="17"/>
  <c r="P143" i="17" s="1"/>
  <c r="J143" i="17"/>
  <c r="U61" i="17" s="1"/>
  <c r="U60" i="17"/>
  <c r="V130" i="17"/>
  <c r="K433" i="17"/>
  <c r="P433" i="17" s="1"/>
  <c r="J433" i="17"/>
  <c r="U161" i="17" s="1"/>
  <c r="U160" i="17"/>
  <c r="T56" i="17"/>
  <c r="T64" i="17" s="1"/>
  <c r="C149" i="17"/>
  <c r="K435" i="17"/>
  <c r="P435" i="17" s="1"/>
  <c r="J435" i="17"/>
  <c r="W161" i="17" s="1"/>
  <c r="W160" i="17"/>
  <c r="J288" i="17"/>
  <c r="U111" i="17" s="1"/>
  <c r="K288" i="17"/>
  <c r="P288" i="17" s="1"/>
  <c r="U110" i="17"/>
  <c r="K316" i="17"/>
  <c r="P316" i="17" s="1"/>
  <c r="J316" i="17"/>
  <c r="T121" i="17" s="1"/>
  <c r="T120" i="17"/>
  <c r="K172" i="17"/>
  <c r="P172" i="17" s="1"/>
  <c r="J172" i="17"/>
  <c r="U71" i="17" s="1"/>
  <c r="U70" i="17"/>
  <c r="V126" i="17"/>
  <c r="V134" i="17" s="1"/>
  <c r="V242" i="17" s="1"/>
  <c r="AT95" i="17"/>
  <c r="AY95" i="17" s="1"/>
  <c r="AS95" i="17"/>
  <c r="AM114" i="17" s="1"/>
  <c r="AM113" i="17"/>
  <c r="T25" i="17"/>
  <c r="E408" i="17"/>
  <c r="E409" i="17"/>
  <c r="V147" i="17" s="1"/>
  <c r="V155" i="17" s="1"/>
  <c r="F118" i="17"/>
  <c r="W46" i="17" s="1"/>
  <c r="W54" i="17" s="1"/>
  <c r="W234" i="17" s="1"/>
  <c r="F119" i="17"/>
  <c r="W47" i="17" s="1"/>
  <c r="W55" i="17" s="1"/>
  <c r="T24" i="17"/>
  <c r="F408" i="17"/>
  <c r="F409" i="17"/>
  <c r="W147" i="17" s="1"/>
  <c r="W155" i="17" s="1"/>
  <c r="F32" i="17"/>
  <c r="W17" i="17" s="1"/>
  <c r="E147" i="17"/>
  <c r="V56" i="17" s="1"/>
  <c r="V64" i="17" s="1"/>
  <c r="V235" i="17" s="1"/>
  <c r="D267" i="17"/>
  <c r="D269" i="17"/>
  <c r="D524" i="17"/>
  <c r="U186" i="17" s="1"/>
  <c r="U194" i="17" s="1"/>
  <c r="U248" i="17" s="1"/>
  <c r="D525" i="17"/>
  <c r="U187" i="17" s="1"/>
  <c r="U195" i="17" s="1"/>
  <c r="H580" i="17"/>
  <c r="D31" i="17"/>
  <c r="AQ98" i="17"/>
  <c r="AR98" i="17" s="1"/>
  <c r="V284" i="17"/>
  <c r="V285" i="17"/>
  <c r="V286" i="17" s="1"/>
  <c r="V225" i="17"/>
  <c r="H550" i="17"/>
  <c r="I550" i="17" s="1"/>
  <c r="F323" i="17"/>
  <c r="X284" i="17"/>
  <c r="X285" i="17"/>
  <c r="X286" i="17" s="1"/>
  <c r="X225" i="17"/>
  <c r="K320" i="17"/>
  <c r="P320" i="17" s="1"/>
  <c r="J320" i="17"/>
  <c r="X121" i="17" s="1"/>
  <c r="X120" i="17"/>
  <c r="K146" i="17"/>
  <c r="P146" i="17" s="1"/>
  <c r="J146" i="17"/>
  <c r="X61" i="17" s="1"/>
  <c r="X60" i="17"/>
  <c r="T243" i="17"/>
  <c r="G383" i="17"/>
  <c r="G385" i="17"/>
  <c r="G118" i="17"/>
  <c r="G119" i="17"/>
  <c r="X47" i="17" s="1"/>
  <c r="X55" i="17" s="1"/>
  <c r="C381" i="17"/>
  <c r="K56" i="17"/>
  <c r="P56" i="17" s="1"/>
  <c r="U30" i="17"/>
  <c r="J56" i="17"/>
  <c r="U31" i="17" s="1"/>
  <c r="K259" i="17"/>
  <c r="P259" i="17" s="1"/>
  <c r="J259" i="17"/>
  <c r="U101" i="17" s="1"/>
  <c r="U100" i="17"/>
  <c r="H461" i="17"/>
  <c r="C466" i="17"/>
  <c r="T166" i="17" s="1"/>
  <c r="T174" i="17" s="1"/>
  <c r="E524" i="17"/>
  <c r="V186" i="17" s="1"/>
  <c r="V194" i="17" s="1"/>
  <c r="V248" i="17" s="1"/>
  <c r="E525" i="17"/>
  <c r="V187" i="17" s="1"/>
  <c r="V195" i="17" s="1"/>
  <c r="BI247" i="17"/>
  <c r="BJ247" i="17" s="1"/>
  <c r="BI240" i="17"/>
  <c r="BJ240" i="17" s="1"/>
  <c r="BI233" i="17"/>
  <c r="BJ233" i="17" s="1"/>
  <c r="BI230" i="17"/>
  <c r="BJ230" i="17" s="1"/>
  <c r="BI205" i="17"/>
  <c r="BJ205" i="17" s="1"/>
  <c r="BI188" i="17"/>
  <c r="BJ188" i="17" s="1"/>
  <c r="BI185" i="17"/>
  <c r="BJ185" i="17" s="1"/>
  <c r="BI261" i="17"/>
  <c r="BJ261" i="17" s="1"/>
  <c r="BI237" i="17"/>
  <c r="BJ237" i="17" s="1"/>
  <c r="BI229" i="17"/>
  <c r="BJ229" i="17" s="1"/>
  <c r="BI220" i="17"/>
  <c r="BJ220" i="17" s="1"/>
  <c r="BI214" i="17"/>
  <c r="BJ214" i="17" s="1"/>
  <c r="BI212" i="17"/>
  <c r="BJ212" i="17" s="1"/>
  <c r="BI253" i="17"/>
  <c r="BJ253" i="17" s="1"/>
  <c r="BI244" i="17"/>
  <c r="BJ244" i="17" s="1"/>
  <c r="BI235" i="17"/>
  <c r="BJ235" i="17" s="1"/>
  <c r="BI218" i="17"/>
  <c r="BJ218" i="17" s="1"/>
  <c r="BI213" i="17"/>
  <c r="BJ213" i="17" s="1"/>
  <c r="BI210" i="17"/>
  <c r="BJ210" i="17" s="1"/>
  <c r="BI224" i="17"/>
  <c r="BJ224" i="17" s="1"/>
  <c r="BI215" i="17"/>
  <c r="BJ215" i="17" s="1"/>
  <c r="BI208" i="17"/>
  <c r="BJ208" i="17" s="1"/>
  <c r="BI249" i="17"/>
  <c r="BJ249" i="17" s="1"/>
  <c r="BI176" i="17"/>
  <c r="BJ176" i="17" s="1"/>
  <c r="BI174" i="17"/>
  <c r="BJ174" i="17" s="1"/>
  <c r="BI148" i="17"/>
  <c r="BJ148" i="17" s="1"/>
  <c r="BI147" i="17"/>
  <c r="BJ147" i="17" s="1"/>
  <c r="BI145" i="17"/>
  <c r="BJ145" i="17" s="1"/>
  <c r="BI128" i="17"/>
  <c r="BJ128" i="17" s="1"/>
  <c r="BI254" i="17"/>
  <c r="BJ254" i="17" s="1"/>
  <c r="BI202" i="17"/>
  <c r="BJ202" i="17" s="1"/>
  <c r="BI190" i="17"/>
  <c r="BJ190" i="17" s="1"/>
  <c r="BI171" i="17"/>
  <c r="BJ171" i="17" s="1"/>
  <c r="BI168" i="17"/>
  <c r="BJ168" i="17" s="1"/>
  <c r="BI149" i="17"/>
  <c r="BJ149" i="17" s="1"/>
  <c r="BI142" i="17"/>
  <c r="BJ142" i="17" s="1"/>
  <c r="BI196" i="17"/>
  <c r="BJ196" i="17" s="1"/>
  <c r="BI159" i="17"/>
  <c r="BJ159" i="17" s="1"/>
  <c r="BI133" i="17"/>
  <c r="BJ133" i="17" s="1"/>
  <c r="BI143" i="17"/>
  <c r="BJ143" i="17" s="1"/>
  <c r="BI139" i="17"/>
  <c r="BJ139" i="17" s="1"/>
  <c r="BI137" i="17"/>
  <c r="BJ137" i="17" s="1"/>
  <c r="BI180" i="17"/>
  <c r="BJ180" i="17" s="1"/>
  <c r="BI163" i="17"/>
  <c r="BJ163" i="17" s="1"/>
  <c r="BI132" i="17"/>
  <c r="BJ132" i="17" s="1"/>
  <c r="BI226" i="17"/>
  <c r="BJ226" i="17" s="1"/>
  <c r="BI122" i="17"/>
  <c r="BJ122" i="17" s="1"/>
  <c r="BI117" i="17"/>
  <c r="BJ117" i="17" s="1"/>
  <c r="BI170" i="17"/>
  <c r="BJ170" i="17" s="1"/>
  <c r="BI154" i="17"/>
  <c r="BJ154" i="17" s="1"/>
  <c r="BI136" i="17"/>
  <c r="BJ136" i="17" s="1"/>
  <c r="BI108" i="17"/>
  <c r="BJ108" i="17" s="1"/>
  <c r="BI106" i="17"/>
  <c r="BJ106" i="17" s="1"/>
  <c r="BI95" i="17"/>
  <c r="BJ95" i="17" s="1"/>
  <c r="BI125" i="17"/>
  <c r="BJ125" i="17" s="1"/>
  <c r="BI161" i="17"/>
  <c r="BJ161" i="17" s="1"/>
  <c r="BI114" i="17"/>
  <c r="BJ114" i="17" s="1"/>
  <c r="BI167" i="17"/>
  <c r="BJ167" i="17" s="1"/>
  <c r="BI105" i="17"/>
  <c r="BJ105" i="17" s="1"/>
  <c r="BI127" i="17"/>
  <c r="BJ127" i="17" s="1"/>
  <c r="BI99" i="17"/>
  <c r="BJ99" i="17" s="1"/>
  <c r="BI83" i="17"/>
  <c r="BJ83" i="17" s="1"/>
  <c r="BI81" i="17"/>
  <c r="BJ81" i="17" s="1"/>
  <c r="BI74" i="17"/>
  <c r="BJ74" i="17" s="1"/>
  <c r="BI110" i="17"/>
  <c r="BJ110" i="17" s="1"/>
  <c r="BI93" i="17"/>
  <c r="BJ93" i="17" s="1"/>
  <c r="BI100" i="17"/>
  <c r="BJ100" i="17" s="1"/>
  <c r="BI68" i="17"/>
  <c r="BJ68" i="17" s="1"/>
  <c r="BI178" i="17"/>
  <c r="BJ178" i="17" s="1"/>
  <c r="BI199" i="17"/>
  <c r="BJ199" i="17" s="1"/>
  <c r="BI87" i="17"/>
  <c r="BJ87" i="17" s="1"/>
  <c r="BI84" i="17"/>
  <c r="BJ84" i="17" s="1"/>
  <c r="BI71" i="17"/>
  <c r="BJ71" i="17" s="1"/>
  <c r="BI66" i="17"/>
  <c r="BJ66" i="17" s="1"/>
  <c r="BI119" i="17"/>
  <c r="BJ119" i="17" s="1"/>
  <c r="BI85" i="17"/>
  <c r="BJ85" i="17" s="1"/>
  <c r="BI82" i="17"/>
  <c r="BJ82" i="17" s="1"/>
  <c r="BI91" i="17"/>
  <c r="BJ91" i="17" s="1"/>
  <c r="BI79" i="17"/>
  <c r="BJ79" i="17" s="1"/>
  <c r="BI72" i="17"/>
  <c r="BJ72" i="17" s="1"/>
  <c r="BI104" i="17"/>
  <c r="BJ104" i="17" s="1"/>
  <c r="BI88" i="17"/>
  <c r="BJ88" i="17" s="1"/>
  <c r="BI160" i="17"/>
  <c r="BJ160" i="17" s="1"/>
  <c r="BI86" i="17"/>
  <c r="BJ86" i="17" s="1"/>
  <c r="BI155" i="17"/>
  <c r="BJ155" i="17" s="1"/>
  <c r="BI129" i="17"/>
  <c r="BJ129" i="17" s="1"/>
  <c r="BI173" i="17"/>
  <c r="BJ173" i="17" s="1"/>
  <c r="BI236" i="17"/>
  <c r="BJ236" i="17" s="1"/>
  <c r="BI186" i="17"/>
  <c r="BJ186" i="17" s="1"/>
  <c r="BI238" i="17"/>
  <c r="BJ238" i="17" s="1"/>
  <c r="BI140" i="17"/>
  <c r="BJ140" i="17" s="1"/>
  <c r="BI109" i="17"/>
  <c r="BJ109" i="17" s="1"/>
  <c r="BI157" i="17"/>
  <c r="BJ157" i="17" s="1"/>
  <c r="BI177" i="17"/>
  <c r="BJ177" i="17" s="1"/>
  <c r="BI245" i="17"/>
  <c r="BJ245" i="17" s="1"/>
  <c r="BI204" i="17"/>
  <c r="BJ204" i="17" s="1"/>
  <c r="BI191" i="17"/>
  <c r="BJ191" i="17" s="1"/>
  <c r="BI97" i="17"/>
  <c r="BJ97" i="17" s="1"/>
  <c r="BI80" i="17"/>
  <c r="BJ80" i="17" s="1"/>
  <c r="BI239" i="17"/>
  <c r="BJ239" i="17" s="1"/>
  <c r="BI169" i="17"/>
  <c r="BJ169" i="17" s="1"/>
  <c r="BI162" i="17"/>
  <c r="BJ162" i="17" s="1"/>
  <c r="BI227" i="17"/>
  <c r="BJ227" i="17" s="1"/>
  <c r="BI203" i="17"/>
  <c r="BJ203" i="17" s="1"/>
  <c r="BI256" i="17"/>
  <c r="BJ256" i="17" s="1"/>
  <c r="BI69" i="17"/>
  <c r="BJ69" i="17" s="1"/>
  <c r="BI103" i="17"/>
  <c r="BJ103" i="17" s="1"/>
  <c r="BI89" i="17"/>
  <c r="BJ89" i="17" s="1"/>
  <c r="BI98" i="17"/>
  <c r="BJ98" i="17" s="1"/>
  <c r="BI175" i="17"/>
  <c r="BJ175" i="17" s="1"/>
  <c r="BI164" i="17"/>
  <c r="BJ164" i="17" s="1"/>
  <c r="BI121" i="17"/>
  <c r="BJ121" i="17" s="1"/>
  <c r="BI192" i="17"/>
  <c r="BJ192" i="17" s="1"/>
  <c r="BI231" i="17"/>
  <c r="BJ231" i="17" s="1"/>
  <c r="BI216" i="17"/>
  <c r="BJ216" i="17" s="1"/>
  <c r="BI243" i="17"/>
  <c r="BJ243" i="17" s="1"/>
  <c r="BI76" i="17"/>
  <c r="BJ76" i="17" s="1"/>
  <c r="BI67" i="17"/>
  <c r="BJ67" i="17" s="1"/>
  <c r="BI153" i="17"/>
  <c r="BJ153" i="17" s="1"/>
  <c r="BI112" i="17"/>
  <c r="BJ112" i="17" s="1"/>
  <c r="BI126" i="17"/>
  <c r="BJ126" i="17" s="1"/>
  <c r="BI102" i="17"/>
  <c r="BJ102" i="17" s="1"/>
  <c r="BI255" i="17"/>
  <c r="BJ255" i="17" s="1"/>
  <c r="BI70" i="17"/>
  <c r="BJ70" i="17" s="1"/>
  <c r="BI92" i="17"/>
  <c r="BJ92" i="17" s="1"/>
  <c r="BI172" i="17"/>
  <c r="BJ172" i="17" s="1"/>
  <c r="BI107" i="17"/>
  <c r="BJ107" i="17" s="1"/>
  <c r="BI206" i="17"/>
  <c r="BJ206" i="17" s="1"/>
  <c r="BI151" i="17"/>
  <c r="BJ151" i="17" s="1"/>
  <c r="BI221" i="17"/>
  <c r="BJ221" i="17" s="1"/>
  <c r="BI197" i="17"/>
  <c r="BJ197" i="17" s="1"/>
  <c r="BI222" i="17"/>
  <c r="BJ222" i="17" s="1"/>
  <c r="BI260" i="17"/>
  <c r="BJ260" i="17" s="1"/>
  <c r="BI73" i="17"/>
  <c r="BJ73" i="17" s="1"/>
  <c r="BI144" i="17"/>
  <c r="BJ144" i="17" s="1"/>
  <c r="BI225" i="17"/>
  <c r="BJ225" i="17" s="1"/>
  <c r="BI165" i="17"/>
  <c r="BJ165" i="17" s="1"/>
  <c r="BI156" i="17"/>
  <c r="BJ156" i="17" s="1"/>
  <c r="BI219" i="17"/>
  <c r="BJ219" i="17" s="1"/>
  <c r="BI193" i="17"/>
  <c r="BJ193" i="17" s="1"/>
  <c r="BI246" i="17"/>
  <c r="BJ246" i="17" s="1"/>
  <c r="BI250" i="17"/>
  <c r="BJ250" i="17" s="1"/>
  <c r="BI201" i="17"/>
  <c r="BJ201" i="17" s="1"/>
  <c r="BI223" i="17"/>
  <c r="BJ223" i="17" s="1"/>
  <c r="BI257" i="17"/>
  <c r="BJ257" i="17" s="1"/>
  <c r="BI77" i="17"/>
  <c r="BJ77" i="17" s="1"/>
  <c r="BI111" i="17"/>
  <c r="BJ111" i="17" s="1"/>
  <c r="BI115" i="17"/>
  <c r="BJ115" i="17" s="1"/>
  <c r="BI123" i="17"/>
  <c r="BJ123" i="17" s="1"/>
  <c r="BI90" i="17"/>
  <c r="BJ90" i="17" s="1"/>
  <c r="BI135" i="17"/>
  <c r="BJ135" i="17" s="1"/>
  <c r="BI252" i="17"/>
  <c r="BJ252" i="17" s="1"/>
  <c r="BI181" i="17"/>
  <c r="BJ181" i="17" s="1"/>
  <c r="BI258" i="17"/>
  <c r="BJ258" i="17" s="1"/>
  <c r="BI179" i="17"/>
  <c r="BJ179" i="17" s="1"/>
  <c r="BI78" i="17"/>
  <c r="BJ78" i="17" s="1"/>
  <c r="BI113" i="17"/>
  <c r="BJ113" i="17" s="1"/>
  <c r="BI120" i="17"/>
  <c r="BJ120" i="17" s="1"/>
  <c r="BI138" i="17"/>
  <c r="BJ138" i="17" s="1"/>
  <c r="BI158" i="17"/>
  <c r="BJ158" i="17" s="1"/>
  <c r="BI200" i="17"/>
  <c r="BJ200" i="17" s="1"/>
  <c r="BI183" i="17"/>
  <c r="BJ183" i="17" s="1"/>
  <c r="BI217" i="17"/>
  <c r="BJ217" i="17" s="1"/>
  <c r="BI232" i="17"/>
  <c r="BJ232" i="17" s="1"/>
  <c r="BI184" i="17"/>
  <c r="BJ184" i="17" s="1"/>
  <c r="BI194" i="17"/>
  <c r="BJ194" i="17" s="1"/>
  <c r="BI259" i="17"/>
  <c r="BJ259" i="17" s="1"/>
  <c r="BI116" i="17"/>
  <c r="BJ116" i="17" s="1"/>
  <c r="BI152" i="17"/>
  <c r="BJ152" i="17" s="1"/>
  <c r="BI241" i="17"/>
  <c r="BJ241" i="17" s="1"/>
  <c r="BI94" i="17"/>
  <c r="BJ94" i="17" s="1"/>
  <c r="BI101" i="17"/>
  <c r="BJ101" i="17" s="1"/>
  <c r="BI131" i="17"/>
  <c r="BJ131" i="17" s="1"/>
  <c r="BI141" i="17"/>
  <c r="BJ141" i="17" s="1"/>
  <c r="BI207" i="17"/>
  <c r="BJ207" i="17" s="1"/>
  <c r="BI189" i="17"/>
  <c r="BJ189" i="17" s="1"/>
  <c r="BI182" i="17"/>
  <c r="BJ182" i="17" s="1"/>
  <c r="BI228" i="17"/>
  <c r="BJ228" i="17" s="1"/>
  <c r="BI242" i="17"/>
  <c r="BJ242" i="17" s="1"/>
  <c r="BI187" i="17"/>
  <c r="BJ187" i="17" s="1"/>
  <c r="BI198" i="17"/>
  <c r="BJ198" i="17" s="1"/>
  <c r="BI146" i="17"/>
  <c r="BJ146" i="17" s="1"/>
  <c r="BI130" i="17"/>
  <c r="BJ130" i="17" s="1"/>
  <c r="BI166" i="17"/>
  <c r="BJ166" i="17" s="1"/>
  <c r="BI75" i="17"/>
  <c r="BJ75" i="17" s="1"/>
  <c r="BI118" i="17"/>
  <c r="BJ118" i="17" s="1"/>
  <c r="BI124" i="17"/>
  <c r="BJ124" i="17" s="1"/>
  <c r="BI96" i="17"/>
  <c r="BJ96" i="17" s="1"/>
  <c r="BI134" i="17"/>
  <c r="BJ134" i="17" s="1"/>
  <c r="BI150" i="17"/>
  <c r="BJ150" i="17" s="1"/>
  <c r="BI234" i="17"/>
  <c r="BJ234" i="17" s="1"/>
  <c r="BI195" i="17"/>
  <c r="BJ195" i="17" s="1"/>
  <c r="BI251" i="17"/>
  <c r="BJ251" i="17" s="1"/>
  <c r="BI248" i="17"/>
  <c r="BJ248" i="17" s="1"/>
  <c r="BI211" i="17"/>
  <c r="BJ211" i="17" s="1"/>
  <c r="BI209" i="17"/>
  <c r="BJ209" i="17" s="1"/>
  <c r="H201" i="17"/>
  <c r="I201" i="17" s="1"/>
  <c r="H230" i="17"/>
  <c r="I230" i="17" s="1"/>
  <c r="H549" i="17"/>
  <c r="I549" i="17" s="1"/>
  <c r="C467" i="17"/>
  <c r="T167" i="17" s="1"/>
  <c r="T175" i="17" s="1"/>
  <c r="U284" i="17"/>
  <c r="U285" i="17"/>
  <c r="U286" i="17" s="1"/>
  <c r="U225" i="17"/>
  <c r="C176" i="17"/>
  <c r="T66" i="17" s="1"/>
  <c r="T74" i="17" s="1"/>
  <c r="H171" i="17"/>
  <c r="H176" i="17" s="1"/>
  <c r="I177" i="17" s="1"/>
  <c r="AE21" i="17" s="1"/>
  <c r="C177" i="17"/>
  <c r="T67" i="17" s="1"/>
  <c r="T75" i="17" s="1"/>
  <c r="J260" i="17"/>
  <c r="V101" i="17" s="1"/>
  <c r="K260" i="17"/>
  <c r="P260" i="17" s="1"/>
  <c r="V100" i="17"/>
  <c r="C205" i="17"/>
  <c r="T76" i="17" s="1"/>
  <c r="T84" i="17" s="1"/>
  <c r="H200" i="17"/>
  <c r="C206" i="17"/>
  <c r="T77" i="17" s="1"/>
  <c r="T85" i="17" s="1"/>
  <c r="E437" i="17"/>
  <c r="E32" i="17"/>
  <c r="V17" i="17" s="1"/>
  <c r="E118" i="17"/>
  <c r="V46" i="17" s="1"/>
  <c r="V54" i="17" s="1"/>
  <c r="V234" i="17" s="1"/>
  <c r="E119" i="17"/>
  <c r="V47" i="17" s="1"/>
  <c r="V55" i="17" s="1"/>
  <c r="G31" i="17"/>
  <c r="X16" i="17" s="1"/>
  <c r="G32" i="17"/>
  <c r="X17" i="17" s="1"/>
  <c r="H113" i="17"/>
  <c r="C118" i="17"/>
  <c r="T46" i="17" s="1"/>
  <c r="T54" i="17" s="1"/>
  <c r="C119" i="17"/>
  <c r="T47" i="17" s="1"/>
  <c r="T55" i="17" s="1"/>
  <c r="G322" i="17"/>
  <c r="X117" i="17" s="1"/>
  <c r="X125" i="17" s="1"/>
  <c r="K523" i="17"/>
  <c r="P523" i="17" s="1"/>
  <c r="J523" i="17"/>
  <c r="X191" i="17" s="1"/>
  <c r="X190" i="17"/>
  <c r="F524" i="17"/>
  <c r="F525" i="17"/>
  <c r="W187" i="17" s="1"/>
  <c r="W195" i="17" s="1"/>
  <c r="H520" i="17"/>
  <c r="BJ64" i="17"/>
  <c r="D467" i="17"/>
  <c r="U167" i="17" s="1"/>
  <c r="U175" i="17" s="1"/>
  <c r="K291" i="17"/>
  <c r="P291" i="17" s="1"/>
  <c r="J291" i="17"/>
  <c r="X111" i="17" s="1"/>
  <c r="X110" i="17"/>
  <c r="T225" i="17"/>
  <c r="D176" i="17"/>
  <c r="D177" i="17"/>
  <c r="U67" i="17" s="1"/>
  <c r="U75" i="17" s="1"/>
  <c r="E270" i="17"/>
  <c r="E267" i="17"/>
  <c r="V98" i="17"/>
  <c r="E269" i="17"/>
  <c r="G350" i="17"/>
  <c r="G351" i="17"/>
  <c r="X127" i="17" s="1"/>
  <c r="X135" i="17" s="1"/>
  <c r="D205" i="17"/>
  <c r="U76" i="17" s="1"/>
  <c r="U84" i="17" s="1"/>
  <c r="U237" i="17" s="1"/>
  <c r="D206" i="17"/>
  <c r="U77" i="17" s="1"/>
  <c r="U85" i="17" s="1"/>
  <c r="K432" i="17"/>
  <c r="P432" i="17" s="1"/>
  <c r="J432" i="17"/>
  <c r="T161" i="17" s="1"/>
  <c r="T160" i="17"/>
  <c r="X26" i="17"/>
  <c r="X34" i="17" s="1"/>
  <c r="X232" i="17" s="1"/>
  <c r="G62" i="17"/>
  <c r="K522" i="17"/>
  <c r="P522" i="17" s="1"/>
  <c r="J522" i="17"/>
  <c r="W191" i="17" s="1"/>
  <c r="W190" i="17"/>
  <c r="K55" i="17"/>
  <c r="P55" i="17" s="1"/>
  <c r="J55" i="17"/>
  <c r="T31" i="17" s="1"/>
  <c r="T30" i="17"/>
  <c r="K26" i="17"/>
  <c r="P26" i="17" s="1"/>
  <c r="T20" i="17"/>
  <c r="J26" i="17"/>
  <c r="T21" i="17" s="1"/>
  <c r="G524" i="17"/>
  <c r="G525" i="17"/>
  <c r="X187" i="17" s="1"/>
  <c r="X195" i="17" s="1"/>
  <c r="I85" i="17"/>
  <c r="D351" i="17"/>
  <c r="U127" i="17" s="1"/>
  <c r="U135" i="17" s="1"/>
  <c r="H491" i="17"/>
  <c r="I491" i="17" s="1"/>
  <c r="E467" i="17"/>
  <c r="V167" i="17" s="1"/>
  <c r="V175" i="17" s="1"/>
  <c r="AN110" i="17"/>
  <c r="K434" i="17"/>
  <c r="P434" i="17" s="1"/>
  <c r="J434" i="17"/>
  <c r="V161" i="17" s="1"/>
  <c r="V160" i="17"/>
  <c r="H462" i="17"/>
  <c r="I462" i="17" s="1"/>
  <c r="T285" i="17"/>
  <c r="T286" i="17" s="1"/>
  <c r="I116" i="17"/>
  <c r="E31" i="17"/>
  <c r="V16" i="17" s="1"/>
  <c r="E176" i="17"/>
  <c r="E177" i="17"/>
  <c r="V67" i="17" s="1"/>
  <c r="V75" i="17" s="1"/>
  <c r="E205" i="17"/>
  <c r="V76" i="17" s="1"/>
  <c r="V84" i="17" s="1"/>
  <c r="V237" i="17" s="1"/>
  <c r="E206" i="17"/>
  <c r="V77" i="17" s="1"/>
  <c r="V85" i="17" s="1"/>
  <c r="C321" i="17"/>
  <c r="H229" i="17"/>
  <c r="I229" i="17" s="1"/>
  <c r="C234" i="17"/>
  <c r="T86" i="17" s="1"/>
  <c r="T94" i="17" s="1"/>
  <c r="C235" i="17"/>
  <c r="T87" i="17" s="1"/>
  <c r="T95" i="17" s="1"/>
  <c r="E148" i="17"/>
  <c r="V57" i="17" s="1"/>
  <c r="V65" i="17" s="1"/>
  <c r="AO101" i="17"/>
  <c r="AR97" i="17"/>
  <c r="C33" i="17"/>
  <c r="D321" i="17"/>
  <c r="U116" i="17" s="1"/>
  <c r="U124" i="17" s="1"/>
  <c r="U241" i="17" s="1"/>
  <c r="K406" i="17"/>
  <c r="P406" i="17" s="1"/>
  <c r="J406" i="17"/>
  <c r="W151" i="17" s="1"/>
  <c r="W150" i="17"/>
  <c r="C524" i="17"/>
  <c r="T186" i="17" s="1"/>
  <c r="T194" i="17" s="1"/>
  <c r="H519" i="17"/>
  <c r="C525" i="17"/>
  <c r="T187" i="17" s="1"/>
  <c r="T195" i="17" s="1"/>
  <c r="D350" i="17"/>
  <c r="U126" i="17" s="1"/>
  <c r="U134" i="17" s="1"/>
  <c r="U242" i="17" s="1"/>
  <c r="H493" i="17"/>
  <c r="I493" i="17" s="1"/>
  <c r="F582" i="17"/>
  <c r="W206" i="17" s="1"/>
  <c r="W214" i="17" s="1"/>
  <c r="W250" i="17" s="1"/>
  <c r="F583" i="17"/>
  <c r="W207" i="17" s="1"/>
  <c r="W215" i="17" s="1"/>
  <c r="K117" i="17"/>
  <c r="P117" i="17" s="1"/>
  <c r="J117" i="17"/>
  <c r="X51" i="17" s="1"/>
  <c r="X50" i="17"/>
  <c r="F176" i="17"/>
  <c r="F177" i="17"/>
  <c r="W67" i="17" s="1"/>
  <c r="W75" i="17" s="1"/>
  <c r="H202" i="17"/>
  <c r="I202" i="17" s="1"/>
  <c r="F205" i="17"/>
  <c r="W76" i="17" s="1"/>
  <c r="W84" i="17" s="1"/>
  <c r="W237" i="17" s="1"/>
  <c r="F206" i="17"/>
  <c r="W77" i="17" s="1"/>
  <c r="W85" i="17" s="1"/>
  <c r="I465" i="17"/>
  <c r="D234" i="17"/>
  <c r="U86" i="17" s="1"/>
  <c r="U94" i="17" s="1"/>
  <c r="U238" i="17" s="1"/>
  <c r="D235" i="17"/>
  <c r="U87" i="17" s="1"/>
  <c r="U95" i="17" s="1"/>
  <c r="G89" i="17"/>
  <c r="G90" i="17"/>
  <c r="X37" i="17" s="1"/>
  <c r="X45" i="17" s="1"/>
  <c r="D293" i="17"/>
  <c r="U107" i="17" s="1"/>
  <c r="U115" i="17" s="1"/>
  <c r="D292" i="17"/>
  <c r="T26" i="17"/>
  <c r="T34" i="17" s="1"/>
  <c r="C62" i="17"/>
  <c r="H348" i="17"/>
  <c r="I348" i="17" s="1"/>
  <c r="C351" i="17"/>
  <c r="T127" i="17" s="1"/>
  <c r="T135" i="17" s="1"/>
  <c r="E495" i="17"/>
  <c r="V176" i="17" s="1"/>
  <c r="V184" i="17" s="1"/>
  <c r="V247" i="17" s="1"/>
  <c r="E496" i="17"/>
  <c r="V177" i="17" s="1"/>
  <c r="V185" i="17" s="1"/>
  <c r="H145" i="17"/>
  <c r="I145" i="17" s="1"/>
  <c r="AO110" i="17"/>
  <c r="D466" i="17"/>
  <c r="U166" i="17" s="1"/>
  <c r="U174" i="17" s="1"/>
  <c r="U246" i="17" s="1"/>
  <c r="D60" i="17"/>
  <c r="G582" i="17"/>
  <c r="X206" i="17" s="1"/>
  <c r="X214" i="17" s="1"/>
  <c r="X250" i="17" s="1"/>
  <c r="G583" i="17"/>
  <c r="X207" i="17" s="1"/>
  <c r="X215" i="17" s="1"/>
  <c r="I580" i="17"/>
  <c r="G176" i="17"/>
  <c r="G177" i="17"/>
  <c r="X67" i="17" s="1"/>
  <c r="X75" i="17" s="1"/>
  <c r="H521" i="17"/>
  <c r="I521" i="17" s="1"/>
  <c r="G205" i="17"/>
  <c r="G206" i="17"/>
  <c r="X77" i="17" s="1"/>
  <c r="X85" i="17" s="1"/>
  <c r="E234" i="17"/>
  <c r="V86" i="17" s="1"/>
  <c r="V94" i="17" s="1"/>
  <c r="V238" i="17" s="1"/>
  <c r="E235" i="17"/>
  <c r="V87" i="17" s="1"/>
  <c r="V95" i="17" s="1"/>
  <c r="D441" i="17"/>
  <c r="D443" i="17"/>
  <c r="U158" i="17"/>
  <c r="F351" i="17"/>
  <c r="W127" i="17" s="1"/>
  <c r="W135" i="17" s="1"/>
  <c r="H581" i="17"/>
  <c r="I581" i="17" s="1"/>
  <c r="T242" i="17"/>
  <c r="E553" i="17"/>
  <c r="V196" i="17" s="1"/>
  <c r="V204" i="17" s="1"/>
  <c r="V249" i="17" s="1"/>
  <c r="E554" i="17"/>
  <c r="V197" i="17" s="1"/>
  <c r="V205" i="17" s="1"/>
  <c r="H490" i="17"/>
  <c r="C495" i="17"/>
  <c r="T176" i="17" s="1"/>
  <c r="T184" i="17" s="1"/>
  <c r="C496" i="17"/>
  <c r="T177" i="17" s="1"/>
  <c r="T185" i="17" s="1"/>
  <c r="K142" i="17"/>
  <c r="P142" i="17" s="1"/>
  <c r="J142" i="17"/>
  <c r="T61" i="17" s="1"/>
  <c r="T60" i="17"/>
  <c r="BJ39" i="17"/>
  <c r="K88" i="17"/>
  <c r="P88" i="17" s="1"/>
  <c r="J88" i="17"/>
  <c r="X41" i="17" s="1"/>
  <c r="X40" i="17"/>
  <c r="H233" i="17"/>
  <c r="I233" i="17" s="1"/>
  <c r="H436" i="17"/>
  <c r="H437" i="17" s="1"/>
  <c r="I438" i="17" s="1"/>
  <c r="AE30" i="17" s="1"/>
  <c r="C582" i="17"/>
  <c r="T206" i="17" s="1"/>
  <c r="T214" i="17" s="1"/>
  <c r="H577" i="17"/>
  <c r="C583" i="17"/>
  <c r="T207" i="17" s="1"/>
  <c r="T215" i="17" s="1"/>
  <c r="H375" i="17"/>
  <c r="F437" i="17"/>
  <c r="F466" i="17"/>
  <c r="W166" i="17" s="1"/>
  <c r="W174" i="17" s="1"/>
  <c r="W246" i="17" s="1"/>
  <c r="F234" i="17"/>
  <c r="F235" i="17"/>
  <c r="W87" i="17" s="1"/>
  <c r="W95" i="17" s="1"/>
  <c r="H578" i="17"/>
  <c r="I578" i="17" s="1"/>
  <c r="H84" i="17"/>
  <c r="I84" i="17" s="1"/>
  <c r="C89" i="17"/>
  <c r="T36" i="17" s="1"/>
  <c r="T44" i="17" s="1"/>
  <c r="C90" i="17"/>
  <c r="T37" i="17" s="1"/>
  <c r="T45" i="17" s="1"/>
  <c r="F553" i="17"/>
  <c r="F554" i="17"/>
  <c r="W197" i="17" s="1"/>
  <c r="W205" i="17" s="1"/>
  <c r="D495" i="17"/>
  <c r="U176" i="17" s="1"/>
  <c r="U184" i="17" s="1"/>
  <c r="U247" i="17" s="1"/>
  <c r="D496" i="17"/>
  <c r="U177" i="17" s="1"/>
  <c r="U185" i="17" s="1"/>
  <c r="H318" i="17"/>
  <c r="I318" i="17" s="1"/>
  <c r="K232" i="17"/>
  <c r="P232" i="17" s="1"/>
  <c r="J232" i="17"/>
  <c r="W91" i="17" s="1"/>
  <c r="W90" i="17"/>
  <c r="H58" i="17"/>
  <c r="H60" i="17" s="1"/>
  <c r="I61" i="17" s="1"/>
  <c r="AE17" i="17" s="1"/>
  <c r="C61" i="17"/>
  <c r="T27" i="17" s="1"/>
  <c r="T35" i="17" s="1"/>
  <c r="H464" i="17"/>
  <c r="I464" i="17" s="1"/>
  <c r="D582" i="17"/>
  <c r="U206" i="17" s="1"/>
  <c r="U214" i="17" s="1"/>
  <c r="U250" i="17" s="1"/>
  <c r="D583" i="17"/>
  <c r="U207" i="17" s="1"/>
  <c r="U215" i="17" s="1"/>
  <c r="D381" i="17"/>
  <c r="K404" i="17"/>
  <c r="P404" i="17" s="1"/>
  <c r="J404" i="17"/>
  <c r="U151" i="17" s="1"/>
  <c r="U150" i="17"/>
  <c r="E292" i="17"/>
  <c r="E293" i="17"/>
  <c r="V107" i="17" s="1"/>
  <c r="V115" i="17" s="1"/>
  <c r="G234" i="17"/>
  <c r="X86" i="17" s="1"/>
  <c r="X94" i="17" s="1"/>
  <c r="X238" i="17" s="1"/>
  <c r="G235" i="17"/>
  <c r="X87" i="17" s="1"/>
  <c r="X95" i="17" s="1"/>
  <c r="G270" i="17"/>
  <c r="G267" i="17"/>
  <c r="G269" i="17"/>
  <c r="F352" i="17"/>
  <c r="G408" i="17"/>
  <c r="G409" i="17"/>
  <c r="X147" i="17" s="1"/>
  <c r="X155" i="17" s="1"/>
  <c r="D89" i="17"/>
  <c r="U36" i="17" s="1"/>
  <c r="U44" i="17" s="1"/>
  <c r="U233" i="17" s="1"/>
  <c r="D90" i="17"/>
  <c r="U37" i="17" s="1"/>
  <c r="U45" i="17" s="1"/>
  <c r="G553" i="17"/>
  <c r="G554" i="17"/>
  <c r="X197" i="17" s="1"/>
  <c r="X205" i="17" s="1"/>
  <c r="F495" i="17"/>
  <c r="W176" i="17" s="1"/>
  <c r="W184" i="17" s="1"/>
  <c r="W247" i="17" s="1"/>
  <c r="F496" i="17"/>
  <c r="W177" i="17" s="1"/>
  <c r="W185" i="17" s="1"/>
  <c r="D147" i="17"/>
  <c r="F149" i="17"/>
  <c r="H203" i="17"/>
  <c r="I203" i="17" s="1"/>
  <c r="H30" i="17"/>
  <c r="I30" i="17" s="1"/>
  <c r="AQ94" i="17"/>
  <c r="AL99" i="17"/>
  <c r="AL109" i="17" s="1"/>
  <c r="AL117" i="17" s="1"/>
  <c r="K86" i="17"/>
  <c r="P86" i="17" s="1"/>
  <c r="J86" i="17"/>
  <c r="V41" i="17" s="1"/>
  <c r="V40" i="17"/>
  <c r="H492" i="17"/>
  <c r="I492" i="17" s="1"/>
  <c r="E582" i="17"/>
  <c r="V206" i="17" s="1"/>
  <c r="V214" i="17" s="1"/>
  <c r="V250" i="17" s="1"/>
  <c r="E583" i="17"/>
  <c r="V207" i="17" s="1"/>
  <c r="V215" i="17" s="1"/>
  <c r="F292" i="17"/>
  <c r="F293" i="17"/>
  <c r="W107" i="17" s="1"/>
  <c r="W115" i="17" s="1"/>
  <c r="K262" i="17"/>
  <c r="J262" i="17"/>
  <c r="X101" i="17" s="1"/>
  <c r="P262" i="17"/>
  <c r="X100" i="17"/>
  <c r="H403" i="17"/>
  <c r="H408" i="17" s="1"/>
  <c r="I409" i="17" s="1"/>
  <c r="AE29" i="17" s="1"/>
  <c r="C408" i="17"/>
  <c r="T146" i="17" s="1"/>
  <c r="T154" i="17" s="1"/>
  <c r="C409" i="17"/>
  <c r="T147" i="17" s="1"/>
  <c r="T155" i="17" s="1"/>
  <c r="E466" i="17"/>
  <c r="V166" i="17" s="1"/>
  <c r="V174" i="17" s="1"/>
  <c r="V246" i="17" s="1"/>
  <c r="E89" i="17"/>
  <c r="E90" i="17"/>
  <c r="V37" i="17" s="1"/>
  <c r="V45" i="17" s="1"/>
  <c r="AQ96" i="17"/>
  <c r="AR96" i="17" s="1"/>
  <c r="C553" i="17"/>
  <c r="T196" i="17" s="1"/>
  <c r="T204" i="17" s="1"/>
  <c r="H548" i="17"/>
  <c r="C554" i="17"/>
  <c r="T197" i="17" s="1"/>
  <c r="T205" i="17" s="1"/>
  <c r="G495" i="17"/>
  <c r="X176" i="17" s="1"/>
  <c r="X184" i="17" s="1"/>
  <c r="X247" i="17" s="1"/>
  <c r="G496" i="17"/>
  <c r="X177" i="17" s="1"/>
  <c r="X185" i="17" s="1"/>
  <c r="J377" i="17"/>
  <c r="W141" i="17" s="1"/>
  <c r="K377" i="17"/>
  <c r="P377" i="17" s="1"/>
  <c r="W140" i="17"/>
  <c r="H231" i="17"/>
  <c r="I231" i="17" s="1"/>
  <c r="AM99" i="17"/>
  <c r="H87" i="17"/>
  <c r="I87" i="17" s="1"/>
  <c r="H463" i="17"/>
  <c r="I463" i="17" s="1"/>
  <c r="H319" i="17"/>
  <c r="I319" i="17" s="1"/>
  <c r="F267" i="17"/>
  <c r="F270" i="17"/>
  <c r="W98" i="17"/>
  <c r="F269" i="17"/>
  <c r="K405" i="17"/>
  <c r="P405" i="17" s="1"/>
  <c r="J405" i="17"/>
  <c r="V151" i="17" s="1"/>
  <c r="V150" i="17"/>
  <c r="G292" i="17"/>
  <c r="G293" i="17"/>
  <c r="X107" i="17" s="1"/>
  <c r="X115" i="17" s="1"/>
  <c r="H28" i="17"/>
  <c r="D119" i="17"/>
  <c r="U47" i="17" s="1"/>
  <c r="U55" i="17" s="1"/>
  <c r="D118" i="17"/>
  <c r="H144" i="17"/>
  <c r="C148" i="17"/>
  <c r="T57" i="17" s="1"/>
  <c r="T65" i="17" s="1"/>
  <c r="K551" i="17"/>
  <c r="P551" i="17" s="1"/>
  <c r="J551" i="17"/>
  <c r="W201" i="17" s="1"/>
  <c r="W200" i="17"/>
  <c r="E322" i="17"/>
  <c r="V117" i="17" s="1"/>
  <c r="V125" i="17" s="1"/>
  <c r="J378" i="17"/>
  <c r="X141" i="17" s="1"/>
  <c r="K378" i="17"/>
  <c r="P378" i="17" s="1"/>
  <c r="X140" i="17"/>
  <c r="D408" i="17"/>
  <c r="D409" i="17"/>
  <c r="U147" i="17" s="1"/>
  <c r="U155" i="17" s="1"/>
  <c r="F89" i="17"/>
  <c r="W36" i="17" s="1"/>
  <c r="W44" i="17" s="1"/>
  <c r="W233" i="17" s="1"/>
  <c r="F90" i="17"/>
  <c r="W37" i="17" s="1"/>
  <c r="W45" i="17" s="1"/>
  <c r="K175" i="17"/>
  <c r="P175" i="17" s="1"/>
  <c r="J175" i="17"/>
  <c r="X71" i="17" s="1"/>
  <c r="X70" i="17"/>
  <c r="T239" i="17"/>
  <c r="AA104" i="17"/>
  <c r="I345" i="17"/>
  <c r="D553" i="17"/>
  <c r="U196" i="17" s="1"/>
  <c r="U204" i="17" s="1"/>
  <c r="U249" i="17" s="1"/>
  <c r="D554" i="17"/>
  <c r="U197" i="17" s="1"/>
  <c r="U205" i="17" s="1"/>
  <c r="BI50" i="17"/>
  <c r="BJ50" i="17" s="1"/>
  <c r="BI53" i="17"/>
  <c r="BJ53" i="17" s="1"/>
  <c r="BI43" i="17"/>
  <c r="BJ43" i="17" s="1"/>
  <c r="BI47" i="17"/>
  <c r="BJ47" i="17" s="1"/>
  <c r="BI42" i="17"/>
  <c r="BJ42" i="17" s="1"/>
  <c r="BI48" i="17"/>
  <c r="BJ48" i="17" s="1"/>
  <c r="BI46" i="17"/>
  <c r="BJ46" i="17" s="1"/>
  <c r="BI41" i="17"/>
  <c r="BJ41" i="17" s="1"/>
  <c r="BI45" i="17"/>
  <c r="BJ45" i="17" s="1"/>
  <c r="BI49" i="17"/>
  <c r="BJ49" i="17" s="1"/>
  <c r="BI44" i="17"/>
  <c r="BJ44" i="17" s="1"/>
  <c r="BI55" i="17"/>
  <c r="BJ55" i="17" s="1"/>
  <c r="BI51" i="17"/>
  <c r="BJ51" i="17" s="1"/>
  <c r="BI54" i="17"/>
  <c r="BJ54" i="17" s="1"/>
  <c r="BI56" i="17"/>
  <c r="BJ56" i="17" s="1"/>
  <c r="BI52" i="17"/>
  <c r="BJ52" i="17" s="1"/>
  <c r="F381" i="17"/>
  <c r="I520" i="17"/>
  <c r="D526" i="17"/>
  <c r="F62" i="17"/>
  <c r="F61" i="17"/>
  <c r="W27" i="17" s="1"/>
  <c r="W35" i="17" s="1"/>
  <c r="AN99" i="17"/>
  <c r="AN109" i="17" s="1"/>
  <c r="AN117" i="17" s="1"/>
  <c r="AP110" i="17"/>
  <c r="K59" i="17"/>
  <c r="P59" i="17" s="1"/>
  <c r="X30" i="17"/>
  <c r="J59" i="17"/>
  <c r="X31" i="17" s="1"/>
  <c r="W284" i="17"/>
  <c r="W285" i="17"/>
  <c r="W286" i="17" s="1"/>
  <c r="W225" i="17"/>
  <c r="K261" i="17"/>
  <c r="P261" i="17" s="1"/>
  <c r="J261" i="17"/>
  <c r="W101" i="17" s="1"/>
  <c r="W100" i="17"/>
  <c r="H346" i="17"/>
  <c r="H29" i="17"/>
  <c r="I29" i="17" s="1"/>
  <c r="E379" i="17"/>
  <c r="H287" i="17"/>
  <c r="H292" i="17" s="1"/>
  <c r="I293" i="17" s="1"/>
  <c r="AE25" i="17" s="1"/>
  <c r="C292" i="17"/>
  <c r="T106" i="17" s="1"/>
  <c r="T114" i="17" s="1"/>
  <c r="C293" i="17"/>
  <c r="T107" i="17" s="1"/>
  <c r="T115" i="17" s="1"/>
  <c r="C437" i="17"/>
  <c r="G499" i="27" l="1"/>
  <c r="G568" i="27"/>
  <c r="F568" i="27"/>
  <c r="F499" i="27"/>
  <c r="E499" i="27"/>
  <c r="E568" i="27"/>
  <c r="D499" i="27"/>
  <c r="D568" i="27"/>
  <c r="H499" i="27"/>
  <c r="H568" i="27"/>
  <c r="F567" i="27"/>
  <c r="F451" i="27"/>
  <c r="E451" i="27"/>
  <c r="E567" i="27"/>
  <c r="D451" i="27"/>
  <c r="D567" i="27"/>
  <c r="H451" i="27"/>
  <c r="H567" i="27"/>
  <c r="G451" i="27"/>
  <c r="G567" i="27"/>
  <c r="F403" i="27"/>
  <c r="F566" i="27"/>
  <c r="E403" i="27"/>
  <c r="E566" i="27"/>
  <c r="D403" i="27"/>
  <c r="D566" i="27"/>
  <c r="G403" i="27"/>
  <c r="G566" i="27"/>
  <c r="H403" i="27"/>
  <c r="H566" i="27"/>
  <c r="H355" i="27"/>
  <c r="H565" i="27"/>
  <c r="D355" i="27"/>
  <c r="D565" i="27"/>
  <c r="F355" i="27"/>
  <c r="F565" i="27"/>
  <c r="E355" i="27"/>
  <c r="E565" i="27"/>
  <c r="G355" i="27"/>
  <c r="G565" i="27"/>
  <c r="E564" i="27"/>
  <c r="E307" i="27"/>
  <c r="H307" i="27"/>
  <c r="H564" i="27"/>
  <c r="F307" i="27"/>
  <c r="F564" i="27"/>
  <c r="D307" i="27"/>
  <c r="D564" i="27"/>
  <c r="G259" i="27"/>
  <c r="G563" i="27"/>
  <c r="E563" i="27"/>
  <c r="E259" i="27"/>
  <c r="H259" i="27"/>
  <c r="H563" i="27"/>
  <c r="D259" i="27"/>
  <c r="D563" i="27"/>
  <c r="F259" i="27"/>
  <c r="F563" i="27"/>
  <c r="AN118" i="18"/>
  <c r="F160" i="27" s="1"/>
  <c r="F151" i="27"/>
  <c r="AL118" i="18"/>
  <c r="D160" i="27" s="1"/>
  <c r="D151" i="27"/>
  <c r="AP118" i="18"/>
  <c r="H160" i="27" s="1"/>
  <c r="H151" i="27"/>
  <c r="AO118" i="18"/>
  <c r="G160" i="27" s="1"/>
  <c r="G151" i="27"/>
  <c r="AM118" i="18"/>
  <c r="E160" i="27" s="1"/>
  <c r="E151" i="27"/>
  <c r="AN118" i="17"/>
  <c r="F64" i="27" s="1"/>
  <c r="F55" i="27"/>
  <c r="AP118" i="17"/>
  <c r="H64" i="27" s="1"/>
  <c r="H55" i="27"/>
  <c r="AM118" i="17"/>
  <c r="E64" i="27" s="1"/>
  <c r="E55" i="27"/>
  <c r="AL118" i="17"/>
  <c r="D64" i="27" s="1"/>
  <c r="D55" i="27"/>
  <c r="AO118" i="17"/>
  <c r="G64" i="27" s="1"/>
  <c r="G55" i="27"/>
  <c r="AS100" i="26"/>
  <c r="AS110" i="26" s="1"/>
  <c r="D150" i="26"/>
  <c r="U59" i="26" s="1"/>
  <c r="G382" i="26"/>
  <c r="X139" i="26" s="1"/>
  <c r="V224" i="26"/>
  <c r="F92" i="26"/>
  <c r="W39" i="26" s="1"/>
  <c r="AN102" i="25"/>
  <c r="AN112" i="25" s="1"/>
  <c r="C556" i="25"/>
  <c r="T199" i="25" s="1"/>
  <c r="D556" i="25"/>
  <c r="U199" i="25" s="1"/>
  <c r="D266" i="25"/>
  <c r="U99" i="25" s="1"/>
  <c r="C121" i="25"/>
  <c r="T49" i="25" s="1"/>
  <c r="W278" i="25"/>
  <c r="AL102" i="24"/>
  <c r="AL112" i="24" s="1"/>
  <c r="C150" i="24"/>
  <c r="T59" i="24" s="1"/>
  <c r="E237" i="24"/>
  <c r="V89" i="24" s="1"/>
  <c r="G382" i="24"/>
  <c r="X139" i="24" s="1"/>
  <c r="F208" i="24"/>
  <c r="W79" i="24" s="1"/>
  <c r="G179" i="24"/>
  <c r="X69" i="24" s="1"/>
  <c r="U224" i="24"/>
  <c r="AM102" i="23"/>
  <c r="AM112" i="23" s="1"/>
  <c r="G556" i="23"/>
  <c r="X199" i="23" s="1"/>
  <c r="E353" i="23"/>
  <c r="V129" i="23" s="1"/>
  <c r="E295" i="23"/>
  <c r="V109" i="23" s="1"/>
  <c r="D150" i="23"/>
  <c r="U59" i="23" s="1"/>
  <c r="G179" i="23"/>
  <c r="X69" i="23" s="1"/>
  <c r="AL102" i="21"/>
  <c r="AL112" i="21" s="1"/>
  <c r="AM102" i="21"/>
  <c r="AM112" i="21" s="1"/>
  <c r="F121" i="21"/>
  <c r="W49" i="21" s="1"/>
  <c r="F92" i="21"/>
  <c r="W39" i="21" s="1"/>
  <c r="W279" i="21" s="1"/>
  <c r="W280" i="21" s="1"/>
  <c r="F498" i="20"/>
  <c r="W179" i="20" s="1"/>
  <c r="F411" i="20"/>
  <c r="W149" i="20" s="1"/>
  <c r="AN101" i="18"/>
  <c r="AP101" i="18"/>
  <c r="H89" i="18"/>
  <c r="I90" i="18" s="1"/>
  <c r="AE18" i="18" s="1"/>
  <c r="W50" i="18"/>
  <c r="K116" i="18"/>
  <c r="P116" i="18" s="1"/>
  <c r="J346" i="18"/>
  <c r="U131" i="18" s="1"/>
  <c r="C352" i="18"/>
  <c r="U130" i="18"/>
  <c r="U150" i="18"/>
  <c r="C468" i="18"/>
  <c r="C473" i="18" s="1"/>
  <c r="G555" i="18"/>
  <c r="G557" i="18" s="1"/>
  <c r="C584" i="18"/>
  <c r="V210" i="18"/>
  <c r="K579" i="18"/>
  <c r="P579" i="18" s="1"/>
  <c r="H582" i="18"/>
  <c r="I583" i="18" s="1"/>
  <c r="AE35" i="18" s="1"/>
  <c r="D555" i="18"/>
  <c r="C381" i="18"/>
  <c r="C383" i="18" s="1"/>
  <c r="X140" i="18"/>
  <c r="K378" i="18"/>
  <c r="P378" i="18" s="1"/>
  <c r="F265" i="18"/>
  <c r="F270" i="18" s="1"/>
  <c r="G207" i="18"/>
  <c r="G209" i="18" s="1"/>
  <c r="E149" i="18"/>
  <c r="G149" i="18"/>
  <c r="C91" i="18"/>
  <c r="AL101" i="17"/>
  <c r="AP101" i="17"/>
  <c r="AP106" i="17" s="1"/>
  <c r="T140" i="17"/>
  <c r="J347" i="17"/>
  <c r="V131" i="17" s="1"/>
  <c r="U98" i="17"/>
  <c r="F33" i="17"/>
  <c r="E526" i="17"/>
  <c r="E497" i="17"/>
  <c r="F468" i="17"/>
  <c r="F473" i="17" s="1"/>
  <c r="I436" i="17"/>
  <c r="G439" i="17"/>
  <c r="C352" i="17"/>
  <c r="C356" i="17" s="1"/>
  <c r="T98" i="17"/>
  <c r="G236" i="17"/>
  <c r="E207" i="17"/>
  <c r="E211" i="17" s="1"/>
  <c r="G153" i="17"/>
  <c r="X58" i="17"/>
  <c r="H118" i="17"/>
  <c r="I119" i="17" s="1"/>
  <c r="AE19" i="17" s="1"/>
  <c r="F120" i="17"/>
  <c r="I58" i="17"/>
  <c r="AM102" i="26"/>
  <c r="AM112" i="26" s="1"/>
  <c r="F498" i="26"/>
  <c r="W179" i="26" s="1"/>
  <c r="D411" i="26"/>
  <c r="U149" i="26" s="1"/>
  <c r="W224" i="26"/>
  <c r="D179" i="26"/>
  <c r="U69" i="26" s="1"/>
  <c r="C179" i="26"/>
  <c r="T69" i="26" s="1"/>
  <c r="T281" i="26"/>
  <c r="G150" i="26"/>
  <c r="X59" i="26" s="1"/>
  <c r="X279" i="26" s="1"/>
  <c r="X280" i="26" s="1"/>
  <c r="E63" i="26"/>
  <c r="V29" i="26" s="1"/>
  <c r="G527" i="26"/>
  <c r="X189" i="26" s="1"/>
  <c r="F469" i="26"/>
  <c r="W169" i="26" s="1"/>
  <c r="X221" i="26"/>
  <c r="F440" i="26"/>
  <c r="W159" i="26" s="1"/>
  <c r="C411" i="26"/>
  <c r="T149" i="26" s="1"/>
  <c r="U221" i="26"/>
  <c r="F382" i="26"/>
  <c r="W139" i="26" s="1"/>
  <c r="C295" i="26"/>
  <c r="T109" i="26" s="1"/>
  <c r="D208" i="26"/>
  <c r="U79" i="26" s="1"/>
  <c r="C150" i="26"/>
  <c r="T59" i="26" s="1"/>
  <c r="T279" i="26" s="1"/>
  <c r="T280" i="26" s="1"/>
  <c r="AA275" i="26"/>
  <c r="T221" i="26"/>
  <c r="T224" i="26"/>
  <c r="F121" i="26"/>
  <c r="W49" i="26" s="1"/>
  <c r="W221" i="26"/>
  <c r="BD16" i="26"/>
  <c r="T223" i="26"/>
  <c r="F150" i="26"/>
  <c r="W59" i="26" s="1"/>
  <c r="D469" i="26"/>
  <c r="U169" i="26" s="1"/>
  <c r="C585" i="26"/>
  <c r="T209" i="26" s="1"/>
  <c r="E237" i="26"/>
  <c r="V89" i="26" s="1"/>
  <c r="BD13" i="26"/>
  <c r="C469" i="26"/>
  <c r="T169" i="26" s="1"/>
  <c r="C556" i="26"/>
  <c r="T199" i="26" s="1"/>
  <c r="G498" i="26"/>
  <c r="X179" i="26" s="1"/>
  <c r="G469" i="26"/>
  <c r="X169" i="26" s="1"/>
  <c r="F527" i="26"/>
  <c r="W189" i="26" s="1"/>
  <c r="V278" i="26"/>
  <c r="V221" i="26"/>
  <c r="W233" i="26"/>
  <c r="AA44" i="26"/>
  <c r="W290" i="26"/>
  <c r="AA290" i="26" s="1"/>
  <c r="W291" i="26"/>
  <c r="W292" i="26" s="1"/>
  <c r="W227" i="26"/>
  <c r="E121" i="26"/>
  <c r="V49" i="26" s="1"/>
  <c r="AO102" i="26"/>
  <c r="AO112" i="26" s="1"/>
  <c r="AL102" i="26"/>
  <c r="AL112" i="26" s="1"/>
  <c r="C266" i="26"/>
  <c r="T99" i="26" s="1"/>
  <c r="BD20" i="26"/>
  <c r="F237" i="26"/>
  <c r="W89" i="26" s="1"/>
  <c r="BD21" i="26"/>
  <c r="G585" i="26"/>
  <c r="X209" i="26" s="1"/>
  <c r="E556" i="26"/>
  <c r="V199" i="26" s="1"/>
  <c r="C527" i="26"/>
  <c r="T189" i="26" s="1"/>
  <c r="BD17" i="26"/>
  <c r="E208" i="26"/>
  <c r="V79" i="26" s="1"/>
  <c r="AN102" i="26"/>
  <c r="AN112" i="26" s="1"/>
  <c r="C382" i="26"/>
  <c r="T139" i="26" s="1"/>
  <c r="E469" i="26"/>
  <c r="V169" i="26" s="1"/>
  <c r="G295" i="26"/>
  <c r="X109" i="26" s="1"/>
  <c r="BD15" i="26"/>
  <c r="BD18" i="26"/>
  <c r="BD22" i="26"/>
  <c r="BD23" i="26"/>
  <c r="AP102" i="26"/>
  <c r="AP112" i="26" s="1"/>
  <c r="D92" i="26"/>
  <c r="U39" i="26" s="1"/>
  <c r="BD14" i="26"/>
  <c r="F411" i="26"/>
  <c r="W149" i="26" s="1"/>
  <c r="G411" i="26"/>
  <c r="X149" i="26" s="1"/>
  <c r="D382" i="26"/>
  <c r="U139" i="26" s="1"/>
  <c r="BD19" i="26"/>
  <c r="E266" i="26"/>
  <c r="V99" i="26" s="1"/>
  <c r="E411" i="26"/>
  <c r="V149" i="26" s="1"/>
  <c r="F208" i="26"/>
  <c r="W79" i="26" s="1"/>
  <c r="AL102" i="25"/>
  <c r="AL112" i="25" s="1"/>
  <c r="E527" i="25"/>
  <c r="V189" i="25" s="1"/>
  <c r="E411" i="25"/>
  <c r="V149" i="25" s="1"/>
  <c r="E353" i="25"/>
  <c r="V129" i="25" s="1"/>
  <c r="C324" i="25"/>
  <c r="T119" i="25" s="1"/>
  <c r="F237" i="25"/>
  <c r="W89" i="25" s="1"/>
  <c r="G237" i="25"/>
  <c r="X89" i="25" s="1"/>
  <c r="E208" i="25"/>
  <c r="V79" i="25" s="1"/>
  <c r="D150" i="25"/>
  <c r="U59" i="25" s="1"/>
  <c r="X278" i="25"/>
  <c r="G121" i="25"/>
  <c r="X49" i="25" s="1"/>
  <c r="C92" i="25"/>
  <c r="T39" i="25" s="1"/>
  <c r="T282" i="25"/>
  <c r="T283" i="25" s="1"/>
  <c r="F527" i="25"/>
  <c r="W189" i="25" s="1"/>
  <c r="G440" i="25"/>
  <c r="X159" i="25" s="1"/>
  <c r="D237" i="25"/>
  <c r="U89" i="25" s="1"/>
  <c r="BD22" i="25"/>
  <c r="F179" i="25"/>
  <c r="W69" i="25" s="1"/>
  <c r="C179" i="25"/>
  <c r="T69" i="25" s="1"/>
  <c r="W221" i="25"/>
  <c r="G150" i="25"/>
  <c r="X59" i="25" s="1"/>
  <c r="BD13" i="25"/>
  <c r="D121" i="25"/>
  <c r="U49" i="25" s="1"/>
  <c r="V278" i="25"/>
  <c r="D92" i="25"/>
  <c r="U39" i="25" s="1"/>
  <c r="T278" i="25"/>
  <c r="F92" i="25"/>
  <c r="W39" i="25" s="1"/>
  <c r="BD19" i="25"/>
  <c r="D63" i="25"/>
  <c r="U29" i="25" s="1"/>
  <c r="BD16" i="25"/>
  <c r="U278" i="25"/>
  <c r="AA275" i="25"/>
  <c r="F63" i="25"/>
  <c r="W29" i="25" s="1"/>
  <c r="E150" i="25"/>
  <c r="V59" i="25" s="1"/>
  <c r="U221" i="25"/>
  <c r="U232" i="25"/>
  <c r="AA34" i="25"/>
  <c r="U291" i="25"/>
  <c r="U292" i="25" s="1"/>
  <c r="U227" i="25"/>
  <c r="U290" i="25"/>
  <c r="X221" i="25"/>
  <c r="BD21" i="25"/>
  <c r="D382" i="25"/>
  <c r="U139" i="25" s="1"/>
  <c r="D527" i="25"/>
  <c r="U189" i="25" s="1"/>
  <c r="F150" i="25"/>
  <c r="W59" i="25" s="1"/>
  <c r="E382" i="25"/>
  <c r="V139" i="25" s="1"/>
  <c r="D585" i="25"/>
  <c r="U209" i="25" s="1"/>
  <c r="D179" i="25"/>
  <c r="U69" i="25" s="1"/>
  <c r="D324" i="25"/>
  <c r="U119" i="25" s="1"/>
  <c r="AP102" i="25"/>
  <c r="AP112" i="25" s="1"/>
  <c r="BD20" i="25"/>
  <c r="E179" i="25"/>
  <c r="V69" i="25" s="1"/>
  <c r="C237" i="25"/>
  <c r="T89" i="25" s="1"/>
  <c r="G556" i="25"/>
  <c r="X199" i="25" s="1"/>
  <c r="W232" i="25"/>
  <c r="W291" i="25"/>
  <c r="W292" i="25" s="1"/>
  <c r="W290" i="25"/>
  <c r="W227" i="25"/>
  <c r="BD18" i="25"/>
  <c r="BD14" i="25"/>
  <c r="T223" i="25"/>
  <c r="T224" i="25"/>
  <c r="X233" i="25"/>
  <c r="X291" i="25"/>
  <c r="X292" i="25" s="1"/>
  <c r="X290" i="25"/>
  <c r="X227" i="25"/>
  <c r="V221" i="25"/>
  <c r="G498" i="25"/>
  <c r="X179" i="25" s="1"/>
  <c r="X281" i="25"/>
  <c r="X223" i="25"/>
  <c r="G324" i="25"/>
  <c r="X119" i="25" s="1"/>
  <c r="G92" i="25"/>
  <c r="X39" i="25" s="1"/>
  <c r="G179" i="25"/>
  <c r="X69" i="25" s="1"/>
  <c r="X282" i="25"/>
  <c r="X283" i="25" s="1"/>
  <c r="X224" i="25"/>
  <c r="BD23" i="25"/>
  <c r="T221" i="25"/>
  <c r="E92" i="25"/>
  <c r="V39" i="25" s="1"/>
  <c r="BD17" i="25"/>
  <c r="AM102" i="25"/>
  <c r="AM112" i="25" s="1"/>
  <c r="BD15" i="25"/>
  <c r="V233" i="25"/>
  <c r="V291" i="25"/>
  <c r="V292" i="25" s="1"/>
  <c r="V290" i="25"/>
  <c r="V227" i="25"/>
  <c r="AA44" i="25"/>
  <c r="C208" i="25"/>
  <c r="T79" i="25" s="1"/>
  <c r="C63" i="25"/>
  <c r="T29" i="25" s="1"/>
  <c r="C498" i="25"/>
  <c r="T179" i="25" s="1"/>
  <c r="E527" i="24"/>
  <c r="V189" i="24" s="1"/>
  <c r="D324" i="24"/>
  <c r="U119" i="24" s="1"/>
  <c r="C324" i="24"/>
  <c r="T119" i="24" s="1"/>
  <c r="F324" i="24"/>
  <c r="W119" i="24" s="1"/>
  <c r="U223" i="24"/>
  <c r="G527" i="24"/>
  <c r="X189" i="24" s="1"/>
  <c r="F411" i="24"/>
  <c r="W149" i="24" s="1"/>
  <c r="W221" i="24"/>
  <c r="G353" i="24"/>
  <c r="X129" i="24" s="1"/>
  <c r="U221" i="24"/>
  <c r="T221" i="24"/>
  <c r="E324" i="24"/>
  <c r="V119" i="24" s="1"/>
  <c r="V221" i="24"/>
  <c r="E208" i="24"/>
  <c r="V79" i="24" s="1"/>
  <c r="D179" i="24"/>
  <c r="U69" i="24" s="1"/>
  <c r="T278" i="24"/>
  <c r="BD20" i="24"/>
  <c r="BD13" i="24"/>
  <c r="T279" i="24"/>
  <c r="T280" i="24" s="1"/>
  <c r="BD17" i="24"/>
  <c r="BD14" i="24"/>
  <c r="BD16" i="24"/>
  <c r="AA290" i="24"/>
  <c r="BD15" i="24"/>
  <c r="F237" i="24"/>
  <c r="W89" i="24" s="1"/>
  <c r="BD21" i="24"/>
  <c r="F353" i="24"/>
  <c r="W129" i="24" s="1"/>
  <c r="C411" i="24"/>
  <c r="T149" i="24" s="1"/>
  <c r="G150" i="24"/>
  <c r="X59" i="24" s="1"/>
  <c r="X279" i="24" s="1"/>
  <c r="X280" i="24" s="1"/>
  <c r="E121" i="24"/>
  <c r="V49" i="24" s="1"/>
  <c r="V279" i="24" s="1"/>
  <c r="V280" i="24" s="1"/>
  <c r="D237" i="24"/>
  <c r="U89" i="24" s="1"/>
  <c r="AP102" i="24"/>
  <c r="AP112" i="24" s="1"/>
  <c r="E179" i="24"/>
  <c r="V69" i="24" s="1"/>
  <c r="BD22" i="24"/>
  <c r="AA275" i="24"/>
  <c r="BD19" i="24"/>
  <c r="G469" i="24"/>
  <c r="X169" i="24" s="1"/>
  <c r="F295" i="24"/>
  <c r="W109" i="24" s="1"/>
  <c r="G411" i="24"/>
  <c r="X149" i="24" s="1"/>
  <c r="BD23" i="24"/>
  <c r="T282" i="24"/>
  <c r="T283" i="24" s="1"/>
  <c r="T224" i="24"/>
  <c r="T281" i="24"/>
  <c r="T223" i="24"/>
  <c r="D498" i="24"/>
  <c r="U179" i="24" s="1"/>
  <c r="X221" i="24"/>
  <c r="C498" i="24"/>
  <c r="T179" i="24" s="1"/>
  <c r="D150" i="24"/>
  <c r="U59" i="24" s="1"/>
  <c r="D295" i="24"/>
  <c r="U109" i="24" s="1"/>
  <c r="C527" i="24"/>
  <c r="T189" i="24" s="1"/>
  <c r="G237" i="24"/>
  <c r="X89" i="24" s="1"/>
  <c r="BD18" i="24"/>
  <c r="F92" i="24"/>
  <c r="W39" i="24" s="1"/>
  <c r="W279" i="24" s="1"/>
  <c r="W280" i="24" s="1"/>
  <c r="AO102" i="23"/>
  <c r="AO112" i="23" s="1"/>
  <c r="AP102" i="23"/>
  <c r="AP112" i="23" s="1"/>
  <c r="F556" i="23"/>
  <c r="W199" i="23" s="1"/>
  <c r="F411" i="23"/>
  <c r="W149" i="23" s="1"/>
  <c r="G353" i="23"/>
  <c r="X129" i="23" s="1"/>
  <c r="C324" i="23"/>
  <c r="T119" i="23" s="1"/>
  <c r="G266" i="23"/>
  <c r="X99" i="23" s="1"/>
  <c r="E208" i="23"/>
  <c r="V79" i="23" s="1"/>
  <c r="F208" i="23"/>
  <c r="W79" i="23" s="1"/>
  <c r="T223" i="23"/>
  <c r="G63" i="23"/>
  <c r="X29" i="23" s="1"/>
  <c r="F34" i="23"/>
  <c r="W19" i="23" s="1"/>
  <c r="W279" i="23" s="1"/>
  <c r="W280" i="23" s="1"/>
  <c r="C556" i="23"/>
  <c r="T199" i="23" s="1"/>
  <c r="D556" i="23"/>
  <c r="U199" i="23" s="1"/>
  <c r="J525" i="23"/>
  <c r="AF33" i="23" s="1"/>
  <c r="D469" i="23"/>
  <c r="U169" i="23" s="1"/>
  <c r="C469" i="23"/>
  <c r="T169" i="23" s="1"/>
  <c r="G382" i="23"/>
  <c r="X139" i="23" s="1"/>
  <c r="C382" i="23"/>
  <c r="T139" i="23" s="1"/>
  <c r="D266" i="23"/>
  <c r="U99" i="23" s="1"/>
  <c r="U221" i="23"/>
  <c r="T221" i="23"/>
  <c r="T224" i="23"/>
  <c r="T282" i="23"/>
  <c r="T283" i="23" s="1"/>
  <c r="C121" i="23"/>
  <c r="T49" i="23" s="1"/>
  <c r="BD13" i="23"/>
  <c r="BD18" i="23"/>
  <c r="E92" i="23"/>
  <c r="V39" i="23" s="1"/>
  <c r="BD17" i="23"/>
  <c r="BD19" i="23"/>
  <c r="T278" i="23"/>
  <c r="C63" i="23"/>
  <c r="T29" i="23" s="1"/>
  <c r="BD15" i="23"/>
  <c r="U279" i="23"/>
  <c r="U280" i="23" s="1"/>
  <c r="G411" i="23"/>
  <c r="X149" i="23" s="1"/>
  <c r="E469" i="23"/>
  <c r="V169" i="23" s="1"/>
  <c r="E266" i="23"/>
  <c r="V99" i="23" s="1"/>
  <c r="BD20" i="23"/>
  <c r="D237" i="23"/>
  <c r="U89" i="23" s="1"/>
  <c r="AA275" i="23"/>
  <c r="D585" i="23"/>
  <c r="U209" i="23" s="1"/>
  <c r="W278" i="23"/>
  <c r="W221" i="23"/>
  <c r="G34" i="23"/>
  <c r="X19" i="23" s="1"/>
  <c r="F585" i="23"/>
  <c r="W209" i="23" s="1"/>
  <c r="BD22" i="23"/>
  <c r="X290" i="23"/>
  <c r="AA290" i="23" s="1"/>
  <c r="X227" i="23"/>
  <c r="X231" i="23"/>
  <c r="X291" i="23"/>
  <c r="X292" i="23" s="1"/>
  <c r="C179" i="23"/>
  <c r="T69" i="23" s="1"/>
  <c r="E556" i="23"/>
  <c r="V199" i="23" s="1"/>
  <c r="F469" i="23"/>
  <c r="W169" i="23" s="1"/>
  <c r="E34" i="23"/>
  <c r="V19" i="23" s="1"/>
  <c r="G469" i="23"/>
  <c r="X169" i="23" s="1"/>
  <c r="BD16" i="23"/>
  <c r="AL102" i="23"/>
  <c r="AL112" i="23" s="1"/>
  <c r="X278" i="23"/>
  <c r="X221" i="23"/>
  <c r="E498" i="23"/>
  <c r="V179" i="23" s="1"/>
  <c r="G150" i="23"/>
  <c r="X59" i="23" s="1"/>
  <c r="D208" i="23"/>
  <c r="U79" i="23" s="1"/>
  <c r="V278" i="23"/>
  <c r="V221" i="23"/>
  <c r="BD21" i="23"/>
  <c r="D411" i="23"/>
  <c r="U149" i="23" s="1"/>
  <c r="E585" i="23"/>
  <c r="V209" i="23" s="1"/>
  <c r="F324" i="23"/>
  <c r="W119" i="23" s="1"/>
  <c r="F237" i="23"/>
  <c r="W89" i="23" s="1"/>
  <c r="D179" i="23"/>
  <c r="U69" i="23" s="1"/>
  <c r="C266" i="23"/>
  <c r="T99" i="23" s="1"/>
  <c r="BD14" i="23"/>
  <c r="BD23" i="23"/>
  <c r="E179" i="23"/>
  <c r="V69" i="23" s="1"/>
  <c r="E324" i="23"/>
  <c r="V119" i="23" s="1"/>
  <c r="G527" i="23"/>
  <c r="X189" i="23" s="1"/>
  <c r="U223" i="21"/>
  <c r="C556" i="21"/>
  <c r="T199" i="21" s="1"/>
  <c r="D527" i="21"/>
  <c r="U189" i="21" s="1"/>
  <c r="G440" i="21"/>
  <c r="X159" i="21" s="1"/>
  <c r="D411" i="21"/>
  <c r="U149" i="21" s="1"/>
  <c r="D382" i="21"/>
  <c r="U139" i="21" s="1"/>
  <c r="C324" i="21"/>
  <c r="T119" i="21" s="1"/>
  <c r="F295" i="21"/>
  <c r="W109" i="21" s="1"/>
  <c r="C266" i="21"/>
  <c r="T99" i="21" s="1"/>
  <c r="E266" i="21"/>
  <c r="V99" i="21" s="1"/>
  <c r="E237" i="21"/>
  <c r="V89" i="21" s="1"/>
  <c r="D92" i="21"/>
  <c r="U39" i="21" s="1"/>
  <c r="U224" i="21"/>
  <c r="C440" i="21"/>
  <c r="T159" i="21" s="1"/>
  <c r="E411" i="21"/>
  <c r="V149" i="21" s="1"/>
  <c r="E382" i="21"/>
  <c r="V139" i="21" s="1"/>
  <c r="C208" i="21"/>
  <c r="T79" i="21" s="1"/>
  <c r="C179" i="21"/>
  <c r="T69" i="21" s="1"/>
  <c r="T221" i="21"/>
  <c r="W221" i="21"/>
  <c r="AA275" i="21"/>
  <c r="D121" i="21"/>
  <c r="U49" i="21" s="1"/>
  <c r="BD17" i="21"/>
  <c r="T279" i="21"/>
  <c r="T280" i="21" s="1"/>
  <c r="F411" i="21"/>
  <c r="W149" i="21" s="1"/>
  <c r="BD14" i="21"/>
  <c r="BD13" i="21"/>
  <c r="BD20" i="21"/>
  <c r="W278" i="21"/>
  <c r="T281" i="21"/>
  <c r="T223" i="21"/>
  <c r="F179" i="21"/>
  <c r="W69" i="21" s="1"/>
  <c r="BD21" i="21"/>
  <c r="D585" i="21"/>
  <c r="U209" i="21" s="1"/>
  <c r="BD23" i="21"/>
  <c r="T282" i="21"/>
  <c r="T283" i="21" s="1"/>
  <c r="T224" i="21"/>
  <c r="G266" i="21"/>
  <c r="X99" i="21" s="1"/>
  <c r="D295" i="21"/>
  <c r="U109" i="21" s="1"/>
  <c r="BD15" i="21"/>
  <c r="BD22" i="21"/>
  <c r="C527" i="21"/>
  <c r="T189" i="21" s="1"/>
  <c r="E527" i="21"/>
  <c r="V189" i="21" s="1"/>
  <c r="F440" i="21"/>
  <c r="W159" i="21" s="1"/>
  <c r="C295" i="21"/>
  <c r="T109" i="21" s="1"/>
  <c r="G469" i="21"/>
  <c r="X169" i="21" s="1"/>
  <c r="G411" i="21"/>
  <c r="X149" i="21" s="1"/>
  <c r="W233" i="21"/>
  <c r="W291" i="21"/>
  <c r="W292" i="21" s="1"/>
  <c r="W227" i="21"/>
  <c r="AA44" i="21"/>
  <c r="W290" i="21"/>
  <c r="E121" i="21"/>
  <c r="V49" i="21" s="1"/>
  <c r="V279" i="21" s="1"/>
  <c r="V280" i="21" s="1"/>
  <c r="V221" i="21"/>
  <c r="F324" i="21"/>
  <c r="W119" i="21" s="1"/>
  <c r="E585" i="21"/>
  <c r="V209" i="21" s="1"/>
  <c r="D34" i="21"/>
  <c r="U19" i="21" s="1"/>
  <c r="X221" i="21"/>
  <c r="G92" i="21"/>
  <c r="X39" i="21" s="1"/>
  <c r="X279" i="21" s="1"/>
  <c r="X280" i="21" s="1"/>
  <c r="G527" i="21"/>
  <c r="X189" i="21" s="1"/>
  <c r="F382" i="21"/>
  <c r="W139" i="21" s="1"/>
  <c r="BD16" i="21"/>
  <c r="BD19" i="21"/>
  <c r="BD18" i="21"/>
  <c r="U291" i="21"/>
  <c r="U292" i="21" s="1"/>
  <c r="U290" i="21"/>
  <c r="U231" i="21"/>
  <c r="U227" i="21"/>
  <c r="U278" i="21"/>
  <c r="U221" i="21"/>
  <c r="F266" i="21"/>
  <c r="W99" i="21" s="1"/>
  <c r="C411" i="21"/>
  <c r="T149" i="21" s="1"/>
  <c r="AN102" i="20"/>
  <c r="AN112" i="20" s="1"/>
  <c r="AP102" i="20"/>
  <c r="AP112" i="20" s="1"/>
  <c r="AM102" i="20"/>
  <c r="AM112" i="20" s="1"/>
  <c r="E556" i="20"/>
  <c r="V199" i="20" s="1"/>
  <c r="C353" i="20"/>
  <c r="T129" i="20" s="1"/>
  <c r="T223" i="20"/>
  <c r="D237" i="20"/>
  <c r="U89" i="20" s="1"/>
  <c r="E208" i="20"/>
  <c r="V79" i="20" s="1"/>
  <c r="D208" i="20"/>
  <c r="U79" i="20" s="1"/>
  <c r="C208" i="20"/>
  <c r="T79" i="20" s="1"/>
  <c r="F121" i="20"/>
  <c r="W49" i="20" s="1"/>
  <c r="G63" i="20"/>
  <c r="X29" i="20" s="1"/>
  <c r="C34" i="20"/>
  <c r="T19" i="20" s="1"/>
  <c r="D585" i="20"/>
  <c r="U209" i="20" s="1"/>
  <c r="E585" i="20"/>
  <c r="V209" i="20" s="1"/>
  <c r="W223" i="20"/>
  <c r="C498" i="20"/>
  <c r="T179" i="20" s="1"/>
  <c r="G498" i="20"/>
  <c r="X179" i="20" s="1"/>
  <c r="C411" i="20"/>
  <c r="T149" i="20" s="1"/>
  <c r="D411" i="20"/>
  <c r="U149" i="20" s="1"/>
  <c r="D353" i="20"/>
  <c r="U129" i="20" s="1"/>
  <c r="F324" i="20"/>
  <c r="W119" i="20" s="1"/>
  <c r="C324" i="20"/>
  <c r="T119" i="20" s="1"/>
  <c r="D295" i="20"/>
  <c r="U109" i="20" s="1"/>
  <c r="C295" i="20"/>
  <c r="T109" i="20" s="1"/>
  <c r="V221" i="20"/>
  <c r="G237" i="20"/>
  <c r="X89" i="20" s="1"/>
  <c r="C237" i="20"/>
  <c r="T89" i="20" s="1"/>
  <c r="D150" i="20"/>
  <c r="U59" i="20" s="1"/>
  <c r="G121" i="20"/>
  <c r="X49" i="20" s="1"/>
  <c r="W278" i="20"/>
  <c r="X279" i="20"/>
  <c r="X280" i="20" s="1"/>
  <c r="W221" i="20"/>
  <c r="X278" i="20"/>
  <c r="BD16" i="20"/>
  <c r="BD21" i="20"/>
  <c r="BD13" i="20"/>
  <c r="E92" i="20"/>
  <c r="V39" i="20" s="1"/>
  <c r="D34" i="20"/>
  <c r="U19" i="20" s="1"/>
  <c r="BD18" i="20"/>
  <c r="T291" i="20"/>
  <c r="T292" i="20" s="1"/>
  <c r="T290" i="20"/>
  <c r="T227" i="20"/>
  <c r="T231" i="20"/>
  <c r="AA24" i="20"/>
  <c r="BD19" i="20"/>
  <c r="BD22" i="20"/>
  <c r="T278" i="20"/>
  <c r="T221" i="20"/>
  <c r="X221" i="20"/>
  <c r="U278" i="20"/>
  <c r="U221" i="20"/>
  <c r="F556" i="20"/>
  <c r="W199" i="20" s="1"/>
  <c r="V278" i="20"/>
  <c r="G324" i="20"/>
  <c r="X119" i="20" s="1"/>
  <c r="BD23" i="20"/>
  <c r="C179" i="20"/>
  <c r="T69" i="20" s="1"/>
  <c r="T224" i="20"/>
  <c r="F295" i="20"/>
  <c r="W109" i="20" s="1"/>
  <c r="W282" i="20"/>
  <c r="W283" i="20" s="1"/>
  <c r="W224" i="20"/>
  <c r="G266" i="20"/>
  <c r="X99" i="20" s="1"/>
  <c r="E266" i="20"/>
  <c r="V99" i="20" s="1"/>
  <c r="G179" i="20"/>
  <c r="X69" i="20" s="1"/>
  <c r="C63" i="20"/>
  <c r="T29" i="20" s="1"/>
  <c r="C92" i="20"/>
  <c r="T39" i="20" s="1"/>
  <c r="E498" i="20"/>
  <c r="V179" i="20" s="1"/>
  <c r="AO102" i="20"/>
  <c r="AO112" i="20" s="1"/>
  <c r="BD20" i="20"/>
  <c r="F92" i="20"/>
  <c r="W39" i="20" s="1"/>
  <c r="W279" i="20" s="1"/>
  <c r="W280" i="20" s="1"/>
  <c r="C440" i="20"/>
  <c r="T159" i="20" s="1"/>
  <c r="G527" i="20"/>
  <c r="X189" i="20" s="1"/>
  <c r="C382" i="20"/>
  <c r="T139" i="20" s="1"/>
  <c r="G411" i="20"/>
  <c r="X149" i="20" s="1"/>
  <c r="AL102" i="20"/>
  <c r="AL112" i="20" s="1"/>
  <c r="AA275" i="20"/>
  <c r="D324" i="20"/>
  <c r="U119" i="20" s="1"/>
  <c r="E469" i="20"/>
  <c r="V169" i="20" s="1"/>
  <c r="BD14" i="20"/>
  <c r="X232" i="20"/>
  <c r="X291" i="20"/>
  <c r="X292" i="20" s="1"/>
  <c r="X290" i="20"/>
  <c r="X227" i="20"/>
  <c r="C150" i="20"/>
  <c r="T59" i="20" s="1"/>
  <c r="BD15" i="20"/>
  <c r="F179" i="20"/>
  <c r="W69" i="20" s="1"/>
  <c r="C121" i="20"/>
  <c r="T49" i="20" s="1"/>
  <c r="G585" i="20"/>
  <c r="X209" i="20" s="1"/>
  <c r="D92" i="20"/>
  <c r="U39" i="20" s="1"/>
  <c r="D382" i="20"/>
  <c r="U139" i="20" s="1"/>
  <c r="D121" i="20"/>
  <c r="U49" i="20" s="1"/>
  <c r="AA34" i="20"/>
  <c r="BD17" i="20"/>
  <c r="G353" i="20"/>
  <c r="X129" i="20" s="1"/>
  <c r="G584" i="18"/>
  <c r="G589" i="18" s="1"/>
  <c r="I577" i="18"/>
  <c r="C588" i="18" s="1"/>
  <c r="F555" i="18"/>
  <c r="F560" i="18" s="1"/>
  <c r="H553" i="18"/>
  <c r="I554" i="18" s="1"/>
  <c r="AE34" i="18" s="1"/>
  <c r="H495" i="18"/>
  <c r="I496" i="18" s="1"/>
  <c r="AE32" i="18" s="1"/>
  <c r="E497" i="18"/>
  <c r="E502" i="18" s="1"/>
  <c r="K404" i="18"/>
  <c r="P404" i="18" s="1"/>
  <c r="C410" i="18"/>
  <c r="C415" i="18" s="1"/>
  <c r="I403" i="18"/>
  <c r="K403" i="18" s="1"/>
  <c r="P403" i="18" s="1"/>
  <c r="J375" i="18"/>
  <c r="U141" i="18" s="1"/>
  <c r="H379" i="18"/>
  <c r="I380" i="18" s="1"/>
  <c r="AE28" i="18" s="1"/>
  <c r="U140" i="18"/>
  <c r="X130" i="18"/>
  <c r="H350" i="18"/>
  <c r="I351" i="18" s="1"/>
  <c r="AE27" i="18" s="1"/>
  <c r="K349" i="18"/>
  <c r="P349" i="18" s="1"/>
  <c r="E323" i="18"/>
  <c r="E325" i="18" s="1"/>
  <c r="H263" i="18"/>
  <c r="I264" i="18" s="1"/>
  <c r="AE24" i="18" s="1"/>
  <c r="C265" i="18"/>
  <c r="C270" i="18" s="1"/>
  <c r="D265" i="18"/>
  <c r="D270" i="18" s="1"/>
  <c r="C33" i="18"/>
  <c r="T18" i="18" s="1"/>
  <c r="K27" i="18"/>
  <c r="P27" i="18" s="1"/>
  <c r="J27" i="18"/>
  <c r="U21" i="18" s="1"/>
  <c r="H553" i="17"/>
  <c r="I554" i="17" s="1"/>
  <c r="AE34" i="17" s="1"/>
  <c r="G468" i="17"/>
  <c r="G470" i="17" s="1"/>
  <c r="I403" i="17"/>
  <c r="K374" i="17"/>
  <c r="P374" i="17" s="1"/>
  <c r="H379" i="17"/>
  <c r="I380" i="17" s="1"/>
  <c r="AE28" i="17" s="1"/>
  <c r="V140" i="17"/>
  <c r="G323" i="17"/>
  <c r="G327" i="17" s="1"/>
  <c r="E323" i="17"/>
  <c r="E325" i="17" s="1"/>
  <c r="H321" i="17"/>
  <c r="I322" i="17" s="1"/>
  <c r="AE26" i="17" s="1"/>
  <c r="G266" i="17"/>
  <c r="X99" i="17" s="1"/>
  <c r="C267" i="17"/>
  <c r="H263" i="17"/>
  <c r="I264" i="17" s="1"/>
  <c r="AE24" i="17" s="1"/>
  <c r="D207" i="17"/>
  <c r="D209" i="17" s="1"/>
  <c r="H147" i="17"/>
  <c r="I148" i="17" s="1"/>
  <c r="AE20" i="17" s="1"/>
  <c r="I113" i="17"/>
  <c r="K113" i="17" s="1"/>
  <c r="P113" i="17" s="1"/>
  <c r="E120" i="17"/>
  <c r="E122" i="17" s="1"/>
  <c r="V26" i="17"/>
  <c r="V34" i="17" s="1"/>
  <c r="V232" i="17" s="1"/>
  <c r="C410" i="17"/>
  <c r="C415" i="17" s="1"/>
  <c r="I548" i="17"/>
  <c r="K548" i="17" s="1"/>
  <c r="K258" i="17"/>
  <c r="P258" i="17" s="1"/>
  <c r="J264" i="17" s="1"/>
  <c r="AF24" i="17" s="1"/>
  <c r="H350" i="17"/>
  <c r="I351" i="17" s="1"/>
  <c r="AE27" i="17" s="1"/>
  <c r="D352" i="17"/>
  <c r="D357" i="17" s="1"/>
  <c r="F584" i="17"/>
  <c r="F589" i="17" s="1"/>
  <c r="C178" i="17"/>
  <c r="T68" i="17" s="1"/>
  <c r="J258" i="17"/>
  <c r="T101" i="17" s="1"/>
  <c r="C269" i="17"/>
  <c r="C266" i="17" s="1"/>
  <c r="T99" i="17" s="1"/>
  <c r="H582" i="17"/>
  <c r="I583" i="17" s="1"/>
  <c r="AE35" i="17" s="1"/>
  <c r="H524" i="17"/>
  <c r="I525" i="17" s="1"/>
  <c r="AE33" i="17" s="1"/>
  <c r="D91" i="17"/>
  <c r="D96" i="17" s="1"/>
  <c r="F91" i="17"/>
  <c r="W38" i="17" s="1"/>
  <c r="D444" i="17"/>
  <c r="D440" i="17" s="1"/>
  <c r="U159" i="17" s="1"/>
  <c r="I519" i="17"/>
  <c r="C468" i="17"/>
  <c r="C473" i="17" s="1"/>
  <c r="E33" i="17"/>
  <c r="C497" i="17"/>
  <c r="T178" i="17" s="1"/>
  <c r="E266" i="17"/>
  <c r="V99" i="17" s="1"/>
  <c r="C120" i="17"/>
  <c r="D584" i="17"/>
  <c r="H495" i="17"/>
  <c r="I496" i="17" s="1"/>
  <c r="AE32" i="17" s="1"/>
  <c r="H31" i="17"/>
  <c r="I32" i="17" s="1"/>
  <c r="AE16" i="17" s="1"/>
  <c r="C555" i="17"/>
  <c r="T198" i="17" s="1"/>
  <c r="H321" i="18"/>
  <c r="I322" i="18" s="1"/>
  <c r="AE26" i="18" s="1"/>
  <c r="G468" i="18"/>
  <c r="G178" i="18"/>
  <c r="G180" i="18" s="1"/>
  <c r="H31" i="18"/>
  <c r="I32" i="18" s="1"/>
  <c r="AE16" i="18" s="1"/>
  <c r="H176" i="18"/>
  <c r="I177" i="18" s="1"/>
  <c r="AE21" i="18" s="1"/>
  <c r="H234" i="18"/>
  <c r="I235" i="18" s="1"/>
  <c r="AE23" i="18" s="1"/>
  <c r="F236" i="18"/>
  <c r="F241" i="18" s="1"/>
  <c r="I26" i="18"/>
  <c r="J26" i="18" s="1"/>
  <c r="T21" i="18" s="1"/>
  <c r="G265" i="18"/>
  <c r="G267" i="18" s="1"/>
  <c r="C526" i="18"/>
  <c r="C528" i="18" s="1"/>
  <c r="C236" i="18"/>
  <c r="C241" i="18" s="1"/>
  <c r="W56" i="18"/>
  <c r="W64" i="18" s="1"/>
  <c r="W235" i="18" s="1"/>
  <c r="F149" i="18"/>
  <c r="D91" i="18"/>
  <c r="D93" i="18" s="1"/>
  <c r="H466" i="18"/>
  <c r="I467" i="18" s="1"/>
  <c r="AE31" i="18" s="1"/>
  <c r="E236" i="18"/>
  <c r="E240" i="18" s="1"/>
  <c r="D526" i="18"/>
  <c r="F323" i="18"/>
  <c r="F325" i="18" s="1"/>
  <c r="I84" i="18"/>
  <c r="T40" i="18" s="1"/>
  <c r="G120" i="18"/>
  <c r="G125" i="18" s="1"/>
  <c r="F294" i="18"/>
  <c r="F299" i="18" s="1"/>
  <c r="E120" i="18"/>
  <c r="E125" i="18" s="1"/>
  <c r="C323" i="18"/>
  <c r="C325" i="18" s="1"/>
  <c r="E33" i="18"/>
  <c r="E38" i="18" s="1"/>
  <c r="K203" i="18"/>
  <c r="P203" i="18" s="1"/>
  <c r="J203" i="18"/>
  <c r="W81" i="18" s="1"/>
  <c r="W80" i="18"/>
  <c r="J551" i="18"/>
  <c r="W201" i="18" s="1"/>
  <c r="K551" i="18"/>
  <c r="P551" i="18" s="1"/>
  <c r="W200" i="18"/>
  <c r="K290" i="18"/>
  <c r="P290" i="18" s="1"/>
  <c r="J290" i="18"/>
  <c r="W111" i="18" s="1"/>
  <c r="W110" i="18"/>
  <c r="J204" i="18"/>
  <c r="X81" i="18" s="1"/>
  <c r="K204" i="18"/>
  <c r="P204" i="18" s="1"/>
  <c r="X80" i="18"/>
  <c r="K230" i="18"/>
  <c r="P230" i="18" s="1"/>
  <c r="J230" i="18"/>
  <c r="U91" i="18" s="1"/>
  <c r="U90" i="18"/>
  <c r="J30" i="18"/>
  <c r="X21" i="18" s="1"/>
  <c r="X20" i="18"/>
  <c r="K30" i="18"/>
  <c r="P30" i="18" s="1"/>
  <c r="AM113" i="18"/>
  <c r="AT95" i="18"/>
  <c r="AY95" i="18" s="1"/>
  <c r="AS95" i="18"/>
  <c r="AM114" i="18" s="1"/>
  <c r="K115" i="18"/>
  <c r="P115" i="18" s="1"/>
  <c r="V50" i="18"/>
  <c r="J115" i="18"/>
  <c r="V51" i="18" s="1"/>
  <c r="J259" i="18"/>
  <c r="U101" i="18" s="1"/>
  <c r="K259" i="18"/>
  <c r="U100" i="18"/>
  <c r="P259" i="18"/>
  <c r="K117" i="18"/>
  <c r="P117" i="18" s="1"/>
  <c r="J117" i="18"/>
  <c r="X51" i="18" s="1"/>
  <c r="X50" i="18"/>
  <c r="X30" i="18"/>
  <c r="J59" i="18"/>
  <c r="X31" i="18" s="1"/>
  <c r="K59" i="18"/>
  <c r="P59" i="18" s="1"/>
  <c r="K377" i="18"/>
  <c r="P377" i="18" s="1"/>
  <c r="J377" i="18"/>
  <c r="W141" i="18" s="1"/>
  <c r="W140" i="18"/>
  <c r="K202" i="18"/>
  <c r="P202" i="18" s="1"/>
  <c r="V80" i="18"/>
  <c r="J202" i="18"/>
  <c r="V81" i="18" s="1"/>
  <c r="K494" i="18"/>
  <c r="P494" i="18" s="1"/>
  <c r="J494" i="18"/>
  <c r="X181" i="18" s="1"/>
  <c r="X180" i="18"/>
  <c r="K174" i="18"/>
  <c r="P174" i="18" s="1"/>
  <c r="J174" i="18"/>
  <c r="W71" i="18" s="1"/>
  <c r="W70" i="18"/>
  <c r="AT98" i="18"/>
  <c r="AY98" i="18" s="1"/>
  <c r="AP113" i="18"/>
  <c r="AS98" i="18"/>
  <c r="AP114" i="18" s="1"/>
  <c r="K289" i="18"/>
  <c r="P289" i="18" s="1"/>
  <c r="J289" i="18"/>
  <c r="V111" i="18" s="1"/>
  <c r="V110" i="18"/>
  <c r="J521" i="18"/>
  <c r="V191" i="18" s="1"/>
  <c r="K521" i="18"/>
  <c r="P521" i="18" s="1"/>
  <c r="V190" i="18"/>
  <c r="K523" i="18"/>
  <c r="P523" i="18" s="1"/>
  <c r="J523" i="18"/>
  <c r="X191" i="18" s="1"/>
  <c r="X190" i="18"/>
  <c r="V30" i="18"/>
  <c r="K57" i="18"/>
  <c r="J57" i="18"/>
  <c r="V31" i="18" s="1"/>
  <c r="P57" i="18"/>
  <c r="E267" i="18"/>
  <c r="E270" i="18"/>
  <c r="V98" i="18"/>
  <c r="E269" i="18"/>
  <c r="G183" i="18"/>
  <c r="J434" i="18"/>
  <c r="V161" i="18" s="1"/>
  <c r="K434" i="18"/>
  <c r="P434" i="18" s="1"/>
  <c r="V160" i="18"/>
  <c r="F499" i="18"/>
  <c r="F502" i="18"/>
  <c r="W178" i="18"/>
  <c r="F501" i="18"/>
  <c r="F267" i="18"/>
  <c r="T196" i="18"/>
  <c r="T204" i="18" s="1"/>
  <c r="C555" i="18"/>
  <c r="C294" i="18"/>
  <c r="H118" i="18"/>
  <c r="I119" i="18" s="1"/>
  <c r="AE19" i="18" s="1"/>
  <c r="K201" i="18"/>
  <c r="P201" i="18" s="1"/>
  <c r="J201" i="18"/>
  <c r="U81" i="18" s="1"/>
  <c r="U80" i="18"/>
  <c r="K520" i="18"/>
  <c r="P520" i="18" s="1"/>
  <c r="J520" i="18"/>
  <c r="U191" i="18" s="1"/>
  <c r="U190" i="18"/>
  <c r="U46" i="18"/>
  <c r="U54" i="18" s="1"/>
  <c r="U234" i="18" s="1"/>
  <c r="D120" i="18"/>
  <c r="J492" i="18"/>
  <c r="V181" i="18" s="1"/>
  <c r="K492" i="18"/>
  <c r="P492" i="18" s="1"/>
  <c r="V180" i="18"/>
  <c r="K232" i="18"/>
  <c r="P232" i="18" s="1"/>
  <c r="J232" i="18"/>
  <c r="W91" i="18" s="1"/>
  <c r="W90" i="18"/>
  <c r="E37" i="18"/>
  <c r="D468" i="18"/>
  <c r="W36" i="18"/>
  <c r="W44" i="18" s="1"/>
  <c r="W233" i="18" s="1"/>
  <c r="F91" i="18"/>
  <c r="W156" i="18"/>
  <c r="W164" i="18" s="1"/>
  <c r="W245" i="18" s="1"/>
  <c r="F439" i="18"/>
  <c r="X156" i="18"/>
  <c r="X164" i="18" s="1"/>
  <c r="X245" i="18" s="1"/>
  <c r="G439" i="18"/>
  <c r="G151" i="18"/>
  <c r="G154" i="18"/>
  <c r="X58" i="18"/>
  <c r="G153" i="18"/>
  <c r="D410" i="18"/>
  <c r="U146" i="18"/>
  <c r="U154" i="18" s="1"/>
  <c r="U244" i="18" s="1"/>
  <c r="K465" i="18"/>
  <c r="P465" i="18" s="1"/>
  <c r="J465" i="18"/>
  <c r="X171" i="18" s="1"/>
  <c r="X170" i="18"/>
  <c r="W206" i="18"/>
  <c r="W214" i="18" s="1"/>
  <c r="W250" i="18" s="1"/>
  <c r="F584" i="18"/>
  <c r="T240" i="18"/>
  <c r="AA114" i="18"/>
  <c r="K113" i="18"/>
  <c r="P113" i="18" s="1"/>
  <c r="J113" i="18"/>
  <c r="T51" i="18" s="1"/>
  <c r="T50" i="18"/>
  <c r="D531" i="18"/>
  <c r="D528" i="18"/>
  <c r="U188" i="18"/>
  <c r="D530" i="18"/>
  <c r="W26" i="18"/>
  <c r="W34" i="18" s="1"/>
  <c r="W232" i="18" s="1"/>
  <c r="F62" i="18"/>
  <c r="C589" i="18"/>
  <c r="C586" i="18"/>
  <c r="T208" i="18"/>
  <c r="F238" i="18"/>
  <c r="W88" i="18"/>
  <c r="F240" i="18"/>
  <c r="V20" i="18"/>
  <c r="J28" i="18"/>
  <c r="V21" i="18" s="1"/>
  <c r="K28" i="18"/>
  <c r="P28" i="18" s="1"/>
  <c r="D151" i="18"/>
  <c r="D154" i="18"/>
  <c r="U58" i="18"/>
  <c r="D153" i="18"/>
  <c r="V66" i="18"/>
  <c r="V74" i="18" s="1"/>
  <c r="V236" i="18" s="1"/>
  <c r="E178" i="18"/>
  <c r="U66" i="18"/>
  <c r="U74" i="18" s="1"/>
  <c r="U236" i="18" s="1"/>
  <c r="D178" i="18"/>
  <c r="H437" i="18"/>
  <c r="I438" i="18" s="1"/>
  <c r="AE30" i="18" s="1"/>
  <c r="H205" i="18"/>
  <c r="I206" i="18" s="1"/>
  <c r="AE22" i="18" s="1"/>
  <c r="G473" i="18"/>
  <c r="G470" i="18"/>
  <c r="X168" i="18"/>
  <c r="G472" i="18"/>
  <c r="I229" i="18"/>
  <c r="C120" i="18"/>
  <c r="AL101" i="18"/>
  <c r="K233" i="18"/>
  <c r="P233" i="18" s="1"/>
  <c r="J233" i="18"/>
  <c r="X91" i="18" s="1"/>
  <c r="X90" i="18"/>
  <c r="K143" i="18"/>
  <c r="P143" i="18" s="1"/>
  <c r="J143" i="18"/>
  <c r="U61" i="18" s="1"/>
  <c r="U60" i="18"/>
  <c r="G33" i="18"/>
  <c r="E294" i="18"/>
  <c r="D439" i="18"/>
  <c r="G270" i="18"/>
  <c r="G269" i="18"/>
  <c r="W198" i="18"/>
  <c r="J432" i="18"/>
  <c r="T161" i="18" s="1"/>
  <c r="K432" i="18"/>
  <c r="T160" i="18"/>
  <c r="P432" i="18"/>
  <c r="W186" i="18"/>
  <c r="W194" i="18" s="1"/>
  <c r="W248" i="18" s="1"/>
  <c r="F526" i="18"/>
  <c r="X136" i="18"/>
  <c r="X144" i="18" s="1"/>
  <c r="X243" i="18" s="1"/>
  <c r="G381" i="18"/>
  <c r="F207" i="18"/>
  <c r="T238" i="18"/>
  <c r="AA94" i="18"/>
  <c r="T234" i="18"/>
  <c r="AQ99" i="18"/>
  <c r="AR100" i="18" s="1"/>
  <c r="AS109" i="18" s="1"/>
  <c r="G236" i="18"/>
  <c r="C354" i="18"/>
  <c r="C357" i="18"/>
  <c r="T128" i="18"/>
  <c r="AO109" i="18"/>
  <c r="AO117" i="18" s="1"/>
  <c r="AS117" i="18" s="1"/>
  <c r="AO101" i="18"/>
  <c r="BL66" i="18"/>
  <c r="BL69" i="18" s="1"/>
  <c r="BL70" i="18" s="1"/>
  <c r="BL71" i="18" s="1"/>
  <c r="H60" i="18"/>
  <c r="I61" i="18" s="1"/>
  <c r="AE17" i="18" s="1"/>
  <c r="AS94" i="18"/>
  <c r="AL114" i="18" s="1"/>
  <c r="AL113" i="18"/>
  <c r="AT94" i="18"/>
  <c r="AY94" i="18" s="1"/>
  <c r="T250" i="18"/>
  <c r="I345" i="18"/>
  <c r="E62" i="18"/>
  <c r="W126" i="18"/>
  <c r="W134" i="18" s="1"/>
  <c r="W242" i="18" s="1"/>
  <c r="F352" i="18"/>
  <c r="K262" i="18"/>
  <c r="P262" i="18" s="1"/>
  <c r="J262" i="18"/>
  <c r="X101" i="18" s="1"/>
  <c r="X100" i="18"/>
  <c r="F328" i="18"/>
  <c r="W118" i="18"/>
  <c r="F327" i="18"/>
  <c r="T239" i="18"/>
  <c r="AA104" i="18"/>
  <c r="T76" i="18"/>
  <c r="T84" i="18" s="1"/>
  <c r="C207" i="18"/>
  <c r="BJ164" i="18"/>
  <c r="BM66" i="18" s="1"/>
  <c r="T232" i="18"/>
  <c r="D64" i="18"/>
  <c r="D67" i="18"/>
  <c r="U28" i="18"/>
  <c r="D66" i="18"/>
  <c r="F178" i="18"/>
  <c r="W146" i="18"/>
  <c r="W154" i="18" s="1"/>
  <c r="W244" i="18" s="1"/>
  <c r="F410" i="18"/>
  <c r="T242" i="18"/>
  <c r="K288" i="18"/>
  <c r="J288" i="18"/>
  <c r="U111" i="18" s="1"/>
  <c r="P288" i="18"/>
  <c r="U110" i="18"/>
  <c r="V36" i="18"/>
  <c r="V44" i="18" s="1"/>
  <c r="V233" i="18" s="1"/>
  <c r="E91" i="18"/>
  <c r="I258" i="18"/>
  <c r="F381" i="18"/>
  <c r="E212" i="18"/>
  <c r="E209" i="18"/>
  <c r="V78" i="18"/>
  <c r="E211" i="18"/>
  <c r="C178" i="18"/>
  <c r="K581" i="18"/>
  <c r="P581" i="18" s="1"/>
  <c r="J581" i="18"/>
  <c r="X211" i="18" s="1"/>
  <c r="X210" i="18"/>
  <c r="C439" i="18"/>
  <c r="T241" i="18"/>
  <c r="I461" i="18"/>
  <c r="C472" i="18" s="1"/>
  <c r="BJ59" i="18"/>
  <c r="BM41" i="18" s="1"/>
  <c r="I376" i="18"/>
  <c r="X276" i="18"/>
  <c r="X277" i="18" s="1"/>
  <c r="X220" i="18"/>
  <c r="X25" i="18"/>
  <c r="X228" i="18" s="1"/>
  <c r="I55" i="18"/>
  <c r="J291" i="18"/>
  <c r="X111" i="18" s="1"/>
  <c r="K291" i="18"/>
  <c r="P291" i="18" s="1"/>
  <c r="X110" i="18"/>
  <c r="D294" i="18"/>
  <c r="AP111" i="18"/>
  <c r="AP106" i="18"/>
  <c r="AP103" i="18"/>
  <c r="AP105" i="18"/>
  <c r="G497" i="18"/>
  <c r="X126" i="18"/>
  <c r="X134" i="18" s="1"/>
  <c r="X242" i="18" s="1"/>
  <c r="G352" i="18"/>
  <c r="J433" i="18"/>
  <c r="U161" i="18" s="1"/>
  <c r="K433" i="18"/>
  <c r="P433" i="18" s="1"/>
  <c r="U160" i="18"/>
  <c r="K319" i="18"/>
  <c r="P319" i="18" s="1"/>
  <c r="J319" i="18"/>
  <c r="W121" i="18" s="1"/>
  <c r="W120" i="18"/>
  <c r="T245" i="18"/>
  <c r="D267" i="18"/>
  <c r="T236" i="18"/>
  <c r="D560" i="18"/>
  <c r="D557" i="18"/>
  <c r="D559" i="18"/>
  <c r="U198" i="18"/>
  <c r="K318" i="18"/>
  <c r="J318" i="18"/>
  <c r="V121" i="18" s="1"/>
  <c r="V120" i="18"/>
  <c r="P318" i="18"/>
  <c r="D502" i="18"/>
  <c r="D499" i="18"/>
  <c r="U178" i="18"/>
  <c r="D501" i="18"/>
  <c r="U136" i="18"/>
  <c r="U144" i="18" s="1"/>
  <c r="U243" i="18" s="1"/>
  <c r="D381" i="18"/>
  <c r="V196" i="18"/>
  <c r="V204" i="18" s="1"/>
  <c r="V249" i="18" s="1"/>
  <c r="E555" i="18"/>
  <c r="BL41" i="18"/>
  <c r="BL44" i="18" s="1"/>
  <c r="BL45" i="18" s="1"/>
  <c r="BL46" i="18" s="1"/>
  <c r="E381" i="18"/>
  <c r="X24" i="18"/>
  <c r="C62" i="18"/>
  <c r="G294" i="18"/>
  <c r="V276" i="18"/>
  <c r="V277" i="18" s="1"/>
  <c r="V220" i="18"/>
  <c r="V25" i="18"/>
  <c r="V228" i="18" s="1"/>
  <c r="E526" i="18"/>
  <c r="AM101" i="18"/>
  <c r="T276" i="18"/>
  <c r="T277" i="18" s="1"/>
  <c r="T220" i="18"/>
  <c r="T25" i="18"/>
  <c r="T228" i="18" s="1"/>
  <c r="U276" i="18"/>
  <c r="U277" i="18" s="1"/>
  <c r="U220" i="18"/>
  <c r="U25" i="18"/>
  <c r="U228" i="18" s="1"/>
  <c r="W281" i="18"/>
  <c r="T246" i="18"/>
  <c r="I490" i="18"/>
  <c r="V24" i="18"/>
  <c r="U16" i="18"/>
  <c r="D33" i="18"/>
  <c r="K200" i="18"/>
  <c r="P200" i="18" s="1"/>
  <c r="J200" i="18"/>
  <c r="T81" i="18" s="1"/>
  <c r="T80" i="18"/>
  <c r="T244" i="18"/>
  <c r="T233" i="18"/>
  <c r="D323" i="18"/>
  <c r="I519" i="18"/>
  <c r="I316" i="18"/>
  <c r="G124" i="18"/>
  <c r="D96" i="18"/>
  <c r="U38" i="18"/>
  <c r="T168" i="18"/>
  <c r="H292" i="18"/>
  <c r="I293" i="18" s="1"/>
  <c r="AE25" i="18" s="1"/>
  <c r="AN113" i="18"/>
  <c r="AT96" i="18"/>
  <c r="AY96" i="18" s="1"/>
  <c r="AS96" i="18"/>
  <c r="AN114" i="18" s="1"/>
  <c r="K231" i="18"/>
  <c r="P231" i="18" s="1"/>
  <c r="J231" i="18"/>
  <c r="V91" i="18" s="1"/>
  <c r="V90" i="18"/>
  <c r="T247" i="18"/>
  <c r="AA184" i="18"/>
  <c r="G211" i="18"/>
  <c r="D236" i="18"/>
  <c r="V146" i="18"/>
  <c r="V154" i="18" s="1"/>
  <c r="V244" i="18" s="1"/>
  <c r="E410" i="18"/>
  <c r="W282" i="18"/>
  <c r="W283" i="18" s="1"/>
  <c r="E352" i="18"/>
  <c r="V126" i="18"/>
  <c r="V134" i="18" s="1"/>
  <c r="V242" i="18" s="1"/>
  <c r="K549" i="18"/>
  <c r="P549" i="18" s="1"/>
  <c r="J549" i="18"/>
  <c r="U201" i="18" s="1"/>
  <c r="U200" i="18"/>
  <c r="C93" i="18"/>
  <c r="T38" i="18"/>
  <c r="C96" i="18"/>
  <c r="K317" i="18"/>
  <c r="P317" i="18" s="1"/>
  <c r="J317" i="18"/>
  <c r="U121" i="18" s="1"/>
  <c r="U120" i="18"/>
  <c r="I171" i="18"/>
  <c r="X116" i="18"/>
  <c r="X124" i="18" s="1"/>
  <c r="X241" i="18" s="1"/>
  <c r="G323" i="18"/>
  <c r="D584" i="18"/>
  <c r="K287" i="18"/>
  <c r="P287" i="18" s="1"/>
  <c r="J287" i="18"/>
  <c r="T111" i="18" s="1"/>
  <c r="T110" i="18"/>
  <c r="AN103" i="18"/>
  <c r="AN111" i="18"/>
  <c r="AN106" i="18"/>
  <c r="AN105" i="18"/>
  <c r="G526" i="18"/>
  <c r="W276" i="18"/>
  <c r="W277" i="18" s="1"/>
  <c r="W220" i="18"/>
  <c r="W25" i="18"/>
  <c r="W228" i="18" s="1"/>
  <c r="K552" i="18"/>
  <c r="P552" i="18" s="1"/>
  <c r="X200" i="18"/>
  <c r="J552" i="18"/>
  <c r="X201" i="18" s="1"/>
  <c r="T24" i="18"/>
  <c r="C386" i="18"/>
  <c r="T138" i="18"/>
  <c r="C385" i="18"/>
  <c r="G67" i="18"/>
  <c r="X28" i="18"/>
  <c r="G64" i="18"/>
  <c r="G66" i="18"/>
  <c r="W46" i="18"/>
  <c r="W54" i="18" s="1"/>
  <c r="W234" i="18" s="1"/>
  <c r="F120" i="18"/>
  <c r="U40" i="18"/>
  <c r="K85" i="18"/>
  <c r="P85" i="18" s="1"/>
  <c r="J85" i="18"/>
  <c r="U41" i="18" s="1"/>
  <c r="W166" i="18"/>
  <c r="W174" i="18" s="1"/>
  <c r="W246" i="18" s="1"/>
  <c r="F468" i="18"/>
  <c r="X146" i="18"/>
  <c r="X154" i="18" s="1"/>
  <c r="X244" i="18" s="1"/>
  <c r="G410" i="18"/>
  <c r="U126" i="18"/>
  <c r="U134" i="18" s="1"/>
  <c r="U242" i="18" s="1"/>
  <c r="D352" i="18"/>
  <c r="E151" i="18"/>
  <c r="E154" i="18"/>
  <c r="E153" i="18"/>
  <c r="V58" i="18"/>
  <c r="K175" i="18"/>
  <c r="P175" i="18" s="1"/>
  <c r="J175" i="18"/>
  <c r="X71" i="18" s="1"/>
  <c r="X70" i="18"/>
  <c r="E439" i="18"/>
  <c r="T248" i="18"/>
  <c r="J548" i="18"/>
  <c r="T201" i="18" s="1"/>
  <c r="K548" i="18"/>
  <c r="P548" i="18" s="1"/>
  <c r="T200" i="18"/>
  <c r="J493" i="18"/>
  <c r="W181" i="18" s="1"/>
  <c r="K493" i="18"/>
  <c r="P493" i="18" s="1"/>
  <c r="W180" i="18"/>
  <c r="T56" i="18"/>
  <c r="T64" i="18" s="1"/>
  <c r="C149" i="18"/>
  <c r="K261" i="18"/>
  <c r="P261" i="18" s="1"/>
  <c r="J261" i="18"/>
  <c r="W101" i="18" s="1"/>
  <c r="W100" i="18"/>
  <c r="J142" i="18"/>
  <c r="T61" i="18" s="1"/>
  <c r="K142" i="18"/>
  <c r="P142" i="18" s="1"/>
  <c r="T60" i="18"/>
  <c r="K578" i="18"/>
  <c r="P578" i="18" s="1"/>
  <c r="J578" i="18"/>
  <c r="U211" i="18" s="1"/>
  <c r="U210" i="18"/>
  <c r="V206" i="18"/>
  <c r="V214" i="18" s="1"/>
  <c r="V250" i="18" s="1"/>
  <c r="E584" i="18"/>
  <c r="D212" i="18"/>
  <c r="D209" i="18"/>
  <c r="D211" i="18"/>
  <c r="U78" i="18"/>
  <c r="W16" i="18"/>
  <c r="F33" i="18"/>
  <c r="C497" i="18"/>
  <c r="G560" i="18"/>
  <c r="G559" i="18"/>
  <c r="V166" i="18"/>
  <c r="V174" i="18" s="1"/>
  <c r="V246" i="18" s="1"/>
  <c r="E468" i="18"/>
  <c r="E499" i="18"/>
  <c r="V178" i="18"/>
  <c r="E501" i="18"/>
  <c r="X36" i="18"/>
  <c r="X44" i="18" s="1"/>
  <c r="X233" i="18" s="1"/>
  <c r="G91" i="18"/>
  <c r="K462" i="18"/>
  <c r="P462" i="18" s="1"/>
  <c r="J462" i="18"/>
  <c r="U171" i="18" s="1"/>
  <c r="U170" i="18"/>
  <c r="T243" i="18"/>
  <c r="K231" i="17"/>
  <c r="P231" i="17" s="1"/>
  <c r="J231" i="17"/>
  <c r="V91" i="17" s="1"/>
  <c r="V90" i="17"/>
  <c r="K30" i="17"/>
  <c r="P30" i="17" s="1"/>
  <c r="X20" i="17"/>
  <c r="J30" i="17"/>
  <c r="X21" i="17" s="1"/>
  <c r="K203" i="17"/>
  <c r="P203" i="17" s="1"/>
  <c r="J203" i="17"/>
  <c r="W81" i="17" s="1"/>
  <c r="W80" i="17"/>
  <c r="J233" i="17"/>
  <c r="X91" i="17" s="1"/>
  <c r="K233" i="17"/>
  <c r="P233" i="17" s="1"/>
  <c r="X90" i="17"/>
  <c r="AT98" i="17"/>
  <c r="AY98" i="17" s="1"/>
  <c r="AS98" i="17"/>
  <c r="AP114" i="17" s="1"/>
  <c r="AP113" i="17"/>
  <c r="K319" i="17"/>
  <c r="P319" i="17" s="1"/>
  <c r="J319" i="17"/>
  <c r="W121" i="17" s="1"/>
  <c r="W120" i="17"/>
  <c r="J145" i="17"/>
  <c r="W61" i="17" s="1"/>
  <c r="K145" i="17"/>
  <c r="P145" i="17" s="1"/>
  <c r="W60" i="17"/>
  <c r="K521" i="17"/>
  <c r="P521" i="17" s="1"/>
  <c r="J521" i="17"/>
  <c r="V191" i="17" s="1"/>
  <c r="V190" i="17"/>
  <c r="K462" i="17"/>
  <c r="P462" i="17" s="1"/>
  <c r="J462" i="17"/>
  <c r="U171" i="17" s="1"/>
  <c r="U170" i="17"/>
  <c r="K29" i="17"/>
  <c r="P29" i="17" s="1"/>
  <c r="J29" i="17"/>
  <c r="W21" i="17" s="1"/>
  <c r="W20" i="17"/>
  <c r="K463" i="17"/>
  <c r="P463" i="17" s="1"/>
  <c r="J463" i="17"/>
  <c r="V171" i="17" s="1"/>
  <c r="V170" i="17"/>
  <c r="J87" i="17"/>
  <c r="W41" i="17" s="1"/>
  <c r="K87" i="17"/>
  <c r="P87" i="17" s="1"/>
  <c r="W40" i="17"/>
  <c r="AT96" i="17"/>
  <c r="AY96" i="17" s="1"/>
  <c r="AS96" i="17"/>
  <c r="AN114" i="17" s="1"/>
  <c r="AN113" i="17"/>
  <c r="K549" i="17"/>
  <c r="P549" i="17" s="1"/>
  <c r="J549" i="17"/>
  <c r="U201" i="17" s="1"/>
  <c r="U200" i="17"/>
  <c r="K201" i="17"/>
  <c r="P201" i="17" s="1"/>
  <c r="J201" i="17"/>
  <c r="U81" i="17" s="1"/>
  <c r="U80" i="17"/>
  <c r="W66" i="17"/>
  <c r="W74" i="17" s="1"/>
  <c r="W236" i="17" s="1"/>
  <c r="F178" i="17"/>
  <c r="G64" i="17"/>
  <c r="G67" i="17"/>
  <c r="X28" i="17"/>
  <c r="G66" i="17"/>
  <c r="W186" i="17"/>
  <c r="W194" i="17" s="1"/>
  <c r="W248" i="17" s="1"/>
  <c r="F526" i="17"/>
  <c r="K317" i="17"/>
  <c r="P317" i="17" s="1"/>
  <c r="J317" i="17"/>
  <c r="U121" i="17" s="1"/>
  <c r="U120" i="17"/>
  <c r="W146" i="17"/>
  <c r="W154" i="17" s="1"/>
  <c r="W244" i="17" s="1"/>
  <c r="F410" i="17"/>
  <c r="E35" i="17"/>
  <c r="E38" i="17"/>
  <c r="V18" i="17"/>
  <c r="E37" i="17"/>
  <c r="T228" i="17"/>
  <c r="C294" i="17"/>
  <c r="U146" i="17"/>
  <c r="U154" i="17" s="1"/>
  <c r="U244" i="17" s="1"/>
  <c r="D410" i="17"/>
  <c r="U46" i="17"/>
  <c r="U54" i="17" s="1"/>
  <c r="U234" i="17" s="1"/>
  <c r="D120" i="17"/>
  <c r="I375" i="17"/>
  <c r="D385" i="17" s="1"/>
  <c r="C91" i="17"/>
  <c r="X66" i="17"/>
  <c r="X74" i="17" s="1"/>
  <c r="X236" i="17" s="1"/>
  <c r="G178" i="17"/>
  <c r="D497" i="17"/>
  <c r="H234" i="17"/>
  <c r="I235" i="17" s="1"/>
  <c r="AE23" i="17" s="1"/>
  <c r="AP111" i="17"/>
  <c r="AP103" i="17"/>
  <c r="AP105" i="17"/>
  <c r="U40" i="17"/>
  <c r="K85" i="17"/>
  <c r="J85" i="17"/>
  <c r="U41" i="17" s="1"/>
  <c r="U282" i="17" s="1"/>
  <c r="U283" i="17" s="1"/>
  <c r="P85" i="17"/>
  <c r="V156" i="17"/>
  <c r="V164" i="17" s="1"/>
  <c r="V245" i="17" s="1"/>
  <c r="E439" i="17"/>
  <c r="D323" i="17"/>
  <c r="X46" i="17"/>
  <c r="X54" i="17" s="1"/>
  <c r="X234" i="17" s="1"/>
  <c r="G120" i="17"/>
  <c r="U16" i="17"/>
  <c r="D33" i="17"/>
  <c r="D468" i="17"/>
  <c r="I28" i="17"/>
  <c r="T220" i="17"/>
  <c r="V276" i="17"/>
  <c r="V277" i="17" s="1"/>
  <c r="V220" i="17"/>
  <c r="V25" i="17"/>
  <c r="V228" i="17" s="1"/>
  <c r="V136" i="17"/>
  <c r="V144" i="17" s="1"/>
  <c r="E381" i="17"/>
  <c r="W106" i="17"/>
  <c r="W114" i="17" s="1"/>
  <c r="W240" i="17" s="1"/>
  <c r="F294" i="17"/>
  <c r="K580" i="17"/>
  <c r="P580" i="17" s="1"/>
  <c r="J580" i="17"/>
  <c r="W211" i="17" s="1"/>
  <c r="W210" i="17"/>
  <c r="K491" i="17"/>
  <c r="P491" i="17" s="1"/>
  <c r="J491" i="17"/>
  <c r="U181" i="17" s="1"/>
  <c r="U180" i="17"/>
  <c r="T116" i="17"/>
  <c r="T124" i="17" s="1"/>
  <c r="C323" i="17"/>
  <c r="D555" i="17"/>
  <c r="X276" i="17"/>
  <c r="X277" i="17" s="1"/>
  <c r="X220" i="17"/>
  <c r="X25" i="17"/>
  <c r="X228" i="17" s="1"/>
  <c r="T276" i="17"/>
  <c r="T277" i="17" s="1"/>
  <c r="D386" i="17"/>
  <c r="D383" i="17"/>
  <c r="U138" i="17"/>
  <c r="X36" i="17"/>
  <c r="X44" i="17" s="1"/>
  <c r="X233" i="17" s="1"/>
  <c r="G91" i="17"/>
  <c r="K345" i="17"/>
  <c r="P345" i="17" s="1"/>
  <c r="J345" i="17"/>
  <c r="T131" i="17" s="1"/>
  <c r="T130" i="17"/>
  <c r="E555" i="17"/>
  <c r="K318" i="17"/>
  <c r="P318" i="17" s="1"/>
  <c r="J318" i="17"/>
  <c r="V121" i="17" s="1"/>
  <c r="V120" i="17"/>
  <c r="T249" i="17"/>
  <c r="T244" i="17"/>
  <c r="F35" i="17"/>
  <c r="F38" i="17"/>
  <c r="W18" i="17"/>
  <c r="F37" i="17"/>
  <c r="X196" i="17"/>
  <c r="X204" i="17" s="1"/>
  <c r="X249" i="17" s="1"/>
  <c r="G555" i="17"/>
  <c r="X146" i="17"/>
  <c r="X154" i="17" s="1"/>
  <c r="X244" i="17" s="1"/>
  <c r="G410" i="17"/>
  <c r="I346" i="17"/>
  <c r="AA184" i="17"/>
  <c r="T247" i="17"/>
  <c r="K465" i="17"/>
  <c r="P465" i="17" s="1"/>
  <c r="J465" i="17"/>
  <c r="X171" i="17" s="1"/>
  <c r="X170" i="17"/>
  <c r="C38" i="17"/>
  <c r="C35" i="17"/>
  <c r="T18" i="17"/>
  <c r="C37" i="17"/>
  <c r="X186" i="17"/>
  <c r="X194" i="17" s="1"/>
  <c r="X248" i="17" s="1"/>
  <c r="G526" i="17"/>
  <c r="AN101" i="17"/>
  <c r="X24" i="17"/>
  <c r="C207" i="17"/>
  <c r="I171" i="17"/>
  <c r="C182" i="17" s="1"/>
  <c r="T291" i="17"/>
  <c r="T292" i="17" s="1"/>
  <c r="T290" i="17"/>
  <c r="T231" i="17"/>
  <c r="C557" i="17"/>
  <c r="C560" i="17"/>
  <c r="V36" i="17"/>
  <c r="V44" i="17" s="1"/>
  <c r="V233" i="17" s="1"/>
  <c r="E91" i="17"/>
  <c r="K464" i="17"/>
  <c r="P464" i="17" s="1"/>
  <c r="J464" i="17"/>
  <c r="W171" i="17" s="1"/>
  <c r="W170" i="17"/>
  <c r="F64" i="17"/>
  <c r="F67" i="17"/>
  <c r="W28" i="17"/>
  <c r="F66" i="17"/>
  <c r="K550" i="17"/>
  <c r="P550" i="17" s="1"/>
  <c r="J550" i="17"/>
  <c r="V201" i="17" s="1"/>
  <c r="V200" i="17"/>
  <c r="E328" i="17"/>
  <c r="V118" i="17"/>
  <c r="E327" i="17"/>
  <c r="AL111" i="17"/>
  <c r="AL103" i="17"/>
  <c r="AL106" i="17"/>
  <c r="K348" i="17"/>
  <c r="P348" i="17" s="1"/>
  <c r="J348" i="17"/>
  <c r="W131" i="17" s="1"/>
  <c r="W130" i="17"/>
  <c r="W86" i="17"/>
  <c r="W94" i="17" s="1"/>
  <c r="W238" i="17" s="1"/>
  <c r="F236" i="17"/>
  <c r="C584" i="17"/>
  <c r="C499" i="17"/>
  <c r="K581" i="17"/>
  <c r="P581" i="17" s="1"/>
  <c r="J581" i="17"/>
  <c r="X211" i="17" s="1"/>
  <c r="X210" i="17"/>
  <c r="G473" i="17"/>
  <c r="AS97" i="17"/>
  <c r="AO114" i="17" s="1"/>
  <c r="AO113" i="17"/>
  <c r="AT97" i="17"/>
  <c r="AY97" i="17" s="1"/>
  <c r="BJ264" i="17"/>
  <c r="BM66" i="17" s="1"/>
  <c r="E468" i="17"/>
  <c r="T236" i="17"/>
  <c r="G386" i="17"/>
  <c r="G382" i="17" s="1"/>
  <c r="X139" i="17" s="1"/>
  <c r="G154" i="17"/>
  <c r="G150" i="17" s="1"/>
  <c r="X59" i="17" s="1"/>
  <c r="C151" i="17"/>
  <c r="C154" i="17"/>
  <c r="T58" i="17"/>
  <c r="C153" i="17"/>
  <c r="U281" i="17"/>
  <c r="F472" i="17"/>
  <c r="K58" i="17"/>
  <c r="P58" i="17" s="1"/>
  <c r="J61" i="17" s="1"/>
  <c r="AF17" i="17" s="1"/>
  <c r="J58" i="17"/>
  <c r="W31" i="17" s="1"/>
  <c r="W30" i="17"/>
  <c r="X106" i="17"/>
  <c r="X114" i="17" s="1"/>
  <c r="X240" i="17" s="1"/>
  <c r="G294" i="17"/>
  <c r="T148" i="17"/>
  <c r="AQ99" i="17"/>
  <c r="F354" i="17"/>
  <c r="F357" i="17"/>
  <c r="W128" i="17"/>
  <c r="F356" i="17"/>
  <c r="K493" i="17"/>
  <c r="P493" i="17" s="1"/>
  <c r="J493" i="17"/>
  <c r="W181" i="17" s="1"/>
  <c r="W180" i="17"/>
  <c r="G584" i="17"/>
  <c r="AO111" i="17"/>
  <c r="AO103" i="17"/>
  <c r="AO106" i="17"/>
  <c r="AO105" i="17"/>
  <c r="U66" i="17"/>
  <c r="U74" i="17" s="1"/>
  <c r="U236" i="17" s="1"/>
  <c r="D178" i="17"/>
  <c r="BL66" i="17"/>
  <c r="BL69" i="17" s="1"/>
  <c r="BL70" i="17" s="1"/>
  <c r="BL71" i="17" s="1"/>
  <c r="H205" i="17"/>
  <c r="I206" i="17" s="1"/>
  <c r="AE22" i="17" s="1"/>
  <c r="C183" i="17"/>
  <c r="C180" i="17"/>
  <c r="D266" i="17"/>
  <c r="U99" i="17" s="1"/>
  <c r="T275" i="17"/>
  <c r="T235" i="17"/>
  <c r="K436" i="17"/>
  <c r="P436" i="17" s="1"/>
  <c r="J438" i="17" s="1"/>
  <c r="AF30" i="17" s="1"/>
  <c r="J436" i="17"/>
  <c r="X161" i="17" s="1"/>
  <c r="X160" i="17"/>
  <c r="D531" i="17"/>
  <c r="U188" i="17"/>
  <c r="D528" i="17"/>
  <c r="D530" i="17"/>
  <c r="AR94" i="17"/>
  <c r="D586" i="17"/>
  <c r="D589" i="17"/>
  <c r="U208" i="17"/>
  <c r="D588" i="17"/>
  <c r="I577" i="17"/>
  <c r="F497" i="17"/>
  <c r="I490" i="17"/>
  <c r="U26" i="17"/>
  <c r="U34" i="17" s="1"/>
  <c r="U232" i="17" s="1"/>
  <c r="D62" i="17"/>
  <c r="C526" i="17"/>
  <c r="V66" i="17"/>
  <c r="V74" i="17" s="1"/>
  <c r="V236" i="17" s="1"/>
  <c r="E178" i="17"/>
  <c r="I200" i="17"/>
  <c r="F325" i="17"/>
  <c r="F328" i="17"/>
  <c r="W118" i="17"/>
  <c r="F327" i="17"/>
  <c r="E584" i="17"/>
  <c r="T156" i="17"/>
  <c r="T164" i="17" s="1"/>
  <c r="C439" i="17"/>
  <c r="G444" i="17"/>
  <c r="G441" i="17"/>
  <c r="X158" i="17"/>
  <c r="G443" i="17"/>
  <c r="K520" i="17"/>
  <c r="P520" i="17" s="1"/>
  <c r="J520" i="17"/>
  <c r="U191" i="17" s="1"/>
  <c r="U190" i="17"/>
  <c r="K403" i="17"/>
  <c r="P403" i="17" s="1"/>
  <c r="J409" i="17" s="1"/>
  <c r="AF29" i="17" s="1"/>
  <c r="J403" i="17"/>
  <c r="T151" i="17" s="1"/>
  <c r="T150" i="17"/>
  <c r="E64" i="17"/>
  <c r="E67" i="17"/>
  <c r="V28" i="17"/>
  <c r="E66" i="17"/>
  <c r="K578" i="17"/>
  <c r="P578" i="17" s="1"/>
  <c r="J578" i="17"/>
  <c r="U211" i="17" s="1"/>
  <c r="U210" i="17"/>
  <c r="V106" i="17"/>
  <c r="V114" i="17" s="1"/>
  <c r="V240" i="17" s="1"/>
  <c r="E294" i="17"/>
  <c r="W196" i="17"/>
  <c r="W204" i="17" s="1"/>
  <c r="W249" i="17" s="1"/>
  <c r="F555" i="17"/>
  <c r="T250" i="17"/>
  <c r="AA214" i="17"/>
  <c r="BJ59" i="17"/>
  <c r="BM41" i="17" s="1"/>
  <c r="C64" i="17"/>
  <c r="C67" i="17"/>
  <c r="T28" i="17"/>
  <c r="C66" i="17"/>
  <c r="V24" i="17"/>
  <c r="K230" i="17"/>
  <c r="P230" i="17" s="1"/>
  <c r="J230" i="17"/>
  <c r="U91" i="17" s="1"/>
  <c r="U90" i="17"/>
  <c r="E236" i="17"/>
  <c r="T237" i="17"/>
  <c r="K579" i="17"/>
  <c r="P579" i="17" s="1"/>
  <c r="J579" i="17"/>
  <c r="V211" i="17" s="1"/>
  <c r="V210" i="17"/>
  <c r="G33" i="17"/>
  <c r="E357" i="17"/>
  <c r="E354" i="17"/>
  <c r="V128" i="17"/>
  <c r="E356" i="17"/>
  <c r="G328" i="17"/>
  <c r="X118" i="17"/>
  <c r="F386" i="17"/>
  <c r="F383" i="17"/>
  <c r="W138" i="17"/>
  <c r="F385" i="17"/>
  <c r="BL41" i="17"/>
  <c r="BL44" i="17" s="1"/>
  <c r="BL45" i="17" s="1"/>
  <c r="BL46" i="17" s="1"/>
  <c r="T232" i="17"/>
  <c r="K494" i="17"/>
  <c r="P494" i="17" s="1"/>
  <c r="J494" i="17"/>
  <c r="X181" i="17" s="1"/>
  <c r="X180" i="17"/>
  <c r="K519" i="17"/>
  <c r="P519" i="17" s="1"/>
  <c r="J519" i="17"/>
  <c r="T191" i="17" s="1"/>
  <c r="T190" i="17"/>
  <c r="K116" i="17"/>
  <c r="P116" i="17" s="1"/>
  <c r="J116" i="17"/>
  <c r="W51" i="17" s="1"/>
  <c r="W50" i="17"/>
  <c r="D236" i="17"/>
  <c r="T246" i="17"/>
  <c r="AA174" i="17"/>
  <c r="I144" i="17"/>
  <c r="F207" i="17"/>
  <c r="T240" i="17"/>
  <c r="G241" i="17"/>
  <c r="G238" i="17"/>
  <c r="X88" i="17"/>
  <c r="G240" i="17"/>
  <c r="AM109" i="17"/>
  <c r="AM117" i="17" s="1"/>
  <c r="AS117" i="17" s="1"/>
  <c r="AM101" i="17"/>
  <c r="F151" i="17"/>
  <c r="F154" i="17"/>
  <c r="W58" i="17"/>
  <c r="F153" i="17"/>
  <c r="K84" i="17"/>
  <c r="P84" i="17" s="1"/>
  <c r="J84" i="17"/>
  <c r="T41" i="17" s="1"/>
  <c r="T40" i="17"/>
  <c r="W156" i="17"/>
  <c r="W164" i="17" s="1"/>
  <c r="W245" i="17" s="1"/>
  <c r="F439" i="17"/>
  <c r="U106" i="17"/>
  <c r="U114" i="17" s="1"/>
  <c r="U240" i="17" s="1"/>
  <c r="D294" i="17"/>
  <c r="G497" i="17"/>
  <c r="T248" i="17"/>
  <c r="K229" i="17"/>
  <c r="P229" i="17" s="1"/>
  <c r="J229" i="17"/>
  <c r="T91" i="17" s="1"/>
  <c r="T90" i="17"/>
  <c r="F125" i="17"/>
  <c r="F122" i="17"/>
  <c r="W48" i="17"/>
  <c r="F124" i="17"/>
  <c r="G352" i="17"/>
  <c r="X126" i="17"/>
  <c r="X134" i="17" s="1"/>
  <c r="T234" i="17"/>
  <c r="E149" i="17"/>
  <c r="U228" i="17"/>
  <c r="W290" i="17"/>
  <c r="W291" i="17"/>
  <c r="W292" i="17" s="1"/>
  <c r="W231" i="17"/>
  <c r="E502" i="17"/>
  <c r="E499" i="17"/>
  <c r="E501" i="17"/>
  <c r="V178" i="17"/>
  <c r="F266" i="17"/>
  <c r="W99" i="17" s="1"/>
  <c r="T233" i="17"/>
  <c r="K202" i="17"/>
  <c r="P202" i="17" s="1"/>
  <c r="J202" i="17"/>
  <c r="V81" i="17" s="1"/>
  <c r="V80" i="17"/>
  <c r="X76" i="17"/>
  <c r="X84" i="17" s="1"/>
  <c r="X237" i="17" s="1"/>
  <c r="G207" i="17"/>
  <c r="T238" i="17"/>
  <c r="K115" i="17"/>
  <c r="P115" i="17" s="1"/>
  <c r="J115" i="17"/>
  <c r="V51" i="17" s="1"/>
  <c r="V50" i="17"/>
  <c r="E531" i="17"/>
  <c r="E530" i="17"/>
  <c r="E528" i="17"/>
  <c r="V188" i="17"/>
  <c r="C122" i="17"/>
  <c r="C125" i="17"/>
  <c r="T48" i="17"/>
  <c r="H466" i="17"/>
  <c r="I467" i="17" s="1"/>
  <c r="AE31" i="17" s="1"/>
  <c r="W276" i="17"/>
  <c r="W277" i="17" s="1"/>
  <c r="W220" i="17"/>
  <c r="W25" i="17"/>
  <c r="W228" i="17" s="1"/>
  <c r="U220" i="17"/>
  <c r="I287" i="17"/>
  <c r="K492" i="17"/>
  <c r="P492" i="17" s="1"/>
  <c r="J492" i="17"/>
  <c r="V181" i="17" s="1"/>
  <c r="V180" i="17"/>
  <c r="U56" i="17"/>
  <c r="U64" i="17" s="1"/>
  <c r="U235" i="17" s="1"/>
  <c r="D149" i="17"/>
  <c r="H89" i="17"/>
  <c r="I90" i="17" s="1"/>
  <c r="AE18" i="17" s="1"/>
  <c r="C236" i="17"/>
  <c r="E125" i="17"/>
  <c r="I461" i="17"/>
  <c r="C383" i="17"/>
  <c r="C386" i="17"/>
  <c r="T138" i="17"/>
  <c r="C385" i="17"/>
  <c r="V146" i="17"/>
  <c r="V154" i="17" s="1"/>
  <c r="V244" i="17" s="1"/>
  <c r="E410" i="17"/>
  <c r="U276" i="17"/>
  <c r="U277" i="17" s="1"/>
  <c r="W275" i="17"/>
  <c r="E162" i="27" l="1"/>
  <c r="E161" i="27"/>
  <c r="G161" i="27"/>
  <c r="G162" i="27"/>
  <c r="H162" i="27"/>
  <c r="H161" i="27"/>
  <c r="D161" i="27"/>
  <c r="D162" i="27"/>
  <c r="F161" i="27"/>
  <c r="F162" i="27"/>
  <c r="F66" i="27"/>
  <c r="F65" i="27"/>
  <c r="G65" i="27"/>
  <c r="G66" i="27"/>
  <c r="D65" i="27"/>
  <c r="D66" i="27"/>
  <c r="E66" i="27"/>
  <c r="E65" i="27"/>
  <c r="H66" i="27"/>
  <c r="H65" i="27"/>
  <c r="V279" i="26"/>
  <c r="V280" i="26" s="1"/>
  <c r="V279" i="25"/>
  <c r="V280" i="25" s="1"/>
  <c r="T222" i="24"/>
  <c r="T279" i="23"/>
  <c r="T280" i="23" s="1"/>
  <c r="AY13" i="18"/>
  <c r="G122" i="18"/>
  <c r="X48" i="18"/>
  <c r="J148" i="18"/>
  <c r="AF20" i="18" s="1"/>
  <c r="AA74" i="18"/>
  <c r="D269" i="18"/>
  <c r="U98" i="18"/>
  <c r="X98" i="18"/>
  <c r="W108" i="18"/>
  <c r="F298" i="18"/>
  <c r="E328" i="18"/>
  <c r="J403" i="18"/>
  <c r="T151" i="18" s="1"/>
  <c r="T148" i="18"/>
  <c r="C412" i="18"/>
  <c r="J409" i="18"/>
  <c r="AF29" i="18" s="1"/>
  <c r="C469" i="18"/>
  <c r="T169" i="18" s="1"/>
  <c r="C470" i="18"/>
  <c r="X198" i="18"/>
  <c r="T210" i="18"/>
  <c r="K577" i="18"/>
  <c r="P577" i="18" s="1"/>
  <c r="J583" i="18" s="1"/>
  <c r="AF35" i="18" s="1"/>
  <c r="J577" i="18"/>
  <c r="T211" i="18" s="1"/>
  <c r="G588" i="18"/>
  <c r="X208" i="18"/>
  <c r="G586" i="18"/>
  <c r="F559" i="18"/>
  <c r="F556" i="18" s="1"/>
  <c r="W199" i="18" s="1"/>
  <c r="F557" i="18"/>
  <c r="C414" i="18"/>
  <c r="E327" i="18"/>
  <c r="V118" i="18"/>
  <c r="F296" i="18"/>
  <c r="F269" i="18"/>
  <c r="F266" i="18" s="1"/>
  <c r="W99" i="18" s="1"/>
  <c r="W98" i="18"/>
  <c r="C269" i="18"/>
  <c r="C266" i="18" s="1"/>
  <c r="T99" i="18" s="1"/>
  <c r="T98" i="18"/>
  <c r="C267" i="18"/>
  <c r="V88" i="18"/>
  <c r="E238" i="18"/>
  <c r="E241" i="18"/>
  <c r="E237" i="18" s="1"/>
  <c r="V89" i="18" s="1"/>
  <c r="F237" i="18"/>
  <c r="W89" i="18" s="1"/>
  <c r="X78" i="18"/>
  <c r="G212" i="18"/>
  <c r="T275" i="18"/>
  <c r="AX13" i="18"/>
  <c r="C95" i="18"/>
  <c r="C92" i="18" s="1"/>
  <c r="T39" i="18" s="1"/>
  <c r="K84" i="18"/>
  <c r="P84" i="18" s="1"/>
  <c r="K26" i="18"/>
  <c r="P26" i="18" s="1"/>
  <c r="J32" i="18" s="1"/>
  <c r="AF16" i="18" s="1"/>
  <c r="T20" i="18"/>
  <c r="V18" i="18"/>
  <c r="W168" i="17"/>
  <c r="F470" i="17"/>
  <c r="C357" i="17"/>
  <c r="C353" i="17" s="1"/>
  <c r="T129" i="17" s="1"/>
  <c r="AA94" i="17"/>
  <c r="V78" i="17"/>
  <c r="E209" i="17"/>
  <c r="E212" i="17"/>
  <c r="C124" i="17"/>
  <c r="E124" i="17"/>
  <c r="V48" i="17"/>
  <c r="D93" i="17"/>
  <c r="F588" i="17"/>
  <c r="F585" i="17" s="1"/>
  <c r="W209" i="17" s="1"/>
  <c r="T200" i="17"/>
  <c r="E527" i="17"/>
  <c r="V189" i="17" s="1"/>
  <c r="C472" i="17"/>
  <c r="C469" i="17" s="1"/>
  <c r="T169" i="17" s="1"/>
  <c r="C470" i="17"/>
  <c r="T168" i="17"/>
  <c r="G472" i="17"/>
  <c r="D356" i="17"/>
  <c r="D353" i="17" s="1"/>
  <c r="U129" i="17" s="1"/>
  <c r="T128" i="17"/>
  <c r="C354" i="17"/>
  <c r="G325" i="17"/>
  <c r="T219" i="17"/>
  <c r="D211" i="17"/>
  <c r="U78" i="17"/>
  <c r="D212" i="17"/>
  <c r="T50" i="17"/>
  <c r="T281" i="17" s="1"/>
  <c r="J113" i="17"/>
  <c r="T51" i="17" s="1"/>
  <c r="T282" i="17" s="1"/>
  <c r="T283" i="17" s="1"/>
  <c r="F95" i="17"/>
  <c r="F93" i="17"/>
  <c r="F96" i="17"/>
  <c r="F34" i="17"/>
  <c r="W19" i="17" s="1"/>
  <c r="U222" i="26"/>
  <c r="U279" i="26"/>
  <c r="U280" i="26" s="1"/>
  <c r="T222" i="26"/>
  <c r="W222" i="26"/>
  <c r="W279" i="26"/>
  <c r="W280" i="26" s="1"/>
  <c r="V222" i="26"/>
  <c r="X222" i="26"/>
  <c r="U279" i="25"/>
  <c r="U280" i="25" s="1"/>
  <c r="W222" i="25"/>
  <c r="T279" i="25"/>
  <c r="T280" i="25" s="1"/>
  <c r="T222" i="25"/>
  <c r="AA290" i="25"/>
  <c r="X279" i="25"/>
  <c r="X280" i="25" s="1"/>
  <c r="X222" i="25"/>
  <c r="U222" i="25"/>
  <c r="W279" i="25"/>
  <c r="W280" i="25" s="1"/>
  <c r="V222" i="25"/>
  <c r="X222" i="24"/>
  <c r="W222" i="24"/>
  <c r="U222" i="24"/>
  <c r="V222" i="24"/>
  <c r="U279" i="24"/>
  <c r="U280" i="24" s="1"/>
  <c r="T222" i="23"/>
  <c r="W222" i="23"/>
  <c r="U222" i="23"/>
  <c r="V279" i="23"/>
  <c r="V280" i="23" s="1"/>
  <c r="V222" i="23"/>
  <c r="X279" i="23"/>
  <c r="X280" i="23" s="1"/>
  <c r="X222" i="23"/>
  <c r="T222" i="21"/>
  <c r="W222" i="21"/>
  <c r="AA290" i="21"/>
  <c r="X222" i="21"/>
  <c r="U279" i="21"/>
  <c r="U280" i="21" s="1"/>
  <c r="U222" i="21"/>
  <c r="V222" i="21"/>
  <c r="W222" i="20"/>
  <c r="X222" i="20"/>
  <c r="V222" i="20"/>
  <c r="T222" i="20"/>
  <c r="T279" i="20"/>
  <c r="T280" i="20" s="1"/>
  <c r="V279" i="20"/>
  <c r="V280" i="20" s="1"/>
  <c r="AA290" i="20"/>
  <c r="U222" i="20"/>
  <c r="U279" i="20"/>
  <c r="U280" i="20" s="1"/>
  <c r="J554" i="18"/>
  <c r="AF34" i="18" s="1"/>
  <c r="T188" i="18"/>
  <c r="C531" i="18"/>
  <c r="T150" i="18"/>
  <c r="C382" i="18"/>
  <c r="T139" i="18" s="1"/>
  <c r="AA144" i="18"/>
  <c r="W224" i="18"/>
  <c r="D208" i="18"/>
  <c r="U79" i="18" s="1"/>
  <c r="J206" i="18"/>
  <c r="AF22" i="18" s="1"/>
  <c r="G182" i="18"/>
  <c r="G179" i="18" s="1"/>
  <c r="X69" i="18" s="1"/>
  <c r="X68" i="18"/>
  <c r="G150" i="18"/>
  <c r="X59" i="18" s="1"/>
  <c r="U282" i="18"/>
  <c r="U283" i="18" s="1"/>
  <c r="D95" i="18"/>
  <c r="J84" i="18"/>
  <c r="T41" i="18" s="1"/>
  <c r="BC19" i="18"/>
  <c r="C37" i="18"/>
  <c r="E35" i="18"/>
  <c r="C38" i="18"/>
  <c r="C35" i="18"/>
  <c r="C559" i="17"/>
  <c r="P548" i="17"/>
  <c r="J548" i="17"/>
  <c r="T201" i="17" s="1"/>
  <c r="C502" i="17"/>
  <c r="E498" i="17"/>
  <c r="V179" i="17" s="1"/>
  <c r="X168" i="17"/>
  <c r="D382" i="17"/>
  <c r="U139" i="17" s="1"/>
  <c r="U128" i="17"/>
  <c r="D354" i="17"/>
  <c r="C179" i="17"/>
  <c r="T69" i="17" s="1"/>
  <c r="AA54" i="17"/>
  <c r="AA44" i="17"/>
  <c r="D95" i="17"/>
  <c r="D92" i="17" s="1"/>
  <c r="U39" i="17" s="1"/>
  <c r="U38" i="17"/>
  <c r="AZ25" i="17"/>
  <c r="V275" i="17"/>
  <c r="AA34" i="17"/>
  <c r="BA18" i="17"/>
  <c r="BB18" i="17"/>
  <c r="AA194" i="17"/>
  <c r="G324" i="17"/>
  <c r="X119" i="17" s="1"/>
  <c r="C414" i="17"/>
  <c r="C411" i="17" s="1"/>
  <c r="T149" i="17" s="1"/>
  <c r="W208" i="17"/>
  <c r="AX13" i="17"/>
  <c r="C412" i="17"/>
  <c r="F586" i="17"/>
  <c r="AZ13" i="17"/>
  <c r="W219" i="17"/>
  <c r="W227" i="17"/>
  <c r="F150" i="17"/>
  <c r="W59" i="17" s="1"/>
  <c r="BA24" i="17"/>
  <c r="AA204" i="17"/>
  <c r="AY20" i="17"/>
  <c r="C382" i="17"/>
  <c r="T139" i="17" s="1"/>
  <c r="E34" i="17"/>
  <c r="V19" i="17" s="1"/>
  <c r="AY17" i="17"/>
  <c r="C63" i="17"/>
  <c r="T29" i="17" s="1"/>
  <c r="F324" i="17"/>
  <c r="W119" i="17" s="1"/>
  <c r="C121" i="17"/>
  <c r="T49" i="17" s="1"/>
  <c r="G440" i="17"/>
  <c r="X159" i="17" s="1"/>
  <c r="F469" i="17"/>
  <c r="W169" i="17" s="1"/>
  <c r="E63" i="17"/>
  <c r="V29" i="17" s="1"/>
  <c r="AO102" i="17"/>
  <c r="AO112" i="17" s="1"/>
  <c r="J90" i="18"/>
  <c r="AF18" i="18" s="1"/>
  <c r="E208" i="18"/>
  <c r="V79" i="18" s="1"/>
  <c r="C530" i="18"/>
  <c r="C527" i="18" s="1"/>
  <c r="T189" i="18" s="1"/>
  <c r="T118" i="18"/>
  <c r="F324" i="18"/>
  <c r="W119" i="18" s="1"/>
  <c r="AS100" i="18"/>
  <c r="AS110" i="18" s="1"/>
  <c r="W223" i="18"/>
  <c r="C328" i="18"/>
  <c r="AA194" i="18"/>
  <c r="U281" i="18"/>
  <c r="AZ17" i="18"/>
  <c r="C327" i="18"/>
  <c r="U223" i="18"/>
  <c r="G556" i="18"/>
  <c r="X199" i="18" s="1"/>
  <c r="C240" i="18"/>
  <c r="C237" i="18" s="1"/>
  <c r="T89" i="18" s="1"/>
  <c r="AA34" i="18"/>
  <c r="E124" i="18"/>
  <c r="E121" i="18" s="1"/>
  <c r="V49" i="18" s="1"/>
  <c r="C411" i="18"/>
  <c r="T149" i="18" s="1"/>
  <c r="U224" i="18"/>
  <c r="T88" i="18"/>
  <c r="V48" i="18"/>
  <c r="C238" i="18"/>
  <c r="E122" i="18"/>
  <c r="D92" i="18"/>
  <c r="U39" i="18" s="1"/>
  <c r="V275" i="18"/>
  <c r="E266" i="18"/>
  <c r="V99" i="18" s="1"/>
  <c r="F151" i="18"/>
  <c r="F154" i="18"/>
  <c r="W58" i="18"/>
  <c r="F153" i="18"/>
  <c r="F125" i="18"/>
  <c r="F122" i="18"/>
  <c r="W48" i="18"/>
  <c r="F124" i="18"/>
  <c r="C64" i="18"/>
  <c r="C67" i="18"/>
  <c r="T28" i="18"/>
  <c r="C66" i="18"/>
  <c r="F383" i="18"/>
  <c r="F386" i="18"/>
  <c r="W138" i="18"/>
  <c r="F385" i="18"/>
  <c r="BA15" i="18"/>
  <c r="X231" i="18"/>
  <c r="X290" i="18"/>
  <c r="X291" i="18"/>
  <c r="X292" i="18" s="1"/>
  <c r="X227" i="18"/>
  <c r="AA164" i="18"/>
  <c r="T30" i="18"/>
  <c r="K55" i="18"/>
  <c r="P55" i="18" s="1"/>
  <c r="J61" i="18" s="1"/>
  <c r="AF17" i="18" s="1"/>
  <c r="J55" i="18"/>
  <c r="T31" i="18" s="1"/>
  <c r="K258" i="18"/>
  <c r="P258" i="18" s="1"/>
  <c r="J264" i="18" s="1"/>
  <c r="AF24" i="18" s="1"/>
  <c r="J258" i="18"/>
  <c r="T101" i="18" s="1"/>
  <c r="T100" i="18"/>
  <c r="F180" i="18"/>
  <c r="F183" i="18"/>
  <c r="W68" i="18"/>
  <c r="F182" i="18"/>
  <c r="F498" i="18"/>
  <c r="W179" i="18" s="1"/>
  <c r="BB23" i="18"/>
  <c r="BA14" i="18"/>
  <c r="BC16" i="18"/>
  <c r="AZ21" i="18"/>
  <c r="BB21" i="18"/>
  <c r="BC20" i="18"/>
  <c r="G328" i="18"/>
  <c r="G325" i="18"/>
  <c r="X118" i="18"/>
  <c r="G327" i="18"/>
  <c r="AA154" i="18"/>
  <c r="G354" i="18"/>
  <c r="G357" i="18"/>
  <c r="G356" i="18"/>
  <c r="X128" i="18"/>
  <c r="BA20" i="18"/>
  <c r="E473" i="18"/>
  <c r="E470" i="18"/>
  <c r="V168" i="18"/>
  <c r="E472" i="18"/>
  <c r="D354" i="18"/>
  <c r="U128" i="18"/>
  <c r="D357" i="18"/>
  <c r="D356" i="18"/>
  <c r="G63" i="18"/>
  <c r="X29" i="18" s="1"/>
  <c r="K171" i="18"/>
  <c r="P171" i="18" s="1"/>
  <c r="J177" i="18" s="1"/>
  <c r="AF21" i="18" s="1"/>
  <c r="J171" i="18"/>
  <c r="T71" i="18" s="1"/>
  <c r="T70" i="18"/>
  <c r="X219" i="18"/>
  <c r="G499" i="18"/>
  <c r="G502" i="18"/>
  <c r="X178" i="18"/>
  <c r="G501" i="18"/>
  <c r="C444" i="18"/>
  <c r="C441" i="18"/>
  <c r="T158" i="18"/>
  <c r="C443" i="18"/>
  <c r="E96" i="18"/>
  <c r="E93" i="18"/>
  <c r="V38" i="18"/>
  <c r="E95" i="18"/>
  <c r="D63" i="18"/>
  <c r="U29" i="18" s="1"/>
  <c r="C212" i="18"/>
  <c r="C209" i="18"/>
  <c r="T78" i="18"/>
  <c r="C211" i="18"/>
  <c r="G238" i="18"/>
  <c r="G241" i="18"/>
  <c r="X88" i="18"/>
  <c r="G240" i="18"/>
  <c r="F209" i="18"/>
  <c r="F212" i="18"/>
  <c r="W78" i="18"/>
  <c r="F211" i="18"/>
  <c r="F64" i="18"/>
  <c r="F67" i="18"/>
  <c r="W28" i="18"/>
  <c r="F66" i="18"/>
  <c r="F589" i="18"/>
  <c r="F586" i="18"/>
  <c r="W208" i="18"/>
  <c r="F588" i="18"/>
  <c r="G441" i="18"/>
  <c r="G444" i="18"/>
  <c r="X158" i="18"/>
  <c r="G443" i="18"/>
  <c r="C299" i="18"/>
  <c r="C296" i="18"/>
  <c r="T108" i="18"/>
  <c r="C298" i="18"/>
  <c r="BB17" i="18"/>
  <c r="AY15" i="18"/>
  <c r="AY22" i="18"/>
  <c r="BB22" i="18"/>
  <c r="AY23" i="18"/>
  <c r="BA23" i="18"/>
  <c r="T282" i="18"/>
  <c r="T283" i="18" s="1"/>
  <c r="BB18" i="18"/>
  <c r="E589" i="18"/>
  <c r="E586" i="18"/>
  <c r="V208" i="18"/>
  <c r="E588" i="18"/>
  <c r="AN102" i="18"/>
  <c r="AN112" i="18" s="1"/>
  <c r="G208" i="18"/>
  <c r="X79" i="18" s="1"/>
  <c r="G121" i="18"/>
  <c r="X49" i="18" s="1"/>
  <c r="V290" i="18"/>
  <c r="V291" i="18"/>
  <c r="V292" i="18" s="1"/>
  <c r="V231" i="18"/>
  <c r="V227" i="18"/>
  <c r="X275" i="18"/>
  <c r="D556" i="18"/>
  <c r="U199" i="18" s="1"/>
  <c r="AP102" i="18"/>
  <c r="AP112" i="18" s="1"/>
  <c r="T237" i="18"/>
  <c r="AA84" i="18"/>
  <c r="F357" i="18"/>
  <c r="F354" i="18"/>
  <c r="W128" i="18"/>
  <c r="F356" i="18"/>
  <c r="G383" i="18"/>
  <c r="G386" i="18"/>
  <c r="X138" i="18"/>
  <c r="G385" i="18"/>
  <c r="V282" i="18"/>
  <c r="V283" i="18" s="1"/>
  <c r="E34" i="18"/>
  <c r="V19" i="18" s="1"/>
  <c r="D125" i="18"/>
  <c r="D122" i="18"/>
  <c r="U48" i="18"/>
  <c r="D124" i="18"/>
  <c r="C557" i="18"/>
  <c r="C560" i="18"/>
  <c r="T198" i="18"/>
  <c r="C559" i="18"/>
  <c r="BC23" i="18"/>
  <c r="BA16" i="18"/>
  <c r="BB13" i="18"/>
  <c r="AY18" i="18"/>
  <c r="AY17" i="18"/>
  <c r="Z275" i="18"/>
  <c r="D241" i="18"/>
  <c r="D238" i="18"/>
  <c r="U88" i="18"/>
  <c r="D240" i="18"/>
  <c r="BA17" i="18"/>
  <c r="AY20" i="18"/>
  <c r="G415" i="18"/>
  <c r="G412" i="18"/>
  <c r="X148" i="18"/>
  <c r="G414" i="18"/>
  <c r="E357" i="18"/>
  <c r="E354" i="18"/>
  <c r="V128" i="18"/>
  <c r="E356" i="18"/>
  <c r="V219" i="18"/>
  <c r="E386" i="18"/>
  <c r="E383" i="18"/>
  <c r="V138" i="18"/>
  <c r="E385" i="18"/>
  <c r="D266" i="18"/>
  <c r="U99" i="18" s="1"/>
  <c r="G266" i="18"/>
  <c r="X99" i="18" s="1"/>
  <c r="V281" i="18"/>
  <c r="D527" i="18"/>
  <c r="U189" i="18" s="1"/>
  <c r="F444" i="18"/>
  <c r="F441" i="18"/>
  <c r="F443" i="18"/>
  <c r="W158" i="18"/>
  <c r="T249" i="18"/>
  <c r="AA204" i="18"/>
  <c r="AZ14" i="18"/>
  <c r="BC17" i="18"/>
  <c r="BC15" i="18"/>
  <c r="BA19" i="18"/>
  <c r="BA18" i="18"/>
  <c r="D415" i="18"/>
  <c r="D412" i="18"/>
  <c r="D414" i="18"/>
  <c r="U148" i="18"/>
  <c r="AY16" i="18"/>
  <c r="T235" i="18"/>
  <c r="AA64" i="18"/>
  <c r="F470" i="18"/>
  <c r="W168" i="18"/>
  <c r="F473" i="18"/>
  <c r="F472" i="18"/>
  <c r="K490" i="18"/>
  <c r="P490" i="18" s="1"/>
  <c r="J496" i="18" s="1"/>
  <c r="AF32" i="18" s="1"/>
  <c r="J490" i="18"/>
  <c r="T181" i="18" s="1"/>
  <c r="T180" i="18"/>
  <c r="AM103" i="18"/>
  <c r="AM106" i="18"/>
  <c r="AM111" i="18"/>
  <c r="AM105" i="18"/>
  <c r="E557" i="18"/>
  <c r="E560" i="18"/>
  <c r="V198" i="18"/>
  <c r="E559" i="18"/>
  <c r="AX19" i="18"/>
  <c r="BB14" i="18"/>
  <c r="AX20" i="18"/>
  <c r="BA21" i="18"/>
  <c r="BB20" i="18"/>
  <c r="K376" i="18"/>
  <c r="P376" i="18" s="1"/>
  <c r="J380" i="18" s="1"/>
  <c r="AF28" i="18" s="1"/>
  <c r="J376" i="18"/>
  <c r="V141" i="18" s="1"/>
  <c r="V224" i="18" s="1"/>
  <c r="V140" i="18"/>
  <c r="V223" i="18" s="1"/>
  <c r="E64" i="18"/>
  <c r="E67" i="18"/>
  <c r="V28" i="18"/>
  <c r="E66" i="18"/>
  <c r="F531" i="18"/>
  <c r="F528" i="18"/>
  <c r="W188" i="18"/>
  <c r="F530" i="18"/>
  <c r="D180" i="18"/>
  <c r="D183" i="18"/>
  <c r="U68" i="18"/>
  <c r="D182" i="18"/>
  <c r="AY19" i="18"/>
  <c r="J293" i="18"/>
  <c r="AF25" i="18" s="1"/>
  <c r="K316" i="18"/>
  <c r="P316" i="18" s="1"/>
  <c r="J322" i="18" s="1"/>
  <c r="AF26" i="18" s="1"/>
  <c r="J316" i="18"/>
  <c r="T121" i="18" s="1"/>
  <c r="T120" i="18"/>
  <c r="AA174" i="18"/>
  <c r="E528" i="18"/>
  <c r="E531" i="18"/>
  <c r="V188" i="18"/>
  <c r="E530" i="18"/>
  <c r="D299" i="18"/>
  <c r="D296" i="18"/>
  <c r="U108" i="18"/>
  <c r="D298" i="18"/>
  <c r="K461" i="18"/>
  <c r="P461" i="18" s="1"/>
  <c r="J467" i="18" s="1"/>
  <c r="AF31" i="18" s="1"/>
  <c r="J461" i="18"/>
  <c r="T171" i="18" s="1"/>
  <c r="T170" i="18"/>
  <c r="C180" i="18"/>
  <c r="C183" i="18"/>
  <c r="T68" i="18"/>
  <c r="C182" i="18"/>
  <c r="J345" i="18"/>
  <c r="T131" i="18" s="1"/>
  <c r="K345" i="18"/>
  <c r="P345" i="18" s="1"/>
  <c r="J351" i="18" s="1"/>
  <c r="AF27" i="18" s="1"/>
  <c r="T130" i="18"/>
  <c r="E180" i="18"/>
  <c r="E183" i="18"/>
  <c r="V68" i="18"/>
  <c r="E182" i="18"/>
  <c r="X281" i="18"/>
  <c r="X223" i="18"/>
  <c r="AZ22" i="18"/>
  <c r="AZ15" i="18"/>
  <c r="AY21" i="18"/>
  <c r="BC22" i="18"/>
  <c r="BC21" i="18"/>
  <c r="AZ20" i="18"/>
  <c r="G93" i="18"/>
  <c r="X38" i="18"/>
  <c r="G96" i="18"/>
  <c r="G95" i="18"/>
  <c r="C502" i="18"/>
  <c r="C499" i="18"/>
  <c r="T178" i="18"/>
  <c r="C501" i="18"/>
  <c r="K519" i="18"/>
  <c r="P519" i="18" s="1"/>
  <c r="J525" i="18" s="1"/>
  <c r="AF33" i="18" s="1"/>
  <c r="J519" i="18"/>
  <c r="T191" i="18" s="1"/>
  <c r="T190" i="18"/>
  <c r="D38" i="18"/>
  <c r="U18" i="18"/>
  <c r="D35" i="18"/>
  <c r="D37" i="18"/>
  <c r="D386" i="18"/>
  <c r="D383" i="18"/>
  <c r="U138" i="18"/>
  <c r="D385" i="18"/>
  <c r="AA124" i="18"/>
  <c r="AA134" i="18"/>
  <c r="C356" i="18"/>
  <c r="C353" i="18" s="1"/>
  <c r="T129" i="18" s="1"/>
  <c r="AA54" i="18"/>
  <c r="J438" i="18"/>
  <c r="AF30" i="18" s="1"/>
  <c r="D444" i="18"/>
  <c r="D441" i="18"/>
  <c r="U158" i="18"/>
  <c r="D443" i="18"/>
  <c r="AL111" i="18"/>
  <c r="AL106" i="18"/>
  <c r="AL103" i="18"/>
  <c r="AL105" i="18"/>
  <c r="J119" i="18"/>
  <c r="AF19" i="18" s="1"/>
  <c r="F96" i="18"/>
  <c r="F93" i="18"/>
  <c r="W38" i="18"/>
  <c r="F95" i="18"/>
  <c r="X282" i="18"/>
  <c r="X283" i="18" s="1"/>
  <c r="X224" i="18"/>
  <c r="AY14" i="18"/>
  <c r="BB16" i="18"/>
  <c r="BA22" i="18"/>
  <c r="AX23" i="18"/>
  <c r="AZ23" i="18"/>
  <c r="E441" i="18"/>
  <c r="V158" i="18"/>
  <c r="E444" i="18"/>
  <c r="E443" i="18"/>
  <c r="AO103" i="18"/>
  <c r="AO111" i="18"/>
  <c r="AO106" i="18"/>
  <c r="AO105" i="18"/>
  <c r="F38" i="18"/>
  <c r="F35" i="18"/>
  <c r="W18" i="18"/>
  <c r="F37" i="18"/>
  <c r="E415" i="18"/>
  <c r="E412" i="18"/>
  <c r="V148" i="18"/>
  <c r="E414" i="18"/>
  <c r="D325" i="18"/>
  <c r="D328" i="18"/>
  <c r="U118" i="18"/>
  <c r="D327" i="18"/>
  <c r="U275" i="18"/>
  <c r="U219" i="18"/>
  <c r="U24" i="18"/>
  <c r="AA214" i="18"/>
  <c r="E299" i="18"/>
  <c r="E296" i="18"/>
  <c r="V108" i="18"/>
  <c r="E298" i="18"/>
  <c r="C122" i="18"/>
  <c r="C125" i="18"/>
  <c r="T48" i="18"/>
  <c r="C124" i="18"/>
  <c r="D150" i="18"/>
  <c r="U59" i="18" s="1"/>
  <c r="C585" i="18"/>
  <c r="T209" i="18" s="1"/>
  <c r="BB15" i="18"/>
  <c r="AZ16" i="18"/>
  <c r="AX22" i="18"/>
  <c r="BC13" i="18"/>
  <c r="AX17" i="18"/>
  <c r="AX14" i="18"/>
  <c r="C151" i="18"/>
  <c r="C154" i="18"/>
  <c r="T58" i="18"/>
  <c r="C153" i="18"/>
  <c r="E498" i="18"/>
  <c r="V179" i="18" s="1"/>
  <c r="W219" i="18"/>
  <c r="W275" i="18"/>
  <c r="W24" i="18"/>
  <c r="T290" i="18"/>
  <c r="T291" i="18"/>
  <c r="T292" i="18" s="1"/>
  <c r="T231" i="18"/>
  <c r="T227" i="18"/>
  <c r="G531" i="18"/>
  <c r="G528" i="18"/>
  <c r="X188" i="18"/>
  <c r="G530" i="18"/>
  <c r="AA44" i="18"/>
  <c r="D498" i="18"/>
  <c r="U179" i="18" s="1"/>
  <c r="G585" i="18"/>
  <c r="X209" i="18" s="1"/>
  <c r="E324" i="18"/>
  <c r="V119" i="18" s="1"/>
  <c r="F412" i="18"/>
  <c r="F415" i="18"/>
  <c r="F414" i="18"/>
  <c r="W148" i="18"/>
  <c r="G38" i="18"/>
  <c r="G35" i="18"/>
  <c r="X18" i="18"/>
  <c r="G37" i="18"/>
  <c r="K229" i="18"/>
  <c r="P229" i="18" s="1"/>
  <c r="J235" i="18" s="1"/>
  <c r="AF23" i="18" s="1"/>
  <c r="J229" i="18"/>
  <c r="T91" i="18" s="1"/>
  <c r="T90" i="18"/>
  <c r="D473" i="18"/>
  <c r="D470" i="18"/>
  <c r="U168" i="18"/>
  <c r="D472" i="18"/>
  <c r="F295" i="18"/>
  <c r="W109" i="18" s="1"/>
  <c r="AX21" i="18"/>
  <c r="AX15" i="18"/>
  <c r="AZ13" i="18"/>
  <c r="AX18" i="18"/>
  <c r="AZ18" i="18"/>
  <c r="AX16" i="18"/>
  <c r="E150" i="18"/>
  <c r="V59" i="18" s="1"/>
  <c r="T219" i="18"/>
  <c r="D586" i="18"/>
  <c r="D589" i="18"/>
  <c r="U208" i="18"/>
  <c r="D588" i="18"/>
  <c r="G296" i="18"/>
  <c r="G299" i="18"/>
  <c r="G298" i="18"/>
  <c r="X108" i="18"/>
  <c r="G469" i="18"/>
  <c r="X169" i="18" s="1"/>
  <c r="BA13" i="18"/>
  <c r="BC18" i="18"/>
  <c r="BC14" i="18"/>
  <c r="AZ19" i="18"/>
  <c r="BB19" i="18"/>
  <c r="J119" i="17"/>
  <c r="AF19" i="17" s="1"/>
  <c r="J322" i="17"/>
  <c r="AF26" i="17" s="1"/>
  <c r="V243" i="17"/>
  <c r="AA144" i="17"/>
  <c r="G180" i="17"/>
  <c r="G183" i="17"/>
  <c r="X68" i="17"/>
  <c r="G182" i="17"/>
  <c r="C238" i="17"/>
  <c r="C241" i="17"/>
  <c r="T88" i="17"/>
  <c r="C240" i="17"/>
  <c r="K144" i="17"/>
  <c r="P144" i="17" s="1"/>
  <c r="J148" i="17" s="1"/>
  <c r="AF20" i="17" s="1"/>
  <c r="J144" i="17"/>
  <c r="V61" i="17" s="1"/>
  <c r="V60" i="17"/>
  <c r="F502" i="17"/>
  <c r="F499" i="17"/>
  <c r="F501" i="17"/>
  <c r="W178" i="17"/>
  <c r="G589" i="17"/>
  <c r="G586" i="17"/>
  <c r="X208" i="17"/>
  <c r="G588" i="17"/>
  <c r="G415" i="17"/>
  <c r="G412" i="17"/>
  <c r="X148" i="17"/>
  <c r="G414" i="17"/>
  <c r="C328" i="17"/>
  <c r="C325" i="17"/>
  <c r="T118" i="17"/>
  <c r="C327" i="17"/>
  <c r="AY14" i="17"/>
  <c r="BA14" i="17"/>
  <c r="BC14" i="17"/>
  <c r="BB13" i="17"/>
  <c r="AZ21" i="17"/>
  <c r="AX16" i="17"/>
  <c r="BC19" i="17"/>
  <c r="E151" i="17"/>
  <c r="E154" i="17"/>
  <c r="V58" i="17"/>
  <c r="E153" i="17"/>
  <c r="J525" i="17"/>
  <c r="AF33" i="17" s="1"/>
  <c r="K490" i="17"/>
  <c r="P490" i="17" s="1"/>
  <c r="J496" i="17" s="1"/>
  <c r="AF32" i="17" s="1"/>
  <c r="J490" i="17"/>
  <c r="T181" i="17" s="1"/>
  <c r="T180" i="17"/>
  <c r="E415" i="17"/>
  <c r="E412" i="17"/>
  <c r="V148" i="17"/>
  <c r="E414" i="17"/>
  <c r="E208" i="17"/>
  <c r="V79" i="17" s="1"/>
  <c r="K287" i="17"/>
  <c r="P287" i="17" s="1"/>
  <c r="J293" i="17" s="1"/>
  <c r="AF25" i="17" s="1"/>
  <c r="J287" i="17"/>
  <c r="T111" i="17" s="1"/>
  <c r="T110" i="17"/>
  <c r="F444" i="17"/>
  <c r="F441" i="17"/>
  <c r="W158" i="17"/>
  <c r="F443" i="17"/>
  <c r="F382" i="17"/>
  <c r="W139" i="17" s="1"/>
  <c r="X18" i="17"/>
  <c r="G35" i="17"/>
  <c r="G38" i="17"/>
  <c r="G37" i="17"/>
  <c r="K577" i="17"/>
  <c r="P577" i="17" s="1"/>
  <c r="J583" i="17" s="1"/>
  <c r="AF35" i="17" s="1"/>
  <c r="J577" i="17"/>
  <c r="T211" i="17" s="1"/>
  <c r="T210" i="17"/>
  <c r="AA74" i="17"/>
  <c r="K171" i="17"/>
  <c r="P171" i="17" s="1"/>
  <c r="J177" i="17" s="1"/>
  <c r="AF21" i="17" s="1"/>
  <c r="J171" i="17"/>
  <c r="T71" i="17" s="1"/>
  <c r="T70" i="17"/>
  <c r="T241" i="17"/>
  <c r="AA124" i="17"/>
  <c r="AY16" i="17"/>
  <c r="AY15" i="17"/>
  <c r="BA15" i="17"/>
  <c r="BC15" i="17"/>
  <c r="BB22" i="17"/>
  <c r="BC25" i="17"/>
  <c r="BB20" i="17"/>
  <c r="K346" i="17"/>
  <c r="P346" i="17" s="1"/>
  <c r="J351" i="17" s="1"/>
  <c r="AF27" i="17" s="1"/>
  <c r="J346" i="17"/>
  <c r="U131" i="17" s="1"/>
  <c r="U224" i="17" s="1"/>
  <c r="U130" i="17"/>
  <c r="D560" i="17"/>
  <c r="D557" i="17"/>
  <c r="U198" i="17"/>
  <c r="D559" i="17"/>
  <c r="E444" i="17"/>
  <c r="E441" i="17"/>
  <c r="V158" i="17"/>
  <c r="E443" i="17"/>
  <c r="E440" i="17" s="1"/>
  <c r="V159" i="17" s="1"/>
  <c r="D585" i="17"/>
  <c r="U209" i="17" s="1"/>
  <c r="E96" i="17"/>
  <c r="E93" i="17"/>
  <c r="V38" i="17"/>
  <c r="E95" i="17"/>
  <c r="C212" i="17"/>
  <c r="C209" i="17"/>
  <c r="T78" i="17"/>
  <c r="C211" i="17"/>
  <c r="G560" i="17"/>
  <c r="G557" i="17"/>
  <c r="G559" i="17"/>
  <c r="X198" i="17"/>
  <c r="C96" i="17"/>
  <c r="C93" i="17"/>
  <c r="T38" i="17"/>
  <c r="T278" i="17" s="1"/>
  <c r="C95" i="17"/>
  <c r="F531" i="17"/>
  <c r="F528" i="17"/>
  <c r="F530" i="17"/>
  <c r="W188" i="17"/>
  <c r="BA17" i="17"/>
  <c r="BA16" i="17"/>
  <c r="BC16" i="17"/>
  <c r="AY19" i="17"/>
  <c r="BC24" i="17"/>
  <c r="AX17" i="17"/>
  <c r="BC21" i="17"/>
  <c r="F212" i="17"/>
  <c r="F209" i="17"/>
  <c r="W78" i="17"/>
  <c r="F211" i="17"/>
  <c r="F241" i="17"/>
  <c r="F240" i="17"/>
  <c r="F238" i="17"/>
  <c r="W88" i="17"/>
  <c r="J90" i="17"/>
  <c r="AF18" i="17" s="1"/>
  <c r="AM111" i="17"/>
  <c r="AM106" i="17"/>
  <c r="AM103" i="17"/>
  <c r="AM105" i="17"/>
  <c r="K200" i="17"/>
  <c r="P200" i="17" s="1"/>
  <c r="J206" i="17" s="1"/>
  <c r="AF22" i="17" s="1"/>
  <c r="J200" i="17"/>
  <c r="T81" i="17" s="1"/>
  <c r="T80" i="17"/>
  <c r="E473" i="17"/>
  <c r="E470" i="17"/>
  <c r="V168" i="17"/>
  <c r="E472" i="17"/>
  <c r="X290" i="17"/>
  <c r="X291" i="17"/>
  <c r="X292" i="17" s="1"/>
  <c r="X227" i="17"/>
  <c r="X231" i="17"/>
  <c r="F296" i="17"/>
  <c r="F299" i="17"/>
  <c r="W108" i="17"/>
  <c r="F298" i="17"/>
  <c r="J375" i="17"/>
  <c r="U141" i="17" s="1"/>
  <c r="K375" i="17"/>
  <c r="P375" i="17" s="1"/>
  <c r="J380" i="17" s="1"/>
  <c r="AF28" i="17" s="1"/>
  <c r="U140" i="17"/>
  <c r="BC18" i="17"/>
  <c r="BC17" i="17"/>
  <c r="AY22" i="17"/>
  <c r="AX20" i="17"/>
  <c r="AY25" i="17"/>
  <c r="AZ18" i="17"/>
  <c r="AZ23" i="17"/>
  <c r="X282" i="17"/>
  <c r="X283" i="17" s="1"/>
  <c r="X224" i="17"/>
  <c r="G209" i="17"/>
  <c r="G212" i="17"/>
  <c r="X78" i="17"/>
  <c r="G211" i="17"/>
  <c r="V291" i="17"/>
  <c r="V292" i="17" s="1"/>
  <c r="V290" i="17"/>
  <c r="V227" i="17"/>
  <c r="V231" i="17"/>
  <c r="F560" i="17"/>
  <c r="F559" i="17"/>
  <c r="F557" i="17"/>
  <c r="W198" i="17"/>
  <c r="C444" i="17"/>
  <c r="C441" i="17"/>
  <c r="T158" i="17"/>
  <c r="C443" i="17"/>
  <c r="C440" i="17" s="1"/>
  <c r="T159" i="17" s="1"/>
  <c r="C556" i="17"/>
  <c r="T199" i="17" s="1"/>
  <c r="X219" i="17"/>
  <c r="J28" i="17"/>
  <c r="V21" i="17" s="1"/>
  <c r="K28" i="17"/>
  <c r="P28" i="17" s="1"/>
  <c r="J32" i="17" s="1"/>
  <c r="AF16" i="17" s="1"/>
  <c r="V20" i="17"/>
  <c r="F415" i="17"/>
  <c r="F412" i="17"/>
  <c r="W148" i="17"/>
  <c r="F414" i="17"/>
  <c r="G63" i="17"/>
  <c r="X29" i="17" s="1"/>
  <c r="BB23" i="17"/>
  <c r="AX24" i="17"/>
  <c r="AZ24" i="17"/>
  <c r="AY21" i="17"/>
  <c r="AX14" i="17"/>
  <c r="BB19" i="17"/>
  <c r="BB25" i="17"/>
  <c r="X281" i="17"/>
  <c r="X223" i="17"/>
  <c r="G237" i="17"/>
  <c r="X89" i="17" s="1"/>
  <c r="V219" i="17"/>
  <c r="T245" i="17"/>
  <c r="AA164" i="17"/>
  <c r="E180" i="17"/>
  <c r="E183" i="17"/>
  <c r="V68" i="17"/>
  <c r="E182" i="17"/>
  <c r="D180" i="17"/>
  <c r="D183" i="17"/>
  <c r="U68" i="17"/>
  <c r="D182" i="17"/>
  <c r="X275" i="17"/>
  <c r="E560" i="17"/>
  <c r="E557" i="17"/>
  <c r="V198" i="17"/>
  <c r="E559" i="17"/>
  <c r="J554" i="17"/>
  <c r="AF34" i="17" s="1"/>
  <c r="D473" i="17"/>
  <c r="D470" i="17"/>
  <c r="U168" i="17"/>
  <c r="D472" i="17"/>
  <c r="AP102" i="17"/>
  <c r="AP112" i="17" s="1"/>
  <c r="AZ17" i="17"/>
  <c r="AY13" i="17"/>
  <c r="BC20" i="17"/>
  <c r="BA22" i="17"/>
  <c r="AY18" i="17"/>
  <c r="BA20" i="17"/>
  <c r="Z275" i="17"/>
  <c r="J235" i="17"/>
  <c r="AF23" i="17" s="1"/>
  <c r="D151" i="17"/>
  <c r="D154" i="17"/>
  <c r="U58" i="17"/>
  <c r="D153" i="17"/>
  <c r="AA84" i="17"/>
  <c r="E296" i="17"/>
  <c r="E299" i="17"/>
  <c r="V108" i="17"/>
  <c r="E298" i="17"/>
  <c r="AL113" i="17"/>
  <c r="AT94" i="17"/>
  <c r="AY94" i="17" s="1"/>
  <c r="AS100" i="17" s="1"/>
  <c r="AS94" i="17"/>
  <c r="AL114" i="17" s="1"/>
  <c r="G299" i="17"/>
  <c r="X108" i="17"/>
  <c r="G296" i="17"/>
  <c r="G298" i="17"/>
  <c r="C150" i="17"/>
  <c r="T59" i="17" s="1"/>
  <c r="C501" i="17"/>
  <c r="C498" i="17" s="1"/>
  <c r="T179" i="17" s="1"/>
  <c r="AL105" i="17"/>
  <c r="AL102" i="17" s="1"/>
  <c r="AL112" i="17" s="1"/>
  <c r="F63" i="17"/>
  <c r="W29" i="17" s="1"/>
  <c r="AN111" i="17"/>
  <c r="AN103" i="17"/>
  <c r="AN106" i="17"/>
  <c r="AN105" i="17"/>
  <c r="W278" i="17"/>
  <c r="D38" i="17"/>
  <c r="D35" i="17"/>
  <c r="U18" i="17"/>
  <c r="D37" i="17"/>
  <c r="D122" i="17"/>
  <c r="D125" i="17"/>
  <c r="U48" i="17"/>
  <c r="D124" i="17"/>
  <c r="AZ14" i="17"/>
  <c r="BB14" i="17"/>
  <c r="BA13" i="17"/>
  <c r="BB24" i="17"/>
  <c r="BA19" i="17"/>
  <c r="BB21" i="17"/>
  <c r="K461" i="17"/>
  <c r="P461" i="17" s="1"/>
  <c r="J467" i="17" s="1"/>
  <c r="AF31" i="17" s="1"/>
  <c r="J461" i="17"/>
  <c r="T171" i="17" s="1"/>
  <c r="T170" i="17"/>
  <c r="X242" i="17"/>
  <c r="AA134" i="17"/>
  <c r="F92" i="17"/>
  <c r="W39" i="17" s="1"/>
  <c r="C531" i="17"/>
  <c r="T188" i="17"/>
  <c r="C528" i="17"/>
  <c r="C530" i="17"/>
  <c r="AA64" i="17"/>
  <c r="F353" i="17"/>
  <c r="W129" i="17" s="1"/>
  <c r="G531" i="17"/>
  <c r="G528" i="17"/>
  <c r="G530" i="17"/>
  <c r="X188" i="17"/>
  <c r="U275" i="17"/>
  <c r="U219" i="17"/>
  <c r="U24" i="17"/>
  <c r="W281" i="17"/>
  <c r="W223" i="17"/>
  <c r="AX15" i="17"/>
  <c r="AZ15" i="17"/>
  <c r="BB15" i="17"/>
  <c r="AX25" i="17"/>
  <c r="AZ20" i="17"/>
  <c r="AY23" i="17"/>
  <c r="E121" i="17"/>
  <c r="V49" i="17" s="1"/>
  <c r="G354" i="17"/>
  <c r="G357" i="17"/>
  <c r="X128" i="17"/>
  <c r="G356" i="17"/>
  <c r="G502" i="17"/>
  <c r="G499" i="17"/>
  <c r="X178" i="17"/>
  <c r="G501" i="17"/>
  <c r="E238" i="17"/>
  <c r="E241" i="17"/>
  <c r="E240" i="17"/>
  <c r="V88" i="17"/>
  <c r="D67" i="17"/>
  <c r="D66" i="17"/>
  <c r="U28" i="17"/>
  <c r="D64" i="17"/>
  <c r="G125" i="17"/>
  <c r="G122" i="17"/>
  <c r="X48" i="17"/>
  <c r="G124" i="17"/>
  <c r="D415" i="17"/>
  <c r="D412" i="17"/>
  <c r="U148" i="17"/>
  <c r="D414" i="17"/>
  <c r="F180" i="17"/>
  <c r="F183" i="17"/>
  <c r="F182" i="17"/>
  <c r="W68" i="17"/>
  <c r="W282" i="17"/>
  <c r="W283" i="17" s="1"/>
  <c r="W224" i="17"/>
  <c r="AZ16" i="17"/>
  <c r="BB16" i="17"/>
  <c r="AX19" i="17"/>
  <c r="BC13" i="17"/>
  <c r="BA21" i="17"/>
  <c r="BA25" i="17"/>
  <c r="F121" i="17"/>
  <c r="W49" i="17" s="1"/>
  <c r="D296" i="17"/>
  <c r="D299" i="17"/>
  <c r="U108" i="17"/>
  <c r="D298" i="17"/>
  <c r="D295" i="17" s="1"/>
  <c r="U109" i="17" s="1"/>
  <c r="AA114" i="17"/>
  <c r="E353" i="17"/>
  <c r="V129" i="17" s="1"/>
  <c r="D527" i="17"/>
  <c r="U189" i="17" s="1"/>
  <c r="C34" i="17"/>
  <c r="T19" i="17" s="1"/>
  <c r="AA154" i="17"/>
  <c r="BB17" i="17"/>
  <c r="AX22" i="17"/>
  <c r="AX21" i="17"/>
  <c r="AX18" i="17"/>
  <c r="BC22" i="17"/>
  <c r="BA23" i="17"/>
  <c r="D238" i="17"/>
  <c r="D241" i="17"/>
  <c r="D240" i="17"/>
  <c r="U88" i="17"/>
  <c r="E589" i="17"/>
  <c r="E586" i="17"/>
  <c r="V208" i="17"/>
  <c r="E588" i="17"/>
  <c r="G469" i="17"/>
  <c r="X169" i="17" s="1"/>
  <c r="C586" i="17"/>
  <c r="C589" i="17"/>
  <c r="T208" i="17"/>
  <c r="C588" i="17"/>
  <c r="E324" i="17"/>
  <c r="V119" i="17" s="1"/>
  <c r="T227" i="17"/>
  <c r="G93" i="17"/>
  <c r="G96" i="17"/>
  <c r="X38" i="17"/>
  <c r="G95" i="17"/>
  <c r="E386" i="17"/>
  <c r="E383" i="17"/>
  <c r="V138" i="17"/>
  <c r="E385" i="17"/>
  <c r="D328" i="17"/>
  <c r="D325" i="17"/>
  <c r="U118" i="17"/>
  <c r="D327" i="17"/>
  <c r="D502" i="17"/>
  <c r="D501" i="17"/>
  <c r="D499" i="17"/>
  <c r="U178" i="17"/>
  <c r="C299" i="17"/>
  <c r="C296" i="17"/>
  <c r="T108" i="17"/>
  <c r="C298" i="17"/>
  <c r="BC23" i="17"/>
  <c r="AY24" i="17"/>
  <c r="AZ22" i="17"/>
  <c r="AZ19" i="17"/>
  <c r="AX23" i="17"/>
  <c r="E163" i="27" l="1"/>
  <c r="E561" i="27"/>
  <c r="F163" i="27"/>
  <c r="F561" i="27"/>
  <c r="H163" i="27"/>
  <c r="H561" i="27"/>
  <c r="G163" i="27"/>
  <c r="G561" i="27"/>
  <c r="D163" i="27"/>
  <c r="D561" i="27"/>
  <c r="H67" i="27"/>
  <c r="H559" i="27"/>
  <c r="E67" i="27"/>
  <c r="E559" i="27"/>
  <c r="D67" i="27"/>
  <c r="D559" i="27"/>
  <c r="G67" i="27"/>
  <c r="G559" i="27"/>
  <c r="F67" i="27"/>
  <c r="F559" i="27"/>
  <c r="T281" i="18"/>
  <c r="C440" i="18"/>
  <c r="T159" i="18" s="1"/>
  <c r="D324" i="18"/>
  <c r="U119" i="18" s="1"/>
  <c r="F150" i="18"/>
  <c r="W59" i="18" s="1"/>
  <c r="F121" i="18"/>
  <c r="W49" i="18" s="1"/>
  <c r="C63" i="18"/>
  <c r="T29" i="18" s="1"/>
  <c r="F34" i="18"/>
  <c r="W19" i="18" s="1"/>
  <c r="C34" i="18"/>
  <c r="T19" i="18" s="1"/>
  <c r="AM102" i="17"/>
  <c r="AM112" i="17" s="1"/>
  <c r="E556" i="17"/>
  <c r="V199" i="17" s="1"/>
  <c r="D208" i="17"/>
  <c r="U79" i="17" s="1"/>
  <c r="D498" i="17"/>
  <c r="U179" i="17" s="1"/>
  <c r="W221" i="17"/>
  <c r="G208" i="17"/>
  <c r="X79" i="17" s="1"/>
  <c r="F585" i="18"/>
  <c r="W209" i="18" s="1"/>
  <c r="G498" i="18"/>
  <c r="X179" i="18" s="1"/>
  <c r="G411" i="18"/>
  <c r="X149" i="18" s="1"/>
  <c r="G382" i="18"/>
  <c r="X139" i="18" s="1"/>
  <c r="C121" i="18"/>
  <c r="T49" i="18" s="1"/>
  <c r="AA275" i="18"/>
  <c r="BD15" i="18"/>
  <c r="D34" i="18"/>
  <c r="U19" i="18" s="1"/>
  <c r="C585" i="17"/>
  <c r="T209" i="17" s="1"/>
  <c r="D556" i="17"/>
  <c r="U199" i="17" s="1"/>
  <c r="C527" i="17"/>
  <c r="T189" i="17" s="1"/>
  <c r="BD25" i="17"/>
  <c r="T221" i="17"/>
  <c r="E237" i="17"/>
  <c r="V89" i="17" s="1"/>
  <c r="G179" i="17"/>
  <c r="X69" i="17" s="1"/>
  <c r="AA275" i="17"/>
  <c r="V278" i="17"/>
  <c r="BD17" i="17"/>
  <c r="G34" i="17"/>
  <c r="X19" i="17" s="1"/>
  <c r="BD18" i="17"/>
  <c r="D121" i="17"/>
  <c r="U49" i="17" s="1"/>
  <c r="W279" i="17"/>
  <c r="W280" i="17" s="1"/>
  <c r="BD23" i="17"/>
  <c r="T224" i="17"/>
  <c r="F440" i="17"/>
  <c r="W159" i="17" s="1"/>
  <c r="G585" i="17"/>
  <c r="X209" i="17" s="1"/>
  <c r="D324" i="17"/>
  <c r="U119" i="17" s="1"/>
  <c r="D34" i="17"/>
  <c r="U19" i="17" s="1"/>
  <c r="G295" i="17"/>
  <c r="X109" i="17" s="1"/>
  <c r="D150" i="17"/>
  <c r="U59" i="17" s="1"/>
  <c r="F295" i="17"/>
  <c r="W109" i="17" s="1"/>
  <c r="C208" i="17"/>
  <c r="T79" i="17" s="1"/>
  <c r="C324" i="17"/>
  <c r="T119" i="17" s="1"/>
  <c r="D237" i="17"/>
  <c r="U89" i="17" s="1"/>
  <c r="BD21" i="17"/>
  <c r="F556" i="17"/>
  <c r="W199" i="17" s="1"/>
  <c r="T223" i="17"/>
  <c r="F527" i="17"/>
  <c r="W189" i="17" s="1"/>
  <c r="F498" i="17"/>
  <c r="W179" i="17" s="1"/>
  <c r="V221" i="17"/>
  <c r="U223" i="17"/>
  <c r="D585" i="18"/>
  <c r="U209" i="18" s="1"/>
  <c r="V278" i="18"/>
  <c r="D295" i="18"/>
  <c r="U109" i="18" s="1"/>
  <c r="E382" i="18"/>
  <c r="V139" i="18" s="1"/>
  <c r="T223" i="18"/>
  <c r="T224" i="18"/>
  <c r="T221" i="18"/>
  <c r="D382" i="18"/>
  <c r="U139" i="18" s="1"/>
  <c r="C498" i="18"/>
  <c r="T179" i="18" s="1"/>
  <c r="BD17" i="18"/>
  <c r="T278" i="18"/>
  <c r="E585" i="18"/>
  <c r="V209" i="18" s="1"/>
  <c r="C295" i="18"/>
  <c r="T109" i="18" s="1"/>
  <c r="C324" i="18"/>
  <c r="T119" i="18" s="1"/>
  <c r="BD14" i="18"/>
  <c r="F63" i="18"/>
  <c r="W29" i="18" s="1"/>
  <c r="C208" i="18"/>
  <c r="T79" i="18" s="1"/>
  <c r="AL102" i="18"/>
  <c r="AL112" i="18" s="1"/>
  <c r="D179" i="18"/>
  <c r="U69" i="18" s="1"/>
  <c r="BD13" i="18"/>
  <c r="G353" i="18"/>
  <c r="X129" i="18" s="1"/>
  <c r="G295" i="18"/>
  <c r="X109" i="18" s="1"/>
  <c r="U290" i="18"/>
  <c r="U291" i="18"/>
  <c r="U292" i="18" s="1"/>
  <c r="U231" i="18"/>
  <c r="U227" i="18"/>
  <c r="W278" i="18"/>
  <c r="W221" i="18"/>
  <c r="C179" i="18"/>
  <c r="T69" i="18" s="1"/>
  <c r="E527" i="18"/>
  <c r="V189" i="18" s="1"/>
  <c r="AM102" i="18"/>
  <c r="AM112" i="18" s="1"/>
  <c r="BD23" i="18"/>
  <c r="G34" i="18"/>
  <c r="X19" i="18" s="1"/>
  <c r="G527" i="18"/>
  <c r="X189" i="18" s="1"/>
  <c r="BD18" i="18"/>
  <c r="D353" i="18"/>
  <c r="U129" i="18" s="1"/>
  <c r="X278" i="18"/>
  <c r="X221" i="18"/>
  <c r="C150" i="18"/>
  <c r="T59" i="18" s="1"/>
  <c r="BD16" i="18"/>
  <c r="V221" i="18"/>
  <c r="C556" i="18"/>
  <c r="T199" i="18" s="1"/>
  <c r="F179" i="18"/>
  <c r="W69" i="18" s="1"/>
  <c r="W231" i="18"/>
  <c r="W291" i="18"/>
  <c r="W292" i="18" s="1"/>
  <c r="W227" i="18"/>
  <c r="W290" i="18"/>
  <c r="AO102" i="18"/>
  <c r="AO112" i="18" s="1"/>
  <c r="D440" i="18"/>
  <c r="U159" i="18" s="1"/>
  <c r="F527" i="18"/>
  <c r="W189" i="18" s="1"/>
  <c r="BD20" i="18"/>
  <c r="G324" i="18"/>
  <c r="X119" i="18" s="1"/>
  <c r="G92" i="18"/>
  <c r="X39" i="18" s="1"/>
  <c r="E179" i="18"/>
  <c r="V69" i="18" s="1"/>
  <c r="D411" i="18"/>
  <c r="U149" i="18" s="1"/>
  <c r="D237" i="18"/>
  <c r="U89" i="18" s="1"/>
  <c r="G440" i="18"/>
  <c r="X159" i="18" s="1"/>
  <c r="F208" i="18"/>
  <c r="W79" i="18" s="1"/>
  <c r="BD19" i="18"/>
  <c r="D469" i="18"/>
  <c r="U169" i="18" s="1"/>
  <c r="AA24" i="18"/>
  <c r="F440" i="18"/>
  <c r="W159" i="18" s="1"/>
  <c r="F353" i="18"/>
  <c r="W129" i="18" s="1"/>
  <c r="E92" i="18"/>
  <c r="V39" i="18" s="1"/>
  <c r="E469" i="18"/>
  <c r="V169" i="18" s="1"/>
  <c r="F411" i="18"/>
  <c r="W149" i="18" s="1"/>
  <c r="F92" i="18"/>
  <c r="W39" i="18" s="1"/>
  <c r="U278" i="18"/>
  <c r="U221" i="18"/>
  <c r="E353" i="18"/>
  <c r="V129" i="18" s="1"/>
  <c r="D121" i="18"/>
  <c r="U49" i="18" s="1"/>
  <c r="BD22" i="18"/>
  <c r="E295" i="18"/>
  <c r="V109" i="18" s="1"/>
  <c r="E411" i="18"/>
  <c r="V149" i="18" s="1"/>
  <c r="E440" i="18"/>
  <c r="V159" i="18" s="1"/>
  <c r="E63" i="18"/>
  <c r="V29" i="18" s="1"/>
  <c r="E556" i="18"/>
  <c r="V199" i="18" s="1"/>
  <c r="F469" i="18"/>
  <c r="W169" i="18" s="1"/>
  <c r="G237" i="18"/>
  <c r="X89" i="18" s="1"/>
  <c r="BD21" i="18"/>
  <c r="F382" i="18"/>
  <c r="W139" i="18" s="1"/>
  <c r="E469" i="17"/>
  <c r="V169" i="17" s="1"/>
  <c r="BD24" i="17"/>
  <c r="F411" i="17"/>
  <c r="W149" i="17" s="1"/>
  <c r="G556" i="17"/>
  <c r="X199" i="17" s="1"/>
  <c r="E411" i="17"/>
  <c r="V149" i="17" s="1"/>
  <c r="C295" i="17"/>
  <c r="T109" i="17" s="1"/>
  <c r="E382" i="17"/>
  <c r="V139" i="17" s="1"/>
  <c r="G353" i="17"/>
  <c r="X129" i="17" s="1"/>
  <c r="D469" i="17"/>
  <c r="U169" i="17" s="1"/>
  <c r="D179" i="17"/>
  <c r="U69" i="17" s="1"/>
  <c r="X278" i="17"/>
  <c r="X221" i="17"/>
  <c r="F179" i="17"/>
  <c r="W69" i="17" s="1"/>
  <c r="U291" i="17"/>
  <c r="U292" i="17" s="1"/>
  <c r="U290" i="17"/>
  <c r="AA290" i="17" s="1"/>
  <c r="U227" i="17"/>
  <c r="U231" i="17"/>
  <c r="AA24" i="17"/>
  <c r="BD14" i="17"/>
  <c r="AN102" i="17"/>
  <c r="AN112" i="17" s="1"/>
  <c r="F237" i="17"/>
  <c r="W89" i="17" s="1"/>
  <c r="BD20" i="17"/>
  <c r="G411" i="17"/>
  <c r="X149" i="17" s="1"/>
  <c r="D63" i="17"/>
  <c r="U29" i="17" s="1"/>
  <c r="V281" i="17"/>
  <c r="V223" i="17"/>
  <c r="F208" i="17"/>
  <c r="W79" i="17" s="1"/>
  <c r="BD22" i="17"/>
  <c r="BD13" i="17"/>
  <c r="G92" i="17"/>
  <c r="X39" i="17" s="1"/>
  <c r="E585" i="17"/>
  <c r="V209" i="17" s="1"/>
  <c r="D411" i="17"/>
  <c r="U149" i="17" s="1"/>
  <c r="E179" i="17"/>
  <c r="V69" i="17" s="1"/>
  <c r="BD19" i="17"/>
  <c r="G527" i="17"/>
  <c r="X189" i="17" s="1"/>
  <c r="E295" i="17"/>
  <c r="V109" i="17" s="1"/>
  <c r="V282" i="17"/>
  <c r="V283" i="17" s="1"/>
  <c r="V224" i="17"/>
  <c r="C237" i="17"/>
  <c r="T89" i="17" s="1"/>
  <c r="C92" i="17"/>
  <c r="T39" i="17" s="1"/>
  <c r="T279" i="17" s="1"/>
  <c r="T280" i="17" s="1"/>
  <c r="E92" i="17"/>
  <c r="V39" i="17" s="1"/>
  <c r="BD16" i="17"/>
  <c r="G121" i="17"/>
  <c r="X49" i="17" s="1"/>
  <c r="G498" i="17"/>
  <c r="X179" i="17" s="1"/>
  <c r="BD15" i="17"/>
  <c r="U278" i="17"/>
  <c r="U221" i="17"/>
  <c r="E150" i="17"/>
  <c r="V59" i="17" s="1"/>
  <c r="T279" i="18" l="1"/>
  <c r="T280" i="18" s="1"/>
  <c r="W279" i="18"/>
  <c r="W280" i="18" s="1"/>
  <c r="U279" i="18"/>
  <c r="U280" i="18" s="1"/>
  <c r="T222" i="18"/>
  <c r="AA290" i="18"/>
  <c r="V279" i="18"/>
  <c r="V280" i="18" s="1"/>
  <c r="U279" i="17"/>
  <c r="U280" i="17" s="1"/>
  <c r="T222" i="17"/>
  <c r="U222" i="17"/>
  <c r="X279" i="17"/>
  <c r="X280" i="17" s="1"/>
  <c r="U222" i="18"/>
  <c r="X279" i="18"/>
  <c r="X280" i="18" s="1"/>
  <c r="X222" i="18"/>
  <c r="V222" i="18"/>
  <c r="W222" i="18"/>
  <c r="V279" i="17"/>
  <c r="V280" i="17" s="1"/>
  <c r="V222" i="17"/>
  <c r="W222" i="17"/>
  <c r="X222" i="17"/>
  <c r="AL129" i="14" l="1"/>
  <c r="AM135" i="14"/>
  <c r="AN135" i="14"/>
  <c r="AO135" i="14"/>
  <c r="AP135" i="14"/>
  <c r="AL135" i="14"/>
  <c r="AM134" i="14"/>
  <c r="AN134" i="14"/>
  <c r="AO134" i="14"/>
  <c r="AP134" i="14"/>
  <c r="AL134" i="14"/>
  <c r="AM130" i="14"/>
  <c r="AN130" i="14"/>
  <c r="AO130" i="14"/>
  <c r="AP130" i="14"/>
  <c r="AL130" i="14"/>
  <c r="AM129" i="14"/>
  <c r="AN129" i="14"/>
  <c r="AO129" i="14"/>
  <c r="AP129" i="14"/>
  <c r="AS132" i="14"/>
  <c r="AN133" i="14" s="1"/>
  <c r="AS127" i="14"/>
  <c r="AM128" i="14" s="1"/>
  <c r="AL134" i="12"/>
  <c r="AS134" i="12" s="1"/>
  <c r="AP135" i="12"/>
  <c r="AO135" i="12"/>
  <c r="AN135" i="12"/>
  <c r="AM135" i="12"/>
  <c r="AL135" i="12"/>
  <c r="AP134" i="12"/>
  <c r="AO134" i="12"/>
  <c r="AN134" i="12"/>
  <c r="AM134" i="12"/>
  <c r="AS132" i="12"/>
  <c r="AN133" i="12" s="1"/>
  <c r="AP130" i="12"/>
  <c r="AO130" i="12"/>
  <c r="AM130" i="12"/>
  <c r="AL130" i="12"/>
  <c r="AP129" i="12"/>
  <c r="AO129" i="12"/>
  <c r="AN129" i="12"/>
  <c r="AM129" i="12"/>
  <c r="AL129" i="12"/>
  <c r="AS127" i="12"/>
  <c r="AP128" i="12" s="1"/>
  <c r="P571" i="12"/>
  <c r="O571" i="12"/>
  <c r="P542" i="12"/>
  <c r="O542" i="12"/>
  <c r="P513" i="12"/>
  <c r="O513" i="12"/>
  <c r="P484" i="12"/>
  <c r="O484" i="12"/>
  <c r="P455" i="12"/>
  <c r="O455" i="12"/>
  <c r="P426" i="12"/>
  <c r="O426" i="12"/>
  <c r="P397" i="12"/>
  <c r="O397" i="12"/>
  <c r="P368" i="12"/>
  <c r="O368" i="12"/>
  <c r="P339" i="12"/>
  <c r="O339" i="12"/>
  <c r="P310" i="12"/>
  <c r="O310" i="12"/>
  <c r="P281" i="12"/>
  <c r="O281" i="12"/>
  <c r="P252" i="12"/>
  <c r="O252" i="12"/>
  <c r="P223" i="12"/>
  <c r="O223" i="12"/>
  <c r="P194" i="12"/>
  <c r="O194" i="12"/>
  <c r="P165" i="12"/>
  <c r="O165" i="12"/>
  <c r="P136" i="12"/>
  <c r="O136" i="12"/>
  <c r="P107" i="12"/>
  <c r="O107" i="12"/>
  <c r="P78" i="12"/>
  <c r="O78" i="12"/>
  <c r="P49" i="12"/>
  <c r="O49" i="12"/>
  <c r="P20" i="12"/>
  <c r="O20" i="12"/>
  <c r="AS132" i="9"/>
  <c r="AS127" i="9"/>
  <c r="N582" i="14"/>
  <c r="O581" i="14" s="1"/>
  <c r="G571" i="14"/>
  <c r="G572" i="14" s="1"/>
  <c r="F571" i="14"/>
  <c r="F572" i="14" s="1"/>
  <c r="E571" i="14"/>
  <c r="E587" i="14" s="1"/>
  <c r="D571" i="14"/>
  <c r="D572" i="14" s="1"/>
  <c r="D573" i="14" s="1"/>
  <c r="C571" i="14"/>
  <c r="C572" i="14" s="1"/>
  <c r="C573" i="14" s="1"/>
  <c r="H570" i="14"/>
  <c r="L581" i="14" s="1"/>
  <c r="H569" i="14"/>
  <c r="L580" i="14" s="1"/>
  <c r="H568" i="14"/>
  <c r="H567" i="14"/>
  <c r="L578" i="14" s="1"/>
  <c r="H566" i="14"/>
  <c r="I566" i="14" s="1"/>
  <c r="J566" i="14" s="1"/>
  <c r="N553" i="14"/>
  <c r="AA203" i="14" s="1"/>
  <c r="G542" i="14"/>
  <c r="G558" i="14" s="1"/>
  <c r="F542" i="14"/>
  <c r="F558" i="14" s="1"/>
  <c r="E542" i="14"/>
  <c r="E558" i="14" s="1"/>
  <c r="D542" i="14"/>
  <c r="C542" i="14"/>
  <c r="H541" i="14"/>
  <c r="L552" i="14" s="1"/>
  <c r="H540" i="14"/>
  <c r="I540" i="14" s="1"/>
  <c r="J540" i="14" s="1"/>
  <c r="H539" i="14"/>
  <c r="L550" i="14" s="1"/>
  <c r="H538" i="14"/>
  <c r="L549" i="14" s="1"/>
  <c r="H537" i="14"/>
  <c r="N524" i="14"/>
  <c r="AA193" i="14" s="1"/>
  <c r="G513" i="14"/>
  <c r="G529" i="14" s="1"/>
  <c r="F513" i="14"/>
  <c r="E513" i="14"/>
  <c r="E529" i="14" s="1"/>
  <c r="D513" i="14"/>
  <c r="D529" i="14" s="1"/>
  <c r="C513" i="14"/>
  <c r="C529" i="14" s="1"/>
  <c r="H512" i="14"/>
  <c r="L523" i="14" s="1"/>
  <c r="H511" i="14"/>
  <c r="H510" i="14"/>
  <c r="L521" i="14" s="1"/>
  <c r="H509" i="14"/>
  <c r="L520" i="14" s="1"/>
  <c r="H508" i="14"/>
  <c r="I508" i="14" s="1"/>
  <c r="N495" i="14"/>
  <c r="AA183" i="14" s="1"/>
  <c r="G484" i="14"/>
  <c r="G485" i="14" s="1"/>
  <c r="G486" i="14" s="1"/>
  <c r="F484" i="14"/>
  <c r="F485" i="14" s="1"/>
  <c r="F486" i="14" s="1"/>
  <c r="E484" i="14"/>
  <c r="D484" i="14"/>
  <c r="D485" i="14" s="1"/>
  <c r="C484" i="14"/>
  <c r="H483" i="14"/>
  <c r="L494" i="14" s="1"/>
  <c r="H482" i="14"/>
  <c r="H481" i="14"/>
  <c r="I481" i="14" s="1"/>
  <c r="J481" i="14" s="1"/>
  <c r="H480" i="14"/>
  <c r="L491" i="14" s="1"/>
  <c r="H479" i="14"/>
  <c r="L490" i="14" s="1"/>
  <c r="N466" i="14"/>
  <c r="O464" i="14" s="1"/>
  <c r="G455" i="14"/>
  <c r="G471" i="14" s="1"/>
  <c r="F455" i="14"/>
  <c r="F471" i="14" s="1"/>
  <c r="E455" i="14"/>
  <c r="E471" i="14" s="1"/>
  <c r="D455" i="14"/>
  <c r="D471" i="14" s="1"/>
  <c r="C455" i="14"/>
  <c r="C456" i="14" s="1"/>
  <c r="C457" i="14" s="1"/>
  <c r="H454" i="14"/>
  <c r="H453" i="14"/>
  <c r="L464" i="14" s="1"/>
  <c r="H452" i="14"/>
  <c r="L463" i="14" s="1"/>
  <c r="H451" i="14"/>
  <c r="I451" i="14" s="1"/>
  <c r="J451" i="14" s="1"/>
  <c r="H450" i="14"/>
  <c r="L461" i="14" s="1"/>
  <c r="N437" i="14"/>
  <c r="AA163" i="14" s="1"/>
  <c r="G426" i="14"/>
  <c r="F426" i="14"/>
  <c r="F442" i="14" s="1"/>
  <c r="E426" i="14"/>
  <c r="E442" i="14" s="1"/>
  <c r="D426" i="14"/>
  <c r="D442" i="14" s="1"/>
  <c r="C426" i="14"/>
  <c r="C442" i="14" s="1"/>
  <c r="H425" i="14"/>
  <c r="L436" i="14" s="1"/>
  <c r="H424" i="14"/>
  <c r="I424" i="14" s="1"/>
  <c r="J424" i="14" s="1"/>
  <c r="H423" i="14"/>
  <c r="H422" i="14"/>
  <c r="L433" i="14" s="1"/>
  <c r="H421" i="14"/>
  <c r="I421" i="14" s="1"/>
  <c r="J421" i="14" s="1"/>
  <c r="N408" i="14"/>
  <c r="O407" i="14" s="1"/>
  <c r="G397" i="14"/>
  <c r="F397" i="14"/>
  <c r="F398" i="14" s="1"/>
  <c r="F399" i="14" s="1"/>
  <c r="E397" i="14"/>
  <c r="E413" i="14" s="1"/>
  <c r="D397" i="14"/>
  <c r="D413" i="14" s="1"/>
  <c r="C397" i="14"/>
  <c r="C413" i="14" s="1"/>
  <c r="H396" i="14"/>
  <c r="H395" i="14"/>
  <c r="H394" i="14"/>
  <c r="L405" i="14" s="1"/>
  <c r="H393" i="14"/>
  <c r="H392" i="14"/>
  <c r="I392" i="14" s="1"/>
  <c r="J392" i="14" s="1"/>
  <c r="N379" i="14"/>
  <c r="AA143" i="14" s="1"/>
  <c r="G368" i="14"/>
  <c r="G384" i="14" s="1"/>
  <c r="F368" i="14"/>
  <c r="F369" i="14" s="1"/>
  <c r="E368" i="14"/>
  <c r="E384" i="14" s="1"/>
  <c r="D368" i="14"/>
  <c r="D369" i="14" s="1"/>
  <c r="C368" i="14"/>
  <c r="C369" i="14" s="1"/>
  <c r="C370" i="14" s="1"/>
  <c r="H367" i="14"/>
  <c r="H366" i="14"/>
  <c r="I366" i="14" s="1"/>
  <c r="J366" i="14" s="1"/>
  <c r="H365" i="14"/>
  <c r="H364" i="14"/>
  <c r="I364" i="14" s="1"/>
  <c r="J364" i="14" s="1"/>
  <c r="H363" i="14"/>
  <c r="N350" i="14"/>
  <c r="AA133" i="14" s="1"/>
  <c r="G339" i="14"/>
  <c r="G355" i="14" s="1"/>
  <c r="F339" i="14"/>
  <c r="F340" i="14" s="1"/>
  <c r="E339" i="14"/>
  <c r="E355" i="14" s="1"/>
  <c r="D339" i="14"/>
  <c r="D355" i="14" s="1"/>
  <c r="C339" i="14"/>
  <c r="C355" i="14" s="1"/>
  <c r="H338" i="14"/>
  <c r="L349" i="14" s="1"/>
  <c r="H337" i="14"/>
  <c r="I337" i="14" s="1"/>
  <c r="J337" i="14" s="1"/>
  <c r="H336" i="14"/>
  <c r="I336" i="14" s="1"/>
  <c r="J336" i="14" s="1"/>
  <c r="H335" i="14"/>
  <c r="H334" i="14"/>
  <c r="I334" i="14" s="1"/>
  <c r="J334" i="14" s="1"/>
  <c r="N321" i="14"/>
  <c r="AA123" i="14" s="1"/>
  <c r="D311" i="14"/>
  <c r="G310" i="14"/>
  <c r="G311" i="14" s="1"/>
  <c r="G312" i="14" s="1"/>
  <c r="F310" i="14"/>
  <c r="F326" i="14" s="1"/>
  <c r="E310" i="14"/>
  <c r="E326" i="14" s="1"/>
  <c r="D310" i="14"/>
  <c r="C310" i="14"/>
  <c r="C326" i="14" s="1"/>
  <c r="H309" i="14"/>
  <c r="H308" i="14"/>
  <c r="L319" i="14" s="1"/>
  <c r="H307" i="14"/>
  <c r="H306" i="14"/>
  <c r="L317" i="14" s="1"/>
  <c r="H305" i="14"/>
  <c r="N292" i="14"/>
  <c r="O289" i="14" s="1"/>
  <c r="G281" i="14"/>
  <c r="G297" i="14" s="1"/>
  <c r="F281" i="14"/>
  <c r="F297" i="14" s="1"/>
  <c r="E281" i="14"/>
  <c r="E297" i="14" s="1"/>
  <c r="D281" i="14"/>
  <c r="D282" i="14" s="1"/>
  <c r="C281" i="14"/>
  <c r="C282" i="14" s="1"/>
  <c r="H280" i="14"/>
  <c r="I280" i="14" s="1"/>
  <c r="J280" i="14" s="1"/>
  <c r="H279" i="14"/>
  <c r="I279" i="14" s="1"/>
  <c r="J279" i="14" s="1"/>
  <c r="H278" i="14"/>
  <c r="L289" i="14" s="1"/>
  <c r="H277" i="14"/>
  <c r="L288" i="14" s="1"/>
  <c r="H276" i="14"/>
  <c r="L287" i="14" s="1"/>
  <c r="N263" i="14"/>
  <c r="O262" i="14" s="1"/>
  <c r="G252" i="14"/>
  <c r="G268" i="14" s="1"/>
  <c r="F252" i="14"/>
  <c r="F268" i="14" s="1"/>
  <c r="E252" i="14"/>
  <c r="D252" i="14"/>
  <c r="D253" i="14" s="1"/>
  <c r="C252" i="14"/>
  <c r="C253" i="14" s="1"/>
  <c r="H251" i="14"/>
  <c r="I251" i="14" s="1"/>
  <c r="J251" i="14" s="1"/>
  <c r="H250" i="14"/>
  <c r="I250" i="14" s="1"/>
  <c r="J250" i="14" s="1"/>
  <c r="H249" i="14"/>
  <c r="L260" i="14" s="1"/>
  <c r="H248" i="14"/>
  <c r="I248" i="14" s="1"/>
  <c r="J248" i="14" s="1"/>
  <c r="H247" i="14"/>
  <c r="L258" i="14" s="1"/>
  <c r="N234" i="14"/>
  <c r="O233" i="14" s="1"/>
  <c r="G223" i="14"/>
  <c r="K222" i="14" s="1"/>
  <c r="F223" i="14"/>
  <c r="E223" i="14"/>
  <c r="E239" i="14" s="1"/>
  <c r="D223" i="14"/>
  <c r="D224" i="14" s="1"/>
  <c r="C223" i="14"/>
  <c r="C239" i="14" s="1"/>
  <c r="H222" i="14"/>
  <c r="I222" i="14" s="1"/>
  <c r="J222" i="14" s="1"/>
  <c r="H221" i="14"/>
  <c r="L232" i="14" s="1"/>
  <c r="H220" i="14"/>
  <c r="I220" i="14" s="1"/>
  <c r="J220" i="14" s="1"/>
  <c r="H219" i="14"/>
  <c r="H218" i="14"/>
  <c r="X213" i="14"/>
  <c r="W213" i="14"/>
  <c r="V213" i="14"/>
  <c r="U213" i="14"/>
  <c r="T213" i="14"/>
  <c r="N205" i="14"/>
  <c r="O204" i="14" s="1"/>
  <c r="X203" i="14"/>
  <c r="W203" i="14"/>
  <c r="V203" i="14"/>
  <c r="U203" i="14"/>
  <c r="T203" i="14"/>
  <c r="G194" i="14"/>
  <c r="G195" i="14" s="1"/>
  <c r="G196" i="14" s="1"/>
  <c r="F194" i="14"/>
  <c r="F210" i="14" s="1"/>
  <c r="E194" i="14"/>
  <c r="E195" i="14" s="1"/>
  <c r="E196" i="14" s="1"/>
  <c r="D194" i="14"/>
  <c r="D210" i="14" s="1"/>
  <c r="C194" i="14"/>
  <c r="X193" i="14"/>
  <c r="W193" i="14"/>
  <c r="V193" i="14"/>
  <c r="U193" i="14"/>
  <c r="T193" i="14"/>
  <c r="H193" i="14"/>
  <c r="L204" i="14" s="1"/>
  <c r="H192" i="14"/>
  <c r="H191" i="14"/>
  <c r="H190" i="14"/>
  <c r="L201" i="14" s="1"/>
  <c r="H189" i="14"/>
  <c r="L200" i="14" s="1"/>
  <c r="X183" i="14"/>
  <c r="W183" i="14"/>
  <c r="V183" i="14"/>
  <c r="U183" i="14"/>
  <c r="T183" i="14"/>
  <c r="N176" i="14"/>
  <c r="O174" i="14" s="1"/>
  <c r="X173" i="14"/>
  <c r="W173" i="14"/>
  <c r="V173" i="14"/>
  <c r="U173" i="14"/>
  <c r="T173" i="14"/>
  <c r="G165" i="14"/>
  <c r="G181" i="14" s="1"/>
  <c r="F165" i="14"/>
  <c r="F166" i="14" s="1"/>
  <c r="E165" i="14"/>
  <c r="D165" i="14"/>
  <c r="D181" i="14" s="1"/>
  <c r="C165" i="14"/>
  <c r="C166" i="14" s="1"/>
  <c r="C167" i="14" s="1"/>
  <c r="H164" i="14"/>
  <c r="I164" i="14" s="1"/>
  <c r="J164" i="14" s="1"/>
  <c r="X163" i="14"/>
  <c r="W163" i="14"/>
  <c r="V163" i="14"/>
  <c r="U163" i="14"/>
  <c r="T163" i="14"/>
  <c r="H163" i="14"/>
  <c r="H162" i="14"/>
  <c r="L173" i="14" s="1"/>
  <c r="H161" i="14"/>
  <c r="L172" i="14" s="1"/>
  <c r="H160" i="14"/>
  <c r="X153" i="14"/>
  <c r="W153" i="14"/>
  <c r="V153" i="14"/>
  <c r="U153" i="14"/>
  <c r="T153" i="14"/>
  <c r="N147" i="14"/>
  <c r="O143" i="14" s="1"/>
  <c r="X143" i="14"/>
  <c r="W143" i="14"/>
  <c r="V143" i="14"/>
  <c r="U143" i="14"/>
  <c r="T143" i="14"/>
  <c r="G136" i="14"/>
  <c r="G137" i="14" s="1"/>
  <c r="G138" i="14" s="1"/>
  <c r="F136" i="14"/>
  <c r="E136" i="14"/>
  <c r="E137" i="14" s="1"/>
  <c r="E138" i="14" s="1"/>
  <c r="D136" i="14"/>
  <c r="C136" i="14"/>
  <c r="C152" i="14" s="1"/>
  <c r="H135" i="14"/>
  <c r="H134" i="14"/>
  <c r="X133" i="14"/>
  <c r="W133" i="14"/>
  <c r="V133" i="14"/>
  <c r="U133" i="14"/>
  <c r="T133" i="14"/>
  <c r="H133" i="14"/>
  <c r="L144" i="14" s="1"/>
  <c r="H132" i="14"/>
  <c r="L143" i="14" s="1"/>
  <c r="H131" i="14"/>
  <c r="L142" i="14" s="1"/>
  <c r="X123" i="14"/>
  <c r="W123" i="14"/>
  <c r="V123" i="14"/>
  <c r="U123" i="14"/>
  <c r="T123" i="14"/>
  <c r="AS122" i="14"/>
  <c r="AN123" i="14" s="1"/>
  <c r="AP116" i="14"/>
  <c r="AO116" i="14"/>
  <c r="AN116" i="14"/>
  <c r="AM116" i="14"/>
  <c r="AL116" i="14"/>
  <c r="N118" i="14"/>
  <c r="O115" i="14" s="1"/>
  <c r="X113" i="14"/>
  <c r="W113" i="14"/>
  <c r="V113" i="14"/>
  <c r="U113" i="14"/>
  <c r="T113" i="14"/>
  <c r="G107" i="14"/>
  <c r="F107" i="14"/>
  <c r="F123" i="14" s="1"/>
  <c r="E107" i="14"/>
  <c r="D107" i="14"/>
  <c r="C107" i="14"/>
  <c r="H106" i="14"/>
  <c r="I106" i="14" s="1"/>
  <c r="J106" i="14" s="1"/>
  <c r="H105" i="14"/>
  <c r="L116" i="14" s="1"/>
  <c r="H104" i="14"/>
  <c r="I104" i="14" s="1"/>
  <c r="J104" i="14" s="1"/>
  <c r="X103" i="14"/>
  <c r="W103" i="14"/>
  <c r="V103" i="14"/>
  <c r="U103" i="14"/>
  <c r="T103" i="14"/>
  <c r="H103" i="14"/>
  <c r="L114" i="14" s="1"/>
  <c r="H102" i="14"/>
  <c r="AW99" i="14"/>
  <c r="AX96" i="14" s="1"/>
  <c r="X93" i="14"/>
  <c r="W93" i="14"/>
  <c r="V93" i="14"/>
  <c r="U93" i="14"/>
  <c r="T93" i="14"/>
  <c r="N89" i="14"/>
  <c r="O88" i="14" s="1"/>
  <c r="AP88" i="14"/>
  <c r="AP104" i="14" s="1"/>
  <c r="AO88" i="14"/>
  <c r="AO104" i="14" s="1"/>
  <c r="AN88" i="14"/>
  <c r="AM88" i="14"/>
  <c r="AL88" i="14"/>
  <c r="AL104" i="14" s="1"/>
  <c r="AQ87" i="14"/>
  <c r="AU98" i="14" s="1"/>
  <c r="AQ86" i="14"/>
  <c r="AR86" i="14" s="1"/>
  <c r="AS86" i="14" s="1"/>
  <c r="AQ85" i="14"/>
  <c r="AR85" i="14" s="1"/>
  <c r="AS85" i="14" s="1"/>
  <c r="AQ84" i="14"/>
  <c r="AR84" i="14" s="1"/>
  <c r="AS84" i="14" s="1"/>
  <c r="AQ83" i="14"/>
  <c r="AU94" i="14" s="1"/>
  <c r="X83" i="14"/>
  <c r="W83" i="14"/>
  <c r="V83" i="14"/>
  <c r="U83" i="14"/>
  <c r="T83" i="14"/>
  <c r="G78" i="14"/>
  <c r="G94" i="14" s="1"/>
  <c r="F78" i="14"/>
  <c r="F79" i="14" s="1"/>
  <c r="E78" i="14"/>
  <c r="E79" i="14" s="1"/>
  <c r="E80" i="14" s="1"/>
  <c r="D78" i="14"/>
  <c r="C78" i="14"/>
  <c r="C94" i="14" s="1"/>
  <c r="H77" i="14"/>
  <c r="H76" i="14"/>
  <c r="L87" i="14" s="1"/>
  <c r="H75" i="14"/>
  <c r="L86" i="14" s="1"/>
  <c r="H74" i="14"/>
  <c r="I74" i="14" s="1"/>
  <c r="J74" i="14" s="1"/>
  <c r="X73" i="14"/>
  <c r="W73" i="14"/>
  <c r="V73" i="14"/>
  <c r="U73" i="14"/>
  <c r="T73" i="14"/>
  <c r="H73" i="14"/>
  <c r="X63" i="14"/>
  <c r="W63" i="14"/>
  <c r="V63" i="14"/>
  <c r="U63" i="14"/>
  <c r="T63" i="14"/>
  <c r="N60" i="14"/>
  <c r="O58" i="14" s="1"/>
  <c r="X53" i="14"/>
  <c r="W53" i="14"/>
  <c r="V53" i="14"/>
  <c r="U53" i="14"/>
  <c r="T53" i="14"/>
  <c r="G49" i="14"/>
  <c r="G65" i="14" s="1"/>
  <c r="F49" i="14"/>
  <c r="F50" i="14" s="1"/>
  <c r="E49" i="14"/>
  <c r="E50" i="14" s="1"/>
  <c r="E51" i="14" s="1"/>
  <c r="D49" i="14"/>
  <c r="D50" i="14" s="1"/>
  <c r="C49" i="14"/>
  <c r="H48" i="14"/>
  <c r="L59" i="14" s="1"/>
  <c r="H47" i="14"/>
  <c r="L58" i="14" s="1"/>
  <c r="H46" i="14"/>
  <c r="H45" i="14"/>
  <c r="I45" i="14" s="1"/>
  <c r="J45" i="14" s="1"/>
  <c r="H44" i="14"/>
  <c r="X43" i="14"/>
  <c r="W43" i="14"/>
  <c r="V43" i="14"/>
  <c r="U43" i="14"/>
  <c r="T43" i="14"/>
  <c r="X33" i="14"/>
  <c r="W33" i="14"/>
  <c r="V33" i="14"/>
  <c r="U33" i="14"/>
  <c r="T33" i="14"/>
  <c r="N31" i="14"/>
  <c r="AA23" i="14" s="1"/>
  <c r="X23" i="14"/>
  <c r="W23" i="14"/>
  <c r="V23" i="14"/>
  <c r="U23" i="14"/>
  <c r="T23" i="14"/>
  <c r="G20" i="14"/>
  <c r="G21" i="14" s="1"/>
  <c r="G22" i="14" s="1"/>
  <c r="F20" i="14"/>
  <c r="F36" i="14" s="1"/>
  <c r="E20" i="14"/>
  <c r="D20" i="14"/>
  <c r="D21" i="14" s="1"/>
  <c r="D22" i="14" s="1"/>
  <c r="C20" i="14"/>
  <c r="C36" i="14" s="1"/>
  <c r="H19" i="14"/>
  <c r="H18" i="14"/>
  <c r="L29" i="14" s="1"/>
  <c r="H17" i="14"/>
  <c r="L28" i="14" s="1"/>
  <c r="H16" i="14"/>
  <c r="H15" i="14"/>
  <c r="I15" i="14" s="1"/>
  <c r="J15" i="14" s="1"/>
  <c r="G20" i="6"/>
  <c r="H20" i="6"/>
  <c r="BL63" i="12"/>
  <c r="BK61" i="12"/>
  <c r="H425" i="12"/>
  <c r="L436" i="12" s="1"/>
  <c r="J590" i="12"/>
  <c r="G591" i="12" s="1"/>
  <c r="N582" i="12"/>
  <c r="O577" i="12" s="1"/>
  <c r="G571" i="12"/>
  <c r="G572" i="12" s="1"/>
  <c r="F571" i="12"/>
  <c r="F572" i="12" s="1"/>
  <c r="F573" i="12" s="1"/>
  <c r="E571" i="12"/>
  <c r="E572" i="12" s="1"/>
  <c r="E573" i="12" s="1"/>
  <c r="D571" i="12"/>
  <c r="D587" i="12" s="1"/>
  <c r="C571" i="12"/>
  <c r="C572" i="12" s="1"/>
  <c r="C573" i="12" s="1"/>
  <c r="H570" i="12"/>
  <c r="I570" i="12" s="1"/>
  <c r="J570" i="12" s="1"/>
  <c r="H569" i="12"/>
  <c r="L580" i="12" s="1"/>
  <c r="H568" i="12"/>
  <c r="H567" i="12"/>
  <c r="H566" i="12"/>
  <c r="I566" i="12" s="1"/>
  <c r="J566" i="12" s="1"/>
  <c r="J561" i="12"/>
  <c r="E562" i="12" s="1"/>
  <c r="N553" i="12"/>
  <c r="O552" i="12" s="1"/>
  <c r="C543" i="12"/>
  <c r="G542" i="12"/>
  <c r="F542" i="12"/>
  <c r="F558" i="12" s="1"/>
  <c r="E542" i="12"/>
  <c r="E543" i="12" s="1"/>
  <c r="D542" i="12"/>
  <c r="C542" i="12"/>
  <c r="C558" i="12" s="1"/>
  <c r="H541" i="12"/>
  <c r="H540" i="12"/>
  <c r="H539" i="12"/>
  <c r="I539" i="12" s="1"/>
  <c r="J539" i="12" s="1"/>
  <c r="H538" i="12"/>
  <c r="L549" i="12" s="1"/>
  <c r="H537" i="12"/>
  <c r="L548" i="12" s="1"/>
  <c r="J532" i="12"/>
  <c r="C533" i="12" s="1"/>
  <c r="N524" i="12"/>
  <c r="O523" i="12" s="1"/>
  <c r="G513" i="12"/>
  <c r="F513" i="12"/>
  <c r="E513" i="12"/>
  <c r="E529" i="12" s="1"/>
  <c r="D513" i="12"/>
  <c r="C513" i="12"/>
  <c r="C514" i="12" s="1"/>
  <c r="C515" i="12" s="1"/>
  <c r="H512" i="12"/>
  <c r="L523" i="12" s="1"/>
  <c r="H511" i="12"/>
  <c r="L522" i="12" s="1"/>
  <c r="H510" i="12"/>
  <c r="L521" i="12" s="1"/>
  <c r="H509" i="12"/>
  <c r="H508" i="12"/>
  <c r="D504" i="12"/>
  <c r="J503" i="12"/>
  <c r="C504" i="12" s="1"/>
  <c r="N495" i="12"/>
  <c r="AA183" i="12" s="1"/>
  <c r="G484" i="12"/>
  <c r="F484" i="12"/>
  <c r="E484" i="12"/>
  <c r="E500" i="12" s="1"/>
  <c r="D484" i="12"/>
  <c r="C484" i="12"/>
  <c r="H483" i="12"/>
  <c r="L494" i="12" s="1"/>
  <c r="H482" i="12"/>
  <c r="L493" i="12" s="1"/>
  <c r="H481" i="12"/>
  <c r="H480" i="12"/>
  <c r="L491" i="12" s="1"/>
  <c r="H479" i="12"/>
  <c r="I479" i="12" s="1"/>
  <c r="J479" i="12" s="1"/>
  <c r="J474" i="12"/>
  <c r="E475" i="12" s="1"/>
  <c r="N466" i="12"/>
  <c r="O465" i="12" s="1"/>
  <c r="O464" i="12"/>
  <c r="G455" i="12"/>
  <c r="G471" i="12" s="1"/>
  <c r="F455" i="12"/>
  <c r="F456" i="12" s="1"/>
  <c r="E455" i="12"/>
  <c r="D455" i="12"/>
  <c r="D471" i="12" s="1"/>
  <c r="C455" i="12"/>
  <c r="C471" i="12" s="1"/>
  <c r="H454" i="12"/>
  <c r="I454" i="12" s="1"/>
  <c r="J454" i="12" s="1"/>
  <c r="H453" i="12"/>
  <c r="H452" i="12"/>
  <c r="L463" i="12" s="1"/>
  <c r="H451" i="12"/>
  <c r="H450" i="12"/>
  <c r="I450" i="12" s="1"/>
  <c r="J450" i="12" s="1"/>
  <c r="J445" i="12"/>
  <c r="E446" i="12" s="1"/>
  <c r="N437" i="12"/>
  <c r="O433" i="12" s="1"/>
  <c r="G426" i="12"/>
  <c r="G427" i="12" s="1"/>
  <c r="G428" i="12" s="1"/>
  <c r="F426" i="12"/>
  <c r="F427" i="12" s="1"/>
  <c r="F428" i="12" s="1"/>
  <c r="E426" i="12"/>
  <c r="D426" i="12"/>
  <c r="D442" i="12" s="1"/>
  <c r="C426" i="12"/>
  <c r="H424" i="12"/>
  <c r="H423" i="12"/>
  <c r="H422" i="12"/>
  <c r="H421" i="12"/>
  <c r="K421" i="12" s="1"/>
  <c r="J416" i="12"/>
  <c r="G417" i="12" s="1"/>
  <c r="N408" i="12"/>
  <c r="AA153" i="12" s="1"/>
  <c r="G397" i="12"/>
  <c r="G413" i="12" s="1"/>
  <c r="F397" i="12"/>
  <c r="E397" i="12"/>
  <c r="E413" i="12" s="1"/>
  <c r="D397" i="12"/>
  <c r="D398" i="12" s="1"/>
  <c r="D399" i="12" s="1"/>
  <c r="C397" i="12"/>
  <c r="H396" i="12"/>
  <c r="H395" i="12"/>
  <c r="L406" i="12" s="1"/>
  <c r="H394" i="12"/>
  <c r="L405" i="12" s="1"/>
  <c r="H393" i="12"/>
  <c r="H392" i="12"/>
  <c r="J387" i="12"/>
  <c r="G388" i="12" s="1"/>
  <c r="N379" i="12"/>
  <c r="O378" i="12" s="1"/>
  <c r="G368" i="12"/>
  <c r="G369" i="12" s="1"/>
  <c r="F368" i="12"/>
  <c r="F384" i="12" s="1"/>
  <c r="E368" i="12"/>
  <c r="E369" i="12" s="1"/>
  <c r="E370" i="12" s="1"/>
  <c r="D368" i="12"/>
  <c r="D384" i="12" s="1"/>
  <c r="C368" i="12"/>
  <c r="C384" i="12" s="1"/>
  <c r="H367" i="12"/>
  <c r="L378" i="12" s="1"/>
  <c r="H366" i="12"/>
  <c r="H365" i="12"/>
  <c r="I365" i="12" s="1"/>
  <c r="J365" i="12" s="1"/>
  <c r="H364" i="12"/>
  <c r="L375" i="12" s="1"/>
  <c r="H363" i="12"/>
  <c r="I363" i="12" s="1"/>
  <c r="J358" i="12"/>
  <c r="G359" i="12" s="1"/>
  <c r="N350" i="12"/>
  <c r="O348" i="12" s="1"/>
  <c r="G339" i="12"/>
  <c r="G355" i="12" s="1"/>
  <c r="F339" i="12"/>
  <c r="F355" i="12" s="1"/>
  <c r="E339" i="12"/>
  <c r="E355" i="12" s="1"/>
  <c r="D339" i="12"/>
  <c r="D355" i="12" s="1"/>
  <c r="C339" i="12"/>
  <c r="C355" i="12" s="1"/>
  <c r="H338" i="12"/>
  <c r="L349" i="12" s="1"/>
  <c r="H337" i="12"/>
  <c r="L348" i="12" s="1"/>
  <c r="H336" i="12"/>
  <c r="L347" i="12" s="1"/>
  <c r="H335" i="12"/>
  <c r="K335" i="12" s="1"/>
  <c r="H334" i="12"/>
  <c r="J329" i="12"/>
  <c r="F330" i="12" s="1"/>
  <c r="N321" i="12"/>
  <c r="O320" i="12" s="1"/>
  <c r="G310" i="12"/>
  <c r="G311" i="12" s="1"/>
  <c r="G312" i="12" s="1"/>
  <c r="F310" i="12"/>
  <c r="E310" i="12"/>
  <c r="E311" i="12" s="1"/>
  <c r="E312" i="12" s="1"/>
  <c r="D310" i="12"/>
  <c r="D326" i="12" s="1"/>
  <c r="C310" i="12"/>
  <c r="C311" i="12" s="1"/>
  <c r="H309" i="12"/>
  <c r="H308" i="12"/>
  <c r="L319" i="12" s="1"/>
  <c r="H307" i="12"/>
  <c r="L318" i="12" s="1"/>
  <c r="H306" i="12"/>
  <c r="L317" i="12" s="1"/>
  <c r="H305" i="12"/>
  <c r="J300" i="12"/>
  <c r="C301" i="12" s="1"/>
  <c r="N292" i="12"/>
  <c r="O290" i="12" s="1"/>
  <c r="G281" i="12"/>
  <c r="G297" i="12" s="1"/>
  <c r="F281" i="12"/>
  <c r="F297" i="12" s="1"/>
  <c r="E281" i="12"/>
  <c r="E297" i="12" s="1"/>
  <c r="D281" i="12"/>
  <c r="D297" i="12" s="1"/>
  <c r="C281" i="12"/>
  <c r="C297" i="12" s="1"/>
  <c r="H280" i="12"/>
  <c r="L291" i="12" s="1"/>
  <c r="H279" i="12"/>
  <c r="K279" i="12" s="1"/>
  <c r="H278" i="12"/>
  <c r="K278" i="12" s="1"/>
  <c r="H277" i="12"/>
  <c r="L288" i="12" s="1"/>
  <c r="H276" i="12"/>
  <c r="K276" i="12" s="1"/>
  <c r="J271" i="12"/>
  <c r="F272" i="12" s="1"/>
  <c r="BH163" i="12"/>
  <c r="N263" i="12"/>
  <c r="O262" i="12" s="1"/>
  <c r="BH162" i="12"/>
  <c r="BH161" i="12"/>
  <c r="G252" i="12"/>
  <c r="G253" i="12" s="1"/>
  <c r="F252" i="12"/>
  <c r="F253" i="12" s="1"/>
  <c r="E252" i="12"/>
  <c r="E253" i="12" s="1"/>
  <c r="E254" i="12" s="1"/>
  <c r="D252" i="12"/>
  <c r="D253" i="12" s="1"/>
  <c r="C252" i="12"/>
  <c r="C268" i="12" s="1"/>
  <c r="H251" i="12"/>
  <c r="L262" i="12" s="1"/>
  <c r="H250" i="12"/>
  <c r="I250" i="12" s="1"/>
  <c r="J250" i="12" s="1"/>
  <c r="H249" i="12"/>
  <c r="L260" i="12" s="1"/>
  <c r="H248" i="12"/>
  <c r="L259" i="12" s="1"/>
  <c r="H247" i="12"/>
  <c r="J242" i="12"/>
  <c r="G243" i="12" s="1"/>
  <c r="N234" i="12"/>
  <c r="O229" i="12" s="1"/>
  <c r="G223" i="12"/>
  <c r="F223" i="12"/>
  <c r="F239" i="12" s="1"/>
  <c r="E223" i="12"/>
  <c r="E239" i="12" s="1"/>
  <c r="D223" i="12"/>
  <c r="D224" i="12" s="1"/>
  <c r="D225" i="12" s="1"/>
  <c r="C223" i="12"/>
  <c r="H222" i="12"/>
  <c r="L233" i="12" s="1"/>
  <c r="H221" i="12"/>
  <c r="H220" i="12"/>
  <c r="L231" i="12" s="1"/>
  <c r="H219" i="12"/>
  <c r="H218" i="12"/>
  <c r="X213" i="12"/>
  <c r="W213" i="12"/>
  <c r="V213" i="12"/>
  <c r="U213" i="12"/>
  <c r="T213" i="12"/>
  <c r="J213" i="12"/>
  <c r="E214" i="12" s="1"/>
  <c r="N205" i="12"/>
  <c r="O203" i="12" s="1"/>
  <c r="X203" i="12"/>
  <c r="W203" i="12"/>
  <c r="V203" i="12"/>
  <c r="U203" i="12"/>
  <c r="T203" i="12"/>
  <c r="G194" i="12"/>
  <c r="G210" i="12" s="1"/>
  <c r="F194" i="12"/>
  <c r="F195" i="12" s="1"/>
  <c r="F196" i="12" s="1"/>
  <c r="E194" i="12"/>
  <c r="E210" i="12" s="1"/>
  <c r="D194" i="12"/>
  <c r="C194" i="12"/>
  <c r="C210" i="12" s="1"/>
  <c r="X193" i="12"/>
  <c r="W193" i="12"/>
  <c r="V193" i="12"/>
  <c r="U193" i="12"/>
  <c r="T193" i="12"/>
  <c r="H193" i="12"/>
  <c r="L204" i="12" s="1"/>
  <c r="H192" i="12"/>
  <c r="L203" i="12" s="1"/>
  <c r="H191" i="12"/>
  <c r="I191" i="12" s="1"/>
  <c r="J191" i="12" s="1"/>
  <c r="H190" i="12"/>
  <c r="H189" i="12"/>
  <c r="J184" i="12"/>
  <c r="E185" i="12" s="1"/>
  <c r="X183" i="12"/>
  <c r="W183" i="12"/>
  <c r="V183" i="12"/>
  <c r="U183" i="12"/>
  <c r="T183" i="12"/>
  <c r="N176" i="12"/>
  <c r="O175" i="12" s="1"/>
  <c r="AA173" i="12"/>
  <c r="X173" i="12"/>
  <c r="W173" i="12"/>
  <c r="V173" i="12"/>
  <c r="U173" i="12"/>
  <c r="T173" i="12"/>
  <c r="G165" i="12"/>
  <c r="G181" i="12" s="1"/>
  <c r="F165" i="12"/>
  <c r="F181" i="12" s="1"/>
  <c r="E165" i="12"/>
  <c r="D165" i="12"/>
  <c r="D181" i="12" s="1"/>
  <c r="C165" i="12"/>
  <c r="H164" i="12"/>
  <c r="L175" i="12" s="1"/>
  <c r="X163" i="12"/>
  <c r="W163" i="12"/>
  <c r="V163" i="12"/>
  <c r="U163" i="12"/>
  <c r="T163" i="12"/>
  <c r="H163" i="12"/>
  <c r="H162" i="12"/>
  <c r="L173" i="12" s="1"/>
  <c r="H161" i="12"/>
  <c r="BH160" i="12"/>
  <c r="H160" i="12"/>
  <c r="I160" i="12" s="1"/>
  <c r="J160" i="12" s="1"/>
  <c r="BH159" i="12"/>
  <c r="BH158" i="12"/>
  <c r="BH157" i="12"/>
  <c r="BH156" i="12"/>
  <c r="BH155" i="12"/>
  <c r="J155" i="12"/>
  <c r="F156" i="12" s="1"/>
  <c r="BH154" i="12"/>
  <c r="BH153" i="12"/>
  <c r="X153" i="12"/>
  <c r="W153" i="12"/>
  <c r="V153" i="12"/>
  <c r="U153" i="12"/>
  <c r="T153" i="12"/>
  <c r="BH152" i="12"/>
  <c r="BH151" i="12"/>
  <c r="BH150" i="12"/>
  <c r="BH149" i="12"/>
  <c r="BH148" i="12"/>
  <c r="BH147" i="12"/>
  <c r="N147" i="12"/>
  <c r="O143" i="12" s="1"/>
  <c r="BH146" i="12"/>
  <c r="BH145" i="12"/>
  <c r="BH144" i="12"/>
  <c r="BH143" i="12"/>
  <c r="X143" i="12"/>
  <c r="W143" i="12"/>
  <c r="V143" i="12"/>
  <c r="U143" i="12"/>
  <c r="T143" i="12"/>
  <c r="BH142" i="12"/>
  <c r="BH141" i="12"/>
  <c r="BH140" i="12"/>
  <c r="BH139" i="12"/>
  <c r="BH138" i="12"/>
  <c r="BH137" i="12"/>
  <c r="BH136" i="12"/>
  <c r="G136" i="12"/>
  <c r="G137" i="12" s="1"/>
  <c r="G138" i="12" s="1"/>
  <c r="F136" i="12"/>
  <c r="F152" i="12" s="1"/>
  <c r="E136" i="12"/>
  <c r="E137" i="12" s="1"/>
  <c r="D136" i="12"/>
  <c r="D152" i="12" s="1"/>
  <c r="C136" i="12"/>
  <c r="C137" i="12" s="1"/>
  <c r="C138" i="12" s="1"/>
  <c r="BH135" i="12"/>
  <c r="H135" i="12"/>
  <c r="I135" i="12" s="1"/>
  <c r="J135" i="12" s="1"/>
  <c r="BH134" i="12"/>
  <c r="H134" i="12"/>
  <c r="BH133" i="12"/>
  <c r="X133" i="12"/>
  <c r="W133" i="12"/>
  <c r="V133" i="12"/>
  <c r="U133" i="12"/>
  <c r="T133" i="12"/>
  <c r="H133" i="12"/>
  <c r="BH132" i="12"/>
  <c r="H132" i="12"/>
  <c r="I132" i="12" s="1"/>
  <c r="J132" i="12" s="1"/>
  <c r="BH131" i="12"/>
  <c r="H131" i="12"/>
  <c r="BH130" i="12"/>
  <c r="BH129" i="12"/>
  <c r="BH128" i="12"/>
  <c r="BH127" i="12"/>
  <c r="BH126" i="12"/>
  <c r="J126" i="12"/>
  <c r="D127" i="12" s="1"/>
  <c r="BH125" i="12"/>
  <c r="BH124" i="12"/>
  <c r="BH123" i="12"/>
  <c r="X123" i="12"/>
  <c r="W123" i="12"/>
  <c r="V123" i="12"/>
  <c r="U123" i="12"/>
  <c r="T123" i="12"/>
  <c r="BH122" i="12"/>
  <c r="AS122" i="12"/>
  <c r="AL123" i="12" s="1"/>
  <c r="BH121" i="12"/>
  <c r="BH120" i="12"/>
  <c r="BH119" i="12"/>
  <c r="BH118" i="12"/>
  <c r="AP116" i="12"/>
  <c r="AO116" i="12"/>
  <c r="AN116" i="12"/>
  <c r="AM116" i="12"/>
  <c r="AL116" i="12"/>
  <c r="N118" i="12"/>
  <c r="O114" i="12" s="1"/>
  <c r="BH117" i="12"/>
  <c r="BH116" i="12"/>
  <c r="BH115" i="12"/>
  <c r="BH114" i="12"/>
  <c r="BH113" i="12"/>
  <c r="X113" i="12"/>
  <c r="W113" i="12"/>
  <c r="V113" i="12"/>
  <c r="U113" i="12"/>
  <c r="T113" i="12"/>
  <c r="BH112" i="12"/>
  <c r="BH111" i="12"/>
  <c r="BH110" i="12"/>
  <c r="BH109" i="12"/>
  <c r="BH108" i="12"/>
  <c r="BH107" i="12"/>
  <c r="G107" i="12"/>
  <c r="G123" i="12" s="1"/>
  <c r="F107" i="12"/>
  <c r="F123" i="12" s="1"/>
  <c r="E107" i="12"/>
  <c r="D107" i="12"/>
  <c r="D108" i="12" s="1"/>
  <c r="C107" i="12"/>
  <c r="C123" i="12" s="1"/>
  <c r="BH106" i="12"/>
  <c r="H106" i="12"/>
  <c r="K106" i="12" s="1"/>
  <c r="BH105" i="12"/>
  <c r="H105" i="12"/>
  <c r="L116" i="12" s="1"/>
  <c r="BH104" i="12"/>
  <c r="H104" i="12"/>
  <c r="L115" i="12" s="1"/>
  <c r="BH103" i="12"/>
  <c r="X103" i="12"/>
  <c r="W103" i="12"/>
  <c r="V103" i="12"/>
  <c r="U103" i="12"/>
  <c r="T103" i="12"/>
  <c r="H103" i="12"/>
  <c r="K103" i="12" s="1"/>
  <c r="BH102" i="12"/>
  <c r="H102" i="12"/>
  <c r="I102" i="12" s="1"/>
  <c r="J102" i="12" s="1"/>
  <c r="BH101" i="12"/>
  <c r="BH100" i="12"/>
  <c r="BH99" i="12"/>
  <c r="AW99" i="12"/>
  <c r="AS116" i="12" s="1"/>
  <c r="BH98" i="12"/>
  <c r="BH97" i="12"/>
  <c r="J97" i="12"/>
  <c r="G98" i="12" s="1"/>
  <c r="BH96" i="12"/>
  <c r="BH95" i="12"/>
  <c r="BH94" i="12"/>
  <c r="BH93" i="12"/>
  <c r="X93" i="12"/>
  <c r="W93" i="12"/>
  <c r="V93" i="12"/>
  <c r="U93" i="12"/>
  <c r="T93" i="12"/>
  <c r="BH92" i="12"/>
  <c r="BH91" i="12"/>
  <c r="BH90" i="12"/>
  <c r="BH89" i="12"/>
  <c r="N89" i="12"/>
  <c r="O84" i="12" s="1"/>
  <c r="BH88" i="12"/>
  <c r="AP88" i="12"/>
  <c r="AP104" i="12" s="1"/>
  <c r="AO88" i="12"/>
  <c r="AO104" i="12" s="1"/>
  <c r="AN88" i="12"/>
  <c r="AN89" i="12" s="1"/>
  <c r="AN90" i="12" s="1"/>
  <c r="AM88" i="12"/>
  <c r="AL88" i="12"/>
  <c r="AL104" i="12" s="1"/>
  <c r="BH87" i="12"/>
  <c r="AQ87" i="12"/>
  <c r="AR87" i="12" s="1"/>
  <c r="AS87" i="12" s="1"/>
  <c r="BH86" i="12"/>
  <c r="AQ86" i="12"/>
  <c r="AR86" i="12" s="1"/>
  <c r="AS86" i="12" s="1"/>
  <c r="BH85" i="12"/>
  <c r="AQ85" i="12"/>
  <c r="BH84" i="12"/>
  <c r="AQ84" i="12"/>
  <c r="AU95" i="12" s="1"/>
  <c r="BH83" i="12"/>
  <c r="AT83" i="12"/>
  <c r="AR83" i="12"/>
  <c r="AS83" i="12" s="1"/>
  <c r="AQ83" i="12"/>
  <c r="AU94" i="12" s="1"/>
  <c r="X83" i="12"/>
  <c r="W83" i="12"/>
  <c r="V83" i="12"/>
  <c r="U83" i="12"/>
  <c r="T83" i="12"/>
  <c r="BH82" i="12"/>
  <c r="BH81" i="12"/>
  <c r="BH80" i="12"/>
  <c r="BH79" i="12"/>
  <c r="BH78" i="12"/>
  <c r="G78" i="12"/>
  <c r="G94" i="12" s="1"/>
  <c r="F78" i="12"/>
  <c r="F94" i="12" s="1"/>
  <c r="E78" i="12"/>
  <c r="E79" i="12" s="1"/>
  <c r="D78" i="12"/>
  <c r="D94" i="12" s="1"/>
  <c r="C78" i="12"/>
  <c r="C79" i="12" s="1"/>
  <c r="BH77" i="12"/>
  <c r="H77" i="12"/>
  <c r="BH76" i="12"/>
  <c r="H76" i="12"/>
  <c r="BH75" i="12"/>
  <c r="H75" i="12"/>
  <c r="L86" i="12" s="1"/>
  <c r="BH74" i="12"/>
  <c r="H74" i="12"/>
  <c r="I74" i="12" s="1"/>
  <c r="J74" i="12" s="1"/>
  <c r="BH73" i="12"/>
  <c r="X73" i="12"/>
  <c r="W73" i="12"/>
  <c r="V73" i="12"/>
  <c r="U73" i="12"/>
  <c r="T73" i="12"/>
  <c r="H73" i="12"/>
  <c r="I73" i="12" s="1"/>
  <c r="J73" i="12" s="1"/>
  <c r="BH72" i="12"/>
  <c r="BH71" i="12"/>
  <c r="BH70" i="12"/>
  <c r="BH69" i="12"/>
  <c r="BL68" i="12"/>
  <c r="BH68" i="12"/>
  <c r="J68" i="12"/>
  <c r="G69" i="12" s="1"/>
  <c r="BL67" i="12"/>
  <c r="BH67" i="12"/>
  <c r="BH66" i="12"/>
  <c r="BH65" i="12"/>
  <c r="BH64" i="12"/>
  <c r="BL64" i="12" s="1"/>
  <c r="X63" i="12"/>
  <c r="W63" i="12"/>
  <c r="V63" i="12"/>
  <c r="U63" i="12"/>
  <c r="T63" i="12"/>
  <c r="N60" i="12"/>
  <c r="AA33" i="12" s="1"/>
  <c r="BH58" i="12"/>
  <c r="BH57" i="12"/>
  <c r="BH56" i="12"/>
  <c r="BH55" i="12"/>
  <c r="BH54" i="12"/>
  <c r="BH53" i="12"/>
  <c r="X53" i="12"/>
  <c r="W53" i="12"/>
  <c r="V53" i="12"/>
  <c r="U53" i="12"/>
  <c r="T53" i="12"/>
  <c r="BH52" i="12"/>
  <c r="BH51" i="12"/>
  <c r="BH50" i="12"/>
  <c r="BH49" i="12"/>
  <c r="G49" i="12"/>
  <c r="G65" i="12" s="1"/>
  <c r="F49" i="12"/>
  <c r="F65" i="12" s="1"/>
  <c r="E49" i="12"/>
  <c r="E50" i="12" s="1"/>
  <c r="D49" i="12"/>
  <c r="D65" i="12" s="1"/>
  <c r="C49" i="12"/>
  <c r="C65" i="12" s="1"/>
  <c r="BH48" i="12"/>
  <c r="H48" i="12"/>
  <c r="L59" i="12" s="1"/>
  <c r="BH47" i="12"/>
  <c r="H47" i="12"/>
  <c r="L58" i="12" s="1"/>
  <c r="BH46" i="12"/>
  <c r="H46" i="12"/>
  <c r="L57" i="12" s="1"/>
  <c r="BH45" i="12"/>
  <c r="H45" i="12"/>
  <c r="BH44" i="12"/>
  <c r="H44" i="12"/>
  <c r="I44" i="12" s="1"/>
  <c r="J44" i="12" s="1"/>
  <c r="BL43" i="12"/>
  <c r="BH43" i="12"/>
  <c r="X43" i="12"/>
  <c r="W43" i="12"/>
  <c r="V43" i="12"/>
  <c r="U43" i="12"/>
  <c r="T43" i="12"/>
  <c r="BL42" i="12"/>
  <c r="BH42" i="12"/>
  <c r="BH41" i="12"/>
  <c r="BH40" i="12"/>
  <c r="BH39" i="12"/>
  <c r="J39" i="12"/>
  <c r="C40" i="12" s="1"/>
  <c r="BL38" i="12"/>
  <c r="BK36" i="12"/>
  <c r="X33" i="12"/>
  <c r="W33" i="12"/>
  <c r="V33" i="12"/>
  <c r="U33" i="12"/>
  <c r="T33" i="12"/>
  <c r="N31" i="12"/>
  <c r="O26" i="12" s="1"/>
  <c r="X23" i="12"/>
  <c r="W23" i="12"/>
  <c r="V23" i="12"/>
  <c r="U23" i="12"/>
  <c r="T23" i="12"/>
  <c r="G20" i="12"/>
  <c r="G36" i="12" s="1"/>
  <c r="F20" i="12"/>
  <c r="F36" i="12" s="1"/>
  <c r="E20" i="12"/>
  <c r="E36" i="12" s="1"/>
  <c r="D20" i="12"/>
  <c r="D36" i="12" s="1"/>
  <c r="C20" i="12"/>
  <c r="C36" i="12" s="1"/>
  <c r="H19" i="12"/>
  <c r="L30" i="12" s="1"/>
  <c r="H18" i="12"/>
  <c r="I18" i="12" s="1"/>
  <c r="J18" i="12" s="1"/>
  <c r="H17" i="12"/>
  <c r="I17" i="12" s="1"/>
  <c r="H16" i="12"/>
  <c r="L27" i="12" s="1"/>
  <c r="H15" i="12"/>
  <c r="L26" i="12" s="1"/>
  <c r="AS122" i="9"/>
  <c r="AL116" i="9"/>
  <c r="AM116" i="9"/>
  <c r="AN116" i="9"/>
  <c r="AO116" i="9"/>
  <c r="AP116" i="9"/>
  <c r="AW99" i="9"/>
  <c r="AP88" i="9"/>
  <c r="AP104" i="9" s="1"/>
  <c r="AO88" i="9"/>
  <c r="AO104" i="9" s="1"/>
  <c r="AN88" i="9"/>
  <c r="AN104" i="9" s="1"/>
  <c r="AM88" i="9"/>
  <c r="AM104" i="9" s="1"/>
  <c r="AL88" i="9"/>
  <c r="AL104" i="9" s="1"/>
  <c r="AQ87" i="9"/>
  <c r="AQ86" i="9"/>
  <c r="AU97" i="9" s="1"/>
  <c r="AQ85" i="9"/>
  <c r="AR85" i="9" s="1"/>
  <c r="AS85" i="9" s="1"/>
  <c r="AQ84" i="9"/>
  <c r="AR84" i="9" s="1"/>
  <c r="AS84" i="9" s="1"/>
  <c r="AQ83" i="9"/>
  <c r="AR83" i="14" l="1"/>
  <c r="AS83" i="14" s="1"/>
  <c r="AA153" i="14"/>
  <c r="O519" i="14"/>
  <c r="E572" i="14"/>
  <c r="K538" i="14"/>
  <c r="K508" i="14"/>
  <c r="D456" i="14"/>
  <c r="D457" i="14" s="1"/>
  <c r="K395" i="14"/>
  <c r="K338" i="14"/>
  <c r="I308" i="14"/>
  <c r="J308" i="14" s="1"/>
  <c r="AS129" i="12"/>
  <c r="AA93" i="12"/>
  <c r="AA133" i="12"/>
  <c r="E398" i="12"/>
  <c r="E282" i="12"/>
  <c r="E283" i="12" s="1"/>
  <c r="K189" i="12"/>
  <c r="AP128" i="9"/>
  <c r="AO128" i="9"/>
  <c r="AN128" i="9"/>
  <c r="AM128" i="9"/>
  <c r="AL128" i="9"/>
  <c r="AS134" i="9"/>
  <c r="AA213" i="14"/>
  <c r="L519" i="14"/>
  <c r="D519" i="14" s="1"/>
  <c r="E340" i="14"/>
  <c r="C587" i="14"/>
  <c r="G543" i="14"/>
  <c r="G544" i="14" s="1"/>
  <c r="K568" i="14"/>
  <c r="C21" i="14"/>
  <c r="K393" i="14"/>
  <c r="G514" i="14"/>
  <c r="G515" i="14" s="1"/>
  <c r="AL89" i="14"/>
  <c r="AL90" i="14" s="1"/>
  <c r="L403" i="14"/>
  <c r="O465" i="14"/>
  <c r="AT83" i="14"/>
  <c r="L404" i="14"/>
  <c r="F464" i="14"/>
  <c r="O523" i="14"/>
  <c r="G523" i="14" s="1"/>
  <c r="C340" i="14"/>
  <c r="L406" i="14"/>
  <c r="I190" i="14"/>
  <c r="J190" i="14" s="1"/>
  <c r="K334" i="14"/>
  <c r="I395" i="14"/>
  <c r="J395" i="14" s="1"/>
  <c r="K480" i="14"/>
  <c r="L492" i="14"/>
  <c r="H542" i="14"/>
  <c r="I543" i="14" s="1"/>
  <c r="AD34" i="14" s="1"/>
  <c r="F413" i="14"/>
  <c r="K454" i="14"/>
  <c r="F355" i="14"/>
  <c r="G500" i="14"/>
  <c r="D427" i="14"/>
  <c r="D428" i="14" s="1"/>
  <c r="L577" i="14"/>
  <c r="E369" i="14"/>
  <c r="E370" i="14" s="1"/>
  <c r="D514" i="14"/>
  <c r="D515" i="14" s="1"/>
  <c r="K540" i="14"/>
  <c r="C297" i="14"/>
  <c r="L375" i="14"/>
  <c r="AL128" i="14"/>
  <c r="AN128" i="14"/>
  <c r="AO128" i="14"/>
  <c r="AP128" i="14"/>
  <c r="AS129" i="14"/>
  <c r="AS134" i="14"/>
  <c r="O579" i="14"/>
  <c r="O580" i="14"/>
  <c r="G580" i="14" s="1"/>
  <c r="O520" i="14"/>
  <c r="E520" i="14" s="1"/>
  <c r="O521" i="14"/>
  <c r="E521" i="14" s="1"/>
  <c r="O522" i="14"/>
  <c r="O494" i="14"/>
  <c r="C494" i="14" s="1"/>
  <c r="O490" i="14"/>
  <c r="E490" i="14" s="1"/>
  <c r="O461" i="14"/>
  <c r="F461" i="14" s="1"/>
  <c r="O462" i="14"/>
  <c r="AA173" i="14"/>
  <c r="O463" i="14"/>
  <c r="E463" i="14" s="1"/>
  <c r="O403" i="14"/>
  <c r="O404" i="14"/>
  <c r="D404" i="14" s="1"/>
  <c r="O405" i="14"/>
  <c r="G405" i="14" s="1"/>
  <c r="O406" i="14"/>
  <c r="AA113" i="14"/>
  <c r="AA83" i="14"/>
  <c r="O29" i="14"/>
  <c r="G29" i="14" s="1"/>
  <c r="E533" i="12"/>
  <c r="G504" i="12"/>
  <c r="F475" i="12"/>
  <c r="F417" i="12"/>
  <c r="E156" i="12"/>
  <c r="O581" i="12"/>
  <c r="O551" i="12"/>
  <c r="AA203" i="12"/>
  <c r="O436" i="12"/>
  <c r="AA143" i="12"/>
  <c r="O374" i="12"/>
  <c r="O317" i="12"/>
  <c r="E317" i="12" s="1"/>
  <c r="AA123" i="12"/>
  <c r="O289" i="12"/>
  <c r="AA113" i="12"/>
  <c r="F203" i="12"/>
  <c r="AA63" i="12"/>
  <c r="O145" i="12"/>
  <c r="O142" i="12"/>
  <c r="O146" i="12"/>
  <c r="G146" i="12" s="1"/>
  <c r="O115" i="12"/>
  <c r="G115" i="12" s="1"/>
  <c r="AA53" i="12"/>
  <c r="O113" i="12"/>
  <c r="AS124" i="9"/>
  <c r="K44" i="12"/>
  <c r="C152" i="12"/>
  <c r="O318" i="12"/>
  <c r="E318" i="12" s="1"/>
  <c r="O201" i="12"/>
  <c r="O319" i="12"/>
  <c r="E319" i="12" s="1"/>
  <c r="D446" i="12"/>
  <c r="F446" i="12"/>
  <c r="K537" i="12"/>
  <c r="C50" i="12"/>
  <c r="L113" i="12"/>
  <c r="O116" i="12"/>
  <c r="G116" i="12" s="1"/>
  <c r="C326" i="12"/>
  <c r="O347" i="12"/>
  <c r="D347" i="12" s="1"/>
  <c r="L143" i="12"/>
  <c r="E143" i="12" s="1"/>
  <c r="F243" i="12"/>
  <c r="O349" i="12"/>
  <c r="D349" i="12" s="1"/>
  <c r="L490" i="12"/>
  <c r="O117" i="12"/>
  <c r="O492" i="12"/>
  <c r="K104" i="12"/>
  <c r="O493" i="12"/>
  <c r="O287" i="12"/>
  <c r="D359" i="12"/>
  <c r="C369" i="12"/>
  <c r="C370" i="12" s="1"/>
  <c r="O494" i="12"/>
  <c r="F494" i="12" s="1"/>
  <c r="D311" i="12"/>
  <c r="D312" i="12" s="1"/>
  <c r="AP133" i="14"/>
  <c r="AL123" i="14"/>
  <c r="AO123" i="14"/>
  <c r="AP123" i="14"/>
  <c r="AX98" i="14"/>
  <c r="AO98" i="14" s="1"/>
  <c r="AX94" i="14"/>
  <c r="AO94" i="14" s="1"/>
  <c r="AX95" i="14"/>
  <c r="AP89" i="14"/>
  <c r="AT87" i="14"/>
  <c r="AT86" i="14"/>
  <c r="AO89" i="14"/>
  <c r="AO90" i="14" s="1"/>
  <c r="AU95" i="14"/>
  <c r="AQ88" i="14"/>
  <c r="AR89" i="14" s="1"/>
  <c r="AO133" i="14"/>
  <c r="AL133" i="14"/>
  <c r="AM133" i="14"/>
  <c r="AO133" i="12"/>
  <c r="AP133" i="12"/>
  <c r="AL133" i="12"/>
  <c r="AM133" i="12"/>
  <c r="AN128" i="12"/>
  <c r="AL128" i="12"/>
  <c r="AM128" i="12"/>
  <c r="AO128" i="12"/>
  <c r="G282" i="14"/>
  <c r="N280" i="14" s="1"/>
  <c r="X112" i="14" s="1"/>
  <c r="K280" i="14"/>
  <c r="E282" i="14"/>
  <c r="K278" i="14"/>
  <c r="O260" i="14"/>
  <c r="F260" i="14" s="1"/>
  <c r="O261" i="14"/>
  <c r="L233" i="14"/>
  <c r="F233" i="14" s="1"/>
  <c r="F195" i="14"/>
  <c r="F196" i="14" s="1"/>
  <c r="K191" i="14"/>
  <c r="K190" i="14"/>
  <c r="O175" i="14"/>
  <c r="O171" i="14"/>
  <c r="K134" i="14"/>
  <c r="K135" i="14"/>
  <c r="K132" i="14"/>
  <c r="K105" i="14"/>
  <c r="K104" i="14"/>
  <c r="E108" i="14"/>
  <c r="E109" i="14" s="1"/>
  <c r="E123" i="14"/>
  <c r="O84" i="14"/>
  <c r="O87" i="14"/>
  <c r="F87" i="14" s="1"/>
  <c r="AA43" i="14"/>
  <c r="O86" i="14"/>
  <c r="G86" i="14" s="1"/>
  <c r="I76" i="14"/>
  <c r="J76" i="14" s="1"/>
  <c r="G79" i="14"/>
  <c r="G80" i="14" s="1"/>
  <c r="F94" i="14"/>
  <c r="I75" i="14"/>
  <c r="J75" i="14" s="1"/>
  <c r="I48" i="14"/>
  <c r="J48" i="14" s="1"/>
  <c r="K48" i="14"/>
  <c r="E65" i="14"/>
  <c r="AA103" i="14"/>
  <c r="O258" i="14"/>
  <c r="C258" i="14" s="1"/>
  <c r="O259" i="14"/>
  <c r="AA93" i="14"/>
  <c r="O229" i="14"/>
  <c r="O230" i="14"/>
  <c r="O231" i="14"/>
  <c r="O232" i="14"/>
  <c r="E232" i="14" s="1"/>
  <c r="AA73" i="14"/>
  <c r="O172" i="14"/>
  <c r="F172" i="14" s="1"/>
  <c r="O173" i="14"/>
  <c r="G173" i="14" s="1"/>
  <c r="C143" i="14"/>
  <c r="O144" i="14"/>
  <c r="F144" i="14" s="1"/>
  <c r="O145" i="14"/>
  <c r="O142" i="14"/>
  <c r="C142" i="14" s="1"/>
  <c r="O146" i="14"/>
  <c r="AA63" i="14"/>
  <c r="O85" i="14"/>
  <c r="O56" i="14"/>
  <c r="O59" i="14"/>
  <c r="E59" i="14" s="1"/>
  <c r="I569" i="14"/>
  <c r="J569" i="14" s="1"/>
  <c r="I570" i="14"/>
  <c r="J570" i="14" s="1"/>
  <c r="L579" i="14"/>
  <c r="K570" i="14"/>
  <c r="I568" i="14"/>
  <c r="J568" i="14" s="1"/>
  <c r="G587" i="14"/>
  <c r="I538" i="14"/>
  <c r="J538" i="14" s="1"/>
  <c r="I539" i="14"/>
  <c r="J539" i="14" s="1"/>
  <c r="K539" i="14"/>
  <c r="E543" i="14"/>
  <c r="E544" i="14" s="1"/>
  <c r="F543" i="14"/>
  <c r="F544" i="14" s="1"/>
  <c r="I541" i="14"/>
  <c r="J541" i="14" s="1"/>
  <c r="D558" i="14"/>
  <c r="K541" i="14"/>
  <c r="C514" i="14"/>
  <c r="C515" i="14" s="1"/>
  <c r="H513" i="14"/>
  <c r="I514" i="14" s="1"/>
  <c r="AD33" i="14" s="1"/>
  <c r="E514" i="14"/>
  <c r="E515" i="14" s="1"/>
  <c r="I510" i="14"/>
  <c r="J510" i="14" s="1"/>
  <c r="I479" i="14"/>
  <c r="J479" i="14" s="1"/>
  <c r="I480" i="14"/>
  <c r="J480" i="14" s="1"/>
  <c r="H484" i="14"/>
  <c r="I485" i="14" s="1"/>
  <c r="AD32" i="14" s="1"/>
  <c r="D500" i="14"/>
  <c r="F500" i="14"/>
  <c r="L462" i="14"/>
  <c r="K451" i="14"/>
  <c r="N451" i="14"/>
  <c r="U172" i="14" s="1"/>
  <c r="E456" i="14"/>
  <c r="E457" i="14" s="1"/>
  <c r="I452" i="14"/>
  <c r="J452" i="14" s="1"/>
  <c r="G456" i="14"/>
  <c r="G457" i="14" s="1"/>
  <c r="C471" i="14"/>
  <c r="I453" i="14"/>
  <c r="J453" i="14" s="1"/>
  <c r="C427" i="14"/>
  <c r="N421" i="14" s="1"/>
  <c r="T162" i="14" s="1"/>
  <c r="K423" i="14"/>
  <c r="E427" i="14"/>
  <c r="E428" i="14" s="1"/>
  <c r="F427" i="14"/>
  <c r="K424" i="14"/>
  <c r="I422" i="14"/>
  <c r="J422" i="14" s="1"/>
  <c r="K422" i="14"/>
  <c r="G403" i="14"/>
  <c r="K392" i="14"/>
  <c r="C398" i="14"/>
  <c r="C399" i="14" s="1"/>
  <c r="D398" i="14"/>
  <c r="D399" i="14" s="1"/>
  <c r="E398" i="14"/>
  <c r="E399" i="14" s="1"/>
  <c r="F384" i="14"/>
  <c r="K364" i="14"/>
  <c r="G369" i="14"/>
  <c r="G370" i="14" s="1"/>
  <c r="L377" i="14"/>
  <c r="C384" i="14"/>
  <c r="D384" i="14"/>
  <c r="F341" i="14"/>
  <c r="N337" i="14"/>
  <c r="W132" i="14" s="1"/>
  <c r="K337" i="14"/>
  <c r="G340" i="14"/>
  <c r="L345" i="14"/>
  <c r="I338" i="14"/>
  <c r="J338" i="14" s="1"/>
  <c r="L348" i="14"/>
  <c r="K336" i="14"/>
  <c r="K308" i="14"/>
  <c r="C311" i="14"/>
  <c r="C312" i="14" s="1"/>
  <c r="I306" i="14"/>
  <c r="J306" i="14" s="1"/>
  <c r="I276" i="14"/>
  <c r="J276" i="14" s="1"/>
  <c r="L291" i="14"/>
  <c r="K276" i="14"/>
  <c r="I277" i="14"/>
  <c r="J277" i="14" s="1"/>
  <c r="D297" i="14"/>
  <c r="I278" i="14"/>
  <c r="J278" i="14" s="1"/>
  <c r="D283" i="14"/>
  <c r="K251" i="14"/>
  <c r="I247" i="14"/>
  <c r="J247" i="14" s="1"/>
  <c r="K248" i="14"/>
  <c r="L262" i="14"/>
  <c r="G253" i="14"/>
  <c r="G254" i="14" s="1"/>
  <c r="H223" i="14"/>
  <c r="I224" i="14" s="1"/>
  <c r="AD23" i="14" s="1"/>
  <c r="C224" i="14"/>
  <c r="C225" i="14" s="1"/>
  <c r="I221" i="14"/>
  <c r="J221" i="14" s="1"/>
  <c r="E224" i="14"/>
  <c r="E225" i="14" s="1"/>
  <c r="D239" i="14"/>
  <c r="G224" i="14"/>
  <c r="G239" i="14"/>
  <c r="E210" i="14"/>
  <c r="G166" i="14"/>
  <c r="G167" i="14" s="1"/>
  <c r="L175" i="14"/>
  <c r="I162" i="14"/>
  <c r="J162" i="14" s="1"/>
  <c r="K164" i="14"/>
  <c r="F181" i="14"/>
  <c r="D166" i="14"/>
  <c r="D167" i="14" s="1"/>
  <c r="D152" i="14"/>
  <c r="I131" i="14"/>
  <c r="J131" i="14" s="1"/>
  <c r="E152" i="14"/>
  <c r="I132" i="14"/>
  <c r="J132" i="14" s="1"/>
  <c r="G152" i="14"/>
  <c r="C137" i="14"/>
  <c r="I133" i="14"/>
  <c r="J133" i="14" s="1"/>
  <c r="I105" i="14"/>
  <c r="J105" i="14" s="1"/>
  <c r="F108" i="14"/>
  <c r="K106" i="14"/>
  <c r="F80" i="14"/>
  <c r="C79" i="14"/>
  <c r="K76" i="14"/>
  <c r="L85" i="14"/>
  <c r="K47" i="14"/>
  <c r="L56" i="14"/>
  <c r="F65" i="14"/>
  <c r="O28" i="14"/>
  <c r="E28" i="14" s="1"/>
  <c r="D28" i="14"/>
  <c r="F21" i="14"/>
  <c r="F22" i="14" s="1"/>
  <c r="K17" i="14"/>
  <c r="D36" i="14"/>
  <c r="K16" i="14"/>
  <c r="D51" i="14"/>
  <c r="N45" i="14"/>
  <c r="U32" i="14" s="1"/>
  <c r="T288" i="14"/>
  <c r="T289" i="14" s="1"/>
  <c r="T226" i="14"/>
  <c r="T287" i="14"/>
  <c r="L26" i="14"/>
  <c r="H20" i="14"/>
  <c r="I21" i="14" s="1"/>
  <c r="AD16" i="14" s="1"/>
  <c r="H49" i="14"/>
  <c r="I50" i="14" s="1"/>
  <c r="AD17" i="14" s="1"/>
  <c r="L55" i="14"/>
  <c r="I44" i="14"/>
  <c r="J44" i="14" s="1"/>
  <c r="K44" i="14"/>
  <c r="K46" i="14"/>
  <c r="I46" i="14"/>
  <c r="I16" i="14"/>
  <c r="J16" i="14" s="1"/>
  <c r="L27" i="14"/>
  <c r="I77" i="14"/>
  <c r="J77" i="14" s="1"/>
  <c r="K77" i="14"/>
  <c r="L88" i="14"/>
  <c r="K15" i="14"/>
  <c r="X288" i="14"/>
  <c r="X289" i="14" s="1"/>
  <c r="X287" i="14"/>
  <c r="X226" i="14"/>
  <c r="O30" i="14"/>
  <c r="O27" i="14"/>
  <c r="O26" i="14"/>
  <c r="D29" i="14"/>
  <c r="C29" i="14"/>
  <c r="I18" i="14"/>
  <c r="AN89" i="14"/>
  <c r="AN104" i="14"/>
  <c r="K18" i="14"/>
  <c r="I19" i="14"/>
  <c r="K19" i="14"/>
  <c r="C22" i="14"/>
  <c r="N15" i="14"/>
  <c r="T22" i="14" s="1"/>
  <c r="G58" i="14"/>
  <c r="F58" i="14"/>
  <c r="E58" i="14"/>
  <c r="D58" i="14"/>
  <c r="C58" i="14"/>
  <c r="C50" i="14"/>
  <c r="C65" i="14"/>
  <c r="E36" i="14"/>
  <c r="E21" i="14"/>
  <c r="D65" i="14"/>
  <c r="K45" i="14"/>
  <c r="L57" i="14"/>
  <c r="F28" i="14"/>
  <c r="I17" i="14"/>
  <c r="J17" i="14" s="1"/>
  <c r="L30" i="14"/>
  <c r="F51" i="14"/>
  <c r="G36" i="14"/>
  <c r="G50" i="14"/>
  <c r="AA53" i="14"/>
  <c r="K102" i="14"/>
  <c r="I102" i="14"/>
  <c r="J102" i="14" s="1"/>
  <c r="H107" i="14"/>
  <c r="I108" i="14" s="1"/>
  <c r="AD19" i="14" s="1"/>
  <c r="L113" i="14"/>
  <c r="I135" i="14"/>
  <c r="J135" i="14" s="1"/>
  <c r="L146" i="14"/>
  <c r="AA33" i="14"/>
  <c r="U287" i="14"/>
  <c r="U288" i="14"/>
  <c r="U289" i="14" s="1"/>
  <c r="U226" i="14"/>
  <c r="O57" i="14"/>
  <c r="F204" i="14"/>
  <c r="E204" i="14"/>
  <c r="C204" i="14"/>
  <c r="G204" i="14"/>
  <c r="D204" i="14"/>
  <c r="V287" i="14"/>
  <c r="V288" i="14"/>
  <c r="V289" i="14" s="1"/>
  <c r="V226" i="14"/>
  <c r="K75" i="14"/>
  <c r="D79" i="14"/>
  <c r="D94" i="14"/>
  <c r="W288" i="14"/>
  <c r="W289" i="14" s="1"/>
  <c r="W226" i="14"/>
  <c r="W287" i="14"/>
  <c r="I47" i="14"/>
  <c r="J47" i="14" s="1"/>
  <c r="AM89" i="14"/>
  <c r="AM104" i="14"/>
  <c r="K163" i="14"/>
  <c r="I163" i="14"/>
  <c r="J163" i="14" s="1"/>
  <c r="L174" i="14"/>
  <c r="L84" i="14"/>
  <c r="K73" i="14"/>
  <c r="H78" i="14"/>
  <c r="I79" i="14" s="1"/>
  <c r="AD18" i="14" s="1"/>
  <c r="AP90" i="14"/>
  <c r="AP95" i="14"/>
  <c r="AM95" i="14"/>
  <c r="AL95" i="14"/>
  <c r="O116" i="14"/>
  <c r="O114" i="14"/>
  <c r="E114" i="14" s="1"/>
  <c r="O113" i="14"/>
  <c r="O117" i="14"/>
  <c r="C138" i="14"/>
  <c r="I73" i="14"/>
  <c r="J73" i="14" s="1"/>
  <c r="K74" i="14"/>
  <c r="AT84" i="14"/>
  <c r="E94" i="14"/>
  <c r="E166" i="14"/>
  <c r="K162" i="14"/>
  <c r="E181" i="14"/>
  <c r="O55" i="14"/>
  <c r="AT85" i="14"/>
  <c r="AU96" i="14"/>
  <c r="AU97" i="14"/>
  <c r="C195" i="14"/>
  <c r="C210" i="14"/>
  <c r="N334" i="14"/>
  <c r="T132" i="14" s="1"/>
  <c r="C341" i="14"/>
  <c r="C123" i="14"/>
  <c r="C108" i="14"/>
  <c r="AS116" i="14"/>
  <c r="L145" i="14"/>
  <c r="I134" i="14"/>
  <c r="J134" i="14" s="1"/>
  <c r="I365" i="14"/>
  <c r="J365" i="14" s="1"/>
  <c r="L376" i="14"/>
  <c r="K365" i="14"/>
  <c r="K103" i="14"/>
  <c r="D123" i="14"/>
  <c r="D108" i="14"/>
  <c r="L115" i="14"/>
  <c r="D312" i="14"/>
  <c r="F152" i="14"/>
  <c r="F137" i="14"/>
  <c r="F143" i="14"/>
  <c r="D143" i="14"/>
  <c r="E143" i="14"/>
  <c r="G143" i="14"/>
  <c r="G123" i="14"/>
  <c r="G108" i="14"/>
  <c r="L171" i="14"/>
  <c r="I160" i="14"/>
  <c r="J160" i="14" s="1"/>
  <c r="H165" i="14"/>
  <c r="I166" i="14" s="1"/>
  <c r="AD21" i="14" s="1"/>
  <c r="K219" i="14"/>
  <c r="L230" i="14"/>
  <c r="AR87" i="14"/>
  <c r="AS87" i="14" s="1"/>
  <c r="K160" i="14"/>
  <c r="I219" i="14"/>
  <c r="J219" i="14" s="1"/>
  <c r="AX97" i="14"/>
  <c r="D137" i="14"/>
  <c r="E268" i="14"/>
  <c r="E253" i="14"/>
  <c r="K249" i="14"/>
  <c r="D326" i="14"/>
  <c r="K306" i="14"/>
  <c r="F167" i="14"/>
  <c r="I103" i="14"/>
  <c r="J103" i="14" s="1"/>
  <c r="F239" i="14"/>
  <c r="F224" i="14"/>
  <c r="K221" i="14"/>
  <c r="E289" i="14"/>
  <c r="F289" i="14"/>
  <c r="G289" i="14"/>
  <c r="C289" i="14"/>
  <c r="L202" i="14"/>
  <c r="I191" i="14"/>
  <c r="J191" i="14" s="1"/>
  <c r="K193" i="14"/>
  <c r="I193" i="14"/>
  <c r="J193" i="14" s="1"/>
  <c r="K189" i="14"/>
  <c r="AM123" i="14"/>
  <c r="I305" i="14"/>
  <c r="H310" i="14"/>
  <c r="I311" i="14" s="1"/>
  <c r="AD26" i="14" s="1"/>
  <c r="L316" i="14"/>
  <c r="K305" i="14"/>
  <c r="C181" i="14"/>
  <c r="I218" i="14"/>
  <c r="L229" i="14"/>
  <c r="K218" i="14"/>
  <c r="C268" i="14"/>
  <c r="K247" i="14"/>
  <c r="L117" i="14"/>
  <c r="K131" i="14"/>
  <c r="K133" i="14"/>
  <c r="G233" i="14"/>
  <c r="C485" i="14"/>
  <c r="C500" i="14"/>
  <c r="C254" i="14"/>
  <c r="H136" i="14"/>
  <c r="I137" i="14" s="1"/>
  <c r="AD20" i="14" s="1"/>
  <c r="C283" i="14"/>
  <c r="D195" i="14"/>
  <c r="O200" i="14"/>
  <c r="G200" i="14" s="1"/>
  <c r="O201" i="14"/>
  <c r="F201" i="14" s="1"/>
  <c r="O202" i="14"/>
  <c r="O203" i="14"/>
  <c r="I249" i="14"/>
  <c r="J249" i="14" s="1"/>
  <c r="O320" i="14"/>
  <c r="O316" i="14"/>
  <c r="H194" i="14"/>
  <c r="I195" i="14" s="1"/>
  <c r="AD22" i="14" s="1"/>
  <c r="D225" i="14"/>
  <c r="I161" i="14"/>
  <c r="J161" i="14" s="1"/>
  <c r="I189" i="14"/>
  <c r="J189" i="14" s="1"/>
  <c r="I192" i="14"/>
  <c r="L203" i="14"/>
  <c r="L231" i="14"/>
  <c r="H281" i="14"/>
  <c r="I282" i="14" s="1"/>
  <c r="AD25" i="14" s="1"/>
  <c r="L290" i="14"/>
  <c r="K279" i="14"/>
  <c r="K161" i="14"/>
  <c r="K192" i="14"/>
  <c r="D268" i="14"/>
  <c r="O317" i="14"/>
  <c r="F317" i="14" s="1"/>
  <c r="G442" i="14"/>
  <c r="G427" i="14"/>
  <c r="K220" i="14"/>
  <c r="D254" i="14"/>
  <c r="N248" i="14"/>
  <c r="U102" i="14" s="1"/>
  <c r="O291" i="14"/>
  <c r="O290" i="14"/>
  <c r="O288" i="14"/>
  <c r="D288" i="14" s="1"/>
  <c r="O287" i="14"/>
  <c r="C287" i="14" s="1"/>
  <c r="O318" i="14"/>
  <c r="O319" i="14"/>
  <c r="F319" i="14" s="1"/>
  <c r="K396" i="14"/>
  <c r="L407" i="14"/>
  <c r="I396" i="14"/>
  <c r="J396" i="14" s="1"/>
  <c r="K277" i="14"/>
  <c r="F282" i="14"/>
  <c r="E406" i="14"/>
  <c r="D406" i="14"/>
  <c r="I454" i="14"/>
  <c r="J454" i="14" s="1"/>
  <c r="L465" i="14"/>
  <c r="E485" i="14"/>
  <c r="K481" i="14"/>
  <c r="E500" i="14"/>
  <c r="K511" i="14"/>
  <c r="I511" i="14"/>
  <c r="J511" i="14" s="1"/>
  <c r="L522" i="14"/>
  <c r="L346" i="14"/>
  <c r="K335" i="14"/>
  <c r="I335" i="14"/>
  <c r="J335" i="14" s="1"/>
  <c r="H339" i="14"/>
  <c r="I340" i="14" s="1"/>
  <c r="AD27" i="14" s="1"/>
  <c r="F573" i="14"/>
  <c r="H252" i="14"/>
  <c r="I253" i="14" s="1"/>
  <c r="AD24" i="14" s="1"/>
  <c r="K307" i="14"/>
  <c r="I307" i="14"/>
  <c r="J307" i="14" s="1"/>
  <c r="L318" i="14"/>
  <c r="K250" i="14"/>
  <c r="L261" i="14"/>
  <c r="D289" i="14"/>
  <c r="F514" i="14"/>
  <c r="F529" i="14"/>
  <c r="E573" i="14"/>
  <c r="G210" i="14"/>
  <c r="F311" i="14"/>
  <c r="L378" i="14"/>
  <c r="K367" i="14"/>
  <c r="I367" i="14"/>
  <c r="J367" i="14" s="1"/>
  <c r="J508" i="14"/>
  <c r="F253" i="14"/>
  <c r="L259" i="14"/>
  <c r="E262" i="14"/>
  <c r="K309" i="14"/>
  <c r="I309" i="14"/>
  <c r="L320" i="14"/>
  <c r="N336" i="14"/>
  <c r="V132" i="14" s="1"/>
  <c r="E341" i="14"/>
  <c r="F456" i="14"/>
  <c r="I509" i="14"/>
  <c r="K509" i="14"/>
  <c r="G262" i="14"/>
  <c r="E283" i="14"/>
  <c r="L374" i="14"/>
  <c r="K363" i="14"/>
  <c r="H368" i="14"/>
  <c r="I369" i="14" s="1"/>
  <c r="AD28" i="14" s="1"/>
  <c r="I363" i="14"/>
  <c r="J363" i="14" s="1"/>
  <c r="D370" i="14"/>
  <c r="N364" i="14"/>
  <c r="U142" i="14" s="1"/>
  <c r="G413" i="14"/>
  <c r="G398" i="14"/>
  <c r="G326" i="14"/>
  <c r="O349" i="14"/>
  <c r="E349" i="14" s="1"/>
  <c r="O348" i="14"/>
  <c r="C348" i="14" s="1"/>
  <c r="O347" i="14"/>
  <c r="O346" i="14"/>
  <c r="O345" i="14"/>
  <c r="O552" i="14"/>
  <c r="G552" i="14" s="1"/>
  <c r="O551" i="14"/>
  <c r="O550" i="14"/>
  <c r="D550" i="14" s="1"/>
  <c r="O549" i="14"/>
  <c r="O548" i="14"/>
  <c r="E581" i="14"/>
  <c r="D581" i="14"/>
  <c r="C581" i="14"/>
  <c r="G581" i="14"/>
  <c r="F581" i="14"/>
  <c r="O378" i="14"/>
  <c r="O377" i="14"/>
  <c r="O376" i="14"/>
  <c r="O375" i="14"/>
  <c r="D375" i="14" s="1"/>
  <c r="O374" i="14"/>
  <c r="C543" i="14"/>
  <c r="C558" i="14"/>
  <c r="I425" i="14"/>
  <c r="J425" i="14" s="1"/>
  <c r="C461" i="14"/>
  <c r="N480" i="14"/>
  <c r="U182" i="14" s="1"/>
  <c r="D486" i="14"/>
  <c r="I512" i="14"/>
  <c r="J512" i="14" s="1"/>
  <c r="K512" i="14"/>
  <c r="K366" i="14"/>
  <c r="I393" i="14"/>
  <c r="J393" i="14" s="1"/>
  <c r="K425" i="14"/>
  <c r="E464" i="14"/>
  <c r="D464" i="14"/>
  <c r="C464" i="14"/>
  <c r="G464" i="14"/>
  <c r="I482" i="14"/>
  <c r="L493" i="14"/>
  <c r="K482" i="14"/>
  <c r="O491" i="14"/>
  <c r="O492" i="14"/>
  <c r="G492" i="14" s="1"/>
  <c r="N566" i="14"/>
  <c r="T212" i="14" s="1"/>
  <c r="E311" i="14"/>
  <c r="N366" i="14"/>
  <c r="W142" i="14" s="1"/>
  <c r="F370" i="14"/>
  <c r="K394" i="14"/>
  <c r="I394" i="14"/>
  <c r="C436" i="14"/>
  <c r="H455" i="14"/>
  <c r="I456" i="14" s="1"/>
  <c r="AD31" i="14" s="1"/>
  <c r="I450" i="14"/>
  <c r="K479" i="14"/>
  <c r="G573" i="14"/>
  <c r="D340" i="14"/>
  <c r="L347" i="14"/>
  <c r="H397" i="14"/>
  <c r="I398" i="14" s="1"/>
  <c r="AD29" i="14" s="1"/>
  <c r="L434" i="14"/>
  <c r="I423" i="14"/>
  <c r="J423" i="14" s="1"/>
  <c r="K450" i="14"/>
  <c r="C490" i="14"/>
  <c r="H426" i="14"/>
  <c r="I427" i="14" s="1"/>
  <c r="AD30" i="14" s="1"/>
  <c r="E461" i="14"/>
  <c r="O493" i="14"/>
  <c r="G490" i="14"/>
  <c r="F490" i="14"/>
  <c r="F494" i="14"/>
  <c r="F521" i="14"/>
  <c r="E580" i="14"/>
  <c r="F587" i="14"/>
  <c r="K483" i="14"/>
  <c r="I483" i="14"/>
  <c r="K510" i="14"/>
  <c r="L548" i="14"/>
  <c r="K537" i="14"/>
  <c r="I537" i="14"/>
  <c r="J537" i="14" s="1"/>
  <c r="H571" i="14"/>
  <c r="I572" i="14" s="1"/>
  <c r="AD35" i="14" s="1"/>
  <c r="K569" i="14"/>
  <c r="O436" i="14"/>
  <c r="O435" i="14"/>
  <c r="O434" i="14"/>
  <c r="O433" i="14"/>
  <c r="D433" i="14" s="1"/>
  <c r="O432" i="14"/>
  <c r="D490" i="14"/>
  <c r="D494" i="14"/>
  <c r="O578" i="14"/>
  <c r="F578" i="14" s="1"/>
  <c r="K452" i="14"/>
  <c r="E494" i="14"/>
  <c r="D543" i="14"/>
  <c r="K566" i="14"/>
  <c r="L432" i="14"/>
  <c r="K421" i="14"/>
  <c r="K453" i="14"/>
  <c r="D521" i="14"/>
  <c r="K567" i="14"/>
  <c r="I567" i="14"/>
  <c r="O577" i="14"/>
  <c r="E577" i="14" s="1"/>
  <c r="D587" i="14"/>
  <c r="L435" i="14"/>
  <c r="L551" i="14"/>
  <c r="AX98" i="12"/>
  <c r="AX94" i="12"/>
  <c r="AP94" i="12" s="1"/>
  <c r="AX95" i="12"/>
  <c r="AN95" i="12" s="1"/>
  <c r="AX96" i="12"/>
  <c r="AX97" i="12"/>
  <c r="AT86" i="12"/>
  <c r="AO89" i="12"/>
  <c r="AO90" i="12" s="1"/>
  <c r="AU97" i="12"/>
  <c r="AP89" i="12"/>
  <c r="AP90" i="12" s="1"/>
  <c r="AR84" i="12"/>
  <c r="AS84" i="12" s="1"/>
  <c r="AA213" i="12"/>
  <c r="O578" i="12"/>
  <c r="O579" i="12"/>
  <c r="O580" i="12"/>
  <c r="G580" i="12" s="1"/>
  <c r="K568" i="12"/>
  <c r="K570" i="12"/>
  <c r="K567" i="12"/>
  <c r="D572" i="12"/>
  <c r="D573" i="12" s="1"/>
  <c r="G562" i="12"/>
  <c r="C562" i="12"/>
  <c r="D562" i="12"/>
  <c r="F562" i="12"/>
  <c r="F543" i="12"/>
  <c r="D533" i="12"/>
  <c r="F533" i="12"/>
  <c r="G533" i="12"/>
  <c r="AA193" i="12"/>
  <c r="O519" i="12"/>
  <c r="O520" i="12"/>
  <c r="O524" i="12" s="1"/>
  <c r="O521" i="12"/>
  <c r="D521" i="12" s="1"/>
  <c r="O522" i="12"/>
  <c r="C522" i="12" s="1"/>
  <c r="G522" i="12"/>
  <c r="C523" i="12"/>
  <c r="O490" i="12"/>
  <c r="F490" i="12" s="1"/>
  <c r="O491" i="12"/>
  <c r="G491" i="12" s="1"/>
  <c r="I483" i="12"/>
  <c r="J483" i="12" s="1"/>
  <c r="E485" i="12"/>
  <c r="E486" i="12" s="1"/>
  <c r="C475" i="12"/>
  <c r="G475" i="12"/>
  <c r="O461" i="12"/>
  <c r="O462" i="12"/>
  <c r="O463" i="12"/>
  <c r="G463" i="12" s="1"/>
  <c r="F471" i="12"/>
  <c r="K453" i="12"/>
  <c r="D456" i="12"/>
  <c r="D457" i="12" s="1"/>
  <c r="AA163" i="12"/>
  <c r="F442" i="12"/>
  <c r="C417" i="12"/>
  <c r="D417" i="12"/>
  <c r="E417" i="12"/>
  <c r="F388" i="12"/>
  <c r="O375" i="12"/>
  <c r="O376" i="12"/>
  <c r="O377" i="12"/>
  <c r="F378" i="12"/>
  <c r="D369" i="12"/>
  <c r="D370" i="12" s="1"/>
  <c r="C359" i="12"/>
  <c r="E359" i="12"/>
  <c r="O345" i="12"/>
  <c r="O346" i="12"/>
  <c r="G348" i="12"/>
  <c r="C348" i="12"/>
  <c r="G340" i="12"/>
  <c r="G341" i="12" s="1"/>
  <c r="C330" i="12"/>
  <c r="E330" i="12"/>
  <c r="G330" i="12"/>
  <c r="O316" i="12"/>
  <c r="K308" i="12"/>
  <c r="E326" i="12"/>
  <c r="D301" i="12"/>
  <c r="E301" i="12"/>
  <c r="F301" i="12"/>
  <c r="O288" i="12"/>
  <c r="E288" i="12" s="1"/>
  <c r="O291" i="12"/>
  <c r="F291" i="12" s="1"/>
  <c r="I280" i="12"/>
  <c r="J280" i="12" s="1"/>
  <c r="K280" i="12"/>
  <c r="L289" i="12"/>
  <c r="G289" i="12" s="1"/>
  <c r="C272" i="12"/>
  <c r="O258" i="12"/>
  <c r="O259" i="12"/>
  <c r="G259" i="12" s="1"/>
  <c r="O260" i="12"/>
  <c r="O261" i="12"/>
  <c r="E261" i="12" s="1"/>
  <c r="D262" i="12"/>
  <c r="AA103" i="12"/>
  <c r="G260" i="12"/>
  <c r="L261" i="12"/>
  <c r="K250" i="12"/>
  <c r="I249" i="12"/>
  <c r="J249" i="12" s="1"/>
  <c r="K249" i="12"/>
  <c r="C243" i="12"/>
  <c r="D243" i="12"/>
  <c r="O233" i="12"/>
  <c r="C233" i="12" s="1"/>
  <c r="O232" i="12"/>
  <c r="O231" i="12"/>
  <c r="O230" i="12"/>
  <c r="I222" i="12"/>
  <c r="J222" i="12" s="1"/>
  <c r="K219" i="12"/>
  <c r="E224" i="12"/>
  <c r="E225" i="12" s="1"/>
  <c r="D239" i="12"/>
  <c r="I219" i="12"/>
  <c r="N219" i="12" s="1"/>
  <c r="U92" i="12" s="1"/>
  <c r="O202" i="12"/>
  <c r="AA83" i="12"/>
  <c r="O200" i="12"/>
  <c r="O204" i="12"/>
  <c r="E204" i="12" s="1"/>
  <c r="I193" i="12"/>
  <c r="J193" i="12" s="1"/>
  <c r="C175" i="12"/>
  <c r="AA73" i="12"/>
  <c r="G175" i="12"/>
  <c r="F175" i="12"/>
  <c r="E175" i="12"/>
  <c r="D175" i="12"/>
  <c r="K162" i="12"/>
  <c r="I162" i="12"/>
  <c r="J162" i="12" s="1"/>
  <c r="D166" i="12"/>
  <c r="D167" i="12" s="1"/>
  <c r="D156" i="12"/>
  <c r="G156" i="12"/>
  <c r="L146" i="12"/>
  <c r="C146" i="12" s="1"/>
  <c r="K135" i="12"/>
  <c r="I105" i="12"/>
  <c r="J105" i="12" s="1"/>
  <c r="F108" i="12"/>
  <c r="F109" i="12" s="1"/>
  <c r="I104" i="12"/>
  <c r="J104" i="12" s="1"/>
  <c r="I103" i="12"/>
  <c r="J103" i="12" s="1"/>
  <c r="D98" i="12"/>
  <c r="AA43" i="12"/>
  <c r="O86" i="12"/>
  <c r="F86" i="12" s="1"/>
  <c r="K77" i="12"/>
  <c r="K74" i="12"/>
  <c r="C69" i="12"/>
  <c r="D69" i="12"/>
  <c r="F69" i="12"/>
  <c r="O55" i="12"/>
  <c r="L577" i="12"/>
  <c r="K566" i="12"/>
  <c r="L579" i="12"/>
  <c r="F579" i="12" s="1"/>
  <c r="N566" i="12"/>
  <c r="T212" i="12" s="1"/>
  <c r="I568" i="12"/>
  <c r="N568" i="12" s="1"/>
  <c r="V212" i="12" s="1"/>
  <c r="K569" i="12"/>
  <c r="I537" i="12"/>
  <c r="J537" i="12" s="1"/>
  <c r="K539" i="12"/>
  <c r="L550" i="12"/>
  <c r="E558" i="12"/>
  <c r="K510" i="12"/>
  <c r="E514" i="12"/>
  <c r="E515" i="12" s="1"/>
  <c r="I511" i="12"/>
  <c r="J511" i="12" s="1"/>
  <c r="I512" i="12"/>
  <c r="J512" i="12" s="1"/>
  <c r="E491" i="12"/>
  <c r="C491" i="12"/>
  <c r="G493" i="12"/>
  <c r="F493" i="12"/>
  <c r="I480" i="12"/>
  <c r="J480" i="12" s="1"/>
  <c r="C463" i="12"/>
  <c r="F457" i="12"/>
  <c r="I452" i="12"/>
  <c r="J452" i="12" s="1"/>
  <c r="L464" i="12"/>
  <c r="F464" i="12" s="1"/>
  <c r="I453" i="12"/>
  <c r="J453" i="12" s="1"/>
  <c r="L465" i="12"/>
  <c r="G465" i="12" s="1"/>
  <c r="L461" i="12"/>
  <c r="C456" i="12"/>
  <c r="L432" i="12"/>
  <c r="I425" i="12"/>
  <c r="J425" i="12" s="1"/>
  <c r="G442" i="12"/>
  <c r="I421" i="12"/>
  <c r="J421" i="12" s="1"/>
  <c r="I394" i="12"/>
  <c r="J394" i="12" s="1"/>
  <c r="G398" i="12"/>
  <c r="G399" i="12" s="1"/>
  <c r="K394" i="12"/>
  <c r="I395" i="12"/>
  <c r="J395" i="12" s="1"/>
  <c r="D413" i="12"/>
  <c r="I367" i="12"/>
  <c r="J367" i="12" s="1"/>
  <c r="K367" i="12"/>
  <c r="D378" i="12"/>
  <c r="E378" i="12"/>
  <c r="N365" i="12"/>
  <c r="V142" i="12" s="1"/>
  <c r="G378" i="12"/>
  <c r="I338" i="12"/>
  <c r="J338" i="12" s="1"/>
  <c r="K338" i="12"/>
  <c r="H339" i="12"/>
  <c r="I340" i="12" s="1"/>
  <c r="AD27" i="12" s="1"/>
  <c r="I336" i="12"/>
  <c r="J336" i="12" s="1"/>
  <c r="K336" i="12"/>
  <c r="I306" i="12"/>
  <c r="J306" i="12" s="1"/>
  <c r="G326" i="12"/>
  <c r="K306" i="12"/>
  <c r="F311" i="12"/>
  <c r="I308" i="12"/>
  <c r="J308" i="12" s="1"/>
  <c r="I277" i="12"/>
  <c r="J277" i="12" s="1"/>
  <c r="L290" i="12"/>
  <c r="E290" i="12" s="1"/>
  <c r="I278" i="12"/>
  <c r="J278" i="12" s="1"/>
  <c r="C282" i="12"/>
  <c r="C283" i="12" s="1"/>
  <c r="I279" i="12"/>
  <c r="J279" i="12" s="1"/>
  <c r="G282" i="12"/>
  <c r="F262" i="12"/>
  <c r="N250" i="12"/>
  <c r="W102" i="12" s="1"/>
  <c r="E268" i="12"/>
  <c r="C253" i="12"/>
  <c r="G268" i="12"/>
  <c r="I220" i="12"/>
  <c r="J220" i="12" s="1"/>
  <c r="K220" i="12"/>
  <c r="F224" i="12"/>
  <c r="F225" i="12" s="1"/>
  <c r="C195" i="12"/>
  <c r="C196" i="12" s="1"/>
  <c r="E195" i="12"/>
  <c r="E196" i="12" s="1"/>
  <c r="K191" i="12"/>
  <c r="G195" i="12"/>
  <c r="G196" i="12" s="1"/>
  <c r="K193" i="12"/>
  <c r="L200" i="12"/>
  <c r="L202" i="12"/>
  <c r="F202" i="12" s="1"/>
  <c r="I189" i="12"/>
  <c r="J189" i="12" s="1"/>
  <c r="F210" i="12"/>
  <c r="L171" i="12"/>
  <c r="G166" i="12"/>
  <c r="G167" i="12" s="1"/>
  <c r="G152" i="12"/>
  <c r="H107" i="12"/>
  <c r="I108" i="12" s="1"/>
  <c r="AD19" i="12" s="1"/>
  <c r="L114" i="12"/>
  <c r="D114" i="12" s="1"/>
  <c r="L117" i="12"/>
  <c r="C117" i="12" s="1"/>
  <c r="K105" i="12"/>
  <c r="C108" i="12"/>
  <c r="C109" i="12" s="1"/>
  <c r="D115" i="12"/>
  <c r="G108" i="12"/>
  <c r="G109" i="12" s="1"/>
  <c r="F115" i="12"/>
  <c r="I106" i="12"/>
  <c r="H78" i="12"/>
  <c r="I79" i="12" s="1"/>
  <c r="AD18" i="12" s="1"/>
  <c r="K73" i="12"/>
  <c r="L85" i="12"/>
  <c r="I75" i="12"/>
  <c r="J75" i="12" s="1"/>
  <c r="C94" i="12"/>
  <c r="K75" i="12"/>
  <c r="E94" i="12"/>
  <c r="G79" i="12"/>
  <c r="G80" i="12" s="1"/>
  <c r="I77" i="12"/>
  <c r="J77" i="12" s="1"/>
  <c r="L84" i="12"/>
  <c r="G84" i="12" s="1"/>
  <c r="D50" i="12"/>
  <c r="D51" i="12" s="1"/>
  <c r="G50" i="12"/>
  <c r="G51" i="12" s="1"/>
  <c r="L55" i="12"/>
  <c r="I48" i="12"/>
  <c r="J48" i="12" s="1"/>
  <c r="K48" i="12"/>
  <c r="N44" i="12"/>
  <c r="T32" i="12" s="1"/>
  <c r="H49" i="12"/>
  <c r="I50" i="12" s="1"/>
  <c r="AD17" i="12" s="1"/>
  <c r="E40" i="12"/>
  <c r="G40" i="12"/>
  <c r="O29" i="12"/>
  <c r="O30" i="12"/>
  <c r="F30" i="12" s="1"/>
  <c r="O27" i="12"/>
  <c r="D27" i="12" s="1"/>
  <c r="O28" i="12"/>
  <c r="I19" i="12"/>
  <c r="J19" i="12" s="1"/>
  <c r="L29" i="12"/>
  <c r="G21" i="12"/>
  <c r="K19" i="12"/>
  <c r="K18" i="12"/>
  <c r="E21" i="12"/>
  <c r="E22" i="12" s="1"/>
  <c r="I16" i="12"/>
  <c r="J16" i="12" s="1"/>
  <c r="J17" i="12"/>
  <c r="C26" i="12"/>
  <c r="G26" i="12"/>
  <c r="F26" i="12"/>
  <c r="E26" i="12"/>
  <c r="D26" i="12"/>
  <c r="E51" i="12"/>
  <c r="K15" i="12"/>
  <c r="K17" i="12"/>
  <c r="V287" i="12"/>
  <c r="V288" i="12"/>
  <c r="V289" i="12" s="1"/>
  <c r="V226" i="12"/>
  <c r="F50" i="12"/>
  <c r="D109" i="12"/>
  <c r="N103" i="12"/>
  <c r="U52" i="12" s="1"/>
  <c r="K16" i="12"/>
  <c r="C21" i="12"/>
  <c r="X287" i="12"/>
  <c r="X288" i="12"/>
  <c r="X289" i="12" s="1"/>
  <c r="X226" i="12"/>
  <c r="L56" i="12"/>
  <c r="D21" i="12"/>
  <c r="AA23" i="12"/>
  <c r="L28" i="12"/>
  <c r="K47" i="12"/>
  <c r="I47" i="12"/>
  <c r="J47" i="12" s="1"/>
  <c r="AT85" i="12"/>
  <c r="AR85" i="12"/>
  <c r="AU96" i="12"/>
  <c r="AQ88" i="12"/>
  <c r="AR89" i="12" s="1"/>
  <c r="D84" i="12"/>
  <c r="BI162" i="12"/>
  <c r="L145" i="12"/>
  <c r="K134" i="12"/>
  <c r="I134" i="12"/>
  <c r="J134" i="12" s="1"/>
  <c r="W287" i="12"/>
  <c r="W288" i="12"/>
  <c r="W289" i="12" s="1"/>
  <c r="W226" i="12"/>
  <c r="F21" i="12"/>
  <c r="H136" i="12"/>
  <c r="I137" i="12" s="1"/>
  <c r="AD20" i="12" s="1"/>
  <c r="BI58" i="12"/>
  <c r="K46" i="12"/>
  <c r="I46" i="12"/>
  <c r="J46" i="12" s="1"/>
  <c r="N73" i="12"/>
  <c r="T42" i="12" s="1"/>
  <c r="C80" i="12"/>
  <c r="L172" i="12"/>
  <c r="K161" i="12"/>
  <c r="I161" i="12"/>
  <c r="F40" i="12"/>
  <c r="D40" i="12"/>
  <c r="E65" i="12"/>
  <c r="K76" i="12"/>
  <c r="L87" i="12"/>
  <c r="I76" i="12"/>
  <c r="J76" i="12" s="1"/>
  <c r="E80" i="12"/>
  <c r="AM89" i="12"/>
  <c r="AT84" i="12"/>
  <c r="AM104" i="12"/>
  <c r="E123" i="12"/>
  <c r="E108" i="12"/>
  <c r="H20" i="12"/>
  <c r="I21" i="12" s="1"/>
  <c r="AD16" i="12" s="1"/>
  <c r="C51" i="12"/>
  <c r="K45" i="12"/>
  <c r="I45" i="12"/>
  <c r="I15" i="12"/>
  <c r="J15" i="12" s="1"/>
  <c r="T288" i="12"/>
  <c r="T289" i="12" s="1"/>
  <c r="T287" i="12"/>
  <c r="T226" i="12"/>
  <c r="O59" i="12"/>
  <c r="O56" i="12"/>
  <c r="O57" i="12"/>
  <c r="E57" i="12" s="1"/>
  <c r="O58" i="12"/>
  <c r="F58" i="12" s="1"/>
  <c r="U288" i="12"/>
  <c r="U289" i="12" s="1"/>
  <c r="U287" i="12"/>
  <c r="U226" i="12"/>
  <c r="BL39" i="12"/>
  <c r="G143" i="12"/>
  <c r="O85" i="12"/>
  <c r="AT87" i="12"/>
  <c r="I131" i="12"/>
  <c r="L142" i="12"/>
  <c r="K131" i="12"/>
  <c r="D137" i="12"/>
  <c r="C181" i="12"/>
  <c r="C166" i="12"/>
  <c r="O173" i="12"/>
  <c r="C173" i="12" s="1"/>
  <c r="K221" i="12"/>
  <c r="L232" i="12"/>
  <c r="I221" i="12"/>
  <c r="L258" i="12"/>
  <c r="K247" i="12"/>
  <c r="I247" i="12"/>
  <c r="J247" i="12" s="1"/>
  <c r="H252" i="12"/>
  <c r="I253" i="12" s="1"/>
  <c r="AD24" i="12" s="1"/>
  <c r="AU98" i="12"/>
  <c r="AO123" i="12"/>
  <c r="AM123" i="12"/>
  <c r="AN123" i="12"/>
  <c r="E127" i="12"/>
  <c r="C127" i="12"/>
  <c r="G127" i="12"/>
  <c r="K133" i="12"/>
  <c r="I133" i="12"/>
  <c r="J133" i="12" s="1"/>
  <c r="F137" i="12"/>
  <c r="L144" i="12"/>
  <c r="O87" i="12"/>
  <c r="L88" i="12"/>
  <c r="AN104" i="12"/>
  <c r="AP123" i="12"/>
  <c r="O88" i="12"/>
  <c r="E69" i="12"/>
  <c r="D79" i="12"/>
  <c r="C115" i="12"/>
  <c r="O118" i="12"/>
  <c r="D123" i="12"/>
  <c r="E138" i="12"/>
  <c r="F146" i="12"/>
  <c r="E146" i="12"/>
  <c r="O174" i="12"/>
  <c r="O172" i="12"/>
  <c r="O171" i="12"/>
  <c r="F79" i="12"/>
  <c r="C98" i="12"/>
  <c r="K102" i="12"/>
  <c r="E115" i="12"/>
  <c r="F127" i="12"/>
  <c r="H165" i="12"/>
  <c r="I166" i="12" s="1"/>
  <c r="AD21" i="12" s="1"/>
  <c r="AL89" i="12"/>
  <c r="E98" i="12"/>
  <c r="K132" i="12"/>
  <c r="K160" i="12"/>
  <c r="F98" i="12"/>
  <c r="K163" i="12"/>
  <c r="L174" i="12"/>
  <c r="I163" i="12"/>
  <c r="J163" i="12" s="1"/>
  <c r="N135" i="12"/>
  <c r="X62" i="12" s="1"/>
  <c r="O144" i="12"/>
  <c r="K164" i="12"/>
  <c r="L201" i="12"/>
  <c r="K190" i="12"/>
  <c r="I190" i="12"/>
  <c r="J190" i="12" s="1"/>
  <c r="H194" i="12"/>
  <c r="I195" i="12" s="1"/>
  <c r="AD22" i="12" s="1"/>
  <c r="F214" i="12"/>
  <c r="D214" i="12"/>
  <c r="C214" i="12"/>
  <c r="C203" i="12"/>
  <c r="G203" i="12"/>
  <c r="E203" i="12"/>
  <c r="K222" i="12"/>
  <c r="G239" i="12"/>
  <c r="G224" i="12"/>
  <c r="E166" i="12"/>
  <c r="E181" i="12"/>
  <c r="D185" i="12"/>
  <c r="F185" i="12"/>
  <c r="K192" i="12"/>
  <c r="I192" i="12"/>
  <c r="F259" i="12"/>
  <c r="E259" i="12"/>
  <c r="D259" i="12"/>
  <c r="C259" i="12"/>
  <c r="E152" i="12"/>
  <c r="C156" i="12"/>
  <c r="F166" i="12"/>
  <c r="G254" i="12"/>
  <c r="D146" i="12"/>
  <c r="C185" i="12"/>
  <c r="D195" i="12"/>
  <c r="D210" i="12"/>
  <c r="C200" i="12"/>
  <c r="G200" i="12"/>
  <c r="E200" i="12"/>
  <c r="K218" i="12"/>
  <c r="L229" i="12"/>
  <c r="I218" i="12"/>
  <c r="J218" i="12" s="1"/>
  <c r="H223" i="12"/>
  <c r="I224" i="12" s="1"/>
  <c r="AD23" i="12" s="1"/>
  <c r="C224" i="12"/>
  <c r="C239" i="12"/>
  <c r="I164" i="12"/>
  <c r="G185" i="12"/>
  <c r="D203" i="12"/>
  <c r="G214" i="12"/>
  <c r="O407" i="12"/>
  <c r="O405" i="12"/>
  <c r="O403" i="12"/>
  <c r="O406" i="12"/>
  <c r="F406" i="12" s="1"/>
  <c r="O404" i="12"/>
  <c r="L230" i="12"/>
  <c r="C260" i="12"/>
  <c r="G262" i="12"/>
  <c r="D318" i="12"/>
  <c r="C318" i="12"/>
  <c r="G318" i="12"/>
  <c r="F318" i="12"/>
  <c r="E260" i="12"/>
  <c r="D319" i="12"/>
  <c r="C319" i="12"/>
  <c r="G319" i="12"/>
  <c r="F319" i="12"/>
  <c r="E233" i="12"/>
  <c r="I248" i="12"/>
  <c r="J248" i="12" s="1"/>
  <c r="C436" i="12"/>
  <c r="E436" i="12"/>
  <c r="D436" i="12"/>
  <c r="G436" i="12"/>
  <c r="K248" i="12"/>
  <c r="D254" i="12"/>
  <c r="H281" i="12"/>
  <c r="I282" i="12" s="1"/>
  <c r="AD25" i="12" s="1"/>
  <c r="L287" i="12"/>
  <c r="L320" i="12"/>
  <c r="K309" i="12"/>
  <c r="I309" i="12"/>
  <c r="D485" i="12"/>
  <c r="K480" i="12"/>
  <c r="D500" i="12"/>
  <c r="F254" i="12"/>
  <c r="I276" i="12"/>
  <c r="J276" i="12" s="1"/>
  <c r="C312" i="12"/>
  <c r="F436" i="12"/>
  <c r="F260" i="12"/>
  <c r="D260" i="12"/>
  <c r="E243" i="12"/>
  <c r="G272" i="12"/>
  <c r="E272" i="12"/>
  <c r="G370" i="12"/>
  <c r="N367" i="12"/>
  <c r="X142" i="12" s="1"/>
  <c r="J363" i="12"/>
  <c r="N363" i="12"/>
  <c r="T142" i="12" s="1"/>
  <c r="I251" i="12"/>
  <c r="J251" i="12" s="1"/>
  <c r="N247" i="12"/>
  <c r="T102" i="12" s="1"/>
  <c r="C254" i="12"/>
  <c r="D268" i="12"/>
  <c r="D272" i="12"/>
  <c r="C288" i="12"/>
  <c r="G288" i="12"/>
  <c r="H310" i="12"/>
  <c r="I311" i="12" s="1"/>
  <c r="AD26" i="12" s="1"/>
  <c r="K251" i="12"/>
  <c r="C262" i="12"/>
  <c r="D317" i="12"/>
  <c r="C317" i="12"/>
  <c r="G317" i="12"/>
  <c r="F317" i="12"/>
  <c r="E262" i="12"/>
  <c r="F268" i="12"/>
  <c r="K277" i="12"/>
  <c r="L462" i="12"/>
  <c r="K451" i="12"/>
  <c r="I451" i="12"/>
  <c r="J451" i="12" s="1"/>
  <c r="E456" i="12"/>
  <c r="E471" i="12"/>
  <c r="F529" i="12"/>
  <c r="K511" i="12"/>
  <c r="F514" i="12"/>
  <c r="K540" i="12"/>
  <c r="L551" i="12"/>
  <c r="I334" i="12"/>
  <c r="J334" i="12" s="1"/>
  <c r="F348" i="12"/>
  <c r="L403" i="12"/>
  <c r="K392" i="12"/>
  <c r="I392" i="12"/>
  <c r="J392" i="12" s="1"/>
  <c r="L407" i="12"/>
  <c r="K396" i="12"/>
  <c r="K452" i="12"/>
  <c r="F500" i="12"/>
  <c r="F485" i="12"/>
  <c r="G529" i="12"/>
  <c r="K512" i="12"/>
  <c r="G514" i="12"/>
  <c r="I540" i="12"/>
  <c r="J540" i="12" s="1"/>
  <c r="O292" i="12"/>
  <c r="G301" i="12"/>
  <c r="I307" i="12"/>
  <c r="J307" i="12" s="1"/>
  <c r="L346" i="12"/>
  <c r="I364" i="12"/>
  <c r="I396" i="12"/>
  <c r="J396" i="12" s="1"/>
  <c r="C442" i="12"/>
  <c r="C427" i="12"/>
  <c r="G500" i="12"/>
  <c r="G485" i="12"/>
  <c r="L552" i="12"/>
  <c r="K541" i="12"/>
  <c r="I541" i="12"/>
  <c r="J541" i="12" s="1"/>
  <c r="C289" i="12"/>
  <c r="K334" i="12"/>
  <c r="E348" i="12"/>
  <c r="D348" i="12"/>
  <c r="L345" i="12"/>
  <c r="K364" i="12"/>
  <c r="E384" i="12"/>
  <c r="L404" i="12"/>
  <c r="I393" i="12"/>
  <c r="N450" i="12"/>
  <c r="T172" i="12" s="1"/>
  <c r="L492" i="12"/>
  <c r="H484" i="12"/>
  <c r="I485" i="12" s="1"/>
  <c r="AD32" i="12" s="1"/>
  <c r="K481" i="12"/>
  <c r="E493" i="12"/>
  <c r="D493" i="12"/>
  <c r="C493" i="12"/>
  <c r="D282" i="12"/>
  <c r="I305" i="12"/>
  <c r="J305" i="12" s="1"/>
  <c r="K307" i="12"/>
  <c r="O321" i="12"/>
  <c r="I337" i="12"/>
  <c r="J337" i="12" s="1"/>
  <c r="G384" i="12"/>
  <c r="K393" i="12"/>
  <c r="C413" i="12"/>
  <c r="C398" i="12"/>
  <c r="E442" i="12"/>
  <c r="E427" i="12"/>
  <c r="I481" i="12"/>
  <c r="J481" i="12" s="1"/>
  <c r="E521" i="12"/>
  <c r="C529" i="12"/>
  <c r="D558" i="12"/>
  <c r="D543" i="12"/>
  <c r="K365" i="12"/>
  <c r="K422" i="12"/>
  <c r="O434" i="12"/>
  <c r="O432" i="12"/>
  <c r="O435" i="12"/>
  <c r="G521" i="12"/>
  <c r="G523" i="12"/>
  <c r="F523" i="12"/>
  <c r="E523" i="12"/>
  <c r="D523" i="12"/>
  <c r="N539" i="12"/>
  <c r="V202" i="12" s="1"/>
  <c r="E544" i="12"/>
  <c r="F282" i="12"/>
  <c r="F289" i="12"/>
  <c r="K305" i="12"/>
  <c r="L316" i="12"/>
  <c r="F326" i="12"/>
  <c r="I335" i="12"/>
  <c r="J335" i="12" s="1"/>
  <c r="K337" i="12"/>
  <c r="I366" i="12"/>
  <c r="J366" i="12" s="1"/>
  <c r="L377" i="12"/>
  <c r="H368" i="12"/>
  <c r="I369" i="12" s="1"/>
  <c r="AD28" i="12" s="1"/>
  <c r="I423" i="12"/>
  <c r="J423" i="12" s="1"/>
  <c r="L434" i="12"/>
  <c r="C457" i="12"/>
  <c r="K482" i="12"/>
  <c r="I482" i="12"/>
  <c r="J482" i="12" s="1"/>
  <c r="L578" i="12"/>
  <c r="I567" i="12"/>
  <c r="J567" i="12" s="1"/>
  <c r="H571" i="12"/>
  <c r="I572" i="12" s="1"/>
  <c r="AD35" i="12" s="1"/>
  <c r="C340" i="12"/>
  <c r="F413" i="12"/>
  <c r="F398" i="12"/>
  <c r="K395" i="12"/>
  <c r="D427" i="12"/>
  <c r="L519" i="12"/>
  <c r="K508" i="12"/>
  <c r="H513" i="12"/>
  <c r="I514" i="12" s="1"/>
  <c r="AD33" i="12" s="1"/>
  <c r="I508" i="12"/>
  <c r="G543" i="12"/>
  <c r="G558" i="12"/>
  <c r="G573" i="12"/>
  <c r="N570" i="12"/>
  <c r="X212" i="12" s="1"/>
  <c r="D330" i="12"/>
  <c r="E349" i="12"/>
  <c r="D340" i="12"/>
  <c r="K366" i="12"/>
  <c r="L376" i="12"/>
  <c r="K423" i="12"/>
  <c r="G494" i="12"/>
  <c r="D494" i="12"/>
  <c r="I538" i="12"/>
  <c r="J538" i="12" s="1"/>
  <c r="K538" i="12"/>
  <c r="C544" i="12"/>
  <c r="E340" i="12"/>
  <c r="E388" i="12"/>
  <c r="D388" i="12"/>
  <c r="H397" i="12"/>
  <c r="I398" i="12" s="1"/>
  <c r="AD29" i="12" s="1"/>
  <c r="K424" i="12"/>
  <c r="L435" i="12"/>
  <c r="I424" i="12"/>
  <c r="F340" i="12"/>
  <c r="K363" i="12"/>
  <c r="L374" i="12"/>
  <c r="C388" i="12"/>
  <c r="E399" i="12"/>
  <c r="H455" i="12"/>
  <c r="I456" i="12" s="1"/>
  <c r="AD31" i="12" s="1"/>
  <c r="K450" i="12"/>
  <c r="C500" i="12"/>
  <c r="C485" i="12"/>
  <c r="K479" i="12"/>
  <c r="D514" i="12"/>
  <c r="D529" i="12"/>
  <c r="C580" i="12"/>
  <c r="F369" i="12"/>
  <c r="F463" i="12"/>
  <c r="D463" i="12"/>
  <c r="F491" i="12"/>
  <c r="O549" i="12"/>
  <c r="F549" i="12" s="1"/>
  <c r="F359" i="12"/>
  <c r="G456" i="12"/>
  <c r="D475" i="12"/>
  <c r="E504" i="12"/>
  <c r="I510" i="12"/>
  <c r="D522" i="12"/>
  <c r="O548" i="12"/>
  <c r="G548" i="12" s="1"/>
  <c r="J568" i="12"/>
  <c r="C587" i="12"/>
  <c r="C378" i="12"/>
  <c r="I422" i="12"/>
  <c r="J422" i="12" s="1"/>
  <c r="L433" i="12"/>
  <c r="C446" i="12"/>
  <c r="K454" i="12"/>
  <c r="K483" i="12"/>
  <c r="F504" i="12"/>
  <c r="C521" i="12"/>
  <c r="E522" i="12"/>
  <c r="L581" i="12"/>
  <c r="E587" i="12"/>
  <c r="I569" i="12"/>
  <c r="F587" i="12"/>
  <c r="K425" i="12"/>
  <c r="G446" i="12"/>
  <c r="E463" i="12"/>
  <c r="D491" i="12"/>
  <c r="H542" i="12"/>
  <c r="I543" i="12" s="1"/>
  <c r="AD34" i="12" s="1"/>
  <c r="E577" i="12"/>
  <c r="G587" i="12"/>
  <c r="L520" i="12"/>
  <c r="K509" i="12"/>
  <c r="H426" i="12"/>
  <c r="I427" i="12" s="1"/>
  <c r="AD30" i="12" s="1"/>
  <c r="G490" i="12"/>
  <c r="I509" i="12"/>
  <c r="J509" i="12" s="1"/>
  <c r="O550" i="12"/>
  <c r="C550" i="12" s="1"/>
  <c r="C591" i="12"/>
  <c r="D591" i="12"/>
  <c r="E591" i="12"/>
  <c r="F591" i="12"/>
  <c r="AN89" i="9"/>
  <c r="AN90" i="9" s="1"/>
  <c r="AU98" i="9"/>
  <c r="AR87" i="9"/>
  <c r="AS87" i="9" s="1"/>
  <c r="AX98" i="9"/>
  <c r="AS116" i="9"/>
  <c r="AX94" i="9"/>
  <c r="AX97" i="9"/>
  <c r="AO97" i="9" s="1"/>
  <c r="AX96" i="9"/>
  <c r="AX95" i="9"/>
  <c r="AP89" i="9"/>
  <c r="AT87" i="9"/>
  <c r="AR86" i="9"/>
  <c r="AS86" i="9" s="1"/>
  <c r="AT86" i="9"/>
  <c r="AO89" i="9"/>
  <c r="AQ88" i="9"/>
  <c r="AR89" i="9" s="1"/>
  <c r="AT84" i="9"/>
  <c r="AT85" i="9"/>
  <c r="AT83" i="9"/>
  <c r="AU94" i="9"/>
  <c r="AU95" i="9"/>
  <c r="AU96" i="9"/>
  <c r="AR83" i="9"/>
  <c r="AS83" i="9" s="1"/>
  <c r="AL89" i="9"/>
  <c r="AM89" i="9"/>
  <c r="AW83" i="14" l="1"/>
  <c r="AL115" i="14" s="1"/>
  <c r="E29" i="14"/>
  <c r="F29" i="14"/>
  <c r="F59" i="14"/>
  <c r="G462" i="14"/>
  <c r="G461" i="14"/>
  <c r="F523" i="14"/>
  <c r="C523" i="14"/>
  <c r="D523" i="14"/>
  <c r="E523" i="14"/>
  <c r="O524" i="14"/>
  <c r="C521" i="14"/>
  <c r="N541" i="14"/>
  <c r="X202" i="14" s="1"/>
  <c r="F519" i="14"/>
  <c r="C519" i="14"/>
  <c r="H519" i="14" s="1"/>
  <c r="I519" i="14" s="1"/>
  <c r="E519" i="14"/>
  <c r="G519" i="14"/>
  <c r="F462" i="14"/>
  <c r="C462" i="14"/>
  <c r="C428" i="14"/>
  <c r="N393" i="14"/>
  <c r="U152" i="14" s="1"/>
  <c r="N395" i="14"/>
  <c r="W152" i="14" s="1"/>
  <c r="N363" i="14"/>
  <c r="T142" i="14" s="1"/>
  <c r="C345" i="14"/>
  <c r="E56" i="14"/>
  <c r="D113" i="12"/>
  <c r="D291" i="12"/>
  <c r="G347" i="12"/>
  <c r="C347" i="12"/>
  <c r="F347" i="12"/>
  <c r="E347" i="12"/>
  <c r="C494" i="12"/>
  <c r="H494" i="12" s="1"/>
  <c r="I494" i="12" s="1"/>
  <c r="E494" i="12"/>
  <c r="E490" i="12"/>
  <c r="O495" i="12"/>
  <c r="F521" i="12"/>
  <c r="E580" i="12"/>
  <c r="H580" i="12" s="1"/>
  <c r="I580" i="12" s="1"/>
  <c r="D580" i="12"/>
  <c r="O582" i="12"/>
  <c r="F580" i="12"/>
  <c r="E579" i="12"/>
  <c r="C465" i="12"/>
  <c r="D465" i="12"/>
  <c r="F465" i="12"/>
  <c r="F461" i="12"/>
  <c r="N307" i="12"/>
  <c r="V122" i="12" s="1"/>
  <c r="J219" i="12"/>
  <c r="C143" i="12"/>
  <c r="H143" i="12" s="1"/>
  <c r="I143" i="12" s="1"/>
  <c r="F143" i="12"/>
  <c r="D143" i="12"/>
  <c r="N540" i="14"/>
  <c r="W202" i="14" s="1"/>
  <c r="F405" i="14"/>
  <c r="N365" i="14"/>
  <c r="V142" i="14" s="1"/>
  <c r="C172" i="14"/>
  <c r="D462" i="14"/>
  <c r="G283" i="14"/>
  <c r="C580" i="14"/>
  <c r="N539" i="14"/>
  <c r="V202" i="14" s="1"/>
  <c r="N569" i="14"/>
  <c r="W212" i="14" s="1"/>
  <c r="N338" i="14"/>
  <c r="X132" i="14" s="1"/>
  <c r="D580" i="14"/>
  <c r="F520" i="14"/>
  <c r="F463" i="14"/>
  <c r="AN94" i="14"/>
  <c r="G463" i="14"/>
  <c r="AL94" i="14"/>
  <c r="N73" i="14"/>
  <c r="T42" i="14" s="1"/>
  <c r="N247" i="14"/>
  <c r="T102" i="14" s="1"/>
  <c r="N306" i="14"/>
  <c r="U122" i="14" s="1"/>
  <c r="N75" i="14"/>
  <c r="V42" i="14" s="1"/>
  <c r="F579" i="14"/>
  <c r="N367" i="14"/>
  <c r="X142" i="14" s="1"/>
  <c r="C406" i="14"/>
  <c r="N512" i="14"/>
  <c r="X192" i="14" s="1"/>
  <c r="N510" i="14"/>
  <c r="V192" i="14" s="1"/>
  <c r="D260" i="14"/>
  <c r="C144" i="14"/>
  <c r="D86" i="14"/>
  <c r="E550" i="14"/>
  <c r="N452" i="14"/>
  <c r="V172" i="14" s="1"/>
  <c r="N422" i="14"/>
  <c r="U162" i="14" s="1"/>
  <c r="G260" i="14"/>
  <c r="F175" i="14"/>
  <c r="F580" i="14"/>
  <c r="G579" i="14"/>
  <c r="O495" i="14"/>
  <c r="G258" i="14"/>
  <c r="C260" i="14"/>
  <c r="E87" i="14"/>
  <c r="AO95" i="14"/>
  <c r="F403" i="14"/>
  <c r="N76" i="14"/>
  <c r="W42" i="14" s="1"/>
  <c r="D577" i="14"/>
  <c r="C87" i="14"/>
  <c r="C86" i="14"/>
  <c r="N454" i="14"/>
  <c r="X172" i="14" s="1"/>
  <c r="G341" i="14"/>
  <c r="G349" i="14"/>
  <c r="E173" i="14"/>
  <c r="O466" i="14"/>
  <c r="AP98" i="14"/>
  <c r="AN98" i="14"/>
  <c r="E578" i="14"/>
  <c r="C578" i="14"/>
  <c r="F550" i="14"/>
  <c r="D520" i="14"/>
  <c r="G521" i="14"/>
  <c r="H521" i="14" s="1"/>
  <c r="I521" i="14" s="1"/>
  <c r="G520" i="14"/>
  <c r="H523" i="14"/>
  <c r="I523" i="14" s="1"/>
  <c r="C520" i="14"/>
  <c r="E492" i="14"/>
  <c r="G494" i="14"/>
  <c r="H494" i="14" s="1"/>
  <c r="I494" i="14" s="1"/>
  <c r="C463" i="14"/>
  <c r="D461" i="14"/>
  <c r="H461" i="14" s="1"/>
  <c r="I461" i="14" s="1"/>
  <c r="D463" i="14"/>
  <c r="E462" i="14"/>
  <c r="H462" i="14" s="1"/>
  <c r="I462" i="14" s="1"/>
  <c r="E404" i="14"/>
  <c r="G406" i="14"/>
  <c r="E403" i="14"/>
  <c r="C405" i="14"/>
  <c r="F404" i="14"/>
  <c r="D403" i="14"/>
  <c r="O408" i="14"/>
  <c r="E405" i="14"/>
  <c r="G404" i="14"/>
  <c r="C403" i="14"/>
  <c r="C404" i="14"/>
  <c r="D405" i="14"/>
  <c r="F406" i="14"/>
  <c r="F349" i="14"/>
  <c r="G345" i="14"/>
  <c r="G317" i="14"/>
  <c r="C319" i="14"/>
  <c r="D317" i="14"/>
  <c r="D319" i="14"/>
  <c r="F288" i="14"/>
  <c r="O234" i="14"/>
  <c r="F232" i="14"/>
  <c r="E172" i="14"/>
  <c r="G144" i="14"/>
  <c r="O147" i="14"/>
  <c r="G142" i="14"/>
  <c r="D142" i="14"/>
  <c r="D144" i="14"/>
  <c r="G87" i="14"/>
  <c r="D87" i="14"/>
  <c r="C56" i="14"/>
  <c r="C28" i="14"/>
  <c r="G28" i="14"/>
  <c r="D548" i="12"/>
  <c r="O379" i="12"/>
  <c r="F349" i="12"/>
  <c r="O350" i="12"/>
  <c r="G349" i="12"/>
  <c r="C349" i="12"/>
  <c r="C291" i="12"/>
  <c r="E291" i="12"/>
  <c r="G291" i="12"/>
  <c r="D233" i="12"/>
  <c r="F233" i="12"/>
  <c r="G233" i="12"/>
  <c r="C204" i="12"/>
  <c r="G204" i="12"/>
  <c r="D204" i="12"/>
  <c r="F204" i="12"/>
  <c r="C116" i="12"/>
  <c r="D116" i="12"/>
  <c r="D118" i="12" s="1"/>
  <c r="U46" i="12" s="1"/>
  <c r="U54" i="12" s="1"/>
  <c r="U234" i="12" s="1"/>
  <c r="E116" i="12"/>
  <c r="F116" i="12"/>
  <c r="AW85" i="9"/>
  <c r="AN115" i="9" s="1"/>
  <c r="C375" i="12"/>
  <c r="D490" i="12"/>
  <c r="H490" i="12" s="1"/>
  <c r="F261" i="12"/>
  <c r="G375" i="12"/>
  <c r="C490" i="12"/>
  <c r="G461" i="12"/>
  <c r="F375" i="12"/>
  <c r="N425" i="12"/>
  <c r="X162" i="12" s="1"/>
  <c r="D86" i="12"/>
  <c r="N193" i="12"/>
  <c r="X82" i="12" s="1"/>
  <c r="O466" i="12"/>
  <c r="D461" i="12"/>
  <c r="D173" i="12"/>
  <c r="E461" i="12"/>
  <c r="C113" i="12"/>
  <c r="E86" i="12"/>
  <c r="O205" i="12"/>
  <c r="O263" i="12"/>
  <c r="N189" i="12"/>
  <c r="T82" i="12" s="1"/>
  <c r="C86" i="12"/>
  <c r="E113" i="12"/>
  <c r="H113" i="12" s="1"/>
  <c r="I113" i="12" s="1"/>
  <c r="G86" i="12"/>
  <c r="E173" i="12"/>
  <c r="C549" i="12"/>
  <c r="F113" i="12"/>
  <c r="N453" i="12"/>
  <c r="W172" i="12" s="1"/>
  <c r="D375" i="12"/>
  <c r="N248" i="12"/>
  <c r="U102" i="12" s="1"/>
  <c r="G113" i="12"/>
  <c r="N106" i="12"/>
  <c r="X52" i="12" s="1"/>
  <c r="F522" i="12"/>
  <c r="H522" i="12" s="1"/>
  <c r="I522" i="12" s="1"/>
  <c r="J522" i="12" s="1"/>
  <c r="W191" i="12" s="1"/>
  <c r="E375" i="12"/>
  <c r="D29" i="12"/>
  <c r="AM98" i="14"/>
  <c r="AL98" i="14"/>
  <c r="AP94" i="14"/>
  <c r="AN95" i="14"/>
  <c r="AM94" i="14"/>
  <c r="AW86" i="14"/>
  <c r="AO115" i="14" s="1"/>
  <c r="AW87" i="14"/>
  <c r="AP115" i="14" s="1"/>
  <c r="N278" i="14"/>
  <c r="V112" i="14" s="1"/>
  <c r="F258" i="14"/>
  <c r="E260" i="14"/>
  <c r="N251" i="14"/>
  <c r="X102" i="14" s="1"/>
  <c r="C232" i="14"/>
  <c r="G232" i="14"/>
  <c r="D232" i="14"/>
  <c r="E233" i="14"/>
  <c r="C233" i="14"/>
  <c r="D233" i="14"/>
  <c r="N220" i="14"/>
  <c r="V92" i="14" s="1"/>
  <c r="D173" i="14"/>
  <c r="D175" i="14"/>
  <c r="D172" i="14"/>
  <c r="F173" i="14"/>
  <c r="G172" i="14"/>
  <c r="C173" i="14"/>
  <c r="N164" i="14"/>
  <c r="X72" i="14" s="1"/>
  <c r="C175" i="14"/>
  <c r="E175" i="14"/>
  <c r="N133" i="14"/>
  <c r="V62" i="14" s="1"/>
  <c r="N104" i="14"/>
  <c r="V52" i="14" s="1"/>
  <c r="E85" i="14"/>
  <c r="O89" i="14"/>
  <c r="E86" i="14"/>
  <c r="F86" i="14"/>
  <c r="C80" i="14"/>
  <c r="G85" i="14"/>
  <c r="C85" i="14"/>
  <c r="F287" i="14"/>
  <c r="E287" i="14"/>
  <c r="D287" i="14"/>
  <c r="D258" i="14"/>
  <c r="O263" i="14"/>
  <c r="E258" i="14"/>
  <c r="D200" i="14"/>
  <c r="C200" i="14"/>
  <c r="E200" i="14"/>
  <c r="D201" i="14"/>
  <c r="E144" i="14"/>
  <c r="F142" i="14"/>
  <c r="E142" i="14"/>
  <c r="D114" i="14"/>
  <c r="G114" i="14"/>
  <c r="F114" i="14"/>
  <c r="AA287" i="14"/>
  <c r="F85" i="14"/>
  <c r="D85" i="14"/>
  <c r="G59" i="14"/>
  <c r="C59" i="14"/>
  <c r="D59" i="14"/>
  <c r="AA288" i="14"/>
  <c r="N568" i="14"/>
  <c r="V212" i="14" s="1"/>
  <c r="C579" i="14"/>
  <c r="N570" i="14"/>
  <c r="X212" i="14" s="1"/>
  <c r="D579" i="14"/>
  <c r="E579" i="14"/>
  <c r="N508" i="14"/>
  <c r="T192" i="14" s="1"/>
  <c r="F428" i="14"/>
  <c r="N424" i="14"/>
  <c r="W162" i="14" s="1"/>
  <c r="N392" i="14"/>
  <c r="T152" i="14" s="1"/>
  <c r="E345" i="14"/>
  <c r="N276" i="14"/>
  <c r="T112" i="14" s="1"/>
  <c r="N277" i="14"/>
  <c r="U112" i="14" s="1"/>
  <c r="C262" i="14"/>
  <c r="F262" i="14"/>
  <c r="D262" i="14"/>
  <c r="N219" i="14"/>
  <c r="U92" i="14" s="1"/>
  <c r="G225" i="14"/>
  <c r="N222" i="14"/>
  <c r="X92" i="14" s="1"/>
  <c r="G175" i="14"/>
  <c r="N163" i="14"/>
  <c r="W72" i="14" s="1"/>
  <c r="N131" i="14"/>
  <c r="T62" i="14" s="1"/>
  <c r="N135" i="14"/>
  <c r="X62" i="14" s="1"/>
  <c r="N105" i="14"/>
  <c r="W52" i="14" s="1"/>
  <c r="F109" i="14"/>
  <c r="N77" i="14"/>
  <c r="X42" i="14" s="1"/>
  <c r="F56" i="14"/>
  <c r="G56" i="14"/>
  <c r="D56" i="14"/>
  <c r="H29" i="14"/>
  <c r="I29" i="14" s="1"/>
  <c r="J29" i="14" s="1"/>
  <c r="W21" i="14" s="1"/>
  <c r="F434" i="14"/>
  <c r="D434" i="14"/>
  <c r="C434" i="14"/>
  <c r="G434" i="14"/>
  <c r="E434" i="14"/>
  <c r="E312" i="14"/>
  <c r="N307" i="14"/>
  <c r="V122" i="14" s="1"/>
  <c r="N396" i="14"/>
  <c r="X152" i="14" s="1"/>
  <c r="G399" i="14"/>
  <c r="G407" i="14"/>
  <c r="F407" i="14"/>
  <c r="E407" i="14"/>
  <c r="C407" i="14"/>
  <c r="D407" i="14"/>
  <c r="D291" i="14"/>
  <c r="F231" i="14"/>
  <c r="D231" i="14"/>
  <c r="C231" i="14"/>
  <c r="G231" i="14"/>
  <c r="E231" i="14"/>
  <c r="F492" i="14"/>
  <c r="G291" i="14"/>
  <c r="F146" i="14"/>
  <c r="D146" i="14"/>
  <c r="E146" i="14"/>
  <c r="G146" i="14"/>
  <c r="C146" i="14"/>
  <c r="N18" i="14"/>
  <c r="W22" i="14" s="1"/>
  <c r="J18" i="14"/>
  <c r="G27" i="14"/>
  <c r="F27" i="14"/>
  <c r="D27" i="14"/>
  <c r="C27" i="14"/>
  <c r="E27" i="14"/>
  <c r="O582" i="14"/>
  <c r="N537" i="14"/>
  <c r="T202" i="14" s="1"/>
  <c r="C544" i="14"/>
  <c r="O553" i="14"/>
  <c r="N423" i="14"/>
  <c r="V162" i="14" s="1"/>
  <c r="C486" i="14"/>
  <c r="N479" i="14"/>
  <c r="T182" i="14" s="1"/>
  <c r="F229" i="14"/>
  <c r="D229" i="14"/>
  <c r="C229" i="14"/>
  <c r="E229" i="14"/>
  <c r="G229" i="14"/>
  <c r="N161" i="14"/>
  <c r="U72" i="14" s="1"/>
  <c r="G51" i="14"/>
  <c r="N48" i="14"/>
  <c r="X32" i="14" s="1"/>
  <c r="J567" i="14"/>
  <c r="N567" i="14"/>
  <c r="U212" i="14" s="1"/>
  <c r="N538" i="14"/>
  <c r="U202" i="14" s="1"/>
  <c r="D544" i="14"/>
  <c r="O437" i="14"/>
  <c r="N450" i="14"/>
  <c r="T172" i="14" s="1"/>
  <c r="J450" i="14"/>
  <c r="G549" i="14"/>
  <c r="F549" i="14"/>
  <c r="E549" i="14"/>
  <c r="C549" i="14"/>
  <c r="D549" i="14"/>
  <c r="G522" i="14"/>
  <c r="E522" i="14"/>
  <c r="E525" i="14" s="1"/>
  <c r="V187" i="14" s="1"/>
  <c r="V195" i="14" s="1"/>
  <c r="D522" i="14"/>
  <c r="F522" i="14"/>
  <c r="C522" i="14"/>
  <c r="F375" i="14"/>
  <c r="N218" i="14"/>
  <c r="T92" i="14" s="1"/>
  <c r="J218" i="14"/>
  <c r="G202" i="14"/>
  <c r="E202" i="14"/>
  <c r="D202" i="14"/>
  <c r="C202" i="14"/>
  <c r="F202" i="14"/>
  <c r="E145" i="14"/>
  <c r="G145" i="14"/>
  <c r="C145" i="14"/>
  <c r="F145" i="14"/>
  <c r="D145" i="14"/>
  <c r="D174" i="14"/>
  <c r="F174" i="14"/>
  <c r="E174" i="14"/>
  <c r="C174" i="14"/>
  <c r="G174" i="14"/>
  <c r="H28" i="14"/>
  <c r="I28" i="14" s="1"/>
  <c r="N102" i="14"/>
  <c r="T52" i="14" s="1"/>
  <c r="C109" i="14"/>
  <c r="G433" i="14"/>
  <c r="F433" i="14"/>
  <c r="C433" i="14"/>
  <c r="E433" i="14"/>
  <c r="G548" i="14"/>
  <c r="E548" i="14"/>
  <c r="D548" i="14"/>
  <c r="C548" i="14"/>
  <c r="F548" i="14"/>
  <c r="D492" i="14"/>
  <c r="C550" i="14"/>
  <c r="G550" i="14"/>
  <c r="F320" i="14"/>
  <c r="D320" i="14"/>
  <c r="C320" i="14"/>
  <c r="E320" i="14"/>
  <c r="G320" i="14"/>
  <c r="D378" i="14"/>
  <c r="G378" i="14"/>
  <c r="F378" i="14"/>
  <c r="C378" i="14"/>
  <c r="E378" i="14"/>
  <c r="N511" i="14"/>
  <c r="W192" i="14" s="1"/>
  <c r="F515" i="14"/>
  <c r="C375" i="14"/>
  <c r="E171" i="14"/>
  <c r="C171" i="14"/>
  <c r="G171" i="14"/>
  <c r="D171" i="14"/>
  <c r="F171" i="14"/>
  <c r="E115" i="14"/>
  <c r="G115" i="14"/>
  <c r="D115" i="14"/>
  <c r="F115" i="14"/>
  <c r="C115" i="14"/>
  <c r="N16" i="14"/>
  <c r="U22" i="14" s="1"/>
  <c r="D491" i="14"/>
  <c r="C491" i="14"/>
  <c r="N309" i="14"/>
  <c r="X122" i="14" s="1"/>
  <c r="J309" i="14"/>
  <c r="N308" i="14"/>
  <c r="W122" i="14" s="1"/>
  <c r="F312" i="14"/>
  <c r="G375" i="14"/>
  <c r="D203" i="14"/>
  <c r="G203" i="14"/>
  <c r="F203" i="14"/>
  <c r="C203" i="14"/>
  <c r="E203" i="14"/>
  <c r="F377" i="14"/>
  <c r="N134" i="14"/>
  <c r="W62" i="14" s="1"/>
  <c r="F138" i="14"/>
  <c r="N103" i="14"/>
  <c r="U52" i="14" s="1"/>
  <c r="D109" i="14"/>
  <c r="O60" i="14"/>
  <c r="H204" i="14"/>
  <c r="I204" i="14" s="1"/>
  <c r="G55" i="14"/>
  <c r="F55" i="14"/>
  <c r="E55" i="14"/>
  <c r="C55" i="14"/>
  <c r="D55" i="14"/>
  <c r="E491" i="14"/>
  <c r="H581" i="14"/>
  <c r="I581" i="14" s="1"/>
  <c r="E552" i="14"/>
  <c r="D552" i="14"/>
  <c r="C552" i="14"/>
  <c r="F552" i="14"/>
  <c r="C349" i="14"/>
  <c r="E375" i="14"/>
  <c r="G428" i="14"/>
  <c r="N425" i="14"/>
  <c r="X162" i="14" s="1"/>
  <c r="J192" i="14"/>
  <c r="N192" i="14"/>
  <c r="W82" i="14" s="1"/>
  <c r="C201" i="14"/>
  <c r="G201" i="14"/>
  <c r="E201" i="14"/>
  <c r="C377" i="14"/>
  <c r="O118" i="14"/>
  <c r="F57" i="14"/>
  <c r="C57" i="14"/>
  <c r="G57" i="14"/>
  <c r="E57" i="14"/>
  <c r="D57" i="14"/>
  <c r="D436" i="14"/>
  <c r="F491" i="14"/>
  <c r="H464" i="14"/>
  <c r="I464" i="14" s="1"/>
  <c r="E436" i="14"/>
  <c r="O350" i="14"/>
  <c r="F345" i="14"/>
  <c r="D345" i="14"/>
  <c r="G346" i="14"/>
  <c r="E346" i="14"/>
  <c r="D346" i="14"/>
  <c r="C346" i="14"/>
  <c r="F346" i="14"/>
  <c r="O321" i="14"/>
  <c r="O205" i="14"/>
  <c r="F200" i="14"/>
  <c r="N191" i="14"/>
  <c r="V82" i="14" s="1"/>
  <c r="E377" i="14"/>
  <c r="F225" i="14"/>
  <c r="N221" i="14"/>
  <c r="W92" i="14" s="1"/>
  <c r="D138" i="14"/>
  <c r="N132" i="14"/>
  <c r="U62" i="14" s="1"/>
  <c r="G109" i="14"/>
  <c r="N106" i="14"/>
  <c r="X52" i="14" s="1"/>
  <c r="C114" i="14"/>
  <c r="G84" i="14"/>
  <c r="D84" i="14"/>
  <c r="F84" i="14"/>
  <c r="E84" i="14"/>
  <c r="C84" i="14"/>
  <c r="N47" i="14"/>
  <c r="W32" i="14" s="1"/>
  <c r="AW85" i="14"/>
  <c r="AN115" i="14" s="1"/>
  <c r="AN90" i="14"/>
  <c r="O31" i="14"/>
  <c r="G88" i="14"/>
  <c r="D88" i="14"/>
  <c r="C88" i="14"/>
  <c r="F88" i="14"/>
  <c r="E88" i="14"/>
  <c r="J46" i="14"/>
  <c r="N46" i="14"/>
  <c r="V32" i="14" s="1"/>
  <c r="H490" i="14"/>
  <c r="I490" i="14" s="1"/>
  <c r="G347" i="14"/>
  <c r="F347" i="14"/>
  <c r="E347" i="14"/>
  <c r="C347" i="14"/>
  <c r="D347" i="14"/>
  <c r="J394" i="14"/>
  <c r="N394" i="14"/>
  <c r="V152" i="14" s="1"/>
  <c r="G491" i="14"/>
  <c r="G436" i="14"/>
  <c r="D374" i="14"/>
  <c r="G374" i="14"/>
  <c r="F374" i="14"/>
  <c r="C374" i="14"/>
  <c r="E374" i="14"/>
  <c r="J509" i="14"/>
  <c r="N509" i="14"/>
  <c r="U192" i="14" s="1"/>
  <c r="C259" i="14"/>
  <c r="G259" i="14"/>
  <c r="F259" i="14"/>
  <c r="E259" i="14"/>
  <c r="D259" i="14"/>
  <c r="C291" i="14"/>
  <c r="N481" i="14"/>
  <c r="V182" i="14" s="1"/>
  <c r="E486" i="14"/>
  <c r="N279" i="14"/>
  <c r="W112" i="14" s="1"/>
  <c r="F283" i="14"/>
  <c r="G319" i="14"/>
  <c r="E319" i="14"/>
  <c r="O176" i="14"/>
  <c r="D196" i="14"/>
  <c r="N190" i="14"/>
  <c r="U82" i="14" s="1"/>
  <c r="G377" i="14"/>
  <c r="F230" i="14"/>
  <c r="D230" i="14"/>
  <c r="C230" i="14"/>
  <c r="G230" i="14"/>
  <c r="E230" i="14"/>
  <c r="N189" i="14"/>
  <c r="T82" i="14" s="1"/>
  <c r="C196" i="14"/>
  <c r="AM97" i="14"/>
  <c r="AO97" i="14"/>
  <c r="AN97" i="14"/>
  <c r="AP97" i="14"/>
  <c r="AL97" i="14"/>
  <c r="N162" i="14"/>
  <c r="V72" i="14" s="1"/>
  <c r="E167" i="14"/>
  <c r="F116" i="14"/>
  <c r="C116" i="14"/>
  <c r="D80" i="14"/>
  <c r="N74" i="14"/>
  <c r="U42" i="14" s="1"/>
  <c r="F113" i="14"/>
  <c r="C113" i="14"/>
  <c r="G113" i="14"/>
  <c r="E113" i="14"/>
  <c r="D113" i="14"/>
  <c r="G30" i="14"/>
  <c r="F30" i="14"/>
  <c r="D30" i="14"/>
  <c r="C30" i="14"/>
  <c r="E30" i="14"/>
  <c r="N19" i="14"/>
  <c r="X22" i="14" s="1"/>
  <c r="J19" i="14"/>
  <c r="F432" i="14"/>
  <c r="D432" i="14"/>
  <c r="E432" i="14"/>
  <c r="C432" i="14"/>
  <c r="G432" i="14"/>
  <c r="G551" i="14"/>
  <c r="E551" i="14"/>
  <c r="D551" i="14"/>
  <c r="C551" i="14"/>
  <c r="F551" i="14"/>
  <c r="N335" i="14"/>
  <c r="U132" i="14" s="1"/>
  <c r="D341" i="14"/>
  <c r="F577" i="14"/>
  <c r="N453" i="14"/>
  <c r="W172" i="14" s="1"/>
  <c r="F457" i="14"/>
  <c r="F254" i="14"/>
  <c r="N250" i="14"/>
  <c r="W102" i="14" s="1"/>
  <c r="E291" i="14"/>
  <c r="E465" i="14"/>
  <c r="D465" i="14"/>
  <c r="C465" i="14"/>
  <c r="F465" i="14"/>
  <c r="G465" i="14"/>
  <c r="E317" i="14"/>
  <c r="G290" i="14"/>
  <c r="E290" i="14"/>
  <c r="C290" i="14"/>
  <c r="D290" i="14"/>
  <c r="F290" i="14"/>
  <c r="D377" i="14"/>
  <c r="D376" i="14"/>
  <c r="F376" i="14"/>
  <c r="C376" i="14"/>
  <c r="G376" i="14"/>
  <c r="E376" i="14"/>
  <c r="AP96" i="14"/>
  <c r="AO96" i="14"/>
  <c r="AL96" i="14"/>
  <c r="AN96" i="14"/>
  <c r="AM96" i="14"/>
  <c r="E116" i="14"/>
  <c r="H143" i="14"/>
  <c r="I143" i="14" s="1"/>
  <c r="E26" i="14"/>
  <c r="D26" i="14"/>
  <c r="C26" i="14"/>
  <c r="G26" i="14"/>
  <c r="F26" i="14"/>
  <c r="J305" i="14"/>
  <c r="N305" i="14"/>
  <c r="T122" i="14" s="1"/>
  <c r="F435" i="14"/>
  <c r="E435" i="14"/>
  <c r="C435" i="14"/>
  <c r="G435" i="14"/>
  <c r="D435" i="14"/>
  <c r="J483" i="14"/>
  <c r="N483" i="14"/>
  <c r="X182" i="14" s="1"/>
  <c r="G493" i="14"/>
  <c r="F493" i="14"/>
  <c r="E493" i="14"/>
  <c r="D493" i="14"/>
  <c r="C493" i="14"/>
  <c r="G577" i="14"/>
  <c r="G348" i="14"/>
  <c r="E348" i="14"/>
  <c r="F348" i="14"/>
  <c r="D348" i="14"/>
  <c r="C261" i="14"/>
  <c r="E261" i="14"/>
  <c r="F261" i="14"/>
  <c r="D261" i="14"/>
  <c r="G261" i="14"/>
  <c r="F318" i="14"/>
  <c r="D318" i="14"/>
  <c r="C318" i="14"/>
  <c r="E318" i="14"/>
  <c r="G318" i="14"/>
  <c r="O292" i="14"/>
  <c r="G287" i="14"/>
  <c r="C117" i="14"/>
  <c r="F117" i="14"/>
  <c r="G117" i="14"/>
  <c r="E117" i="14"/>
  <c r="D117" i="14"/>
  <c r="F316" i="14"/>
  <c r="D316" i="14"/>
  <c r="C316" i="14"/>
  <c r="E316" i="14"/>
  <c r="G316" i="14"/>
  <c r="H289" i="14"/>
  <c r="I289" i="14" s="1"/>
  <c r="N160" i="14"/>
  <c r="T72" i="14" s="1"/>
  <c r="N249" i="14"/>
  <c r="V102" i="14" s="1"/>
  <c r="E254" i="14"/>
  <c r="G116" i="14"/>
  <c r="C51" i="14"/>
  <c r="N44" i="14"/>
  <c r="T32" i="14" s="1"/>
  <c r="G578" i="14"/>
  <c r="F436" i="14"/>
  <c r="N482" i="14"/>
  <c r="W182" i="14" s="1"/>
  <c r="J482" i="14"/>
  <c r="D578" i="14"/>
  <c r="O379" i="14"/>
  <c r="C577" i="14"/>
  <c r="D349" i="14"/>
  <c r="F291" i="14"/>
  <c r="C317" i="14"/>
  <c r="C288" i="14"/>
  <c r="E288" i="14"/>
  <c r="G288" i="14"/>
  <c r="C492" i="14"/>
  <c r="N193" i="14"/>
  <c r="X82" i="14" s="1"/>
  <c r="AX99" i="14"/>
  <c r="D116" i="14"/>
  <c r="AW84" i="14"/>
  <c r="AM115" i="14" s="1"/>
  <c r="AM90" i="14"/>
  <c r="N17" i="14"/>
  <c r="V22" i="14" s="1"/>
  <c r="E22" i="14"/>
  <c r="H58" i="14"/>
  <c r="I58" i="14" s="1"/>
  <c r="AL94" i="12"/>
  <c r="AM95" i="12"/>
  <c r="BI163" i="12"/>
  <c r="BJ163" i="12" s="1"/>
  <c r="AO95" i="12"/>
  <c r="AP95" i="12"/>
  <c r="AL95" i="12"/>
  <c r="AM94" i="12"/>
  <c r="AN97" i="12"/>
  <c r="AN94" i="12"/>
  <c r="AO94" i="12"/>
  <c r="AX99" i="12"/>
  <c r="AL97" i="12"/>
  <c r="AW86" i="12"/>
  <c r="AO115" i="12" s="1"/>
  <c r="AM97" i="12"/>
  <c r="AO97" i="12"/>
  <c r="AP97" i="12"/>
  <c r="AW87" i="12"/>
  <c r="AP115" i="12" s="1"/>
  <c r="C579" i="12"/>
  <c r="D579" i="12"/>
  <c r="N567" i="12"/>
  <c r="U212" i="12" s="1"/>
  <c r="E549" i="12"/>
  <c r="N540" i="12"/>
  <c r="W202" i="12" s="1"/>
  <c r="F544" i="12"/>
  <c r="H523" i="12"/>
  <c r="I523" i="12" s="1"/>
  <c r="C464" i="12"/>
  <c r="E464" i="12"/>
  <c r="H463" i="12"/>
  <c r="I463" i="12" s="1"/>
  <c r="N394" i="12"/>
  <c r="V152" i="12" s="1"/>
  <c r="H378" i="12"/>
  <c r="I378" i="12" s="1"/>
  <c r="X140" i="12" s="1"/>
  <c r="N338" i="12"/>
  <c r="X132" i="12" s="1"/>
  <c r="H348" i="12"/>
  <c r="I348" i="12" s="1"/>
  <c r="H319" i="12"/>
  <c r="I319" i="12" s="1"/>
  <c r="N308" i="12"/>
  <c r="W122" i="12" s="1"/>
  <c r="F288" i="12"/>
  <c r="D288" i="12"/>
  <c r="N280" i="12"/>
  <c r="X112" i="12" s="1"/>
  <c r="G283" i="12"/>
  <c r="E289" i="12"/>
  <c r="D289" i="12"/>
  <c r="D261" i="12"/>
  <c r="G261" i="12"/>
  <c r="C261" i="12"/>
  <c r="N249" i="12"/>
  <c r="V102" i="12" s="1"/>
  <c r="N220" i="12"/>
  <c r="V92" i="12" s="1"/>
  <c r="C202" i="12"/>
  <c r="N191" i="12"/>
  <c r="V82" i="12" s="1"/>
  <c r="F173" i="12"/>
  <c r="G173" i="12"/>
  <c r="C171" i="12"/>
  <c r="D171" i="12"/>
  <c r="E171" i="12"/>
  <c r="F171" i="12"/>
  <c r="G171" i="12"/>
  <c r="C174" i="12"/>
  <c r="D174" i="12"/>
  <c r="E174" i="12"/>
  <c r="F174" i="12"/>
  <c r="G174" i="12"/>
  <c r="C172" i="12"/>
  <c r="D172" i="12"/>
  <c r="E172" i="12"/>
  <c r="F172" i="12"/>
  <c r="G172" i="12"/>
  <c r="D117" i="12"/>
  <c r="N105" i="12"/>
  <c r="W52" i="12" s="1"/>
  <c r="C114" i="12"/>
  <c r="C118" i="12" s="1"/>
  <c r="T46" i="12" s="1"/>
  <c r="T54" i="12" s="1"/>
  <c r="T234" i="12" s="1"/>
  <c r="N75" i="12"/>
  <c r="V42" i="12" s="1"/>
  <c r="C58" i="12"/>
  <c r="F577" i="12"/>
  <c r="G577" i="12"/>
  <c r="D577" i="12"/>
  <c r="C577" i="12"/>
  <c r="G579" i="12"/>
  <c r="N537" i="12"/>
  <c r="T202" i="12" s="1"/>
  <c r="C461" i="12"/>
  <c r="N451" i="12"/>
  <c r="U172" i="12" s="1"/>
  <c r="E465" i="12"/>
  <c r="D464" i="12"/>
  <c r="G464" i="12"/>
  <c r="F312" i="12"/>
  <c r="N306" i="12"/>
  <c r="U122" i="12" s="1"/>
  <c r="C290" i="12"/>
  <c r="N276" i="12"/>
  <c r="T112" i="12" s="1"/>
  <c r="F290" i="12"/>
  <c r="G290" i="12"/>
  <c r="D290" i="12"/>
  <c r="N278" i="12"/>
  <c r="V112" i="12" s="1"/>
  <c r="D202" i="12"/>
  <c r="E202" i="12"/>
  <c r="F200" i="12"/>
  <c r="D200" i="12"/>
  <c r="G202" i="12"/>
  <c r="N102" i="12"/>
  <c r="T52" i="12" s="1"/>
  <c r="J106" i="12"/>
  <c r="G117" i="12"/>
  <c r="F117" i="12"/>
  <c r="F114" i="12"/>
  <c r="E114" i="12"/>
  <c r="G114" i="12"/>
  <c r="E117" i="12"/>
  <c r="E84" i="12"/>
  <c r="N77" i="12"/>
  <c r="X42" i="12" s="1"/>
  <c r="F84" i="12"/>
  <c r="D85" i="12"/>
  <c r="C84" i="12"/>
  <c r="H84" i="12" s="1"/>
  <c r="I84" i="12" s="1"/>
  <c r="G55" i="12"/>
  <c r="N48" i="12"/>
  <c r="X32" i="12" s="1"/>
  <c r="G30" i="12"/>
  <c r="C30" i="12"/>
  <c r="C29" i="12"/>
  <c r="O31" i="12"/>
  <c r="D30" i="12"/>
  <c r="E27" i="12"/>
  <c r="G27" i="12"/>
  <c r="C27" i="12"/>
  <c r="F27" i="12"/>
  <c r="E30" i="12"/>
  <c r="N17" i="12"/>
  <c r="V22" i="12" s="1"/>
  <c r="F29" i="12"/>
  <c r="G29" i="12"/>
  <c r="E29" i="12"/>
  <c r="G22" i="12"/>
  <c r="N19" i="12"/>
  <c r="X22" i="12" s="1"/>
  <c r="J569" i="12"/>
  <c r="N569" i="12"/>
  <c r="W212" i="12" s="1"/>
  <c r="O553" i="12"/>
  <c r="F548" i="12"/>
  <c r="E548" i="12"/>
  <c r="D376" i="12"/>
  <c r="G376" i="12"/>
  <c r="F376" i="12"/>
  <c r="E376" i="12"/>
  <c r="C376" i="12"/>
  <c r="O437" i="12"/>
  <c r="G432" i="12"/>
  <c r="E432" i="12"/>
  <c r="N482" i="12"/>
  <c r="W182" i="12" s="1"/>
  <c r="F486" i="12"/>
  <c r="N309" i="12"/>
  <c r="X122" i="12" s="1"/>
  <c r="J309" i="12"/>
  <c r="H318" i="12"/>
  <c r="I318" i="12" s="1"/>
  <c r="E406" i="12"/>
  <c r="C406" i="12"/>
  <c r="G406" i="12"/>
  <c r="D142" i="12"/>
  <c r="F142" i="12"/>
  <c r="G142" i="12"/>
  <c r="E142" i="12"/>
  <c r="C142" i="12"/>
  <c r="BJ58" i="12"/>
  <c r="BI39" i="12"/>
  <c r="AP96" i="12"/>
  <c r="AO96" i="12"/>
  <c r="AN96" i="12"/>
  <c r="AL96" i="12"/>
  <c r="AM96" i="12"/>
  <c r="N509" i="12"/>
  <c r="U192" i="12" s="1"/>
  <c r="D515" i="12"/>
  <c r="N483" i="12"/>
  <c r="X182" i="12" s="1"/>
  <c r="G486" i="12"/>
  <c r="O408" i="12"/>
  <c r="N131" i="12"/>
  <c r="T62" i="12" s="1"/>
  <c r="J131" i="12"/>
  <c r="E59" i="12"/>
  <c r="G145" i="12"/>
  <c r="F145" i="12"/>
  <c r="D145" i="12"/>
  <c r="E145" i="12"/>
  <c r="C145" i="12"/>
  <c r="AS85" i="12"/>
  <c r="AW85" i="12"/>
  <c r="AN115" i="12" s="1"/>
  <c r="F581" i="12"/>
  <c r="D581" i="12"/>
  <c r="E581" i="12"/>
  <c r="C581" i="12"/>
  <c r="G581" i="12"/>
  <c r="F374" i="12"/>
  <c r="G374" i="12"/>
  <c r="E374" i="12"/>
  <c r="D374" i="12"/>
  <c r="C374" i="12"/>
  <c r="N424" i="12"/>
  <c r="W162" i="12" s="1"/>
  <c r="J424" i="12"/>
  <c r="F519" i="12"/>
  <c r="G519" i="12"/>
  <c r="E519" i="12"/>
  <c r="D519" i="12"/>
  <c r="C519" i="12"/>
  <c r="F432" i="12"/>
  <c r="G345" i="12"/>
  <c r="F345" i="12"/>
  <c r="E345" i="12"/>
  <c r="D345" i="12"/>
  <c r="C345" i="12"/>
  <c r="D320" i="12"/>
  <c r="C320" i="12"/>
  <c r="G320" i="12"/>
  <c r="F320" i="12"/>
  <c r="E320" i="12"/>
  <c r="F405" i="12"/>
  <c r="G405" i="12"/>
  <c r="E405" i="12"/>
  <c r="D405" i="12"/>
  <c r="C405" i="12"/>
  <c r="N162" i="12"/>
  <c r="V72" i="12" s="1"/>
  <c r="E167" i="12"/>
  <c r="O176" i="12"/>
  <c r="O147" i="12"/>
  <c r="D80" i="12"/>
  <c r="N74" i="12"/>
  <c r="U42" i="12" s="1"/>
  <c r="F59" i="12"/>
  <c r="AW84" i="12"/>
  <c r="AM115" i="12" s="1"/>
  <c r="AM90" i="12"/>
  <c r="G59" i="12"/>
  <c r="G28" i="12"/>
  <c r="F28" i="12"/>
  <c r="E28" i="12"/>
  <c r="D28" i="12"/>
  <c r="C28" i="12"/>
  <c r="G56" i="12"/>
  <c r="E56" i="12"/>
  <c r="F56" i="12"/>
  <c r="D56" i="12"/>
  <c r="C56" i="12"/>
  <c r="J510" i="12"/>
  <c r="N510" i="12"/>
  <c r="V192" i="12" s="1"/>
  <c r="N479" i="12"/>
  <c r="T182" i="12" s="1"/>
  <c r="C486" i="12"/>
  <c r="C435" i="12"/>
  <c r="F435" i="12"/>
  <c r="G435" i="12"/>
  <c r="E435" i="12"/>
  <c r="D435" i="12"/>
  <c r="D432" i="12"/>
  <c r="G287" i="12"/>
  <c r="F287" i="12"/>
  <c r="E287" i="12"/>
  <c r="D287" i="12"/>
  <c r="C287" i="12"/>
  <c r="H436" i="12"/>
  <c r="I436" i="12" s="1"/>
  <c r="D196" i="12"/>
  <c r="N190" i="12"/>
  <c r="U82" i="12" s="1"/>
  <c r="F85" i="12"/>
  <c r="D55" i="12"/>
  <c r="E109" i="12"/>
  <c r="N104" i="12"/>
  <c r="V52" i="12" s="1"/>
  <c r="N161" i="12"/>
  <c r="U72" i="12" s="1"/>
  <c r="J161" i="12"/>
  <c r="AA287" i="12"/>
  <c r="AA288" i="12"/>
  <c r="N366" i="12"/>
  <c r="W142" i="12" s="1"/>
  <c r="F370" i="12"/>
  <c r="D428" i="12"/>
  <c r="N422" i="12"/>
  <c r="U162" i="12" s="1"/>
  <c r="C432" i="12"/>
  <c r="G492" i="12"/>
  <c r="G495" i="12" s="1"/>
  <c r="X176" i="12" s="1"/>
  <c r="X184" i="12" s="1"/>
  <c r="X247" i="12" s="1"/>
  <c r="F492" i="12"/>
  <c r="F496" i="12" s="1"/>
  <c r="W177" i="12" s="1"/>
  <c r="W185" i="12" s="1"/>
  <c r="C492" i="12"/>
  <c r="E492" i="12"/>
  <c r="D492" i="12"/>
  <c r="C428" i="12"/>
  <c r="N421" i="12"/>
  <c r="T162" i="12" s="1"/>
  <c r="H317" i="12"/>
  <c r="I317" i="12" s="1"/>
  <c r="H347" i="12"/>
  <c r="I347" i="12" s="1"/>
  <c r="N222" i="12"/>
  <c r="X92" i="12" s="1"/>
  <c r="G225" i="12"/>
  <c r="H115" i="12"/>
  <c r="I115" i="12" s="1"/>
  <c r="H146" i="12"/>
  <c r="I146" i="12" s="1"/>
  <c r="G88" i="12"/>
  <c r="F88" i="12"/>
  <c r="D88" i="12"/>
  <c r="E88" i="12"/>
  <c r="C88" i="12"/>
  <c r="D258" i="12"/>
  <c r="G258" i="12"/>
  <c r="F258" i="12"/>
  <c r="E258" i="12"/>
  <c r="C258" i="12"/>
  <c r="N16" i="12"/>
  <c r="U22" i="12" s="1"/>
  <c r="D22" i="12"/>
  <c r="D57" i="12"/>
  <c r="N335" i="12"/>
  <c r="U132" i="12" s="1"/>
  <c r="D341" i="12"/>
  <c r="F407" i="12"/>
  <c r="C407" i="12"/>
  <c r="G407" i="12"/>
  <c r="E407" i="12"/>
  <c r="D407" i="12"/>
  <c r="F167" i="12"/>
  <c r="N163" i="12"/>
  <c r="W72" i="12" s="1"/>
  <c r="N221" i="12"/>
  <c r="W92" i="12" s="1"/>
  <c r="J221" i="12"/>
  <c r="C85" i="12"/>
  <c r="G87" i="12"/>
  <c r="E87" i="12"/>
  <c r="C87" i="12"/>
  <c r="F87" i="12"/>
  <c r="D87" i="12"/>
  <c r="F57" i="12"/>
  <c r="C433" i="12"/>
  <c r="F433" i="12"/>
  <c r="G433" i="12"/>
  <c r="E433" i="12"/>
  <c r="D433" i="12"/>
  <c r="N337" i="12"/>
  <c r="W132" i="12" s="1"/>
  <c r="F341" i="12"/>
  <c r="N395" i="12"/>
  <c r="W152" i="12" s="1"/>
  <c r="F399" i="12"/>
  <c r="F578" i="12"/>
  <c r="G578" i="12"/>
  <c r="E578" i="12"/>
  <c r="D578" i="12"/>
  <c r="C578" i="12"/>
  <c r="C434" i="12"/>
  <c r="D434" i="12"/>
  <c r="G434" i="12"/>
  <c r="F434" i="12"/>
  <c r="E434" i="12"/>
  <c r="N423" i="12"/>
  <c r="V162" i="12" s="1"/>
  <c r="E428" i="12"/>
  <c r="C551" i="12"/>
  <c r="G551" i="12"/>
  <c r="F551" i="12"/>
  <c r="E551" i="12"/>
  <c r="D551" i="12"/>
  <c r="E457" i="12"/>
  <c r="N452" i="12"/>
  <c r="V172" i="12" s="1"/>
  <c r="D231" i="12"/>
  <c r="D232" i="12"/>
  <c r="C232" i="12"/>
  <c r="G232" i="12"/>
  <c r="F232" i="12"/>
  <c r="E232" i="12"/>
  <c r="D59" i="12"/>
  <c r="C55" i="12"/>
  <c r="H175" i="12"/>
  <c r="I175" i="12" s="1"/>
  <c r="G57" i="12"/>
  <c r="N334" i="12"/>
  <c r="T132" i="12" s="1"/>
  <c r="C341" i="12"/>
  <c r="G457" i="12"/>
  <c r="N454" i="12"/>
  <c r="X172" i="12" s="1"/>
  <c r="D316" i="12"/>
  <c r="C316" i="12"/>
  <c r="G316" i="12"/>
  <c r="F316" i="12"/>
  <c r="E316" i="12"/>
  <c r="J364" i="12"/>
  <c r="N364" i="12"/>
  <c r="U142" i="12" s="1"/>
  <c r="H260" i="12"/>
  <c r="I260" i="12" s="1"/>
  <c r="C225" i="12"/>
  <c r="N218" i="12"/>
  <c r="T92" i="12" s="1"/>
  <c r="C231" i="12"/>
  <c r="AW83" i="12"/>
  <c r="AL115" i="12" s="1"/>
  <c r="AL90" i="12"/>
  <c r="C167" i="12"/>
  <c r="N160" i="12"/>
  <c r="T72" i="12" s="1"/>
  <c r="N45" i="12"/>
  <c r="U32" i="12" s="1"/>
  <c r="J45" i="12"/>
  <c r="E85" i="12"/>
  <c r="N18" i="12"/>
  <c r="W22" i="12" s="1"/>
  <c r="F22" i="12"/>
  <c r="O89" i="12"/>
  <c r="E55" i="12"/>
  <c r="N46" i="12"/>
  <c r="V32" i="12" s="1"/>
  <c r="C57" i="12"/>
  <c r="D58" i="12"/>
  <c r="H521" i="12"/>
  <c r="I521" i="12" s="1"/>
  <c r="H465" i="12"/>
  <c r="I465" i="12" s="1"/>
  <c r="N392" i="12"/>
  <c r="T152" i="12" s="1"/>
  <c r="C399" i="12"/>
  <c r="G515" i="12"/>
  <c r="N512" i="12"/>
  <c r="X192" i="12" s="1"/>
  <c r="G403" i="12"/>
  <c r="F403" i="12"/>
  <c r="D403" i="12"/>
  <c r="E403" i="12"/>
  <c r="C403" i="12"/>
  <c r="N511" i="12"/>
  <c r="W192" i="12" s="1"/>
  <c r="F515" i="12"/>
  <c r="N305" i="12"/>
  <c r="T122" i="12" s="1"/>
  <c r="H233" i="12"/>
  <c r="I233" i="12" s="1"/>
  <c r="E231" i="12"/>
  <c r="J192" i="12"/>
  <c r="N192" i="12"/>
  <c r="W82" i="12" s="1"/>
  <c r="N133" i="12"/>
  <c r="V62" i="12" s="1"/>
  <c r="BJ162" i="12"/>
  <c r="BI65" i="12"/>
  <c r="BJ65" i="12" s="1"/>
  <c r="G85" i="12"/>
  <c r="G550" i="12"/>
  <c r="F550" i="12"/>
  <c r="C548" i="12"/>
  <c r="G544" i="12"/>
  <c r="N541" i="12"/>
  <c r="X202" i="12" s="1"/>
  <c r="J393" i="12"/>
  <c r="N393" i="12"/>
  <c r="U152" i="12" s="1"/>
  <c r="D346" i="12"/>
  <c r="G346" i="12"/>
  <c r="F346" i="12"/>
  <c r="E346" i="12"/>
  <c r="C346" i="12"/>
  <c r="F462" i="12"/>
  <c r="F467" i="12" s="1"/>
  <c r="W167" i="12" s="1"/>
  <c r="W175" i="12" s="1"/>
  <c r="C462" i="12"/>
  <c r="G462" i="12"/>
  <c r="G467" i="12" s="1"/>
  <c r="X167" i="12" s="1"/>
  <c r="X175" i="12" s="1"/>
  <c r="E462" i="12"/>
  <c r="D462" i="12"/>
  <c r="D486" i="12"/>
  <c r="N480" i="12"/>
  <c r="U182" i="12" s="1"/>
  <c r="F230" i="12"/>
  <c r="D230" i="12"/>
  <c r="C230" i="12"/>
  <c r="G230" i="12"/>
  <c r="E230" i="12"/>
  <c r="N251" i="12"/>
  <c r="X102" i="12" s="1"/>
  <c r="F231" i="12"/>
  <c r="G201" i="12"/>
  <c r="E201" i="12"/>
  <c r="C201" i="12"/>
  <c r="F201" i="12"/>
  <c r="D201" i="12"/>
  <c r="O60" i="12"/>
  <c r="F55" i="12"/>
  <c r="C59" i="12"/>
  <c r="H26" i="12"/>
  <c r="I26" i="12" s="1"/>
  <c r="G520" i="12"/>
  <c r="D520" i="12"/>
  <c r="C520" i="12"/>
  <c r="F520" i="12"/>
  <c r="E520" i="12"/>
  <c r="E550" i="12"/>
  <c r="D406" i="12"/>
  <c r="E341" i="12"/>
  <c r="N336" i="12"/>
  <c r="V132" i="12" s="1"/>
  <c r="N538" i="12"/>
  <c r="U202" i="12" s="1"/>
  <c r="D544" i="12"/>
  <c r="N277" i="12"/>
  <c r="U112" i="12" s="1"/>
  <c r="D283" i="12"/>
  <c r="D404" i="12"/>
  <c r="F404" i="12"/>
  <c r="E404" i="12"/>
  <c r="C404" i="12"/>
  <c r="G404" i="12"/>
  <c r="N481" i="12"/>
  <c r="V182" i="12" s="1"/>
  <c r="G229" i="12"/>
  <c r="F229" i="12"/>
  <c r="E229" i="12"/>
  <c r="D229" i="12"/>
  <c r="C229" i="12"/>
  <c r="G231" i="12"/>
  <c r="H259" i="12"/>
  <c r="I259" i="12" s="1"/>
  <c r="H203" i="12"/>
  <c r="I203" i="12" s="1"/>
  <c r="G144" i="12"/>
  <c r="E144" i="12"/>
  <c r="D144" i="12"/>
  <c r="C144" i="12"/>
  <c r="F144" i="12"/>
  <c r="AP98" i="12"/>
  <c r="AN98" i="12"/>
  <c r="AL98" i="12"/>
  <c r="AM98" i="12"/>
  <c r="AO98" i="12"/>
  <c r="N132" i="12"/>
  <c r="U62" i="12" s="1"/>
  <c r="D138" i="12"/>
  <c r="C22" i="12"/>
  <c r="N15" i="12"/>
  <c r="T22" i="12" s="1"/>
  <c r="F51" i="12"/>
  <c r="N47" i="12"/>
  <c r="W32" i="12" s="1"/>
  <c r="E58" i="12"/>
  <c r="E377" i="12"/>
  <c r="C377" i="12"/>
  <c r="G377" i="12"/>
  <c r="F377" i="12"/>
  <c r="D377" i="12"/>
  <c r="D550" i="12"/>
  <c r="G549" i="12"/>
  <c r="D549" i="12"/>
  <c r="N508" i="12"/>
  <c r="T192" i="12" s="1"/>
  <c r="J508" i="12"/>
  <c r="F283" i="12"/>
  <c r="N279" i="12"/>
  <c r="W112" i="12" s="1"/>
  <c r="H493" i="12"/>
  <c r="I493" i="12" s="1"/>
  <c r="C552" i="12"/>
  <c r="D552" i="12"/>
  <c r="G552" i="12"/>
  <c r="F552" i="12"/>
  <c r="E552" i="12"/>
  <c r="H491" i="12"/>
  <c r="I491" i="12" s="1"/>
  <c r="O234" i="12"/>
  <c r="H262" i="12"/>
  <c r="I262" i="12" s="1"/>
  <c r="N396" i="12"/>
  <c r="X152" i="12" s="1"/>
  <c r="N164" i="12"/>
  <c r="X72" i="12" s="1"/>
  <c r="J164" i="12"/>
  <c r="F80" i="12"/>
  <c r="N76" i="12"/>
  <c r="W42" i="12" s="1"/>
  <c r="N134" i="12"/>
  <c r="W62" i="12" s="1"/>
  <c r="F138" i="12"/>
  <c r="BI57" i="12"/>
  <c r="G58" i="12"/>
  <c r="AL95" i="9"/>
  <c r="AX99" i="9"/>
  <c r="AW87" i="9"/>
  <c r="AP115" i="9" s="1"/>
  <c r="AM96" i="9"/>
  <c r="AM94" i="9"/>
  <c r="AN96" i="9"/>
  <c r="AL97" i="9"/>
  <c r="AP96" i="9"/>
  <c r="AO96" i="9"/>
  <c r="AP95" i="9"/>
  <c r="AO95" i="9"/>
  <c r="AM95" i="9"/>
  <c r="AP94" i="9"/>
  <c r="AN94" i="9"/>
  <c r="AO94" i="9"/>
  <c r="AP97" i="9"/>
  <c r="AN95" i="9"/>
  <c r="AO98" i="9"/>
  <c r="AP98" i="9"/>
  <c r="AM98" i="9"/>
  <c r="AN98" i="9"/>
  <c r="AL98" i="9"/>
  <c r="AW86" i="9"/>
  <c r="AO115" i="9" s="1"/>
  <c r="AN97" i="9"/>
  <c r="AL94" i="9"/>
  <c r="AL96" i="9"/>
  <c r="AM97" i="9"/>
  <c r="AP90" i="9"/>
  <c r="AO90" i="9"/>
  <c r="AM90" i="9"/>
  <c r="AW84" i="9"/>
  <c r="AM115" i="9" s="1"/>
  <c r="AW83" i="9"/>
  <c r="AL115" i="9" s="1"/>
  <c r="AL90" i="9"/>
  <c r="AQ98" i="14" l="1"/>
  <c r="AR98" i="14" s="1"/>
  <c r="H463" i="14"/>
  <c r="I463" i="14" s="1"/>
  <c r="J463" i="14" s="1"/>
  <c r="V171" i="14" s="1"/>
  <c r="F525" i="14"/>
  <c r="W187" i="14" s="1"/>
  <c r="W195" i="14" s="1"/>
  <c r="E582" i="14"/>
  <c r="V206" i="14" s="1"/>
  <c r="V214" i="14" s="1"/>
  <c r="V250" i="14" s="1"/>
  <c r="F524" i="14"/>
  <c r="W186" i="14" s="1"/>
  <c r="W194" i="14" s="1"/>
  <c r="W248" i="14" s="1"/>
  <c r="C467" i="14"/>
  <c r="T167" i="14" s="1"/>
  <c r="T175" i="14" s="1"/>
  <c r="D409" i="14"/>
  <c r="U147" i="14" s="1"/>
  <c r="U155" i="14" s="1"/>
  <c r="H406" i="14"/>
  <c r="I406" i="14" s="1"/>
  <c r="H405" i="14"/>
  <c r="I405" i="14" s="1"/>
  <c r="J405" i="14" s="1"/>
  <c r="V151" i="14" s="1"/>
  <c r="T285" i="14"/>
  <c r="T286" i="14" s="1"/>
  <c r="H116" i="12"/>
  <c r="I116" i="12" s="1"/>
  <c r="H289" i="12"/>
  <c r="I289" i="12" s="1"/>
  <c r="J289" i="12" s="1"/>
  <c r="V111" i="12" s="1"/>
  <c r="H288" i="12"/>
  <c r="I288" i="12" s="1"/>
  <c r="H349" i="12"/>
  <c r="I349" i="12" s="1"/>
  <c r="H461" i="12"/>
  <c r="D495" i="12"/>
  <c r="H375" i="12"/>
  <c r="I375" i="12" s="1"/>
  <c r="U140" i="12" s="1"/>
  <c r="H291" i="12"/>
  <c r="I291" i="12" s="1"/>
  <c r="H204" i="12"/>
  <c r="I204" i="12" s="1"/>
  <c r="K204" i="12" s="1"/>
  <c r="P204" i="12" s="1"/>
  <c r="H174" i="12"/>
  <c r="I174" i="12" s="1"/>
  <c r="D119" i="12"/>
  <c r="U47" i="12" s="1"/>
  <c r="U55" i="12" s="1"/>
  <c r="F466" i="14"/>
  <c r="F468" i="14" s="1"/>
  <c r="H580" i="14"/>
  <c r="I580" i="14" s="1"/>
  <c r="K580" i="14" s="1"/>
  <c r="P580" i="14" s="1"/>
  <c r="E466" i="14"/>
  <c r="V166" i="14" s="1"/>
  <c r="V174" i="14" s="1"/>
  <c r="V246" i="14" s="1"/>
  <c r="H172" i="14"/>
  <c r="I172" i="14" s="1"/>
  <c r="K172" i="14" s="1"/>
  <c r="P172" i="14" s="1"/>
  <c r="H520" i="14"/>
  <c r="I520" i="14" s="1"/>
  <c r="K520" i="14" s="1"/>
  <c r="P520" i="14" s="1"/>
  <c r="H260" i="14"/>
  <c r="I260" i="14" s="1"/>
  <c r="D582" i="14"/>
  <c r="U206" i="14" s="1"/>
  <c r="U214" i="14" s="1"/>
  <c r="U250" i="14" s="1"/>
  <c r="E583" i="14"/>
  <c r="V207" i="14" s="1"/>
  <c r="V215" i="14" s="1"/>
  <c r="H87" i="14"/>
  <c r="I87" i="14" s="1"/>
  <c r="K87" i="14" s="1"/>
  <c r="P87" i="14" s="1"/>
  <c r="AQ95" i="14"/>
  <c r="AR95" i="14" s="1"/>
  <c r="AM113" i="14" s="1"/>
  <c r="D554" i="14"/>
  <c r="U197" i="14" s="1"/>
  <c r="U205" i="14" s="1"/>
  <c r="H175" i="14"/>
  <c r="I175" i="14" s="1"/>
  <c r="G495" i="14"/>
  <c r="X176" i="14" s="1"/>
  <c r="X184" i="14" s="1"/>
  <c r="X247" i="14" s="1"/>
  <c r="F409" i="14"/>
  <c r="W147" i="14" s="1"/>
  <c r="W155" i="14" s="1"/>
  <c r="H404" i="14"/>
  <c r="I404" i="14" s="1"/>
  <c r="K404" i="14" s="1"/>
  <c r="P404" i="14" s="1"/>
  <c r="G409" i="14"/>
  <c r="X147" i="14" s="1"/>
  <c r="X155" i="14" s="1"/>
  <c r="H403" i="14"/>
  <c r="I403" i="14" s="1"/>
  <c r="F322" i="14"/>
  <c r="W117" i="14" s="1"/>
  <c r="W125" i="14" s="1"/>
  <c r="F582" i="14"/>
  <c r="W206" i="14" s="1"/>
  <c r="W214" i="14" s="1"/>
  <c r="W250" i="14" s="1"/>
  <c r="D437" i="14"/>
  <c r="U156" i="14" s="1"/>
  <c r="U164" i="14" s="1"/>
  <c r="U245" i="14" s="1"/>
  <c r="E350" i="14"/>
  <c r="V126" i="14" s="1"/>
  <c r="V134" i="14" s="1"/>
  <c r="V242" i="14" s="1"/>
  <c r="H550" i="14"/>
  <c r="I550" i="14" s="1"/>
  <c r="J550" i="14" s="1"/>
  <c r="V201" i="14" s="1"/>
  <c r="H232" i="14"/>
  <c r="I232" i="14" s="1"/>
  <c r="K232" i="14" s="1"/>
  <c r="P232" i="14" s="1"/>
  <c r="F554" i="14"/>
  <c r="W197" i="14" s="1"/>
  <c r="W205" i="14" s="1"/>
  <c r="G525" i="14"/>
  <c r="X187" i="14" s="1"/>
  <c r="X195" i="14" s="1"/>
  <c r="C148" i="14"/>
  <c r="T57" i="14" s="1"/>
  <c r="T65" i="14" s="1"/>
  <c r="AQ94" i="14"/>
  <c r="AR94" i="14" s="1"/>
  <c r="H579" i="14"/>
  <c r="I579" i="14" s="1"/>
  <c r="K579" i="14" s="1"/>
  <c r="P579" i="14" s="1"/>
  <c r="G554" i="14"/>
  <c r="X197" i="14" s="1"/>
  <c r="X205" i="14" s="1"/>
  <c r="J521" i="14"/>
  <c r="V191" i="14" s="1"/>
  <c r="V190" i="14"/>
  <c r="K521" i="14"/>
  <c r="P521" i="14" s="1"/>
  <c r="D525" i="14"/>
  <c r="U187" i="14" s="1"/>
  <c r="U195" i="14" s="1"/>
  <c r="G524" i="14"/>
  <c r="X186" i="14" s="1"/>
  <c r="X194" i="14" s="1"/>
  <c r="X248" i="14" s="1"/>
  <c r="C495" i="14"/>
  <c r="T176" i="14" s="1"/>
  <c r="T184" i="14" s="1"/>
  <c r="T247" i="14" s="1"/>
  <c r="D495" i="14"/>
  <c r="U176" i="14" s="1"/>
  <c r="U184" i="14" s="1"/>
  <c r="U247" i="14" s="1"/>
  <c r="D466" i="14"/>
  <c r="U166" i="14" s="1"/>
  <c r="U174" i="14" s="1"/>
  <c r="U246" i="14" s="1"/>
  <c r="H435" i="14"/>
  <c r="I435" i="14" s="1"/>
  <c r="G437" i="14"/>
  <c r="X156" i="14" s="1"/>
  <c r="X164" i="14" s="1"/>
  <c r="X245" i="14" s="1"/>
  <c r="E408" i="14"/>
  <c r="V146" i="14" s="1"/>
  <c r="V154" i="14" s="1"/>
  <c r="V244" i="14" s="1"/>
  <c r="D408" i="14"/>
  <c r="U146" i="14" s="1"/>
  <c r="U154" i="14" s="1"/>
  <c r="U244" i="14" s="1"/>
  <c r="C409" i="14"/>
  <c r="T147" i="14" s="1"/>
  <c r="T155" i="14" s="1"/>
  <c r="G380" i="14"/>
  <c r="X137" i="14" s="1"/>
  <c r="X145" i="14" s="1"/>
  <c r="H378" i="14"/>
  <c r="I378" i="14" s="1"/>
  <c r="C380" i="14"/>
  <c r="T137" i="14" s="1"/>
  <c r="T145" i="14" s="1"/>
  <c r="D380" i="14"/>
  <c r="U137" i="14" s="1"/>
  <c r="U145" i="14" s="1"/>
  <c r="G351" i="14"/>
  <c r="X127" i="14" s="1"/>
  <c r="X135" i="14" s="1"/>
  <c r="H348" i="14"/>
  <c r="I348" i="14" s="1"/>
  <c r="H319" i="14"/>
  <c r="I319" i="14" s="1"/>
  <c r="J319" i="14" s="1"/>
  <c r="W121" i="14" s="1"/>
  <c r="G321" i="14"/>
  <c r="X116" i="14" s="1"/>
  <c r="X124" i="14" s="1"/>
  <c r="X241" i="14" s="1"/>
  <c r="E322" i="14"/>
  <c r="V117" i="14" s="1"/>
  <c r="V125" i="14" s="1"/>
  <c r="G264" i="14"/>
  <c r="X97" i="14" s="1"/>
  <c r="X105" i="14" s="1"/>
  <c r="H258" i="14"/>
  <c r="I258" i="14" s="1"/>
  <c r="H173" i="14"/>
  <c r="I173" i="14" s="1"/>
  <c r="K173" i="14" s="1"/>
  <c r="P173" i="14" s="1"/>
  <c r="F177" i="14"/>
  <c r="W67" i="14" s="1"/>
  <c r="W75" i="14" s="1"/>
  <c r="H142" i="14"/>
  <c r="I142" i="14" s="1"/>
  <c r="H144" i="14"/>
  <c r="I144" i="14" s="1"/>
  <c r="J144" i="14" s="1"/>
  <c r="V61" i="14" s="1"/>
  <c r="D148" i="14"/>
  <c r="U57" i="14" s="1"/>
  <c r="U65" i="14" s="1"/>
  <c r="D32" i="14"/>
  <c r="U17" i="14" s="1"/>
  <c r="U25" i="14" s="1"/>
  <c r="E582" i="12"/>
  <c r="V206" i="12" s="1"/>
  <c r="V214" i="12" s="1"/>
  <c r="V250" i="12" s="1"/>
  <c r="E467" i="12"/>
  <c r="V167" i="12" s="1"/>
  <c r="V175" i="12" s="1"/>
  <c r="C206" i="12"/>
  <c r="T77" i="12" s="1"/>
  <c r="T85" i="12" s="1"/>
  <c r="C119" i="12"/>
  <c r="T47" i="12" s="1"/>
  <c r="T55" i="12" s="1"/>
  <c r="H86" i="12"/>
  <c r="I86" i="12" s="1"/>
  <c r="J86" i="12" s="1"/>
  <c r="V41" i="12" s="1"/>
  <c r="G118" i="12"/>
  <c r="X46" i="12" s="1"/>
  <c r="X54" i="12" s="1"/>
  <c r="X234" i="12" s="1"/>
  <c r="H173" i="12"/>
  <c r="I173" i="12" s="1"/>
  <c r="J378" i="12"/>
  <c r="X141" i="12" s="1"/>
  <c r="E176" i="12"/>
  <c r="V66" i="12" s="1"/>
  <c r="V74" i="12" s="1"/>
  <c r="V236" i="12" s="1"/>
  <c r="K378" i="12"/>
  <c r="P378" i="12" s="1"/>
  <c r="AN99" i="14"/>
  <c r="AN109" i="14" s="1"/>
  <c r="AN117" i="14" s="1"/>
  <c r="AP110" i="14"/>
  <c r="AL110" i="14"/>
  <c r="AM110" i="14"/>
  <c r="F293" i="14"/>
  <c r="W107" i="14" s="1"/>
  <c r="W115" i="14" s="1"/>
  <c r="E293" i="14"/>
  <c r="V107" i="14" s="1"/>
  <c r="V115" i="14" s="1"/>
  <c r="C292" i="14"/>
  <c r="T106" i="14" s="1"/>
  <c r="T114" i="14" s="1"/>
  <c r="T240" i="14" s="1"/>
  <c r="H262" i="14"/>
  <c r="I262" i="14" s="1"/>
  <c r="K262" i="14" s="1"/>
  <c r="P262" i="14" s="1"/>
  <c r="H233" i="14"/>
  <c r="I233" i="14" s="1"/>
  <c r="X90" i="14" s="1"/>
  <c r="H200" i="14"/>
  <c r="I200" i="14" s="1"/>
  <c r="J200" i="14" s="1"/>
  <c r="T81" i="14" s="1"/>
  <c r="D206" i="14"/>
  <c r="U77" i="14" s="1"/>
  <c r="U85" i="14" s="1"/>
  <c r="G177" i="14"/>
  <c r="X67" i="14" s="1"/>
  <c r="X75" i="14" s="1"/>
  <c r="E176" i="14"/>
  <c r="V66" i="14" s="1"/>
  <c r="V74" i="14" s="1"/>
  <c r="V236" i="14" s="1"/>
  <c r="G148" i="14"/>
  <c r="X57" i="14" s="1"/>
  <c r="X65" i="14" s="1"/>
  <c r="G147" i="14"/>
  <c r="X56" i="14" s="1"/>
  <c r="X64" i="14" s="1"/>
  <c r="X235" i="14" s="1"/>
  <c r="E119" i="14"/>
  <c r="V47" i="14" s="1"/>
  <c r="V55" i="14" s="1"/>
  <c r="G119" i="14"/>
  <c r="X47" i="14" s="1"/>
  <c r="X55" i="14" s="1"/>
  <c r="H86" i="14"/>
  <c r="I86" i="14" s="1"/>
  <c r="J86" i="14" s="1"/>
  <c r="V41" i="14" s="1"/>
  <c r="H85" i="14"/>
  <c r="I85" i="14" s="1"/>
  <c r="K85" i="14" s="1"/>
  <c r="G61" i="14"/>
  <c r="X27" i="14" s="1"/>
  <c r="X35" i="14" s="1"/>
  <c r="H59" i="14"/>
  <c r="I59" i="14" s="1"/>
  <c r="K59" i="14" s="1"/>
  <c r="P59" i="14" s="1"/>
  <c r="H56" i="14"/>
  <c r="I56" i="14" s="1"/>
  <c r="K56" i="14" s="1"/>
  <c r="P56" i="14" s="1"/>
  <c r="G292" i="14"/>
  <c r="X106" i="14" s="1"/>
  <c r="X114" i="14" s="1"/>
  <c r="X240" i="14" s="1"/>
  <c r="D293" i="14"/>
  <c r="U107" i="14" s="1"/>
  <c r="U115" i="14" s="1"/>
  <c r="D264" i="14"/>
  <c r="U97" i="14" s="1"/>
  <c r="U105" i="14" s="1"/>
  <c r="G263" i="14"/>
  <c r="X96" i="14" s="1"/>
  <c r="X104" i="14" s="1"/>
  <c r="X239" i="14" s="1"/>
  <c r="C206" i="14"/>
  <c r="T77" i="14" s="1"/>
  <c r="T85" i="14" s="1"/>
  <c r="D176" i="14"/>
  <c r="U66" i="14" s="1"/>
  <c r="U74" i="14" s="1"/>
  <c r="U236" i="14" s="1"/>
  <c r="H145" i="14"/>
  <c r="I145" i="14" s="1"/>
  <c r="C147" i="14"/>
  <c r="T56" i="14" s="1"/>
  <c r="T64" i="14" s="1"/>
  <c r="T235" i="14" s="1"/>
  <c r="D147" i="14"/>
  <c r="U56" i="14" s="1"/>
  <c r="U64" i="14" s="1"/>
  <c r="U235" i="14" s="1"/>
  <c r="H114" i="14"/>
  <c r="I114" i="14" s="1"/>
  <c r="K114" i="14" s="1"/>
  <c r="P114" i="14" s="1"/>
  <c r="H88" i="14"/>
  <c r="I88" i="14" s="1"/>
  <c r="D583" i="14"/>
  <c r="U207" i="14" s="1"/>
  <c r="U215" i="14" s="1"/>
  <c r="E554" i="14"/>
  <c r="V197" i="14" s="1"/>
  <c r="V205" i="14" s="1"/>
  <c r="D524" i="14"/>
  <c r="D526" i="14" s="1"/>
  <c r="H522" i="14"/>
  <c r="I522" i="14" s="1"/>
  <c r="F496" i="14"/>
  <c r="W177" i="14" s="1"/>
  <c r="W185" i="14" s="1"/>
  <c r="F495" i="14"/>
  <c r="W176" i="14" s="1"/>
  <c r="W184" i="14" s="1"/>
  <c r="W247" i="14" s="1"/>
  <c r="G496" i="14"/>
  <c r="X177" i="14" s="1"/>
  <c r="X185" i="14" s="1"/>
  <c r="H492" i="14"/>
  <c r="I492" i="14" s="1"/>
  <c r="K492" i="14" s="1"/>
  <c r="P492" i="14" s="1"/>
  <c r="E495" i="14"/>
  <c r="V176" i="14" s="1"/>
  <c r="V184" i="14" s="1"/>
  <c r="F467" i="14"/>
  <c r="W167" i="14" s="1"/>
  <c r="W175" i="14" s="1"/>
  <c r="H436" i="14"/>
  <c r="I436" i="14" s="1"/>
  <c r="F438" i="14"/>
  <c r="W157" i="14" s="1"/>
  <c r="W165" i="14" s="1"/>
  <c r="E409" i="14"/>
  <c r="V147" i="14" s="1"/>
  <c r="V155" i="14" s="1"/>
  <c r="E380" i="14"/>
  <c r="V137" i="14" s="1"/>
  <c r="V145" i="14" s="1"/>
  <c r="D351" i="14"/>
  <c r="U127" i="14" s="1"/>
  <c r="U135" i="14" s="1"/>
  <c r="E351" i="14"/>
  <c r="V127" i="14" s="1"/>
  <c r="V135" i="14" s="1"/>
  <c r="H317" i="14"/>
  <c r="I317" i="14" s="1"/>
  <c r="J317" i="14" s="1"/>
  <c r="U121" i="14" s="1"/>
  <c r="D322" i="14"/>
  <c r="U117" i="14" s="1"/>
  <c r="U125" i="14" s="1"/>
  <c r="C293" i="14"/>
  <c r="T107" i="14" s="1"/>
  <c r="T115" i="14" s="1"/>
  <c r="G293" i="14"/>
  <c r="X107" i="14" s="1"/>
  <c r="X115" i="14" s="1"/>
  <c r="D292" i="14"/>
  <c r="U106" i="14" s="1"/>
  <c r="U114" i="14" s="1"/>
  <c r="U240" i="14" s="1"/>
  <c r="H291" i="14"/>
  <c r="I291" i="14" s="1"/>
  <c r="E263" i="14"/>
  <c r="V96" i="14" s="1"/>
  <c r="V104" i="14" s="1"/>
  <c r="V239" i="14" s="1"/>
  <c r="H231" i="14"/>
  <c r="I231" i="14" s="1"/>
  <c r="G205" i="14"/>
  <c r="G207" i="14" s="1"/>
  <c r="D205" i="14"/>
  <c r="U76" i="14" s="1"/>
  <c r="U84" i="14" s="1"/>
  <c r="U237" i="14" s="1"/>
  <c r="F205" i="14"/>
  <c r="W76" i="14" s="1"/>
  <c r="W84" i="14" s="1"/>
  <c r="W237" i="14" s="1"/>
  <c r="E205" i="14"/>
  <c r="V76" i="14" s="1"/>
  <c r="V84" i="14" s="1"/>
  <c r="V237" i="14" s="1"/>
  <c r="D177" i="14"/>
  <c r="U67" i="14" s="1"/>
  <c r="U75" i="14" s="1"/>
  <c r="E177" i="14"/>
  <c r="V67" i="14" s="1"/>
  <c r="V75" i="14" s="1"/>
  <c r="F176" i="14"/>
  <c r="W66" i="14" s="1"/>
  <c r="W74" i="14" s="1"/>
  <c r="W236" i="14" s="1"/>
  <c r="G176" i="14"/>
  <c r="H174" i="14"/>
  <c r="E148" i="14"/>
  <c r="V57" i="14" s="1"/>
  <c r="V65" i="14" s="1"/>
  <c r="F118" i="14"/>
  <c r="W46" i="14" s="1"/>
  <c r="W54" i="14" s="1"/>
  <c r="W234" i="14" s="1"/>
  <c r="T284" i="14"/>
  <c r="D119" i="14"/>
  <c r="U47" i="14" s="1"/>
  <c r="U55" i="14" s="1"/>
  <c r="F60" i="14"/>
  <c r="W26" i="14" s="1"/>
  <c r="W34" i="14" s="1"/>
  <c r="W232" i="14" s="1"/>
  <c r="F32" i="14"/>
  <c r="W17" i="14" s="1"/>
  <c r="W25" i="14" s="1"/>
  <c r="G32" i="14"/>
  <c r="X17" i="14" s="1"/>
  <c r="X25" i="14" s="1"/>
  <c r="K29" i="14"/>
  <c r="P29" i="14" s="1"/>
  <c r="W20" i="14"/>
  <c r="E32" i="14"/>
  <c r="V17" i="14" s="1"/>
  <c r="V25" i="14" s="1"/>
  <c r="J490" i="14"/>
  <c r="T181" i="14" s="1"/>
  <c r="K490" i="14"/>
  <c r="P490" i="14" s="1"/>
  <c r="T180" i="14"/>
  <c r="J58" i="14"/>
  <c r="W31" i="14" s="1"/>
  <c r="W30" i="14"/>
  <c r="K58" i="14"/>
  <c r="P58" i="14" s="1"/>
  <c r="J289" i="14"/>
  <c r="V111" i="14" s="1"/>
  <c r="K289" i="14"/>
  <c r="P289" i="14" s="1"/>
  <c r="V110" i="14"/>
  <c r="K581" i="14"/>
  <c r="P581" i="14" s="1"/>
  <c r="J581" i="14"/>
  <c r="X211" i="14" s="1"/>
  <c r="X210" i="14"/>
  <c r="J204" i="14"/>
  <c r="X81" i="14" s="1"/>
  <c r="K204" i="14"/>
  <c r="P204" i="14" s="1"/>
  <c r="X80" i="14"/>
  <c r="J172" i="14"/>
  <c r="U71" i="14" s="1"/>
  <c r="K143" i="14"/>
  <c r="P143" i="14" s="1"/>
  <c r="J143" i="14"/>
  <c r="U61" i="14" s="1"/>
  <c r="U60" i="14"/>
  <c r="AS98" i="14"/>
  <c r="AP114" i="14" s="1"/>
  <c r="AP113" i="14"/>
  <c r="AT98" i="14"/>
  <c r="AY98" i="14" s="1"/>
  <c r="J232" i="14"/>
  <c r="W91" i="14" s="1"/>
  <c r="K462" i="14"/>
  <c r="P462" i="14" s="1"/>
  <c r="J462" i="14"/>
  <c r="U171" i="14" s="1"/>
  <c r="U170" i="14"/>
  <c r="C264" i="14"/>
  <c r="T97" i="14" s="1"/>
  <c r="T105" i="14" s="1"/>
  <c r="H259" i="14"/>
  <c r="I259" i="14" s="1"/>
  <c r="C263" i="14"/>
  <c r="G497" i="14"/>
  <c r="H346" i="14"/>
  <c r="I346" i="14" s="1"/>
  <c r="C350" i="14"/>
  <c r="K28" i="14"/>
  <c r="P28" i="14" s="1"/>
  <c r="J28" i="14"/>
  <c r="V21" i="14" s="1"/>
  <c r="V20" i="14"/>
  <c r="H433" i="14"/>
  <c r="I433" i="14" s="1"/>
  <c r="H202" i="14"/>
  <c r="I202" i="14" s="1"/>
  <c r="G438" i="14"/>
  <c r="X157" i="14" s="1"/>
  <c r="X165" i="14" s="1"/>
  <c r="H229" i="14"/>
  <c r="I229" i="14" s="1"/>
  <c r="C234" i="14"/>
  <c r="T86" i="14" s="1"/>
  <c r="T94" i="14" s="1"/>
  <c r="T238" i="14" s="1"/>
  <c r="C235" i="14"/>
  <c r="T87" i="14" s="1"/>
  <c r="T95" i="14" s="1"/>
  <c r="H27" i="14"/>
  <c r="I27" i="14" s="1"/>
  <c r="H407" i="14"/>
  <c r="H287" i="14"/>
  <c r="C582" i="14"/>
  <c r="T206" i="14" s="1"/>
  <c r="T214" i="14" s="1"/>
  <c r="T250" i="14" s="1"/>
  <c r="H577" i="14"/>
  <c r="I577" i="14" s="1"/>
  <c r="H117" i="14"/>
  <c r="I117" i="14" s="1"/>
  <c r="H376" i="14"/>
  <c r="I376" i="14" s="1"/>
  <c r="H30" i="14"/>
  <c r="I30" i="14" s="1"/>
  <c r="H230" i="14"/>
  <c r="I230" i="14" s="1"/>
  <c r="C177" i="14"/>
  <c r="T67" i="14" s="1"/>
  <c r="T75" i="14" s="1"/>
  <c r="K494" i="14"/>
  <c r="P494" i="14" s="1"/>
  <c r="J494" i="14"/>
  <c r="X181" i="14" s="1"/>
  <c r="X180" i="14"/>
  <c r="F119" i="14"/>
  <c r="W47" i="14" s="1"/>
  <c r="W55" i="14" s="1"/>
  <c r="D60" i="14"/>
  <c r="D234" i="14"/>
  <c r="U86" i="14" s="1"/>
  <c r="U94" i="14" s="1"/>
  <c r="U238" i="14" s="1"/>
  <c r="D235" i="14"/>
  <c r="U87" i="14" s="1"/>
  <c r="U95" i="14" s="1"/>
  <c r="J461" i="14"/>
  <c r="T171" i="14" s="1"/>
  <c r="K461" i="14"/>
  <c r="P461" i="14" s="1"/>
  <c r="T170" i="14"/>
  <c r="G467" i="14"/>
  <c r="X167" i="14" s="1"/>
  <c r="X175" i="14" s="1"/>
  <c r="C322" i="14"/>
  <c r="T117" i="14" s="1"/>
  <c r="T125" i="14" s="1"/>
  <c r="C60" i="14"/>
  <c r="T26" i="14" s="1"/>
  <c r="T34" i="14" s="1"/>
  <c r="T232" i="14" s="1"/>
  <c r="H55" i="14"/>
  <c r="I55" i="14" s="1"/>
  <c r="F234" i="14"/>
  <c r="F235" i="14"/>
  <c r="W87" i="14" s="1"/>
  <c r="W95" i="14" s="1"/>
  <c r="J406" i="14"/>
  <c r="W151" i="14" s="1"/>
  <c r="K406" i="14"/>
  <c r="P406" i="14" s="1"/>
  <c r="W150" i="14"/>
  <c r="H318" i="14"/>
  <c r="I318" i="14" s="1"/>
  <c r="H432" i="14"/>
  <c r="I432" i="14" s="1"/>
  <c r="C437" i="14"/>
  <c r="T156" i="14" s="1"/>
  <c r="T164" i="14" s="1"/>
  <c r="T245" i="14" s="1"/>
  <c r="E379" i="14"/>
  <c r="V136" i="14" s="1"/>
  <c r="V144" i="14" s="1"/>
  <c r="V243" i="14" s="1"/>
  <c r="H347" i="14"/>
  <c r="I347" i="14" s="1"/>
  <c r="J464" i="14"/>
  <c r="W171" i="14" s="1"/>
  <c r="K464" i="14"/>
  <c r="P464" i="14" s="1"/>
  <c r="W170" i="14"/>
  <c r="E60" i="14"/>
  <c r="V26" i="14" s="1"/>
  <c r="V34" i="14" s="1"/>
  <c r="V232" i="14" s="1"/>
  <c r="E61" i="14"/>
  <c r="V27" i="14" s="1"/>
  <c r="V35" i="14" s="1"/>
  <c r="H203" i="14"/>
  <c r="I203" i="14" s="1"/>
  <c r="H491" i="14"/>
  <c r="C496" i="14"/>
  <c r="T177" i="14" s="1"/>
  <c r="T185" i="14" s="1"/>
  <c r="H171" i="14"/>
  <c r="C176" i="14"/>
  <c r="T66" i="14" s="1"/>
  <c r="T74" i="14" s="1"/>
  <c r="T236" i="14" s="1"/>
  <c r="E292" i="14"/>
  <c r="AL99" i="14"/>
  <c r="F526" i="14"/>
  <c r="E147" i="14"/>
  <c r="V284" i="14"/>
  <c r="V285" i="14"/>
  <c r="V286" i="14" s="1"/>
  <c r="V225" i="14"/>
  <c r="J175" i="14"/>
  <c r="X71" i="14" s="1"/>
  <c r="K175" i="14"/>
  <c r="P175" i="14" s="1"/>
  <c r="X70" i="14"/>
  <c r="H465" i="14"/>
  <c r="E437" i="14"/>
  <c r="V156" i="14" s="1"/>
  <c r="V164" i="14" s="1"/>
  <c r="V245" i="14" s="1"/>
  <c r="AQ97" i="14"/>
  <c r="AR97" i="14" s="1"/>
  <c r="H374" i="14"/>
  <c r="I374" i="14" s="1"/>
  <c r="C379" i="14"/>
  <c r="T136" i="14" s="1"/>
  <c r="T144" i="14" s="1"/>
  <c r="T243" i="14" s="1"/>
  <c r="E352" i="14"/>
  <c r="D350" i="14"/>
  <c r="U126" i="14" s="1"/>
  <c r="U134" i="14" s="1"/>
  <c r="U242" i="14" s="1"/>
  <c r="F61" i="14"/>
  <c r="W27" i="14" s="1"/>
  <c r="W35" i="14" s="1"/>
  <c r="D497" i="14"/>
  <c r="D438" i="14"/>
  <c r="U157" i="14" s="1"/>
  <c r="U165" i="14" s="1"/>
  <c r="C583" i="14"/>
  <c r="T207" i="14" s="1"/>
  <c r="T215" i="14" s="1"/>
  <c r="H146" i="14"/>
  <c r="E524" i="14"/>
  <c r="E321" i="14"/>
  <c r="V116" i="14" s="1"/>
  <c r="V124" i="14" s="1"/>
  <c r="V241" i="14" s="1"/>
  <c r="W166" i="14"/>
  <c r="W174" i="14" s="1"/>
  <c r="W246" i="14" s="1"/>
  <c r="D118" i="14"/>
  <c r="F379" i="14"/>
  <c r="W136" i="14" s="1"/>
  <c r="W144" i="14" s="1"/>
  <c r="W243" i="14" s="1"/>
  <c r="F350" i="14"/>
  <c r="W126" i="14" s="1"/>
  <c r="W134" i="14" s="1"/>
  <c r="W242" i="14" s="1"/>
  <c r="F408" i="14"/>
  <c r="H57" i="14"/>
  <c r="I57" i="14" s="1"/>
  <c r="H377" i="14"/>
  <c r="I377" i="14" s="1"/>
  <c r="G60" i="14"/>
  <c r="E438" i="14"/>
  <c r="V157" i="14" s="1"/>
  <c r="V165" i="14" s="1"/>
  <c r="W285" i="14"/>
  <c r="W286" i="14" s="1"/>
  <c r="W225" i="14"/>
  <c r="W284" i="14"/>
  <c r="C466" i="14"/>
  <c r="E496" i="14"/>
  <c r="V177" i="14" s="1"/>
  <c r="V185" i="14" s="1"/>
  <c r="E264" i="14"/>
  <c r="V97" i="14" s="1"/>
  <c r="V105" i="14" s="1"/>
  <c r="H316" i="14"/>
  <c r="I316" i="14" s="1"/>
  <c r="C321" i="14"/>
  <c r="T116" i="14" s="1"/>
  <c r="T124" i="14" s="1"/>
  <c r="T241" i="14" s="1"/>
  <c r="AP99" i="14"/>
  <c r="F437" i="14"/>
  <c r="W156" i="14" s="1"/>
  <c r="W164" i="14" s="1"/>
  <c r="W245" i="14" s="1"/>
  <c r="E118" i="14"/>
  <c r="V46" i="14" s="1"/>
  <c r="V54" i="14" s="1"/>
  <c r="V234" i="14" s="1"/>
  <c r="G379" i="14"/>
  <c r="X136" i="14" s="1"/>
  <c r="X144" i="14" s="1"/>
  <c r="X243" i="14" s="1"/>
  <c r="G206" i="14"/>
  <c r="X77" i="14" s="1"/>
  <c r="X85" i="14" s="1"/>
  <c r="E467" i="14"/>
  <c r="V167" i="14" s="1"/>
  <c r="V175" i="14" s="1"/>
  <c r="K144" i="14"/>
  <c r="P144" i="14" s="1"/>
  <c r="V60" i="14"/>
  <c r="J260" i="14"/>
  <c r="V101" i="14" s="1"/>
  <c r="K260" i="14"/>
  <c r="P260" i="14" s="1"/>
  <c r="V100" i="14"/>
  <c r="F553" i="14"/>
  <c r="W196" i="14" s="1"/>
  <c r="W204" i="14" s="1"/>
  <c r="W249" i="14" s="1"/>
  <c r="F583" i="14"/>
  <c r="W207" i="14" s="1"/>
  <c r="W215" i="14" s="1"/>
  <c r="G408" i="14"/>
  <c r="X146" i="14" s="1"/>
  <c r="X154" i="14" s="1"/>
  <c r="X244" i="14" s="1"/>
  <c r="D321" i="14"/>
  <c r="G582" i="14"/>
  <c r="F31" i="14"/>
  <c r="G118" i="14"/>
  <c r="X46" i="14" s="1"/>
  <c r="X54" i="14" s="1"/>
  <c r="X234" i="14" s="1"/>
  <c r="D379" i="14"/>
  <c r="C524" i="14"/>
  <c r="H84" i="14"/>
  <c r="C89" i="14"/>
  <c r="T36" i="14" s="1"/>
  <c r="T44" i="14" s="1"/>
  <c r="T233" i="14" s="1"/>
  <c r="C90" i="14"/>
  <c r="T37" i="14" s="1"/>
  <c r="T45" i="14" s="1"/>
  <c r="G322" i="14"/>
  <c r="X117" i="14" s="1"/>
  <c r="X125" i="14" s="1"/>
  <c r="H349" i="14"/>
  <c r="I349" i="14" s="1"/>
  <c r="C61" i="14"/>
  <c r="T27" i="14" s="1"/>
  <c r="T35" i="14" s="1"/>
  <c r="H115" i="14"/>
  <c r="I115" i="14" s="1"/>
  <c r="H375" i="14"/>
  <c r="I375" i="14" s="1"/>
  <c r="H548" i="14"/>
  <c r="I548" i="14" s="1"/>
  <c r="C553" i="14"/>
  <c r="T196" i="14" s="1"/>
  <c r="T204" i="14" s="1"/>
  <c r="T249" i="14" s="1"/>
  <c r="F380" i="14"/>
  <c r="W137" i="14" s="1"/>
  <c r="W145" i="14" s="1"/>
  <c r="F321" i="14"/>
  <c r="G31" i="14"/>
  <c r="X16" i="14" s="1"/>
  <c r="H290" i="14"/>
  <c r="I290" i="14" s="1"/>
  <c r="U190" i="14"/>
  <c r="C525" i="14"/>
  <c r="T187" i="14" s="1"/>
  <c r="T195" i="14" s="1"/>
  <c r="C118" i="14"/>
  <c r="T46" i="14" s="1"/>
  <c r="T54" i="14" s="1"/>
  <c r="T234" i="14" s="1"/>
  <c r="H113" i="14"/>
  <c r="E89" i="14"/>
  <c r="E90" i="14"/>
  <c r="V37" i="14" s="1"/>
  <c r="V45" i="14" s="1"/>
  <c r="C351" i="14"/>
  <c r="T127" i="14" s="1"/>
  <c r="T135" i="14" s="1"/>
  <c r="T225" i="14"/>
  <c r="D61" i="14"/>
  <c r="U27" i="14" s="1"/>
  <c r="U35" i="14" s="1"/>
  <c r="H320" i="14"/>
  <c r="I320" i="14" s="1"/>
  <c r="D553" i="14"/>
  <c r="U196" i="14" s="1"/>
  <c r="U204" i="14" s="1"/>
  <c r="U249" i="14" s="1"/>
  <c r="C408" i="14"/>
  <c r="G583" i="14"/>
  <c r="X207" i="14" s="1"/>
  <c r="X215" i="14" s="1"/>
  <c r="AN110" i="14"/>
  <c r="F89" i="14"/>
  <c r="F90" i="14"/>
  <c r="W37" i="14" s="1"/>
  <c r="W45" i="14" s="1"/>
  <c r="E553" i="14"/>
  <c r="D467" i="14"/>
  <c r="U167" i="14" s="1"/>
  <c r="U175" i="14" s="1"/>
  <c r="AM99" i="14"/>
  <c r="C31" i="14"/>
  <c r="T16" i="14" s="1"/>
  <c r="H26" i="14"/>
  <c r="H288" i="14"/>
  <c r="I288" i="14" s="1"/>
  <c r="D584" i="14"/>
  <c r="H261" i="14"/>
  <c r="H578" i="14"/>
  <c r="I578" i="14" s="1"/>
  <c r="D31" i="14"/>
  <c r="U16" i="14" s="1"/>
  <c r="AQ96" i="14"/>
  <c r="H551" i="14"/>
  <c r="I551" i="14" s="1"/>
  <c r="H116" i="14"/>
  <c r="I116" i="14" s="1"/>
  <c r="F263" i="14"/>
  <c r="W96" i="14" s="1"/>
  <c r="W104" i="14" s="1"/>
  <c r="W239" i="14" s="1"/>
  <c r="F264" i="14"/>
  <c r="W97" i="14" s="1"/>
  <c r="W105" i="14" s="1"/>
  <c r="K519" i="14"/>
  <c r="P519" i="14" s="1"/>
  <c r="J519" i="14"/>
  <c r="T191" i="14" s="1"/>
  <c r="T190" i="14"/>
  <c r="D90" i="14"/>
  <c r="U37" i="14" s="1"/>
  <c r="U45" i="14" s="1"/>
  <c r="D89" i="14"/>
  <c r="E206" i="14"/>
  <c r="V77" i="14" s="1"/>
  <c r="V85" i="14" s="1"/>
  <c r="F351" i="14"/>
  <c r="W127" i="14" s="1"/>
  <c r="W135" i="14" s="1"/>
  <c r="H201" i="14"/>
  <c r="I201" i="14" s="1"/>
  <c r="G350" i="14"/>
  <c r="H345" i="14"/>
  <c r="C205" i="14"/>
  <c r="D263" i="14"/>
  <c r="U96" i="14" s="1"/>
  <c r="U104" i="14" s="1"/>
  <c r="U239" i="14" s="1"/>
  <c r="G553" i="14"/>
  <c r="F292" i="14"/>
  <c r="W106" i="14" s="1"/>
  <c r="W114" i="14" s="1"/>
  <c r="W240" i="14" s="1"/>
  <c r="C438" i="14"/>
  <c r="T157" i="14" s="1"/>
  <c r="T165" i="14" s="1"/>
  <c r="G234" i="14"/>
  <c r="G235" i="14"/>
  <c r="X87" i="14" s="1"/>
  <c r="X95" i="14" s="1"/>
  <c r="G466" i="14"/>
  <c r="X166" i="14" s="1"/>
  <c r="X174" i="14" s="1"/>
  <c r="X246" i="14" s="1"/>
  <c r="H493" i="14"/>
  <c r="I493" i="14" s="1"/>
  <c r="E31" i="14"/>
  <c r="AO99" i="14"/>
  <c r="AO109" i="14" s="1"/>
  <c r="AO117" i="14" s="1"/>
  <c r="AO110" i="14"/>
  <c r="X284" i="14"/>
  <c r="X285" i="14"/>
  <c r="X286" i="14" s="1"/>
  <c r="X225" i="14"/>
  <c r="C32" i="14"/>
  <c r="T17" i="14" s="1"/>
  <c r="G90" i="14"/>
  <c r="X37" i="14" s="1"/>
  <c r="X45" i="14" s="1"/>
  <c r="G89" i="14"/>
  <c r="X36" i="14" s="1"/>
  <c r="X44" i="14" s="1"/>
  <c r="X233" i="14" s="1"/>
  <c r="F206" i="14"/>
  <c r="W77" i="14" s="1"/>
  <c r="W85" i="14" s="1"/>
  <c r="C119" i="14"/>
  <c r="T47" i="14" s="1"/>
  <c r="T55" i="14" s="1"/>
  <c r="H552" i="14"/>
  <c r="I552" i="14" s="1"/>
  <c r="F148" i="14"/>
  <c r="W57" i="14" s="1"/>
  <c r="W65" i="14" s="1"/>
  <c r="U225" i="14"/>
  <c r="U285" i="14"/>
  <c r="U286" i="14" s="1"/>
  <c r="U284" i="14"/>
  <c r="K523" i="14"/>
  <c r="P523" i="14" s="1"/>
  <c r="J523" i="14"/>
  <c r="X191" i="14" s="1"/>
  <c r="X190" i="14"/>
  <c r="H549" i="14"/>
  <c r="I549" i="14" s="1"/>
  <c r="E235" i="14"/>
  <c r="V87" i="14" s="1"/>
  <c r="V95" i="14" s="1"/>
  <c r="E234" i="14"/>
  <c r="V86" i="14" s="1"/>
  <c r="V94" i="14" s="1"/>
  <c r="V238" i="14" s="1"/>
  <c r="C554" i="14"/>
  <c r="T197" i="14" s="1"/>
  <c r="T205" i="14" s="1"/>
  <c r="D496" i="14"/>
  <c r="U177" i="14" s="1"/>
  <c r="U185" i="14" s="1"/>
  <c r="H434" i="14"/>
  <c r="I434" i="14" s="1"/>
  <c r="F147" i="14"/>
  <c r="W56" i="14" s="1"/>
  <c r="W64" i="14" s="1"/>
  <c r="W235" i="14" s="1"/>
  <c r="BL65" i="12"/>
  <c r="BI161" i="12" s="1"/>
  <c r="BJ161" i="12" s="1"/>
  <c r="BI64" i="12"/>
  <c r="BJ64" i="12" s="1"/>
  <c r="AN99" i="12"/>
  <c r="AN109" i="12" s="1"/>
  <c r="AN117" i="12" s="1"/>
  <c r="AQ95" i="12"/>
  <c r="AR95" i="12" s="1"/>
  <c r="AM113" i="12" s="1"/>
  <c r="AQ97" i="12"/>
  <c r="AR97" i="12" s="1"/>
  <c r="AT97" i="12" s="1"/>
  <c r="AY97" i="12" s="1"/>
  <c r="AQ94" i="12"/>
  <c r="AR94" i="12" s="1"/>
  <c r="AL113" i="12" s="1"/>
  <c r="AL99" i="12"/>
  <c r="AL101" i="12" s="1"/>
  <c r="AM99" i="12"/>
  <c r="AM109" i="12" s="1"/>
  <c r="AM117" i="12" s="1"/>
  <c r="H577" i="12"/>
  <c r="I577" i="12" s="1"/>
  <c r="H579" i="12"/>
  <c r="I579" i="12" s="1"/>
  <c r="K579" i="12" s="1"/>
  <c r="P579" i="12" s="1"/>
  <c r="C554" i="12"/>
  <c r="T197" i="12" s="1"/>
  <c r="T205" i="12" s="1"/>
  <c r="H550" i="12"/>
  <c r="I550" i="12" s="1"/>
  <c r="D496" i="12"/>
  <c r="U177" i="12" s="1"/>
  <c r="U185" i="12" s="1"/>
  <c r="G496" i="12"/>
  <c r="X177" i="12" s="1"/>
  <c r="X185" i="12" s="1"/>
  <c r="F466" i="12"/>
  <c r="W166" i="12" s="1"/>
  <c r="W174" i="12" s="1"/>
  <c r="W246" i="12" s="1"/>
  <c r="H464" i="12"/>
  <c r="I464" i="12" s="1"/>
  <c r="J464" i="12" s="1"/>
  <c r="W171" i="12" s="1"/>
  <c r="D466" i="12"/>
  <c r="U166" i="12" s="1"/>
  <c r="U174" i="12" s="1"/>
  <c r="U246" i="12" s="1"/>
  <c r="G437" i="12"/>
  <c r="X156" i="12" s="1"/>
  <c r="X164" i="12" s="1"/>
  <c r="X245" i="12" s="1"/>
  <c r="H261" i="12"/>
  <c r="I261" i="12" s="1"/>
  <c r="K261" i="12" s="1"/>
  <c r="P261" i="12" s="1"/>
  <c r="C235" i="12"/>
  <c r="T87" i="12" s="1"/>
  <c r="T95" i="12" s="1"/>
  <c r="G235" i="12"/>
  <c r="X87" i="12" s="1"/>
  <c r="X95" i="12" s="1"/>
  <c r="G234" i="12"/>
  <c r="G236" i="12" s="1"/>
  <c r="E234" i="12"/>
  <c r="V86" i="12" s="1"/>
  <c r="V94" i="12" s="1"/>
  <c r="V238" i="12" s="1"/>
  <c r="F235" i="12"/>
  <c r="W87" i="12" s="1"/>
  <c r="W95" i="12" s="1"/>
  <c r="H200" i="12"/>
  <c r="I200" i="12" s="1"/>
  <c r="K200" i="12" s="1"/>
  <c r="P200" i="12" s="1"/>
  <c r="X80" i="12"/>
  <c r="J204" i="12"/>
  <c r="X81" i="12" s="1"/>
  <c r="H202" i="12"/>
  <c r="I202" i="12" s="1"/>
  <c r="K202" i="12" s="1"/>
  <c r="P202" i="12" s="1"/>
  <c r="E206" i="12"/>
  <c r="V77" i="12" s="1"/>
  <c r="V85" i="12" s="1"/>
  <c r="G205" i="12"/>
  <c r="X76" i="12" s="1"/>
  <c r="X84" i="12" s="1"/>
  <c r="X237" i="12" s="1"/>
  <c r="F176" i="12"/>
  <c r="W66" i="12" s="1"/>
  <c r="W74" i="12" s="1"/>
  <c r="W236" i="12" s="1"/>
  <c r="H145" i="12"/>
  <c r="H117" i="12"/>
  <c r="I117" i="12" s="1"/>
  <c r="K117" i="12" s="1"/>
  <c r="P117" i="12" s="1"/>
  <c r="E118" i="12"/>
  <c r="V46" i="12" s="1"/>
  <c r="V54" i="12" s="1"/>
  <c r="V234" i="12" s="1"/>
  <c r="H114" i="12"/>
  <c r="I114" i="12" s="1"/>
  <c r="J114" i="12" s="1"/>
  <c r="U51" i="12" s="1"/>
  <c r="F118" i="12"/>
  <c r="F119" i="12"/>
  <c r="W47" i="12" s="1"/>
  <c r="W55" i="12" s="1"/>
  <c r="D120" i="12"/>
  <c r="D122" i="12" s="1"/>
  <c r="D89" i="12"/>
  <c r="U36" i="12" s="1"/>
  <c r="U44" i="12" s="1"/>
  <c r="U233" i="12" s="1"/>
  <c r="F89" i="12"/>
  <c r="W36" i="12" s="1"/>
  <c r="W44" i="12" s="1"/>
  <c r="W233" i="12" s="1"/>
  <c r="V285" i="12"/>
  <c r="V286" i="12" s="1"/>
  <c r="F90" i="12"/>
  <c r="W37" i="12" s="1"/>
  <c r="W45" i="12" s="1"/>
  <c r="G90" i="12"/>
  <c r="X37" i="12" s="1"/>
  <c r="X45" i="12" s="1"/>
  <c r="D90" i="12"/>
  <c r="U37" i="12" s="1"/>
  <c r="U45" i="12" s="1"/>
  <c r="D61" i="12"/>
  <c r="U27" i="12" s="1"/>
  <c r="U35" i="12" s="1"/>
  <c r="E554" i="12"/>
  <c r="V197" i="12" s="1"/>
  <c r="V205" i="12" s="1"/>
  <c r="D553" i="12"/>
  <c r="U196" i="12" s="1"/>
  <c r="U204" i="12" s="1"/>
  <c r="U249" i="12" s="1"/>
  <c r="G553" i="12"/>
  <c r="X196" i="12" s="1"/>
  <c r="X204" i="12" s="1"/>
  <c r="X249" i="12" s="1"/>
  <c r="F554" i="12"/>
  <c r="W197" i="12" s="1"/>
  <c r="W205" i="12" s="1"/>
  <c r="W190" i="12"/>
  <c r="K522" i="12"/>
  <c r="P522" i="12" s="1"/>
  <c r="E438" i="12"/>
  <c r="V157" i="12" s="1"/>
  <c r="V165" i="12" s="1"/>
  <c r="F438" i="12"/>
  <c r="W157" i="12" s="1"/>
  <c r="W165" i="12" s="1"/>
  <c r="D438" i="12"/>
  <c r="U157" i="12" s="1"/>
  <c r="U165" i="12" s="1"/>
  <c r="C409" i="12"/>
  <c r="T147" i="12" s="1"/>
  <c r="T155" i="12" s="1"/>
  <c r="E408" i="12"/>
  <c r="V146" i="12" s="1"/>
  <c r="V154" i="12" s="1"/>
  <c r="V244" i="12" s="1"/>
  <c r="F408" i="12"/>
  <c r="W146" i="12" s="1"/>
  <c r="W154" i="12" s="1"/>
  <c r="W244" i="12" s="1"/>
  <c r="H407" i="12"/>
  <c r="I407" i="12" s="1"/>
  <c r="G408" i="12"/>
  <c r="X146" i="12" s="1"/>
  <c r="X154" i="12" s="1"/>
  <c r="X244" i="12" s="1"/>
  <c r="H404" i="12"/>
  <c r="I404" i="12" s="1"/>
  <c r="H377" i="12"/>
  <c r="I377" i="12" s="1"/>
  <c r="H290" i="12"/>
  <c r="I290" i="12" s="1"/>
  <c r="E235" i="12"/>
  <c r="V87" i="12" s="1"/>
  <c r="V95" i="12" s="1"/>
  <c r="D176" i="12"/>
  <c r="U66" i="12" s="1"/>
  <c r="U74" i="12" s="1"/>
  <c r="U236" i="12" s="1"/>
  <c r="G176" i="12"/>
  <c r="G119" i="12"/>
  <c r="X47" i="12" s="1"/>
  <c r="X55" i="12" s="1"/>
  <c r="E119" i="12"/>
  <c r="V47" i="12" s="1"/>
  <c r="V55" i="12" s="1"/>
  <c r="E90" i="12"/>
  <c r="V37" i="12" s="1"/>
  <c r="V45" i="12" s="1"/>
  <c r="H87" i="12"/>
  <c r="E61" i="12"/>
  <c r="V27" i="12" s="1"/>
  <c r="V35" i="12" s="1"/>
  <c r="F60" i="12"/>
  <c r="W26" i="12" s="1"/>
  <c r="W34" i="12" s="1"/>
  <c r="W232" i="12" s="1"/>
  <c r="H58" i="12"/>
  <c r="I58" i="12" s="1"/>
  <c r="K58" i="12" s="1"/>
  <c r="P58" i="12" s="1"/>
  <c r="G60" i="12"/>
  <c r="X26" i="12" s="1"/>
  <c r="X34" i="12" s="1"/>
  <c r="X232" i="12" s="1"/>
  <c r="X225" i="12"/>
  <c r="X285" i="12"/>
  <c r="X286" i="12" s="1"/>
  <c r="G61" i="12"/>
  <c r="X27" i="12" s="1"/>
  <c r="X35" i="12" s="1"/>
  <c r="H27" i="12"/>
  <c r="I27" i="12" s="1"/>
  <c r="K27" i="12" s="1"/>
  <c r="P27" i="12" s="1"/>
  <c r="H30" i="12"/>
  <c r="I30" i="12" s="1"/>
  <c r="X20" i="12" s="1"/>
  <c r="C32" i="12"/>
  <c r="T17" i="12" s="1"/>
  <c r="T25" i="12" s="1"/>
  <c r="D32" i="12"/>
  <c r="U17" i="12" s="1"/>
  <c r="U25" i="12" s="1"/>
  <c r="G32" i="12"/>
  <c r="X17" i="12" s="1"/>
  <c r="X25" i="12" s="1"/>
  <c r="F32" i="12"/>
  <c r="W17" i="12" s="1"/>
  <c r="W25" i="12" s="1"/>
  <c r="X284" i="12"/>
  <c r="H29" i="12"/>
  <c r="I29" i="12" s="1"/>
  <c r="J29" i="12" s="1"/>
  <c r="W21" i="12" s="1"/>
  <c r="E32" i="12"/>
  <c r="V17" i="12" s="1"/>
  <c r="V25" i="12" s="1"/>
  <c r="C31" i="12"/>
  <c r="T16" i="12" s="1"/>
  <c r="T24" i="12" s="1"/>
  <c r="T231" i="12" s="1"/>
  <c r="G31" i="12"/>
  <c r="X16" i="12" s="1"/>
  <c r="X24" i="12" s="1"/>
  <c r="X231" i="12" s="1"/>
  <c r="D31" i="12"/>
  <c r="U16" i="12" s="1"/>
  <c r="U24" i="12" s="1"/>
  <c r="U231" i="12" s="1"/>
  <c r="E31" i="12"/>
  <c r="V16" i="12" s="1"/>
  <c r="V24" i="12" s="1"/>
  <c r="V231" i="12" s="1"/>
  <c r="F31" i="12"/>
  <c r="W16" i="12" s="1"/>
  <c r="J143" i="12"/>
  <c r="U61" i="12" s="1"/>
  <c r="K143" i="12"/>
  <c r="P143" i="12" s="1"/>
  <c r="U60" i="12"/>
  <c r="T40" i="12"/>
  <c r="K84" i="12"/>
  <c r="P84" i="12" s="1"/>
  <c r="J84" i="12"/>
  <c r="T41" i="12" s="1"/>
  <c r="K288" i="12"/>
  <c r="P288" i="12" s="1"/>
  <c r="J288" i="12"/>
  <c r="U111" i="12" s="1"/>
  <c r="U110" i="12"/>
  <c r="K349" i="12"/>
  <c r="P349" i="12" s="1"/>
  <c r="J349" i="12"/>
  <c r="X131" i="12" s="1"/>
  <c r="X130" i="12"/>
  <c r="J262" i="12"/>
  <c r="X101" i="12" s="1"/>
  <c r="K262" i="12"/>
  <c r="P262" i="12" s="1"/>
  <c r="X100" i="12"/>
  <c r="J260" i="12"/>
  <c r="V101" i="12" s="1"/>
  <c r="K260" i="12"/>
  <c r="P260" i="12" s="1"/>
  <c r="V100" i="12"/>
  <c r="K521" i="12"/>
  <c r="P521" i="12" s="1"/>
  <c r="J521" i="12"/>
  <c r="V191" i="12" s="1"/>
  <c r="V190" i="12"/>
  <c r="U176" i="12"/>
  <c r="U184" i="12" s="1"/>
  <c r="U247" i="12" s="1"/>
  <c r="D497" i="12"/>
  <c r="K259" i="12"/>
  <c r="P259" i="12" s="1"/>
  <c r="J259" i="12"/>
  <c r="U101" i="12" s="1"/>
  <c r="U100" i="12"/>
  <c r="K115" i="12"/>
  <c r="P115" i="12" s="1"/>
  <c r="J115" i="12"/>
  <c r="V51" i="12" s="1"/>
  <c r="V50" i="12"/>
  <c r="K116" i="12"/>
  <c r="P116" i="12" s="1"/>
  <c r="J116" i="12"/>
  <c r="W51" i="12" s="1"/>
  <c r="W50" i="12"/>
  <c r="J491" i="12"/>
  <c r="U181" i="12" s="1"/>
  <c r="K491" i="12"/>
  <c r="P491" i="12" s="1"/>
  <c r="U180" i="12"/>
  <c r="K319" i="12"/>
  <c r="P319" i="12" s="1"/>
  <c r="J319" i="12"/>
  <c r="W121" i="12" s="1"/>
  <c r="W120" i="12"/>
  <c r="C89" i="12"/>
  <c r="E60" i="12"/>
  <c r="G321" i="12"/>
  <c r="X116" i="12" s="1"/>
  <c r="X124" i="12" s="1"/>
  <c r="X241" i="12" s="1"/>
  <c r="G322" i="12"/>
  <c r="X117" i="12" s="1"/>
  <c r="X125" i="12" s="1"/>
  <c r="F495" i="12"/>
  <c r="H85" i="12"/>
  <c r="I85" i="12" s="1"/>
  <c r="E466" i="12"/>
  <c r="AM110" i="12"/>
  <c r="D60" i="12"/>
  <c r="U26" i="12" s="1"/>
  <c r="U34" i="12" s="1"/>
  <c r="U232" i="12" s="1"/>
  <c r="H287" i="12"/>
  <c r="C292" i="12"/>
  <c r="T106" i="12" s="1"/>
  <c r="T114" i="12" s="1"/>
  <c r="T240" i="12" s="1"/>
  <c r="C293" i="12"/>
  <c r="T107" i="12" s="1"/>
  <c r="T115" i="12" s="1"/>
  <c r="E350" i="12"/>
  <c r="E351" i="12"/>
  <c r="V127" i="12" s="1"/>
  <c r="V135" i="12" s="1"/>
  <c r="D379" i="12"/>
  <c r="D380" i="12"/>
  <c r="U137" i="12" s="1"/>
  <c r="U145" i="12" s="1"/>
  <c r="C205" i="12"/>
  <c r="BJ39" i="12"/>
  <c r="H144" i="12"/>
  <c r="I144" i="12" s="1"/>
  <c r="K203" i="12"/>
  <c r="P203" i="12" s="1"/>
  <c r="J203" i="12"/>
  <c r="W81" i="12" s="1"/>
  <c r="W80" i="12"/>
  <c r="H59" i="12"/>
  <c r="I59" i="12" s="1"/>
  <c r="C90" i="12"/>
  <c r="T37" i="12" s="1"/>
  <c r="T45" i="12" s="1"/>
  <c r="H462" i="12"/>
  <c r="H549" i="12"/>
  <c r="I549" i="12" s="1"/>
  <c r="BI90" i="12"/>
  <c r="BJ90" i="12" s="1"/>
  <c r="BI152" i="12"/>
  <c r="BJ152" i="12" s="1"/>
  <c r="K233" i="12"/>
  <c r="P233" i="12" s="1"/>
  <c r="J233" i="12"/>
  <c r="X91" i="12" s="1"/>
  <c r="X90" i="12"/>
  <c r="C321" i="12"/>
  <c r="T116" i="12" s="1"/>
  <c r="T124" i="12" s="1"/>
  <c r="T241" i="12" s="1"/>
  <c r="H316" i="12"/>
  <c r="I316" i="12" s="1"/>
  <c r="C322" i="12"/>
  <c r="T117" i="12" s="1"/>
  <c r="T125" i="12" s="1"/>
  <c r="H232" i="12"/>
  <c r="I232" i="12" s="1"/>
  <c r="D292" i="12"/>
  <c r="D293" i="12"/>
  <c r="U107" i="12" s="1"/>
  <c r="U115" i="12" s="1"/>
  <c r="H435" i="12"/>
  <c r="I435" i="12" s="1"/>
  <c r="D177" i="12"/>
  <c r="U67" i="12" s="1"/>
  <c r="U75" i="12" s="1"/>
  <c r="F350" i="12"/>
  <c r="F351" i="12"/>
  <c r="W127" i="12" s="1"/>
  <c r="W135" i="12" s="1"/>
  <c r="E379" i="12"/>
  <c r="V136" i="12" s="1"/>
  <c r="V144" i="12" s="1"/>
  <c r="V243" i="12" s="1"/>
  <c r="E380" i="12"/>
  <c r="V137" i="12" s="1"/>
  <c r="V145" i="12" s="1"/>
  <c r="G206" i="12"/>
  <c r="X77" i="12" s="1"/>
  <c r="X85" i="12" s="1"/>
  <c r="C61" i="12"/>
  <c r="T27" i="12" s="1"/>
  <c r="T35" i="12" s="1"/>
  <c r="G89" i="12"/>
  <c r="X36" i="12" s="1"/>
  <c r="X44" i="12" s="1"/>
  <c r="X233" i="12" s="1"/>
  <c r="D321" i="12"/>
  <c r="D322" i="12"/>
  <c r="U117" i="12" s="1"/>
  <c r="U125" i="12" s="1"/>
  <c r="H172" i="12"/>
  <c r="I172" i="12" s="1"/>
  <c r="K317" i="12"/>
  <c r="P317" i="12" s="1"/>
  <c r="J317" i="12"/>
  <c r="U121" i="12" s="1"/>
  <c r="U120" i="12"/>
  <c r="E292" i="12"/>
  <c r="E293" i="12"/>
  <c r="V107" i="12" s="1"/>
  <c r="V115" i="12" s="1"/>
  <c r="G350" i="12"/>
  <c r="G351" i="12"/>
  <c r="X127" i="12" s="1"/>
  <c r="X135" i="12" s="1"/>
  <c r="G379" i="12"/>
  <c r="G380" i="12"/>
  <c r="X137" i="12" s="1"/>
  <c r="X145" i="12" s="1"/>
  <c r="G438" i="12"/>
  <c r="X157" i="12" s="1"/>
  <c r="X165" i="12" s="1"/>
  <c r="BI40" i="12"/>
  <c r="BJ40" i="12" s="1"/>
  <c r="BJ57" i="12"/>
  <c r="V225" i="12"/>
  <c r="K347" i="12"/>
  <c r="P347" i="12" s="1"/>
  <c r="J347" i="12"/>
  <c r="V131" i="12" s="1"/>
  <c r="V130" i="12"/>
  <c r="W285" i="12"/>
  <c r="W286" i="12" s="1"/>
  <c r="W284" i="12"/>
  <c r="W225" i="12"/>
  <c r="H231" i="12"/>
  <c r="I231" i="12" s="1"/>
  <c r="U285" i="12"/>
  <c r="U286" i="12" s="1"/>
  <c r="U284" i="12"/>
  <c r="U225" i="12"/>
  <c r="K146" i="12"/>
  <c r="P146" i="12" s="1"/>
  <c r="J146" i="12"/>
  <c r="X61" i="12" s="1"/>
  <c r="X60" i="12"/>
  <c r="F292" i="12"/>
  <c r="F293" i="12"/>
  <c r="W107" i="12" s="1"/>
  <c r="W115" i="12" s="1"/>
  <c r="H28" i="12"/>
  <c r="I28" i="12" s="1"/>
  <c r="H320" i="12"/>
  <c r="I320" i="12" s="1"/>
  <c r="F437" i="12"/>
  <c r="W156" i="12" s="1"/>
  <c r="W164" i="12" s="1"/>
  <c r="W245" i="12" s="1"/>
  <c r="F380" i="12"/>
  <c r="W137" i="12" s="1"/>
  <c r="W145" i="12" s="1"/>
  <c r="F379" i="12"/>
  <c r="W136" i="12" s="1"/>
  <c r="W144" i="12" s="1"/>
  <c r="W243" i="12" s="1"/>
  <c r="H376" i="12"/>
  <c r="I376" i="12" s="1"/>
  <c r="K348" i="12"/>
  <c r="P348" i="12" s="1"/>
  <c r="J348" i="12"/>
  <c r="W131" i="12" s="1"/>
  <c r="W130" i="12"/>
  <c r="C234" i="12"/>
  <c r="T86" i="12" s="1"/>
  <c r="T94" i="12" s="1"/>
  <c r="T238" i="12" s="1"/>
  <c r="H229" i="12"/>
  <c r="V284" i="12"/>
  <c r="H346" i="12"/>
  <c r="I346" i="12" s="1"/>
  <c r="K580" i="12"/>
  <c r="P580" i="12" s="1"/>
  <c r="J580" i="12"/>
  <c r="W211" i="12" s="1"/>
  <c r="W210" i="12"/>
  <c r="C60" i="12"/>
  <c r="T26" i="12" s="1"/>
  <c r="T34" i="12" s="1"/>
  <c r="T232" i="12" s="1"/>
  <c r="H55" i="12"/>
  <c r="I55" i="12" s="1"/>
  <c r="H434" i="12"/>
  <c r="I434" i="12" s="1"/>
  <c r="BL40" i="12"/>
  <c r="E495" i="12"/>
  <c r="V176" i="12" s="1"/>
  <c r="V184" i="12" s="1"/>
  <c r="V247" i="12" s="1"/>
  <c r="E496" i="12"/>
  <c r="V177" i="12" s="1"/>
  <c r="V185" i="12" s="1"/>
  <c r="G292" i="12"/>
  <c r="G293" i="12"/>
  <c r="X107" i="12" s="1"/>
  <c r="X115" i="12" s="1"/>
  <c r="C524" i="12"/>
  <c r="T186" i="12" s="1"/>
  <c r="T194" i="12" s="1"/>
  <c r="T248" i="12" s="1"/>
  <c r="H519" i="12"/>
  <c r="C525" i="12"/>
  <c r="T187" i="12" s="1"/>
  <c r="T195" i="12" s="1"/>
  <c r="I145" i="12"/>
  <c r="G409" i="12"/>
  <c r="X147" i="12" s="1"/>
  <c r="X155" i="12" s="1"/>
  <c r="C147" i="12"/>
  <c r="T56" i="12" s="1"/>
  <c r="T64" i="12" s="1"/>
  <c r="T235" i="12" s="1"/>
  <c r="H142" i="12"/>
  <c r="I142" i="12" s="1"/>
  <c r="C148" i="12"/>
  <c r="T57" i="12" s="1"/>
  <c r="T65" i="12" s="1"/>
  <c r="J117" i="12"/>
  <c r="X51" i="12" s="1"/>
  <c r="X50" i="12"/>
  <c r="D234" i="12"/>
  <c r="U86" i="12" s="1"/>
  <c r="U94" i="12" s="1"/>
  <c r="U238" i="12" s="1"/>
  <c r="I490" i="12"/>
  <c r="E89" i="12"/>
  <c r="H230" i="12"/>
  <c r="I230" i="12" s="1"/>
  <c r="H403" i="12"/>
  <c r="C408" i="12"/>
  <c r="T146" i="12" s="1"/>
  <c r="T154" i="12" s="1"/>
  <c r="T244" i="12" s="1"/>
  <c r="H578" i="12"/>
  <c r="I578" i="12" s="1"/>
  <c r="C582" i="12"/>
  <c r="C583" i="12"/>
  <c r="T207" i="12" s="1"/>
  <c r="T215" i="12" s="1"/>
  <c r="C263" i="12"/>
  <c r="T96" i="12" s="1"/>
  <c r="T104" i="12" s="1"/>
  <c r="T239" i="12" s="1"/>
  <c r="H258" i="12"/>
  <c r="C264" i="12"/>
  <c r="T97" i="12" s="1"/>
  <c r="T105" i="12" s="1"/>
  <c r="H492" i="12"/>
  <c r="I492" i="12" s="1"/>
  <c r="C496" i="12"/>
  <c r="T177" i="12" s="1"/>
  <c r="T185" i="12" s="1"/>
  <c r="C495" i="12"/>
  <c r="G466" i="12"/>
  <c r="H405" i="12"/>
  <c r="I405" i="12" s="1"/>
  <c r="C466" i="12"/>
  <c r="D524" i="12"/>
  <c r="U186" i="12" s="1"/>
  <c r="U194" i="12" s="1"/>
  <c r="U248" i="12" s="1"/>
  <c r="D525" i="12"/>
  <c r="U187" i="12" s="1"/>
  <c r="U195" i="12" s="1"/>
  <c r="H581" i="12"/>
  <c r="I581" i="12" s="1"/>
  <c r="E147" i="12"/>
  <c r="V56" i="12" s="1"/>
  <c r="V64" i="12" s="1"/>
  <c r="V235" i="12" s="1"/>
  <c r="E148" i="12"/>
  <c r="V57" i="12" s="1"/>
  <c r="V65" i="12" s="1"/>
  <c r="H406" i="12"/>
  <c r="I406" i="12" s="1"/>
  <c r="E437" i="12"/>
  <c r="V156" i="12" s="1"/>
  <c r="V164" i="12" s="1"/>
  <c r="V245" i="12" s="1"/>
  <c r="J465" i="12"/>
  <c r="X171" i="12" s="1"/>
  <c r="K465" i="12"/>
  <c r="P465" i="12" s="1"/>
  <c r="X170" i="12"/>
  <c r="C553" i="12"/>
  <c r="T196" i="12" s="1"/>
  <c r="T204" i="12" s="1"/>
  <c r="T249" i="12" s="1"/>
  <c r="H548" i="12"/>
  <c r="I548" i="12" s="1"/>
  <c r="D582" i="12"/>
  <c r="U206" i="12" s="1"/>
  <c r="U214" i="12" s="1"/>
  <c r="U250" i="12" s="1"/>
  <c r="D583" i="12"/>
  <c r="U207" i="12" s="1"/>
  <c r="U215" i="12" s="1"/>
  <c r="U50" i="12"/>
  <c r="E263" i="12"/>
  <c r="E264" i="12"/>
  <c r="V97" i="12" s="1"/>
  <c r="V105" i="12" s="1"/>
  <c r="C467" i="12"/>
  <c r="T167" i="12" s="1"/>
  <c r="T175" i="12" s="1"/>
  <c r="H171" i="12"/>
  <c r="I171" i="12" s="1"/>
  <c r="C176" i="12"/>
  <c r="T66" i="12" s="1"/>
  <c r="T74" i="12" s="1"/>
  <c r="T236" i="12" s="1"/>
  <c r="E525" i="12"/>
  <c r="V187" i="12" s="1"/>
  <c r="V195" i="12" s="1"/>
  <c r="E524" i="12"/>
  <c r="E409" i="12"/>
  <c r="V147" i="12" s="1"/>
  <c r="V155" i="12" s="1"/>
  <c r="G147" i="12"/>
  <c r="G148" i="12"/>
  <c r="X57" i="12" s="1"/>
  <c r="X65" i="12" s="1"/>
  <c r="G554" i="12"/>
  <c r="X197" i="12" s="1"/>
  <c r="X205" i="12" s="1"/>
  <c r="D467" i="12"/>
  <c r="U167" i="12" s="1"/>
  <c r="U175" i="12" s="1"/>
  <c r="K113" i="12"/>
  <c r="P113" i="12" s="1"/>
  <c r="J113" i="12"/>
  <c r="T51" i="12" s="1"/>
  <c r="T50" i="12"/>
  <c r="E205" i="12"/>
  <c r="F234" i="12"/>
  <c r="W86" i="12" s="1"/>
  <c r="W94" i="12" s="1"/>
  <c r="W238" i="12" s="1"/>
  <c r="D408" i="12"/>
  <c r="U146" i="12" s="1"/>
  <c r="U154" i="12" s="1"/>
  <c r="U244" i="12" s="1"/>
  <c r="E178" i="12"/>
  <c r="H551" i="12"/>
  <c r="I551" i="12" s="1"/>
  <c r="H433" i="12"/>
  <c r="I433" i="12" s="1"/>
  <c r="F263" i="12"/>
  <c r="F264" i="12"/>
  <c r="W97" i="12" s="1"/>
  <c r="W105" i="12" s="1"/>
  <c r="D437" i="12"/>
  <c r="U156" i="12" s="1"/>
  <c r="U164" i="12" s="1"/>
  <c r="U245" i="12" s="1"/>
  <c r="I461" i="12"/>
  <c r="G524" i="12"/>
  <c r="G525" i="12"/>
  <c r="X187" i="12" s="1"/>
  <c r="X195" i="12" s="1"/>
  <c r="F409" i="12"/>
  <c r="W147" i="12" s="1"/>
  <c r="W155" i="12" s="1"/>
  <c r="AQ96" i="12"/>
  <c r="AR96" i="12" s="1"/>
  <c r="AL110" i="12"/>
  <c r="F147" i="12"/>
  <c r="W56" i="12" s="1"/>
  <c r="W64" i="12" s="1"/>
  <c r="W235" i="12" s="1"/>
  <c r="F148" i="12"/>
  <c r="W57" i="12" s="1"/>
  <c r="W65" i="12" s="1"/>
  <c r="C120" i="12"/>
  <c r="D206" i="12"/>
  <c r="U77" i="12" s="1"/>
  <c r="U85" i="12" s="1"/>
  <c r="D205" i="12"/>
  <c r="U76" i="12" s="1"/>
  <c r="U84" i="12" s="1"/>
  <c r="U237" i="12" s="1"/>
  <c r="J175" i="12"/>
  <c r="X71" i="12" s="1"/>
  <c r="K175" i="12"/>
  <c r="P175" i="12" s="1"/>
  <c r="X70" i="12"/>
  <c r="J463" i="12"/>
  <c r="V171" i="12" s="1"/>
  <c r="K463" i="12"/>
  <c r="P463" i="12" s="1"/>
  <c r="V170" i="12"/>
  <c r="G582" i="12"/>
  <c r="X206" i="12" s="1"/>
  <c r="X214" i="12" s="1"/>
  <c r="X250" i="12" s="1"/>
  <c r="G583" i="12"/>
  <c r="X207" i="12" s="1"/>
  <c r="X215" i="12" s="1"/>
  <c r="G263" i="12"/>
  <c r="G264" i="12"/>
  <c r="X97" i="12" s="1"/>
  <c r="X105" i="12" s="1"/>
  <c r="C437" i="12"/>
  <c r="T156" i="12" s="1"/>
  <c r="T164" i="12" s="1"/>
  <c r="T245" i="12" s="1"/>
  <c r="H432" i="12"/>
  <c r="C177" i="12"/>
  <c r="T67" i="12" s="1"/>
  <c r="T75" i="12" s="1"/>
  <c r="F524" i="12"/>
  <c r="F525" i="12"/>
  <c r="W187" i="12" s="1"/>
  <c r="W195" i="12" s="1"/>
  <c r="D409" i="12"/>
  <c r="U147" i="12" s="1"/>
  <c r="U155" i="12" s="1"/>
  <c r="AN110" i="12"/>
  <c r="D147" i="12"/>
  <c r="D148" i="12"/>
  <c r="U57" i="12" s="1"/>
  <c r="U65" i="12" s="1"/>
  <c r="K318" i="12"/>
  <c r="P318" i="12" s="1"/>
  <c r="J318" i="12"/>
  <c r="V121" i="12" s="1"/>
  <c r="V120" i="12"/>
  <c r="C438" i="12"/>
  <c r="T157" i="12" s="1"/>
  <c r="T165" i="12" s="1"/>
  <c r="AQ98" i="12"/>
  <c r="AR98" i="12" s="1"/>
  <c r="F205" i="12"/>
  <c r="F206" i="12"/>
  <c r="W77" i="12" s="1"/>
  <c r="W85" i="12" s="1"/>
  <c r="F582" i="12"/>
  <c r="F583" i="12"/>
  <c r="W207" i="12" s="1"/>
  <c r="W215" i="12" s="1"/>
  <c r="D263" i="12"/>
  <c r="D264" i="12"/>
  <c r="U97" i="12" s="1"/>
  <c r="U105" i="12" s="1"/>
  <c r="E177" i="12"/>
  <c r="V67" i="12" s="1"/>
  <c r="V75" i="12" s="1"/>
  <c r="AO110" i="12"/>
  <c r="AO99" i="12"/>
  <c r="K436" i="12"/>
  <c r="P436" i="12" s="1"/>
  <c r="J436" i="12"/>
  <c r="X161" i="12" s="1"/>
  <c r="X160" i="12"/>
  <c r="E553" i="12"/>
  <c r="V196" i="12" s="1"/>
  <c r="V204" i="12" s="1"/>
  <c r="V249" i="12" s="1"/>
  <c r="D235" i="12"/>
  <c r="U87" i="12" s="1"/>
  <c r="U95" i="12" s="1"/>
  <c r="H552" i="12"/>
  <c r="I552" i="12" s="1"/>
  <c r="G497" i="12"/>
  <c r="H520" i="12"/>
  <c r="I520" i="12" s="1"/>
  <c r="F61" i="12"/>
  <c r="W27" i="12" s="1"/>
  <c r="W35" i="12" s="1"/>
  <c r="H201" i="12"/>
  <c r="I201" i="12" s="1"/>
  <c r="H57" i="12"/>
  <c r="I57" i="12" s="1"/>
  <c r="E321" i="12"/>
  <c r="E322" i="12"/>
  <c r="V117" i="12" s="1"/>
  <c r="V125" i="12" s="1"/>
  <c r="J523" i="12"/>
  <c r="X191" i="12" s="1"/>
  <c r="K523" i="12"/>
  <c r="P523" i="12" s="1"/>
  <c r="X190" i="12"/>
  <c r="H88" i="12"/>
  <c r="I88" i="12" s="1"/>
  <c r="H56" i="12"/>
  <c r="I56" i="12" s="1"/>
  <c r="F177" i="12"/>
  <c r="W67" i="12" s="1"/>
  <c r="W75" i="12" s="1"/>
  <c r="C350" i="12"/>
  <c r="T126" i="12" s="1"/>
  <c r="T134" i="12" s="1"/>
  <c r="T242" i="12" s="1"/>
  <c r="H345" i="12"/>
  <c r="C351" i="12"/>
  <c r="T127" i="12" s="1"/>
  <c r="T135" i="12" s="1"/>
  <c r="AP99" i="12"/>
  <c r="AP109" i="12" s="1"/>
  <c r="AP117" i="12" s="1"/>
  <c r="AP110" i="12"/>
  <c r="F553" i="12"/>
  <c r="W196" i="12" s="1"/>
  <c r="W204" i="12" s="1"/>
  <c r="W249" i="12" s="1"/>
  <c r="E583" i="12"/>
  <c r="V207" i="12" s="1"/>
  <c r="V215" i="12" s="1"/>
  <c r="J493" i="12"/>
  <c r="W181" i="12" s="1"/>
  <c r="K493" i="12"/>
  <c r="P493" i="12" s="1"/>
  <c r="W180" i="12"/>
  <c r="T285" i="12"/>
  <c r="T286" i="12" s="1"/>
  <c r="T284" i="12"/>
  <c r="T225" i="12"/>
  <c r="K291" i="12"/>
  <c r="P291" i="12" s="1"/>
  <c r="J291" i="12"/>
  <c r="X111" i="12" s="1"/>
  <c r="X110" i="12"/>
  <c r="J494" i="12"/>
  <c r="X181" i="12" s="1"/>
  <c r="K494" i="12"/>
  <c r="P494" i="12" s="1"/>
  <c r="X180" i="12"/>
  <c r="K26" i="12"/>
  <c r="P26" i="12" s="1"/>
  <c r="T20" i="12"/>
  <c r="J26" i="12"/>
  <c r="T21" i="12" s="1"/>
  <c r="F321" i="12"/>
  <c r="F322" i="12"/>
  <c r="W117" i="12" s="1"/>
  <c r="W125" i="12" s="1"/>
  <c r="G177" i="12"/>
  <c r="X67" i="12" s="1"/>
  <c r="X75" i="12" s="1"/>
  <c r="D350" i="12"/>
  <c r="U126" i="12" s="1"/>
  <c r="U134" i="12" s="1"/>
  <c r="U242" i="12" s="1"/>
  <c r="D351" i="12"/>
  <c r="U127" i="12" s="1"/>
  <c r="U135" i="12" s="1"/>
  <c r="H374" i="12"/>
  <c r="I374" i="12" s="1"/>
  <c r="C380" i="12"/>
  <c r="T137" i="12" s="1"/>
  <c r="T145" i="12" s="1"/>
  <c r="C379" i="12"/>
  <c r="T136" i="12" s="1"/>
  <c r="T144" i="12" s="1"/>
  <c r="T243" i="12" s="1"/>
  <c r="D554" i="12"/>
  <c r="U197" i="12" s="1"/>
  <c r="U205" i="12" s="1"/>
  <c r="AQ95" i="9"/>
  <c r="AR95" i="9" s="1"/>
  <c r="AT95" i="9" s="1"/>
  <c r="AY95" i="9" s="1"/>
  <c r="AM99" i="9"/>
  <c r="AM101" i="9" s="1"/>
  <c r="AQ96" i="9"/>
  <c r="AR96" i="9" s="1"/>
  <c r="AS96" i="9" s="1"/>
  <c r="AN114" i="9" s="1"/>
  <c r="AN110" i="9"/>
  <c r="AQ98" i="9"/>
  <c r="AR98" i="9" s="1"/>
  <c r="AP113" i="9" s="1"/>
  <c r="AL99" i="9"/>
  <c r="AL101" i="9" s="1"/>
  <c r="AP99" i="9"/>
  <c r="AP109" i="9" s="1"/>
  <c r="AP117" i="9" s="1"/>
  <c r="AM110" i="9"/>
  <c r="AQ97" i="9"/>
  <c r="AR97" i="9" s="1"/>
  <c r="AL110" i="9"/>
  <c r="AN99" i="9"/>
  <c r="AQ94" i="9"/>
  <c r="AR94" i="9" s="1"/>
  <c r="AP110" i="9"/>
  <c r="AO99" i="9"/>
  <c r="AO110" i="9"/>
  <c r="AP118" i="14" l="1"/>
  <c r="H208" i="27" s="1"/>
  <c r="H199" i="27"/>
  <c r="AL118" i="14"/>
  <c r="D208" i="27" s="1"/>
  <c r="D199" i="27"/>
  <c r="AM118" i="14"/>
  <c r="E208" i="27" s="1"/>
  <c r="E199" i="27"/>
  <c r="AO118" i="14"/>
  <c r="G208" i="27" s="1"/>
  <c r="G199" i="27"/>
  <c r="AN118" i="14"/>
  <c r="F208" i="27" s="1"/>
  <c r="F199" i="27"/>
  <c r="AM118" i="12"/>
  <c r="E112" i="27" s="1"/>
  <c r="E103" i="27"/>
  <c r="AL118" i="12"/>
  <c r="D112" i="27" s="1"/>
  <c r="D103" i="27"/>
  <c r="AP118" i="12"/>
  <c r="H112" i="27" s="1"/>
  <c r="H103" i="27"/>
  <c r="AO118" i="12"/>
  <c r="G112" i="27" s="1"/>
  <c r="G103" i="27"/>
  <c r="AN118" i="12"/>
  <c r="F112" i="27" s="1"/>
  <c r="F103" i="27"/>
  <c r="AM118" i="9"/>
  <c r="E16" i="27" s="1"/>
  <c r="E7" i="27"/>
  <c r="AN118" i="9"/>
  <c r="F16" i="27" s="1"/>
  <c r="F7" i="27"/>
  <c r="AL118" i="9"/>
  <c r="D16" i="27" s="1"/>
  <c r="D7" i="27"/>
  <c r="AO118" i="9"/>
  <c r="G16" i="27" s="1"/>
  <c r="G7" i="27"/>
  <c r="AP118" i="9"/>
  <c r="H16" i="27" s="1"/>
  <c r="H7" i="27"/>
  <c r="AN101" i="14"/>
  <c r="U70" i="14"/>
  <c r="K317" i="14"/>
  <c r="P317" i="14" s="1"/>
  <c r="V150" i="14"/>
  <c r="K405" i="14"/>
  <c r="P405" i="14" s="1"/>
  <c r="G439" i="14"/>
  <c r="G441" i="14" s="1"/>
  <c r="E468" i="14"/>
  <c r="V168" i="14" s="1"/>
  <c r="D468" i="14"/>
  <c r="V170" i="14"/>
  <c r="K463" i="14"/>
  <c r="P463" i="14" s="1"/>
  <c r="H466" i="14"/>
  <c r="I467" i="14" s="1"/>
  <c r="AE31" i="14" s="1"/>
  <c r="J520" i="14"/>
  <c r="U191" i="14" s="1"/>
  <c r="H524" i="14"/>
  <c r="I525" i="14" s="1"/>
  <c r="AE33" i="14" s="1"/>
  <c r="V210" i="14"/>
  <c r="J579" i="14"/>
  <c r="V211" i="14" s="1"/>
  <c r="J580" i="14"/>
  <c r="W211" i="14" s="1"/>
  <c r="W210" i="14"/>
  <c r="E584" i="14"/>
  <c r="E589" i="14" s="1"/>
  <c r="K550" i="14"/>
  <c r="P550" i="14" s="1"/>
  <c r="U186" i="14"/>
  <c r="U194" i="14" s="1"/>
  <c r="U248" i="14" s="1"/>
  <c r="C497" i="14"/>
  <c r="J403" i="14"/>
  <c r="T151" i="14" s="1"/>
  <c r="K403" i="14"/>
  <c r="P403" i="14" s="1"/>
  <c r="J404" i="14"/>
  <c r="U151" i="14" s="1"/>
  <c r="U150" i="14"/>
  <c r="H408" i="14"/>
  <c r="I409" i="14" s="1"/>
  <c r="AE29" i="14" s="1"/>
  <c r="W90" i="14"/>
  <c r="J173" i="14"/>
  <c r="V71" i="14" s="1"/>
  <c r="U40" i="14"/>
  <c r="J87" i="14"/>
  <c r="W41" i="14" s="1"/>
  <c r="W40" i="14"/>
  <c r="U20" i="12"/>
  <c r="J27" i="12"/>
  <c r="U21" i="12" s="1"/>
  <c r="H118" i="12"/>
  <c r="I119" i="12" s="1"/>
  <c r="AE19" i="12" s="1"/>
  <c r="G120" i="12"/>
  <c r="G125" i="12" s="1"/>
  <c r="V110" i="12"/>
  <c r="K289" i="12"/>
  <c r="P289" i="12" s="1"/>
  <c r="E584" i="12"/>
  <c r="V210" i="12"/>
  <c r="J579" i="12"/>
  <c r="V211" i="12" s="1"/>
  <c r="J375" i="12"/>
  <c r="U141" i="12" s="1"/>
  <c r="K375" i="12"/>
  <c r="P375" i="12" s="1"/>
  <c r="J200" i="12"/>
  <c r="T81" i="12" s="1"/>
  <c r="E120" i="12"/>
  <c r="E125" i="12" s="1"/>
  <c r="V70" i="14"/>
  <c r="K233" i="14"/>
  <c r="P233" i="14" s="1"/>
  <c r="V200" i="14"/>
  <c r="F584" i="14"/>
  <c r="F588" i="14" s="1"/>
  <c r="D439" i="14"/>
  <c r="D444" i="14" s="1"/>
  <c r="AS95" i="14"/>
  <c r="AM114" i="14" s="1"/>
  <c r="AT95" i="14"/>
  <c r="AY95" i="14" s="1"/>
  <c r="J233" i="14"/>
  <c r="X91" i="14" s="1"/>
  <c r="D410" i="14"/>
  <c r="D414" i="14" s="1"/>
  <c r="X100" i="14"/>
  <c r="J262" i="14"/>
  <c r="X101" i="14" s="1"/>
  <c r="E497" i="14"/>
  <c r="V178" i="14" s="1"/>
  <c r="T80" i="14"/>
  <c r="K200" i="14"/>
  <c r="P200" i="14" s="1"/>
  <c r="G526" i="14"/>
  <c r="G531" i="14" s="1"/>
  <c r="AA184" i="14"/>
  <c r="V247" i="14"/>
  <c r="H495" i="14"/>
  <c r="I496" i="14" s="1"/>
  <c r="AE32" i="14" s="1"/>
  <c r="E439" i="14"/>
  <c r="E444" i="14" s="1"/>
  <c r="C439" i="14"/>
  <c r="T158" i="14" s="1"/>
  <c r="T150" i="14"/>
  <c r="E410" i="14"/>
  <c r="G323" i="14"/>
  <c r="G325" i="14" s="1"/>
  <c r="U120" i="14"/>
  <c r="W120" i="14"/>
  <c r="K319" i="14"/>
  <c r="P319" i="14" s="1"/>
  <c r="G149" i="14"/>
  <c r="G151" i="14" s="1"/>
  <c r="H466" i="12"/>
  <c r="I467" i="12" s="1"/>
  <c r="AE31" i="12" s="1"/>
  <c r="W170" i="12"/>
  <c r="K114" i="12"/>
  <c r="P114" i="12" s="1"/>
  <c r="V40" i="12"/>
  <c r="K86" i="12"/>
  <c r="P86" i="12" s="1"/>
  <c r="T80" i="12"/>
  <c r="BI160" i="12"/>
  <c r="BJ160" i="12" s="1"/>
  <c r="F468" i="12"/>
  <c r="D91" i="12"/>
  <c r="D93" i="12" s="1"/>
  <c r="AQ99" i="14"/>
  <c r="AR100" i="14" s="1"/>
  <c r="AS109" i="14" s="1"/>
  <c r="AR96" i="14"/>
  <c r="AS96" i="14" s="1"/>
  <c r="AN114" i="14" s="1"/>
  <c r="C294" i="14"/>
  <c r="C299" i="14" s="1"/>
  <c r="G265" i="14"/>
  <c r="G270" i="14" s="1"/>
  <c r="D236" i="14"/>
  <c r="D238" i="14" s="1"/>
  <c r="X76" i="14"/>
  <c r="X84" i="14" s="1"/>
  <c r="X237" i="14" s="1"/>
  <c r="E178" i="14"/>
  <c r="E182" i="14" s="1"/>
  <c r="D178" i="14"/>
  <c r="D182" i="14" s="1"/>
  <c r="F178" i="14"/>
  <c r="U50" i="14"/>
  <c r="J114" i="14"/>
  <c r="U51" i="14" s="1"/>
  <c r="E120" i="14"/>
  <c r="E125" i="14" s="1"/>
  <c r="K86" i="14"/>
  <c r="P86" i="14" s="1"/>
  <c r="V40" i="14"/>
  <c r="P85" i="14"/>
  <c r="J85" i="14"/>
  <c r="U41" i="14" s="1"/>
  <c r="H89" i="14"/>
  <c r="I90" i="14" s="1"/>
  <c r="AE18" i="14" s="1"/>
  <c r="X30" i="14"/>
  <c r="J59" i="14"/>
  <c r="X31" i="14" s="1"/>
  <c r="F62" i="14"/>
  <c r="F66" i="14" s="1"/>
  <c r="U30" i="14"/>
  <c r="J56" i="14"/>
  <c r="U31" i="14" s="1"/>
  <c r="G294" i="14"/>
  <c r="G299" i="14" s="1"/>
  <c r="D294" i="14"/>
  <c r="D296" i="14" s="1"/>
  <c r="H263" i="14"/>
  <c r="I264" i="14" s="1"/>
  <c r="AE24" i="14" s="1"/>
  <c r="E265" i="14"/>
  <c r="E267" i="14" s="1"/>
  <c r="C178" i="14"/>
  <c r="T68" i="14" s="1"/>
  <c r="C149" i="14"/>
  <c r="D149" i="14"/>
  <c r="H118" i="14"/>
  <c r="I119" i="14" s="1"/>
  <c r="AE19" i="14" s="1"/>
  <c r="E586" i="14"/>
  <c r="C555" i="14"/>
  <c r="C560" i="14" s="1"/>
  <c r="V180" i="14"/>
  <c r="J492" i="14"/>
  <c r="V181" i="14" s="1"/>
  <c r="I491" i="14"/>
  <c r="D501" i="14" s="1"/>
  <c r="F497" i="14"/>
  <c r="F501" i="14" s="1"/>
  <c r="F439" i="14"/>
  <c r="W158" i="14" s="1"/>
  <c r="I407" i="14"/>
  <c r="J407" i="14" s="1"/>
  <c r="X151" i="14" s="1"/>
  <c r="G381" i="14"/>
  <c r="G385" i="14" s="1"/>
  <c r="E381" i="14"/>
  <c r="V138" i="14" s="1"/>
  <c r="H234" i="14"/>
  <c r="I235" i="14" s="1"/>
  <c r="AE23" i="14" s="1"/>
  <c r="H205" i="14"/>
  <c r="I206" i="14" s="1"/>
  <c r="AE22" i="14" s="1"/>
  <c r="F207" i="14"/>
  <c r="W78" i="14" s="1"/>
  <c r="D207" i="14"/>
  <c r="U78" i="14" s="1"/>
  <c r="E207" i="14"/>
  <c r="E209" i="14" s="1"/>
  <c r="H176" i="14"/>
  <c r="I177" i="14" s="1"/>
  <c r="AE21" i="14" s="1"/>
  <c r="X66" i="14"/>
  <c r="X74" i="14" s="1"/>
  <c r="G178" i="14"/>
  <c r="G183" i="14" s="1"/>
  <c r="I174" i="14"/>
  <c r="J174" i="14" s="1"/>
  <c r="W71" i="14" s="1"/>
  <c r="I146" i="14"/>
  <c r="X60" i="14" s="1"/>
  <c r="C120" i="14"/>
  <c r="C125" i="14" s="1"/>
  <c r="F120" i="14"/>
  <c r="F125" i="14" s="1"/>
  <c r="G91" i="14"/>
  <c r="G96" i="14" s="1"/>
  <c r="E62" i="14"/>
  <c r="E67" i="14" s="1"/>
  <c r="H31" i="14"/>
  <c r="I32" i="14" s="1"/>
  <c r="AE16" i="14" s="1"/>
  <c r="G33" i="14"/>
  <c r="X18" i="14" s="1"/>
  <c r="J434" i="14"/>
  <c r="V161" i="14" s="1"/>
  <c r="K434" i="14"/>
  <c r="P434" i="14" s="1"/>
  <c r="V160" i="14"/>
  <c r="K203" i="14"/>
  <c r="P203" i="14" s="1"/>
  <c r="J203" i="14"/>
  <c r="W81" i="14" s="1"/>
  <c r="W80" i="14"/>
  <c r="K548" i="14"/>
  <c r="P548" i="14" s="1"/>
  <c r="J548" i="14"/>
  <c r="T201" i="14" s="1"/>
  <c r="T200" i="14"/>
  <c r="K549" i="14"/>
  <c r="P549" i="14" s="1"/>
  <c r="J549" i="14"/>
  <c r="U201" i="14" s="1"/>
  <c r="U200" i="14"/>
  <c r="K578" i="14"/>
  <c r="P578" i="14" s="1"/>
  <c r="J578" i="14"/>
  <c r="U211" i="14" s="1"/>
  <c r="U210" i="14"/>
  <c r="J116" i="14"/>
  <c r="W51" i="14" s="1"/>
  <c r="K116" i="14"/>
  <c r="P116" i="14" s="1"/>
  <c r="W50" i="14"/>
  <c r="K27" i="14"/>
  <c r="P27" i="14" s="1"/>
  <c r="J27" i="14"/>
  <c r="U21" i="14" s="1"/>
  <c r="U20" i="14"/>
  <c r="K551" i="14"/>
  <c r="P551" i="14" s="1"/>
  <c r="J551" i="14"/>
  <c r="W201" i="14" s="1"/>
  <c r="W200" i="14"/>
  <c r="J318" i="14"/>
  <c r="V121" i="14" s="1"/>
  <c r="K318" i="14"/>
  <c r="P318" i="14" s="1"/>
  <c r="V120" i="14"/>
  <c r="J376" i="14"/>
  <c r="V141" i="14" s="1"/>
  <c r="K376" i="14"/>
  <c r="P376" i="14" s="1"/>
  <c r="V140" i="14"/>
  <c r="K493" i="14"/>
  <c r="P493" i="14" s="1"/>
  <c r="W180" i="14"/>
  <c r="J493" i="14"/>
  <c r="W181" i="14" s="1"/>
  <c r="K290" i="14"/>
  <c r="P290" i="14" s="1"/>
  <c r="J290" i="14"/>
  <c r="W111" i="14" s="1"/>
  <c r="W110" i="14"/>
  <c r="K552" i="14"/>
  <c r="P552" i="14" s="1"/>
  <c r="J552" i="14"/>
  <c r="X201" i="14" s="1"/>
  <c r="X200" i="14"/>
  <c r="E386" i="14"/>
  <c r="AN106" i="14"/>
  <c r="AN111" i="14"/>
  <c r="AN103" i="14"/>
  <c r="K88" i="14"/>
  <c r="P88" i="14" s="1"/>
  <c r="J88" i="14"/>
  <c r="X41" i="14" s="1"/>
  <c r="X40" i="14"/>
  <c r="F531" i="14"/>
  <c r="F528" i="14"/>
  <c r="F530" i="14"/>
  <c r="W188" i="14"/>
  <c r="E323" i="14"/>
  <c r="J55" i="14"/>
  <c r="T31" i="14" s="1"/>
  <c r="T30" i="14"/>
  <c r="K55" i="14"/>
  <c r="P55" i="14" s="1"/>
  <c r="K230" i="14"/>
  <c r="P230" i="14" s="1"/>
  <c r="J230" i="14"/>
  <c r="U91" i="14" s="1"/>
  <c r="U90" i="14"/>
  <c r="K375" i="14"/>
  <c r="P375" i="14" s="1"/>
  <c r="J375" i="14"/>
  <c r="U141" i="14" s="1"/>
  <c r="U140" i="14"/>
  <c r="T166" i="14"/>
  <c r="T174" i="14" s="1"/>
  <c r="C468" i="14"/>
  <c r="AL109" i="14"/>
  <c r="AL117" i="14" s="1"/>
  <c r="AL101" i="14"/>
  <c r="U26" i="14"/>
  <c r="U34" i="14" s="1"/>
  <c r="U232" i="14" s="1"/>
  <c r="D62" i="14"/>
  <c r="G209" i="14"/>
  <c r="G212" i="14"/>
  <c r="X78" i="14"/>
  <c r="G211" i="14"/>
  <c r="J142" i="14"/>
  <c r="T61" i="14" s="1"/>
  <c r="K142" i="14"/>
  <c r="P142" i="14" s="1"/>
  <c r="T60" i="14"/>
  <c r="T186" i="14"/>
  <c r="T194" i="14" s="1"/>
  <c r="T248" i="14" s="1"/>
  <c r="C526" i="14"/>
  <c r="J316" i="14"/>
  <c r="T121" i="14" s="1"/>
  <c r="K316" i="14"/>
  <c r="P316" i="14" s="1"/>
  <c r="T120" i="14"/>
  <c r="G154" i="14"/>
  <c r="X58" i="14"/>
  <c r="U46" i="14"/>
  <c r="U54" i="14" s="1"/>
  <c r="U234" i="14" s="1"/>
  <c r="D120" i="14"/>
  <c r="J145" i="14"/>
  <c r="W61" i="14" s="1"/>
  <c r="K145" i="14"/>
  <c r="P145" i="14" s="1"/>
  <c r="W60" i="14"/>
  <c r="K30" i="14"/>
  <c r="P30" i="14" s="1"/>
  <c r="X20" i="14"/>
  <c r="J30" i="14"/>
  <c r="X21" i="14" s="1"/>
  <c r="V106" i="14"/>
  <c r="V114" i="14" s="1"/>
  <c r="E294" i="14"/>
  <c r="K57" i="14"/>
  <c r="P57" i="14" s="1"/>
  <c r="J57" i="14"/>
  <c r="V31" i="14" s="1"/>
  <c r="V30" i="14"/>
  <c r="C62" i="14"/>
  <c r="K229" i="14"/>
  <c r="P229" i="14" s="1"/>
  <c r="J229" i="14"/>
  <c r="T91" i="14" s="1"/>
  <c r="T90" i="14"/>
  <c r="X86" i="14"/>
  <c r="X94" i="14" s="1"/>
  <c r="X238" i="14" s="1"/>
  <c r="G236" i="14"/>
  <c r="V16" i="14"/>
  <c r="E33" i="14"/>
  <c r="D555" i="14"/>
  <c r="U36" i="14"/>
  <c r="U44" i="14" s="1"/>
  <c r="U233" i="14" s="1"/>
  <c r="D91" i="14"/>
  <c r="I26" i="14"/>
  <c r="D265" i="14"/>
  <c r="U136" i="14"/>
  <c r="U144" i="14" s="1"/>
  <c r="D381" i="14"/>
  <c r="F473" i="14"/>
  <c r="F470" i="14"/>
  <c r="W168" i="14"/>
  <c r="F472" i="14"/>
  <c r="F149" i="14"/>
  <c r="I465" i="14"/>
  <c r="J346" i="14"/>
  <c r="U131" i="14" s="1"/>
  <c r="K346" i="14"/>
  <c r="P346" i="14" s="1"/>
  <c r="U130" i="14"/>
  <c r="K577" i="14"/>
  <c r="P577" i="14" s="1"/>
  <c r="J577" i="14"/>
  <c r="T211" i="14" s="1"/>
  <c r="T210" i="14"/>
  <c r="T126" i="14"/>
  <c r="T134" i="14" s="1"/>
  <c r="T242" i="14" s="1"/>
  <c r="C352" i="14"/>
  <c r="V228" i="14"/>
  <c r="AP109" i="14"/>
  <c r="AP117" i="14" s="1"/>
  <c r="AP101" i="14"/>
  <c r="K432" i="14"/>
  <c r="P432" i="14" s="1"/>
  <c r="J432" i="14"/>
  <c r="T161" i="14" s="1"/>
  <c r="T160" i="14"/>
  <c r="J435" i="14"/>
  <c r="W161" i="14" s="1"/>
  <c r="K435" i="14"/>
  <c r="P435" i="14" s="1"/>
  <c r="W160" i="14"/>
  <c r="C33" i="14"/>
  <c r="AM109" i="14"/>
  <c r="AM117" i="14" s="1"/>
  <c r="AM101" i="14"/>
  <c r="J259" i="14"/>
  <c r="U101" i="14" s="1"/>
  <c r="K259" i="14"/>
  <c r="P259" i="14" s="1"/>
  <c r="U100" i="14"/>
  <c r="X24" i="14"/>
  <c r="X231" i="14" s="1"/>
  <c r="J349" i="14"/>
  <c r="X131" i="14" s="1"/>
  <c r="K349" i="14"/>
  <c r="P349" i="14" s="1"/>
  <c r="X130" i="14"/>
  <c r="F381" i="14"/>
  <c r="V56" i="14"/>
  <c r="V64" i="14" s="1"/>
  <c r="E149" i="14"/>
  <c r="I171" i="14"/>
  <c r="G468" i="14"/>
  <c r="D352" i="14"/>
  <c r="C584" i="14"/>
  <c r="V276" i="14"/>
  <c r="V277" i="14" s="1"/>
  <c r="K115" i="14"/>
  <c r="P115" i="14" s="1"/>
  <c r="J115" i="14"/>
  <c r="V51" i="14" s="1"/>
  <c r="V50" i="14"/>
  <c r="F443" i="14"/>
  <c r="U24" i="14"/>
  <c r="U231" i="14" s="1"/>
  <c r="D443" i="14"/>
  <c r="AO101" i="14"/>
  <c r="K377" i="14"/>
  <c r="P377" i="14" s="1"/>
  <c r="J377" i="14"/>
  <c r="W141" i="14" s="1"/>
  <c r="W140" i="14"/>
  <c r="C323" i="14"/>
  <c r="J378" i="14"/>
  <c r="X141" i="14" s="1"/>
  <c r="K378" i="14"/>
  <c r="P378" i="14" s="1"/>
  <c r="X140" i="14"/>
  <c r="E357" i="14"/>
  <c r="V128" i="14"/>
  <c r="E354" i="14"/>
  <c r="E356" i="14"/>
  <c r="D415" i="14"/>
  <c r="D412" i="14"/>
  <c r="U148" i="14"/>
  <c r="D33" i="14"/>
  <c r="H147" i="14"/>
  <c r="I148" i="14" s="1"/>
  <c r="AE20" i="14" s="1"/>
  <c r="H582" i="14"/>
  <c r="I583" i="14" s="1"/>
  <c r="AE35" i="14" s="1"/>
  <c r="C236" i="14"/>
  <c r="G499" i="14"/>
  <c r="G502" i="14"/>
  <c r="X178" i="14"/>
  <c r="G501" i="14"/>
  <c r="E473" i="14"/>
  <c r="E470" i="14"/>
  <c r="V220" i="14"/>
  <c r="T220" i="14"/>
  <c r="T276" i="14"/>
  <c r="T277" i="14" s="1"/>
  <c r="T25" i="14"/>
  <c r="T228" i="14" s="1"/>
  <c r="X196" i="14"/>
  <c r="X204" i="14" s="1"/>
  <c r="X249" i="14" s="1"/>
  <c r="G555" i="14"/>
  <c r="W36" i="14"/>
  <c r="W44" i="14" s="1"/>
  <c r="W233" i="14" s="1"/>
  <c r="F91" i="14"/>
  <c r="T146" i="14"/>
  <c r="T154" i="14" s="1"/>
  <c r="T244" i="14" s="1"/>
  <c r="C410" i="14"/>
  <c r="AO113" i="14"/>
  <c r="AS97" i="14"/>
  <c r="AO114" i="14" s="1"/>
  <c r="AT97" i="14"/>
  <c r="AY97" i="14" s="1"/>
  <c r="J320" i="14"/>
  <c r="X121" i="14" s="1"/>
  <c r="X120" i="14"/>
  <c r="K320" i="14"/>
  <c r="P320" i="14" s="1"/>
  <c r="H321" i="14"/>
  <c r="I322" i="14" s="1"/>
  <c r="AE26" i="14" s="1"/>
  <c r="X138" i="14"/>
  <c r="J347" i="14"/>
  <c r="V131" i="14" s="1"/>
  <c r="V130" i="14"/>
  <c r="K347" i="14"/>
  <c r="P347" i="14" s="1"/>
  <c r="T96" i="14"/>
  <c r="T104" i="14" s="1"/>
  <c r="C265" i="14"/>
  <c r="K117" i="14"/>
  <c r="P117" i="14" s="1"/>
  <c r="J117" i="14"/>
  <c r="X51" i="14" s="1"/>
  <c r="X50" i="14"/>
  <c r="T275" i="14"/>
  <c r="T24" i="14"/>
  <c r="T231" i="14" s="1"/>
  <c r="AL113" i="14"/>
  <c r="AT94" i="14"/>
  <c r="AY94" i="14" s="1"/>
  <c r="AS94" i="14"/>
  <c r="AL114" i="14" s="1"/>
  <c r="K407" i="14"/>
  <c r="X150" i="14"/>
  <c r="U228" i="14"/>
  <c r="G120" i="14"/>
  <c r="T76" i="14"/>
  <c r="T84" i="14" s="1"/>
  <c r="C207" i="14"/>
  <c r="W16" i="14"/>
  <c r="F33" i="14"/>
  <c r="X26" i="14"/>
  <c r="X34" i="14" s="1"/>
  <c r="X232" i="14" s="1"/>
  <c r="G62" i="14"/>
  <c r="D502" i="14"/>
  <c r="D499" i="14"/>
  <c r="U178" i="14"/>
  <c r="J374" i="14"/>
  <c r="T141" i="14" s="1"/>
  <c r="K374" i="14"/>
  <c r="P374" i="14" s="1"/>
  <c r="T140" i="14"/>
  <c r="G410" i="14"/>
  <c r="W86" i="14"/>
  <c r="W94" i="14" s="1"/>
  <c r="W238" i="14" s="1"/>
  <c r="F236" i="14"/>
  <c r="J348" i="14"/>
  <c r="W131" i="14" s="1"/>
  <c r="K348" i="14"/>
  <c r="P348" i="14" s="1"/>
  <c r="W130" i="14"/>
  <c r="H292" i="14"/>
  <c r="I293" i="14" s="1"/>
  <c r="AE25" i="14" s="1"/>
  <c r="I287" i="14"/>
  <c r="U220" i="14"/>
  <c r="X228" i="14"/>
  <c r="H350" i="14"/>
  <c r="I351" i="14" s="1"/>
  <c r="AE27" i="14" s="1"/>
  <c r="I345" i="14"/>
  <c r="C502" i="14"/>
  <c r="C499" i="14"/>
  <c r="T178" i="14"/>
  <c r="C501" i="14"/>
  <c r="D586" i="14"/>
  <c r="D589" i="14"/>
  <c r="U208" i="14"/>
  <c r="D588" i="14"/>
  <c r="F555" i="14"/>
  <c r="J258" i="14"/>
  <c r="T101" i="14" s="1"/>
  <c r="K258" i="14"/>
  <c r="P258" i="14" s="1"/>
  <c r="T100" i="14"/>
  <c r="I113" i="14"/>
  <c r="I261" i="14"/>
  <c r="I84" i="14"/>
  <c r="X206" i="14"/>
  <c r="X214" i="14" s="1"/>
  <c r="G584" i="14"/>
  <c r="H379" i="14"/>
  <c r="I380" i="14" s="1"/>
  <c r="AE28" i="14" s="1"/>
  <c r="K231" i="14"/>
  <c r="P231" i="14" s="1"/>
  <c r="J231" i="14"/>
  <c r="V91" i="14" s="1"/>
  <c r="V90" i="14"/>
  <c r="W228" i="14"/>
  <c r="F352" i="14"/>
  <c r="U276" i="14"/>
  <c r="U277" i="14" s="1"/>
  <c r="X220" i="14"/>
  <c r="X126" i="14"/>
  <c r="X134" i="14" s="1"/>
  <c r="X242" i="14" s="1"/>
  <c r="G352" i="14"/>
  <c r="J436" i="14"/>
  <c r="X161" i="14" s="1"/>
  <c r="K436" i="14"/>
  <c r="P436" i="14" s="1"/>
  <c r="X160" i="14"/>
  <c r="J288" i="14"/>
  <c r="U111" i="14" s="1"/>
  <c r="K288" i="14"/>
  <c r="P288" i="14" s="1"/>
  <c r="U110" i="14"/>
  <c r="F265" i="14"/>
  <c r="U116" i="14"/>
  <c r="U124" i="14" s="1"/>
  <c r="U241" i="14" s="1"/>
  <c r="D323" i="14"/>
  <c r="V186" i="14"/>
  <c r="V194" i="14" s="1"/>
  <c r="V248" i="14" s="1"/>
  <c r="E526" i="14"/>
  <c r="C381" i="14"/>
  <c r="E236" i="14"/>
  <c r="AA164" i="14"/>
  <c r="K202" i="14"/>
  <c r="P202" i="14" s="1"/>
  <c r="J202" i="14"/>
  <c r="V81" i="14" s="1"/>
  <c r="V80" i="14"/>
  <c r="W220" i="14"/>
  <c r="K433" i="14"/>
  <c r="P433" i="14" s="1"/>
  <c r="J433" i="14"/>
  <c r="U161" i="14" s="1"/>
  <c r="U160" i="14"/>
  <c r="X276" i="14"/>
  <c r="X277" i="14" s="1"/>
  <c r="J201" i="14"/>
  <c r="U81" i="14" s="1"/>
  <c r="K201" i="14"/>
  <c r="P201" i="14" s="1"/>
  <c r="U80" i="14"/>
  <c r="G444" i="14"/>
  <c r="G443" i="14"/>
  <c r="V196" i="14"/>
  <c r="V204" i="14" s="1"/>
  <c r="E555" i="14"/>
  <c r="V36" i="14"/>
  <c r="V44" i="14" s="1"/>
  <c r="V233" i="14" s="1"/>
  <c r="E91" i="14"/>
  <c r="W116" i="14"/>
  <c r="W124" i="14" s="1"/>
  <c r="W241" i="14" s="1"/>
  <c r="F323" i="14"/>
  <c r="H553" i="14"/>
  <c r="I554" i="14" s="1"/>
  <c r="AE34" i="14" s="1"/>
  <c r="C91" i="14"/>
  <c r="F294" i="14"/>
  <c r="W146" i="14"/>
  <c r="W154" i="14" s="1"/>
  <c r="W244" i="14" s="1"/>
  <c r="F410" i="14"/>
  <c r="K522" i="14"/>
  <c r="P522" i="14" s="1"/>
  <c r="J525" i="14" s="1"/>
  <c r="AF33" i="14" s="1"/>
  <c r="J522" i="14"/>
  <c r="W191" i="14" s="1"/>
  <c r="W190" i="14"/>
  <c r="H437" i="14"/>
  <c r="I438" i="14" s="1"/>
  <c r="AE30" i="14" s="1"/>
  <c r="H60" i="14"/>
  <c r="I61" i="14" s="1"/>
  <c r="AE17" i="14" s="1"/>
  <c r="W276" i="14"/>
  <c r="W277" i="14" s="1"/>
  <c r="K291" i="14"/>
  <c r="P291" i="14" s="1"/>
  <c r="J291" i="14"/>
  <c r="X111" i="14" s="1"/>
  <c r="X110" i="14"/>
  <c r="D530" i="14"/>
  <c r="D531" i="14"/>
  <c r="D528" i="14"/>
  <c r="U188" i="14"/>
  <c r="D470" i="14"/>
  <c r="D473" i="14"/>
  <c r="U168" i="14"/>
  <c r="D472" i="14"/>
  <c r="AS95" i="12"/>
  <c r="AM114" i="12" s="1"/>
  <c r="AT95" i="12"/>
  <c r="AY95" i="12" s="1"/>
  <c r="AS97" i="12"/>
  <c r="AO114" i="12" s="1"/>
  <c r="AN101" i="12"/>
  <c r="AN111" i="12" s="1"/>
  <c r="BI128" i="12"/>
  <c r="BJ128" i="12" s="1"/>
  <c r="BI105" i="12"/>
  <c r="BJ105" i="12" s="1"/>
  <c r="BI71" i="12"/>
  <c r="BJ71" i="12" s="1"/>
  <c r="BI141" i="12"/>
  <c r="BJ141" i="12" s="1"/>
  <c r="BI85" i="12"/>
  <c r="BJ85" i="12" s="1"/>
  <c r="BI135" i="12"/>
  <c r="BJ135" i="12" s="1"/>
  <c r="BI147" i="12"/>
  <c r="BJ147" i="12" s="1"/>
  <c r="BI104" i="12"/>
  <c r="BJ104" i="12" s="1"/>
  <c r="BI87" i="12"/>
  <c r="BJ87" i="12" s="1"/>
  <c r="BI150" i="12"/>
  <c r="BJ150" i="12" s="1"/>
  <c r="BI140" i="12"/>
  <c r="BJ140" i="12" s="1"/>
  <c r="BI100" i="12"/>
  <c r="BJ100" i="12" s="1"/>
  <c r="BI99" i="12"/>
  <c r="BJ99" i="12" s="1"/>
  <c r="BI108" i="12"/>
  <c r="BJ108" i="12" s="1"/>
  <c r="BI80" i="12"/>
  <c r="BJ80" i="12" s="1"/>
  <c r="BI159" i="12"/>
  <c r="BJ159" i="12" s="1"/>
  <c r="BI74" i="12"/>
  <c r="BJ74" i="12" s="1"/>
  <c r="BI130" i="12"/>
  <c r="BJ130" i="12" s="1"/>
  <c r="BI78" i="12"/>
  <c r="BJ78" i="12" s="1"/>
  <c r="BI79" i="12"/>
  <c r="BJ79" i="12" s="1"/>
  <c r="BI75" i="12"/>
  <c r="BJ75" i="12" s="1"/>
  <c r="BI82" i="12"/>
  <c r="BJ82" i="12" s="1"/>
  <c r="BI76" i="12"/>
  <c r="BJ76" i="12" s="1"/>
  <c r="BI77" i="12"/>
  <c r="BJ77" i="12" s="1"/>
  <c r="BI89" i="12"/>
  <c r="BJ89" i="12" s="1"/>
  <c r="BI127" i="12"/>
  <c r="BJ127" i="12" s="1"/>
  <c r="BI72" i="12"/>
  <c r="BJ72" i="12" s="1"/>
  <c r="BI117" i="12"/>
  <c r="BJ117" i="12" s="1"/>
  <c r="BI116" i="12"/>
  <c r="BJ116" i="12" s="1"/>
  <c r="BI131" i="12"/>
  <c r="BJ131" i="12" s="1"/>
  <c r="BI69" i="12"/>
  <c r="BJ69" i="12" s="1"/>
  <c r="BI101" i="12"/>
  <c r="BJ101" i="12" s="1"/>
  <c r="BI93" i="12"/>
  <c r="BJ93" i="12" s="1"/>
  <c r="BI133" i="12"/>
  <c r="BJ133" i="12" s="1"/>
  <c r="BI97" i="12"/>
  <c r="BJ97" i="12" s="1"/>
  <c r="BI83" i="12"/>
  <c r="BJ83" i="12" s="1"/>
  <c r="BI143" i="12"/>
  <c r="BJ143" i="12" s="1"/>
  <c r="BI86" i="12"/>
  <c r="BJ86" i="12" s="1"/>
  <c r="BI120" i="12"/>
  <c r="BJ120" i="12" s="1"/>
  <c r="BI98" i="12"/>
  <c r="BJ98" i="12" s="1"/>
  <c r="BI103" i="12"/>
  <c r="BJ103" i="12" s="1"/>
  <c r="BI106" i="12"/>
  <c r="BJ106" i="12" s="1"/>
  <c r="BI146" i="12"/>
  <c r="BJ146" i="12" s="1"/>
  <c r="BI92" i="12"/>
  <c r="BJ92" i="12" s="1"/>
  <c r="BI109" i="12"/>
  <c r="BJ109" i="12" s="1"/>
  <c r="BI124" i="12"/>
  <c r="BJ124" i="12" s="1"/>
  <c r="BI137" i="12"/>
  <c r="BJ137" i="12" s="1"/>
  <c r="BI113" i="12"/>
  <c r="BJ113" i="12" s="1"/>
  <c r="BI94" i="12"/>
  <c r="BJ94" i="12" s="1"/>
  <c r="BI110" i="12"/>
  <c r="BJ110" i="12" s="1"/>
  <c r="BI123" i="12"/>
  <c r="BJ123" i="12" s="1"/>
  <c r="BI155" i="12"/>
  <c r="BJ155" i="12" s="1"/>
  <c r="BI148" i="12"/>
  <c r="BJ148" i="12" s="1"/>
  <c r="BI139" i="12"/>
  <c r="BJ139" i="12" s="1"/>
  <c r="BI70" i="12"/>
  <c r="BJ70" i="12" s="1"/>
  <c r="BI122" i="12"/>
  <c r="BJ122" i="12" s="1"/>
  <c r="BI91" i="12"/>
  <c r="BJ91" i="12" s="1"/>
  <c r="BI68" i="12"/>
  <c r="BJ68" i="12" s="1"/>
  <c r="BI111" i="12"/>
  <c r="BJ111" i="12" s="1"/>
  <c r="BI107" i="12"/>
  <c r="BJ107" i="12" s="1"/>
  <c r="BI136" i="12"/>
  <c r="BJ136" i="12" s="1"/>
  <c r="BI73" i="12"/>
  <c r="BJ73" i="12" s="1"/>
  <c r="BI154" i="12"/>
  <c r="BJ154" i="12" s="1"/>
  <c r="BI66" i="12"/>
  <c r="BJ66" i="12" s="1"/>
  <c r="BI95" i="12"/>
  <c r="BJ95" i="12" s="1"/>
  <c r="BI153" i="12"/>
  <c r="BJ153" i="12" s="1"/>
  <c r="BI88" i="12"/>
  <c r="BJ88" i="12" s="1"/>
  <c r="BI138" i="12"/>
  <c r="BJ138" i="12" s="1"/>
  <c r="BI115" i="12"/>
  <c r="BJ115" i="12" s="1"/>
  <c r="BI134" i="12"/>
  <c r="BJ134" i="12" s="1"/>
  <c r="BI144" i="12"/>
  <c r="BJ144" i="12" s="1"/>
  <c r="BI81" i="12"/>
  <c r="BJ81" i="12" s="1"/>
  <c r="BI96" i="12"/>
  <c r="BJ96" i="12" s="1"/>
  <c r="BI121" i="12"/>
  <c r="BJ121" i="12" s="1"/>
  <c r="BI156" i="12"/>
  <c r="BJ156" i="12" s="1"/>
  <c r="BI142" i="12"/>
  <c r="BJ142" i="12" s="1"/>
  <c r="BI118" i="12"/>
  <c r="BJ118" i="12" s="1"/>
  <c r="BI129" i="12"/>
  <c r="BJ129" i="12" s="1"/>
  <c r="BI125" i="12"/>
  <c r="BJ125" i="12" s="1"/>
  <c r="BI145" i="12"/>
  <c r="BJ145" i="12" s="1"/>
  <c r="BI151" i="12"/>
  <c r="BJ151" i="12" s="1"/>
  <c r="BI149" i="12"/>
  <c r="BJ149" i="12" s="1"/>
  <c r="BI158" i="12"/>
  <c r="BJ158" i="12" s="1"/>
  <c r="BI102" i="12"/>
  <c r="BJ102" i="12" s="1"/>
  <c r="BI112" i="12"/>
  <c r="BJ112" i="12" s="1"/>
  <c r="BI126" i="12"/>
  <c r="BJ126" i="12" s="1"/>
  <c r="BI84" i="12"/>
  <c r="BJ84" i="12" s="1"/>
  <c r="BI157" i="12"/>
  <c r="BJ157" i="12" s="1"/>
  <c r="BI67" i="12"/>
  <c r="BJ67" i="12" s="1"/>
  <c r="BI132" i="12"/>
  <c r="BJ132" i="12" s="1"/>
  <c r="BI114" i="12"/>
  <c r="BJ114" i="12" s="1"/>
  <c r="BI119" i="12"/>
  <c r="BJ119" i="12" s="1"/>
  <c r="AO113" i="12"/>
  <c r="AL109" i="12"/>
  <c r="AL117" i="12" s="1"/>
  <c r="AM101" i="12"/>
  <c r="AM111" i="12" s="1"/>
  <c r="AS94" i="12"/>
  <c r="AL114" i="12" s="1"/>
  <c r="AT94" i="12"/>
  <c r="AY94" i="12" s="1"/>
  <c r="AQ99" i="12"/>
  <c r="AR100" i="12" s="1"/>
  <c r="AS109" i="12" s="1"/>
  <c r="H582" i="12"/>
  <c r="I583" i="12" s="1"/>
  <c r="AE35" i="12" s="1"/>
  <c r="D555" i="12"/>
  <c r="D557" i="12" s="1"/>
  <c r="C555" i="12"/>
  <c r="C557" i="12" s="1"/>
  <c r="G555" i="12"/>
  <c r="G559" i="12" s="1"/>
  <c r="H495" i="12"/>
  <c r="I496" i="12" s="1"/>
  <c r="AE32" i="12" s="1"/>
  <c r="D468" i="12"/>
  <c r="U168" i="12" s="1"/>
  <c r="K464" i="12"/>
  <c r="P464" i="12" s="1"/>
  <c r="I462" i="12"/>
  <c r="K462" i="12" s="1"/>
  <c r="P462" i="12" s="1"/>
  <c r="H437" i="12"/>
  <c r="I438" i="12" s="1"/>
  <c r="AE30" i="12" s="1"/>
  <c r="G439" i="12"/>
  <c r="G441" i="12" s="1"/>
  <c r="E439" i="12"/>
  <c r="E444" i="12" s="1"/>
  <c r="G410" i="12"/>
  <c r="G415" i="12" s="1"/>
  <c r="E410" i="12"/>
  <c r="E412" i="12" s="1"/>
  <c r="E381" i="12"/>
  <c r="E385" i="12" s="1"/>
  <c r="D352" i="12"/>
  <c r="D357" i="12" s="1"/>
  <c r="C352" i="12"/>
  <c r="G323" i="12"/>
  <c r="G328" i="12" s="1"/>
  <c r="C294" i="12"/>
  <c r="C299" i="12" s="1"/>
  <c r="W100" i="12"/>
  <c r="H263" i="12"/>
  <c r="I264" i="12" s="1"/>
  <c r="AE24" i="12" s="1"/>
  <c r="J261" i="12"/>
  <c r="W101" i="12" s="1"/>
  <c r="F236" i="12"/>
  <c r="F241" i="12" s="1"/>
  <c r="X86" i="12"/>
  <c r="X94" i="12" s="1"/>
  <c r="D236" i="12"/>
  <c r="D240" i="12" s="1"/>
  <c r="E236" i="12"/>
  <c r="E238" i="12" s="1"/>
  <c r="H234" i="12"/>
  <c r="I235" i="12" s="1"/>
  <c r="AE23" i="12" s="1"/>
  <c r="G207" i="12"/>
  <c r="G212" i="12" s="1"/>
  <c r="V80" i="12"/>
  <c r="J202" i="12"/>
  <c r="V81" i="12" s="1"/>
  <c r="F178" i="12"/>
  <c r="F183" i="12" s="1"/>
  <c r="D178" i="12"/>
  <c r="D180" i="12" s="1"/>
  <c r="F149" i="12"/>
  <c r="F151" i="12" s="1"/>
  <c r="D124" i="12"/>
  <c r="D125" i="12"/>
  <c r="D121" i="12" s="1"/>
  <c r="U49" i="12" s="1"/>
  <c r="U48" i="12"/>
  <c r="E122" i="12"/>
  <c r="G124" i="12"/>
  <c r="G121" i="12" s="1"/>
  <c r="X49" i="12" s="1"/>
  <c r="X48" i="12"/>
  <c r="G122" i="12"/>
  <c r="W46" i="12"/>
  <c r="W54" i="12" s="1"/>
  <c r="F120" i="12"/>
  <c r="F91" i="12"/>
  <c r="F93" i="12" s="1"/>
  <c r="H89" i="12"/>
  <c r="I90" i="12" s="1"/>
  <c r="AE18" i="12" s="1"/>
  <c r="G91" i="12"/>
  <c r="X38" i="12" s="1"/>
  <c r="D62" i="12"/>
  <c r="U28" i="12" s="1"/>
  <c r="W30" i="12"/>
  <c r="G62" i="12"/>
  <c r="G64" i="12" s="1"/>
  <c r="D526" i="12"/>
  <c r="D531" i="12" s="1"/>
  <c r="H524" i="12"/>
  <c r="I525" i="12" s="1"/>
  <c r="AE33" i="12" s="1"/>
  <c r="AA164" i="12"/>
  <c r="D439" i="12"/>
  <c r="D441" i="12" s="1"/>
  <c r="I432" i="12"/>
  <c r="T160" i="12" s="1"/>
  <c r="C410" i="12"/>
  <c r="T148" i="12" s="1"/>
  <c r="F410" i="12"/>
  <c r="F415" i="12" s="1"/>
  <c r="C381" i="12"/>
  <c r="C383" i="12" s="1"/>
  <c r="H350" i="12"/>
  <c r="I351" i="12" s="1"/>
  <c r="AE27" i="12" s="1"/>
  <c r="W110" i="12"/>
  <c r="K290" i="12"/>
  <c r="P290" i="12" s="1"/>
  <c r="J290" i="12"/>
  <c r="W111" i="12" s="1"/>
  <c r="H292" i="12"/>
  <c r="I293" i="12" s="1"/>
  <c r="AE25" i="12" s="1"/>
  <c r="I258" i="12"/>
  <c r="J258" i="12" s="1"/>
  <c r="T101" i="12" s="1"/>
  <c r="C265" i="12"/>
  <c r="C270" i="12" s="1"/>
  <c r="X66" i="12"/>
  <c r="X74" i="12" s="1"/>
  <c r="G178" i="12"/>
  <c r="E149" i="12"/>
  <c r="V58" i="12" s="1"/>
  <c r="C149" i="12"/>
  <c r="C154" i="12" s="1"/>
  <c r="J119" i="12"/>
  <c r="AF19" i="12" s="1"/>
  <c r="I87" i="12"/>
  <c r="W40" i="12" s="1"/>
  <c r="F62" i="12"/>
  <c r="F67" i="12" s="1"/>
  <c r="J58" i="12"/>
  <c r="W31" i="12" s="1"/>
  <c r="J30" i="12"/>
  <c r="X21" i="12" s="1"/>
  <c r="T276" i="12"/>
  <c r="T277" i="12" s="1"/>
  <c r="K30" i="12"/>
  <c r="P30" i="12" s="1"/>
  <c r="T228" i="12"/>
  <c r="K29" i="12"/>
  <c r="P29" i="12" s="1"/>
  <c r="W228" i="12"/>
  <c r="H31" i="12"/>
  <c r="I32" i="12" s="1"/>
  <c r="AE16" i="12" s="1"/>
  <c r="E33" i="12"/>
  <c r="E38" i="12" s="1"/>
  <c r="W20" i="12"/>
  <c r="V228" i="12"/>
  <c r="F33" i="12"/>
  <c r="F38" i="12" s="1"/>
  <c r="C33" i="12"/>
  <c r="C38" i="12" s="1"/>
  <c r="D33" i="12"/>
  <c r="U18" i="12" s="1"/>
  <c r="G33" i="12"/>
  <c r="G35" i="12" s="1"/>
  <c r="K376" i="12"/>
  <c r="P376" i="12" s="1"/>
  <c r="J376" i="12"/>
  <c r="V141" i="12" s="1"/>
  <c r="V140" i="12"/>
  <c r="J232" i="12"/>
  <c r="W91" i="12" s="1"/>
  <c r="K232" i="12"/>
  <c r="P232" i="12" s="1"/>
  <c r="W90" i="12"/>
  <c r="K201" i="12"/>
  <c r="P201" i="12"/>
  <c r="J206" i="12" s="1"/>
  <c r="AF22" i="12" s="1"/>
  <c r="J201" i="12"/>
  <c r="U81" i="12" s="1"/>
  <c r="U80" i="12"/>
  <c r="K231" i="12"/>
  <c r="P231" i="12" s="1"/>
  <c r="J231" i="12"/>
  <c r="V91" i="12" s="1"/>
  <c r="V90" i="12"/>
  <c r="K88" i="12"/>
  <c r="P88" i="12" s="1"/>
  <c r="J88" i="12"/>
  <c r="X41" i="12" s="1"/>
  <c r="X40" i="12"/>
  <c r="K520" i="12"/>
  <c r="P520" i="12" s="1"/>
  <c r="J520" i="12"/>
  <c r="U191" i="12" s="1"/>
  <c r="U190" i="12"/>
  <c r="J172" i="12"/>
  <c r="U71" i="12" s="1"/>
  <c r="K172" i="12"/>
  <c r="P172" i="12" s="1"/>
  <c r="U70" i="12"/>
  <c r="K581" i="12"/>
  <c r="P581" i="12" s="1"/>
  <c r="J581" i="12"/>
  <c r="X211" i="12" s="1"/>
  <c r="X210" i="12"/>
  <c r="K320" i="12"/>
  <c r="P320" i="12" s="1"/>
  <c r="J320" i="12"/>
  <c r="X121" i="12" s="1"/>
  <c r="X120" i="12"/>
  <c r="K374" i="12"/>
  <c r="P374" i="12" s="1"/>
  <c r="J374" i="12"/>
  <c r="T141" i="12" s="1"/>
  <c r="T140" i="12"/>
  <c r="T30" i="12"/>
  <c r="J55" i="12"/>
  <c r="T31" i="12" s="1"/>
  <c r="K55" i="12"/>
  <c r="P55" i="12" s="1"/>
  <c r="K144" i="12"/>
  <c r="P144" i="12" s="1"/>
  <c r="J144" i="12"/>
  <c r="V61" i="12" s="1"/>
  <c r="V60" i="12"/>
  <c r="J434" i="12"/>
  <c r="V161" i="12" s="1"/>
  <c r="K434" i="12"/>
  <c r="P434" i="12" s="1"/>
  <c r="V160" i="12"/>
  <c r="K552" i="12"/>
  <c r="P552" i="12" s="1"/>
  <c r="J552" i="12"/>
  <c r="X201" i="12" s="1"/>
  <c r="X200" i="12"/>
  <c r="AN113" i="12"/>
  <c r="AT96" i="12"/>
  <c r="AY96" i="12" s="1"/>
  <c r="AS96" i="12"/>
  <c r="AN114" i="12" s="1"/>
  <c r="J171" i="12"/>
  <c r="T71" i="12" s="1"/>
  <c r="K171" i="12"/>
  <c r="P171" i="12" s="1"/>
  <c r="T70" i="12"/>
  <c r="J405" i="12"/>
  <c r="V151" i="12" s="1"/>
  <c r="K405" i="12"/>
  <c r="P405" i="12" s="1"/>
  <c r="V150" i="12"/>
  <c r="J435" i="12"/>
  <c r="W161" i="12" s="1"/>
  <c r="K435" i="12"/>
  <c r="P435" i="12" s="1"/>
  <c r="W160" i="12"/>
  <c r="J230" i="12"/>
  <c r="U91" i="12" s="1"/>
  <c r="K230" i="12"/>
  <c r="P230" i="12" s="1"/>
  <c r="U90" i="12"/>
  <c r="T166" i="12"/>
  <c r="T174" i="12" s="1"/>
  <c r="T246" i="12" s="1"/>
  <c r="C468" i="12"/>
  <c r="J404" i="12"/>
  <c r="U151" i="12" s="1"/>
  <c r="K404" i="12"/>
  <c r="P404" i="12" s="1"/>
  <c r="U150" i="12"/>
  <c r="U106" i="12"/>
  <c r="U114" i="12" s="1"/>
  <c r="U240" i="12" s="1"/>
  <c r="D294" i="12"/>
  <c r="H408" i="12"/>
  <c r="I409" i="12" s="1"/>
  <c r="AE29" i="12" s="1"/>
  <c r="X126" i="12"/>
  <c r="X134" i="12" s="1"/>
  <c r="X242" i="12" s="1"/>
  <c r="G352" i="12"/>
  <c r="W206" i="12"/>
  <c r="W214" i="12" s="1"/>
  <c r="W250" i="12" s="1"/>
  <c r="F584" i="12"/>
  <c r="K578" i="12"/>
  <c r="P578" i="12" s="1"/>
  <c r="J578" i="12"/>
  <c r="U211" i="12" s="1"/>
  <c r="U210" i="12"/>
  <c r="F182" i="12"/>
  <c r="W186" i="12"/>
  <c r="W194" i="12" s="1"/>
  <c r="W248" i="12" s="1"/>
  <c r="F526" i="12"/>
  <c r="X186" i="12"/>
  <c r="X194" i="12" s="1"/>
  <c r="X248" i="12" s="1"/>
  <c r="G526" i="12"/>
  <c r="C178" i="12"/>
  <c r="D584" i="12"/>
  <c r="V20" i="12"/>
  <c r="K28" i="12"/>
  <c r="P28" i="12" s="1"/>
  <c r="J28" i="12"/>
  <c r="V21" i="12" s="1"/>
  <c r="J407" i="12"/>
  <c r="X151" i="12" s="1"/>
  <c r="K407" i="12"/>
  <c r="P407" i="12" s="1"/>
  <c r="X150" i="12"/>
  <c r="G584" i="12"/>
  <c r="C62" i="12"/>
  <c r="J174" i="12"/>
  <c r="W71" i="12" s="1"/>
  <c r="K174" i="12"/>
  <c r="P174" i="12" s="1"/>
  <c r="W70" i="12"/>
  <c r="K550" i="12"/>
  <c r="P550" i="12" s="1"/>
  <c r="J550" i="12"/>
  <c r="V201" i="12" s="1"/>
  <c r="V200" i="12"/>
  <c r="V220" i="12"/>
  <c r="AP101" i="12"/>
  <c r="W24" i="12"/>
  <c r="W231" i="12" s="1"/>
  <c r="X96" i="12"/>
  <c r="X104" i="12" s="1"/>
  <c r="X239" i="12" s="1"/>
  <c r="G265" i="12"/>
  <c r="K461" i="12"/>
  <c r="P461" i="12" s="1"/>
  <c r="J461" i="12"/>
  <c r="T171" i="12" s="1"/>
  <c r="T170" i="12"/>
  <c r="V36" i="12"/>
  <c r="V44" i="12" s="1"/>
  <c r="V233" i="12" s="1"/>
  <c r="E91" i="12"/>
  <c r="C236" i="12"/>
  <c r="E555" i="12"/>
  <c r="V276" i="12"/>
  <c r="V277" i="12" s="1"/>
  <c r="C323" i="12"/>
  <c r="T76" i="12"/>
  <c r="T84" i="12" s="1"/>
  <c r="T237" i="12" s="1"/>
  <c r="C207" i="12"/>
  <c r="I287" i="12"/>
  <c r="AL106" i="12"/>
  <c r="AL111" i="12"/>
  <c r="AL105" i="12"/>
  <c r="AL103" i="12"/>
  <c r="U228" i="12"/>
  <c r="G499" i="12"/>
  <c r="G502" i="12"/>
  <c r="G501" i="12"/>
  <c r="X178" i="12"/>
  <c r="K346" i="12"/>
  <c r="P346" i="12" s="1"/>
  <c r="J346" i="12"/>
  <c r="U131" i="12" s="1"/>
  <c r="U130" i="12"/>
  <c r="J173" i="12"/>
  <c r="V71" i="12" s="1"/>
  <c r="K173" i="12"/>
  <c r="P173" i="12" s="1"/>
  <c r="V70" i="12"/>
  <c r="X166" i="12"/>
  <c r="X174" i="12" s="1"/>
  <c r="X246" i="12" s="1"/>
  <c r="G468" i="12"/>
  <c r="K490" i="12"/>
  <c r="P490" i="12" s="1"/>
  <c r="J490" i="12"/>
  <c r="T181" i="12" s="1"/>
  <c r="T180" i="12"/>
  <c r="E386" i="12"/>
  <c r="H321" i="12"/>
  <c r="I322" i="12" s="1"/>
  <c r="AE26" i="12" s="1"/>
  <c r="X228" i="12"/>
  <c r="U220" i="12"/>
  <c r="J145" i="12"/>
  <c r="W61" i="12" s="1"/>
  <c r="K145" i="12"/>
  <c r="P145" i="12" s="1"/>
  <c r="W60" i="12"/>
  <c r="AP113" i="12"/>
  <c r="AT98" i="12"/>
  <c r="AY98" i="12" s="1"/>
  <c r="AS98" i="12"/>
  <c r="AP114" i="12" s="1"/>
  <c r="W116" i="12"/>
  <c r="W124" i="12" s="1"/>
  <c r="W241" i="12" s="1"/>
  <c r="F323" i="12"/>
  <c r="H205" i="12"/>
  <c r="I206" i="12" s="1"/>
  <c r="AE22" i="12" s="1"/>
  <c r="J549" i="12"/>
  <c r="U201" i="12" s="1"/>
  <c r="K549" i="12"/>
  <c r="P549" i="12" s="1"/>
  <c r="U200" i="12"/>
  <c r="K59" i="12"/>
  <c r="P59" i="12" s="1"/>
  <c r="X30" i="12"/>
  <c r="J59" i="12"/>
  <c r="X31" i="12" s="1"/>
  <c r="E180" i="12"/>
  <c r="E183" i="12"/>
  <c r="V68" i="12"/>
  <c r="E182" i="12"/>
  <c r="H176" i="12"/>
  <c r="I177" i="12" s="1"/>
  <c r="AE21" i="12" s="1"/>
  <c r="V96" i="12"/>
  <c r="V104" i="12" s="1"/>
  <c r="V239" i="12" s="1"/>
  <c r="E265" i="12"/>
  <c r="H553" i="12"/>
  <c r="I554" i="12" s="1"/>
  <c r="AE34" i="12" s="1"/>
  <c r="K406" i="12"/>
  <c r="P406" i="12" s="1"/>
  <c r="J406" i="12"/>
  <c r="W151" i="12" s="1"/>
  <c r="W150" i="12"/>
  <c r="C497" i="12"/>
  <c r="T176" i="12"/>
  <c r="T184" i="12" s="1"/>
  <c r="T247" i="12" s="1"/>
  <c r="T206" i="12"/>
  <c r="T214" i="12" s="1"/>
  <c r="T250" i="12" s="1"/>
  <c r="C584" i="12"/>
  <c r="I229" i="12"/>
  <c r="V106" i="12"/>
  <c r="V114" i="12" s="1"/>
  <c r="V240" i="12" s="1"/>
  <c r="E294" i="12"/>
  <c r="K316" i="12"/>
  <c r="P316" i="12" s="1"/>
  <c r="J316" i="12"/>
  <c r="T121" i="12" s="1"/>
  <c r="T120" i="12"/>
  <c r="U136" i="12"/>
  <c r="U144" i="12" s="1"/>
  <c r="U243" i="12" s="1"/>
  <c r="D381" i="12"/>
  <c r="V26" i="12"/>
  <c r="E62" i="12"/>
  <c r="X220" i="12"/>
  <c r="U276" i="12"/>
  <c r="U277" i="12" s="1"/>
  <c r="H379" i="12"/>
  <c r="I380" i="12" s="1"/>
  <c r="AE28" i="12" s="1"/>
  <c r="AO109" i="12"/>
  <c r="AO117" i="12" s="1"/>
  <c r="AO101" i="12"/>
  <c r="F470" i="12"/>
  <c r="F473" i="12"/>
  <c r="F472" i="12"/>
  <c r="W168" i="12"/>
  <c r="W220" i="12"/>
  <c r="K548" i="12"/>
  <c r="P548" i="12" s="1"/>
  <c r="J548" i="12"/>
  <c r="T201" i="12" s="1"/>
  <c r="T200" i="12"/>
  <c r="K377" i="12"/>
  <c r="P377" i="12" s="1"/>
  <c r="J377" i="12"/>
  <c r="W141" i="12" s="1"/>
  <c r="W140" i="12"/>
  <c r="V166" i="12"/>
  <c r="V174" i="12" s="1"/>
  <c r="V246" i="12" s="1"/>
  <c r="E468" i="12"/>
  <c r="X276" i="12"/>
  <c r="X277" i="12" s="1"/>
  <c r="C125" i="12"/>
  <c r="C122" i="12"/>
  <c r="T48" i="12"/>
  <c r="C124" i="12"/>
  <c r="W276" i="12"/>
  <c r="W277" i="12" s="1"/>
  <c r="AA204" i="12"/>
  <c r="F555" i="12"/>
  <c r="H147" i="12"/>
  <c r="I148" i="12" s="1"/>
  <c r="AE20" i="12" s="1"/>
  <c r="I519" i="12"/>
  <c r="E497" i="12"/>
  <c r="F381" i="12"/>
  <c r="U116" i="12"/>
  <c r="U124" i="12" s="1"/>
  <c r="U241" i="12" s="1"/>
  <c r="D323" i="12"/>
  <c r="V126" i="12"/>
  <c r="V134" i="12" s="1"/>
  <c r="V242" i="12" s="1"/>
  <c r="E352" i="12"/>
  <c r="K85" i="12"/>
  <c r="P85" i="12" s="1"/>
  <c r="J85" i="12"/>
  <c r="U41" i="12" s="1"/>
  <c r="U40" i="12"/>
  <c r="D96" i="12"/>
  <c r="V116" i="12"/>
  <c r="V124" i="12" s="1"/>
  <c r="V241" i="12" s="1"/>
  <c r="E323" i="12"/>
  <c r="U56" i="12"/>
  <c r="U275" i="12" s="1"/>
  <c r="D149" i="12"/>
  <c r="X56" i="12"/>
  <c r="G149" i="12"/>
  <c r="J551" i="12"/>
  <c r="W201" i="12" s="1"/>
  <c r="K551" i="12"/>
  <c r="P551" i="12" s="1"/>
  <c r="W200" i="12"/>
  <c r="J142" i="12"/>
  <c r="T61" i="12" s="1"/>
  <c r="K142" i="12"/>
  <c r="P142" i="12" s="1"/>
  <c r="T60" i="12"/>
  <c r="K492" i="12"/>
  <c r="P492" i="12" s="1"/>
  <c r="J492" i="12"/>
  <c r="V181" i="12" s="1"/>
  <c r="V180" i="12"/>
  <c r="W126" i="12"/>
  <c r="W134" i="12" s="1"/>
  <c r="W242" i="12" s="1"/>
  <c r="F352" i="12"/>
  <c r="F439" i="12"/>
  <c r="K56" i="12"/>
  <c r="P56" i="12" s="1"/>
  <c r="U30" i="12"/>
  <c r="J56" i="12"/>
  <c r="U31" i="12" s="1"/>
  <c r="T36" i="12"/>
  <c r="C91" i="12"/>
  <c r="I345" i="12"/>
  <c r="K57" i="12"/>
  <c r="P57" i="12" s="1"/>
  <c r="V30" i="12"/>
  <c r="J57" i="12"/>
  <c r="V31" i="12" s="1"/>
  <c r="W76" i="12"/>
  <c r="W84" i="12" s="1"/>
  <c r="W237" i="12" s="1"/>
  <c r="F207" i="12"/>
  <c r="D207" i="12"/>
  <c r="W96" i="12"/>
  <c r="W104" i="12" s="1"/>
  <c r="W239" i="12" s="1"/>
  <c r="F265" i="12"/>
  <c r="I403" i="12"/>
  <c r="C526" i="12"/>
  <c r="BI42" i="12"/>
  <c r="BJ42" i="12" s="1"/>
  <c r="BI48" i="12"/>
  <c r="BJ48" i="12" s="1"/>
  <c r="BI49" i="12"/>
  <c r="BJ49" i="12" s="1"/>
  <c r="BI43" i="12"/>
  <c r="BJ43" i="12" s="1"/>
  <c r="BI50" i="12"/>
  <c r="BJ50" i="12" s="1"/>
  <c r="BI44" i="12"/>
  <c r="BJ44" i="12" s="1"/>
  <c r="BI45" i="12"/>
  <c r="BJ45" i="12" s="1"/>
  <c r="BI53" i="12"/>
  <c r="BJ53" i="12" s="1"/>
  <c r="BI41" i="12"/>
  <c r="BJ41" i="12" s="1"/>
  <c r="BI54" i="12"/>
  <c r="BJ54" i="12" s="1"/>
  <c r="BI51" i="12"/>
  <c r="BJ51" i="12" s="1"/>
  <c r="BI55" i="12"/>
  <c r="BJ55" i="12" s="1"/>
  <c r="BI56" i="12"/>
  <c r="BJ56" i="12" s="1"/>
  <c r="BI46" i="12"/>
  <c r="BJ46" i="12" s="1"/>
  <c r="BI52" i="12"/>
  <c r="BJ52" i="12" s="1"/>
  <c r="BI47" i="12"/>
  <c r="BJ47" i="12" s="1"/>
  <c r="W106" i="12"/>
  <c r="W114" i="12" s="1"/>
  <c r="W240" i="12" s="1"/>
  <c r="F294" i="12"/>
  <c r="D502" i="12"/>
  <c r="D499" i="12"/>
  <c r="U178" i="12"/>
  <c r="D501" i="12"/>
  <c r="T220" i="12"/>
  <c r="C439" i="12"/>
  <c r="V76" i="12"/>
  <c r="V84" i="12" s="1"/>
  <c r="V237" i="12" s="1"/>
  <c r="E207" i="12"/>
  <c r="V186" i="12"/>
  <c r="V194" i="12" s="1"/>
  <c r="V248" i="12" s="1"/>
  <c r="E526" i="12"/>
  <c r="AA154" i="12"/>
  <c r="W176" i="12"/>
  <c r="W184" i="12" s="1"/>
  <c r="W247" i="12" s="1"/>
  <c r="F497" i="12"/>
  <c r="D473" i="12"/>
  <c r="J577" i="12"/>
  <c r="T211" i="12" s="1"/>
  <c r="K577" i="12"/>
  <c r="P577" i="12" s="1"/>
  <c r="T210" i="12"/>
  <c r="U96" i="12"/>
  <c r="U104" i="12" s="1"/>
  <c r="U239" i="12" s="1"/>
  <c r="D265" i="12"/>
  <c r="G241" i="12"/>
  <c r="G238" i="12"/>
  <c r="X88" i="12"/>
  <c r="G240" i="12"/>
  <c r="X106" i="12"/>
  <c r="X114" i="12" s="1"/>
  <c r="X240" i="12" s="1"/>
  <c r="G294" i="12"/>
  <c r="H60" i="12"/>
  <c r="I61" i="12" s="1"/>
  <c r="AE17" i="12" s="1"/>
  <c r="D410" i="12"/>
  <c r="K433" i="12"/>
  <c r="P433" i="12" s="1"/>
  <c r="J433" i="12"/>
  <c r="U161" i="12" s="1"/>
  <c r="U160" i="12"/>
  <c r="X136" i="12"/>
  <c r="X144" i="12" s="1"/>
  <c r="X243" i="12" s="1"/>
  <c r="G381" i="12"/>
  <c r="E586" i="12"/>
  <c r="E589" i="12"/>
  <c r="V208" i="12"/>
  <c r="E588" i="12"/>
  <c r="AN113" i="9"/>
  <c r="AP101" i="9"/>
  <c r="AP111" i="9" s="1"/>
  <c r="AM109" i="9"/>
  <c r="AM117" i="9" s="1"/>
  <c r="AT96" i="9"/>
  <c r="AY96" i="9" s="1"/>
  <c r="AT98" i="9"/>
  <c r="AY98" i="9" s="1"/>
  <c r="AS95" i="9"/>
  <c r="AM114" i="9" s="1"/>
  <c r="AM113" i="9"/>
  <c r="AL109" i="9"/>
  <c r="AL117" i="9" s="1"/>
  <c r="AS98" i="9"/>
  <c r="AP114" i="9" s="1"/>
  <c r="AL105" i="9"/>
  <c r="AQ99" i="9"/>
  <c r="AR100" i="9" s="1"/>
  <c r="AL111" i="9"/>
  <c r="AL106" i="9"/>
  <c r="AL103" i="9"/>
  <c r="AM103" i="9"/>
  <c r="AM111" i="9"/>
  <c r="AM105" i="9"/>
  <c r="AM106" i="9"/>
  <c r="AT94" i="9"/>
  <c r="AY94" i="9" s="1"/>
  <c r="AL113" i="9"/>
  <c r="AS94" i="9"/>
  <c r="AL114" i="9" s="1"/>
  <c r="AO109" i="9"/>
  <c r="AO117" i="9" s="1"/>
  <c r="AO101" i="9"/>
  <c r="AN101" i="9"/>
  <c r="AN109" i="9"/>
  <c r="AN117" i="9" s="1"/>
  <c r="AO113" i="9"/>
  <c r="AT97" i="9"/>
  <c r="AY97" i="9" s="1"/>
  <c r="AS97" i="9"/>
  <c r="AO114" i="9" s="1"/>
  <c r="BH263" i="9"/>
  <c r="BH262" i="9"/>
  <c r="BH66" i="9"/>
  <c r="BK61" i="9"/>
  <c r="BL68" i="9"/>
  <c r="BL67" i="9"/>
  <c r="BL63" i="9"/>
  <c r="BH82" i="9"/>
  <c r="BH83" i="9"/>
  <c r="BH84" i="9"/>
  <c r="BH85" i="9"/>
  <c r="BH86" i="9"/>
  <c r="BH87" i="9"/>
  <c r="BH88" i="9"/>
  <c r="BH89" i="9"/>
  <c r="BH90" i="9"/>
  <c r="BH91" i="9"/>
  <c r="BH92" i="9"/>
  <c r="BH93" i="9"/>
  <c r="BH94" i="9"/>
  <c r="BH95" i="9"/>
  <c r="BH96" i="9"/>
  <c r="BH97" i="9"/>
  <c r="BH98" i="9"/>
  <c r="BH99" i="9"/>
  <c r="BH100" i="9"/>
  <c r="BH101" i="9"/>
  <c r="BH102" i="9"/>
  <c r="BH103" i="9"/>
  <c r="BH104" i="9"/>
  <c r="BH105" i="9"/>
  <c r="BH106" i="9"/>
  <c r="BH107" i="9"/>
  <c r="BH108" i="9"/>
  <c r="BH109" i="9"/>
  <c r="BH110" i="9"/>
  <c r="BH111" i="9"/>
  <c r="BH112" i="9"/>
  <c r="BH113" i="9"/>
  <c r="BH114" i="9"/>
  <c r="BH115" i="9"/>
  <c r="BH116" i="9"/>
  <c r="BH117" i="9"/>
  <c r="BH118" i="9"/>
  <c r="BH119" i="9"/>
  <c r="BH120" i="9"/>
  <c r="BH121" i="9"/>
  <c r="BH122" i="9"/>
  <c r="BH123" i="9"/>
  <c r="BH124" i="9"/>
  <c r="BH125" i="9"/>
  <c r="BH126" i="9"/>
  <c r="BH127" i="9"/>
  <c r="BH128" i="9"/>
  <c r="BH129" i="9"/>
  <c r="BH130" i="9"/>
  <c r="BH131" i="9"/>
  <c r="BH132" i="9"/>
  <c r="BH133" i="9"/>
  <c r="BH134" i="9"/>
  <c r="BH135" i="9"/>
  <c r="BH136" i="9"/>
  <c r="BH137" i="9"/>
  <c r="BH138" i="9"/>
  <c r="BH139" i="9"/>
  <c r="BH140" i="9"/>
  <c r="BH141" i="9"/>
  <c r="BH142" i="9"/>
  <c r="BH143" i="9"/>
  <c r="BH144" i="9"/>
  <c r="BH145" i="9"/>
  <c r="BH146" i="9"/>
  <c r="BH147" i="9"/>
  <c r="BH148" i="9"/>
  <c r="BH149" i="9"/>
  <c r="BH150" i="9"/>
  <c r="BH151" i="9"/>
  <c r="BH152" i="9"/>
  <c r="BH153" i="9"/>
  <c r="BH154" i="9"/>
  <c r="BH155" i="9"/>
  <c r="BH156" i="9"/>
  <c r="BH157" i="9"/>
  <c r="BH158" i="9"/>
  <c r="BH159" i="9"/>
  <c r="BH160" i="9"/>
  <c r="BH161" i="9"/>
  <c r="BH162" i="9"/>
  <c r="BH163" i="9"/>
  <c r="BH164" i="9"/>
  <c r="BH165" i="9"/>
  <c r="BH166" i="9"/>
  <c r="BH167" i="9"/>
  <c r="BH168" i="9"/>
  <c r="BH169" i="9"/>
  <c r="BH170" i="9"/>
  <c r="BH171" i="9"/>
  <c r="BH172" i="9"/>
  <c r="BH173" i="9"/>
  <c r="BH174" i="9"/>
  <c r="BH175" i="9"/>
  <c r="BH176" i="9"/>
  <c r="BH177" i="9"/>
  <c r="BH178" i="9"/>
  <c r="BH179" i="9"/>
  <c r="BH180" i="9"/>
  <c r="BH181" i="9"/>
  <c r="BH182" i="9"/>
  <c r="BH183" i="9"/>
  <c r="BH184" i="9"/>
  <c r="BH185" i="9"/>
  <c r="BH186" i="9"/>
  <c r="BH187" i="9"/>
  <c r="BH188" i="9"/>
  <c r="BH189" i="9"/>
  <c r="BH190" i="9"/>
  <c r="BH191" i="9"/>
  <c r="BH192" i="9"/>
  <c r="BH193" i="9"/>
  <c r="BH194" i="9"/>
  <c r="BH195" i="9"/>
  <c r="BH196" i="9"/>
  <c r="BH197" i="9"/>
  <c r="BH198" i="9"/>
  <c r="BH199" i="9"/>
  <c r="BH200" i="9"/>
  <c r="BH201" i="9"/>
  <c r="BH202" i="9"/>
  <c r="BH203" i="9"/>
  <c r="BH204" i="9"/>
  <c r="BH205" i="9"/>
  <c r="BH206" i="9"/>
  <c r="BH207" i="9"/>
  <c r="BH208" i="9"/>
  <c r="BH209" i="9"/>
  <c r="BH210" i="9"/>
  <c r="BH211" i="9"/>
  <c r="BH212" i="9"/>
  <c r="BH213" i="9"/>
  <c r="BH214" i="9"/>
  <c r="BH215" i="9"/>
  <c r="BH216" i="9"/>
  <c r="BH217" i="9"/>
  <c r="BH218" i="9"/>
  <c r="BH219" i="9"/>
  <c r="BH220" i="9"/>
  <c r="BH221" i="9"/>
  <c r="BH222" i="9"/>
  <c r="BH223" i="9"/>
  <c r="BH224" i="9"/>
  <c r="BH225" i="9"/>
  <c r="BH226" i="9"/>
  <c r="BH227" i="9"/>
  <c r="BH228" i="9"/>
  <c r="BH229" i="9"/>
  <c r="BH230" i="9"/>
  <c r="BH231" i="9"/>
  <c r="BH232" i="9"/>
  <c r="BH233" i="9"/>
  <c r="BH234" i="9"/>
  <c r="BH235" i="9"/>
  <c r="BH236" i="9"/>
  <c r="BH237" i="9"/>
  <c r="BH238" i="9"/>
  <c r="BH239" i="9"/>
  <c r="BH240" i="9"/>
  <c r="BH241" i="9"/>
  <c r="BH242" i="9"/>
  <c r="BH243" i="9"/>
  <c r="BH244" i="9"/>
  <c r="BH245" i="9"/>
  <c r="BH246" i="9"/>
  <c r="BH247" i="9"/>
  <c r="BH248" i="9"/>
  <c r="BH249" i="9"/>
  <c r="BH250" i="9"/>
  <c r="BH251" i="9"/>
  <c r="BH252" i="9"/>
  <c r="BH253" i="9"/>
  <c r="BH254" i="9"/>
  <c r="BH255" i="9"/>
  <c r="BH256" i="9"/>
  <c r="BH257" i="9"/>
  <c r="BH258" i="9"/>
  <c r="BH259" i="9"/>
  <c r="BH260" i="9"/>
  <c r="BH261" i="9"/>
  <c r="BH67" i="9"/>
  <c r="BH68" i="9"/>
  <c r="BH69" i="9"/>
  <c r="BH70" i="9"/>
  <c r="BH71" i="9"/>
  <c r="BH72" i="9"/>
  <c r="BH73" i="9"/>
  <c r="BH74" i="9"/>
  <c r="BH75" i="9"/>
  <c r="BH76" i="9"/>
  <c r="BH77" i="9"/>
  <c r="BH78" i="9"/>
  <c r="BH79" i="9"/>
  <c r="BH80" i="9"/>
  <c r="BH81" i="9"/>
  <c r="BH65" i="9"/>
  <c r="BH64" i="9"/>
  <c r="BH39" i="9"/>
  <c r="BL43" i="9"/>
  <c r="BL42" i="9"/>
  <c r="BL38" i="9"/>
  <c r="BH40" i="9"/>
  <c r="BH41" i="9"/>
  <c r="BH42" i="9"/>
  <c r="BH43" i="9"/>
  <c r="BH44" i="9"/>
  <c r="BH45" i="9"/>
  <c r="BH46" i="9"/>
  <c r="BH47" i="9"/>
  <c r="BH48" i="9"/>
  <c r="BH49" i="9"/>
  <c r="BH50" i="9"/>
  <c r="BH51" i="9"/>
  <c r="BH52" i="9"/>
  <c r="BH53" i="9"/>
  <c r="BH54" i="9"/>
  <c r="BH55" i="9"/>
  <c r="BH56" i="9"/>
  <c r="BH57" i="9"/>
  <c r="BH58" i="9"/>
  <c r="BK36" i="9"/>
  <c r="T213" i="9"/>
  <c r="U213" i="9"/>
  <c r="V213" i="9"/>
  <c r="W213" i="9"/>
  <c r="X213" i="9"/>
  <c r="T203" i="9"/>
  <c r="U203" i="9"/>
  <c r="V203" i="9"/>
  <c r="W203" i="9"/>
  <c r="X203" i="9"/>
  <c r="T193" i="9"/>
  <c r="U193" i="9"/>
  <c r="V193" i="9"/>
  <c r="W193" i="9"/>
  <c r="X193" i="9"/>
  <c r="T183" i="9"/>
  <c r="U183" i="9"/>
  <c r="V183" i="9"/>
  <c r="W183" i="9"/>
  <c r="X183" i="9"/>
  <c r="T73" i="9"/>
  <c r="U73" i="9"/>
  <c r="V73" i="9"/>
  <c r="W73" i="9"/>
  <c r="X73" i="9"/>
  <c r="T173" i="9"/>
  <c r="U173" i="9"/>
  <c r="V173" i="9"/>
  <c r="W173" i="9"/>
  <c r="X173" i="9"/>
  <c r="U163" i="9"/>
  <c r="V163" i="9"/>
  <c r="W163" i="9"/>
  <c r="X163" i="9"/>
  <c r="T163" i="9"/>
  <c r="U153" i="9"/>
  <c r="V153" i="9"/>
  <c r="W153" i="9"/>
  <c r="X153" i="9"/>
  <c r="T153" i="9"/>
  <c r="U133" i="9"/>
  <c r="V133" i="9"/>
  <c r="W133" i="9"/>
  <c r="X133" i="9"/>
  <c r="T133" i="9"/>
  <c r="U143" i="9"/>
  <c r="V143" i="9"/>
  <c r="W143" i="9"/>
  <c r="X143" i="9"/>
  <c r="T143" i="9"/>
  <c r="U123" i="9"/>
  <c r="V123" i="9"/>
  <c r="W123" i="9"/>
  <c r="X123" i="9"/>
  <c r="T123" i="9"/>
  <c r="U113" i="9"/>
  <c r="V113" i="9"/>
  <c r="W113" i="9"/>
  <c r="X113" i="9"/>
  <c r="T113" i="9"/>
  <c r="U103" i="9"/>
  <c r="V103" i="9"/>
  <c r="W103" i="9"/>
  <c r="X103" i="9"/>
  <c r="T103" i="9"/>
  <c r="X93" i="9"/>
  <c r="U93" i="9"/>
  <c r="V93" i="9"/>
  <c r="W93" i="9"/>
  <c r="T93" i="9"/>
  <c r="U83" i="9"/>
  <c r="V83" i="9"/>
  <c r="W83" i="9"/>
  <c r="X83" i="9"/>
  <c r="T83" i="9"/>
  <c r="T53" i="9"/>
  <c r="T43" i="9"/>
  <c r="N582" i="9"/>
  <c r="G571" i="9"/>
  <c r="G572" i="9" s="1"/>
  <c r="G573" i="9" s="1"/>
  <c r="F571" i="9"/>
  <c r="F572" i="9" s="1"/>
  <c r="F573" i="9" s="1"/>
  <c r="E571" i="9"/>
  <c r="E572" i="9" s="1"/>
  <c r="D571" i="9"/>
  <c r="D572" i="9" s="1"/>
  <c r="C571" i="9"/>
  <c r="C587" i="9" s="1"/>
  <c r="H570" i="9"/>
  <c r="L581" i="9" s="1"/>
  <c r="H569" i="9"/>
  <c r="H568" i="9"/>
  <c r="L579" i="9" s="1"/>
  <c r="H567" i="9"/>
  <c r="L578" i="9" s="1"/>
  <c r="H566" i="9"/>
  <c r="N553" i="9"/>
  <c r="G542" i="9"/>
  <c r="G543" i="9" s="1"/>
  <c r="G544" i="9" s="1"/>
  <c r="F542" i="9"/>
  <c r="F558" i="9" s="1"/>
  <c r="E542" i="9"/>
  <c r="E558" i="9" s="1"/>
  <c r="D542" i="9"/>
  <c r="D558" i="9" s="1"/>
  <c r="C542" i="9"/>
  <c r="C543" i="9" s="1"/>
  <c r="H541" i="9"/>
  <c r="H540" i="9"/>
  <c r="L551" i="9" s="1"/>
  <c r="H539" i="9"/>
  <c r="I539" i="9" s="1"/>
  <c r="J539" i="9" s="1"/>
  <c r="H538" i="9"/>
  <c r="H537" i="9"/>
  <c r="I537" i="9" s="1"/>
  <c r="J537" i="9" s="1"/>
  <c r="N524" i="9"/>
  <c r="G513" i="9"/>
  <c r="G529" i="9" s="1"/>
  <c r="F513" i="9"/>
  <c r="F529" i="9" s="1"/>
  <c r="E513" i="9"/>
  <c r="E529" i="9" s="1"/>
  <c r="D513" i="9"/>
  <c r="D529" i="9" s="1"/>
  <c r="C513" i="9"/>
  <c r="C529" i="9" s="1"/>
  <c r="H512" i="9"/>
  <c r="H511" i="9"/>
  <c r="I511" i="9" s="1"/>
  <c r="J511" i="9" s="1"/>
  <c r="H510" i="9"/>
  <c r="L521" i="9" s="1"/>
  <c r="H509" i="9"/>
  <c r="H508" i="9"/>
  <c r="N495" i="9"/>
  <c r="G484" i="9"/>
  <c r="G485" i="9" s="1"/>
  <c r="F484" i="9"/>
  <c r="F500" i="9" s="1"/>
  <c r="E484" i="9"/>
  <c r="E485" i="9" s="1"/>
  <c r="E486" i="9" s="1"/>
  <c r="D484" i="9"/>
  <c r="D485" i="9" s="1"/>
  <c r="D486" i="9" s="1"/>
  <c r="C484" i="9"/>
  <c r="C485" i="9" s="1"/>
  <c r="C486" i="9" s="1"/>
  <c r="H483" i="9"/>
  <c r="H482" i="9"/>
  <c r="I482" i="9" s="1"/>
  <c r="J482" i="9" s="1"/>
  <c r="H481" i="9"/>
  <c r="I481" i="9" s="1"/>
  <c r="H480" i="9"/>
  <c r="H479" i="9"/>
  <c r="N466" i="9"/>
  <c r="G455" i="9"/>
  <c r="G456" i="9" s="1"/>
  <c r="G457" i="9" s="1"/>
  <c r="F455" i="9"/>
  <c r="E455" i="9"/>
  <c r="D455" i="9"/>
  <c r="D456" i="9" s="1"/>
  <c r="D457" i="9" s="1"/>
  <c r="C455" i="9"/>
  <c r="C456" i="9" s="1"/>
  <c r="H454" i="9"/>
  <c r="L465" i="9" s="1"/>
  <c r="H453" i="9"/>
  <c r="H452" i="9"/>
  <c r="L463" i="9" s="1"/>
  <c r="H451" i="9"/>
  <c r="H450" i="9"/>
  <c r="N437" i="9"/>
  <c r="G426" i="9"/>
  <c r="G427" i="9" s="1"/>
  <c r="G428" i="9" s="1"/>
  <c r="F426" i="9"/>
  <c r="F442" i="9" s="1"/>
  <c r="E426" i="9"/>
  <c r="E442" i="9" s="1"/>
  <c r="D426" i="9"/>
  <c r="D442" i="9" s="1"/>
  <c r="C426" i="9"/>
  <c r="C442" i="9" s="1"/>
  <c r="H425" i="9"/>
  <c r="H424" i="9"/>
  <c r="L435" i="9" s="1"/>
  <c r="H423" i="9"/>
  <c r="L434" i="9" s="1"/>
  <c r="H422" i="9"/>
  <c r="L433" i="9" s="1"/>
  <c r="H421" i="9"/>
  <c r="I421" i="9" s="1"/>
  <c r="J421" i="9" s="1"/>
  <c r="N408" i="9"/>
  <c r="G397" i="9"/>
  <c r="G413" i="9" s="1"/>
  <c r="F397" i="9"/>
  <c r="F413" i="9" s="1"/>
  <c r="E397" i="9"/>
  <c r="E398" i="9" s="1"/>
  <c r="E399" i="9" s="1"/>
  <c r="D397" i="9"/>
  <c r="D413" i="9" s="1"/>
  <c r="C397" i="9"/>
  <c r="C413" i="9" s="1"/>
  <c r="H396" i="9"/>
  <c r="H395" i="9"/>
  <c r="I395" i="9" s="1"/>
  <c r="J395" i="9" s="1"/>
  <c r="H394" i="9"/>
  <c r="H393" i="9"/>
  <c r="I393" i="9" s="1"/>
  <c r="J393" i="9" s="1"/>
  <c r="H392" i="9"/>
  <c r="N379" i="9"/>
  <c r="G368" i="9"/>
  <c r="G369" i="9" s="1"/>
  <c r="G370" i="9" s="1"/>
  <c r="F368" i="9"/>
  <c r="F369" i="9" s="1"/>
  <c r="F370" i="9" s="1"/>
  <c r="E368" i="9"/>
  <c r="E384" i="9" s="1"/>
  <c r="D368" i="9"/>
  <c r="D369" i="9" s="1"/>
  <c r="C368" i="9"/>
  <c r="H367" i="9"/>
  <c r="H366" i="9"/>
  <c r="H365" i="9"/>
  <c r="I365" i="9" s="1"/>
  <c r="J365" i="9" s="1"/>
  <c r="H364" i="9"/>
  <c r="L375" i="9" s="1"/>
  <c r="H363" i="9"/>
  <c r="L374" i="9" s="1"/>
  <c r="N350" i="9"/>
  <c r="G339" i="9"/>
  <c r="G355" i="9" s="1"/>
  <c r="F339" i="9"/>
  <c r="F340" i="9" s="1"/>
  <c r="F341" i="9" s="1"/>
  <c r="E339" i="9"/>
  <c r="E340" i="9" s="1"/>
  <c r="E341" i="9" s="1"/>
  <c r="D339" i="9"/>
  <c r="D340" i="9" s="1"/>
  <c r="D341" i="9" s="1"/>
  <c r="C339" i="9"/>
  <c r="H338" i="9"/>
  <c r="L349" i="9" s="1"/>
  <c r="H337" i="9"/>
  <c r="L348" i="9" s="1"/>
  <c r="H336" i="9"/>
  <c r="L347" i="9" s="1"/>
  <c r="H335" i="9"/>
  <c r="L346" i="9" s="1"/>
  <c r="H334" i="9"/>
  <c r="I334" i="9" s="1"/>
  <c r="J334" i="9" s="1"/>
  <c r="N321" i="9"/>
  <c r="O316" i="9" s="1"/>
  <c r="G310" i="9"/>
  <c r="G311" i="9" s="1"/>
  <c r="F310" i="9"/>
  <c r="F326" i="9" s="1"/>
  <c r="E310" i="9"/>
  <c r="E326" i="9" s="1"/>
  <c r="D310" i="9"/>
  <c r="D326" i="9" s="1"/>
  <c r="C310" i="9"/>
  <c r="C326" i="9" s="1"/>
  <c r="H309" i="9"/>
  <c r="L320" i="9" s="1"/>
  <c r="H308" i="9"/>
  <c r="L319" i="9" s="1"/>
  <c r="H307" i="9"/>
  <c r="L318" i="9" s="1"/>
  <c r="H306" i="9"/>
  <c r="I306" i="9" s="1"/>
  <c r="J306" i="9" s="1"/>
  <c r="H305" i="9"/>
  <c r="I305" i="9" s="1"/>
  <c r="J305" i="9" s="1"/>
  <c r="N292" i="9"/>
  <c r="G281" i="9"/>
  <c r="G282" i="9" s="1"/>
  <c r="F281" i="9"/>
  <c r="F282" i="9" s="1"/>
  <c r="E281" i="9"/>
  <c r="E297" i="9" s="1"/>
  <c r="D281" i="9"/>
  <c r="D297" i="9" s="1"/>
  <c r="C281" i="9"/>
  <c r="C297" i="9" s="1"/>
  <c r="H280" i="9"/>
  <c r="H279" i="9"/>
  <c r="L290" i="9" s="1"/>
  <c r="H278" i="9"/>
  <c r="H277" i="9"/>
  <c r="H276" i="9"/>
  <c r="I276" i="9" s="1"/>
  <c r="N263" i="9"/>
  <c r="G252" i="9"/>
  <c r="G268" i="9" s="1"/>
  <c r="F252" i="9"/>
  <c r="F268" i="9" s="1"/>
  <c r="E252" i="9"/>
  <c r="E268" i="9" s="1"/>
  <c r="D252" i="9"/>
  <c r="D268" i="9" s="1"/>
  <c r="C252" i="9"/>
  <c r="C268" i="9" s="1"/>
  <c r="H251" i="9"/>
  <c r="L262" i="9" s="1"/>
  <c r="H250" i="9"/>
  <c r="I250" i="9" s="1"/>
  <c r="H249" i="9"/>
  <c r="L260" i="9" s="1"/>
  <c r="H248" i="9"/>
  <c r="L259" i="9" s="1"/>
  <c r="H247" i="9"/>
  <c r="L258" i="9" s="1"/>
  <c r="N234" i="9"/>
  <c r="G223" i="9"/>
  <c r="G239" i="9" s="1"/>
  <c r="F223" i="9"/>
  <c r="F239" i="9" s="1"/>
  <c r="E223" i="9"/>
  <c r="E224" i="9" s="1"/>
  <c r="D223" i="9"/>
  <c r="D224" i="9" s="1"/>
  <c r="C223" i="9"/>
  <c r="C224" i="9" s="1"/>
  <c r="H222" i="9"/>
  <c r="L233" i="9" s="1"/>
  <c r="H221" i="9"/>
  <c r="I221" i="9" s="1"/>
  <c r="J221" i="9" s="1"/>
  <c r="H220" i="9"/>
  <c r="L231" i="9" s="1"/>
  <c r="H219" i="9"/>
  <c r="H218" i="9"/>
  <c r="N205" i="9"/>
  <c r="G194" i="9"/>
  <c r="G195" i="9" s="1"/>
  <c r="F194" i="9"/>
  <c r="F195" i="9" s="1"/>
  <c r="E194" i="9"/>
  <c r="E195" i="9" s="1"/>
  <c r="D194" i="9"/>
  <c r="D195" i="9" s="1"/>
  <c r="C194" i="9"/>
  <c r="C195" i="9" s="1"/>
  <c r="H193" i="9"/>
  <c r="H192" i="9"/>
  <c r="H191" i="9"/>
  <c r="I191" i="9" s="1"/>
  <c r="J191" i="9" s="1"/>
  <c r="H190" i="9"/>
  <c r="H189" i="9"/>
  <c r="N176" i="9"/>
  <c r="G165" i="9"/>
  <c r="G166" i="9" s="1"/>
  <c r="F165" i="9"/>
  <c r="F166" i="9" s="1"/>
  <c r="E165" i="9"/>
  <c r="E181" i="9" s="1"/>
  <c r="D165" i="9"/>
  <c r="D181" i="9" s="1"/>
  <c r="C165" i="9"/>
  <c r="C181" i="9" s="1"/>
  <c r="H164" i="9"/>
  <c r="H163" i="9"/>
  <c r="L174" i="9" s="1"/>
  <c r="H162" i="9"/>
  <c r="L173" i="9" s="1"/>
  <c r="H161" i="9"/>
  <c r="L172" i="9" s="1"/>
  <c r="H160" i="9"/>
  <c r="L171" i="9" s="1"/>
  <c r="X63" i="9"/>
  <c r="W63" i="9"/>
  <c r="V63" i="9"/>
  <c r="U63" i="9"/>
  <c r="T63" i="9"/>
  <c r="W393" i="9"/>
  <c r="V393" i="9"/>
  <c r="W392" i="9"/>
  <c r="V392" i="9"/>
  <c r="W391" i="9"/>
  <c r="V391" i="9"/>
  <c r="W390" i="9"/>
  <c r="V390" i="9"/>
  <c r="X53" i="9"/>
  <c r="W53" i="9"/>
  <c r="V53" i="9"/>
  <c r="U53" i="9"/>
  <c r="X43" i="9"/>
  <c r="W43" i="9"/>
  <c r="V43" i="9"/>
  <c r="U43" i="9"/>
  <c r="X33" i="9"/>
  <c r="W33" i="9"/>
  <c r="V33" i="9"/>
  <c r="U33" i="9"/>
  <c r="T33" i="9"/>
  <c r="X23" i="9"/>
  <c r="W23" i="9"/>
  <c r="V23" i="9"/>
  <c r="U23" i="9"/>
  <c r="T23" i="9"/>
  <c r="N147" i="9"/>
  <c r="G136" i="9"/>
  <c r="G137" i="9" s="1"/>
  <c r="F136" i="9"/>
  <c r="F137" i="9" s="1"/>
  <c r="E136" i="9"/>
  <c r="E152" i="9" s="1"/>
  <c r="D136" i="9"/>
  <c r="D152" i="9" s="1"/>
  <c r="C136" i="9"/>
  <c r="H135" i="9"/>
  <c r="I135" i="9" s="1"/>
  <c r="J135" i="9" s="1"/>
  <c r="H134" i="9"/>
  <c r="H133" i="9"/>
  <c r="I133" i="9" s="1"/>
  <c r="J133" i="9" s="1"/>
  <c r="H132" i="9"/>
  <c r="I132" i="9" s="1"/>
  <c r="J132" i="9" s="1"/>
  <c r="H131" i="9"/>
  <c r="N118" i="9"/>
  <c r="G107" i="9"/>
  <c r="G108" i="9" s="1"/>
  <c r="F107" i="9"/>
  <c r="F108" i="9" s="1"/>
  <c r="F109" i="9" s="1"/>
  <c r="E107" i="9"/>
  <c r="D107" i="9"/>
  <c r="D108" i="9" s="1"/>
  <c r="C107" i="9"/>
  <c r="C123" i="9" s="1"/>
  <c r="H106" i="9"/>
  <c r="I106" i="9" s="1"/>
  <c r="J106" i="9" s="1"/>
  <c r="H105" i="9"/>
  <c r="H104" i="9"/>
  <c r="L115" i="9" s="1"/>
  <c r="H103" i="9"/>
  <c r="I103" i="9" s="1"/>
  <c r="J103" i="9" s="1"/>
  <c r="H102" i="9"/>
  <c r="L113" i="9" s="1"/>
  <c r="N89" i="9"/>
  <c r="G78" i="9"/>
  <c r="G79" i="9" s="1"/>
  <c r="G80" i="9" s="1"/>
  <c r="F78" i="9"/>
  <c r="F79" i="9" s="1"/>
  <c r="E78" i="9"/>
  <c r="E79" i="9" s="1"/>
  <c r="D78" i="9"/>
  <c r="D94" i="9" s="1"/>
  <c r="C78" i="9"/>
  <c r="C94" i="9" s="1"/>
  <c r="H77" i="9"/>
  <c r="L88" i="9" s="1"/>
  <c r="H76" i="9"/>
  <c r="L87" i="9" s="1"/>
  <c r="H75" i="9"/>
  <c r="H74" i="9"/>
  <c r="I74" i="9" s="1"/>
  <c r="J74" i="9" s="1"/>
  <c r="H73" i="9"/>
  <c r="I73" i="9" s="1"/>
  <c r="J73" i="9" s="1"/>
  <c r="N60" i="9"/>
  <c r="G49" i="9"/>
  <c r="F49" i="9"/>
  <c r="E49" i="9"/>
  <c r="D49" i="9"/>
  <c r="C49" i="9"/>
  <c r="H48" i="9"/>
  <c r="I48" i="9" s="1"/>
  <c r="J48" i="9" s="1"/>
  <c r="H47" i="9"/>
  <c r="H46" i="9"/>
  <c r="I46" i="9" s="1"/>
  <c r="J46" i="9" s="1"/>
  <c r="H45" i="9"/>
  <c r="H44" i="9"/>
  <c r="N31" i="9"/>
  <c r="G20" i="9"/>
  <c r="G21" i="9" s="1"/>
  <c r="F20" i="9"/>
  <c r="F21" i="9" s="1"/>
  <c r="E20" i="9"/>
  <c r="D20" i="9"/>
  <c r="C20" i="9"/>
  <c r="C36" i="9" s="1"/>
  <c r="H19" i="9"/>
  <c r="L30" i="9" s="1"/>
  <c r="H18" i="9"/>
  <c r="L29" i="9" s="1"/>
  <c r="H17" i="9"/>
  <c r="H16" i="9"/>
  <c r="H15" i="9"/>
  <c r="I15" i="9" s="1"/>
  <c r="F209" i="27" l="1"/>
  <c r="F210" i="27"/>
  <c r="G209" i="27"/>
  <c r="G210" i="27"/>
  <c r="E209" i="27"/>
  <c r="E210" i="27"/>
  <c r="D210" i="27"/>
  <c r="D209" i="27"/>
  <c r="H209" i="27"/>
  <c r="H210" i="27"/>
  <c r="F113" i="27"/>
  <c r="F114" i="27"/>
  <c r="G113" i="27"/>
  <c r="G114" i="27"/>
  <c r="H114" i="27"/>
  <c r="H113" i="27"/>
  <c r="D113" i="27"/>
  <c r="D114" i="27"/>
  <c r="E113" i="27"/>
  <c r="E114" i="27"/>
  <c r="H17" i="27"/>
  <c r="H18" i="27"/>
  <c r="G17" i="27"/>
  <c r="G18" i="27"/>
  <c r="D17" i="27"/>
  <c r="D18" i="27"/>
  <c r="F17" i="27"/>
  <c r="F18" i="27"/>
  <c r="E17" i="27"/>
  <c r="E18" i="27"/>
  <c r="K146" i="14"/>
  <c r="P146" i="14" s="1"/>
  <c r="J148" i="14" s="1"/>
  <c r="AF20" i="14" s="1"/>
  <c r="X158" i="14"/>
  <c r="C444" i="14"/>
  <c r="E472" i="14"/>
  <c r="W208" i="14"/>
  <c r="F586" i="14"/>
  <c r="F589" i="14"/>
  <c r="V208" i="14"/>
  <c r="E588" i="14"/>
  <c r="E585" i="14" s="1"/>
  <c r="V209" i="14" s="1"/>
  <c r="T198" i="14"/>
  <c r="E502" i="14"/>
  <c r="W178" i="14"/>
  <c r="F502" i="14"/>
  <c r="D441" i="14"/>
  <c r="U158" i="14"/>
  <c r="F441" i="14"/>
  <c r="X98" i="14"/>
  <c r="G269" i="14"/>
  <c r="AN103" i="12"/>
  <c r="E35" i="12"/>
  <c r="E124" i="12"/>
  <c r="E121" i="12" s="1"/>
  <c r="V49" i="12" s="1"/>
  <c r="V48" i="12"/>
  <c r="D470" i="12"/>
  <c r="T282" i="12"/>
  <c r="T283" i="12" s="1"/>
  <c r="D95" i="12"/>
  <c r="U38" i="12"/>
  <c r="AS100" i="9"/>
  <c r="C441" i="14"/>
  <c r="F444" i="14"/>
  <c r="F440" i="14" s="1"/>
  <c r="W159" i="14" s="1"/>
  <c r="U180" i="14"/>
  <c r="U223" i="14" s="1"/>
  <c r="J491" i="14"/>
  <c r="U181" i="14" s="1"/>
  <c r="U224" i="14" s="1"/>
  <c r="K491" i="14"/>
  <c r="P491" i="14" s="1"/>
  <c r="J496" i="14" s="1"/>
  <c r="AF32" i="14" s="1"/>
  <c r="G327" i="14"/>
  <c r="AA54" i="14"/>
  <c r="X118" i="14"/>
  <c r="C443" i="14"/>
  <c r="C440" i="14" s="1"/>
  <c r="T159" i="14" s="1"/>
  <c r="C559" i="14"/>
  <c r="E499" i="14"/>
  <c r="E441" i="14"/>
  <c r="F499" i="14"/>
  <c r="E383" i="14"/>
  <c r="G267" i="14"/>
  <c r="E501" i="14"/>
  <c r="E443" i="14"/>
  <c r="E440" i="14" s="1"/>
  <c r="V159" i="14" s="1"/>
  <c r="V158" i="14"/>
  <c r="AA214" i="14"/>
  <c r="X250" i="14"/>
  <c r="AA204" i="14"/>
  <c r="V249" i="14"/>
  <c r="C557" i="14"/>
  <c r="X188" i="14"/>
  <c r="G528" i="14"/>
  <c r="G530" i="14"/>
  <c r="G527" i="14" s="1"/>
  <c r="X189" i="14" s="1"/>
  <c r="G498" i="14"/>
  <c r="X179" i="14" s="1"/>
  <c r="AA174" i="14"/>
  <c r="T246" i="14"/>
  <c r="D469" i="14"/>
  <c r="U169" i="14" s="1"/>
  <c r="E415" i="14"/>
  <c r="E412" i="14"/>
  <c r="V148" i="14"/>
  <c r="E414" i="14"/>
  <c r="G383" i="14"/>
  <c r="G386" i="14"/>
  <c r="G382" i="14" s="1"/>
  <c r="X139" i="14" s="1"/>
  <c r="AA144" i="14"/>
  <c r="U243" i="14"/>
  <c r="G328" i="14"/>
  <c r="AA114" i="14"/>
  <c r="V240" i="14"/>
  <c r="AA104" i="14"/>
  <c r="T239" i="14"/>
  <c r="AA84" i="14"/>
  <c r="T237" i="14"/>
  <c r="E183" i="14"/>
  <c r="E179" i="14" s="1"/>
  <c r="V69" i="14" s="1"/>
  <c r="AA74" i="14"/>
  <c r="X236" i="14"/>
  <c r="AA64" i="14"/>
  <c r="V235" i="14"/>
  <c r="AP106" i="9"/>
  <c r="D560" i="12"/>
  <c r="U170" i="12"/>
  <c r="J462" i="12"/>
  <c r="U171" i="12" s="1"/>
  <c r="U224" i="12" s="1"/>
  <c r="G327" i="12"/>
  <c r="G324" i="12" s="1"/>
  <c r="X119" i="12" s="1"/>
  <c r="AA54" i="12"/>
  <c r="W234" i="12"/>
  <c r="W68" i="12"/>
  <c r="AA74" i="12"/>
  <c r="X236" i="12"/>
  <c r="C298" i="12"/>
  <c r="F180" i="12"/>
  <c r="AA94" i="12"/>
  <c r="X238" i="12"/>
  <c r="K432" i="12"/>
  <c r="P432" i="12" s="1"/>
  <c r="J438" i="12" s="1"/>
  <c r="AF30" i="12" s="1"/>
  <c r="AN113" i="14"/>
  <c r="AT96" i="14"/>
  <c r="AY96" i="14" s="1"/>
  <c r="AS100" i="14" s="1"/>
  <c r="AS110" i="14" s="1"/>
  <c r="AN105" i="14"/>
  <c r="AN102" i="14" s="1"/>
  <c r="AN112" i="14" s="1"/>
  <c r="G65" i="9"/>
  <c r="F50" i="9"/>
  <c r="F51" i="9" s="1"/>
  <c r="C50" i="9"/>
  <c r="C51" i="9" s="1"/>
  <c r="D50" i="9"/>
  <c r="D51" i="9" s="1"/>
  <c r="E50" i="9"/>
  <c r="E51" i="9" s="1"/>
  <c r="T108" i="14"/>
  <c r="C296" i="14"/>
  <c r="C298" i="14"/>
  <c r="C295" i="14" s="1"/>
  <c r="T109" i="14" s="1"/>
  <c r="X108" i="14"/>
  <c r="G298" i="14"/>
  <c r="G295" i="14" s="1"/>
  <c r="X109" i="14" s="1"/>
  <c r="E270" i="14"/>
  <c r="G266" i="14"/>
  <c r="X99" i="14" s="1"/>
  <c r="D240" i="14"/>
  <c r="U88" i="14"/>
  <c r="D241" i="14"/>
  <c r="E211" i="14"/>
  <c r="V78" i="14"/>
  <c r="E212" i="14"/>
  <c r="F212" i="14"/>
  <c r="D211" i="14"/>
  <c r="D209" i="14"/>
  <c r="F211" i="14"/>
  <c r="E180" i="14"/>
  <c r="V68" i="14"/>
  <c r="C180" i="14"/>
  <c r="K174" i="14"/>
  <c r="P174" i="14" s="1"/>
  <c r="D183" i="14"/>
  <c r="D179" i="14" s="1"/>
  <c r="U69" i="14" s="1"/>
  <c r="U68" i="14"/>
  <c r="D180" i="14"/>
  <c r="W70" i="14"/>
  <c r="F182" i="14"/>
  <c r="C183" i="14"/>
  <c r="F180" i="14"/>
  <c r="F183" i="14"/>
  <c r="W68" i="14"/>
  <c r="C182" i="14"/>
  <c r="F122" i="14"/>
  <c r="V282" i="14"/>
  <c r="V283" i="14" s="1"/>
  <c r="E124" i="14"/>
  <c r="E121" i="14" s="1"/>
  <c r="V49" i="14" s="1"/>
  <c r="V48" i="14"/>
  <c r="E122" i="14"/>
  <c r="X38" i="14"/>
  <c r="G93" i="14"/>
  <c r="G95" i="14"/>
  <c r="G92" i="14" s="1"/>
  <c r="X39" i="14" s="1"/>
  <c r="F64" i="14"/>
  <c r="W28" i="14"/>
  <c r="F67" i="14"/>
  <c r="F63" i="14" s="1"/>
  <c r="W29" i="14" s="1"/>
  <c r="V28" i="14"/>
  <c r="E64" i="14"/>
  <c r="G296" i="14"/>
  <c r="D298" i="14"/>
  <c r="U108" i="14"/>
  <c r="D299" i="14"/>
  <c r="E269" i="14"/>
  <c r="V98" i="14"/>
  <c r="AA94" i="14"/>
  <c r="J146" i="14"/>
  <c r="X61" i="14" s="1"/>
  <c r="X282" i="14" s="1"/>
  <c r="X283" i="14" s="1"/>
  <c r="C151" i="14"/>
  <c r="T58" i="14"/>
  <c r="D151" i="14"/>
  <c r="U58" i="14"/>
  <c r="D153" i="14"/>
  <c r="D154" i="14"/>
  <c r="C153" i="14"/>
  <c r="C154" i="14"/>
  <c r="F124" i="14"/>
  <c r="F121" i="14" s="1"/>
  <c r="W49" i="14" s="1"/>
  <c r="C122" i="14"/>
  <c r="W48" i="14"/>
  <c r="AA44" i="14"/>
  <c r="E66" i="14"/>
  <c r="E63" i="14" s="1"/>
  <c r="V29" i="14" s="1"/>
  <c r="AA34" i="14"/>
  <c r="D585" i="14"/>
  <c r="U209" i="14" s="1"/>
  <c r="F585" i="14"/>
  <c r="W209" i="14" s="1"/>
  <c r="C556" i="14"/>
  <c r="T199" i="14" s="1"/>
  <c r="D498" i="14"/>
  <c r="U179" i="14" s="1"/>
  <c r="E469" i="14"/>
  <c r="V169" i="14" s="1"/>
  <c r="F469" i="14"/>
  <c r="W169" i="14" s="1"/>
  <c r="G440" i="14"/>
  <c r="X159" i="14" s="1"/>
  <c r="P407" i="14"/>
  <c r="J409" i="14" s="1"/>
  <c r="AF29" i="14" s="1"/>
  <c r="AA154" i="14"/>
  <c r="E385" i="14"/>
  <c r="E382" i="14" s="1"/>
  <c r="V139" i="14" s="1"/>
  <c r="V224" i="14"/>
  <c r="E353" i="14"/>
  <c r="V129" i="14" s="1"/>
  <c r="AA124" i="14"/>
  <c r="F209" i="14"/>
  <c r="D212" i="14"/>
  <c r="G182" i="14"/>
  <c r="G179" i="14" s="1"/>
  <c r="X69" i="14" s="1"/>
  <c r="X68" i="14"/>
  <c r="G180" i="14"/>
  <c r="G153" i="14"/>
  <c r="G150" i="14" s="1"/>
  <c r="X59" i="14" s="1"/>
  <c r="V281" i="14"/>
  <c r="T48" i="14"/>
  <c r="U275" i="14"/>
  <c r="G38" i="14"/>
  <c r="BC20" i="14"/>
  <c r="AY20" i="14"/>
  <c r="G37" i="14"/>
  <c r="G35" i="14"/>
  <c r="J554" i="14"/>
  <c r="AF34" i="14" s="1"/>
  <c r="J206" i="14"/>
  <c r="AF22" i="14" s="1"/>
  <c r="F560" i="14"/>
  <c r="F557" i="14"/>
  <c r="W198" i="14"/>
  <c r="F559" i="14"/>
  <c r="AZ21" i="14"/>
  <c r="T291" i="14"/>
  <c r="T292" i="14" s="1"/>
  <c r="T290" i="14"/>
  <c r="T227" i="14"/>
  <c r="X281" i="14"/>
  <c r="D64" i="14"/>
  <c r="D67" i="14"/>
  <c r="U28" i="14"/>
  <c r="D66" i="14"/>
  <c r="BB13" i="14"/>
  <c r="AZ18" i="14"/>
  <c r="BA14" i="14"/>
  <c r="AX17" i="14"/>
  <c r="BB23" i="14"/>
  <c r="BB22" i="14"/>
  <c r="D328" i="14"/>
  <c r="D325" i="14"/>
  <c r="U118" i="14"/>
  <c r="D327" i="14"/>
  <c r="BC19" i="14"/>
  <c r="G589" i="14"/>
  <c r="G586" i="14"/>
  <c r="X208" i="14"/>
  <c r="G588" i="14"/>
  <c r="T219" i="14"/>
  <c r="G560" i="14"/>
  <c r="G557" i="14"/>
  <c r="X198" i="14"/>
  <c r="G559" i="14"/>
  <c r="AO111" i="14"/>
  <c r="AO103" i="14"/>
  <c r="AO106" i="14"/>
  <c r="AO105" i="14"/>
  <c r="F386" i="14"/>
  <c r="F383" i="14"/>
  <c r="W138" i="14"/>
  <c r="F385" i="14"/>
  <c r="AM111" i="14"/>
  <c r="AM103" i="14"/>
  <c r="AM106" i="14"/>
  <c r="AM105" i="14"/>
  <c r="J322" i="14"/>
  <c r="AF26" i="14" s="1"/>
  <c r="E328" i="14"/>
  <c r="E325" i="14"/>
  <c r="V118" i="14"/>
  <c r="E327" i="14"/>
  <c r="U281" i="14"/>
  <c r="AZ17" i="14"/>
  <c r="BB19" i="14"/>
  <c r="AZ15" i="14"/>
  <c r="AY22" i="14"/>
  <c r="BB18" i="14"/>
  <c r="AY19" i="14"/>
  <c r="E154" i="14"/>
  <c r="E151" i="14"/>
  <c r="V58" i="14"/>
  <c r="E153" i="14"/>
  <c r="T28" i="14"/>
  <c r="C64" i="14"/>
  <c r="C67" i="14"/>
  <c r="C66" i="14"/>
  <c r="BC15" i="14"/>
  <c r="D527" i="14"/>
  <c r="U189" i="14" s="1"/>
  <c r="G354" i="14"/>
  <c r="G357" i="14"/>
  <c r="X128" i="14"/>
  <c r="G356" i="14"/>
  <c r="F357" i="14"/>
  <c r="F354" i="14"/>
  <c r="W128" i="14"/>
  <c r="F356" i="14"/>
  <c r="D440" i="14"/>
  <c r="U159" i="14" s="1"/>
  <c r="U282" i="14"/>
  <c r="U283" i="14" s="1"/>
  <c r="BC13" i="14"/>
  <c r="AX20" i="14"/>
  <c r="AX13" i="14"/>
  <c r="BA13" i="14"/>
  <c r="BC23" i="14"/>
  <c r="AZ20" i="14"/>
  <c r="C267" i="14"/>
  <c r="C270" i="14"/>
  <c r="C269" i="14"/>
  <c r="T98" i="14"/>
  <c r="BA16" i="14"/>
  <c r="F415" i="14"/>
  <c r="F414" i="14"/>
  <c r="F412" i="14"/>
  <c r="W148" i="14"/>
  <c r="E241" i="14"/>
  <c r="E238" i="14"/>
  <c r="V88" i="14"/>
  <c r="E240" i="14"/>
  <c r="K84" i="14"/>
  <c r="J84" i="14"/>
  <c r="T41" i="14" s="1"/>
  <c r="T40" i="14"/>
  <c r="F238" i="14"/>
  <c r="F241" i="14"/>
  <c r="W88" i="14"/>
  <c r="F240" i="14"/>
  <c r="G67" i="14"/>
  <c r="X28" i="14"/>
  <c r="G64" i="14"/>
  <c r="G66" i="14"/>
  <c r="C241" i="14"/>
  <c r="C238" i="14"/>
  <c r="T88" i="14"/>
  <c r="C240" i="14"/>
  <c r="C38" i="14"/>
  <c r="T18" i="14"/>
  <c r="C35" i="14"/>
  <c r="C37" i="14"/>
  <c r="J438" i="14"/>
  <c r="AF30" i="14" s="1"/>
  <c r="K26" i="14"/>
  <c r="P26" i="14" s="1"/>
  <c r="J32" i="14" s="1"/>
  <c r="AF16" i="14" s="1"/>
  <c r="J26" i="14"/>
  <c r="T21" i="14" s="1"/>
  <c r="T20" i="14"/>
  <c r="AL111" i="14"/>
  <c r="AL103" i="14"/>
  <c r="AL106" i="14"/>
  <c r="AL105" i="14"/>
  <c r="V223" i="14"/>
  <c r="BB17" i="14"/>
  <c r="AX14" i="14"/>
  <c r="BB14" i="14"/>
  <c r="AY17" i="14"/>
  <c r="AY14" i="14"/>
  <c r="BA21" i="14"/>
  <c r="G125" i="14"/>
  <c r="G122" i="14"/>
  <c r="X48" i="14"/>
  <c r="G124" i="14"/>
  <c r="E560" i="14"/>
  <c r="E557" i="14"/>
  <c r="V198" i="14"/>
  <c r="E559" i="14"/>
  <c r="C383" i="14"/>
  <c r="C386" i="14"/>
  <c r="T138" i="14"/>
  <c r="C385" i="14"/>
  <c r="C498" i="14"/>
  <c r="T179" i="14" s="1"/>
  <c r="D93" i="14"/>
  <c r="D96" i="14"/>
  <c r="U38" i="14"/>
  <c r="D95" i="14"/>
  <c r="AS117" i="14"/>
  <c r="AX16" i="14"/>
  <c r="AX15" i="14"/>
  <c r="BA15" i="14"/>
  <c r="BA22" i="14"/>
  <c r="AY16" i="14"/>
  <c r="BC22" i="14"/>
  <c r="F296" i="14"/>
  <c r="F299" i="14"/>
  <c r="W108" i="14"/>
  <c r="F298" i="14"/>
  <c r="F270" i="14"/>
  <c r="F267" i="14"/>
  <c r="W98" i="14"/>
  <c r="F269" i="14"/>
  <c r="K261" i="14"/>
  <c r="P261" i="14" s="1"/>
  <c r="J264" i="14" s="1"/>
  <c r="AF24" i="14" s="1"/>
  <c r="J261" i="14"/>
  <c r="W101" i="14" s="1"/>
  <c r="W224" i="14" s="1"/>
  <c r="W100" i="14"/>
  <c r="J287" i="14"/>
  <c r="T111" i="14" s="1"/>
  <c r="K287" i="14"/>
  <c r="P287" i="14" s="1"/>
  <c r="J293" i="14" s="1"/>
  <c r="AF25" i="14" s="1"/>
  <c r="T110" i="14"/>
  <c r="J465" i="14"/>
  <c r="X171" i="14" s="1"/>
  <c r="K465" i="14"/>
  <c r="P465" i="14" s="1"/>
  <c r="J467" i="14" s="1"/>
  <c r="AF31" i="14" s="1"/>
  <c r="X170" i="14"/>
  <c r="X223" i="14" s="1"/>
  <c r="G241" i="14"/>
  <c r="G238" i="14"/>
  <c r="X88" i="14"/>
  <c r="G240" i="14"/>
  <c r="C531" i="14"/>
  <c r="C528" i="14"/>
  <c r="C530" i="14"/>
  <c r="T188" i="14"/>
  <c r="W281" i="14"/>
  <c r="BC17" i="14"/>
  <c r="BB16" i="14"/>
  <c r="BA23" i="14"/>
  <c r="AZ19" i="14"/>
  <c r="BA17" i="14"/>
  <c r="AX23" i="14"/>
  <c r="C95" i="14"/>
  <c r="T38" i="14"/>
  <c r="C96" i="14"/>
  <c r="C93" i="14"/>
  <c r="K113" i="14"/>
  <c r="P113" i="14" s="1"/>
  <c r="J119" i="14" s="1"/>
  <c r="AF19" i="14" s="1"/>
  <c r="J113" i="14"/>
  <c r="T51" i="14" s="1"/>
  <c r="T50" i="14"/>
  <c r="G412" i="14"/>
  <c r="G415" i="14"/>
  <c r="X148" i="14"/>
  <c r="G414" i="14"/>
  <c r="F35" i="14"/>
  <c r="F38" i="14"/>
  <c r="W18" i="14"/>
  <c r="F37" i="14"/>
  <c r="D35" i="14"/>
  <c r="U18" i="14"/>
  <c r="D38" i="14"/>
  <c r="D37" i="14"/>
  <c r="U290" i="14"/>
  <c r="U227" i="14"/>
  <c r="U291" i="14"/>
  <c r="U292" i="14" s="1"/>
  <c r="X290" i="14"/>
  <c r="X291" i="14"/>
  <c r="X292" i="14" s="1"/>
  <c r="X227" i="14"/>
  <c r="C357" i="14"/>
  <c r="C354" i="14"/>
  <c r="T128" i="14"/>
  <c r="C356" i="14"/>
  <c r="D560" i="14"/>
  <c r="D557" i="14"/>
  <c r="U198" i="14"/>
  <c r="D559" i="14"/>
  <c r="AA194" i="14"/>
  <c r="AX18" i="14"/>
  <c r="BA18" i="14"/>
  <c r="AY13" i="14"/>
  <c r="BA20" i="14"/>
  <c r="BC18" i="14"/>
  <c r="Z275" i="14"/>
  <c r="J380" i="14"/>
  <c r="AF28" i="14" s="1"/>
  <c r="W275" i="14"/>
  <c r="W219" i="14"/>
  <c r="W24" i="14"/>
  <c r="W231" i="14" s="1"/>
  <c r="C586" i="14"/>
  <c r="C589" i="14"/>
  <c r="T208" i="14"/>
  <c r="C588" i="14"/>
  <c r="X219" i="14"/>
  <c r="AP111" i="14"/>
  <c r="AP103" i="14"/>
  <c r="AP106" i="14"/>
  <c r="AP105" i="14"/>
  <c r="AA134" i="14"/>
  <c r="V18" i="14"/>
  <c r="E35" i="14"/>
  <c r="E38" i="14"/>
  <c r="E37" i="14"/>
  <c r="J235" i="14"/>
  <c r="AF23" i="14" s="1"/>
  <c r="D122" i="14"/>
  <c r="U48" i="14"/>
  <c r="D125" i="14"/>
  <c r="D124" i="14"/>
  <c r="F527" i="14"/>
  <c r="W189" i="14" s="1"/>
  <c r="W282" i="14"/>
  <c r="W283" i="14" s="1"/>
  <c r="AY21" i="14"/>
  <c r="BB20" i="14"/>
  <c r="BC14" i="14"/>
  <c r="BB21" i="14"/>
  <c r="AX21" i="14"/>
  <c r="F328" i="14"/>
  <c r="F325" i="14"/>
  <c r="W118" i="14"/>
  <c r="F327" i="14"/>
  <c r="J345" i="14"/>
  <c r="T131" i="14" s="1"/>
  <c r="K345" i="14"/>
  <c r="P345" i="14" s="1"/>
  <c r="J351" i="14" s="1"/>
  <c r="AF27" i="14" s="1"/>
  <c r="T130" i="14"/>
  <c r="C124" i="14"/>
  <c r="C121" i="14" s="1"/>
  <c r="T49" i="14" s="1"/>
  <c r="C412" i="14"/>
  <c r="C415" i="14"/>
  <c r="T148" i="14"/>
  <c r="C414" i="14"/>
  <c r="D411" i="14"/>
  <c r="U149" i="14" s="1"/>
  <c r="C328" i="14"/>
  <c r="C325" i="14"/>
  <c r="T118" i="14"/>
  <c r="C327" i="14"/>
  <c r="U219" i="14"/>
  <c r="D354" i="14"/>
  <c r="D357" i="14"/>
  <c r="U128" i="14"/>
  <c r="D356" i="14"/>
  <c r="X275" i="14"/>
  <c r="D386" i="14"/>
  <c r="D383" i="14"/>
  <c r="U138" i="14"/>
  <c r="D385" i="14"/>
  <c r="V275" i="14"/>
  <c r="V219" i="14"/>
  <c r="V24" i="14"/>
  <c r="V231" i="14" s="1"/>
  <c r="E299" i="14"/>
  <c r="V108" i="14"/>
  <c r="E296" i="14"/>
  <c r="E298" i="14"/>
  <c r="G208" i="14"/>
  <c r="X79" i="14" s="1"/>
  <c r="AZ16" i="14"/>
  <c r="AZ14" i="14"/>
  <c r="BB15" i="14"/>
  <c r="AY23" i="14"/>
  <c r="AZ22" i="14"/>
  <c r="E531" i="14"/>
  <c r="E528" i="14"/>
  <c r="V188" i="14"/>
  <c r="E530" i="14"/>
  <c r="C209" i="14"/>
  <c r="C212" i="14"/>
  <c r="T78" i="14"/>
  <c r="C211" i="14"/>
  <c r="G470" i="14"/>
  <c r="G473" i="14"/>
  <c r="X168" i="14"/>
  <c r="G472" i="14"/>
  <c r="J583" i="14"/>
  <c r="AF35" i="14" s="1"/>
  <c r="C470" i="14"/>
  <c r="C473" i="14"/>
  <c r="C472" i="14"/>
  <c r="T168" i="14"/>
  <c r="J61" i="14"/>
  <c r="AF17" i="14" s="1"/>
  <c r="AY18" i="14"/>
  <c r="AY15" i="14"/>
  <c r="AX22" i="14"/>
  <c r="BC21" i="14"/>
  <c r="AX19" i="14"/>
  <c r="E96" i="14"/>
  <c r="E93" i="14"/>
  <c r="V38" i="14"/>
  <c r="E95" i="14"/>
  <c r="F498" i="14"/>
  <c r="W179" i="14" s="1"/>
  <c r="F93" i="14"/>
  <c r="F96" i="14"/>
  <c r="W38" i="14"/>
  <c r="F95" i="14"/>
  <c r="K171" i="14"/>
  <c r="P171" i="14" s="1"/>
  <c r="J171" i="14"/>
  <c r="T71" i="14" s="1"/>
  <c r="T70" i="14"/>
  <c r="F151" i="14"/>
  <c r="F154" i="14"/>
  <c r="W58" i="14"/>
  <c r="F153" i="14"/>
  <c r="D267" i="14"/>
  <c r="D270" i="14"/>
  <c r="U98" i="14"/>
  <c r="D269" i="14"/>
  <c r="BA19" i="14"/>
  <c r="BC16" i="14"/>
  <c r="AZ13" i="14"/>
  <c r="AZ23" i="14"/>
  <c r="AN105" i="12"/>
  <c r="AM105" i="12"/>
  <c r="AN106" i="12"/>
  <c r="AM106" i="12"/>
  <c r="BJ164" i="12"/>
  <c r="BM66" i="12" s="1"/>
  <c r="BL66" i="12"/>
  <c r="BL69" i="12" s="1"/>
  <c r="BL70" i="12" s="1"/>
  <c r="BL71" i="12" s="1"/>
  <c r="BJ59" i="12"/>
  <c r="BM41" i="12" s="1"/>
  <c r="AM103" i="12"/>
  <c r="AS117" i="12"/>
  <c r="J583" i="12"/>
  <c r="AF35" i="12" s="1"/>
  <c r="AA214" i="12"/>
  <c r="E585" i="12"/>
  <c r="V209" i="12" s="1"/>
  <c r="D559" i="12"/>
  <c r="D556" i="12" s="1"/>
  <c r="U199" i="12" s="1"/>
  <c r="U198" i="12"/>
  <c r="C559" i="12"/>
  <c r="G560" i="12"/>
  <c r="G556" i="12" s="1"/>
  <c r="X199" i="12" s="1"/>
  <c r="X198" i="12"/>
  <c r="G557" i="12"/>
  <c r="T198" i="12"/>
  <c r="C560" i="12"/>
  <c r="D530" i="12"/>
  <c r="D527" i="12" s="1"/>
  <c r="U189" i="12" s="1"/>
  <c r="U188" i="12"/>
  <c r="D528" i="12"/>
  <c r="AA194" i="12"/>
  <c r="D472" i="12"/>
  <c r="D469" i="12" s="1"/>
  <c r="U169" i="12" s="1"/>
  <c r="J432" i="12"/>
  <c r="T161" i="12" s="1"/>
  <c r="G444" i="12"/>
  <c r="D444" i="12"/>
  <c r="E443" i="12"/>
  <c r="E440" i="12" s="1"/>
  <c r="V159" i="12" s="1"/>
  <c r="G443" i="12"/>
  <c r="X158" i="12"/>
  <c r="E441" i="12"/>
  <c r="D443" i="12"/>
  <c r="U158" i="12"/>
  <c r="V158" i="12"/>
  <c r="W148" i="12"/>
  <c r="G414" i="12"/>
  <c r="G411" i="12" s="1"/>
  <c r="X149" i="12" s="1"/>
  <c r="X148" i="12"/>
  <c r="G412" i="12"/>
  <c r="E414" i="12"/>
  <c r="C412" i="12"/>
  <c r="F414" i="12"/>
  <c r="F411" i="12" s="1"/>
  <c r="W149" i="12" s="1"/>
  <c r="V148" i="12"/>
  <c r="F412" i="12"/>
  <c r="E415" i="12"/>
  <c r="C415" i="12"/>
  <c r="C386" i="12"/>
  <c r="V138" i="12"/>
  <c r="E383" i="12"/>
  <c r="AA144" i="12"/>
  <c r="C385" i="12"/>
  <c r="T138" i="12"/>
  <c r="C356" i="12"/>
  <c r="C354" i="12"/>
  <c r="D354" i="12"/>
  <c r="U128" i="12"/>
  <c r="D356" i="12"/>
  <c r="T128" i="12"/>
  <c r="C357" i="12"/>
  <c r="X118" i="12"/>
  <c r="G325" i="12"/>
  <c r="C296" i="12"/>
  <c r="T108" i="12"/>
  <c r="T100" i="12"/>
  <c r="K258" i="12"/>
  <c r="P258" i="12" s="1"/>
  <c r="J264" i="12" s="1"/>
  <c r="AF24" i="12" s="1"/>
  <c r="C267" i="12"/>
  <c r="W88" i="12"/>
  <c r="F240" i="12"/>
  <c r="F237" i="12" s="1"/>
  <c r="W89" i="12" s="1"/>
  <c r="D238" i="12"/>
  <c r="F238" i="12"/>
  <c r="U88" i="12"/>
  <c r="D241" i="12"/>
  <c r="D237" i="12" s="1"/>
  <c r="U89" i="12" s="1"/>
  <c r="E241" i="12"/>
  <c r="E240" i="12"/>
  <c r="V88" i="12"/>
  <c r="G211" i="12"/>
  <c r="G208" i="12" s="1"/>
  <c r="X79" i="12" s="1"/>
  <c r="X78" i="12"/>
  <c r="G209" i="12"/>
  <c r="D183" i="12"/>
  <c r="U68" i="12"/>
  <c r="D182" i="12"/>
  <c r="T281" i="12"/>
  <c r="W58" i="12"/>
  <c r="E153" i="12"/>
  <c r="E154" i="12"/>
  <c r="F153" i="12"/>
  <c r="E151" i="12"/>
  <c r="F154" i="12"/>
  <c r="W275" i="12"/>
  <c r="F122" i="12"/>
  <c r="F125" i="12"/>
  <c r="W48" i="12"/>
  <c r="F124" i="12"/>
  <c r="W38" i="12"/>
  <c r="X281" i="12"/>
  <c r="F96" i="12"/>
  <c r="F95" i="12"/>
  <c r="K87" i="12"/>
  <c r="P87" i="12" s="1"/>
  <c r="J90" i="12" s="1"/>
  <c r="AF18" i="12" s="1"/>
  <c r="J87" i="12"/>
  <c r="W41" i="12" s="1"/>
  <c r="W224" i="12" s="1"/>
  <c r="G93" i="12"/>
  <c r="D92" i="12"/>
  <c r="U39" i="12" s="1"/>
  <c r="G95" i="12"/>
  <c r="G96" i="12"/>
  <c r="D67" i="12"/>
  <c r="D64" i="12"/>
  <c r="D66" i="12"/>
  <c r="X28" i="12"/>
  <c r="G66" i="12"/>
  <c r="G67" i="12"/>
  <c r="F66" i="12"/>
  <c r="F64" i="12"/>
  <c r="W28" i="12"/>
  <c r="J496" i="12"/>
  <c r="AF32" i="12" s="1"/>
  <c r="T219" i="12"/>
  <c r="E382" i="12"/>
  <c r="V139" i="12" s="1"/>
  <c r="AA134" i="12"/>
  <c r="X224" i="12"/>
  <c r="AA124" i="12"/>
  <c r="J322" i="12"/>
  <c r="AF26" i="12" s="1"/>
  <c r="AA114" i="12"/>
  <c r="C295" i="12"/>
  <c r="T109" i="12" s="1"/>
  <c r="AA104" i="12"/>
  <c r="C269" i="12"/>
  <c r="C266" i="12" s="1"/>
  <c r="T99" i="12" s="1"/>
  <c r="T98" i="12"/>
  <c r="G237" i="12"/>
  <c r="X89" i="12" s="1"/>
  <c r="F179" i="12"/>
  <c r="W69" i="12" s="1"/>
  <c r="BB22" i="12"/>
  <c r="G183" i="12"/>
  <c r="G180" i="12"/>
  <c r="X68" i="12"/>
  <c r="G182" i="12"/>
  <c r="E179" i="12"/>
  <c r="V69" i="12" s="1"/>
  <c r="C153" i="12"/>
  <c r="C150" i="12" s="1"/>
  <c r="T59" i="12" s="1"/>
  <c r="T58" i="12"/>
  <c r="C151" i="12"/>
  <c r="U223" i="12"/>
  <c r="U282" i="12"/>
  <c r="U283" i="12" s="1"/>
  <c r="X282" i="12"/>
  <c r="X283" i="12" s="1"/>
  <c r="E37" i="12"/>
  <c r="E34" i="12" s="1"/>
  <c r="V19" i="12" s="1"/>
  <c r="D38" i="12"/>
  <c r="J32" i="12"/>
  <c r="AF16" i="12" s="1"/>
  <c r="V18" i="12"/>
  <c r="Z275" i="12"/>
  <c r="AZ14" i="12"/>
  <c r="BC13" i="12"/>
  <c r="W223" i="12"/>
  <c r="BC16" i="12"/>
  <c r="C35" i="12"/>
  <c r="D35" i="12"/>
  <c r="T18" i="12"/>
  <c r="X18" i="12"/>
  <c r="C37" i="12"/>
  <c r="C34" i="12" s="1"/>
  <c r="T19" i="12" s="1"/>
  <c r="D37" i="12"/>
  <c r="F37" i="12"/>
  <c r="W18" i="12"/>
  <c r="F35" i="12"/>
  <c r="G37" i="12"/>
  <c r="G38" i="12"/>
  <c r="J380" i="12"/>
  <c r="AF28" i="12" s="1"/>
  <c r="AS100" i="12"/>
  <c r="AS110" i="12" s="1"/>
  <c r="D415" i="12"/>
  <c r="D412" i="12"/>
  <c r="U148" i="12"/>
  <c r="D414" i="12"/>
  <c r="E531" i="12"/>
  <c r="E528" i="12"/>
  <c r="V188" i="12"/>
  <c r="E530" i="12"/>
  <c r="AZ16" i="12"/>
  <c r="BB14" i="12"/>
  <c r="AY21" i="12"/>
  <c r="AZ19" i="12"/>
  <c r="BA17" i="12"/>
  <c r="C444" i="12"/>
  <c r="C441" i="12"/>
  <c r="T158" i="12"/>
  <c r="C443" i="12"/>
  <c r="F444" i="12"/>
  <c r="F441" i="12"/>
  <c r="W158" i="12"/>
  <c r="F443" i="12"/>
  <c r="K229" i="12"/>
  <c r="J229" i="12"/>
  <c r="T91" i="12" s="1"/>
  <c r="T90" i="12"/>
  <c r="G498" i="12"/>
  <c r="X179" i="12" s="1"/>
  <c r="U281" i="12"/>
  <c r="BB17" i="12"/>
  <c r="AZ15" i="12"/>
  <c r="BA22" i="12"/>
  <c r="BB13" i="12"/>
  <c r="BA20" i="12"/>
  <c r="AX17" i="12"/>
  <c r="F354" i="12"/>
  <c r="F357" i="12"/>
  <c r="W128" i="12"/>
  <c r="F356" i="12"/>
  <c r="D328" i="12"/>
  <c r="D325" i="12"/>
  <c r="U118" i="12"/>
  <c r="D327" i="12"/>
  <c r="AO103" i="12"/>
  <c r="AO106" i="12"/>
  <c r="AO111" i="12"/>
  <c r="AO105" i="12"/>
  <c r="C589" i="12"/>
  <c r="C586" i="12"/>
  <c r="C588" i="12"/>
  <c r="T208" i="12"/>
  <c r="G473" i="12"/>
  <c r="G470" i="12"/>
  <c r="X168" i="12"/>
  <c r="G472" i="12"/>
  <c r="G267" i="12"/>
  <c r="G270" i="12"/>
  <c r="X98" i="12"/>
  <c r="G269" i="12"/>
  <c r="C470" i="12"/>
  <c r="C473" i="12"/>
  <c r="T168" i="12"/>
  <c r="C472" i="12"/>
  <c r="G299" i="12"/>
  <c r="G296" i="12"/>
  <c r="X108" i="12"/>
  <c r="G298" i="12"/>
  <c r="E212" i="12"/>
  <c r="E209" i="12"/>
  <c r="E211" i="12"/>
  <c r="V78" i="12"/>
  <c r="AX22" i="12"/>
  <c r="BB16" i="12"/>
  <c r="BC15" i="12"/>
  <c r="BB21" i="12"/>
  <c r="AZ18" i="12"/>
  <c r="E64" i="12"/>
  <c r="E67" i="12"/>
  <c r="V28" i="12"/>
  <c r="E66" i="12"/>
  <c r="F328" i="12"/>
  <c r="F325" i="12"/>
  <c r="F327" i="12"/>
  <c r="W118" i="12"/>
  <c r="V282" i="12"/>
  <c r="V283" i="12" s="1"/>
  <c r="V224" i="12"/>
  <c r="AA174" i="12"/>
  <c r="J61" i="12"/>
  <c r="AF17" i="12" s="1"/>
  <c r="AX21" i="12"/>
  <c r="AY19" i="12"/>
  <c r="AY23" i="12"/>
  <c r="BB19" i="12"/>
  <c r="F386" i="12"/>
  <c r="F383" i="12"/>
  <c r="W138" i="12"/>
  <c r="F385" i="12"/>
  <c r="J554" i="12"/>
  <c r="AF34" i="12" s="1"/>
  <c r="V34" i="12"/>
  <c r="V232" i="12" s="1"/>
  <c r="V219" i="12"/>
  <c r="V275" i="12"/>
  <c r="AA184" i="12"/>
  <c r="W291" i="12"/>
  <c r="W292" i="12" s="1"/>
  <c r="W290" i="12"/>
  <c r="W227" i="12"/>
  <c r="AA24" i="12"/>
  <c r="D299" i="12"/>
  <c r="D296" i="12"/>
  <c r="U108" i="12"/>
  <c r="D298" i="12"/>
  <c r="J177" i="12"/>
  <c r="AF21" i="12" s="1"/>
  <c r="AX13" i="12"/>
  <c r="AZ22" i="12"/>
  <c r="BC18" i="12"/>
  <c r="AZ20" i="12"/>
  <c r="BC20" i="12"/>
  <c r="J148" i="12"/>
  <c r="AF20" i="12" s="1"/>
  <c r="G154" i="12"/>
  <c r="G151" i="12"/>
  <c r="X58" i="12"/>
  <c r="G153" i="12"/>
  <c r="E502" i="12"/>
  <c r="E499" i="12"/>
  <c r="V178" i="12"/>
  <c r="E501" i="12"/>
  <c r="E470" i="12"/>
  <c r="E473" i="12"/>
  <c r="V168" i="12"/>
  <c r="E472" i="12"/>
  <c r="D383" i="12"/>
  <c r="D386" i="12"/>
  <c r="D385" i="12"/>
  <c r="U138" i="12"/>
  <c r="C499" i="12"/>
  <c r="C502" i="12"/>
  <c r="T178" i="12"/>
  <c r="C501" i="12"/>
  <c r="W219" i="12"/>
  <c r="X223" i="12"/>
  <c r="V223" i="12"/>
  <c r="V281" i="12"/>
  <c r="AX14" i="12"/>
  <c r="BA14" i="12"/>
  <c r="BA13" i="12"/>
  <c r="BA21" i="12"/>
  <c r="BA23" i="12"/>
  <c r="C528" i="12"/>
  <c r="C531" i="12"/>
  <c r="T188" i="12"/>
  <c r="C530" i="12"/>
  <c r="K345" i="12"/>
  <c r="P345" i="12" s="1"/>
  <c r="J351" i="12" s="1"/>
  <c r="AF27" i="12" s="1"/>
  <c r="J345" i="12"/>
  <c r="T131" i="12" s="1"/>
  <c r="T130" i="12"/>
  <c r="X64" i="12"/>
  <c r="X235" i="12" s="1"/>
  <c r="X275" i="12"/>
  <c r="X219" i="12"/>
  <c r="K519" i="12"/>
  <c r="P519" i="12" s="1"/>
  <c r="J525" i="12" s="1"/>
  <c r="AF33" i="12" s="1"/>
  <c r="J519" i="12"/>
  <c r="T191" i="12" s="1"/>
  <c r="T190" i="12"/>
  <c r="AL102" i="12"/>
  <c r="AL112" i="12" s="1"/>
  <c r="E557" i="12"/>
  <c r="E560" i="12"/>
  <c r="V198" i="12"/>
  <c r="E559" i="12"/>
  <c r="D589" i="12"/>
  <c r="D586" i="12"/>
  <c r="U208" i="12"/>
  <c r="D588" i="12"/>
  <c r="G386" i="12"/>
  <c r="G383" i="12"/>
  <c r="G385" i="12"/>
  <c r="X138" i="12"/>
  <c r="D267" i="12"/>
  <c r="D270" i="12"/>
  <c r="U98" i="12"/>
  <c r="D269" i="12"/>
  <c r="F502" i="12"/>
  <c r="F499" i="12"/>
  <c r="W178" i="12"/>
  <c r="F501" i="12"/>
  <c r="AX16" i="12"/>
  <c r="AY15" i="12"/>
  <c r="AY16" i="12"/>
  <c r="BB15" i="12"/>
  <c r="BC22" i="12"/>
  <c r="AY18" i="12"/>
  <c r="D498" i="12"/>
  <c r="U179" i="12" s="1"/>
  <c r="C96" i="12"/>
  <c r="C93" i="12"/>
  <c r="C95" i="12"/>
  <c r="T38" i="12"/>
  <c r="D151" i="12"/>
  <c r="D154" i="12"/>
  <c r="U58" i="12"/>
  <c r="U278" i="12" s="1"/>
  <c r="D153" i="12"/>
  <c r="C241" i="12"/>
  <c r="C238" i="12"/>
  <c r="T88" i="12"/>
  <c r="C240" i="12"/>
  <c r="AP105" i="12"/>
  <c r="AP106" i="12"/>
  <c r="AP111" i="12"/>
  <c r="AP103" i="12"/>
  <c r="C180" i="12"/>
  <c r="C183" i="12"/>
  <c r="T68" i="12"/>
  <c r="C182" i="12"/>
  <c r="AZ17" i="12"/>
  <c r="BA16" i="12"/>
  <c r="AZ13" i="12"/>
  <c r="AX19" i="12"/>
  <c r="AX23" i="12"/>
  <c r="BA19" i="12"/>
  <c r="AY17" i="12"/>
  <c r="K403" i="12"/>
  <c r="P403" i="12" s="1"/>
  <c r="J409" i="12" s="1"/>
  <c r="AF29" i="12" s="1"/>
  <c r="J403" i="12"/>
  <c r="T151" i="12" s="1"/>
  <c r="T150" i="12"/>
  <c r="T44" i="12"/>
  <c r="T233" i="12" s="1"/>
  <c r="T275" i="12"/>
  <c r="F63" i="12"/>
  <c r="W29" i="12" s="1"/>
  <c r="U64" i="12"/>
  <c r="U235" i="12" s="1"/>
  <c r="U219" i="12"/>
  <c r="F560" i="12"/>
  <c r="F557" i="12"/>
  <c r="W198" i="12"/>
  <c r="F559" i="12"/>
  <c r="E96" i="12"/>
  <c r="E93" i="12"/>
  <c r="V38" i="12"/>
  <c r="E95" i="12"/>
  <c r="C64" i="12"/>
  <c r="C67" i="12"/>
  <c r="T28" i="12"/>
  <c r="C66" i="12"/>
  <c r="G528" i="12"/>
  <c r="G531" i="12"/>
  <c r="X188" i="12"/>
  <c r="G530" i="12"/>
  <c r="BL41" i="12"/>
  <c r="BL44" i="12" s="1"/>
  <c r="BL45" i="12" s="1"/>
  <c r="BL46" i="12" s="1"/>
  <c r="BB18" i="12"/>
  <c r="BC17" i="12"/>
  <c r="BC14" i="12"/>
  <c r="AY20" i="12"/>
  <c r="BB20" i="12"/>
  <c r="BA18" i="12"/>
  <c r="F267" i="12"/>
  <c r="F270" i="12"/>
  <c r="W98" i="12"/>
  <c r="F269" i="12"/>
  <c r="E328" i="12"/>
  <c r="E325" i="12"/>
  <c r="V118" i="12"/>
  <c r="E327" i="12"/>
  <c r="J287" i="12"/>
  <c r="T111" i="12" s="1"/>
  <c r="K287" i="12"/>
  <c r="P287" i="12" s="1"/>
  <c r="J293" i="12" s="1"/>
  <c r="AF25" i="12" s="1"/>
  <c r="T110" i="12"/>
  <c r="G589" i="12"/>
  <c r="G586" i="12"/>
  <c r="X208" i="12"/>
  <c r="G588" i="12"/>
  <c r="G354" i="12"/>
  <c r="G357" i="12"/>
  <c r="G356" i="12"/>
  <c r="X128" i="12"/>
  <c r="BC23" i="12"/>
  <c r="AY22" i="12"/>
  <c r="BA15" i="12"/>
  <c r="AZ21" i="12"/>
  <c r="AY14" i="12"/>
  <c r="BC21" i="12"/>
  <c r="BC19" i="12"/>
  <c r="C212" i="12"/>
  <c r="C211" i="12"/>
  <c r="C209" i="12"/>
  <c r="T78" i="12"/>
  <c r="J467" i="12"/>
  <c r="AF31" i="12" s="1"/>
  <c r="W281" i="12"/>
  <c r="F531" i="12"/>
  <c r="F528" i="12"/>
  <c r="F530" i="12"/>
  <c r="W188" i="12"/>
  <c r="C414" i="12"/>
  <c r="AZ23" i="12"/>
  <c r="BB23" i="12"/>
  <c r="D209" i="12"/>
  <c r="D212" i="12"/>
  <c r="U78" i="12"/>
  <c r="D211" i="12"/>
  <c r="D34" i="12"/>
  <c r="U19" i="12" s="1"/>
  <c r="F469" i="12"/>
  <c r="W169" i="12" s="1"/>
  <c r="E299" i="12"/>
  <c r="E296" i="12"/>
  <c r="V108" i="12"/>
  <c r="E298" i="12"/>
  <c r="E270" i="12"/>
  <c r="E267" i="12"/>
  <c r="E269" i="12"/>
  <c r="V98" i="12"/>
  <c r="D353" i="12"/>
  <c r="U129" i="12" s="1"/>
  <c r="AA84" i="12"/>
  <c r="AX15" i="12"/>
  <c r="AY13" i="12"/>
  <c r="AX20" i="12"/>
  <c r="AX18" i="12"/>
  <c r="F299" i="12"/>
  <c r="F296" i="12"/>
  <c r="W108" i="12"/>
  <c r="F298" i="12"/>
  <c r="F209" i="12"/>
  <c r="F212" i="12"/>
  <c r="W78" i="12"/>
  <c r="F211" i="12"/>
  <c r="E354" i="12"/>
  <c r="E357" i="12"/>
  <c r="V128" i="12"/>
  <c r="E356" i="12"/>
  <c r="C121" i="12"/>
  <c r="T49" i="12" s="1"/>
  <c r="C325" i="12"/>
  <c r="C328" i="12"/>
  <c r="T118" i="12"/>
  <c r="C327" i="12"/>
  <c r="F34" i="12"/>
  <c r="W19" i="12" s="1"/>
  <c r="F589" i="12"/>
  <c r="F586" i="12"/>
  <c r="W208" i="12"/>
  <c r="F588" i="12"/>
  <c r="AP105" i="9"/>
  <c r="AP102" i="9" s="1"/>
  <c r="AP112" i="9" s="1"/>
  <c r="AP103" i="9"/>
  <c r="AL102" i="9"/>
  <c r="AL112" i="9" s="1"/>
  <c r="BL64" i="9"/>
  <c r="BI263" i="9" s="1"/>
  <c r="BL39" i="9"/>
  <c r="BI57" i="9" s="1"/>
  <c r="AS117" i="9"/>
  <c r="AM102" i="9"/>
  <c r="AM112" i="9" s="1"/>
  <c r="AA83" i="9"/>
  <c r="O202" i="9"/>
  <c r="O204" i="9"/>
  <c r="O203" i="9"/>
  <c r="O201" i="9"/>
  <c r="O200" i="9"/>
  <c r="AA203" i="9"/>
  <c r="O550" i="9"/>
  <c r="O552" i="9"/>
  <c r="O551" i="9"/>
  <c r="D551" i="9" s="1"/>
  <c r="O549" i="9"/>
  <c r="O548" i="9"/>
  <c r="AA193" i="9"/>
  <c r="O522" i="9"/>
  <c r="O521" i="9"/>
  <c r="G521" i="9" s="1"/>
  <c r="O520" i="9"/>
  <c r="O519" i="9"/>
  <c r="O523" i="9"/>
  <c r="AA183" i="9"/>
  <c r="O494" i="9"/>
  <c r="O493" i="9"/>
  <c r="O491" i="9"/>
  <c r="O492" i="9"/>
  <c r="O490" i="9"/>
  <c r="AA173" i="9"/>
  <c r="O465" i="9"/>
  <c r="F465" i="9" s="1"/>
  <c r="O464" i="9"/>
  <c r="O463" i="9"/>
  <c r="F463" i="9" s="1"/>
  <c r="O462" i="9"/>
  <c r="O461" i="9"/>
  <c r="AA73" i="9"/>
  <c r="O174" i="9"/>
  <c r="E174" i="9" s="1"/>
  <c r="O173" i="9"/>
  <c r="E173" i="9" s="1"/>
  <c r="O172" i="9"/>
  <c r="E172" i="9" s="1"/>
  <c r="O171" i="9"/>
  <c r="E171" i="9" s="1"/>
  <c r="O175" i="9"/>
  <c r="AA163" i="9"/>
  <c r="O432" i="9"/>
  <c r="O433" i="9"/>
  <c r="G433" i="9" s="1"/>
  <c r="O436" i="9"/>
  <c r="O435" i="9"/>
  <c r="C435" i="9" s="1"/>
  <c r="O434" i="9"/>
  <c r="G434" i="9" s="1"/>
  <c r="AA123" i="9"/>
  <c r="O320" i="9"/>
  <c r="F320" i="9" s="1"/>
  <c r="O319" i="9"/>
  <c r="E319" i="9" s="1"/>
  <c r="O318" i="9"/>
  <c r="G318" i="9" s="1"/>
  <c r="O317" i="9"/>
  <c r="AA33" i="9"/>
  <c r="O59" i="9"/>
  <c r="O58" i="9"/>
  <c r="O57" i="9"/>
  <c r="O56" i="9"/>
  <c r="O55" i="9"/>
  <c r="AA153" i="9"/>
  <c r="O407" i="9"/>
  <c r="O406" i="9"/>
  <c r="O405" i="9"/>
  <c r="O404" i="9"/>
  <c r="O403" i="9"/>
  <c r="AN103" i="9"/>
  <c r="AN111" i="9"/>
  <c r="AN105" i="9"/>
  <c r="AN106" i="9"/>
  <c r="AA143" i="9"/>
  <c r="O376" i="9"/>
  <c r="O375" i="9"/>
  <c r="G375" i="9" s="1"/>
  <c r="O374" i="9"/>
  <c r="G374" i="9" s="1"/>
  <c r="O378" i="9"/>
  <c r="O377" i="9"/>
  <c r="AO111" i="9"/>
  <c r="AO105" i="9"/>
  <c r="AO103" i="9"/>
  <c r="AO106" i="9"/>
  <c r="AA63" i="9"/>
  <c r="O146" i="9"/>
  <c r="O145" i="9"/>
  <c r="O144" i="9"/>
  <c r="O143" i="9"/>
  <c r="O142" i="9"/>
  <c r="AA133" i="9"/>
  <c r="O349" i="9"/>
  <c r="C349" i="9" s="1"/>
  <c r="O348" i="9"/>
  <c r="F348" i="9" s="1"/>
  <c r="O347" i="9"/>
  <c r="G347" i="9" s="1"/>
  <c r="O346" i="9"/>
  <c r="D346" i="9" s="1"/>
  <c r="O345" i="9"/>
  <c r="AA53" i="9"/>
  <c r="O117" i="9"/>
  <c r="O116" i="9"/>
  <c r="O115" i="9"/>
  <c r="F115" i="9" s="1"/>
  <c r="O114" i="9"/>
  <c r="O113" i="9"/>
  <c r="D113" i="9" s="1"/>
  <c r="AA43" i="9"/>
  <c r="O84" i="9"/>
  <c r="O88" i="9"/>
  <c r="D88" i="9" s="1"/>
  <c r="O87" i="9"/>
  <c r="G87" i="9" s="1"/>
  <c r="O86" i="9"/>
  <c r="O85" i="9"/>
  <c r="AA113" i="9"/>
  <c r="O289" i="9"/>
  <c r="O288" i="9"/>
  <c r="O287" i="9"/>
  <c r="O291" i="9"/>
  <c r="O290" i="9"/>
  <c r="G290" i="9" s="1"/>
  <c r="AA103" i="9"/>
  <c r="O258" i="9"/>
  <c r="C258" i="9" s="1"/>
  <c r="O262" i="9"/>
  <c r="E262" i="9" s="1"/>
  <c r="O261" i="9"/>
  <c r="O260" i="9"/>
  <c r="G260" i="9" s="1"/>
  <c r="O259" i="9"/>
  <c r="E259" i="9" s="1"/>
  <c r="O28" i="9"/>
  <c r="O27" i="9"/>
  <c r="O26" i="9"/>
  <c r="O30" i="9"/>
  <c r="G30" i="9" s="1"/>
  <c r="O29" i="9"/>
  <c r="C29" i="9" s="1"/>
  <c r="AA93" i="9"/>
  <c r="O230" i="9"/>
  <c r="O229" i="9"/>
  <c r="O233" i="9"/>
  <c r="E233" i="9" s="1"/>
  <c r="O232" i="9"/>
  <c r="O231" i="9"/>
  <c r="E231" i="9" s="1"/>
  <c r="AA213" i="9"/>
  <c r="O578" i="9"/>
  <c r="E578" i="9" s="1"/>
  <c r="O577" i="9"/>
  <c r="O581" i="9"/>
  <c r="F581" i="9" s="1"/>
  <c r="O580" i="9"/>
  <c r="O579" i="9"/>
  <c r="E579" i="9" s="1"/>
  <c r="W226" i="9"/>
  <c r="U226" i="9"/>
  <c r="T226" i="9"/>
  <c r="X226" i="9"/>
  <c r="V226" i="9"/>
  <c r="AA23" i="9"/>
  <c r="K131" i="9"/>
  <c r="D587" i="9"/>
  <c r="I567" i="9"/>
  <c r="J567" i="9" s="1"/>
  <c r="D398" i="9"/>
  <c r="D399" i="9" s="1"/>
  <c r="K392" i="9"/>
  <c r="K394" i="9"/>
  <c r="D123" i="9"/>
  <c r="I222" i="9"/>
  <c r="J222" i="9" s="1"/>
  <c r="L493" i="9"/>
  <c r="D311" i="9"/>
  <c r="D312" i="9" s="1"/>
  <c r="C471" i="9"/>
  <c r="I161" i="9"/>
  <c r="J161" i="9" s="1"/>
  <c r="F123" i="9"/>
  <c r="T288" i="9"/>
  <c r="T289" i="9" s="1"/>
  <c r="K162" i="9"/>
  <c r="G181" i="9"/>
  <c r="C210" i="9"/>
  <c r="E543" i="9"/>
  <c r="N539" i="9" s="1"/>
  <c r="V202" i="9" s="1"/>
  <c r="H223" i="9"/>
  <c r="I224" i="9" s="1"/>
  <c r="AD23" i="9" s="1"/>
  <c r="K164" i="9"/>
  <c r="K190" i="9"/>
  <c r="C558" i="9"/>
  <c r="C398" i="9"/>
  <c r="C399" i="9" s="1"/>
  <c r="F398" i="9"/>
  <c r="F399" i="9" s="1"/>
  <c r="K538" i="9"/>
  <c r="I249" i="9"/>
  <c r="J249" i="9" s="1"/>
  <c r="G398" i="9"/>
  <c r="G399" i="9" s="1"/>
  <c r="C427" i="9"/>
  <c r="C428" i="9" s="1"/>
  <c r="I452" i="9"/>
  <c r="J452" i="9" s="1"/>
  <c r="K393" i="9"/>
  <c r="F543" i="9"/>
  <c r="F544" i="9" s="1"/>
  <c r="D210" i="9"/>
  <c r="G340" i="9"/>
  <c r="G341" i="9" s="1"/>
  <c r="D427" i="9"/>
  <c r="D428" i="9" s="1"/>
  <c r="D471" i="9"/>
  <c r="F210" i="9"/>
  <c r="E94" i="9"/>
  <c r="D282" i="9"/>
  <c r="D283" i="9" s="1"/>
  <c r="D514" i="9"/>
  <c r="D515" i="9" s="1"/>
  <c r="E427" i="9"/>
  <c r="E428" i="9" s="1"/>
  <c r="K45" i="9"/>
  <c r="C514" i="9"/>
  <c r="C515" i="9" s="1"/>
  <c r="I247" i="9"/>
  <c r="J247" i="9" s="1"/>
  <c r="K75" i="9"/>
  <c r="L114" i="9"/>
  <c r="K193" i="9"/>
  <c r="K508" i="9"/>
  <c r="L519" i="9"/>
  <c r="G558" i="9"/>
  <c r="I104" i="9"/>
  <c r="J104" i="9" s="1"/>
  <c r="I162" i="9"/>
  <c r="J162" i="9" s="1"/>
  <c r="C282" i="9"/>
  <c r="C283" i="9" s="1"/>
  <c r="K192" i="9"/>
  <c r="I75" i="9"/>
  <c r="J75" i="9" s="1"/>
  <c r="K102" i="9"/>
  <c r="L117" i="9"/>
  <c r="K277" i="9"/>
  <c r="K338" i="9"/>
  <c r="K509" i="9"/>
  <c r="K566" i="9"/>
  <c r="K161" i="9"/>
  <c r="K278" i="9"/>
  <c r="F297" i="9"/>
  <c r="C311" i="9"/>
  <c r="C312" i="9" s="1"/>
  <c r="K483" i="9"/>
  <c r="L522" i="9"/>
  <c r="K306" i="9"/>
  <c r="H107" i="9"/>
  <c r="I108" i="9" s="1"/>
  <c r="AD19" i="9" s="1"/>
  <c r="I568" i="9"/>
  <c r="J568" i="9" s="1"/>
  <c r="K568" i="9"/>
  <c r="H571" i="9"/>
  <c r="I572" i="9" s="1"/>
  <c r="AD35" i="9" s="1"/>
  <c r="E587" i="9"/>
  <c r="C544" i="9"/>
  <c r="N537" i="9"/>
  <c r="T202" i="9" s="1"/>
  <c r="I248" i="9"/>
  <c r="J248" i="9" s="1"/>
  <c r="C21" i="9"/>
  <c r="C22" i="9" s="1"/>
  <c r="G123" i="9"/>
  <c r="G152" i="9"/>
  <c r="I160" i="9"/>
  <c r="J160" i="9" s="1"/>
  <c r="L175" i="9"/>
  <c r="F224" i="9"/>
  <c r="N221" i="9" s="1"/>
  <c r="H252" i="9"/>
  <c r="I253" i="9" s="1"/>
  <c r="AD24" i="9" s="1"/>
  <c r="L288" i="9"/>
  <c r="I422" i="9"/>
  <c r="J422" i="9" s="1"/>
  <c r="F427" i="9"/>
  <c r="F428" i="9" s="1"/>
  <c r="K482" i="9"/>
  <c r="L494" i="9"/>
  <c r="E514" i="9"/>
  <c r="L520" i="9"/>
  <c r="L548" i="9"/>
  <c r="I566" i="9"/>
  <c r="J566" i="9" s="1"/>
  <c r="L577" i="9"/>
  <c r="K191" i="9"/>
  <c r="I105" i="9"/>
  <c r="N105" i="9" s="1"/>
  <c r="W52" i="9" s="1"/>
  <c r="G94" i="9"/>
  <c r="K221" i="9"/>
  <c r="D253" i="9"/>
  <c r="D254" i="9" s="1"/>
  <c r="K280" i="9"/>
  <c r="L289" i="9"/>
  <c r="K307" i="9"/>
  <c r="L316" i="9"/>
  <c r="K367" i="9"/>
  <c r="K424" i="9"/>
  <c r="K511" i="9"/>
  <c r="G514" i="9"/>
  <c r="G515" i="9" s="1"/>
  <c r="L549" i="9"/>
  <c r="K46" i="9"/>
  <c r="C166" i="9"/>
  <c r="F181" i="9"/>
  <c r="C239" i="9"/>
  <c r="K250" i="9"/>
  <c r="E253" i="9"/>
  <c r="E254" i="9" s="1"/>
  <c r="I483" i="9"/>
  <c r="J483" i="9" s="1"/>
  <c r="G500" i="9"/>
  <c r="K160" i="9"/>
  <c r="G224" i="9"/>
  <c r="G225" i="9" s="1"/>
  <c r="H368" i="9"/>
  <c r="I369" i="9" s="1"/>
  <c r="AD28" i="9" s="1"/>
  <c r="L404" i="9"/>
  <c r="F514" i="9"/>
  <c r="D166" i="9"/>
  <c r="D167" i="9" s="1"/>
  <c r="L202" i="9"/>
  <c r="E239" i="9"/>
  <c r="F253" i="9"/>
  <c r="F254" i="9" s="1"/>
  <c r="G326" i="9"/>
  <c r="K336" i="9"/>
  <c r="G384" i="9"/>
  <c r="H513" i="9"/>
  <c r="I514" i="9" s="1"/>
  <c r="AD33" i="9" s="1"/>
  <c r="F94" i="9"/>
  <c r="C253" i="9"/>
  <c r="C254" i="9" s="1"/>
  <c r="L57" i="9"/>
  <c r="C108" i="9"/>
  <c r="C109" i="9" s="1"/>
  <c r="H194" i="9"/>
  <c r="I195" i="9" s="1"/>
  <c r="AD22" i="9" s="1"/>
  <c r="L204" i="9"/>
  <c r="K222" i="9"/>
  <c r="I251" i="9"/>
  <c r="J251" i="9" s="1"/>
  <c r="G253" i="9"/>
  <c r="G254" i="9" s="1"/>
  <c r="L291" i="9"/>
  <c r="L432" i="9"/>
  <c r="I508" i="9"/>
  <c r="J508" i="9" s="1"/>
  <c r="I538" i="9"/>
  <c r="J538" i="9" s="1"/>
  <c r="K567" i="9"/>
  <c r="K17" i="9"/>
  <c r="K251" i="9"/>
  <c r="L317" i="9"/>
  <c r="D543" i="9"/>
  <c r="D544" i="9" s="1"/>
  <c r="H339" i="9"/>
  <c r="I340" i="9" s="1"/>
  <c r="AD27" i="9" s="1"/>
  <c r="H397" i="9"/>
  <c r="I398" i="9" s="1"/>
  <c r="AD29" i="9" s="1"/>
  <c r="K276" i="9"/>
  <c r="I336" i="9"/>
  <c r="J336" i="9" s="1"/>
  <c r="I509" i="9"/>
  <c r="J509" i="9" s="1"/>
  <c r="G297" i="9"/>
  <c r="K247" i="9"/>
  <c r="I277" i="9"/>
  <c r="J277" i="9" s="1"/>
  <c r="K421" i="9"/>
  <c r="L287" i="9"/>
  <c r="I337" i="9"/>
  <c r="J337" i="9" s="1"/>
  <c r="I364" i="9"/>
  <c r="J364" i="9" s="1"/>
  <c r="K510" i="9"/>
  <c r="K540" i="9"/>
  <c r="K219" i="9"/>
  <c r="K248" i="9"/>
  <c r="K305" i="9"/>
  <c r="K337" i="9"/>
  <c r="F485" i="9"/>
  <c r="F486" i="9" s="1"/>
  <c r="I510" i="9"/>
  <c r="J510" i="9" s="1"/>
  <c r="H542" i="9"/>
  <c r="I543" i="9" s="1"/>
  <c r="AD34" i="9" s="1"/>
  <c r="K569" i="9"/>
  <c r="G312" i="9"/>
  <c r="J481" i="9"/>
  <c r="N481" i="9"/>
  <c r="V182" i="9" s="1"/>
  <c r="L464" i="9"/>
  <c r="K453" i="9"/>
  <c r="I453" i="9"/>
  <c r="J453" i="9" s="1"/>
  <c r="I308" i="9"/>
  <c r="J308" i="9" s="1"/>
  <c r="K308" i="9"/>
  <c r="H310" i="9"/>
  <c r="I311" i="9" s="1"/>
  <c r="AD26" i="9" s="1"/>
  <c r="K334" i="9"/>
  <c r="I363" i="9"/>
  <c r="J363" i="9" s="1"/>
  <c r="F384" i="9"/>
  <c r="I394" i="9"/>
  <c r="J394" i="9" s="1"/>
  <c r="L405" i="9"/>
  <c r="K422" i="9"/>
  <c r="E573" i="9"/>
  <c r="L461" i="9"/>
  <c r="H455" i="9"/>
  <c r="I456" i="9" s="1"/>
  <c r="AD31" i="9" s="1"/>
  <c r="I309" i="9"/>
  <c r="J309" i="9" s="1"/>
  <c r="L345" i="9"/>
  <c r="D355" i="9"/>
  <c r="K395" i="9"/>
  <c r="I450" i="9"/>
  <c r="J450" i="9" s="1"/>
  <c r="D573" i="9"/>
  <c r="I335" i="9"/>
  <c r="J335" i="9" s="1"/>
  <c r="F311" i="9"/>
  <c r="E355" i="9"/>
  <c r="E500" i="9"/>
  <c r="C369" i="9"/>
  <c r="C384" i="9"/>
  <c r="E311" i="9"/>
  <c r="I307" i="9"/>
  <c r="J307" i="9" s="1"/>
  <c r="K309" i="9"/>
  <c r="K335" i="9"/>
  <c r="I338" i="9"/>
  <c r="J338" i="9" s="1"/>
  <c r="F355" i="9"/>
  <c r="L376" i="9"/>
  <c r="K396" i="9"/>
  <c r="L407" i="9"/>
  <c r="I396" i="9"/>
  <c r="K450" i="9"/>
  <c r="I392" i="9"/>
  <c r="J392" i="9" s="1"/>
  <c r="L403" i="9"/>
  <c r="L436" i="9"/>
  <c r="K425" i="9"/>
  <c r="K451" i="9"/>
  <c r="L462" i="9"/>
  <c r="I451" i="9"/>
  <c r="J451" i="9" s="1"/>
  <c r="G486" i="9"/>
  <c r="K423" i="9"/>
  <c r="I423" i="9"/>
  <c r="J423" i="9" s="1"/>
  <c r="K365" i="9"/>
  <c r="E369" i="9"/>
  <c r="I425" i="9"/>
  <c r="J425" i="9" s="1"/>
  <c r="C355" i="9"/>
  <c r="C340" i="9"/>
  <c r="E456" i="9"/>
  <c r="E471" i="9"/>
  <c r="H484" i="9"/>
  <c r="I485" i="9" s="1"/>
  <c r="AD32" i="9" s="1"/>
  <c r="K479" i="9"/>
  <c r="I479" i="9"/>
  <c r="J479" i="9" s="1"/>
  <c r="L377" i="9"/>
  <c r="K366" i="9"/>
  <c r="I366" i="9"/>
  <c r="J366" i="9" s="1"/>
  <c r="D370" i="9"/>
  <c r="F456" i="9"/>
  <c r="F471" i="9"/>
  <c r="K480" i="9"/>
  <c r="L491" i="9"/>
  <c r="I480" i="9"/>
  <c r="L490" i="9"/>
  <c r="G442" i="9"/>
  <c r="L523" i="9"/>
  <c r="I512" i="9"/>
  <c r="J512" i="9" s="1"/>
  <c r="K541" i="9"/>
  <c r="L552" i="9"/>
  <c r="K363" i="9"/>
  <c r="I367" i="9"/>
  <c r="J367" i="9" s="1"/>
  <c r="L378" i="9"/>
  <c r="D384" i="9"/>
  <c r="L406" i="9"/>
  <c r="E413" i="9"/>
  <c r="K452" i="9"/>
  <c r="C457" i="9"/>
  <c r="L492" i="9"/>
  <c r="K481" i="9"/>
  <c r="K512" i="9"/>
  <c r="I541" i="9"/>
  <c r="J541" i="9" s="1"/>
  <c r="K539" i="9"/>
  <c r="C572" i="9"/>
  <c r="F587" i="9"/>
  <c r="K570" i="9"/>
  <c r="G587" i="9"/>
  <c r="K364" i="9"/>
  <c r="K454" i="9"/>
  <c r="G471" i="9"/>
  <c r="C500" i="9"/>
  <c r="I540" i="9"/>
  <c r="J540" i="9" s="1"/>
  <c r="I570" i="9"/>
  <c r="J570" i="9" s="1"/>
  <c r="I424" i="9"/>
  <c r="J424" i="9" s="1"/>
  <c r="I454" i="9"/>
  <c r="J454" i="9" s="1"/>
  <c r="D500" i="9"/>
  <c r="K537" i="9"/>
  <c r="H426" i="9"/>
  <c r="I427" i="9" s="1"/>
  <c r="AD30" i="9" s="1"/>
  <c r="L550" i="9"/>
  <c r="L580" i="9"/>
  <c r="I569" i="9"/>
  <c r="J569" i="9" s="1"/>
  <c r="E196" i="9"/>
  <c r="N191" i="9"/>
  <c r="C196" i="9"/>
  <c r="D196" i="9"/>
  <c r="F167" i="9"/>
  <c r="G167" i="9"/>
  <c r="F196" i="9"/>
  <c r="J250" i="9"/>
  <c r="C225" i="9"/>
  <c r="D225" i="9"/>
  <c r="J276" i="9"/>
  <c r="G283" i="9"/>
  <c r="G196" i="9"/>
  <c r="G109" i="9"/>
  <c r="N106" i="9"/>
  <c r="X52" i="9" s="1"/>
  <c r="F283" i="9"/>
  <c r="I163" i="9"/>
  <c r="J163" i="9" s="1"/>
  <c r="K15" i="9"/>
  <c r="K105" i="9"/>
  <c r="E210" i="9"/>
  <c r="I220" i="9"/>
  <c r="J220" i="9" s="1"/>
  <c r="I279" i="9"/>
  <c r="J279" i="9" s="1"/>
  <c r="H20" i="9"/>
  <c r="I21" i="9" s="1"/>
  <c r="AD16" i="9" s="1"/>
  <c r="L26" i="9"/>
  <c r="F36" i="9"/>
  <c r="C65" i="9"/>
  <c r="K163" i="9"/>
  <c r="H165" i="9"/>
  <c r="I166" i="9" s="1"/>
  <c r="AD21" i="9" s="1"/>
  <c r="K189" i="9"/>
  <c r="L200" i="9"/>
  <c r="L201" i="9"/>
  <c r="L203" i="9"/>
  <c r="K279" i="9"/>
  <c r="H281" i="9"/>
  <c r="I282" i="9" s="1"/>
  <c r="AD25" i="9" s="1"/>
  <c r="I189" i="9"/>
  <c r="J189" i="9" s="1"/>
  <c r="K16" i="9"/>
  <c r="E65" i="9"/>
  <c r="I102" i="9"/>
  <c r="J102" i="9" s="1"/>
  <c r="K106" i="9"/>
  <c r="D137" i="9"/>
  <c r="I192" i="9"/>
  <c r="J192" i="9" s="1"/>
  <c r="G210" i="9"/>
  <c r="I218" i="9"/>
  <c r="J218" i="9" s="1"/>
  <c r="K220" i="9"/>
  <c r="D239" i="9"/>
  <c r="K132" i="9"/>
  <c r="I17" i="9"/>
  <c r="J17" i="9" s="1"/>
  <c r="L27" i="9"/>
  <c r="I164" i="9"/>
  <c r="J164" i="9" s="1"/>
  <c r="E166" i="9"/>
  <c r="I190" i="9"/>
  <c r="J190" i="9" s="1"/>
  <c r="K218" i="9"/>
  <c r="E225" i="9"/>
  <c r="L229" i="9"/>
  <c r="L230" i="9"/>
  <c r="L232" i="9"/>
  <c r="I280" i="9"/>
  <c r="J280" i="9" s="1"/>
  <c r="E282" i="9"/>
  <c r="J15" i="9"/>
  <c r="I77" i="9"/>
  <c r="J77" i="9" s="1"/>
  <c r="K103" i="9"/>
  <c r="L144" i="9"/>
  <c r="K249" i="9"/>
  <c r="K19" i="9"/>
  <c r="L28" i="9"/>
  <c r="L116" i="9"/>
  <c r="K133" i="9"/>
  <c r="I278" i="9"/>
  <c r="J278" i="9" s="1"/>
  <c r="I193" i="9"/>
  <c r="J193" i="9" s="1"/>
  <c r="I219" i="9"/>
  <c r="J219" i="9" s="1"/>
  <c r="L261" i="9"/>
  <c r="E137" i="9"/>
  <c r="E138" i="9" s="1"/>
  <c r="K47" i="9"/>
  <c r="H78" i="9"/>
  <c r="I79" i="9" s="1"/>
  <c r="AD18" i="9" s="1"/>
  <c r="I47" i="9"/>
  <c r="J47" i="9" s="1"/>
  <c r="K76" i="9"/>
  <c r="F22" i="9"/>
  <c r="F138" i="9"/>
  <c r="N135" i="9"/>
  <c r="X62" i="9" s="1"/>
  <c r="G138" i="9"/>
  <c r="G22" i="9"/>
  <c r="H49" i="9"/>
  <c r="I50" i="9" s="1"/>
  <c r="AD17" i="9" s="1"/>
  <c r="L55" i="9"/>
  <c r="K44" i="9"/>
  <c r="I44" i="9"/>
  <c r="J44" i="9" s="1"/>
  <c r="K18" i="9"/>
  <c r="I18" i="9"/>
  <c r="J18" i="9" s="1"/>
  <c r="E80" i="9"/>
  <c r="D36" i="9"/>
  <c r="D21" i="9"/>
  <c r="E21" i="9"/>
  <c r="E36" i="9"/>
  <c r="K48" i="9"/>
  <c r="G50" i="9"/>
  <c r="K74" i="9"/>
  <c r="D79" i="9"/>
  <c r="F152" i="9"/>
  <c r="G36" i="9"/>
  <c r="D65" i="9"/>
  <c r="N103" i="9"/>
  <c r="U52" i="9" s="1"/>
  <c r="D109" i="9"/>
  <c r="K77" i="9"/>
  <c r="H136" i="9"/>
  <c r="I137" i="9" s="1"/>
  <c r="AD20" i="9" s="1"/>
  <c r="K134" i="9"/>
  <c r="L142" i="9"/>
  <c r="L145" i="9"/>
  <c r="I16" i="9"/>
  <c r="J16" i="9" s="1"/>
  <c r="L56" i="9"/>
  <c r="L58" i="9"/>
  <c r="L59" i="9"/>
  <c r="F65" i="9"/>
  <c r="L86" i="9"/>
  <c r="I131" i="9"/>
  <c r="J131" i="9" s="1"/>
  <c r="I134" i="9"/>
  <c r="J134" i="9" s="1"/>
  <c r="I19" i="9"/>
  <c r="J19" i="9" s="1"/>
  <c r="I45" i="9"/>
  <c r="J45" i="9" s="1"/>
  <c r="K73" i="9"/>
  <c r="L84" i="9"/>
  <c r="L85" i="9"/>
  <c r="U288" i="9"/>
  <c r="U289" i="9" s="1"/>
  <c r="U287" i="9"/>
  <c r="K135" i="9"/>
  <c r="I76" i="9"/>
  <c r="J76" i="9" s="1"/>
  <c r="F80" i="9"/>
  <c r="V288" i="9"/>
  <c r="V289" i="9" s="1"/>
  <c r="V287" i="9"/>
  <c r="E108" i="9"/>
  <c r="E123" i="9"/>
  <c r="C137" i="9"/>
  <c r="C152" i="9"/>
  <c r="W288" i="9"/>
  <c r="W289" i="9" s="1"/>
  <c r="K104" i="9"/>
  <c r="X287" i="9"/>
  <c r="X288" i="9"/>
  <c r="X289" i="9" s="1"/>
  <c r="W287" i="9"/>
  <c r="C79" i="9"/>
  <c r="L143" i="9"/>
  <c r="L146" i="9"/>
  <c r="T287" i="9"/>
  <c r="D25" i="6"/>
  <c r="G24" i="6"/>
  <c r="F24" i="6"/>
  <c r="G23" i="6"/>
  <c r="F23" i="6"/>
  <c r="F22" i="6"/>
  <c r="G22" i="6" s="1"/>
  <c r="F21" i="6"/>
  <c r="G21" i="6" s="1"/>
  <c r="F20" i="6"/>
  <c r="F11" i="6"/>
  <c r="G11" i="6" s="1"/>
  <c r="F12" i="6"/>
  <c r="G12" i="6" s="1"/>
  <c r="F13" i="6"/>
  <c r="G13" i="6" s="1"/>
  <c r="F14" i="6"/>
  <c r="G14" i="6" s="1"/>
  <c r="F10" i="6"/>
  <c r="G10" i="6" s="1"/>
  <c r="D15" i="6"/>
  <c r="H211" i="27" l="1"/>
  <c r="H562" i="27"/>
  <c r="D211" i="27"/>
  <c r="D562" i="27"/>
  <c r="E211" i="27"/>
  <c r="E562" i="27"/>
  <c r="G211" i="27"/>
  <c r="G562" i="27"/>
  <c r="F562" i="27"/>
  <c r="F211" i="27"/>
  <c r="D115" i="27"/>
  <c r="D560" i="27"/>
  <c r="E115" i="27"/>
  <c r="E560" i="27"/>
  <c r="H115" i="27"/>
  <c r="H560" i="27"/>
  <c r="G115" i="27"/>
  <c r="G560" i="27"/>
  <c r="F115" i="27"/>
  <c r="F560" i="27"/>
  <c r="E19" i="27"/>
  <c r="E558" i="27"/>
  <c r="E539" i="27"/>
  <c r="E536" i="27"/>
  <c r="E537" i="27"/>
  <c r="E538" i="27"/>
  <c r="F19" i="27"/>
  <c r="F558" i="27"/>
  <c r="F539" i="27"/>
  <c r="F537" i="27"/>
  <c r="F536" i="27"/>
  <c r="F538" i="27"/>
  <c r="D19" i="27"/>
  <c r="D558" i="27"/>
  <c r="D536" i="27"/>
  <c r="D537" i="27"/>
  <c r="D539" i="27"/>
  <c r="D538" i="27"/>
  <c r="G19" i="27"/>
  <c r="G558" i="27"/>
  <c r="G538" i="27"/>
  <c r="G539" i="27"/>
  <c r="G537" i="27"/>
  <c r="G536" i="27"/>
  <c r="H19" i="27"/>
  <c r="H558" i="27"/>
  <c r="H536" i="27"/>
  <c r="H539" i="27"/>
  <c r="H538" i="27"/>
  <c r="H537" i="27"/>
  <c r="X224" i="14"/>
  <c r="D353" i="14"/>
  <c r="U129" i="14" s="1"/>
  <c r="E498" i="14"/>
  <c r="V179" i="14" s="1"/>
  <c r="G324" i="14"/>
  <c r="X119" i="14" s="1"/>
  <c r="G353" i="12"/>
  <c r="X129" i="12" s="1"/>
  <c r="F150" i="12"/>
  <c r="W59" i="12" s="1"/>
  <c r="N46" i="9"/>
  <c r="V32" i="9" s="1"/>
  <c r="C411" i="14"/>
  <c r="T149" i="14" s="1"/>
  <c r="D237" i="14"/>
  <c r="U89" i="14" s="1"/>
  <c r="G585" i="14"/>
  <c r="X209" i="14" s="1"/>
  <c r="E527" i="14"/>
  <c r="V189" i="14" s="1"/>
  <c r="E411" i="14"/>
  <c r="V149" i="14" s="1"/>
  <c r="F382" i="14"/>
  <c r="W139" i="14" s="1"/>
  <c r="C353" i="14"/>
  <c r="T129" i="14" s="1"/>
  <c r="E324" i="14"/>
  <c r="V119" i="14" s="1"/>
  <c r="D121" i="14"/>
  <c r="U49" i="14" s="1"/>
  <c r="AM102" i="12"/>
  <c r="AM112" i="12" s="1"/>
  <c r="E411" i="12"/>
  <c r="V149" i="12" s="1"/>
  <c r="D63" i="12"/>
  <c r="U29" i="12" s="1"/>
  <c r="AO102" i="14"/>
  <c r="AO112" i="14" s="1"/>
  <c r="AL102" i="14"/>
  <c r="AL112" i="14" s="1"/>
  <c r="D295" i="14"/>
  <c r="U109" i="14" s="1"/>
  <c r="E266" i="14"/>
  <c r="V99" i="14" s="1"/>
  <c r="F208" i="14"/>
  <c r="W79" i="14" s="1"/>
  <c r="E208" i="14"/>
  <c r="V79" i="14" s="1"/>
  <c r="D208" i="14"/>
  <c r="U79" i="14" s="1"/>
  <c r="J177" i="14"/>
  <c r="AF21" i="14" s="1"/>
  <c r="F179" i="14"/>
  <c r="W69" i="14" s="1"/>
  <c r="C179" i="14"/>
  <c r="T69" i="14" s="1"/>
  <c r="W223" i="14"/>
  <c r="P84" i="14"/>
  <c r="J90" i="14" s="1"/>
  <c r="AF18" i="14" s="1"/>
  <c r="AA275" i="14" s="1"/>
  <c r="C92" i="14"/>
  <c r="T39" i="14" s="1"/>
  <c r="G63" i="14"/>
  <c r="X29" i="14" s="1"/>
  <c r="E295" i="14"/>
  <c r="V109" i="14" s="1"/>
  <c r="C150" i="14"/>
  <c r="T59" i="14" s="1"/>
  <c r="D150" i="14"/>
  <c r="U59" i="14" s="1"/>
  <c r="C585" i="14"/>
  <c r="T209" i="14" s="1"/>
  <c r="F556" i="14"/>
  <c r="W199" i="14" s="1"/>
  <c r="C469" i="14"/>
  <c r="T169" i="14" s="1"/>
  <c r="F411" i="14"/>
  <c r="W149" i="14" s="1"/>
  <c r="C382" i="14"/>
  <c r="T139" i="14" s="1"/>
  <c r="F353" i="14"/>
  <c r="W129" i="14" s="1"/>
  <c r="C266" i="14"/>
  <c r="T99" i="14" s="1"/>
  <c r="D266" i="14"/>
  <c r="U99" i="14" s="1"/>
  <c r="E237" i="14"/>
  <c r="V89" i="14" s="1"/>
  <c r="G237" i="14"/>
  <c r="X89" i="14" s="1"/>
  <c r="F150" i="14"/>
  <c r="W59" i="14" s="1"/>
  <c r="E150" i="14"/>
  <c r="V59" i="14" s="1"/>
  <c r="X278" i="14"/>
  <c r="D92" i="14"/>
  <c r="U39" i="14" s="1"/>
  <c r="X221" i="14"/>
  <c r="G34" i="14"/>
  <c r="X19" i="14" s="1"/>
  <c r="BD20" i="14"/>
  <c r="E34" i="14"/>
  <c r="V19" i="14" s="1"/>
  <c r="F34" i="14"/>
  <c r="W19" i="14" s="1"/>
  <c r="BD15" i="14"/>
  <c r="D34" i="14"/>
  <c r="U19" i="14" s="1"/>
  <c r="C208" i="14"/>
  <c r="T79" i="14" s="1"/>
  <c r="AP102" i="14"/>
  <c r="AP112" i="14" s="1"/>
  <c r="C63" i="14"/>
  <c r="T29" i="14" s="1"/>
  <c r="BD19" i="14"/>
  <c r="BD23" i="14"/>
  <c r="U278" i="14"/>
  <c r="U221" i="14"/>
  <c r="T281" i="14"/>
  <c r="T223" i="14"/>
  <c r="BD21" i="14"/>
  <c r="BD16" i="14"/>
  <c r="T282" i="14"/>
  <c r="T283" i="14" s="1"/>
  <c r="T224" i="14"/>
  <c r="BD13" i="14"/>
  <c r="E92" i="14"/>
  <c r="V39" i="14" s="1"/>
  <c r="D63" i="14"/>
  <c r="U29" i="14" s="1"/>
  <c r="W278" i="14"/>
  <c r="W221" i="14"/>
  <c r="F266" i="14"/>
  <c r="W99" i="14" s="1"/>
  <c r="BD14" i="14"/>
  <c r="G353" i="14"/>
  <c r="X129" i="14" s="1"/>
  <c r="V291" i="14"/>
  <c r="V292" i="14" s="1"/>
  <c r="V290" i="14"/>
  <c r="V227" i="14"/>
  <c r="E556" i="14"/>
  <c r="V199" i="14" s="1"/>
  <c r="C34" i="14"/>
  <c r="T19" i="14" s="1"/>
  <c r="F237" i="14"/>
  <c r="W89" i="14" s="1"/>
  <c r="D324" i="14"/>
  <c r="U119" i="14" s="1"/>
  <c r="G469" i="14"/>
  <c r="X169" i="14" s="1"/>
  <c r="BD17" i="14"/>
  <c r="C324" i="14"/>
  <c r="T119" i="14" s="1"/>
  <c r="G411" i="14"/>
  <c r="X149" i="14" s="1"/>
  <c r="T278" i="14"/>
  <c r="T221" i="14"/>
  <c r="BD18" i="14"/>
  <c r="AM102" i="14"/>
  <c r="AM112" i="14" s="1"/>
  <c r="G556" i="14"/>
  <c r="X199" i="14" s="1"/>
  <c r="D382" i="14"/>
  <c r="U139" i="14" s="1"/>
  <c r="V221" i="14"/>
  <c r="V278" i="14"/>
  <c r="F92" i="14"/>
  <c r="W39" i="14" s="1"/>
  <c r="F324" i="14"/>
  <c r="W119" i="14" s="1"/>
  <c r="W227" i="14"/>
  <c r="W291" i="14"/>
  <c r="W292" i="14" s="1"/>
  <c r="W290" i="14"/>
  <c r="D556" i="14"/>
  <c r="U199" i="14" s="1"/>
  <c r="C527" i="14"/>
  <c r="T189" i="14" s="1"/>
  <c r="F295" i="14"/>
  <c r="W109" i="14" s="1"/>
  <c r="G121" i="14"/>
  <c r="X49" i="14" s="1"/>
  <c r="C237" i="14"/>
  <c r="T89" i="14" s="1"/>
  <c r="BD22" i="14"/>
  <c r="AA24" i="14"/>
  <c r="AN102" i="12"/>
  <c r="AN112" i="12" s="1"/>
  <c r="G25" i="6"/>
  <c r="AP102" i="12"/>
  <c r="AP112" i="12" s="1"/>
  <c r="C556" i="12"/>
  <c r="T199" i="12" s="1"/>
  <c r="F556" i="12"/>
  <c r="W199" i="12" s="1"/>
  <c r="E527" i="12"/>
  <c r="V189" i="12" s="1"/>
  <c r="E498" i="12"/>
  <c r="V179" i="12" s="1"/>
  <c r="G440" i="12"/>
  <c r="X159" i="12" s="1"/>
  <c r="D440" i="12"/>
  <c r="U159" i="12" s="1"/>
  <c r="C411" i="12"/>
  <c r="T149" i="12" s="1"/>
  <c r="D411" i="12"/>
  <c r="U149" i="12" s="1"/>
  <c r="C382" i="12"/>
  <c r="T139" i="12" s="1"/>
  <c r="G382" i="12"/>
  <c r="X139" i="12" s="1"/>
  <c r="C353" i="12"/>
  <c r="T129" i="12" s="1"/>
  <c r="E353" i="12"/>
  <c r="V129" i="12" s="1"/>
  <c r="F324" i="12"/>
  <c r="W119" i="12" s="1"/>
  <c r="G295" i="12"/>
  <c r="X109" i="12" s="1"/>
  <c r="F295" i="12"/>
  <c r="W109" i="12" s="1"/>
  <c r="P229" i="12"/>
  <c r="J235" i="12" s="1"/>
  <c r="AF23" i="12" s="1"/>
  <c r="E237" i="12"/>
  <c r="V89" i="12" s="1"/>
  <c r="C237" i="12"/>
  <c r="T89" i="12" s="1"/>
  <c r="E208" i="12"/>
  <c r="V79" i="12" s="1"/>
  <c r="D179" i="12"/>
  <c r="U69" i="12" s="1"/>
  <c r="E150" i="12"/>
  <c r="V59" i="12" s="1"/>
  <c r="F121" i="12"/>
  <c r="W49" i="12" s="1"/>
  <c r="F92" i="12"/>
  <c r="W39" i="12" s="1"/>
  <c r="W282" i="12"/>
  <c r="W283" i="12" s="1"/>
  <c r="G92" i="12"/>
  <c r="X39" i="12" s="1"/>
  <c r="W278" i="12"/>
  <c r="G63" i="12"/>
  <c r="X29" i="12" s="1"/>
  <c r="C527" i="12"/>
  <c r="T189" i="12" s="1"/>
  <c r="F527" i="12"/>
  <c r="W189" i="12" s="1"/>
  <c r="C498" i="12"/>
  <c r="T179" i="12" s="1"/>
  <c r="D382" i="12"/>
  <c r="U139" i="12" s="1"/>
  <c r="F382" i="12"/>
  <c r="W139" i="12" s="1"/>
  <c r="F353" i="12"/>
  <c r="W129" i="12" s="1"/>
  <c r="U221" i="12"/>
  <c r="E266" i="12"/>
  <c r="V99" i="12" s="1"/>
  <c r="W221" i="12"/>
  <c r="D266" i="12"/>
  <c r="U99" i="12" s="1"/>
  <c r="C208" i="12"/>
  <c r="T79" i="12" s="1"/>
  <c r="G179" i="12"/>
  <c r="X69" i="12" s="1"/>
  <c r="D150" i="12"/>
  <c r="U59" i="12" s="1"/>
  <c r="U279" i="12" s="1"/>
  <c r="U280" i="12" s="1"/>
  <c r="V221" i="12"/>
  <c r="V278" i="12"/>
  <c r="AA275" i="12"/>
  <c r="X221" i="12"/>
  <c r="X278" i="12"/>
  <c r="G34" i="12"/>
  <c r="X19" i="12" s="1"/>
  <c r="T278" i="12"/>
  <c r="T221" i="12"/>
  <c r="BD22" i="12"/>
  <c r="BD15" i="12"/>
  <c r="C324" i="12"/>
  <c r="T119" i="12" s="1"/>
  <c r="D208" i="12"/>
  <c r="U79" i="12" s="1"/>
  <c r="BD20" i="12"/>
  <c r="D585" i="12"/>
  <c r="U209" i="12" s="1"/>
  <c r="BD21" i="12"/>
  <c r="BD17" i="12"/>
  <c r="BD19" i="12"/>
  <c r="C469" i="12"/>
  <c r="T169" i="12" s="1"/>
  <c r="U290" i="12"/>
  <c r="U291" i="12"/>
  <c r="U292" i="12" s="1"/>
  <c r="U227" i="12"/>
  <c r="AA64" i="12"/>
  <c r="E324" i="12"/>
  <c r="V119" i="12" s="1"/>
  <c r="E92" i="12"/>
  <c r="V39" i="12" s="1"/>
  <c r="BD16" i="12"/>
  <c r="C440" i="12"/>
  <c r="T159" i="12" s="1"/>
  <c r="BD23" i="12"/>
  <c r="X291" i="12"/>
  <c r="X292" i="12" s="1"/>
  <c r="X227" i="12"/>
  <c r="X290" i="12"/>
  <c r="C585" i="12"/>
  <c r="T209" i="12" s="1"/>
  <c r="G585" i="12"/>
  <c r="X209" i="12" s="1"/>
  <c r="BD18" i="12"/>
  <c r="AA44" i="12"/>
  <c r="T227" i="12"/>
  <c r="T291" i="12"/>
  <c r="T292" i="12" s="1"/>
  <c r="T290" i="12"/>
  <c r="C179" i="12"/>
  <c r="T69" i="12" s="1"/>
  <c r="E556" i="12"/>
  <c r="V199" i="12" s="1"/>
  <c r="E63" i="12"/>
  <c r="V29" i="12" s="1"/>
  <c r="G266" i="12"/>
  <c r="X99" i="12" s="1"/>
  <c r="G150" i="12"/>
  <c r="X59" i="12" s="1"/>
  <c r="D295" i="12"/>
  <c r="U109" i="12" s="1"/>
  <c r="F266" i="12"/>
  <c r="W99" i="12" s="1"/>
  <c r="G527" i="12"/>
  <c r="X189" i="12" s="1"/>
  <c r="V290" i="12"/>
  <c r="V291" i="12"/>
  <c r="V292" i="12" s="1"/>
  <c r="V227" i="12"/>
  <c r="AA34" i="12"/>
  <c r="AO102" i="12"/>
  <c r="AO112" i="12" s="1"/>
  <c r="T223" i="12"/>
  <c r="F585" i="12"/>
  <c r="W209" i="12" s="1"/>
  <c r="E295" i="12"/>
  <c r="V109" i="12" s="1"/>
  <c r="T224" i="12"/>
  <c r="BD13" i="12"/>
  <c r="F208" i="12"/>
  <c r="W79" i="12" s="1"/>
  <c r="F498" i="12"/>
  <c r="W179" i="12" s="1"/>
  <c r="E469" i="12"/>
  <c r="V169" i="12" s="1"/>
  <c r="C63" i="12"/>
  <c r="T29" i="12" s="1"/>
  <c r="C92" i="12"/>
  <c r="T39" i="12" s="1"/>
  <c r="G469" i="12"/>
  <c r="X169" i="12" s="1"/>
  <c r="D324" i="12"/>
  <c r="U119" i="12" s="1"/>
  <c r="F440" i="12"/>
  <c r="W159" i="12" s="1"/>
  <c r="BD14" i="12"/>
  <c r="AN102" i="9"/>
  <c r="AN112" i="9" s="1"/>
  <c r="BI58" i="9"/>
  <c r="BL40" i="9" s="1"/>
  <c r="BI262" i="9"/>
  <c r="AA287" i="9"/>
  <c r="AO102" i="9"/>
  <c r="AO112" i="9" s="1"/>
  <c r="BI40" i="9"/>
  <c r="BJ57" i="9"/>
  <c r="AA288" i="9"/>
  <c r="C26" i="9"/>
  <c r="V82" i="9"/>
  <c r="C84" i="9"/>
  <c r="N567" i="9"/>
  <c r="U212" i="9" s="1"/>
  <c r="W92" i="9"/>
  <c r="G463" i="9"/>
  <c r="C30" i="9"/>
  <c r="F57" i="9"/>
  <c r="N393" i="9"/>
  <c r="U152" i="9" s="1"/>
  <c r="G465" i="9"/>
  <c r="D348" i="9"/>
  <c r="N75" i="9"/>
  <c r="V42" i="9" s="1"/>
  <c r="D29" i="9"/>
  <c r="E29" i="9"/>
  <c r="G173" i="9"/>
  <c r="F29" i="9"/>
  <c r="D172" i="9"/>
  <c r="N395" i="9"/>
  <c r="W152" i="9" s="1"/>
  <c r="D404" i="9"/>
  <c r="C173" i="9"/>
  <c r="F433" i="9"/>
  <c r="G519" i="9"/>
  <c r="F225" i="9"/>
  <c r="D433" i="9"/>
  <c r="D320" i="9"/>
  <c r="F30" i="9"/>
  <c r="G320" i="9"/>
  <c r="E30" i="9"/>
  <c r="N47" i="9"/>
  <c r="W32" i="9" s="1"/>
  <c r="F202" i="9"/>
  <c r="N306" i="9"/>
  <c r="F579" i="9"/>
  <c r="N421" i="9"/>
  <c r="T162" i="9" s="1"/>
  <c r="C433" i="9"/>
  <c r="G172" i="9"/>
  <c r="C317" i="9"/>
  <c r="E433" i="9"/>
  <c r="C172" i="9"/>
  <c r="D347" i="9"/>
  <c r="C57" i="9"/>
  <c r="F172" i="9"/>
  <c r="F434" i="9"/>
  <c r="F290" i="9"/>
  <c r="E290" i="9"/>
  <c r="D288" i="9"/>
  <c r="D374" i="9"/>
  <c r="G581" i="9"/>
  <c r="C579" i="9"/>
  <c r="D581" i="9"/>
  <c r="C522" i="9"/>
  <c r="D465" i="9"/>
  <c r="C347" i="9"/>
  <c r="F347" i="9"/>
  <c r="E347" i="9"/>
  <c r="C320" i="9"/>
  <c r="E320" i="9"/>
  <c r="D319" i="9"/>
  <c r="F319" i="9"/>
  <c r="D174" i="9"/>
  <c r="E544" i="9"/>
  <c r="E522" i="9"/>
  <c r="E519" i="9"/>
  <c r="N482" i="9"/>
  <c r="W182" i="9" s="1"/>
  <c r="N364" i="9"/>
  <c r="U142" i="9" s="1"/>
  <c r="O176" i="9"/>
  <c r="G174" i="9"/>
  <c r="F174" i="9"/>
  <c r="D171" i="9"/>
  <c r="G171" i="9"/>
  <c r="F171" i="9"/>
  <c r="C171" i="9"/>
  <c r="G29" i="9"/>
  <c r="N338" i="9"/>
  <c r="X132" i="9" s="1"/>
  <c r="D349" i="9"/>
  <c r="C434" i="9"/>
  <c r="C432" i="9"/>
  <c r="F519" i="9"/>
  <c r="G115" i="9"/>
  <c r="C290" i="9"/>
  <c r="E349" i="9"/>
  <c r="E434" i="9"/>
  <c r="D290" i="9"/>
  <c r="E581" i="9"/>
  <c r="E348" i="9"/>
  <c r="D434" i="9"/>
  <c r="E287" i="9"/>
  <c r="C316" i="9"/>
  <c r="N394" i="9"/>
  <c r="V152" i="9" s="1"/>
  <c r="E346" i="9"/>
  <c r="E175" i="9"/>
  <c r="E176" i="9" s="1"/>
  <c r="D144" i="9"/>
  <c r="G346" i="9"/>
  <c r="F549" i="9"/>
  <c r="E494" i="9"/>
  <c r="N161" i="9"/>
  <c r="U72" i="9" s="1"/>
  <c r="D30" i="9"/>
  <c r="C174" i="9"/>
  <c r="F578" i="9"/>
  <c r="E374" i="9"/>
  <c r="D202" i="9"/>
  <c r="G493" i="9"/>
  <c r="C374" i="9"/>
  <c r="N337" i="9"/>
  <c r="W132" i="9" s="1"/>
  <c r="F374" i="9"/>
  <c r="C581" i="9"/>
  <c r="N276" i="9"/>
  <c r="T112" i="9" s="1"/>
  <c r="D521" i="9"/>
  <c r="G349" i="9"/>
  <c r="D375" i="9"/>
  <c r="O524" i="9"/>
  <c r="D493" i="9"/>
  <c r="C493" i="9"/>
  <c r="E435" i="9"/>
  <c r="G288" i="9"/>
  <c r="E493" i="9"/>
  <c r="F494" i="9"/>
  <c r="N247" i="9"/>
  <c r="T102" i="9" s="1"/>
  <c r="F493" i="9"/>
  <c r="J105" i="9"/>
  <c r="C287" i="9"/>
  <c r="N508" i="9"/>
  <c r="T192" i="9" s="1"/>
  <c r="D494" i="9"/>
  <c r="F317" i="9"/>
  <c r="D173" i="9"/>
  <c r="G57" i="9"/>
  <c r="D26" i="9"/>
  <c r="F173" i="9"/>
  <c r="C465" i="9"/>
  <c r="E404" i="9"/>
  <c r="C319" i="9"/>
  <c r="E291" i="9"/>
  <c r="N222" i="9"/>
  <c r="C346" i="9"/>
  <c r="F204" i="9"/>
  <c r="F349" i="9"/>
  <c r="E465" i="9"/>
  <c r="N568" i="9"/>
  <c r="V212" i="9" s="1"/>
  <c r="F346" i="9"/>
  <c r="G319" i="9"/>
  <c r="O495" i="9"/>
  <c r="E26" i="9"/>
  <c r="N249" i="9"/>
  <c r="V102" i="9" s="1"/>
  <c r="C289" i="9"/>
  <c r="D519" i="9"/>
  <c r="G579" i="9"/>
  <c r="N422" i="9"/>
  <c r="U162" i="9" s="1"/>
  <c r="E117" i="9"/>
  <c r="O60" i="9"/>
  <c r="C204" i="9"/>
  <c r="C288" i="9"/>
  <c r="C521" i="9"/>
  <c r="D463" i="9"/>
  <c r="G435" i="9"/>
  <c r="O437" i="9"/>
  <c r="G522" i="9"/>
  <c r="F521" i="9"/>
  <c r="F288" i="9"/>
  <c r="N250" i="9"/>
  <c r="W102" i="9" s="1"/>
  <c r="D435" i="9"/>
  <c r="C463" i="9"/>
  <c r="N15" i="9"/>
  <c r="T22" i="9" s="1"/>
  <c r="D57" i="9"/>
  <c r="G28" i="9"/>
  <c r="D204" i="9"/>
  <c r="F435" i="9"/>
  <c r="F404" i="9"/>
  <c r="E463" i="9"/>
  <c r="F258" i="9"/>
  <c r="E113" i="9"/>
  <c r="G204" i="9"/>
  <c r="D579" i="9"/>
  <c r="C404" i="9"/>
  <c r="C519" i="9"/>
  <c r="E288" i="9"/>
  <c r="C113" i="9"/>
  <c r="E521" i="9"/>
  <c r="F522" i="9"/>
  <c r="O292" i="9"/>
  <c r="F114" i="9"/>
  <c r="N164" i="9"/>
  <c r="X72" i="9" s="1"/>
  <c r="N336" i="9"/>
  <c r="V132" i="9" s="1"/>
  <c r="N305" i="9"/>
  <c r="T122" i="9" s="1"/>
  <c r="O553" i="9"/>
  <c r="F27" i="9"/>
  <c r="G404" i="9"/>
  <c r="G289" i="9"/>
  <c r="D522" i="9"/>
  <c r="N569" i="9"/>
  <c r="W212" i="9" s="1"/>
  <c r="O379" i="9"/>
  <c r="G202" i="9"/>
  <c r="O466" i="9"/>
  <c r="G578" i="9"/>
  <c r="F548" i="9"/>
  <c r="G548" i="9"/>
  <c r="E548" i="9"/>
  <c r="C318" i="9"/>
  <c r="G291" i="9"/>
  <c r="G175" i="9"/>
  <c r="F289" i="9"/>
  <c r="O321" i="9"/>
  <c r="G494" i="9"/>
  <c r="C494" i="9"/>
  <c r="G316" i="9"/>
  <c r="E316" i="9"/>
  <c r="D316" i="9"/>
  <c r="F28" i="9"/>
  <c r="C202" i="9"/>
  <c r="C548" i="9"/>
  <c r="C549" i="9"/>
  <c r="F551" i="9"/>
  <c r="F515" i="9"/>
  <c r="N511" i="9"/>
  <c r="W192" i="9" s="1"/>
  <c r="C27" i="9"/>
  <c r="F287" i="9"/>
  <c r="E289" i="9"/>
  <c r="D549" i="9"/>
  <c r="F375" i="9"/>
  <c r="O582" i="9"/>
  <c r="G114" i="9"/>
  <c r="F175" i="9"/>
  <c r="G26" i="9"/>
  <c r="D548" i="9"/>
  <c r="E549" i="9"/>
  <c r="N392" i="9"/>
  <c r="T152" i="9" s="1"/>
  <c r="G317" i="9"/>
  <c r="E317" i="9"/>
  <c r="D317" i="9"/>
  <c r="E520" i="9"/>
  <c r="G520" i="9"/>
  <c r="F520" i="9"/>
  <c r="D520" i="9"/>
  <c r="F291" i="9"/>
  <c r="G27" i="9"/>
  <c r="D115" i="9"/>
  <c r="N102" i="9"/>
  <c r="T52" i="9" s="1"/>
  <c r="E204" i="9"/>
  <c r="D291" i="9"/>
  <c r="C260" i="9"/>
  <c r="N450" i="9"/>
  <c r="T172" i="9" s="1"/>
  <c r="F316" i="9"/>
  <c r="O408" i="9"/>
  <c r="D318" i="9"/>
  <c r="E318" i="9"/>
  <c r="G113" i="9"/>
  <c r="C28" i="9"/>
  <c r="E202" i="9"/>
  <c r="N277" i="9"/>
  <c r="U112" i="9" s="1"/>
  <c r="D289" i="9"/>
  <c r="G233" i="9"/>
  <c r="F259" i="9"/>
  <c r="O350" i="9"/>
  <c r="N483" i="9"/>
  <c r="X182" i="9" s="1"/>
  <c r="N251" i="9"/>
  <c r="X102" i="9" s="1"/>
  <c r="D175" i="9"/>
  <c r="F233" i="9"/>
  <c r="N190" i="9"/>
  <c r="U82" i="9" s="1"/>
  <c r="G259" i="9"/>
  <c r="C520" i="9"/>
  <c r="N512" i="9"/>
  <c r="X192" i="9" s="1"/>
  <c r="N479" i="9"/>
  <c r="T182" i="9" s="1"/>
  <c r="E551" i="9"/>
  <c r="C578" i="9"/>
  <c r="E432" i="9"/>
  <c r="G432" i="9"/>
  <c r="F432" i="9"/>
  <c r="D432" i="9"/>
  <c r="G549" i="9"/>
  <c r="N248" i="9"/>
  <c r="U102" i="9" s="1"/>
  <c r="E515" i="9"/>
  <c r="N510" i="9"/>
  <c r="V192" i="9" s="1"/>
  <c r="E28" i="9"/>
  <c r="N77" i="9"/>
  <c r="X42" i="9" s="1"/>
  <c r="D287" i="9"/>
  <c r="C175" i="9"/>
  <c r="D233" i="9"/>
  <c r="N541" i="9"/>
  <c r="X202" i="9" s="1"/>
  <c r="G551" i="9"/>
  <c r="C551" i="9"/>
  <c r="E375" i="9"/>
  <c r="D578" i="9"/>
  <c r="G348" i="9"/>
  <c r="F318" i="9"/>
  <c r="E57" i="9"/>
  <c r="C167" i="9"/>
  <c r="N160" i="9"/>
  <c r="T72" i="9" s="1"/>
  <c r="G577" i="9"/>
  <c r="E577" i="9"/>
  <c r="D577" i="9"/>
  <c r="C577" i="9"/>
  <c r="F577" i="9"/>
  <c r="E88" i="9"/>
  <c r="C291" i="9"/>
  <c r="D258" i="9"/>
  <c r="N538" i="9"/>
  <c r="U202" i="9" s="1"/>
  <c r="C375" i="9"/>
  <c r="N509" i="9"/>
  <c r="U192" i="9" s="1"/>
  <c r="N454" i="9"/>
  <c r="X172" i="9" s="1"/>
  <c r="G287" i="9"/>
  <c r="C348" i="9"/>
  <c r="G464" i="9"/>
  <c r="F464" i="9"/>
  <c r="D464" i="9"/>
  <c r="C464" i="9"/>
  <c r="E464" i="9"/>
  <c r="F523" i="9"/>
  <c r="E523" i="9"/>
  <c r="D523" i="9"/>
  <c r="C523" i="9"/>
  <c r="G523" i="9"/>
  <c r="N334" i="9"/>
  <c r="T132" i="9" s="1"/>
  <c r="C341" i="9"/>
  <c r="E370" i="9"/>
  <c r="N365" i="9"/>
  <c r="V142" i="9" s="1"/>
  <c r="G345" i="9"/>
  <c r="E345" i="9"/>
  <c r="D345" i="9"/>
  <c r="F345" i="9"/>
  <c r="C345" i="9"/>
  <c r="E492" i="9"/>
  <c r="D492" i="9"/>
  <c r="F492" i="9"/>
  <c r="G492" i="9"/>
  <c r="C492" i="9"/>
  <c r="N425" i="9"/>
  <c r="X162" i="9" s="1"/>
  <c r="N367" i="9"/>
  <c r="X142" i="9" s="1"/>
  <c r="G550" i="9"/>
  <c r="F550" i="9"/>
  <c r="E550" i="9"/>
  <c r="C550" i="9"/>
  <c r="D550" i="9"/>
  <c r="C403" i="9"/>
  <c r="G403" i="9"/>
  <c r="F403" i="9"/>
  <c r="E403" i="9"/>
  <c r="D403" i="9"/>
  <c r="E490" i="9"/>
  <c r="D490" i="9"/>
  <c r="G490" i="9"/>
  <c r="F490" i="9"/>
  <c r="C490" i="9"/>
  <c r="D376" i="9"/>
  <c r="F376" i="9"/>
  <c r="C376" i="9"/>
  <c r="E376" i="9"/>
  <c r="G376" i="9"/>
  <c r="N335" i="9"/>
  <c r="U132" i="9" s="1"/>
  <c r="N309" i="9"/>
  <c r="F406" i="9"/>
  <c r="D406" i="9"/>
  <c r="C406" i="9"/>
  <c r="G406" i="9"/>
  <c r="E406" i="9"/>
  <c r="N540" i="9"/>
  <c r="W202" i="9" s="1"/>
  <c r="J480" i="9"/>
  <c r="N480" i="9"/>
  <c r="U182" i="9" s="1"/>
  <c r="E377" i="9"/>
  <c r="D377" i="9"/>
  <c r="F377" i="9"/>
  <c r="C377" i="9"/>
  <c r="G377" i="9"/>
  <c r="N451" i="9"/>
  <c r="U172" i="9" s="1"/>
  <c r="G462" i="9"/>
  <c r="F462" i="9"/>
  <c r="E462" i="9"/>
  <c r="D462" i="9"/>
  <c r="C462" i="9"/>
  <c r="N423" i="9"/>
  <c r="V162" i="9" s="1"/>
  <c r="C370" i="9"/>
  <c r="N363" i="9"/>
  <c r="T142" i="9" s="1"/>
  <c r="G407" i="9"/>
  <c r="E407" i="9"/>
  <c r="D407" i="9"/>
  <c r="C407" i="9"/>
  <c r="F407" i="9"/>
  <c r="E312" i="9"/>
  <c r="N307" i="9"/>
  <c r="N570" i="9"/>
  <c r="X212" i="9" s="1"/>
  <c r="G580" i="9"/>
  <c r="F580" i="9"/>
  <c r="E580" i="9"/>
  <c r="D580" i="9"/>
  <c r="C580" i="9"/>
  <c r="F552" i="9"/>
  <c r="C552" i="9"/>
  <c r="G552" i="9"/>
  <c r="E552" i="9"/>
  <c r="D552" i="9"/>
  <c r="E491" i="9"/>
  <c r="D491" i="9"/>
  <c r="G491" i="9"/>
  <c r="C491" i="9"/>
  <c r="F491" i="9"/>
  <c r="N366" i="9"/>
  <c r="W142" i="9" s="1"/>
  <c r="E378" i="9"/>
  <c r="D378" i="9"/>
  <c r="C378" i="9"/>
  <c r="G378" i="9"/>
  <c r="F378" i="9"/>
  <c r="E457" i="9"/>
  <c r="N452" i="9"/>
  <c r="V172" i="9" s="1"/>
  <c r="N396" i="9"/>
  <c r="X152" i="9" s="1"/>
  <c r="J396" i="9"/>
  <c r="F312" i="9"/>
  <c r="N308" i="9"/>
  <c r="N566" i="9"/>
  <c r="T212" i="9" s="1"/>
  <c r="C573" i="9"/>
  <c r="F457" i="9"/>
  <c r="N453" i="9"/>
  <c r="W172" i="9" s="1"/>
  <c r="F436" i="9"/>
  <c r="D436" i="9"/>
  <c r="C436" i="9"/>
  <c r="G436" i="9"/>
  <c r="E436" i="9"/>
  <c r="G461" i="9"/>
  <c r="D461" i="9"/>
  <c r="E461" i="9"/>
  <c r="F461" i="9"/>
  <c r="C461" i="9"/>
  <c r="E405" i="9"/>
  <c r="C405" i="9"/>
  <c r="D405" i="9"/>
  <c r="F405" i="9"/>
  <c r="G405" i="9"/>
  <c r="N424" i="9"/>
  <c r="W162" i="9" s="1"/>
  <c r="N162" i="9"/>
  <c r="E167" i="9"/>
  <c r="N218" i="9"/>
  <c r="T92" i="9" s="1"/>
  <c r="G258" i="9"/>
  <c r="D260" i="9"/>
  <c r="D28" i="9"/>
  <c r="C114" i="9"/>
  <c r="D27" i="9"/>
  <c r="F26" i="9"/>
  <c r="O234" i="9"/>
  <c r="E230" i="9"/>
  <c r="D230" i="9"/>
  <c r="C230" i="9"/>
  <c r="G230" i="9"/>
  <c r="F230" i="9"/>
  <c r="N163" i="9"/>
  <c r="W72" i="9" s="1"/>
  <c r="E260" i="9"/>
  <c r="N189" i="9"/>
  <c r="T82" i="9" s="1"/>
  <c r="N133" i="9"/>
  <c r="C261" i="9"/>
  <c r="G261" i="9"/>
  <c r="D261" i="9"/>
  <c r="F261" i="9"/>
  <c r="E261" i="9"/>
  <c r="E232" i="9"/>
  <c r="D232" i="9"/>
  <c r="C232" i="9"/>
  <c r="F232" i="9"/>
  <c r="G232" i="9"/>
  <c r="E229" i="9"/>
  <c r="D229" i="9"/>
  <c r="C229" i="9"/>
  <c r="F229" i="9"/>
  <c r="G229" i="9"/>
  <c r="N193" i="9"/>
  <c r="G231" i="9"/>
  <c r="F260" i="9"/>
  <c r="E27" i="9"/>
  <c r="N279" i="9"/>
  <c r="W112" i="9" s="1"/>
  <c r="F231" i="9"/>
  <c r="C116" i="9"/>
  <c r="N280" i="9"/>
  <c r="X112" i="9" s="1"/>
  <c r="C233" i="9"/>
  <c r="D231" i="9"/>
  <c r="E114" i="9"/>
  <c r="C231" i="9"/>
  <c r="D114" i="9"/>
  <c r="D262" i="9"/>
  <c r="O31" i="9"/>
  <c r="G203" i="9"/>
  <c r="F203" i="9"/>
  <c r="E203" i="9"/>
  <c r="D203" i="9"/>
  <c r="C203" i="9"/>
  <c r="F262" i="9"/>
  <c r="D259" i="9"/>
  <c r="N278" i="9"/>
  <c r="V112" i="9" s="1"/>
  <c r="E283" i="9"/>
  <c r="N132" i="9"/>
  <c r="U62" i="9" s="1"/>
  <c r="D138" i="9"/>
  <c r="C88" i="9"/>
  <c r="O263" i="9"/>
  <c r="G201" i="9"/>
  <c r="F201" i="9"/>
  <c r="E201" i="9"/>
  <c r="D201" i="9"/>
  <c r="C201" i="9"/>
  <c r="G262" i="9"/>
  <c r="F113" i="9"/>
  <c r="E115" i="9"/>
  <c r="O205" i="9"/>
  <c r="G200" i="9"/>
  <c r="F200" i="9"/>
  <c r="E200" i="9"/>
  <c r="D200" i="9"/>
  <c r="C200" i="9"/>
  <c r="C262" i="9"/>
  <c r="N219" i="9"/>
  <c r="U92" i="9" s="1"/>
  <c r="E258" i="9"/>
  <c r="N192" i="9"/>
  <c r="N220" i="9"/>
  <c r="C259" i="9"/>
  <c r="D143" i="9"/>
  <c r="C143" i="9"/>
  <c r="G143" i="9"/>
  <c r="F143" i="9"/>
  <c r="E143" i="9"/>
  <c r="F144" i="9"/>
  <c r="E144" i="9"/>
  <c r="C144" i="9"/>
  <c r="G116" i="9"/>
  <c r="G117" i="9"/>
  <c r="N17" i="9"/>
  <c r="V22" i="9" s="1"/>
  <c r="E22" i="9"/>
  <c r="N134" i="9"/>
  <c r="W62" i="9" s="1"/>
  <c r="O89" i="9"/>
  <c r="G58" i="9"/>
  <c r="F58" i="9"/>
  <c r="E58" i="9"/>
  <c r="D58" i="9"/>
  <c r="C58" i="9"/>
  <c r="N44" i="9"/>
  <c r="T32" i="9" s="1"/>
  <c r="E87" i="9"/>
  <c r="G59" i="9"/>
  <c r="F59" i="9"/>
  <c r="E59" i="9"/>
  <c r="D59" i="9"/>
  <c r="C59" i="9"/>
  <c r="N45" i="9"/>
  <c r="U32" i="9" s="1"/>
  <c r="D87" i="9"/>
  <c r="N131" i="9"/>
  <c r="T62" i="9" s="1"/>
  <c r="C138" i="9"/>
  <c r="N73" i="9"/>
  <c r="T42" i="9" s="1"/>
  <c r="C80" i="9"/>
  <c r="C117" i="9"/>
  <c r="D85" i="9"/>
  <c r="C85" i="9"/>
  <c r="G85" i="9"/>
  <c r="E85" i="9"/>
  <c r="F85" i="9"/>
  <c r="O147" i="9"/>
  <c r="G56" i="9"/>
  <c r="F56" i="9"/>
  <c r="E56" i="9"/>
  <c r="D56" i="9"/>
  <c r="C56" i="9"/>
  <c r="F87" i="9"/>
  <c r="D116" i="9"/>
  <c r="D84" i="9"/>
  <c r="G84" i="9"/>
  <c r="E84" i="9"/>
  <c r="F84" i="9"/>
  <c r="D80" i="9"/>
  <c r="N74" i="9"/>
  <c r="U42" i="9" s="1"/>
  <c r="G55" i="9"/>
  <c r="F55" i="9"/>
  <c r="E55" i="9"/>
  <c r="D55" i="9"/>
  <c r="C55" i="9"/>
  <c r="N19" i="9"/>
  <c r="X22" i="9" s="1"/>
  <c r="C87" i="9"/>
  <c r="N16" i="9"/>
  <c r="U22" i="9" s="1"/>
  <c r="D22" i="9"/>
  <c r="D145" i="9"/>
  <c r="C145" i="9"/>
  <c r="F145" i="9"/>
  <c r="E145" i="9"/>
  <c r="G145" i="9"/>
  <c r="D142" i="9"/>
  <c r="C142" i="9"/>
  <c r="F142" i="9"/>
  <c r="E142" i="9"/>
  <c r="G142" i="9"/>
  <c r="D117" i="9"/>
  <c r="G88" i="9"/>
  <c r="E86" i="9"/>
  <c r="D86" i="9"/>
  <c r="C86" i="9"/>
  <c r="F86" i="9"/>
  <c r="G86" i="9"/>
  <c r="N76" i="9"/>
  <c r="W42" i="9" s="1"/>
  <c r="F88" i="9"/>
  <c r="N18" i="9"/>
  <c r="W22" i="9" s="1"/>
  <c r="G51" i="9"/>
  <c r="N48" i="9"/>
  <c r="X32" i="9" s="1"/>
  <c r="C115" i="9"/>
  <c r="N104" i="9"/>
  <c r="V52" i="9" s="1"/>
  <c r="E109" i="9"/>
  <c r="O118" i="9"/>
  <c r="G144" i="9"/>
  <c r="D146" i="9"/>
  <c r="C146" i="9"/>
  <c r="E146" i="9"/>
  <c r="G146" i="9"/>
  <c r="F146" i="9"/>
  <c r="F116" i="9"/>
  <c r="F117" i="9"/>
  <c r="E116" i="9"/>
  <c r="G15" i="6"/>
  <c r="H10" i="6" s="1"/>
  <c r="W279" i="12" l="1"/>
  <c r="W280" i="12" s="1"/>
  <c r="U279" i="14"/>
  <c r="U280" i="14" s="1"/>
  <c r="V279" i="14"/>
  <c r="V280" i="14" s="1"/>
  <c r="X222" i="14"/>
  <c r="W279" i="14"/>
  <c r="W280" i="14" s="1"/>
  <c r="AA290" i="14"/>
  <c r="V222" i="14"/>
  <c r="U222" i="14"/>
  <c r="W222" i="14"/>
  <c r="T279" i="14"/>
  <c r="T280" i="14" s="1"/>
  <c r="T222" i="14"/>
  <c r="X279" i="14"/>
  <c r="X280" i="14" s="1"/>
  <c r="W222" i="12"/>
  <c r="U222" i="12"/>
  <c r="X222" i="12"/>
  <c r="V279" i="12"/>
  <c r="V280" i="12" s="1"/>
  <c r="V222" i="12"/>
  <c r="T279" i="12"/>
  <c r="T280" i="12" s="1"/>
  <c r="T222" i="12"/>
  <c r="X279" i="12"/>
  <c r="X280" i="12" s="1"/>
  <c r="AA290" i="12"/>
  <c r="BI39" i="9"/>
  <c r="BJ39" i="9" s="1"/>
  <c r="BJ58" i="9"/>
  <c r="BI42" i="9"/>
  <c r="BJ42" i="9" s="1"/>
  <c r="BI52" i="9"/>
  <c r="BJ52" i="9" s="1"/>
  <c r="BI41" i="9"/>
  <c r="BJ41" i="9" s="1"/>
  <c r="BI45" i="9"/>
  <c r="BJ45" i="9" s="1"/>
  <c r="BI55" i="9"/>
  <c r="BJ55" i="9" s="1"/>
  <c r="BI43" i="9"/>
  <c r="BJ43" i="9" s="1"/>
  <c r="BI46" i="9"/>
  <c r="BJ46" i="9" s="1"/>
  <c r="BI44" i="9"/>
  <c r="BJ44" i="9" s="1"/>
  <c r="BI56" i="9"/>
  <c r="BJ56" i="9" s="1"/>
  <c r="BI53" i="9"/>
  <c r="BJ53" i="9" s="1"/>
  <c r="BI54" i="9"/>
  <c r="BJ54" i="9" s="1"/>
  <c r="BI51" i="9"/>
  <c r="BJ51" i="9" s="1"/>
  <c r="BI50" i="9"/>
  <c r="BJ50" i="9" s="1"/>
  <c r="BI49" i="9"/>
  <c r="BJ49" i="9" s="1"/>
  <c r="BI48" i="9"/>
  <c r="BJ48" i="9" s="1"/>
  <c r="BI47" i="9"/>
  <c r="BJ47" i="9" s="1"/>
  <c r="BJ40" i="9"/>
  <c r="T225" i="9"/>
  <c r="X122" i="9"/>
  <c r="W122" i="9"/>
  <c r="U122" i="9"/>
  <c r="U225" i="9" s="1"/>
  <c r="V122" i="9"/>
  <c r="V62" i="9"/>
  <c r="V285" i="9" s="1"/>
  <c r="V286" i="9" s="1"/>
  <c r="X82" i="9"/>
  <c r="V72" i="9"/>
  <c r="V92" i="9"/>
  <c r="W82" i="9"/>
  <c r="X92" i="9"/>
  <c r="H29" i="9"/>
  <c r="I29" i="9" s="1"/>
  <c r="K29" i="9" s="1"/>
  <c r="P29" i="9" s="1"/>
  <c r="H30" i="9"/>
  <c r="I30" i="9" s="1"/>
  <c r="J30" i="9" s="1"/>
  <c r="X21" i="9" s="1"/>
  <c r="H172" i="9"/>
  <c r="I172" i="9" s="1"/>
  <c r="U70" i="9" s="1"/>
  <c r="H320" i="9"/>
  <c r="I320" i="9" s="1"/>
  <c r="H290" i="9"/>
  <c r="I290" i="9" s="1"/>
  <c r="H433" i="9"/>
  <c r="I433" i="9" s="1"/>
  <c r="H581" i="9"/>
  <c r="I581" i="9" s="1"/>
  <c r="X210" i="9" s="1"/>
  <c r="D31" i="9"/>
  <c r="U16" i="9" s="1"/>
  <c r="H57" i="9"/>
  <c r="I57" i="9" s="1"/>
  <c r="J57" i="9" s="1"/>
  <c r="V31" i="9" s="1"/>
  <c r="H347" i="9"/>
  <c r="I347" i="9" s="1"/>
  <c r="C32" i="9"/>
  <c r="T17" i="9" s="1"/>
  <c r="D119" i="9"/>
  <c r="G32" i="9"/>
  <c r="X17" i="9" s="1"/>
  <c r="H171" i="9"/>
  <c r="H494" i="9"/>
  <c r="I494" i="9" s="1"/>
  <c r="F321" i="9"/>
  <c r="G176" i="9"/>
  <c r="G178" i="9" s="1"/>
  <c r="E582" i="9"/>
  <c r="H434" i="9"/>
  <c r="I434" i="9" s="1"/>
  <c r="H432" i="9"/>
  <c r="H374" i="9"/>
  <c r="H375" i="9"/>
  <c r="I375" i="9" s="1"/>
  <c r="C292" i="9"/>
  <c r="C176" i="9"/>
  <c r="C178" i="9" s="1"/>
  <c r="H173" i="9"/>
  <c r="I173" i="9" s="1"/>
  <c r="D176" i="9"/>
  <c r="D178" i="9" s="1"/>
  <c r="E178" i="9"/>
  <c r="V66" i="9"/>
  <c r="V74" i="9" s="1"/>
  <c r="V236" i="9" s="1"/>
  <c r="H174" i="9"/>
  <c r="I174" i="9" s="1"/>
  <c r="W70" i="9" s="1"/>
  <c r="C177" i="9"/>
  <c r="T67" i="9" s="1"/>
  <c r="T75" i="9" s="1"/>
  <c r="E177" i="9"/>
  <c r="V67" i="9" s="1"/>
  <c r="V75" i="9" s="1"/>
  <c r="C321" i="9"/>
  <c r="H521" i="9"/>
  <c r="I521" i="9" s="1"/>
  <c r="H319" i="9"/>
  <c r="I319" i="9" s="1"/>
  <c r="K319" i="9" s="1"/>
  <c r="P319" i="9" s="1"/>
  <c r="H465" i="9"/>
  <c r="I465" i="9" s="1"/>
  <c r="G438" i="9"/>
  <c r="X157" i="9" s="1"/>
  <c r="X165" i="9" s="1"/>
  <c r="F177" i="9"/>
  <c r="W67" i="9" s="1"/>
  <c r="W75" i="9" s="1"/>
  <c r="G177" i="9"/>
  <c r="X67" i="9" s="1"/>
  <c r="X75" i="9" s="1"/>
  <c r="E524" i="9"/>
  <c r="H463" i="9"/>
  <c r="I463" i="9" s="1"/>
  <c r="H435" i="9"/>
  <c r="I435" i="9" s="1"/>
  <c r="C524" i="9"/>
  <c r="D525" i="9"/>
  <c r="U187" i="9" s="1"/>
  <c r="U195" i="9" s="1"/>
  <c r="F293" i="9"/>
  <c r="W107" i="9" s="1"/>
  <c r="W115" i="9" s="1"/>
  <c r="H579" i="9"/>
  <c r="I579" i="9" s="1"/>
  <c r="H493" i="9"/>
  <c r="I493" i="9" s="1"/>
  <c r="W180" i="9" s="1"/>
  <c r="H519" i="9"/>
  <c r="I519" i="9" s="1"/>
  <c r="H346" i="9"/>
  <c r="I346" i="9" s="1"/>
  <c r="G31" i="9"/>
  <c r="X16" i="9" s="1"/>
  <c r="H349" i="9"/>
  <c r="I349" i="9" s="1"/>
  <c r="X130" i="9" s="1"/>
  <c r="G379" i="9"/>
  <c r="D206" i="9"/>
  <c r="U77" i="9" s="1"/>
  <c r="U85" i="9" s="1"/>
  <c r="F176" i="9"/>
  <c r="E525" i="9"/>
  <c r="V187" i="9" s="1"/>
  <c r="V195" i="9" s="1"/>
  <c r="H551" i="9"/>
  <c r="I551" i="9" s="1"/>
  <c r="F90" i="9"/>
  <c r="C31" i="9"/>
  <c r="D582" i="9"/>
  <c r="G264" i="9"/>
  <c r="X97" i="9" s="1"/>
  <c r="X105" i="9" s="1"/>
  <c r="H491" i="9"/>
  <c r="I491" i="9" s="1"/>
  <c r="U180" i="9" s="1"/>
  <c r="G583" i="9"/>
  <c r="X207" i="9" s="1"/>
  <c r="X215" i="9" s="1"/>
  <c r="H287" i="9"/>
  <c r="I287" i="9" s="1"/>
  <c r="T110" i="9" s="1"/>
  <c r="H404" i="9"/>
  <c r="I404" i="9" s="1"/>
  <c r="G119" i="9"/>
  <c r="X47" i="9" s="1"/>
  <c r="X55" i="9" s="1"/>
  <c r="C293" i="9"/>
  <c r="T107" i="9" s="1"/>
  <c r="T115" i="9" s="1"/>
  <c r="F438" i="9"/>
  <c r="W157" i="9" s="1"/>
  <c r="W165" i="9" s="1"/>
  <c r="H27" i="9"/>
  <c r="I27" i="9" s="1"/>
  <c r="K27" i="9" s="1"/>
  <c r="P27" i="9" s="1"/>
  <c r="D380" i="9"/>
  <c r="U137" i="9" s="1"/>
  <c r="U145" i="9" s="1"/>
  <c r="H291" i="9"/>
  <c r="I291" i="9" s="1"/>
  <c r="G321" i="9"/>
  <c r="H316" i="9"/>
  <c r="H288" i="9"/>
  <c r="I288" i="9" s="1"/>
  <c r="G437" i="9"/>
  <c r="D553" i="9"/>
  <c r="G292" i="9"/>
  <c r="H348" i="9"/>
  <c r="I348" i="9" s="1"/>
  <c r="E292" i="9"/>
  <c r="C264" i="9"/>
  <c r="T97" i="9" s="1"/>
  <c r="T105" i="9" s="1"/>
  <c r="E31" i="9"/>
  <c r="V16" i="9" s="1"/>
  <c r="H175" i="9"/>
  <c r="I175" i="9" s="1"/>
  <c r="X70" i="9" s="1"/>
  <c r="D438" i="9"/>
  <c r="U157" i="9" s="1"/>
  <c r="U165" i="9" s="1"/>
  <c r="D554" i="9"/>
  <c r="U197" i="9" s="1"/>
  <c r="U205" i="9" s="1"/>
  <c r="H578" i="9"/>
  <c r="I578" i="9" s="1"/>
  <c r="U210" i="9" s="1"/>
  <c r="H204" i="9"/>
  <c r="I204" i="9" s="1"/>
  <c r="D322" i="9"/>
  <c r="U117" i="9" s="1"/>
  <c r="U125" i="9" s="1"/>
  <c r="H548" i="9"/>
  <c r="I548" i="9" s="1"/>
  <c r="H522" i="9"/>
  <c r="I522" i="9" s="1"/>
  <c r="W190" i="9" s="1"/>
  <c r="E118" i="9"/>
  <c r="V46" i="9" s="1"/>
  <c r="V54" i="9" s="1"/>
  <c r="V234" i="9" s="1"/>
  <c r="C322" i="9"/>
  <c r="T117" i="9" s="1"/>
  <c r="T125" i="9" s="1"/>
  <c r="D583" i="9"/>
  <c r="U207" i="9" s="1"/>
  <c r="U215" i="9" s="1"/>
  <c r="E206" i="9"/>
  <c r="V77" i="9" s="1"/>
  <c r="V85" i="9" s="1"/>
  <c r="F205" i="9"/>
  <c r="H233" i="9"/>
  <c r="I233" i="9" s="1"/>
  <c r="D177" i="9"/>
  <c r="U67" i="9" s="1"/>
  <c r="U75" i="9" s="1"/>
  <c r="H462" i="9"/>
  <c r="I462" i="9" s="1"/>
  <c r="U170" i="9" s="1"/>
  <c r="D379" i="9"/>
  <c r="G235" i="9"/>
  <c r="X87" i="9" s="1"/>
  <c r="X95" i="9" s="1"/>
  <c r="E583" i="9"/>
  <c r="V207" i="9" s="1"/>
  <c r="V215" i="9" s="1"/>
  <c r="D321" i="9"/>
  <c r="G293" i="9"/>
  <c r="X107" i="9" s="1"/>
  <c r="X115" i="9" s="1"/>
  <c r="F235" i="9"/>
  <c r="W87" i="9" s="1"/>
  <c r="W95" i="9" s="1"/>
  <c r="H113" i="9"/>
  <c r="H58" i="9"/>
  <c r="I58" i="9" s="1"/>
  <c r="F379" i="9"/>
  <c r="F264" i="9"/>
  <c r="W97" i="9" s="1"/>
  <c r="W105" i="9" s="1"/>
  <c r="H317" i="9"/>
  <c r="I317" i="9" s="1"/>
  <c r="F380" i="9"/>
  <c r="W137" i="9" s="1"/>
  <c r="W145" i="9" s="1"/>
  <c r="H202" i="9"/>
  <c r="I202" i="9" s="1"/>
  <c r="H289" i="9"/>
  <c r="I289" i="9" s="1"/>
  <c r="V110" i="9" s="1"/>
  <c r="H376" i="9"/>
  <c r="D292" i="9"/>
  <c r="E321" i="9"/>
  <c r="E322" i="9"/>
  <c r="V117" i="9" s="1"/>
  <c r="V125" i="9" s="1"/>
  <c r="G148" i="9"/>
  <c r="X57" i="9" s="1"/>
  <c r="X65" i="9" s="1"/>
  <c r="H377" i="9"/>
  <c r="I377" i="9" s="1"/>
  <c r="W140" i="9" s="1"/>
  <c r="F292" i="9"/>
  <c r="D293" i="9"/>
  <c r="U107" i="9" s="1"/>
  <c r="U115" i="9" s="1"/>
  <c r="H28" i="9"/>
  <c r="I28" i="9" s="1"/>
  <c r="J28" i="9" s="1"/>
  <c r="V21" i="9" s="1"/>
  <c r="E380" i="9"/>
  <c r="V137" i="9" s="1"/>
  <c r="V145" i="9" s="1"/>
  <c r="H378" i="9"/>
  <c r="I378" i="9" s="1"/>
  <c r="X140" i="9" s="1"/>
  <c r="G322" i="9"/>
  <c r="X117" i="9" s="1"/>
  <c r="X125" i="9" s="1"/>
  <c r="H260" i="9"/>
  <c r="I260" i="9" s="1"/>
  <c r="V100" i="9" s="1"/>
  <c r="E379" i="9"/>
  <c r="G205" i="9"/>
  <c r="H577" i="9"/>
  <c r="E32" i="9"/>
  <c r="V17" i="9" s="1"/>
  <c r="D147" i="9"/>
  <c r="U56" i="9" s="1"/>
  <c r="U64" i="9" s="1"/>
  <c r="U235" i="9" s="1"/>
  <c r="E263" i="9"/>
  <c r="F32" i="9"/>
  <c r="W17" i="9" s="1"/>
  <c r="H464" i="9"/>
  <c r="I464" i="9" s="1"/>
  <c r="W170" i="9" s="1"/>
  <c r="F263" i="9"/>
  <c r="H201" i="9"/>
  <c r="I201" i="9" s="1"/>
  <c r="U80" i="9" s="1"/>
  <c r="H203" i="9"/>
  <c r="I203" i="9" s="1"/>
  <c r="H114" i="9"/>
  <c r="I114" i="9" s="1"/>
  <c r="H407" i="9"/>
  <c r="I407" i="9" s="1"/>
  <c r="X150" i="9" s="1"/>
  <c r="F322" i="9"/>
  <c r="W117" i="9" s="1"/>
  <c r="W125" i="9" s="1"/>
  <c r="D524" i="9"/>
  <c r="F148" i="9"/>
  <c r="W57" i="9" s="1"/>
  <c r="W65" i="9" s="1"/>
  <c r="C553" i="9"/>
  <c r="H549" i="9"/>
  <c r="I549" i="9" s="1"/>
  <c r="H117" i="9"/>
  <c r="I117" i="9" s="1"/>
  <c r="X50" i="9" s="1"/>
  <c r="C554" i="9"/>
  <c r="T197" i="9" s="1"/>
  <c r="T205" i="9" s="1"/>
  <c r="F553" i="9"/>
  <c r="H520" i="9"/>
  <c r="I520" i="9" s="1"/>
  <c r="U190" i="9" s="1"/>
  <c r="G380" i="9"/>
  <c r="X137" i="9" s="1"/>
  <c r="X145" i="9" s="1"/>
  <c r="C583" i="9"/>
  <c r="T207" i="9" s="1"/>
  <c r="T215" i="9" s="1"/>
  <c r="E293" i="9"/>
  <c r="V107" i="9" s="1"/>
  <c r="V115" i="9" s="1"/>
  <c r="H406" i="9"/>
  <c r="I406" i="9" s="1"/>
  <c r="W150" i="9" s="1"/>
  <c r="H318" i="9"/>
  <c r="I318" i="9" s="1"/>
  <c r="V120" i="9" s="1"/>
  <c r="D495" i="9"/>
  <c r="D496" i="9"/>
  <c r="U177" i="9" s="1"/>
  <c r="U185" i="9" s="1"/>
  <c r="H436" i="9"/>
  <c r="I436" i="9" s="1"/>
  <c r="X160" i="9" s="1"/>
  <c r="C350" i="9"/>
  <c r="H345" i="9"/>
  <c r="C351" i="9"/>
  <c r="T127" i="9" s="1"/>
  <c r="T135" i="9" s="1"/>
  <c r="H405" i="9"/>
  <c r="I405" i="9" s="1"/>
  <c r="V150" i="9" s="1"/>
  <c r="E408" i="9"/>
  <c r="E409" i="9"/>
  <c r="V147" i="9" s="1"/>
  <c r="V155" i="9" s="1"/>
  <c r="H492" i="9"/>
  <c r="I492" i="9" s="1"/>
  <c r="V180" i="9" s="1"/>
  <c r="E350" i="9"/>
  <c r="E351" i="9"/>
  <c r="V127" i="9" s="1"/>
  <c r="V135" i="9" s="1"/>
  <c r="D408" i="9"/>
  <c r="D409" i="9"/>
  <c r="U147" i="9" s="1"/>
  <c r="U155" i="9" s="1"/>
  <c r="D437" i="9"/>
  <c r="F409" i="9"/>
  <c r="W147" i="9" s="1"/>
  <c r="W155" i="9" s="1"/>
  <c r="F408" i="9"/>
  <c r="G350" i="9"/>
  <c r="G351" i="9"/>
  <c r="X127" i="9" s="1"/>
  <c r="X135" i="9" s="1"/>
  <c r="F524" i="9"/>
  <c r="F525" i="9"/>
  <c r="W187" i="9" s="1"/>
  <c r="W195" i="9" s="1"/>
  <c r="D350" i="9"/>
  <c r="D351" i="9"/>
  <c r="U127" i="9" s="1"/>
  <c r="U135" i="9" s="1"/>
  <c r="H461" i="9"/>
  <c r="C466" i="9"/>
  <c r="C467" i="9"/>
  <c r="T167" i="9" s="1"/>
  <c r="T175" i="9" s="1"/>
  <c r="F583" i="9"/>
  <c r="W207" i="9" s="1"/>
  <c r="W215" i="9" s="1"/>
  <c r="G409" i="9"/>
  <c r="X147" i="9" s="1"/>
  <c r="X155" i="9" s="1"/>
  <c r="G408" i="9"/>
  <c r="F466" i="9"/>
  <c r="F467" i="9"/>
  <c r="W167" i="9" s="1"/>
  <c r="W175" i="9" s="1"/>
  <c r="H490" i="9"/>
  <c r="C495" i="9"/>
  <c r="C496" i="9"/>
  <c r="T177" i="9" s="1"/>
  <c r="T185" i="9" s="1"/>
  <c r="C437" i="9"/>
  <c r="C408" i="9"/>
  <c r="H403" i="9"/>
  <c r="C409" i="9"/>
  <c r="T147" i="9" s="1"/>
  <c r="T155" i="9" s="1"/>
  <c r="E466" i="9"/>
  <c r="E467" i="9"/>
  <c r="V167" i="9" s="1"/>
  <c r="V175" i="9" s="1"/>
  <c r="F495" i="9"/>
  <c r="F496" i="9"/>
  <c r="W177" i="9" s="1"/>
  <c r="W185" i="9" s="1"/>
  <c r="C380" i="9"/>
  <c r="T137" i="9" s="1"/>
  <c r="T145" i="9" s="1"/>
  <c r="F437" i="9"/>
  <c r="G582" i="9"/>
  <c r="D466" i="9"/>
  <c r="D467" i="9"/>
  <c r="U167" i="9" s="1"/>
  <c r="U175" i="9" s="1"/>
  <c r="H552" i="9"/>
  <c r="I552" i="9" s="1"/>
  <c r="X200" i="9" s="1"/>
  <c r="G495" i="9"/>
  <c r="G496" i="9"/>
  <c r="X177" i="9" s="1"/>
  <c r="X185" i="9" s="1"/>
  <c r="H550" i="9"/>
  <c r="C438" i="9"/>
  <c r="T157" i="9" s="1"/>
  <c r="T165" i="9" s="1"/>
  <c r="G466" i="9"/>
  <c r="G467" i="9"/>
  <c r="X167" i="9" s="1"/>
  <c r="X175" i="9" s="1"/>
  <c r="E554" i="9"/>
  <c r="V197" i="9" s="1"/>
  <c r="V205" i="9" s="1"/>
  <c r="E553" i="9"/>
  <c r="F350" i="9"/>
  <c r="F351" i="9"/>
  <c r="W127" i="9" s="1"/>
  <c r="W135" i="9" s="1"/>
  <c r="G525" i="9"/>
  <c r="X187" i="9" s="1"/>
  <c r="X195" i="9" s="1"/>
  <c r="G524" i="9"/>
  <c r="F554" i="9"/>
  <c r="W197" i="9" s="1"/>
  <c r="W205" i="9" s="1"/>
  <c r="H523" i="9"/>
  <c r="F582" i="9"/>
  <c r="E437" i="9"/>
  <c r="E438" i="9"/>
  <c r="V157" i="9" s="1"/>
  <c r="V165" i="9" s="1"/>
  <c r="H580" i="9"/>
  <c r="E495" i="9"/>
  <c r="E496" i="9"/>
  <c r="V177" i="9" s="1"/>
  <c r="V185" i="9" s="1"/>
  <c r="C525" i="9"/>
  <c r="T187" i="9" s="1"/>
  <c r="T195" i="9" s="1"/>
  <c r="G554" i="9"/>
  <c r="X197" i="9" s="1"/>
  <c r="X205" i="9" s="1"/>
  <c r="G553" i="9"/>
  <c r="C582" i="9"/>
  <c r="C379" i="9"/>
  <c r="E89" i="9"/>
  <c r="V36" i="9" s="1"/>
  <c r="V44" i="9" s="1"/>
  <c r="V233" i="9" s="1"/>
  <c r="D264" i="9"/>
  <c r="U97" i="9" s="1"/>
  <c r="U105" i="9" s="1"/>
  <c r="H261" i="9"/>
  <c r="I261" i="9" s="1"/>
  <c r="W100" i="9" s="1"/>
  <c r="E119" i="9"/>
  <c r="F119" i="9"/>
  <c r="W47" i="9" s="1"/>
  <c r="W55" i="9" s="1"/>
  <c r="H87" i="9"/>
  <c r="I87" i="9" s="1"/>
  <c r="G89" i="9"/>
  <c r="X36" i="9" s="1"/>
  <c r="X44" i="9" s="1"/>
  <c r="X233" i="9" s="1"/>
  <c r="D32" i="9"/>
  <c r="U17" i="9" s="1"/>
  <c r="H259" i="9"/>
  <c r="I259" i="9" s="1"/>
  <c r="U100" i="9" s="1"/>
  <c r="C206" i="9"/>
  <c r="T77" i="9" s="1"/>
  <c r="T85" i="9" s="1"/>
  <c r="E264" i="9"/>
  <c r="V97" i="9" s="1"/>
  <c r="V105" i="9" s="1"/>
  <c r="C148" i="9"/>
  <c r="T57" i="9" s="1"/>
  <c r="T65" i="9" s="1"/>
  <c r="H115" i="9"/>
  <c r="I115" i="9" s="1"/>
  <c r="F31" i="9"/>
  <c r="H26" i="9"/>
  <c r="F206" i="9"/>
  <c r="W77" i="9" s="1"/>
  <c r="W85" i="9" s="1"/>
  <c r="C234" i="9"/>
  <c r="H229" i="9"/>
  <c r="H232" i="9"/>
  <c r="I232" i="9" s="1"/>
  <c r="G234" i="9"/>
  <c r="H262" i="9"/>
  <c r="I262" i="9" s="1"/>
  <c r="X100" i="9" s="1"/>
  <c r="G206" i="9"/>
  <c r="X77" i="9" s="1"/>
  <c r="X85" i="9" s="1"/>
  <c r="D234" i="9"/>
  <c r="H258" i="9"/>
  <c r="H144" i="9"/>
  <c r="I144" i="9" s="1"/>
  <c r="C263" i="9"/>
  <c r="F234" i="9"/>
  <c r="H200" i="9"/>
  <c r="C205" i="9"/>
  <c r="E234" i="9"/>
  <c r="D235" i="9"/>
  <c r="U87" i="9" s="1"/>
  <c r="U95" i="9" s="1"/>
  <c r="G263" i="9"/>
  <c r="H86" i="9"/>
  <c r="I86" i="9" s="1"/>
  <c r="F118" i="9"/>
  <c r="W46" i="9" s="1"/>
  <c r="W54" i="9" s="1"/>
  <c r="W234" i="9" s="1"/>
  <c r="H116" i="9"/>
  <c r="H230" i="9"/>
  <c r="I230" i="9" s="1"/>
  <c r="U90" i="9" s="1"/>
  <c r="H146" i="9"/>
  <c r="I146" i="9" s="1"/>
  <c r="D205" i="9"/>
  <c r="E235" i="9"/>
  <c r="V87" i="9" s="1"/>
  <c r="V95" i="9" s="1"/>
  <c r="D263" i="9"/>
  <c r="H88" i="9"/>
  <c r="I88" i="9" s="1"/>
  <c r="H56" i="9"/>
  <c r="I56" i="9" s="1"/>
  <c r="G118" i="9"/>
  <c r="X46" i="9" s="1"/>
  <c r="X54" i="9" s="1"/>
  <c r="X234" i="9" s="1"/>
  <c r="E205" i="9"/>
  <c r="H231" i="9"/>
  <c r="I231" i="9" s="1"/>
  <c r="C235" i="9"/>
  <c r="T87" i="9" s="1"/>
  <c r="T95" i="9" s="1"/>
  <c r="H145" i="9"/>
  <c r="I145" i="9" s="1"/>
  <c r="F60" i="9"/>
  <c r="W26" i="9" s="1"/>
  <c r="W34" i="9" s="1"/>
  <c r="W232" i="9" s="1"/>
  <c r="F61" i="9"/>
  <c r="W27" i="9" s="1"/>
  <c r="W35" i="9" s="1"/>
  <c r="H59" i="9"/>
  <c r="I59" i="9" s="1"/>
  <c r="G90" i="9"/>
  <c r="X37" i="9" s="1"/>
  <c r="X45" i="9" s="1"/>
  <c r="G147" i="9"/>
  <c r="X56" i="9" s="1"/>
  <c r="X64" i="9" s="1"/>
  <c r="X235" i="9" s="1"/>
  <c r="D148" i="9"/>
  <c r="U57" i="9" s="1"/>
  <c r="U65" i="9" s="1"/>
  <c r="E147" i="9"/>
  <c r="V56" i="9" s="1"/>
  <c r="V64" i="9" s="1"/>
  <c r="V235" i="9" s="1"/>
  <c r="U284" i="9"/>
  <c r="U285" i="9"/>
  <c r="U286" i="9" s="1"/>
  <c r="G60" i="9"/>
  <c r="X26" i="9" s="1"/>
  <c r="X34" i="9" s="1"/>
  <c r="X232" i="9" s="1"/>
  <c r="G61" i="9"/>
  <c r="X27" i="9" s="1"/>
  <c r="X35" i="9" s="1"/>
  <c r="F147" i="9"/>
  <c r="W56" i="9" s="1"/>
  <c r="W64" i="9" s="1"/>
  <c r="W235" i="9" s="1"/>
  <c r="F89" i="9"/>
  <c r="W36" i="9" s="1"/>
  <c r="W44" i="9" s="1"/>
  <c r="W233" i="9" s="1"/>
  <c r="E148" i="9"/>
  <c r="V57" i="9" s="1"/>
  <c r="V65" i="9" s="1"/>
  <c r="W285" i="9"/>
  <c r="W286" i="9" s="1"/>
  <c r="W284" i="9"/>
  <c r="C147" i="9"/>
  <c r="T56" i="9" s="1"/>
  <c r="T64" i="9" s="1"/>
  <c r="T235" i="9" s="1"/>
  <c r="H142" i="9"/>
  <c r="C118" i="9"/>
  <c r="T46" i="9" s="1"/>
  <c r="T54" i="9" s="1"/>
  <c r="T234" i="9" s="1"/>
  <c r="H84" i="9"/>
  <c r="C89" i="9"/>
  <c r="T36" i="9" s="1"/>
  <c r="T44" i="9" s="1"/>
  <c r="T233" i="9" s="1"/>
  <c r="C60" i="9"/>
  <c r="T26" i="9" s="1"/>
  <c r="T34" i="9" s="1"/>
  <c r="T232" i="9" s="1"/>
  <c r="C61" i="9"/>
  <c r="T27" i="9" s="1"/>
  <c r="T35" i="9" s="1"/>
  <c r="H55" i="9"/>
  <c r="D89" i="9"/>
  <c r="U36" i="9" s="1"/>
  <c r="U44" i="9" s="1"/>
  <c r="U233" i="9" s="1"/>
  <c r="D60" i="9"/>
  <c r="U26" i="9" s="1"/>
  <c r="U34" i="9" s="1"/>
  <c r="U232" i="9" s="1"/>
  <c r="D61" i="9"/>
  <c r="U27" i="9" s="1"/>
  <c r="U35" i="9" s="1"/>
  <c r="H143" i="9"/>
  <c r="I143" i="9" s="1"/>
  <c r="D118" i="9"/>
  <c r="U46" i="9" s="1"/>
  <c r="U54" i="9" s="1"/>
  <c r="U234" i="9" s="1"/>
  <c r="X285" i="9"/>
  <c r="X286" i="9" s="1"/>
  <c r="X284" i="9"/>
  <c r="C90" i="9"/>
  <c r="T37" i="9" s="1"/>
  <c r="T45" i="9" s="1"/>
  <c r="D90" i="9"/>
  <c r="U37" i="9" s="1"/>
  <c r="U45" i="9" s="1"/>
  <c r="C119" i="9"/>
  <c r="T47" i="9" s="1"/>
  <c r="T55" i="9" s="1"/>
  <c r="E60" i="9"/>
  <c r="E61" i="9"/>
  <c r="V27" i="9" s="1"/>
  <c r="V35" i="9" s="1"/>
  <c r="H85" i="9"/>
  <c r="I85" i="9" s="1"/>
  <c r="T285" i="9"/>
  <c r="T286" i="9" s="1"/>
  <c r="T284" i="9"/>
  <c r="E90" i="9"/>
  <c r="V37" i="9" s="1"/>
  <c r="V45" i="9" s="1"/>
  <c r="V284" i="9" l="1"/>
  <c r="K30" i="9"/>
  <c r="P30" i="9" s="1"/>
  <c r="X20" i="9"/>
  <c r="I113" i="9"/>
  <c r="T50" i="9" s="1"/>
  <c r="H118" i="9"/>
  <c r="I119" i="9" s="1"/>
  <c r="AE19" i="9" s="1"/>
  <c r="H147" i="9"/>
  <c r="I148" i="9" s="1"/>
  <c r="AE20" i="9" s="1"/>
  <c r="I171" i="9"/>
  <c r="T70" i="9" s="1"/>
  <c r="H176" i="9"/>
  <c r="I177" i="9" s="1"/>
  <c r="AE21" i="9" s="1"/>
  <c r="H205" i="9"/>
  <c r="I206" i="9" s="1"/>
  <c r="I316" i="9"/>
  <c r="H321" i="9"/>
  <c r="I322" i="9" s="1"/>
  <c r="AE26" i="9" s="1"/>
  <c r="H350" i="9"/>
  <c r="I351" i="9" s="1"/>
  <c r="AE27" i="9" s="1"/>
  <c r="I374" i="9"/>
  <c r="K374" i="9" s="1"/>
  <c r="P374" i="9" s="1"/>
  <c r="H379" i="9"/>
  <c r="I380" i="9" s="1"/>
  <c r="AE28" i="9" s="1"/>
  <c r="H408" i="9"/>
  <c r="I409" i="9" s="1"/>
  <c r="AE29" i="9" s="1"/>
  <c r="I432" i="9"/>
  <c r="J432" i="9" s="1"/>
  <c r="T161" i="9" s="1"/>
  <c r="H437" i="9"/>
  <c r="I438" i="9" s="1"/>
  <c r="AE30" i="9" s="1"/>
  <c r="H466" i="9"/>
  <c r="I467" i="9" s="1"/>
  <c r="AE31" i="9" s="1"/>
  <c r="I490" i="9"/>
  <c r="T180" i="9" s="1"/>
  <c r="H495" i="9"/>
  <c r="I496" i="9" s="1"/>
  <c r="AE32" i="9" s="1"/>
  <c r="J581" i="9"/>
  <c r="X211" i="9" s="1"/>
  <c r="K581" i="9"/>
  <c r="P581" i="9" s="1"/>
  <c r="I577" i="9"/>
  <c r="T210" i="9" s="1"/>
  <c r="H582" i="9"/>
  <c r="I583" i="9" s="1"/>
  <c r="AE35" i="9" s="1"/>
  <c r="W225" i="9"/>
  <c r="V225" i="9"/>
  <c r="BL41" i="9"/>
  <c r="BL44" i="9" s="1"/>
  <c r="BL45" i="9" s="1"/>
  <c r="BL46" i="9" s="1"/>
  <c r="BJ59" i="9"/>
  <c r="BM41" i="9" s="1"/>
  <c r="X225" i="9"/>
  <c r="T25" i="9"/>
  <c r="T228" i="9" s="1"/>
  <c r="T220" i="9"/>
  <c r="G468" i="9"/>
  <c r="X168" i="9" s="1"/>
  <c r="X166" i="9"/>
  <c r="X174" i="9" s="1"/>
  <c r="X246" i="9" s="1"/>
  <c r="F497" i="9"/>
  <c r="W178" i="9" s="1"/>
  <c r="W176" i="9"/>
  <c r="W184" i="9" s="1"/>
  <c r="W247" i="9" s="1"/>
  <c r="G410" i="9"/>
  <c r="X148" i="9" s="1"/>
  <c r="X146" i="9"/>
  <c r="X154" i="9" s="1"/>
  <c r="X244" i="9" s="1"/>
  <c r="F410" i="9"/>
  <c r="W148" i="9" s="1"/>
  <c r="W146" i="9"/>
  <c r="W154" i="9" s="1"/>
  <c r="W244" i="9" s="1"/>
  <c r="X24" i="9"/>
  <c r="J465" i="9"/>
  <c r="X171" i="9" s="1"/>
  <c r="X170" i="9"/>
  <c r="J548" i="9"/>
  <c r="T201" i="9" s="1"/>
  <c r="T200" i="9"/>
  <c r="G439" i="9"/>
  <c r="X158" i="9" s="1"/>
  <c r="X156" i="9"/>
  <c r="X164" i="9" s="1"/>
  <c r="X245" i="9" s="1"/>
  <c r="J433" i="9"/>
  <c r="U161" i="9" s="1"/>
  <c r="U160" i="9"/>
  <c r="F584" i="9"/>
  <c r="W208" i="9" s="1"/>
  <c r="W206" i="9"/>
  <c r="W214" i="9" s="1"/>
  <c r="W250" i="9" s="1"/>
  <c r="E468" i="9"/>
  <c r="V168" i="9" s="1"/>
  <c r="V166" i="9"/>
  <c r="V174" i="9" s="1"/>
  <c r="V246" i="9" s="1"/>
  <c r="D439" i="9"/>
  <c r="U158" i="9" s="1"/>
  <c r="U156" i="9"/>
  <c r="U164" i="9" s="1"/>
  <c r="U245" i="9" s="1"/>
  <c r="D584" i="9"/>
  <c r="D589" i="9" s="1"/>
  <c r="U206" i="9"/>
  <c r="U214" i="9" s="1"/>
  <c r="U250" i="9" s="1"/>
  <c r="K435" i="9"/>
  <c r="P435" i="9" s="1"/>
  <c r="W160" i="9"/>
  <c r="J521" i="9"/>
  <c r="V191" i="9" s="1"/>
  <c r="V190" i="9"/>
  <c r="X25" i="9"/>
  <c r="X228" i="9" s="1"/>
  <c r="X220" i="9"/>
  <c r="D555" i="9"/>
  <c r="D559" i="9" s="1"/>
  <c r="U196" i="9"/>
  <c r="U204" i="9" s="1"/>
  <c r="U249" i="9" s="1"/>
  <c r="C526" i="9"/>
  <c r="C530" i="9" s="1"/>
  <c r="T186" i="9"/>
  <c r="T194" i="9" s="1"/>
  <c r="T248" i="9" s="1"/>
  <c r="W25" i="9"/>
  <c r="J463" i="9"/>
  <c r="V171" i="9" s="1"/>
  <c r="V170" i="9"/>
  <c r="G555" i="9"/>
  <c r="X198" i="9" s="1"/>
  <c r="X196" i="9"/>
  <c r="X204" i="9" s="1"/>
  <c r="X249" i="9" s="1"/>
  <c r="G497" i="9"/>
  <c r="X178" i="9" s="1"/>
  <c r="X176" i="9"/>
  <c r="X184" i="9" s="1"/>
  <c r="X247" i="9" s="1"/>
  <c r="C468" i="9"/>
  <c r="T168" i="9" s="1"/>
  <c r="T166" i="9"/>
  <c r="T174" i="9" s="1"/>
  <c r="T246" i="9" s="1"/>
  <c r="D410" i="9"/>
  <c r="U148" i="9" s="1"/>
  <c r="U146" i="9"/>
  <c r="U154" i="9" s="1"/>
  <c r="U244" i="9" s="1"/>
  <c r="D497" i="9"/>
  <c r="U178" i="9" s="1"/>
  <c r="U176" i="9"/>
  <c r="U184" i="9" s="1"/>
  <c r="U247" i="9" s="1"/>
  <c r="J549" i="9"/>
  <c r="U201" i="9" s="1"/>
  <c r="U200" i="9"/>
  <c r="E526" i="9"/>
  <c r="E530" i="9" s="1"/>
  <c r="V186" i="9"/>
  <c r="V194" i="9" s="1"/>
  <c r="V248" i="9" s="1"/>
  <c r="K434" i="9"/>
  <c r="P434" i="9" s="1"/>
  <c r="V160" i="9"/>
  <c r="C584" i="9"/>
  <c r="T208" i="9" s="1"/>
  <c r="T206" i="9"/>
  <c r="T214" i="9" s="1"/>
  <c r="T250" i="9" s="1"/>
  <c r="G526" i="9"/>
  <c r="X188" i="9" s="1"/>
  <c r="X186" i="9"/>
  <c r="X194" i="9" s="1"/>
  <c r="X248" i="9" s="1"/>
  <c r="C410" i="9"/>
  <c r="T148" i="9" s="1"/>
  <c r="T146" i="9"/>
  <c r="T154" i="9" s="1"/>
  <c r="T244" i="9" s="1"/>
  <c r="C555" i="9"/>
  <c r="C559" i="9" s="1"/>
  <c r="T196" i="9"/>
  <c r="T204" i="9" s="1"/>
  <c r="T249" i="9" s="1"/>
  <c r="V24" i="9"/>
  <c r="V231" i="9" s="1"/>
  <c r="K551" i="9"/>
  <c r="P551" i="9" s="1"/>
  <c r="W200" i="9"/>
  <c r="K519" i="9"/>
  <c r="P519" i="9" s="1"/>
  <c r="T190" i="9"/>
  <c r="E584" i="9"/>
  <c r="E588" i="9" s="1"/>
  <c r="V206" i="9"/>
  <c r="V214" i="9" s="1"/>
  <c r="V250" i="9" s="1"/>
  <c r="V25" i="9"/>
  <c r="F555" i="9"/>
  <c r="F560" i="9" s="1"/>
  <c r="W196" i="9"/>
  <c r="W204" i="9" s="1"/>
  <c r="W249" i="9" s="1"/>
  <c r="D526" i="9"/>
  <c r="D530" i="9" s="1"/>
  <c r="U186" i="9"/>
  <c r="U194" i="9" s="1"/>
  <c r="U248" i="9" s="1"/>
  <c r="U24" i="9"/>
  <c r="U231" i="9" s="1"/>
  <c r="C439" i="9"/>
  <c r="T158" i="9" s="1"/>
  <c r="T156" i="9"/>
  <c r="T164" i="9" s="1"/>
  <c r="T245" i="9" s="1"/>
  <c r="E497" i="9"/>
  <c r="V178" i="9" s="1"/>
  <c r="V176" i="9"/>
  <c r="V184" i="9" s="1"/>
  <c r="V247" i="9" s="1"/>
  <c r="G584" i="9"/>
  <c r="X208" i="9" s="1"/>
  <c r="X206" i="9"/>
  <c r="X214" i="9" s="1"/>
  <c r="X250" i="9" s="1"/>
  <c r="C497" i="9"/>
  <c r="T178" i="9" s="1"/>
  <c r="T176" i="9"/>
  <c r="T184" i="9" s="1"/>
  <c r="T247" i="9" s="1"/>
  <c r="K579" i="9"/>
  <c r="P579" i="9" s="1"/>
  <c r="V210" i="9"/>
  <c r="J494" i="9"/>
  <c r="X181" i="9" s="1"/>
  <c r="X180" i="9"/>
  <c r="E439" i="9"/>
  <c r="V158" i="9" s="1"/>
  <c r="V156" i="9"/>
  <c r="V164" i="9" s="1"/>
  <c r="V245" i="9" s="1"/>
  <c r="F468" i="9"/>
  <c r="W168" i="9" s="1"/>
  <c r="W166" i="9"/>
  <c r="W174" i="9" s="1"/>
  <c r="W246" i="9" s="1"/>
  <c r="U25" i="9"/>
  <c r="D468" i="9"/>
  <c r="U168" i="9" s="1"/>
  <c r="U166" i="9"/>
  <c r="U174" i="9" s="1"/>
  <c r="U246" i="9" s="1"/>
  <c r="E555" i="9"/>
  <c r="V198" i="9" s="1"/>
  <c r="V196" i="9"/>
  <c r="V204" i="9" s="1"/>
  <c r="V249" i="9" s="1"/>
  <c r="F439" i="9"/>
  <c r="W158" i="9" s="1"/>
  <c r="W156" i="9"/>
  <c r="W164" i="9" s="1"/>
  <c r="W245" i="9" s="1"/>
  <c r="F526" i="9"/>
  <c r="W188" i="9" s="1"/>
  <c r="W186" i="9"/>
  <c r="W194" i="9" s="1"/>
  <c r="W248" i="9" s="1"/>
  <c r="E410" i="9"/>
  <c r="V148" i="9" s="1"/>
  <c r="V146" i="9"/>
  <c r="V154" i="9" s="1"/>
  <c r="V244" i="9" s="1"/>
  <c r="J404" i="9"/>
  <c r="U151" i="9" s="1"/>
  <c r="U150" i="9"/>
  <c r="J29" i="9"/>
  <c r="W21" i="9" s="1"/>
  <c r="D352" i="9"/>
  <c r="U128" i="9" s="1"/>
  <c r="U126" i="9"/>
  <c r="F352" i="9"/>
  <c r="W128" i="9" s="1"/>
  <c r="W126" i="9"/>
  <c r="E381" i="9"/>
  <c r="V138" i="9" s="1"/>
  <c r="V136" i="9"/>
  <c r="V144" i="9" s="1"/>
  <c r="V243" i="9" s="1"/>
  <c r="G381" i="9"/>
  <c r="X138" i="9" s="1"/>
  <c r="X136" i="9"/>
  <c r="X144" i="9" s="1"/>
  <c r="X243" i="9" s="1"/>
  <c r="G352" i="9"/>
  <c r="X128" i="9" s="1"/>
  <c r="X126" i="9"/>
  <c r="D381" i="9"/>
  <c r="D385" i="9" s="1"/>
  <c r="U136" i="9"/>
  <c r="U144" i="9" s="1"/>
  <c r="U243" i="9" s="1"/>
  <c r="C352" i="9"/>
  <c r="T128" i="9" s="1"/>
  <c r="T126" i="9"/>
  <c r="C381" i="9"/>
  <c r="T138" i="9" s="1"/>
  <c r="T136" i="9"/>
  <c r="T144" i="9" s="1"/>
  <c r="T243" i="9" s="1"/>
  <c r="F381" i="9"/>
  <c r="W138" i="9" s="1"/>
  <c r="W136" i="9"/>
  <c r="W144" i="9" s="1"/>
  <c r="W243" i="9" s="1"/>
  <c r="J375" i="9"/>
  <c r="U141" i="9" s="1"/>
  <c r="U140" i="9"/>
  <c r="K347" i="9"/>
  <c r="P347" i="9" s="1"/>
  <c r="V130" i="9"/>
  <c r="W20" i="9"/>
  <c r="E352" i="9"/>
  <c r="V128" i="9" s="1"/>
  <c r="V126" i="9"/>
  <c r="K346" i="9"/>
  <c r="P346" i="9" s="1"/>
  <c r="U130" i="9"/>
  <c r="K348" i="9"/>
  <c r="P348" i="9" s="1"/>
  <c r="W130" i="9"/>
  <c r="J288" i="9"/>
  <c r="U111" i="9" s="1"/>
  <c r="U110" i="9"/>
  <c r="J320" i="9"/>
  <c r="X121" i="9" s="1"/>
  <c r="X120" i="9"/>
  <c r="K317" i="9"/>
  <c r="P317" i="9" s="1"/>
  <c r="U120" i="9"/>
  <c r="G323" i="9"/>
  <c r="G328" i="9" s="1"/>
  <c r="X116" i="9"/>
  <c r="K291" i="9"/>
  <c r="P291" i="9" s="1"/>
  <c r="X110" i="9"/>
  <c r="C294" i="9"/>
  <c r="C298" i="9" s="1"/>
  <c r="T106" i="9"/>
  <c r="T114" i="9" s="1"/>
  <c r="T240" i="9" s="1"/>
  <c r="F294" i="9"/>
  <c r="F298" i="9" s="1"/>
  <c r="W106" i="9"/>
  <c r="J319" i="9"/>
  <c r="W121" i="9" s="1"/>
  <c r="W120" i="9"/>
  <c r="E294" i="9"/>
  <c r="E299" i="9" s="1"/>
  <c r="V106" i="9"/>
  <c r="V114" i="9" s="1"/>
  <c r="V240" i="9" s="1"/>
  <c r="C323" i="9"/>
  <c r="C328" i="9" s="1"/>
  <c r="T116" i="9"/>
  <c r="T124" i="9" s="1"/>
  <c r="T241" i="9" s="1"/>
  <c r="J290" i="9"/>
  <c r="W111" i="9" s="1"/>
  <c r="W110" i="9"/>
  <c r="E323" i="9"/>
  <c r="V118" i="9" s="1"/>
  <c r="V116" i="9"/>
  <c r="D294" i="9"/>
  <c r="U108" i="9" s="1"/>
  <c r="U106" i="9"/>
  <c r="U114" i="9" s="1"/>
  <c r="U240" i="9" s="1"/>
  <c r="D323" i="9"/>
  <c r="U118" i="9" s="1"/>
  <c r="U116" i="9"/>
  <c r="G294" i="9"/>
  <c r="G299" i="9" s="1"/>
  <c r="X106" i="9"/>
  <c r="X114" i="9" s="1"/>
  <c r="X240" i="9" s="1"/>
  <c r="F323" i="9"/>
  <c r="F327" i="9" s="1"/>
  <c r="W116" i="9"/>
  <c r="C207" i="9"/>
  <c r="C212" i="9" s="1"/>
  <c r="T76" i="9"/>
  <c r="T84" i="9" s="1"/>
  <c r="T237" i="9" s="1"/>
  <c r="D265" i="9"/>
  <c r="U98" i="9" s="1"/>
  <c r="U96" i="9"/>
  <c r="U104" i="9" s="1"/>
  <c r="U239" i="9" s="1"/>
  <c r="V47" i="9"/>
  <c r="V55" i="9" s="1"/>
  <c r="D207" i="9"/>
  <c r="D212" i="9" s="1"/>
  <c r="U76" i="9"/>
  <c r="U84" i="9" s="1"/>
  <c r="U237" i="9" s="1"/>
  <c r="C265" i="9"/>
  <c r="T98" i="9" s="1"/>
  <c r="T96" i="9"/>
  <c r="T104" i="9" s="1"/>
  <c r="T239" i="9" s="1"/>
  <c r="K115" i="9"/>
  <c r="P115" i="9" s="1"/>
  <c r="V50" i="9"/>
  <c r="F265" i="9"/>
  <c r="W98" i="9" s="1"/>
  <c r="W96" i="9"/>
  <c r="W104" i="9" s="1"/>
  <c r="W239" i="9" s="1"/>
  <c r="V80" i="9"/>
  <c r="K204" i="9"/>
  <c r="P204" i="9" s="1"/>
  <c r="X80" i="9"/>
  <c r="V70" i="9"/>
  <c r="D236" i="9"/>
  <c r="D238" i="9" s="1"/>
  <c r="U86" i="9"/>
  <c r="U94" i="9" s="1"/>
  <c r="U238" i="9" s="1"/>
  <c r="AA44" i="9"/>
  <c r="E265" i="9"/>
  <c r="V98" i="9" s="1"/>
  <c r="V96" i="9"/>
  <c r="V104" i="9" s="1"/>
  <c r="V239" i="9" s="1"/>
  <c r="J233" i="9"/>
  <c r="X90" i="9"/>
  <c r="T16" i="9"/>
  <c r="C33" i="9"/>
  <c r="C38" i="9" s="1"/>
  <c r="V90" i="9"/>
  <c r="F207" i="9"/>
  <c r="F209" i="9" s="1"/>
  <c r="W76" i="9"/>
  <c r="W84" i="9" s="1"/>
  <c r="W237" i="9" s="1"/>
  <c r="W37" i="9"/>
  <c r="W45" i="9" s="1"/>
  <c r="AA54" i="9"/>
  <c r="E207" i="9"/>
  <c r="E211" i="9" s="1"/>
  <c r="V76" i="9"/>
  <c r="V84" i="9" s="1"/>
  <c r="V237" i="9" s="1"/>
  <c r="G265" i="9"/>
  <c r="X98" i="9" s="1"/>
  <c r="X96" i="9"/>
  <c r="X104" i="9" s="1"/>
  <c r="X239" i="9" s="1"/>
  <c r="G236" i="9"/>
  <c r="G241" i="9" s="1"/>
  <c r="X86" i="9"/>
  <c r="X94" i="9" s="1"/>
  <c r="X238" i="9" s="1"/>
  <c r="E236" i="9"/>
  <c r="E238" i="9" s="1"/>
  <c r="V86" i="9"/>
  <c r="V94" i="9" s="1"/>
  <c r="V238" i="9" s="1"/>
  <c r="G207" i="9"/>
  <c r="G212" i="9" s="1"/>
  <c r="X76" i="9"/>
  <c r="X84" i="9" s="1"/>
  <c r="X237" i="9" s="1"/>
  <c r="W90" i="9"/>
  <c r="C236" i="9"/>
  <c r="C238" i="9" s="1"/>
  <c r="T86" i="9"/>
  <c r="T94" i="9" s="1"/>
  <c r="T238" i="9" s="1"/>
  <c r="K114" i="9"/>
  <c r="P114" i="9" s="1"/>
  <c r="U50" i="9"/>
  <c r="F236" i="9"/>
  <c r="F238" i="9" s="1"/>
  <c r="W86" i="9"/>
  <c r="W94" i="9" s="1"/>
  <c r="W238" i="9" s="1"/>
  <c r="W80" i="9"/>
  <c r="K57" i="9"/>
  <c r="P57" i="9" s="1"/>
  <c r="U47" i="9"/>
  <c r="U55" i="9" s="1"/>
  <c r="K320" i="9"/>
  <c r="P320" i="9" s="1"/>
  <c r="D33" i="9"/>
  <c r="D35" i="9" s="1"/>
  <c r="J347" i="9"/>
  <c r="V131" i="9" s="1"/>
  <c r="K172" i="9"/>
  <c r="P172" i="9" s="1"/>
  <c r="J172" i="9"/>
  <c r="U71" i="9" s="1"/>
  <c r="E91" i="9"/>
  <c r="V30" i="9"/>
  <c r="X66" i="9"/>
  <c r="X74" i="9" s="1"/>
  <c r="X236" i="9" s="1"/>
  <c r="X68" i="9"/>
  <c r="G180" i="9"/>
  <c r="K290" i="9"/>
  <c r="P290" i="9" s="1"/>
  <c r="J434" i="9"/>
  <c r="V161" i="9" s="1"/>
  <c r="K433" i="9"/>
  <c r="P433" i="9" s="1"/>
  <c r="E33" i="9"/>
  <c r="V18" i="9" s="1"/>
  <c r="G33" i="9"/>
  <c r="X18" i="9" s="1"/>
  <c r="J173" i="9"/>
  <c r="K494" i="9"/>
  <c r="P494" i="9" s="1"/>
  <c r="J204" i="9"/>
  <c r="K233" i="9"/>
  <c r="P233" i="9" s="1"/>
  <c r="J346" i="9"/>
  <c r="U131" i="9" s="1"/>
  <c r="K375" i="9"/>
  <c r="P375" i="9" s="1"/>
  <c r="J519" i="9"/>
  <c r="T191" i="9" s="1"/>
  <c r="H31" i="9"/>
  <c r="K173" i="9"/>
  <c r="P173" i="9" s="1"/>
  <c r="K548" i="9"/>
  <c r="P548" i="9" s="1"/>
  <c r="E120" i="9"/>
  <c r="E182" i="9"/>
  <c r="J551" i="9"/>
  <c r="W201" i="9" s="1"/>
  <c r="K521" i="9"/>
  <c r="P521" i="9" s="1"/>
  <c r="K465" i="9"/>
  <c r="P465" i="9" s="1"/>
  <c r="J435" i="9"/>
  <c r="W161" i="9" s="1"/>
  <c r="K288" i="9"/>
  <c r="P288" i="9" s="1"/>
  <c r="G182" i="9"/>
  <c r="J175" i="9"/>
  <c r="X71" i="9" s="1"/>
  <c r="K175" i="9"/>
  <c r="P175" i="9" s="1"/>
  <c r="K404" i="9"/>
  <c r="P404" i="9" s="1"/>
  <c r="K349" i="9"/>
  <c r="P349" i="9" s="1"/>
  <c r="J349" i="9"/>
  <c r="X131" i="9" s="1"/>
  <c r="J291" i="9"/>
  <c r="X111" i="9" s="1"/>
  <c r="U68" i="9"/>
  <c r="D180" i="9"/>
  <c r="T68" i="9"/>
  <c r="C180" i="9"/>
  <c r="U66" i="9"/>
  <c r="U74" i="9" s="1"/>
  <c r="U236" i="9" s="1"/>
  <c r="J174" i="9"/>
  <c r="W71" i="9" s="1"/>
  <c r="K174" i="9"/>
  <c r="P174" i="9" s="1"/>
  <c r="T66" i="9"/>
  <c r="T74" i="9" s="1"/>
  <c r="T236" i="9" s="1"/>
  <c r="G183" i="9"/>
  <c r="C183" i="9"/>
  <c r="D182" i="9"/>
  <c r="F178" i="9"/>
  <c r="W66" i="9"/>
  <c r="W74" i="9" s="1"/>
  <c r="W236" i="9" s="1"/>
  <c r="E183" i="9"/>
  <c r="D183" i="9"/>
  <c r="E180" i="9"/>
  <c r="V68" i="9"/>
  <c r="H524" i="9"/>
  <c r="I525" i="9" s="1"/>
  <c r="AE33" i="9" s="1"/>
  <c r="K493" i="9"/>
  <c r="P493" i="9" s="1"/>
  <c r="J493" i="9"/>
  <c r="W181" i="9" s="1"/>
  <c r="K463" i="9"/>
  <c r="P463" i="9" s="1"/>
  <c r="J27" i="9"/>
  <c r="U21" i="9" s="1"/>
  <c r="J348" i="9"/>
  <c r="W131" i="9" s="1"/>
  <c r="U20" i="9"/>
  <c r="J579" i="9"/>
  <c r="V211" i="9" s="1"/>
  <c r="J114" i="9"/>
  <c r="U51" i="9" s="1"/>
  <c r="K549" i="9"/>
  <c r="P549" i="9" s="1"/>
  <c r="J317" i="9"/>
  <c r="U121" i="9" s="1"/>
  <c r="H60" i="9"/>
  <c r="I61" i="9" s="1"/>
  <c r="AE17" i="9" s="1"/>
  <c r="H292" i="9"/>
  <c r="I293" i="9" s="1"/>
  <c r="AE25" i="9" s="1"/>
  <c r="K289" i="9"/>
  <c r="P289" i="9" s="1"/>
  <c r="J289" i="9"/>
  <c r="V111" i="9" s="1"/>
  <c r="J202" i="9"/>
  <c r="K202" i="9"/>
  <c r="P202" i="9" s="1"/>
  <c r="I26" i="9"/>
  <c r="T20" i="9" s="1"/>
  <c r="K28" i="9"/>
  <c r="P28" i="9" s="1"/>
  <c r="V20" i="9"/>
  <c r="G62" i="9"/>
  <c r="X28" i="9" s="1"/>
  <c r="H553" i="9"/>
  <c r="I554" i="9" s="1"/>
  <c r="AE34" i="9" s="1"/>
  <c r="J522" i="9"/>
  <c r="W191" i="9" s="1"/>
  <c r="K522" i="9"/>
  <c r="P522" i="9" s="1"/>
  <c r="G149" i="9"/>
  <c r="G151" i="9" s="1"/>
  <c r="F120" i="9"/>
  <c r="W48" i="9" s="1"/>
  <c r="I376" i="9"/>
  <c r="I345" i="9"/>
  <c r="K318" i="9"/>
  <c r="P318" i="9" s="1"/>
  <c r="J318" i="9"/>
  <c r="V121" i="9" s="1"/>
  <c r="K578" i="9"/>
  <c r="P578" i="9" s="1"/>
  <c r="H234" i="9"/>
  <c r="I235" i="9" s="1"/>
  <c r="J578" i="9"/>
  <c r="U211" i="9" s="1"/>
  <c r="I550" i="9"/>
  <c r="G91" i="9"/>
  <c r="X38" i="9" s="1"/>
  <c r="J520" i="9"/>
  <c r="U191" i="9" s="1"/>
  <c r="K520" i="9"/>
  <c r="P520" i="9" s="1"/>
  <c r="D149" i="9"/>
  <c r="U58" i="9" s="1"/>
  <c r="C149" i="9"/>
  <c r="C151" i="9" s="1"/>
  <c r="K436" i="9"/>
  <c r="P436" i="9" s="1"/>
  <c r="J436" i="9"/>
  <c r="X161" i="9" s="1"/>
  <c r="K406" i="9"/>
  <c r="P406" i="9" s="1"/>
  <c r="J406" i="9"/>
  <c r="W151" i="9" s="1"/>
  <c r="J491" i="9"/>
  <c r="U181" i="9" s="1"/>
  <c r="K491" i="9"/>
  <c r="P491" i="9" s="1"/>
  <c r="K407" i="9"/>
  <c r="P407" i="9" s="1"/>
  <c r="J407" i="9"/>
  <c r="X151" i="9" s="1"/>
  <c r="J405" i="9"/>
  <c r="V151" i="9" s="1"/>
  <c r="K405" i="9"/>
  <c r="P405" i="9" s="1"/>
  <c r="I523" i="9"/>
  <c r="X190" i="9" s="1"/>
  <c r="K552" i="9"/>
  <c r="P552" i="9" s="1"/>
  <c r="J552" i="9"/>
  <c r="X201" i="9" s="1"/>
  <c r="K464" i="9"/>
  <c r="P464" i="9" s="1"/>
  <c r="J464" i="9"/>
  <c r="W171" i="9" s="1"/>
  <c r="J378" i="9"/>
  <c r="X141" i="9" s="1"/>
  <c r="K378" i="9"/>
  <c r="P378" i="9" s="1"/>
  <c r="K462" i="9"/>
  <c r="P462" i="9" s="1"/>
  <c r="J462" i="9"/>
  <c r="U171" i="9" s="1"/>
  <c r="J377" i="9"/>
  <c r="W141" i="9" s="1"/>
  <c r="K377" i="9"/>
  <c r="P377" i="9" s="1"/>
  <c r="I580" i="9"/>
  <c r="I403" i="9"/>
  <c r="I461" i="9"/>
  <c r="K492" i="9"/>
  <c r="P492" i="9" s="1"/>
  <c r="J492" i="9"/>
  <c r="V181" i="9" s="1"/>
  <c r="K261" i="9"/>
  <c r="P261" i="9" s="1"/>
  <c r="J261" i="9"/>
  <c r="W101" i="9" s="1"/>
  <c r="K262" i="9"/>
  <c r="P262" i="9" s="1"/>
  <c r="J262" i="9"/>
  <c r="X101" i="9" s="1"/>
  <c r="K259" i="9"/>
  <c r="P259" i="9" s="1"/>
  <c r="J259" i="9"/>
  <c r="U101" i="9" s="1"/>
  <c r="K232" i="9"/>
  <c r="P232" i="9" s="1"/>
  <c r="J232" i="9"/>
  <c r="I229" i="9"/>
  <c r="I116" i="9"/>
  <c r="H263" i="9"/>
  <c r="I264" i="9" s="1"/>
  <c r="AE24" i="9" s="1"/>
  <c r="I258" i="9"/>
  <c r="F62" i="9"/>
  <c r="F64" i="9" s="1"/>
  <c r="K230" i="9"/>
  <c r="P230" i="9" s="1"/>
  <c r="J230" i="9"/>
  <c r="U91" i="9" s="1"/>
  <c r="I200" i="9"/>
  <c r="G120" i="9"/>
  <c r="X48" i="9" s="1"/>
  <c r="J115" i="9"/>
  <c r="V51" i="9" s="1"/>
  <c r="K287" i="9"/>
  <c r="P287" i="9" s="1"/>
  <c r="J287" i="9"/>
  <c r="T111" i="9" s="1"/>
  <c r="C91" i="9"/>
  <c r="K231" i="9"/>
  <c r="P231" i="9" s="1"/>
  <c r="J231" i="9"/>
  <c r="K260" i="9"/>
  <c r="P260" i="9" s="1"/>
  <c r="J260" i="9"/>
  <c r="V101" i="9" s="1"/>
  <c r="K201" i="9"/>
  <c r="P201" i="9" s="1"/>
  <c r="J201" i="9"/>
  <c r="U81" i="9" s="1"/>
  <c r="X275" i="9"/>
  <c r="D91" i="9"/>
  <c r="U38" i="9" s="1"/>
  <c r="K203" i="9"/>
  <c r="P203" i="9" s="1"/>
  <c r="J203" i="9"/>
  <c r="W16" i="9"/>
  <c r="F33" i="9"/>
  <c r="K143" i="9"/>
  <c r="P143" i="9" s="1"/>
  <c r="J143" i="9"/>
  <c r="U61" i="9" s="1"/>
  <c r="U60" i="9"/>
  <c r="U30" i="9"/>
  <c r="K56" i="9"/>
  <c r="P56" i="9" s="1"/>
  <c r="J56" i="9"/>
  <c r="U31" i="9" s="1"/>
  <c r="J88" i="9"/>
  <c r="X41" i="9" s="1"/>
  <c r="K88" i="9"/>
  <c r="P88" i="9" s="1"/>
  <c r="X40" i="9"/>
  <c r="K117" i="9"/>
  <c r="P117" i="9" s="1"/>
  <c r="J117" i="9"/>
  <c r="X51" i="9" s="1"/>
  <c r="F149" i="9"/>
  <c r="I55" i="9"/>
  <c r="X30" i="9"/>
  <c r="K59" i="9"/>
  <c r="P59" i="9" s="1"/>
  <c r="J59" i="9"/>
  <c r="X31" i="9" s="1"/>
  <c r="AA64" i="9"/>
  <c r="E149" i="9"/>
  <c r="X276" i="9"/>
  <c r="X277" i="9" s="1"/>
  <c r="X60" i="9"/>
  <c r="K146" i="9"/>
  <c r="P146" i="9" s="1"/>
  <c r="J146" i="9"/>
  <c r="X61" i="9" s="1"/>
  <c r="K144" i="9"/>
  <c r="P144" i="9" s="1"/>
  <c r="J144" i="9"/>
  <c r="V60" i="9"/>
  <c r="U40" i="9"/>
  <c r="K85" i="9"/>
  <c r="P85" i="9" s="1"/>
  <c r="J85" i="9"/>
  <c r="U41" i="9" s="1"/>
  <c r="I142" i="9"/>
  <c r="C62" i="9"/>
  <c r="T276" i="9"/>
  <c r="T277" i="9" s="1"/>
  <c r="D62" i="9"/>
  <c r="J87" i="9"/>
  <c r="W41" i="9" s="1"/>
  <c r="K87" i="9"/>
  <c r="P87" i="9" s="1"/>
  <c r="W40" i="9"/>
  <c r="V26" i="9"/>
  <c r="V34" i="9" s="1"/>
  <c r="E62" i="9"/>
  <c r="F91" i="9"/>
  <c r="W38" i="9" s="1"/>
  <c r="H89" i="9"/>
  <c r="D120" i="9"/>
  <c r="U48" i="9" s="1"/>
  <c r="I84" i="9"/>
  <c r="W60" i="9"/>
  <c r="K145" i="9"/>
  <c r="P145" i="9" s="1"/>
  <c r="J145" i="9"/>
  <c r="W61" i="9" s="1"/>
  <c r="C120" i="9"/>
  <c r="T48" i="9" s="1"/>
  <c r="W30" i="9"/>
  <c r="K58" i="9"/>
  <c r="P58" i="9" s="1"/>
  <c r="J58" i="9"/>
  <c r="W31" i="9" s="1"/>
  <c r="J86" i="9"/>
  <c r="V41" i="9" s="1"/>
  <c r="K86" i="9"/>
  <c r="P86" i="9" s="1"/>
  <c r="V40" i="9"/>
  <c r="E470" i="9" l="1"/>
  <c r="AA34" i="9"/>
  <c r="V232" i="9"/>
  <c r="X291" i="9"/>
  <c r="X292" i="9" s="1"/>
  <c r="X231" i="9"/>
  <c r="E472" i="9"/>
  <c r="C209" i="9"/>
  <c r="T120" i="9"/>
  <c r="K577" i="9"/>
  <c r="P577" i="9" s="1"/>
  <c r="J577" i="9"/>
  <c r="T211" i="9" s="1"/>
  <c r="G588" i="9"/>
  <c r="C586" i="9"/>
  <c r="F586" i="9"/>
  <c r="C588" i="9"/>
  <c r="C560" i="9"/>
  <c r="F559" i="9"/>
  <c r="F556" i="9" s="1"/>
  <c r="W199" i="9" s="1"/>
  <c r="E531" i="9"/>
  <c r="E527" i="9" s="1"/>
  <c r="V189" i="9" s="1"/>
  <c r="D531" i="9"/>
  <c r="D527" i="9" s="1"/>
  <c r="U189" i="9" s="1"/>
  <c r="K490" i="9"/>
  <c r="P490" i="9" s="1"/>
  <c r="J496" i="9" s="1"/>
  <c r="AF32" i="9" s="1"/>
  <c r="J490" i="9"/>
  <c r="T181" i="9" s="1"/>
  <c r="F501" i="9"/>
  <c r="F499" i="9"/>
  <c r="C502" i="9"/>
  <c r="C499" i="9"/>
  <c r="E502" i="9"/>
  <c r="C501" i="9"/>
  <c r="E499" i="9"/>
  <c r="D473" i="9"/>
  <c r="C473" i="9"/>
  <c r="D472" i="9"/>
  <c r="D470" i="9"/>
  <c r="F470" i="9"/>
  <c r="F472" i="9"/>
  <c r="F473" i="9"/>
  <c r="K432" i="9"/>
  <c r="P432" i="9" s="1"/>
  <c r="J438" i="9" s="1"/>
  <c r="AF30" i="9" s="1"/>
  <c r="G444" i="9"/>
  <c r="G441" i="9"/>
  <c r="G443" i="9"/>
  <c r="G414" i="9"/>
  <c r="G412" i="9"/>
  <c r="G415" i="9"/>
  <c r="C412" i="9"/>
  <c r="E414" i="9"/>
  <c r="C386" i="9"/>
  <c r="J374" i="9"/>
  <c r="T141" i="9" s="1"/>
  <c r="D386" i="9"/>
  <c r="D382" i="9" s="1"/>
  <c r="U139" i="9" s="1"/>
  <c r="F386" i="9"/>
  <c r="E386" i="9"/>
  <c r="G383" i="9"/>
  <c r="F385" i="9"/>
  <c r="G385" i="9"/>
  <c r="G386" i="9"/>
  <c r="F383" i="9"/>
  <c r="E356" i="9"/>
  <c r="D357" i="9"/>
  <c r="J316" i="9"/>
  <c r="T121" i="9" s="1"/>
  <c r="K316" i="9"/>
  <c r="P316" i="9" s="1"/>
  <c r="J322" i="9" s="1"/>
  <c r="AF26" i="9" s="1"/>
  <c r="G327" i="9"/>
  <c r="G324" i="9" s="1"/>
  <c r="X119" i="9" s="1"/>
  <c r="D328" i="9"/>
  <c r="D325" i="9"/>
  <c r="D327" i="9"/>
  <c r="C299" i="9"/>
  <c r="C295" i="9" s="1"/>
  <c r="T109" i="9" s="1"/>
  <c r="F299" i="9"/>
  <c r="F295" i="9" s="1"/>
  <c r="W109" i="9" s="1"/>
  <c r="G270" i="9"/>
  <c r="G269" i="9"/>
  <c r="G267" i="9"/>
  <c r="E270" i="9"/>
  <c r="E267" i="9"/>
  <c r="C270" i="9"/>
  <c r="D269" i="9"/>
  <c r="E269" i="9"/>
  <c r="D267" i="9"/>
  <c r="D270" i="9"/>
  <c r="G238" i="9"/>
  <c r="G240" i="9"/>
  <c r="G237" i="9" s="1"/>
  <c r="C241" i="9"/>
  <c r="E240" i="9"/>
  <c r="E241" i="9"/>
  <c r="D211" i="9"/>
  <c r="D208" i="9" s="1"/>
  <c r="J171" i="9"/>
  <c r="T71" i="9" s="1"/>
  <c r="K171" i="9"/>
  <c r="P171" i="9" s="1"/>
  <c r="C182" i="9"/>
  <c r="C179" i="9" s="1"/>
  <c r="K113" i="9"/>
  <c r="P113" i="9" s="1"/>
  <c r="J113" i="9"/>
  <c r="T51" i="9" s="1"/>
  <c r="U276" i="9"/>
  <c r="U277" i="9" s="1"/>
  <c r="T160" i="9"/>
  <c r="E557" i="9"/>
  <c r="E560" i="9"/>
  <c r="E383" i="9"/>
  <c r="D356" i="9"/>
  <c r="T140" i="9"/>
  <c r="D354" i="9"/>
  <c r="X290" i="9"/>
  <c r="V276" i="9"/>
  <c r="V277" i="9" s="1"/>
  <c r="E212" i="9"/>
  <c r="E208" i="9" s="1"/>
  <c r="D209" i="9"/>
  <c r="F269" i="9"/>
  <c r="F267" i="9"/>
  <c r="F270" i="9"/>
  <c r="F328" i="9"/>
  <c r="F324" i="9" s="1"/>
  <c r="W119" i="9" s="1"/>
  <c r="E325" i="9"/>
  <c r="E327" i="9"/>
  <c r="E328" i="9"/>
  <c r="E354" i="9"/>
  <c r="E357" i="9"/>
  <c r="E412" i="9"/>
  <c r="E415" i="9"/>
  <c r="C415" i="9"/>
  <c r="E444" i="9"/>
  <c r="E473" i="9"/>
  <c r="F502" i="9"/>
  <c r="E501" i="9"/>
  <c r="F530" i="9"/>
  <c r="F531" i="9"/>
  <c r="F528" i="9"/>
  <c r="G559" i="9"/>
  <c r="G557" i="9"/>
  <c r="G560" i="9"/>
  <c r="G589" i="9"/>
  <c r="G586" i="9"/>
  <c r="E209" i="9"/>
  <c r="C531" i="9"/>
  <c r="C527" i="9" s="1"/>
  <c r="T189" i="9" s="1"/>
  <c r="D588" i="9"/>
  <c r="D585" i="9" s="1"/>
  <c r="U209" i="9" s="1"/>
  <c r="G472" i="9"/>
  <c r="V228" i="9"/>
  <c r="G470" i="9"/>
  <c r="E443" i="9"/>
  <c r="G473" i="9"/>
  <c r="E441" i="9"/>
  <c r="C470" i="9"/>
  <c r="G501" i="9"/>
  <c r="U219" i="9"/>
  <c r="D560" i="9"/>
  <c r="D556" i="9" s="1"/>
  <c r="U199" i="9" s="1"/>
  <c r="E298" i="9"/>
  <c r="E295" i="9" s="1"/>
  <c r="V109" i="9" s="1"/>
  <c r="G38" i="9"/>
  <c r="G499" i="9"/>
  <c r="U220" i="9"/>
  <c r="G502" i="9"/>
  <c r="D443" i="9"/>
  <c r="X223" i="9"/>
  <c r="D441" i="9"/>
  <c r="AA214" i="9"/>
  <c r="D444" i="9"/>
  <c r="C589" i="9"/>
  <c r="G528" i="9"/>
  <c r="W276" i="9"/>
  <c r="W277" i="9" s="1"/>
  <c r="U223" i="9"/>
  <c r="C327" i="9"/>
  <c r="C324" i="9" s="1"/>
  <c r="T119" i="9" s="1"/>
  <c r="AA174" i="9"/>
  <c r="W228" i="9"/>
  <c r="G531" i="9"/>
  <c r="D528" i="9"/>
  <c r="U188" i="9"/>
  <c r="AA194" i="9"/>
  <c r="F443" i="9"/>
  <c r="W24" i="9"/>
  <c r="W219" i="9"/>
  <c r="F357" i="9"/>
  <c r="F441" i="9"/>
  <c r="G298" i="9"/>
  <c r="G295" i="9" s="1"/>
  <c r="X109" i="9" s="1"/>
  <c r="G211" i="9"/>
  <c r="G208" i="9" s="1"/>
  <c r="AA184" i="9"/>
  <c r="V219" i="9"/>
  <c r="T188" i="9"/>
  <c r="C528" i="9"/>
  <c r="D586" i="9"/>
  <c r="U208" i="9"/>
  <c r="D501" i="9"/>
  <c r="C443" i="9"/>
  <c r="F356" i="9"/>
  <c r="F354" i="9"/>
  <c r="F444" i="9"/>
  <c r="D240" i="9"/>
  <c r="C472" i="9"/>
  <c r="T170" i="9"/>
  <c r="D502" i="9"/>
  <c r="F414" i="9"/>
  <c r="C441" i="9"/>
  <c r="C354" i="9"/>
  <c r="T24" i="9"/>
  <c r="T231" i="9" s="1"/>
  <c r="T219" i="9"/>
  <c r="U228" i="9"/>
  <c r="F557" i="9"/>
  <c r="W198" i="9"/>
  <c r="AA204" i="9"/>
  <c r="D557" i="9"/>
  <c r="U198" i="9"/>
  <c r="E586" i="9"/>
  <c r="V208" i="9"/>
  <c r="C383" i="9"/>
  <c r="C444" i="9"/>
  <c r="C357" i="9"/>
  <c r="U224" i="9"/>
  <c r="C557" i="9"/>
  <c r="T198" i="9"/>
  <c r="E528" i="9"/>
  <c r="V188" i="9"/>
  <c r="F211" i="9"/>
  <c r="D241" i="9"/>
  <c r="D415" i="9"/>
  <c r="C414" i="9"/>
  <c r="T150" i="9"/>
  <c r="F212" i="9"/>
  <c r="D414" i="9"/>
  <c r="F588" i="9"/>
  <c r="W210" i="9"/>
  <c r="F412" i="9"/>
  <c r="V220" i="9"/>
  <c r="AA154" i="9"/>
  <c r="D499" i="9"/>
  <c r="U291" i="9"/>
  <c r="U292" i="9" s="1"/>
  <c r="D412" i="9"/>
  <c r="X219" i="9"/>
  <c r="W220" i="9"/>
  <c r="F415" i="9"/>
  <c r="C267" i="9"/>
  <c r="C385" i="9"/>
  <c r="E589" i="9"/>
  <c r="E585" i="9" s="1"/>
  <c r="V209" i="9" s="1"/>
  <c r="F589" i="9"/>
  <c r="K550" i="9"/>
  <c r="P550" i="9" s="1"/>
  <c r="J554" i="9" s="1"/>
  <c r="AF34" i="9" s="1"/>
  <c r="V200" i="9"/>
  <c r="AA164" i="9"/>
  <c r="K376" i="9"/>
  <c r="P376" i="9" s="1"/>
  <c r="J380" i="9" s="1"/>
  <c r="AF28" i="9" s="1"/>
  <c r="V140" i="9"/>
  <c r="D296" i="9"/>
  <c r="D298" i="9"/>
  <c r="G356" i="9"/>
  <c r="AA144" i="9"/>
  <c r="F240" i="9"/>
  <c r="G354" i="9"/>
  <c r="G357" i="9"/>
  <c r="F241" i="9"/>
  <c r="D299" i="9"/>
  <c r="C356" i="9"/>
  <c r="T130" i="9"/>
  <c r="D383" i="9"/>
  <c r="U138" i="9"/>
  <c r="G325" i="9"/>
  <c r="X118" i="9"/>
  <c r="F296" i="9"/>
  <c r="W108" i="9"/>
  <c r="C296" i="9"/>
  <c r="T108" i="9"/>
  <c r="F325" i="9"/>
  <c r="W118" i="9"/>
  <c r="C325" i="9"/>
  <c r="T118" i="9"/>
  <c r="G296" i="9"/>
  <c r="X108" i="9"/>
  <c r="E296" i="9"/>
  <c r="V108" i="9"/>
  <c r="V61" i="9"/>
  <c r="V282" i="9" s="1"/>
  <c r="V283" i="9" s="1"/>
  <c r="I90" i="9"/>
  <c r="AE18" i="9" s="1"/>
  <c r="AE22" i="9"/>
  <c r="E125" i="9"/>
  <c r="V48" i="9"/>
  <c r="AA104" i="9"/>
  <c r="AA94" i="9"/>
  <c r="C37" i="9"/>
  <c r="C34" i="9" s="1"/>
  <c r="T19" i="9" s="1"/>
  <c r="T134" i="9"/>
  <c r="T242" i="9" s="1"/>
  <c r="T88" i="9"/>
  <c r="V78" i="9"/>
  <c r="V124" i="9"/>
  <c r="V241" i="9" s="1"/>
  <c r="V71" i="9"/>
  <c r="U78" i="9"/>
  <c r="U124" i="9"/>
  <c r="U241" i="9" s="1"/>
  <c r="V91" i="9"/>
  <c r="C269" i="9"/>
  <c r="T100" i="9"/>
  <c r="I32" i="9"/>
  <c r="AE16" i="9" s="1"/>
  <c r="W81" i="9"/>
  <c r="C211" i="9"/>
  <c r="C208" i="9" s="1"/>
  <c r="T80" i="9"/>
  <c r="C240" i="9"/>
  <c r="T90" i="9"/>
  <c r="X91" i="9"/>
  <c r="G209" i="9"/>
  <c r="X78" i="9"/>
  <c r="X124" i="9"/>
  <c r="X241" i="9" s="1"/>
  <c r="W78" i="9"/>
  <c r="W124" i="9"/>
  <c r="W241" i="9" s="1"/>
  <c r="C93" i="9"/>
  <c r="T38" i="9"/>
  <c r="V88" i="9"/>
  <c r="V134" i="9"/>
  <c r="V242" i="9" s="1"/>
  <c r="AE23" i="9"/>
  <c r="K116" i="9"/>
  <c r="P116" i="9" s="1"/>
  <c r="J119" i="9" s="1"/>
  <c r="AF19" i="9" s="1"/>
  <c r="W50" i="9"/>
  <c r="W281" i="9" s="1"/>
  <c r="V81" i="9"/>
  <c r="X81" i="9"/>
  <c r="E96" i="9"/>
  <c r="V38" i="9"/>
  <c r="AA84" i="9"/>
  <c r="W91" i="9"/>
  <c r="F183" i="9"/>
  <c r="W114" i="9"/>
  <c r="W134" i="9"/>
  <c r="W242" i="9" s="1"/>
  <c r="W88" i="9"/>
  <c r="X88" i="9"/>
  <c r="X134" i="9"/>
  <c r="X242" i="9" s="1"/>
  <c r="U88" i="9"/>
  <c r="U134" i="9"/>
  <c r="U242" i="9" s="1"/>
  <c r="T78" i="9"/>
  <c r="E95" i="9"/>
  <c r="E93" i="9"/>
  <c r="E559" i="9"/>
  <c r="K345" i="9"/>
  <c r="P345" i="9" s="1"/>
  <c r="J351" i="9" s="1"/>
  <c r="AF27" i="9" s="1"/>
  <c r="J345" i="9"/>
  <c r="T131" i="9" s="1"/>
  <c r="U18" i="9"/>
  <c r="D38" i="9"/>
  <c r="D37" i="9"/>
  <c r="E385" i="9"/>
  <c r="F180" i="9"/>
  <c r="E38" i="9"/>
  <c r="E35" i="9"/>
  <c r="E37" i="9"/>
  <c r="G37" i="9"/>
  <c r="G154" i="9"/>
  <c r="C35" i="9"/>
  <c r="T18" i="9"/>
  <c r="G35" i="9"/>
  <c r="E179" i="9"/>
  <c r="J177" i="9"/>
  <c r="AF21" i="9" s="1"/>
  <c r="W28" i="9"/>
  <c r="D151" i="9"/>
  <c r="E122" i="9"/>
  <c r="W275" i="9"/>
  <c r="E124" i="9"/>
  <c r="C154" i="9"/>
  <c r="F122" i="9"/>
  <c r="AA74" i="9"/>
  <c r="F125" i="9"/>
  <c r="G179" i="9"/>
  <c r="D179" i="9"/>
  <c r="W68" i="9"/>
  <c r="F182" i="9"/>
  <c r="G66" i="9"/>
  <c r="G67" i="9"/>
  <c r="G64" i="9"/>
  <c r="D153" i="9"/>
  <c r="D154" i="9"/>
  <c r="J293" i="9"/>
  <c r="AF25" i="9" s="1"/>
  <c r="J26" i="9"/>
  <c r="T21" i="9" s="1"/>
  <c r="C95" i="9"/>
  <c r="G153" i="9"/>
  <c r="C96" i="9"/>
  <c r="F66" i="9"/>
  <c r="X58" i="9"/>
  <c r="X278" i="9" s="1"/>
  <c r="F67" i="9"/>
  <c r="T58" i="9"/>
  <c r="J376" i="9"/>
  <c r="V141" i="9" s="1"/>
  <c r="K26" i="9"/>
  <c r="P26" i="9" s="1"/>
  <c r="J32" i="9" s="1"/>
  <c r="AF16" i="9" s="1"/>
  <c r="C556" i="9"/>
  <c r="T199" i="9" s="1"/>
  <c r="U275" i="9"/>
  <c r="F124" i="9"/>
  <c r="U281" i="9"/>
  <c r="G95" i="9"/>
  <c r="G93" i="9"/>
  <c r="G96" i="9"/>
  <c r="J550" i="9"/>
  <c r="V201" i="9" s="1"/>
  <c r="X281" i="9"/>
  <c r="K523" i="9"/>
  <c r="P523" i="9" s="1"/>
  <c r="J525" i="9" s="1"/>
  <c r="AF33" i="9" s="1"/>
  <c r="J523" i="9"/>
  <c r="X191" i="9" s="1"/>
  <c r="K461" i="9"/>
  <c r="P461" i="9" s="1"/>
  <c r="J467" i="9" s="1"/>
  <c r="AF31" i="9" s="1"/>
  <c r="J461" i="9"/>
  <c r="T171" i="9" s="1"/>
  <c r="J403" i="9"/>
  <c r="T151" i="9" s="1"/>
  <c r="K403" i="9"/>
  <c r="P403" i="9" s="1"/>
  <c r="J409" i="9" s="1"/>
  <c r="AF29" i="9" s="1"/>
  <c r="K580" i="9"/>
  <c r="P580" i="9" s="1"/>
  <c r="J580" i="9"/>
  <c r="W211" i="9" s="1"/>
  <c r="G530" i="9"/>
  <c r="D95" i="9"/>
  <c r="K229" i="9"/>
  <c r="P229" i="9" s="1"/>
  <c r="J235" i="9" s="1"/>
  <c r="J229" i="9"/>
  <c r="T91" i="9" s="1"/>
  <c r="V281" i="9"/>
  <c r="T275" i="9"/>
  <c r="D93" i="9"/>
  <c r="D96" i="9"/>
  <c r="X282" i="9"/>
  <c r="X283" i="9" s="1"/>
  <c r="J116" i="9"/>
  <c r="G124" i="9"/>
  <c r="G122" i="9"/>
  <c r="W18" i="9"/>
  <c r="F38" i="9"/>
  <c r="F35" i="9"/>
  <c r="F37" i="9"/>
  <c r="G125" i="9"/>
  <c r="J200" i="9"/>
  <c r="T81" i="9" s="1"/>
  <c r="K200" i="9"/>
  <c r="P200" i="9" s="1"/>
  <c r="J206" i="9" s="1"/>
  <c r="K258" i="9"/>
  <c r="P258" i="9" s="1"/>
  <c r="J264" i="9" s="1"/>
  <c r="AF24" i="9" s="1"/>
  <c r="J258" i="9"/>
  <c r="T101" i="9" s="1"/>
  <c r="E64" i="9"/>
  <c r="V28" i="9"/>
  <c r="E67" i="9"/>
  <c r="E66" i="9"/>
  <c r="C125" i="9"/>
  <c r="C122" i="9"/>
  <c r="C124" i="9"/>
  <c r="T40" i="9"/>
  <c r="K84" i="9"/>
  <c r="P84" i="9" s="1"/>
  <c r="J90" i="9" s="1"/>
  <c r="AF18" i="9" s="1"/>
  <c r="J84" i="9"/>
  <c r="T41" i="9" s="1"/>
  <c r="U290" i="9"/>
  <c r="C67" i="9"/>
  <c r="C64" i="9"/>
  <c r="C66" i="9"/>
  <c r="T28" i="9"/>
  <c r="F96" i="9"/>
  <c r="F93" i="9"/>
  <c r="F95" i="9"/>
  <c r="W58" i="9"/>
  <c r="F154" i="9"/>
  <c r="F151" i="9"/>
  <c r="F153" i="9"/>
  <c r="D122" i="9"/>
  <c r="D125" i="9"/>
  <c r="D124" i="9"/>
  <c r="T30" i="9"/>
  <c r="K55" i="9"/>
  <c r="P55" i="9" s="1"/>
  <c r="J61" i="9" s="1"/>
  <c r="AF17" i="9" s="1"/>
  <c r="J55" i="9"/>
  <c r="T31" i="9" s="1"/>
  <c r="E154" i="9"/>
  <c r="V58" i="9"/>
  <c r="E151" i="9"/>
  <c r="E153" i="9"/>
  <c r="T60" i="9"/>
  <c r="K142" i="9"/>
  <c r="P142" i="9" s="1"/>
  <c r="J148" i="9" s="1"/>
  <c r="AF20" i="9" s="1"/>
  <c r="J142" i="9"/>
  <c r="T61" i="9" s="1"/>
  <c r="U282" i="9"/>
  <c r="U283" i="9" s="1"/>
  <c r="C153" i="9"/>
  <c r="D64" i="9"/>
  <c r="U28" i="9"/>
  <c r="D67" i="9"/>
  <c r="D66" i="9"/>
  <c r="V275" i="9"/>
  <c r="AA275" i="9" l="1"/>
  <c r="E469" i="9"/>
  <c r="V169" i="9" s="1"/>
  <c r="AA114" i="9"/>
  <c r="W240" i="9"/>
  <c r="W291" i="9"/>
  <c r="W292" i="9" s="1"/>
  <c r="W231" i="9"/>
  <c r="T291" i="9"/>
  <c r="T292" i="9" s="1"/>
  <c r="T227" i="9"/>
  <c r="Z275" i="9"/>
  <c r="AX13" i="9"/>
  <c r="W290" i="9"/>
  <c r="J583" i="9"/>
  <c r="AF35" i="9" s="1"/>
  <c r="G585" i="9"/>
  <c r="X209" i="9" s="1"/>
  <c r="C585" i="9"/>
  <c r="T209" i="9" s="1"/>
  <c r="G556" i="9"/>
  <c r="X199" i="9" s="1"/>
  <c r="F498" i="9"/>
  <c r="W179" i="9" s="1"/>
  <c r="E498" i="9"/>
  <c r="V179" i="9" s="1"/>
  <c r="C498" i="9"/>
  <c r="T179" i="9" s="1"/>
  <c r="C469" i="9"/>
  <c r="T169" i="9" s="1"/>
  <c r="D469" i="9"/>
  <c r="U169" i="9" s="1"/>
  <c r="F469" i="9"/>
  <c r="W169" i="9" s="1"/>
  <c r="G440" i="9"/>
  <c r="X159" i="9" s="1"/>
  <c r="G411" i="9"/>
  <c r="X149" i="9" s="1"/>
  <c r="E411" i="9"/>
  <c r="V149" i="9" s="1"/>
  <c r="C411" i="9"/>
  <c r="T149" i="9" s="1"/>
  <c r="C382" i="9"/>
  <c r="T139" i="9" s="1"/>
  <c r="E382" i="9"/>
  <c r="V139" i="9" s="1"/>
  <c r="F382" i="9"/>
  <c r="W139" i="9" s="1"/>
  <c r="G382" i="9"/>
  <c r="X139" i="9" s="1"/>
  <c r="E353" i="9"/>
  <c r="V129" i="9" s="1"/>
  <c r="D353" i="9"/>
  <c r="U129" i="9" s="1"/>
  <c r="D324" i="9"/>
  <c r="U119" i="9" s="1"/>
  <c r="G266" i="9"/>
  <c r="X99" i="9" s="1"/>
  <c r="E266" i="9"/>
  <c r="V99" i="9" s="1"/>
  <c r="C266" i="9"/>
  <c r="T99" i="9" s="1"/>
  <c r="D266" i="9"/>
  <c r="U99" i="9" s="1"/>
  <c r="E237" i="9"/>
  <c r="V89" i="9" s="1"/>
  <c r="C237" i="9"/>
  <c r="T89" i="9" s="1"/>
  <c r="D440" i="9"/>
  <c r="U159" i="9" s="1"/>
  <c r="E556" i="9"/>
  <c r="V199" i="9" s="1"/>
  <c r="G469" i="9"/>
  <c r="X169" i="9" s="1"/>
  <c r="E324" i="9"/>
  <c r="V119" i="9" s="1"/>
  <c r="F527" i="9"/>
  <c r="W189" i="9" s="1"/>
  <c r="F411" i="9"/>
  <c r="W149" i="9" s="1"/>
  <c r="V223" i="9"/>
  <c r="V227" i="9"/>
  <c r="G34" i="9"/>
  <c r="X19" i="9" s="1"/>
  <c r="F440" i="9"/>
  <c r="W159" i="9" s="1"/>
  <c r="G498" i="9"/>
  <c r="X179" i="9" s="1"/>
  <c r="F266" i="9"/>
  <c r="W99" i="9" s="1"/>
  <c r="F237" i="9"/>
  <c r="W89" i="9" s="1"/>
  <c r="E440" i="9"/>
  <c r="V159" i="9" s="1"/>
  <c r="G353" i="9"/>
  <c r="X129" i="9" s="1"/>
  <c r="D237" i="9"/>
  <c r="U89" i="9" s="1"/>
  <c r="F353" i="9"/>
  <c r="W129" i="9" s="1"/>
  <c r="D498" i="9"/>
  <c r="U179" i="9" s="1"/>
  <c r="F585" i="9"/>
  <c r="W209" i="9" s="1"/>
  <c r="F208" i="9"/>
  <c r="W79" i="9" s="1"/>
  <c r="X227" i="9"/>
  <c r="U227" i="9"/>
  <c r="D295" i="9"/>
  <c r="U109" i="9" s="1"/>
  <c r="F179" i="9"/>
  <c r="W69" i="9" s="1"/>
  <c r="X224" i="9"/>
  <c r="V224" i="9"/>
  <c r="T223" i="9"/>
  <c r="V221" i="9"/>
  <c r="AA24" i="9"/>
  <c r="C440" i="9"/>
  <c r="T159" i="9" s="1"/>
  <c r="AZ25" i="9"/>
  <c r="BB21" i="9"/>
  <c r="AZ19" i="9"/>
  <c r="AX17" i="9"/>
  <c r="BC15" i="9"/>
  <c r="AX18" i="9"/>
  <c r="AZ24" i="9"/>
  <c r="BA21" i="9"/>
  <c r="AY19" i="9"/>
  <c r="BC16" i="9"/>
  <c r="BC14" i="9"/>
  <c r="AX15" i="9"/>
  <c r="AZ23" i="9"/>
  <c r="AZ21" i="9"/>
  <c r="BC18" i="9"/>
  <c r="BB16" i="9"/>
  <c r="BB14" i="9"/>
  <c r="AX14" i="9"/>
  <c r="BC25" i="9"/>
  <c r="AY25" i="9"/>
  <c r="AY21" i="9"/>
  <c r="BB18" i="9"/>
  <c r="BA16" i="9"/>
  <c r="BA14" i="9"/>
  <c r="BC24" i="9"/>
  <c r="AY24" i="9"/>
  <c r="BC20" i="9"/>
  <c r="BA18" i="9"/>
  <c r="AZ16" i="9"/>
  <c r="AZ14" i="9"/>
  <c r="BA13" i="9"/>
  <c r="BC23" i="9"/>
  <c r="AY23" i="9"/>
  <c r="BB20" i="9"/>
  <c r="AZ18" i="9"/>
  <c r="AY16" i="9"/>
  <c r="AX25" i="9"/>
  <c r="AZ13" i="9"/>
  <c r="BB25" i="9"/>
  <c r="BC22" i="9"/>
  <c r="BA20" i="9"/>
  <c r="AY18" i="9"/>
  <c r="AX16" i="9"/>
  <c r="AX24" i="9"/>
  <c r="AY13" i="9"/>
  <c r="BB24" i="9"/>
  <c r="BB22" i="9"/>
  <c r="AZ20" i="9"/>
  <c r="BC17" i="9"/>
  <c r="BB15" i="9"/>
  <c r="AX23" i="9"/>
  <c r="BC13" i="9"/>
  <c r="BB23" i="9"/>
  <c r="BA22" i="9"/>
  <c r="AY20" i="9"/>
  <c r="BB17" i="9"/>
  <c r="AY15" i="9"/>
  <c r="AX22" i="9"/>
  <c r="BB13" i="9"/>
  <c r="BA25" i="9"/>
  <c r="AZ22" i="9"/>
  <c r="BC19" i="9"/>
  <c r="BA17" i="9"/>
  <c r="AY14" i="9"/>
  <c r="AX21" i="9"/>
  <c r="BA24" i="9"/>
  <c r="AY22" i="9"/>
  <c r="BB19" i="9"/>
  <c r="AZ17" i="9"/>
  <c r="AZ15" i="9"/>
  <c r="AX20" i="9"/>
  <c r="BA23" i="9"/>
  <c r="BC21" i="9"/>
  <c r="BA19" i="9"/>
  <c r="AY17" i="9"/>
  <c r="BA15" i="9"/>
  <c r="AX19" i="9"/>
  <c r="C353" i="9"/>
  <c r="T129" i="9" s="1"/>
  <c r="D411" i="9"/>
  <c r="U149" i="9" s="1"/>
  <c r="U221" i="9"/>
  <c r="T224" i="9"/>
  <c r="X221" i="9"/>
  <c r="W227" i="9"/>
  <c r="E121" i="9"/>
  <c r="V49" i="9" s="1"/>
  <c r="W221" i="9"/>
  <c r="G527" i="9"/>
  <c r="X189" i="9" s="1"/>
  <c r="T290" i="9"/>
  <c r="T221" i="9"/>
  <c r="W223" i="9"/>
  <c r="T79" i="9"/>
  <c r="W51" i="9"/>
  <c r="T69" i="9"/>
  <c r="E92" i="9"/>
  <c r="V39" i="9" s="1"/>
  <c r="U79" i="9"/>
  <c r="AF23" i="9"/>
  <c r="X89" i="9"/>
  <c r="X79" i="9"/>
  <c r="V69" i="9"/>
  <c r="AA124" i="9"/>
  <c r="U69" i="9"/>
  <c r="X69" i="9"/>
  <c r="AA134" i="9"/>
  <c r="V79" i="9"/>
  <c r="AF22" i="9"/>
  <c r="D34" i="9"/>
  <c r="U19" i="9" s="1"/>
  <c r="E34" i="9"/>
  <c r="V19" i="9" s="1"/>
  <c r="G150" i="9"/>
  <c r="X59" i="9" s="1"/>
  <c r="C150" i="9"/>
  <c r="T59" i="9" s="1"/>
  <c r="D150" i="9"/>
  <c r="U59" i="9" s="1"/>
  <c r="F121" i="9"/>
  <c r="W49" i="9" s="1"/>
  <c r="C92" i="9"/>
  <c r="T39" i="9" s="1"/>
  <c r="F92" i="9"/>
  <c r="W39" i="9" s="1"/>
  <c r="G63" i="9"/>
  <c r="X29" i="9" s="1"/>
  <c r="F63" i="9"/>
  <c r="W29" i="9" s="1"/>
  <c r="G92" i="9"/>
  <c r="X39" i="9" s="1"/>
  <c r="T278" i="9"/>
  <c r="U278" i="9"/>
  <c r="F150" i="9"/>
  <c r="W59" i="9" s="1"/>
  <c r="E150" i="9"/>
  <c r="V59" i="9" s="1"/>
  <c r="C121" i="9"/>
  <c r="T49" i="9" s="1"/>
  <c r="E63" i="9"/>
  <c r="V29" i="9" s="1"/>
  <c r="G121" i="9"/>
  <c r="X49" i="9" s="1"/>
  <c r="D121" i="9"/>
  <c r="U49" i="9" s="1"/>
  <c r="D92" i="9"/>
  <c r="U39" i="9" s="1"/>
  <c r="T281" i="9"/>
  <c r="F34" i="9"/>
  <c r="W19" i="9" s="1"/>
  <c r="C63" i="9"/>
  <c r="T29" i="9" s="1"/>
  <c r="V291" i="9"/>
  <c r="V292" i="9" s="1"/>
  <c r="V290" i="9"/>
  <c r="D63" i="9"/>
  <c r="U29" i="9" s="1"/>
  <c r="W278" i="9"/>
  <c r="T282" i="9"/>
  <c r="T283" i="9" s="1"/>
  <c r="V278" i="9"/>
  <c r="BD19" i="9" l="1"/>
  <c r="BD24" i="9"/>
  <c r="BD13" i="9"/>
  <c r="BD22" i="9"/>
  <c r="BD20" i="9"/>
  <c r="BD18" i="9"/>
  <c r="BD17" i="9"/>
  <c r="BD23" i="9"/>
  <c r="BD14" i="9"/>
  <c r="BD25" i="9"/>
  <c r="BD16" i="9"/>
  <c r="BD15" i="9"/>
  <c r="BD21" i="9"/>
  <c r="X222" i="9"/>
  <c r="T222" i="9"/>
  <c r="W282" i="9"/>
  <c r="W283" i="9" s="1"/>
  <c r="W224" i="9"/>
  <c r="V222" i="9"/>
  <c r="AA290" i="9"/>
  <c r="U222" i="9"/>
  <c r="W222" i="9"/>
  <c r="V279" i="9"/>
  <c r="V280" i="9" s="1"/>
  <c r="X279" i="9"/>
  <c r="X280" i="9" s="1"/>
  <c r="W279" i="9"/>
  <c r="W280" i="9" s="1"/>
  <c r="T279" i="9"/>
  <c r="T280" i="9" s="1"/>
  <c r="U279" i="9"/>
  <c r="U280" i="9" s="1"/>
  <c r="BI64" i="9" l="1"/>
  <c r="BJ64" i="9" s="1"/>
  <c r="BJ263" i="9"/>
  <c r="BJ262" i="9"/>
  <c r="BI65" i="9"/>
  <c r="BJ65" i="9" s="1"/>
  <c r="BL65" i="9"/>
  <c r="BI66" i="9" l="1"/>
  <c r="BI68" i="9"/>
  <c r="BJ68" i="9" s="1"/>
  <c r="BI80" i="9"/>
  <c r="BJ80" i="9" s="1"/>
  <c r="BI69" i="9"/>
  <c r="BJ69" i="9" s="1"/>
  <c r="BI81" i="9"/>
  <c r="BJ81" i="9" s="1"/>
  <c r="BI93" i="9"/>
  <c r="BJ93" i="9" s="1"/>
  <c r="BI105" i="9"/>
  <c r="BJ105" i="9" s="1"/>
  <c r="BI117" i="9"/>
  <c r="BJ117" i="9" s="1"/>
  <c r="BI129" i="9"/>
  <c r="BJ129" i="9" s="1"/>
  <c r="BI141" i="9"/>
  <c r="BJ141" i="9" s="1"/>
  <c r="BI153" i="9"/>
  <c r="BJ153" i="9" s="1"/>
  <c r="BI165" i="9"/>
  <c r="BJ165" i="9" s="1"/>
  <c r="BI177" i="9"/>
  <c r="BJ177" i="9" s="1"/>
  <c r="BI189" i="9"/>
  <c r="BJ189" i="9" s="1"/>
  <c r="BI201" i="9"/>
  <c r="BJ201" i="9" s="1"/>
  <c r="BI213" i="9"/>
  <c r="BJ213" i="9" s="1"/>
  <c r="BI225" i="9"/>
  <c r="BJ225" i="9" s="1"/>
  <c r="BI237" i="9"/>
  <c r="BJ237" i="9" s="1"/>
  <c r="BI249" i="9"/>
  <c r="BJ249" i="9" s="1"/>
  <c r="BI261" i="9"/>
  <c r="BJ261" i="9" s="1"/>
  <c r="BI70" i="9"/>
  <c r="BJ70" i="9" s="1"/>
  <c r="BI98" i="9"/>
  <c r="BJ98" i="9" s="1"/>
  <c r="BI170" i="9"/>
  <c r="BJ170" i="9" s="1"/>
  <c r="BI254" i="9"/>
  <c r="BJ254" i="9" s="1"/>
  <c r="BI146" i="9"/>
  <c r="BJ146" i="9" s="1"/>
  <c r="BI218" i="9"/>
  <c r="BJ218" i="9" s="1"/>
  <c r="BI86" i="9"/>
  <c r="BJ86" i="9" s="1"/>
  <c r="BI134" i="9"/>
  <c r="BJ134" i="9" s="1"/>
  <c r="BI194" i="9"/>
  <c r="BJ194" i="9" s="1"/>
  <c r="BI230" i="9"/>
  <c r="BJ230" i="9" s="1"/>
  <c r="BI110" i="9"/>
  <c r="BJ110" i="9" s="1"/>
  <c r="BI158" i="9"/>
  <c r="BJ158" i="9" s="1"/>
  <c r="BI206" i="9"/>
  <c r="BJ206" i="9" s="1"/>
  <c r="BI122" i="9"/>
  <c r="BJ122" i="9" s="1"/>
  <c r="BI182" i="9"/>
  <c r="BJ182" i="9" s="1"/>
  <c r="BI242" i="9"/>
  <c r="BJ242" i="9" s="1"/>
  <c r="BI90" i="9"/>
  <c r="BJ90" i="9" s="1"/>
  <c r="BI102" i="9"/>
  <c r="BJ102" i="9" s="1"/>
  <c r="BI114" i="9"/>
  <c r="BJ114" i="9" s="1"/>
  <c r="BI126" i="9"/>
  <c r="BJ126" i="9" s="1"/>
  <c r="BI138" i="9"/>
  <c r="BJ138" i="9" s="1"/>
  <c r="BI150" i="9"/>
  <c r="BJ150" i="9" s="1"/>
  <c r="BI162" i="9"/>
  <c r="BJ162" i="9" s="1"/>
  <c r="BI174" i="9"/>
  <c r="BJ174" i="9" s="1"/>
  <c r="BI186" i="9"/>
  <c r="BJ186" i="9" s="1"/>
  <c r="BI198" i="9"/>
  <c r="BJ198" i="9" s="1"/>
  <c r="BI210" i="9"/>
  <c r="BJ210" i="9" s="1"/>
  <c r="BI222" i="9"/>
  <c r="BJ222" i="9" s="1"/>
  <c r="BI234" i="9"/>
  <c r="BJ234" i="9" s="1"/>
  <c r="BI246" i="9"/>
  <c r="BJ246" i="9" s="1"/>
  <c r="BI258" i="9"/>
  <c r="BJ258" i="9" s="1"/>
  <c r="BI173" i="9"/>
  <c r="BJ173" i="9" s="1"/>
  <c r="BI121" i="9"/>
  <c r="BJ121" i="9" s="1"/>
  <c r="BI191" i="9"/>
  <c r="BJ191" i="9" s="1"/>
  <c r="BI168" i="9"/>
  <c r="BJ168" i="9" s="1"/>
  <c r="BI166" i="9"/>
  <c r="BJ166" i="9" s="1"/>
  <c r="BI228" i="9"/>
  <c r="BJ228" i="9" s="1"/>
  <c r="BI176" i="9"/>
  <c r="BJ176" i="9" s="1"/>
  <c r="BI211" i="9"/>
  <c r="BJ211" i="9" s="1"/>
  <c r="BI259" i="9"/>
  <c r="BJ259" i="9" s="1"/>
  <c r="BI101" i="9"/>
  <c r="BJ101" i="9" s="1"/>
  <c r="BI172" i="9"/>
  <c r="BJ172" i="9" s="1"/>
  <c r="BI231" i="9"/>
  <c r="BJ231" i="9" s="1"/>
  <c r="BI87" i="9"/>
  <c r="BJ87" i="9" s="1"/>
  <c r="BI253" i="9"/>
  <c r="BJ253" i="9" s="1"/>
  <c r="BI109" i="9"/>
  <c r="BJ109" i="9" s="1"/>
  <c r="BI179" i="9"/>
  <c r="BJ179" i="9" s="1"/>
  <c r="BI132" i="9"/>
  <c r="BJ132" i="9" s="1"/>
  <c r="BI154" i="9"/>
  <c r="BJ154" i="9" s="1"/>
  <c r="BI180" i="9"/>
  <c r="BJ180" i="9" s="1"/>
  <c r="BI164" i="9"/>
  <c r="BJ164" i="9" s="1"/>
  <c r="BI199" i="9"/>
  <c r="BJ199" i="9" s="1"/>
  <c r="BI127" i="9"/>
  <c r="BJ127" i="9" s="1"/>
  <c r="BI89" i="9"/>
  <c r="BJ89" i="9" s="1"/>
  <c r="BI160" i="9"/>
  <c r="BJ160" i="9" s="1"/>
  <c r="BI219" i="9"/>
  <c r="BJ219" i="9" s="1"/>
  <c r="BI161" i="9"/>
  <c r="BJ161" i="9" s="1"/>
  <c r="BI243" i="9"/>
  <c r="BJ243" i="9" s="1"/>
  <c r="BI241" i="9"/>
  <c r="BJ241" i="9" s="1"/>
  <c r="BI97" i="9"/>
  <c r="BJ97" i="9" s="1"/>
  <c r="BI167" i="9"/>
  <c r="BJ167" i="9" s="1"/>
  <c r="BI84" i="9"/>
  <c r="BJ84" i="9" s="1"/>
  <c r="BI142" i="9"/>
  <c r="BJ142" i="9" s="1"/>
  <c r="BI144" i="9"/>
  <c r="BJ144" i="9" s="1"/>
  <c r="BI152" i="9"/>
  <c r="BJ152" i="9" s="1"/>
  <c r="BI187" i="9"/>
  <c r="BJ187" i="9" s="1"/>
  <c r="BI75" i="9"/>
  <c r="BJ75" i="9" s="1"/>
  <c r="BI74" i="9"/>
  <c r="BJ74" i="9" s="1"/>
  <c r="BI148" i="9"/>
  <c r="BJ148" i="9" s="1"/>
  <c r="BI207" i="9"/>
  <c r="BJ207" i="9" s="1"/>
  <c r="BI71" i="9"/>
  <c r="BJ71" i="9" s="1"/>
  <c r="BI188" i="9"/>
  <c r="BJ188" i="9" s="1"/>
  <c r="BI229" i="9"/>
  <c r="BJ229" i="9" s="1"/>
  <c r="BI85" i="9"/>
  <c r="BJ85" i="9" s="1"/>
  <c r="BI155" i="9"/>
  <c r="BJ155" i="9" s="1"/>
  <c r="BI79" i="9"/>
  <c r="BJ79" i="9" s="1"/>
  <c r="BI130" i="9"/>
  <c r="BJ130" i="9" s="1"/>
  <c r="BI96" i="9"/>
  <c r="BJ96" i="9" s="1"/>
  <c r="BI140" i="9"/>
  <c r="BJ140" i="9" s="1"/>
  <c r="BI175" i="9"/>
  <c r="BJ175" i="9" s="1"/>
  <c r="BI257" i="9"/>
  <c r="BJ257" i="9" s="1"/>
  <c r="BI125" i="9"/>
  <c r="BJ125" i="9" s="1"/>
  <c r="BI136" i="9"/>
  <c r="BJ136" i="9" s="1"/>
  <c r="BI195" i="9"/>
  <c r="BJ195" i="9" s="1"/>
  <c r="BI113" i="9"/>
  <c r="BJ113" i="9" s="1"/>
  <c r="BI217" i="9"/>
  <c r="BJ217" i="9" s="1"/>
  <c r="BI240" i="9"/>
  <c r="BJ240" i="9" s="1"/>
  <c r="BI143" i="9"/>
  <c r="BJ143" i="9" s="1"/>
  <c r="BI67" i="9"/>
  <c r="BJ67" i="9" s="1"/>
  <c r="BI118" i="9"/>
  <c r="BJ118" i="9" s="1"/>
  <c r="BI77" i="9"/>
  <c r="BJ77" i="9" s="1"/>
  <c r="BI128" i="9"/>
  <c r="BJ128" i="9" s="1"/>
  <c r="BI163" i="9"/>
  <c r="BJ163" i="9" s="1"/>
  <c r="BI245" i="9"/>
  <c r="BJ245" i="9" s="1"/>
  <c r="BI73" i="9"/>
  <c r="BJ73" i="9" s="1"/>
  <c r="BI124" i="9"/>
  <c r="BJ124" i="9" s="1"/>
  <c r="BI183" i="9"/>
  <c r="BJ183" i="9" s="1"/>
  <c r="BI223" i="9"/>
  <c r="BJ223" i="9" s="1"/>
  <c r="BI205" i="9"/>
  <c r="BJ205" i="9" s="1"/>
  <c r="BI192" i="9"/>
  <c r="BJ192" i="9" s="1"/>
  <c r="BI131" i="9"/>
  <c r="BJ131" i="9" s="1"/>
  <c r="BI250" i="9"/>
  <c r="BJ250" i="9" s="1"/>
  <c r="BI106" i="9"/>
  <c r="BJ106" i="9" s="1"/>
  <c r="BI260" i="9"/>
  <c r="BJ260" i="9" s="1"/>
  <c r="BI116" i="9"/>
  <c r="BJ116" i="9" s="1"/>
  <c r="BI151" i="9"/>
  <c r="BJ151" i="9" s="1"/>
  <c r="BI233" i="9"/>
  <c r="BJ233" i="9" s="1"/>
  <c r="BI256" i="9"/>
  <c r="BJ256" i="9" s="1"/>
  <c r="BI112" i="9"/>
  <c r="BJ112" i="9" s="1"/>
  <c r="BI171" i="9"/>
  <c r="BJ171" i="9" s="1"/>
  <c r="BI184" i="9"/>
  <c r="BJ184" i="9" s="1"/>
  <c r="BI193" i="9"/>
  <c r="BJ193" i="9" s="1"/>
  <c r="BI120" i="9"/>
  <c r="BJ120" i="9" s="1"/>
  <c r="BI119" i="9"/>
  <c r="BJ119" i="9" s="1"/>
  <c r="BI238" i="9"/>
  <c r="BJ238" i="9" s="1"/>
  <c r="BI94" i="9"/>
  <c r="BJ94" i="9" s="1"/>
  <c r="BI248" i="9"/>
  <c r="BJ248" i="9" s="1"/>
  <c r="BI104" i="9"/>
  <c r="BJ104" i="9" s="1"/>
  <c r="BI139" i="9"/>
  <c r="BJ139" i="9" s="1"/>
  <c r="BI221" i="9"/>
  <c r="BJ221" i="9" s="1"/>
  <c r="BI244" i="9"/>
  <c r="BJ244" i="9" s="1"/>
  <c r="BI100" i="9"/>
  <c r="BJ100" i="9" s="1"/>
  <c r="BI159" i="9"/>
  <c r="BJ159" i="9" s="1"/>
  <c r="BI204" i="9"/>
  <c r="BJ204" i="9" s="1"/>
  <c r="BI181" i="9"/>
  <c r="BJ181" i="9" s="1"/>
  <c r="BI251" i="9"/>
  <c r="BJ251" i="9" s="1"/>
  <c r="BI107" i="9"/>
  <c r="BJ107" i="9" s="1"/>
  <c r="BI226" i="9"/>
  <c r="BJ226" i="9" s="1"/>
  <c r="BI82" i="9"/>
  <c r="BJ82" i="9" s="1"/>
  <c r="BI236" i="9"/>
  <c r="BJ236" i="9" s="1"/>
  <c r="BI92" i="9"/>
  <c r="BJ92" i="9" s="1"/>
  <c r="BI115" i="9"/>
  <c r="BJ115" i="9" s="1"/>
  <c r="BI209" i="9"/>
  <c r="BJ209" i="9" s="1"/>
  <c r="BI232" i="9"/>
  <c r="BJ232" i="9" s="1"/>
  <c r="BI88" i="9"/>
  <c r="BJ88" i="9" s="1"/>
  <c r="BI147" i="9"/>
  <c r="BJ147" i="9" s="1"/>
  <c r="BI203" i="9"/>
  <c r="BJ203" i="9" s="1"/>
  <c r="BI169" i="9"/>
  <c r="BJ169" i="9" s="1"/>
  <c r="BI239" i="9"/>
  <c r="BJ239" i="9" s="1"/>
  <c r="BI95" i="9"/>
  <c r="BJ95" i="9" s="1"/>
  <c r="BI214" i="9"/>
  <c r="BJ214" i="9" s="1"/>
  <c r="BI216" i="9"/>
  <c r="BJ216" i="9" s="1"/>
  <c r="BI224" i="9"/>
  <c r="BJ224" i="9" s="1"/>
  <c r="BI76" i="9"/>
  <c r="BJ76" i="9" s="1"/>
  <c r="BI103" i="9"/>
  <c r="BJ103" i="9" s="1"/>
  <c r="BI185" i="9"/>
  <c r="BJ185" i="9" s="1"/>
  <c r="BI220" i="9"/>
  <c r="BJ220" i="9" s="1"/>
  <c r="BI197" i="9"/>
  <c r="BJ197" i="9" s="1"/>
  <c r="BI135" i="9"/>
  <c r="BJ135" i="9" s="1"/>
  <c r="BI178" i="9"/>
  <c r="BJ178" i="9" s="1"/>
  <c r="BI157" i="9"/>
  <c r="BJ157" i="9" s="1"/>
  <c r="BI227" i="9"/>
  <c r="BJ227" i="9" s="1"/>
  <c r="BI83" i="9"/>
  <c r="BJ83" i="9" s="1"/>
  <c r="BI202" i="9"/>
  <c r="BJ202" i="9" s="1"/>
  <c r="BI156" i="9"/>
  <c r="BJ156" i="9" s="1"/>
  <c r="BI212" i="9"/>
  <c r="BJ212" i="9" s="1"/>
  <c r="BI247" i="9"/>
  <c r="BJ247" i="9" s="1"/>
  <c r="BI91" i="9"/>
  <c r="BJ91" i="9" s="1"/>
  <c r="BI149" i="9"/>
  <c r="BJ149" i="9" s="1"/>
  <c r="BI208" i="9"/>
  <c r="BJ208" i="9" s="1"/>
  <c r="BI72" i="9"/>
  <c r="BJ72" i="9" s="1"/>
  <c r="BI123" i="9"/>
  <c r="BJ123" i="9" s="1"/>
  <c r="BI78" i="9"/>
  <c r="BJ78" i="9" s="1"/>
  <c r="BI145" i="9"/>
  <c r="BJ145" i="9" s="1"/>
  <c r="BI215" i="9"/>
  <c r="BJ215" i="9" s="1"/>
  <c r="BI252" i="9"/>
  <c r="BJ252" i="9" s="1"/>
  <c r="BI190" i="9"/>
  <c r="BJ190" i="9" s="1"/>
  <c r="BI108" i="9"/>
  <c r="BJ108" i="9" s="1"/>
  <c r="BI200" i="9"/>
  <c r="BJ200" i="9" s="1"/>
  <c r="BI235" i="9"/>
  <c r="BJ235" i="9" s="1"/>
  <c r="BI137" i="9"/>
  <c r="BJ137" i="9" s="1"/>
  <c r="BI196" i="9"/>
  <c r="BJ196" i="9" s="1"/>
  <c r="BI255" i="9"/>
  <c r="BJ255" i="9" s="1"/>
  <c r="BI111" i="9"/>
  <c r="BJ111" i="9" s="1"/>
  <c r="BI133" i="9"/>
  <c r="BJ133" i="9" s="1"/>
  <c r="BI99" i="9"/>
  <c r="BJ99" i="9" s="1"/>
  <c r="BL66" i="9" l="1"/>
  <c r="BL69" i="9" s="1"/>
  <c r="BL70" i="9" s="1"/>
  <c r="BL71" i="9" s="1"/>
  <c r="BJ66" i="9"/>
  <c r="BJ264" i="9" s="1"/>
  <c r="BM66" i="9" s="1"/>
</calcChain>
</file>

<file path=xl/sharedStrings.xml><?xml version="1.0" encoding="utf-8"?>
<sst xmlns="http://schemas.openxmlformats.org/spreadsheetml/2006/main" count="24696" uniqueCount="911">
  <si>
    <t>Map</t>
  </si>
  <si>
    <t>UA</t>
  </si>
  <si>
    <t>PA</t>
  </si>
  <si>
    <t>Water</t>
  </si>
  <si>
    <t>Bare-Rock-Built</t>
  </si>
  <si>
    <t>Agriculture-Grass</t>
  </si>
  <si>
    <t>Forest</t>
  </si>
  <si>
    <t>Shrubland-Wetland</t>
  </si>
  <si>
    <t>Class</t>
  </si>
  <si>
    <t>Area[Ha]</t>
  </si>
  <si>
    <t>Sample</t>
  </si>
  <si>
    <t>Area[%]</t>
  </si>
  <si>
    <t>OA</t>
  </si>
  <si>
    <t>com_error</t>
  </si>
  <si>
    <t>omi_error</t>
  </si>
  <si>
    <t>Error Matrix 4.1</t>
  </si>
  <si>
    <t>Total Area[Ha]</t>
  </si>
  <si>
    <t>RF Result</t>
  </si>
  <si>
    <r>
      <t>W</t>
    </r>
    <r>
      <rPr>
        <vertAlign val="subscript"/>
        <sz val="11"/>
        <color theme="1"/>
        <rFont val="Aptos Narrow"/>
        <family val="2"/>
        <scheme val="minor"/>
      </rPr>
      <t>i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</si>
  <si>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+k</t>
    </r>
  </si>
  <si>
    <r>
      <t>p</t>
    </r>
    <r>
      <rPr>
        <vertAlign val="subscript"/>
        <sz val="11"/>
        <color theme="1"/>
        <rFont val="Aptos Narrow"/>
        <family val="2"/>
        <scheme val="minor"/>
      </rPr>
      <t>k+</t>
    </r>
  </si>
  <si>
    <t>Population</t>
  </si>
  <si>
    <t>Error Matrix 4.2</t>
  </si>
  <si>
    <t>Stratified Random Sampling</t>
  </si>
  <si>
    <t>O</t>
  </si>
  <si>
    <r>
      <t>n</t>
    </r>
    <r>
      <rPr>
        <vertAlign val="subscript"/>
        <sz val="11"/>
        <color theme="1"/>
        <rFont val="Aptos Narrow"/>
        <family val="2"/>
        <scheme val="minor"/>
      </rPr>
      <t>+k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</si>
  <si>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k+</t>
    </r>
  </si>
  <si>
    <r>
      <t>W</t>
    </r>
    <r>
      <rPr>
        <vertAlign val="subscript"/>
        <sz val="11"/>
        <color theme="1"/>
        <rFont val="Aptos Narrow"/>
        <family val="2"/>
        <scheme val="minor"/>
      </rPr>
      <t>k</t>
    </r>
  </si>
  <si>
    <t>Total%</t>
  </si>
  <si>
    <t>(SE)</t>
  </si>
  <si>
    <t>Prod%</t>
  </si>
  <si>
    <t>User%</t>
  </si>
  <si>
    <r>
      <t>U</t>
    </r>
    <r>
      <rPr>
        <vertAlign val="subscript"/>
        <sz val="11"/>
        <color theme="1"/>
        <rFont val="Aptos Narrow"/>
        <family val="2"/>
        <scheme val="minor"/>
      </rPr>
      <t>i</t>
    </r>
  </si>
  <si>
    <r>
      <t>W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2*Ui*(1-Ui)/(ni+-1)</t>
    </r>
  </si>
  <si>
    <t>Term 1</t>
  </si>
  <si>
    <t>Term 2</t>
  </si>
  <si>
    <t>Total</t>
  </si>
  <si>
    <t>omi_error%</t>
  </si>
  <si>
    <t>com_error%</t>
  </si>
  <si>
    <t>(SE%)</t>
  </si>
  <si>
    <r>
      <t>S</t>
    </r>
    <r>
      <rPr>
        <i/>
        <vertAlign val="subscript"/>
        <sz val="12"/>
        <color theme="1"/>
        <rFont val="Times New Roman"/>
        <family val="1"/>
      </rPr>
      <t xml:space="preserve">i </t>
    </r>
    <r>
      <rPr>
        <sz val="12"/>
        <color theme="1"/>
        <rFont val="Times New Roman"/>
        <family val="1"/>
      </rPr>
      <t xml:space="preserve">=    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</si>
  <si>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</t>
    </r>
  </si>
  <si>
    <r>
      <t>W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*S</t>
    </r>
    <r>
      <rPr>
        <vertAlign val="subscript"/>
        <sz val="11"/>
        <color theme="1"/>
        <rFont val="Aptos Narrow"/>
        <family val="2"/>
        <scheme val="minor"/>
      </rPr>
      <t>i</t>
    </r>
  </si>
  <si>
    <t>n</t>
  </si>
  <si>
    <t>px</t>
  </si>
  <si>
    <t>+</t>
  </si>
  <si>
    <t>Number of Trees is set to 18</t>
  </si>
  <si>
    <t>Sample%</t>
  </si>
  <si>
    <t>Random Seed: 0</t>
  </si>
  <si>
    <t>Random Seed: 1</t>
  </si>
  <si>
    <t>Train Size</t>
  </si>
  <si>
    <t>F-score</t>
  </si>
  <si>
    <t>Prec.</t>
  </si>
  <si>
    <t>Recall</t>
  </si>
  <si>
    <t>(Spatial Filter)</t>
  </si>
  <si>
    <t>Test Size</t>
  </si>
  <si>
    <t>Random Seed: 2</t>
  </si>
  <si>
    <t>Random Seed: 3</t>
  </si>
  <si>
    <t>Stats</t>
  </si>
  <si>
    <t>Random Seed: 4</t>
  </si>
  <si>
    <t>CI_95</t>
  </si>
  <si>
    <t>px count</t>
  </si>
  <si>
    <t>SE</t>
  </si>
  <si>
    <r>
      <t>A</t>
    </r>
    <r>
      <rPr>
        <vertAlign val="subscript"/>
        <sz val="11"/>
        <color theme="1"/>
        <rFont val="Aptos Narrow"/>
        <family val="2"/>
        <scheme val="minor"/>
      </rPr>
      <t>j</t>
    </r>
    <r>
      <rPr>
        <sz val="11"/>
        <color theme="1"/>
        <rFont val="Aptos Narrow"/>
        <family val="2"/>
        <scheme val="minor"/>
      </rPr>
      <t>[Ha]</t>
    </r>
  </si>
  <si>
    <t>Acc. Derived</t>
  </si>
  <si>
    <t>Seed: 0</t>
  </si>
  <si>
    <t>Seed: 1</t>
  </si>
  <si>
    <t>Seed: 2</t>
  </si>
  <si>
    <t>Seed: 3</t>
  </si>
  <si>
    <t>Acc. Derived (M)</t>
  </si>
  <si>
    <t>px count (M)</t>
  </si>
  <si>
    <t>Seed: 4</t>
  </si>
  <si>
    <t>Ô</t>
  </si>
  <si>
    <t>mean</t>
  </si>
  <si>
    <t>Q25</t>
  </si>
  <si>
    <t>Q75</t>
  </si>
  <si>
    <t>Min</t>
  </si>
  <si>
    <t>Median</t>
  </si>
  <si>
    <t>Random Seed: 5</t>
  </si>
  <si>
    <t>Random Seed: 6</t>
  </si>
  <si>
    <t>Random Seed: 7</t>
  </si>
  <si>
    <t>Random Seed: 8</t>
  </si>
  <si>
    <t>Random Seed: 9</t>
  </si>
  <si>
    <t>Random Seed: 10</t>
  </si>
  <si>
    <t>Random Seed: 11</t>
  </si>
  <si>
    <t>Random Seed: 12</t>
  </si>
  <si>
    <t>Random Seed: 13</t>
  </si>
  <si>
    <t>Random Seed: 14</t>
  </si>
  <si>
    <t>Random Seed: 15</t>
  </si>
  <si>
    <t>Random Seed: 16</t>
  </si>
  <si>
    <t>Random Seed: 17</t>
  </si>
  <si>
    <t>Random Seed: 18</t>
  </si>
  <si>
    <t>Random Seed: 19</t>
  </si>
  <si>
    <t>Seed: 5</t>
  </si>
  <si>
    <t>Seed: 6</t>
  </si>
  <si>
    <t>Seed: 7</t>
  </si>
  <si>
    <t>Seed: 8</t>
  </si>
  <si>
    <t>Seed: 9</t>
  </si>
  <si>
    <t>Seed: 10</t>
  </si>
  <si>
    <t>Seed: 11</t>
  </si>
  <si>
    <t>Seed: 12</t>
  </si>
  <si>
    <t>Seed: 13</t>
  </si>
  <si>
    <t>Seed: 14</t>
  </si>
  <si>
    <t>Seed: 15</t>
  </si>
  <si>
    <t>Seed: 16</t>
  </si>
  <si>
    <t>Seed: 17</t>
  </si>
  <si>
    <t>Seed: 18</t>
  </si>
  <si>
    <t>Seed: 19</t>
  </si>
  <si>
    <t>Seed: 20</t>
  </si>
  <si>
    <t>Seed: 21</t>
  </si>
  <si>
    <t>Seed: 22</t>
  </si>
  <si>
    <t>Seed: 23</t>
  </si>
  <si>
    <t>Seed: 24</t>
  </si>
  <si>
    <t>Seed: 25</t>
  </si>
  <si>
    <t>Seed: 26</t>
  </si>
  <si>
    <t>Seed: 27</t>
  </si>
  <si>
    <t>Seed: 28</t>
  </si>
  <si>
    <t>Seed: 29</t>
  </si>
  <si>
    <t>tot-prod</t>
  </si>
  <si>
    <t>f-score</t>
  </si>
  <si>
    <t>oa</t>
  </si>
  <si>
    <t>o - se</t>
  </si>
  <si>
    <t>OA_5</t>
  </si>
  <si>
    <t>OA_10</t>
  </si>
  <si>
    <t>OA_20</t>
  </si>
  <si>
    <t>OA_30</t>
  </si>
  <si>
    <t>Ô_5</t>
  </si>
  <si>
    <t>Ô_20</t>
  </si>
  <si>
    <t>Ô_30</t>
  </si>
  <si>
    <t>Ô_10</t>
  </si>
  <si>
    <t>Seed: 30</t>
  </si>
  <si>
    <t>Seed: 31</t>
  </si>
  <si>
    <t>Seed: 32</t>
  </si>
  <si>
    <t>Seed: 33</t>
  </si>
  <si>
    <t>Seed: 34</t>
  </si>
  <si>
    <t>Seed: 35</t>
  </si>
  <si>
    <t>Seed: 36</t>
  </si>
  <si>
    <t>Seed: 37</t>
  </si>
  <si>
    <t>Seed: 38</t>
  </si>
  <si>
    <t>Seed: 39</t>
  </si>
  <si>
    <t>Seed: 40</t>
  </si>
  <si>
    <t>Seed: 41</t>
  </si>
  <si>
    <t>Seed: 42</t>
  </si>
  <si>
    <t>Seed: 43</t>
  </si>
  <si>
    <t>Seed: 44</t>
  </si>
  <si>
    <t>Seed: 45</t>
  </si>
  <si>
    <t>Seed: 46</t>
  </si>
  <si>
    <t>Seed: 47</t>
  </si>
  <si>
    <t>Seed: 48</t>
  </si>
  <si>
    <t>Seed: 49</t>
  </si>
  <si>
    <t>OA_40</t>
  </si>
  <si>
    <t>OA_50</t>
  </si>
  <si>
    <t>Ô_40</t>
  </si>
  <si>
    <t>Ô_50</t>
  </si>
  <si>
    <t>Seed: 56</t>
  </si>
  <si>
    <t>Seed: 95</t>
  </si>
  <si>
    <t>Seed: 97</t>
  </si>
  <si>
    <t>user-pxcount</t>
  </si>
  <si>
    <t>Seed: 50</t>
  </si>
  <si>
    <t>Seed: 51</t>
  </si>
  <si>
    <t>Seed: 52</t>
  </si>
  <si>
    <t>Seed: 53</t>
  </si>
  <si>
    <t>Seed: 54</t>
  </si>
  <si>
    <t>Seed: 55</t>
  </si>
  <si>
    <t>Seed: 57</t>
  </si>
  <si>
    <t>Seed: 58</t>
  </si>
  <si>
    <t>Seed: 59</t>
  </si>
  <si>
    <t>Seed: 60</t>
  </si>
  <si>
    <t>Seed: 61</t>
  </si>
  <si>
    <t>Seed: 62</t>
  </si>
  <si>
    <t>Seed: 63</t>
  </si>
  <si>
    <t>Seed: 64</t>
  </si>
  <si>
    <t>Seed: 65</t>
  </si>
  <si>
    <t>Seed: 66</t>
  </si>
  <si>
    <t>Seed: 67</t>
  </si>
  <si>
    <t>Seed: 68</t>
  </si>
  <si>
    <t>Seed: 69</t>
  </si>
  <si>
    <t>Seed: 70</t>
  </si>
  <si>
    <t>Seed: 71</t>
  </si>
  <si>
    <t>Seed: 72</t>
  </si>
  <si>
    <t>Seed: 73</t>
  </si>
  <si>
    <t>Seed: 74</t>
  </si>
  <si>
    <t>Seed: 75</t>
  </si>
  <si>
    <t>Seed: 76</t>
  </si>
  <si>
    <t>Seed: 77</t>
  </si>
  <si>
    <t>Seed: 78</t>
  </si>
  <si>
    <t>Seed: 79</t>
  </si>
  <si>
    <t>Seed: 80</t>
  </si>
  <si>
    <t>Seed: 81</t>
  </si>
  <si>
    <t>Seed: 82</t>
  </si>
  <si>
    <t>Seed: 83</t>
  </si>
  <si>
    <t>Seed: 84</t>
  </si>
  <si>
    <t>Seed: 85</t>
  </si>
  <si>
    <t>Seed: 86</t>
  </si>
  <si>
    <t>Seed: 87</t>
  </si>
  <si>
    <t>Seed: 88</t>
  </si>
  <si>
    <t>Seed: 89</t>
  </si>
  <si>
    <t>Seed: 90</t>
  </si>
  <si>
    <t>Seed: 91</t>
  </si>
  <si>
    <t>Seed: 92</t>
  </si>
  <si>
    <t>Seed: 93</t>
  </si>
  <si>
    <t>Seed: 94</t>
  </si>
  <si>
    <t>Seed: 96</t>
  </si>
  <si>
    <t>Seed: 98</t>
  </si>
  <si>
    <t>Seed: 99</t>
  </si>
  <si>
    <t>OA_60</t>
  </si>
  <si>
    <t>OA_70</t>
  </si>
  <si>
    <t>OA_80</t>
  </si>
  <si>
    <t>OA_90</t>
  </si>
  <si>
    <t>OA_100</t>
  </si>
  <si>
    <t>Ô_60</t>
  </si>
  <si>
    <t>Ô_70</t>
  </si>
  <si>
    <t>Ô_80</t>
  </si>
  <si>
    <t>Ô_90</t>
  </si>
  <si>
    <t>Ô_100</t>
  </si>
  <si>
    <t>Seed: 100</t>
  </si>
  <si>
    <t>Seed: 101</t>
  </si>
  <si>
    <t>Seed: 102</t>
  </si>
  <si>
    <t>Seed: 103</t>
  </si>
  <si>
    <t>Seed: 104</t>
  </si>
  <si>
    <t>Seed: 105</t>
  </si>
  <si>
    <t>Seed: 106</t>
  </si>
  <si>
    <t>Seed: 107</t>
  </si>
  <si>
    <t>Seed: 108</t>
  </si>
  <si>
    <t>Seed: 109</t>
  </si>
  <si>
    <t>Seed: 110</t>
  </si>
  <si>
    <t>Seed: 111</t>
  </si>
  <si>
    <t>Seed: 112</t>
  </si>
  <si>
    <t>Seed: 113</t>
  </si>
  <si>
    <t>Seed: 114</t>
  </si>
  <si>
    <t>Seed: 115</t>
  </si>
  <si>
    <t>Seed: 116</t>
  </si>
  <si>
    <t>Seed: 117</t>
  </si>
  <si>
    <t>Seed: 118</t>
  </si>
  <si>
    <t>Seed: 119</t>
  </si>
  <si>
    <t>Seed: 120</t>
  </si>
  <si>
    <t>Seed: 121</t>
  </si>
  <si>
    <t>Seed: 122</t>
  </si>
  <si>
    <t>Seed: 123</t>
  </si>
  <si>
    <t>Seed: 124</t>
  </si>
  <si>
    <t>Seed: 125</t>
  </si>
  <si>
    <t>Seed: 126</t>
  </si>
  <si>
    <t>Seed: 127</t>
  </si>
  <si>
    <t>Seed: 128</t>
  </si>
  <si>
    <t>Seed: 129</t>
  </si>
  <si>
    <t>Seed: 130</t>
  </si>
  <si>
    <t>Seed: 131</t>
  </si>
  <si>
    <t>Seed: 132</t>
  </si>
  <si>
    <t>Seed: 133</t>
  </si>
  <si>
    <t>Seed: 134</t>
  </si>
  <si>
    <t>Seed: 135</t>
  </si>
  <si>
    <t>Seed: 136</t>
  </si>
  <si>
    <t>Seed: 137</t>
  </si>
  <si>
    <t>Seed: 138</t>
  </si>
  <si>
    <t>Seed: 139</t>
  </si>
  <si>
    <t>Seed: 140</t>
  </si>
  <si>
    <t>Seed: 141</t>
  </si>
  <si>
    <t>Seed: 142</t>
  </si>
  <si>
    <t>Seed: 143</t>
  </si>
  <si>
    <t>Seed: 144</t>
  </si>
  <si>
    <t>Seed: 145</t>
  </si>
  <si>
    <t>Seed: 146</t>
  </si>
  <si>
    <t>Seed: 147</t>
  </si>
  <si>
    <t>Seed: 148</t>
  </si>
  <si>
    <t>Seed: 149</t>
  </si>
  <si>
    <t>Seed: 150</t>
  </si>
  <si>
    <t>Seed: 151</t>
  </si>
  <si>
    <t>Seed: 152</t>
  </si>
  <si>
    <t>Seed: 153</t>
  </si>
  <si>
    <t>Seed: 154</t>
  </si>
  <si>
    <t>Seed: 155</t>
  </si>
  <si>
    <t>Seed: 156</t>
  </si>
  <si>
    <t>Seed: 157</t>
  </si>
  <si>
    <t>Seed: 158</t>
  </si>
  <si>
    <t>Seed: 159</t>
  </si>
  <si>
    <t>Seed: 160</t>
  </si>
  <si>
    <t>Seed: 161</t>
  </si>
  <si>
    <t>Seed: 162</t>
  </si>
  <si>
    <t>Seed: 163</t>
  </si>
  <si>
    <t>Seed: 164</t>
  </si>
  <si>
    <t>Seed: 165</t>
  </si>
  <si>
    <t>Seed: 166</t>
  </si>
  <si>
    <t>Seed: 167</t>
  </si>
  <si>
    <t>Seed: 168</t>
  </si>
  <si>
    <t>Seed: 169</t>
  </si>
  <si>
    <t>Seed: 170</t>
  </si>
  <si>
    <t>Seed: 171</t>
  </si>
  <si>
    <t>Seed: 172</t>
  </si>
  <si>
    <t>Seed: 173</t>
  </si>
  <si>
    <t>Seed: 174</t>
  </si>
  <si>
    <t>Seed: 175</t>
  </si>
  <si>
    <t>Seed: 176</t>
  </si>
  <si>
    <t>Seed: 177</t>
  </si>
  <si>
    <t>Seed: 178</t>
  </si>
  <si>
    <t>Seed: 179</t>
  </si>
  <si>
    <t>Seed: 180</t>
  </si>
  <si>
    <t>Seed: 181</t>
  </si>
  <si>
    <t>Seed: 182</t>
  </si>
  <si>
    <t>Seed: 183</t>
  </si>
  <si>
    <t>Seed: 184</t>
  </si>
  <si>
    <t>Seed: 185</t>
  </si>
  <si>
    <t>Seed: 186</t>
  </si>
  <si>
    <t>Seed: 187</t>
  </si>
  <si>
    <t>Seed: 188</t>
  </si>
  <si>
    <t>Seed: 189</t>
  </si>
  <si>
    <t>Seed: 190</t>
  </si>
  <si>
    <t>Seed: 191</t>
  </si>
  <si>
    <t>Seed: 192</t>
  </si>
  <si>
    <t>Seed: 193</t>
  </si>
  <si>
    <t>Seed: 194</t>
  </si>
  <si>
    <t>Seed: 195</t>
  </si>
  <si>
    <t>Seed: 196</t>
  </si>
  <si>
    <t>Seed: 197</t>
  </si>
  <si>
    <t>Seed: 198</t>
  </si>
  <si>
    <t>Seed: 199</t>
  </si>
  <si>
    <t>Error Matrix 4,1</t>
  </si>
  <si>
    <t>Prec,</t>
  </si>
  <si>
    <t>Error Matrix 4,2</t>
  </si>
  <si>
    <t>Acc, Derived</t>
  </si>
  <si>
    <t>OA_150</t>
  </si>
  <si>
    <t>OA_200</t>
  </si>
  <si>
    <t>Ô_150</t>
  </si>
  <si>
    <t>Ô_200</t>
  </si>
  <si>
    <t>min</t>
  </si>
  <si>
    <t>median</t>
  </si>
  <si>
    <t>avg</t>
  </si>
  <si>
    <t>Q1(25%)</t>
  </si>
  <si>
    <t>Q3(75%)</t>
  </si>
  <si>
    <t>max</t>
  </si>
  <si>
    <t>Ô (ordered)</t>
  </si>
  <si>
    <t>α=</t>
  </si>
  <si>
    <t>n=</t>
  </si>
  <si>
    <t>SS=</t>
  </si>
  <si>
    <t>W</t>
  </si>
  <si>
    <t>p-value</t>
  </si>
  <si>
    <t>m</t>
  </si>
  <si>
    <t>reject H0</t>
  </si>
  <si>
    <t>Normality Tests</t>
  </si>
  <si>
    <t>Expanded Shapiro-Wilk Test</t>
  </si>
  <si>
    <t>index</t>
  </si>
  <si>
    <t>u</t>
  </si>
  <si>
    <t>ε</t>
  </si>
  <si>
    <t>sum</t>
  </si>
  <si>
    <t>z</t>
  </si>
  <si>
    <r>
      <t>m</t>
    </r>
    <r>
      <rPr>
        <b/>
        <vertAlign val="subscript"/>
        <sz val="11"/>
        <color theme="1"/>
        <rFont val="Aptos Narrow"/>
        <family val="2"/>
        <scheme val="minor"/>
      </rPr>
      <t>i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</si>
  <si>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i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</si>
  <si>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>*x</t>
    </r>
    <r>
      <rPr>
        <b/>
        <vertAlign val="subscript"/>
        <sz val="11"/>
        <color theme="1"/>
        <rFont val="Aptos Narrow"/>
        <family val="2"/>
        <scheme val="minor"/>
      </rPr>
      <t>i</t>
    </r>
  </si>
  <si>
    <t>stdev</t>
  </si>
  <si>
    <t>Seed Mean</t>
  </si>
  <si>
    <t>Q3-Q1/median</t>
  </si>
  <si>
    <t>1977 Mode</t>
  </si>
  <si>
    <t>Random Seeds: 0 to 19</t>
  </si>
  <si>
    <t>20 Seed Mode</t>
  </si>
  <si>
    <t>H0 = Data sample follows a Normal Distribution</t>
  </si>
  <si>
    <t>(SE)[Ha]</t>
  </si>
  <si>
    <t>Accuracy Derived</t>
  </si>
  <si>
    <t>Pixel count</t>
  </si>
  <si>
    <t>&lt;50%</t>
  </si>
  <si>
    <t>50-60%</t>
  </si>
  <si>
    <t>60-70%</t>
  </si>
  <si>
    <t>50-70%</t>
  </si>
  <si>
    <t>70-90%</t>
  </si>
  <si>
    <t>&gt;90%</t>
  </si>
  <si>
    <t>Agreement</t>
  </si>
  <si>
    <t>70-80%</t>
  </si>
  <si>
    <t>80-90%</t>
  </si>
  <si>
    <t>1988 Mode</t>
  </si>
  <si>
    <t>Area%</t>
  </si>
  <si>
    <t>(SE)[Ha]*</t>
  </si>
  <si>
    <t>1988T</t>
  </si>
  <si>
    <t>1988T Mode</t>
  </si>
  <si>
    <t>1991T</t>
  </si>
  <si>
    <t>1991T Mode</t>
  </si>
  <si>
    <t>2001T</t>
  </si>
  <si>
    <t>2001T Mode</t>
  </si>
  <si>
    <t>Mode Pixel count</t>
  </si>
  <si>
    <t>Mean Pixel count</t>
  </si>
  <si>
    <t>RF Result for PA</t>
  </si>
  <si>
    <t>2007E</t>
  </si>
  <si>
    <t>2007E Mode</t>
  </si>
  <si>
    <t>2011E</t>
  </si>
  <si>
    <t>2011E Mode</t>
  </si>
  <si>
    <t>2015O</t>
  </si>
  <si>
    <t>2015O Mode</t>
  </si>
  <si>
    <t>2019O</t>
  </si>
  <si>
    <t>2019O Mode</t>
  </si>
  <si>
    <t>2019M</t>
  </si>
  <si>
    <t>2019M Mode</t>
  </si>
  <si>
    <t>2024M</t>
  </si>
  <si>
    <t>2024M Mode</t>
  </si>
  <si>
    <t>Aj[Ha]</t>
  </si>
  <si>
    <t>W_77_MSS</t>
  </si>
  <si>
    <t>B_77_MSS</t>
  </si>
  <si>
    <t>A_77_MSS</t>
  </si>
  <si>
    <t>F_77_MSS</t>
  </si>
  <si>
    <t>S_77_MSS</t>
  </si>
  <si>
    <t>W_88_MSS</t>
  </si>
  <si>
    <t>B_88_MSS</t>
  </si>
  <si>
    <t>A_88_MSS</t>
  </si>
  <si>
    <t>F_88_MSS</t>
  </si>
  <si>
    <t>S_88_MSS</t>
  </si>
  <si>
    <t>W_88_TM</t>
  </si>
  <si>
    <t>B_88_TM</t>
  </si>
  <si>
    <t>A_88_TM</t>
  </si>
  <si>
    <t>F_88_TM</t>
  </si>
  <si>
    <t>S_88_TM</t>
  </si>
  <si>
    <t>W_91_TM</t>
  </si>
  <si>
    <t>B_91_TM</t>
  </si>
  <si>
    <t>A_91_TM</t>
  </si>
  <si>
    <t>F_91_TM</t>
  </si>
  <si>
    <t>S_91_TM</t>
  </si>
  <si>
    <t>W_01_TM</t>
  </si>
  <si>
    <t>B_01_TM</t>
  </si>
  <si>
    <t>A_01_TM</t>
  </si>
  <si>
    <t>F_01_TM</t>
  </si>
  <si>
    <t>S_01_TM</t>
  </si>
  <si>
    <t>W_07_ETM</t>
  </si>
  <si>
    <t>B_07_ETM</t>
  </si>
  <si>
    <t>A_07_ETM</t>
  </si>
  <si>
    <t>F_07_ETM</t>
  </si>
  <si>
    <t>S_07_ETM</t>
  </si>
  <si>
    <t>W_11_ETM</t>
  </si>
  <si>
    <t>B_11_ETM</t>
  </si>
  <si>
    <t>A_11_ETM</t>
  </si>
  <si>
    <t>F_11_ETM</t>
  </si>
  <si>
    <t>S_11_ETM</t>
  </si>
  <si>
    <t>W_15_OLI</t>
  </si>
  <si>
    <t>B_15_OLI</t>
  </si>
  <si>
    <t>A_15_OLI</t>
  </si>
  <si>
    <t>F_15_OLI</t>
  </si>
  <si>
    <t>S_15_OLI</t>
  </si>
  <si>
    <t>W_19_OLI</t>
  </si>
  <si>
    <t>B_19_OLI</t>
  </si>
  <si>
    <t>A_19_OLI</t>
  </si>
  <si>
    <t>F_19_OLI</t>
  </si>
  <si>
    <t>S_19_OLI</t>
  </si>
  <si>
    <t>W_19_MSI</t>
  </si>
  <si>
    <t>B_19_MSI</t>
  </si>
  <si>
    <t>A_19_MSI</t>
  </si>
  <si>
    <t>F_19_MSI</t>
  </si>
  <si>
    <t>S_19_MSI</t>
  </si>
  <si>
    <t>W_24_MSI</t>
  </si>
  <si>
    <t>B_24_MSI</t>
  </si>
  <si>
    <t>A_24_MSI</t>
  </si>
  <si>
    <t>F_24_MSI</t>
  </si>
  <si>
    <t>S_24_MSI</t>
  </si>
  <si>
    <t>1 / B</t>
  </si>
  <si>
    <t>0 / W</t>
  </si>
  <si>
    <t>2 / A</t>
  </si>
  <si>
    <t>3 / F</t>
  </si>
  <si>
    <t>4 / S</t>
  </si>
  <si>
    <t>N.D.</t>
  </si>
  <si>
    <t>15O</t>
  </si>
  <si>
    <t xml:space="preserve"> 2019O</t>
  </si>
  <si>
    <t xml:space="preserve"> 2019M</t>
  </si>
  <si>
    <t>Area%**</t>
  </si>
  <si>
    <t>Area**</t>
  </si>
  <si>
    <t>(SE)[%]**</t>
  </si>
  <si>
    <t>(CI_95)[Ha]*</t>
  </si>
  <si>
    <t>(CI_95)[%]**</t>
  </si>
  <si>
    <t>Mean</t>
  </si>
  <si>
    <t>Max</t>
  </si>
  <si>
    <t>SE [%]**</t>
  </si>
  <si>
    <t>Mode</t>
  </si>
  <si>
    <t>'1_Green'</t>
  </si>
  <si>
    <t>'2_Red'</t>
  </si>
  <si>
    <t>'3_NIR1'</t>
  </si>
  <si>
    <t>'4_NIR2'</t>
  </si>
  <si>
    <t>std</t>
  </si>
  <si>
    <t>B4</t>
  </si>
  <si>
    <t>B5</t>
  </si>
  <si>
    <t>B6</t>
  </si>
  <si>
    <t>B7</t>
  </si>
  <si>
    <t>B1</t>
  </si>
  <si>
    <t>B2</t>
  </si>
  <si>
    <t>B3</t>
  </si>
  <si>
    <t>Training and Testing Areas Spectral Signatures</t>
  </si>
  <si>
    <t>'SR_B1'</t>
  </si>
  <si>
    <t>'SR_B2'</t>
  </si>
  <si>
    <t>'SR_B3'</t>
  </si>
  <si>
    <t>'SR_B4'</t>
  </si>
  <si>
    <t>'SR_B5'</t>
  </si>
  <si>
    <t>'SR_B7'</t>
  </si>
  <si>
    <t>'1_Blue'</t>
  </si>
  <si>
    <t>'2_Green'</t>
  </si>
  <si>
    <t>'3_Red'</t>
  </si>
  <si>
    <t>'4_NIR'</t>
  </si>
  <si>
    <t>'5_SWIR1'</t>
  </si>
  <si>
    <t>'6_SWIR2'</t>
  </si>
  <si>
    <t>Band Name</t>
  </si>
  <si>
    <t>Band</t>
  </si>
  <si>
    <t>CV</t>
  </si>
  <si>
    <t>'B2'</t>
  </si>
  <si>
    <t xml:space="preserve"> 'B3'</t>
  </si>
  <si>
    <t xml:space="preserve"> 'B4'</t>
  </si>
  <si>
    <t xml:space="preserve"> 'B5'</t>
  </si>
  <si>
    <t xml:space="preserve"> 'B6'</t>
  </si>
  <si>
    <t xml:space="preserve"> 'B7'</t>
  </si>
  <si>
    <t xml:space="preserve"> 'B8'</t>
  </si>
  <si>
    <t xml:space="preserve"> 'B8A'</t>
  </si>
  <si>
    <t xml:space="preserve"> 'B11'</t>
  </si>
  <si>
    <t xml:space="preserve"> 'B12'</t>
  </si>
  <si>
    <t>'4_RE1'</t>
  </si>
  <si>
    <t>'5_RE2'</t>
  </si>
  <si>
    <t>'6_RE3'</t>
  </si>
  <si>
    <t>'7_NIR'</t>
  </si>
  <si>
    <t>'8_RE4'</t>
  </si>
  <si>
    <t>'90_SWIR1'</t>
  </si>
  <si>
    <t>'91_SWIR2'</t>
  </si>
  <si>
    <t>Wav. Range</t>
  </si>
  <si>
    <t>560nm (S2A) / 559nm (S2B)</t>
  </si>
  <si>
    <t>Class Code</t>
  </si>
  <si>
    <t>Class Name</t>
  </si>
  <si>
    <t>High Confidence</t>
  </si>
  <si>
    <t>L.C.</t>
  </si>
  <si>
    <t>Not 2 / A</t>
  </si>
  <si>
    <t>L.C. px[Ha]</t>
  </si>
  <si>
    <t>L.C. px[%]</t>
  </si>
  <si>
    <t>Q1</t>
  </si>
  <si>
    <t>Q2</t>
  </si>
  <si>
    <t>Q3</t>
  </si>
  <si>
    <t>MAX</t>
  </si>
  <si>
    <t>AVG</t>
  </si>
  <si>
    <t>P0,7</t>
  </si>
  <si>
    <t>HC Total</t>
  </si>
  <si>
    <t>L.C. pixels [%]</t>
  </si>
  <si>
    <t>Relative to Area%</t>
  </si>
  <si>
    <t>-</t>
  </si>
  <si>
    <t>Error Matrix</t>
  </si>
  <si>
    <t>Agriculture-Grass (HC)</t>
  </si>
  <si>
    <t>Not Agriculture-Grass (HC)</t>
  </si>
  <si>
    <t>Not Agriculture-Grass</t>
  </si>
  <si>
    <t>Agriculture HC [%]</t>
  </si>
  <si>
    <t>0 / W (HC)</t>
  </si>
  <si>
    <t>1 / B (HC)</t>
  </si>
  <si>
    <t>2 / A (HC)</t>
  </si>
  <si>
    <t>3 / F (HC)</t>
  </si>
  <si>
    <t>4 / S (HC)</t>
  </si>
  <si>
    <t>Pixels [%]</t>
  </si>
  <si>
    <t>L.C. Pixels [%]</t>
  </si>
  <si>
    <t>Area [Ha]</t>
  </si>
  <si>
    <t>L.C. Pixels [Ha]</t>
  </si>
  <si>
    <t>Not 2 / A (HC)</t>
  </si>
  <si>
    <t>Cumulative (All)</t>
  </si>
  <si>
    <t>Cumulative (MSS)</t>
  </si>
  <si>
    <t>Cumulative (TM/ETM)</t>
  </si>
  <si>
    <t>Cumulative (OLI)</t>
  </si>
  <si>
    <t>Cumulative (MSI)</t>
  </si>
  <si>
    <t>MEDIAN CV</t>
  </si>
  <si>
    <t>W_All</t>
  </si>
  <si>
    <t>B_All</t>
  </si>
  <si>
    <t>A_All</t>
  </si>
  <si>
    <t>F_All</t>
  </si>
  <si>
    <t>S_All</t>
  </si>
  <si>
    <t>W_MSS</t>
  </si>
  <si>
    <t>B_MSS</t>
  </si>
  <si>
    <t>A_MSS</t>
  </si>
  <si>
    <t>F_MSS</t>
  </si>
  <si>
    <t>S_MSS</t>
  </si>
  <si>
    <t>W_TM/ETM</t>
  </si>
  <si>
    <t>B_TM/ETM</t>
  </si>
  <si>
    <t>A_TM/ETM</t>
  </si>
  <si>
    <t>F_TM/ETM</t>
  </si>
  <si>
    <t>S_TM/ETM</t>
  </si>
  <si>
    <t>W_OLI</t>
  </si>
  <si>
    <t>B_OLI</t>
  </si>
  <si>
    <t>A_OLI</t>
  </si>
  <si>
    <t>F_OLI</t>
  </si>
  <si>
    <t>S_OLI</t>
  </si>
  <si>
    <t>W_MSI</t>
  </si>
  <si>
    <t>B_MSI</t>
  </si>
  <si>
    <t>A_MSI</t>
  </si>
  <si>
    <t>F_MSI</t>
  </si>
  <si>
    <t>S_MSI</t>
  </si>
  <si>
    <t>Dates</t>
  </si>
  <si>
    <t>JAN</t>
  </si>
  <si>
    <t>MAR-APR</t>
  </si>
  <si>
    <t>DEC-MAR-APR</t>
  </si>
  <si>
    <t>MAR</t>
  </si>
  <si>
    <t>JAN-FEB</t>
  </si>
  <si>
    <t>DEC-JAN-FEB</t>
  </si>
  <si>
    <t>DEC-FEB</t>
  </si>
  <si>
    <t>W_JAN</t>
  </si>
  <si>
    <t>B_JAN</t>
  </si>
  <si>
    <t>A_JAN</t>
  </si>
  <si>
    <t>F_JAN</t>
  </si>
  <si>
    <t>S_JAN</t>
  </si>
  <si>
    <t>1-date</t>
  </si>
  <si>
    <t>2-date</t>
  </si>
  <si>
    <t>3-date</t>
  </si>
  <si>
    <t>4-date</t>
  </si>
  <si>
    <t>5-date</t>
  </si>
  <si>
    <t>Time</t>
  </si>
  <si>
    <t>Cumulative (JAN)</t>
  </si>
  <si>
    <t>Cumulative (JAN-FEB)</t>
  </si>
  <si>
    <t>Cumulative (DEC-FEB)</t>
  </si>
  <si>
    <t>Cumulative (MAR-APR)</t>
  </si>
  <si>
    <t>Cumulative (DEC-APR)</t>
  </si>
  <si>
    <t>Cumulative (MAR)</t>
  </si>
  <si>
    <t>W_JAN-FEB</t>
  </si>
  <si>
    <t>B_JAN-FEB</t>
  </si>
  <si>
    <t>A_JAN-FEB</t>
  </si>
  <si>
    <t>F_JAN-FEB</t>
  </si>
  <si>
    <t>S_JAN-FEB</t>
  </si>
  <si>
    <t>W_DEC-FEB</t>
  </si>
  <si>
    <t>B_DEC-FEB</t>
  </si>
  <si>
    <t>A_DEC-FEB</t>
  </si>
  <si>
    <t>F_DEC-FEB</t>
  </si>
  <si>
    <t>S_DEC-FEB</t>
  </si>
  <si>
    <t>W_MAR</t>
  </si>
  <si>
    <t>B_MAR</t>
  </si>
  <si>
    <t>A_MAR</t>
  </si>
  <si>
    <t>F_MAR</t>
  </si>
  <si>
    <t>S_MAR</t>
  </si>
  <si>
    <t>1-2</t>
  </si>
  <si>
    <t>1</t>
  </si>
  <si>
    <t>W_MAR-APR</t>
  </si>
  <si>
    <t>B_MAR-APR</t>
  </si>
  <si>
    <t>A_MAR-APR</t>
  </si>
  <si>
    <t>F_MAR-APR</t>
  </si>
  <si>
    <t>S_MAR-APR</t>
  </si>
  <si>
    <t>DEC-APR</t>
  </si>
  <si>
    <t>W_DEC-APR</t>
  </si>
  <si>
    <t>B_DEC-APR</t>
  </si>
  <si>
    <t>A_DEC-APR</t>
  </si>
  <si>
    <t>F_DEC-APR</t>
  </si>
  <si>
    <t>S_DEC-APR</t>
  </si>
  <si>
    <t>1977(M)</t>
  </si>
  <si>
    <t>1988(M)</t>
  </si>
  <si>
    <t>2015(M)</t>
  </si>
  <si>
    <t>2011(M)</t>
  </si>
  <si>
    <t>2001(M)</t>
  </si>
  <si>
    <t>1991(M)</t>
  </si>
  <si>
    <t>RRB</t>
  </si>
  <si>
    <t>ACB_R</t>
  </si>
  <si>
    <t>Spatial filter is set to 500m to reduce autocorrelation</t>
  </si>
  <si>
    <t>RRB PA [Ha]</t>
  </si>
  <si>
    <t>RRB 1977</t>
  </si>
  <si>
    <t>RRB 1977 PA</t>
  </si>
  <si>
    <t>RRB A0</t>
  </si>
  <si>
    <t>RRB A1</t>
  </si>
  <si>
    <t>RRB A2</t>
  </si>
  <si>
    <t>RRB A3</t>
  </si>
  <si>
    <t>RRB A4</t>
  </si>
  <si>
    <t>ACB_B</t>
  </si>
  <si>
    <t>ACB_B px count</t>
  </si>
  <si>
    <t>ACB_B 1977</t>
  </si>
  <si>
    <t>ACB_B 1977 PA</t>
  </si>
  <si>
    <t>LC proportion</t>
  </si>
  <si>
    <t>Estimate</t>
  </si>
  <si>
    <t>ND proportion</t>
  </si>
  <si>
    <t>LC+ND</t>
  </si>
  <si>
    <t>Error[Ha]</t>
  </si>
  <si>
    <t>Error[%]</t>
  </si>
  <si>
    <t>Pixel error [%]</t>
  </si>
  <si>
    <t>Area Error [Ha]</t>
  </si>
  <si>
    <t>RRB 1988T</t>
  </si>
  <si>
    <t>RRB 1988T PA</t>
  </si>
  <si>
    <t>RRB 1988</t>
  </si>
  <si>
    <t>RRB 1988 PA</t>
  </si>
  <si>
    <t>RRB 1991T</t>
  </si>
  <si>
    <t>RRB 1991T PA</t>
  </si>
  <si>
    <t>RRB 2001T</t>
  </si>
  <si>
    <t>RRB 2001T PA</t>
  </si>
  <si>
    <t>RRB 2007E</t>
  </si>
  <si>
    <t>RRB 2007E PA</t>
  </si>
  <si>
    <t>RRB 2011E</t>
  </si>
  <si>
    <t>RRB 2011E PA</t>
  </si>
  <si>
    <t>RRB 2015O</t>
  </si>
  <si>
    <t>RRB 2015O PA</t>
  </si>
  <si>
    <t>RRB 2019O</t>
  </si>
  <si>
    <t>RRB 2019O PA</t>
  </si>
  <si>
    <t>RRB 2019M</t>
  </si>
  <si>
    <t>RRB 2019M PA</t>
  </si>
  <si>
    <t>RRB 2024M</t>
  </si>
  <si>
    <t>RRB 2024M PA</t>
  </si>
  <si>
    <t>RRB [Ha]</t>
  </si>
  <si>
    <t>RRB 2001E PA</t>
  </si>
  <si>
    <t>Mode RRB Acc. Der.</t>
  </si>
  <si>
    <t>Mean RRB Px count</t>
  </si>
  <si>
    <t>Mean RRB PA Px count</t>
  </si>
  <si>
    <t>RRB PA</t>
  </si>
  <si>
    <t>Cumulative Mode RRB (All)</t>
  </si>
  <si>
    <t>Cumulative Mode RRB (MSS)</t>
  </si>
  <si>
    <t>Cumulative Mode RRB (JAN)</t>
  </si>
  <si>
    <t>Cumulative Mode RRB (TM/ETM)</t>
  </si>
  <si>
    <t>Cumulative Mode RRB (JAN-FEB)</t>
  </si>
  <si>
    <t>Cumulative Mode RRB (OLI)</t>
  </si>
  <si>
    <t>Cumulative Mode RRB (DEC-FEB)</t>
  </si>
  <si>
    <t>Cumulative Mode RRB (MSI)</t>
  </si>
  <si>
    <t>Cumulative Mode RRB (MAR) -1991T</t>
  </si>
  <si>
    <t>Cumulative Mode RRB (MAR-APR) -1988</t>
  </si>
  <si>
    <t>Cumulative Mode RRB (DEC-MAR-APR) -1988T</t>
  </si>
  <si>
    <t>ACB_B 1988T</t>
  </si>
  <si>
    <t>ACB_B 1988T PA</t>
  </si>
  <si>
    <t>ACB_B 1988</t>
  </si>
  <si>
    <t>ACB_B 1988 PA</t>
  </si>
  <si>
    <t>ACB_B 1991T</t>
  </si>
  <si>
    <t>ACB_B 1991T PA</t>
  </si>
  <si>
    <t>ACB_B 2001T</t>
  </si>
  <si>
    <t>ACB_B 2001T PA</t>
  </si>
  <si>
    <t>ACB_B 2007E</t>
  </si>
  <si>
    <t>ACB_B 2007E PA</t>
  </si>
  <si>
    <t>ACB_B 2011E</t>
  </si>
  <si>
    <t>ACB_B 2011E PA</t>
  </si>
  <si>
    <t>ACB_B 2015O</t>
  </si>
  <si>
    <t>ACB_B 2015O PA</t>
  </si>
  <si>
    <t>ACB_B 2019O</t>
  </si>
  <si>
    <t>ACB_B 2019O PA</t>
  </si>
  <si>
    <t>ACB_B 2019M</t>
  </si>
  <si>
    <t>ACB_B 2019M PA</t>
  </si>
  <si>
    <t>ACB_B 2024M</t>
  </si>
  <si>
    <t>ACB_B 2024M PA</t>
  </si>
  <si>
    <t>ACB_B [Ha]</t>
  </si>
  <si>
    <t>ACB_B PA [Ha]</t>
  </si>
  <si>
    <t>ACB_B 2001E PA</t>
  </si>
  <si>
    <t>Mean ACB_B Px count</t>
  </si>
  <si>
    <t>Mean ACB_B PA Px count</t>
  </si>
  <si>
    <t>ACB_B PA</t>
  </si>
  <si>
    <t>1-105</t>
  </si>
  <si>
    <t>106-241</t>
  </si>
  <si>
    <t>242-439</t>
  </si>
  <si>
    <t>440-1053</t>
  </si>
  <si>
    <t>1054-8541</t>
  </si>
  <si>
    <t>0-1</t>
  </si>
  <si>
    <t>2-13</t>
  </si>
  <si>
    <t>14-19</t>
  </si>
  <si>
    <t>20-54</t>
  </si>
  <si>
    <t>55-412</t>
  </si>
  <si>
    <t>1-11</t>
  </si>
  <si>
    <t>12-96</t>
  </si>
  <si>
    <t>97-211</t>
  </si>
  <si>
    <t>212-546</t>
  </si>
  <si>
    <t>547-4305</t>
  </si>
  <si>
    <t>1-3</t>
  </si>
  <si>
    <t>4-72</t>
  </si>
  <si>
    <t>73-106</t>
  </si>
  <si>
    <t>107-221</t>
  </si>
  <si>
    <t>222-1914</t>
  </si>
  <si>
    <t>1-15</t>
  </si>
  <si>
    <t>16-84</t>
  </si>
  <si>
    <t>85-106</t>
  </si>
  <si>
    <t>107-231</t>
  </si>
  <si>
    <t>232-1910</t>
  </si>
  <si>
    <t>3-43</t>
  </si>
  <si>
    <t>44-78</t>
  </si>
  <si>
    <t>79-257</t>
  </si>
  <si>
    <t>258-2107</t>
  </si>
  <si>
    <t>2-28</t>
  </si>
  <si>
    <t>29-85</t>
  </si>
  <si>
    <t>86-205</t>
  </si>
  <si>
    <t>206-1563</t>
  </si>
  <si>
    <t>12-151</t>
  </si>
  <si>
    <t>152-189</t>
  </si>
  <si>
    <t>190-337</t>
  </si>
  <si>
    <t>338-2863</t>
  </si>
  <si>
    <t>3-19</t>
  </si>
  <si>
    <t>55-113</t>
  </si>
  <si>
    <t>114-861</t>
  </si>
  <si>
    <t>2-8</t>
  </si>
  <si>
    <t>13-26</t>
  </si>
  <si>
    <t>27-212</t>
  </si>
  <si>
    <t>9-12</t>
  </si>
  <si>
    <t>2-18</t>
  </si>
  <si>
    <t>19-40</t>
  </si>
  <si>
    <t>41-113</t>
  </si>
  <si>
    <t>114-935</t>
  </si>
  <si>
    <t>ACB_R PA</t>
  </si>
  <si>
    <t>ACB_R PA [Ha]</t>
  </si>
  <si>
    <t>ACB_R 1977 PA</t>
  </si>
  <si>
    <t>ACB_R 1988 PA</t>
  </si>
  <si>
    <t>ACB_R 1988T PA</t>
  </si>
  <si>
    <t>ACB_R 1991T PA</t>
  </si>
  <si>
    <t>ACB_R 2001E PA</t>
  </si>
  <si>
    <t>ACB_R 2007E PA</t>
  </si>
  <si>
    <t>ACB_R 2011E PA</t>
  </si>
  <si>
    <t>ACB_R 2015O PA</t>
  </si>
  <si>
    <t>ACB_R 2019O PA</t>
  </si>
  <si>
    <t>ACB_R 2019M PA</t>
  </si>
  <si>
    <t>ACB_R 2024M PA</t>
  </si>
  <si>
    <t>t1\t2</t>
  </si>
  <si>
    <t>MSS</t>
  </si>
  <si>
    <t>Mode Change</t>
  </si>
  <si>
    <t>MSS 77-88</t>
  </si>
  <si>
    <t>Ha</t>
  </si>
  <si>
    <t>Other</t>
  </si>
  <si>
    <t>Agriculture</t>
  </si>
  <si>
    <t>Net A Change</t>
  </si>
  <si>
    <t>No Data &amp; Low Confidence Joint Mask</t>
  </si>
  <si>
    <t>ND/LC</t>
  </si>
  <si>
    <t>Data %</t>
  </si>
  <si>
    <t>PA %</t>
  </si>
  <si>
    <t>TM-ETM-OLI</t>
  </si>
  <si>
    <t>Mode Trajectory</t>
  </si>
  <si>
    <t>TEO 88-19</t>
  </si>
  <si>
    <t>Stable Other</t>
  </si>
  <si>
    <t>Stepped Gain</t>
  </si>
  <si>
    <t>(Stable Other)</t>
  </si>
  <si>
    <t>Cyclical</t>
  </si>
  <si>
    <t>(Cyclical)</t>
  </si>
  <si>
    <t>Stepped Loss</t>
  </si>
  <si>
    <t>(Stable Agriculture)</t>
  </si>
  <si>
    <t>Stable Agriculture</t>
  </si>
  <si>
    <t>Stable O</t>
  </si>
  <si>
    <t>Stable A</t>
  </si>
  <si>
    <t>MSI</t>
  </si>
  <si>
    <t>MSI 19-24</t>
  </si>
  <si>
    <t>Disturbance Index</t>
  </si>
  <si>
    <t>Weights</t>
  </si>
  <si>
    <r>
      <t>W</t>
    </r>
    <r>
      <rPr>
        <b/>
        <vertAlign val="subscript"/>
        <sz val="11"/>
        <color theme="1"/>
        <rFont val="Aptos Narrow"/>
        <family val="2"/>
        <scheme val="minor"/>
      </rPr>
      <t>MSS</t>
    </r>
  </si>
  <si>
    <r>
      <t>W</t>
    </r>
    <r>
      <rPr>
        <b/>
        <vertAlign val="subscript"/>
        <sz val="11"/>
        <color theme="1"/>
        <rFont val="Aptos Narrow"/>
        <family val="2"/>
        <scheme val="minor"/>
      </rPr>
      <t>TEO</t>
    </r>
  </si>
  <si>
    <r>
      <t>W</t>
    </r>
    <r>
      <rPr>
        <b/>
        <vertAlign val="subscript"/>
        <sz val="11"/>
        <color theme="1"/>
        <rFont val="Aptos Narrow"/>
        <family val="2"/>
        <scheme val="minor"/>
      </rPr>
      <t>MSI</t>
    </r>
  </si>
  <si>
    <t>∑W</t>
  </si>
  <si>
    <t>77→88</t>
  </si>
  <si>
    <t>88→19</t>
  </si>
  <si>
    <t>19→24</t>
  </si>
  <si>
    <t>RRB 1988 PA HC</t>
  </si>
  <si>
    <t>RRB 1977 PA HC</t>
  </si>
  <si>
    <t>RRB TM-ETM-OLI PA HC</t>
  </si>
  <si>
    <t>RRB 2024M PA HC</t>
  </si>
  <si>
    <t>RRB 2019M PA HC</t>
  </si>
  <si>
    <t>ACB_B 1988 PA HC</t>
  </si>
  <si>
    <t>ACB_B 1977 PA HC</t>
  </si>
  <si>
    <t>ACB_B TM-ETM-OLI PA HC</t>
  </si>
  <si>
    <t>ACB_B 2024M PA HC</t>
  </si>
  <si>
    <t>ACB_B 2019M PA HC</t>
  </si>
  <si>
    <t>ACB_R 1988 PA HC</t>
  </si>
  <si>
    <t>ACB_R 1977 PA HC</t>
  </si>
  <si>
    <t>ACB_R TM-ETM-OLI PA HC</t>
  </si>
  <si>
    <t>ACB_R 2024M PA HC</t>
  </si>
  <si>
    <t>ACB_R 2019M PA HC</t>
  </si>
  <si>
    <t>Kruskal-Wallis test</t>
  </si>
  <si>
    <t>Dunn test</t>
  </si>
  <si>
    <t>Pairwise Multiple Comparison of Means</t>
  </si>
  <si>
    <t>Random &amp; Independent</t>
  </si>
  <si>
    <t>H-statistic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</si>
  <si>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 = There is no difference in the ranks of the two Data Samples being compared</t>
    </r>
  </si>
  <si>
    <t>Ordinal &amp; Continuous</t>
  </si>
  <si>
    <t>Class 0 / W</t>
  </si>
  <si>
    <t>Equal Variance</t>
  </si>
  <si>
    <r>
      <t>reject 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</si>
  <si>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 = Data samples distibutions and medians are equal</t>
    </r>
  </si>
  <si>
    <t>Data Assumptions:</t>
  </si>
  <si>
    <t>Independent</t>
  </si>
  <si>
    <t>Non-Parametric / Non-Normal</t>
  </si>
  <si>
    <t>Homegeneity: Similar Distribution</t>
  </si>
  <si>
    <t>ANOVA one-way test</t>
  </si>
  <si>
    <t>Tukey HSD test</t>
  </si>
  <si>
    <t>Independent &amp; Equal size</t>
  </si>
  <si>
    <t>F-statistic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</si>
  <si>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 = All Data Samples being compared have equal means</t>
    </r>
  </si>
  <si>
    <t>Normality</t>
  </si>
  <si>
    <t>Equal Variance (Homoscedasticity)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</si>
  <si>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 xml:space="preserve"> = Data samples means are equal</t>
    </r>
  </si>
  <si>
    <t>Normal</t>
  </si>
  <si>
    <t>Homegeneity: Similar Variance (Homoscedasticity)</t>
  </si>
  <si>
    <t>Class 1 / B</t>
  </si>
  <si>
    <t>Class 2 / A</t>
  </si>
  <si>
    <t>Class 3 / F</t>
  </si>
  <si>
    <t>Class 4 / S</t>
  </si>
  <si>
    <t>Criteria: Loose Change</t>
  </si>
  <si>
    <t>All 5 Classes combined result, only reject if at least 1 class agree on (Yes)</t>
  </si>
  <si>
    <t>Overall</t>
  </si>
  <si>
    <t>Criteria: Plain Mayority</t>
  </si>
  <si>
    <t>All 5 Classes combined result, only reject if at least 3 classes agree on (Yes)</t>
  </si>
  <si>
    <t>Criteria: Others Plain Mayority</t>
  </si>
  <si>
    <t>The 4 Other classes, without Agriculture, only reject if at least 3 classes agree on (Yes)</t>
  </si>
  <si>
    <t>Criteria: Loose Top 3 Mayority</t>
  </si>
  <si>
    <t>Top 3 Area Classes combined result, only reject if at least 1 class agree on (Yes)</t>
  </si>
  <si>
    <t>Criteria: Top 3 Plain Mayority</t>
  </si>
  <si>
    <t>Top 3 Area Classes combined result, only reject if at least 2 classes agree on (Yes)</t>
  </si>
  <si>
    <t>2,31e-321</t>
  </si>
  <si>
    <t>Criteria: Top 1 (Forest)</t>
  </si>
  <si>
    <t>Step Partial Index</t>
  </si>
  <si>
    <t>Central λ (μm)</t>
  </si>
  <si>
    <t>0,5 - 0,6 μm+CC6:C115</t>
  </si>
  <si>
    <t>0,6 - 0,7 μm</t>
  </si>
  <si>
    <t>0,7 - 0,8 μm</t>
  </si>
  <si>
    <t xml:space="preserve">0,8 - 1,1 μm </t>
  </si>
  <si>
    <t>Wav, Range</t>
  </si>
  <si>
    <t>0,5 - 0,6 μm</t>
  </si>
  <si>
    <t>0,45-0,52 μm</t>
  </si>
  <si>
    <t>0,52-0,60 μm</t>
  </si>
  <si>
    <t xml:space="preserve">0,63-0,69 μm </t>
  </si>
  <si>
    <t>0,77-0,90 μm</t>
  </si>
  <si>
    <t xml:space="preserve">1,55-1,75 μm </t>
  </si>
  <si>
    <t>2,08-2,35 μm</t>
  </si>
  <si>
    <t>0,441-0,514 μm</t>
  </si>
  <si>
    <t>0,519-0,601 μm</t>
  </si>
  <si>
    <t xml:space="preserve">0,631-0,692 μm </t>
  </si>
  <si>
    <t>0,772-0,898 μm</t>
  </si>
  <si>
    <t xml:space="preserve">1,547-1,749 μm </t>
  </si>
  <si>
    <t>2,064-2,345 μm</t>
  </si>
  <si>
    <t>0,452-0,512 μm</t>
  </si>
  <si>
    <t>0,533-0,590 μm</t>
  </si>
  <si>
    <t>0,636-0,673 μm</t>
  </si>
  <si>
    <t>0,851-0,879 μm</t>
  </si>
  <si>
    <t>1,566-1,651 μm</t>
  </si>
  <si>
    <t>2,107-2,294 μm</t>
  </si>
  <si>
    <t>496,6nm (S2A) / 492,1nm (S2B)</t>
  </si>
  <si>
    <t>664,5nm (S2A) / 665nm (S2B)</t>
  </si>
  <si>
    <t>703,9nm (S2A) / 703,8nm (S2B)</t>
  </si>
  <si>
    <t>740,2nm (S2A) / 739,1nm (S2B)</t>
  </si>
  <si>
    <t xml:space="preserve">782,5nm (S2A) / 779,7nm (S2B) </t>
  </si>
  <si>
    <t xml:space="preserve">835,1nm (S2A) / 833nm (S2B) </t>
  </si>
  <si>
    <t>864,8nm (S2A) / 864nm (S2B)</t>
  </si>
  <si>
    <t>1613,7nm (S2A) / 1610,4nm (S2B)</t>
  </si>
  <si>
    <t>2202,4nm (S2A) / 2185,7nm (S2B)</t>
  </si>
  <si>
    <r>
      <t>I</t>
    </r>
    <r>
      <rPr>
        <b/>
        <vertAlign val="subscript"/>
        <sz val="11"/>
        <color theme="1"/>
        <rFont val="Aptos Narrow"/>
        <family val="2"/>
        <scheme val="minor"/>
      </rPr>
      <t>ACB_B</t>
    </r>
  </si>
  <si>
    <r>
      <t>I</t>
    </r>
    <r>
      <rPr>
        <b/>
        <vertAlign val="subscript"/>
        <sz val="11"/>
        <color theme="1"/>
        <rFont val="Aptos Narrow"/>
        <family val="2"/>
        <scheme val="minor"/>
      </rPr>
      <t>ACB_R</t>
    </r>
  </si>
  <si>
    <r>
      <t>I</t>
    </r>
    <r>
      <rPr>
        <b/>
        <vertAlign val="subscript"/>
        <sz val="11"/>
        <color theme="1"/>
        <rFont val="Aptos Narrow"/>
        <family val="2"/>
        <scheme val="minor"/>
      </rPr>
      <t>RRB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</si>
</sst>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%"/>
    <numFmt numFmtId="165" formatCode="0.00000"/>
    <numFmt numFmtId="166" formatCode="0.000"/>
    <numFmt numFmtId="167" formatCode="0.0"/>
    <numFmt numFmtId="168" formatCode="0.0000"/>
    <numFmt numFmtId="169" formatCode="0.000000"/>
    <numFmt numFmtId="170" formatCode="0.000%"/>
    <numFmt numFmtId="171" formatCode="0.E+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  <font>
      <i/>
      <vertAlign val="subscript"/>
      <sz val="12"/>
      <color theme="1"/>
      <name val="Times New Roman"/>
      <family val="1"/>
    </font>
    <font>
      <sz val="11"/>
      <color theme="1"/>
      <name val="Aptos Narrow"/>
      <family val="2"/>
    </font>
    <font>
      <b/>
      <vertAlign val="subscript"/>
      <sz val="11"/>
      <color theme="1"/>
      <name val="Aptos Narrow"/>
      <family val="2"/>
      <scheme val="minor"/>
    </font>
    <font>
      <b/>
      <sz val="11"/>
      <color theme="1"/>
      <name val="Aptos Narrow"/>
      <family val="2"/>
    </font>
    <font>
      <b/>
      <sz val="14"/>
      <color theme="1"/>
      <name val="Aptos Narrow"/>
      <family val="2"/>
      <scheme val="minor"/>
    </font>
    <font>
      <sz val="1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i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b/>
      <i/>
      <u/>
      <sz val="11"/>
      <color theme="1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1F9DFF"/>
        <bgColor indexed="64"/>
      </patternFill>
    </fill>
    <fill>
      <patternFill patternType="solid">
        <fgColor rgb="FFCACDDE"/>
        <bgColor indexed="64"/>
      </patternFill>
    </fill>
    <fill>
      <patternFill patternType="solid">
        <fgColor rgb="FFB1EE2D"/>
        <bgColor indexed="64"/>
      </patternFill>
    </fill>
    <fill>
      <patternFill patternType="solid">
        <fgColor rgb="FFAD8D06"/>
        <bgColor indexed="64"/>
      </patternFill>
    </fill>
    <fill>
      <patternFill patternType="solid">
        <fgColor rgb="FF1497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12F40"/>
        <bgColor indexed="64"/>
      </patternFill>
    </fill>
    <fill>
      <patternFill patternType="solid">
        <fgColor rgb="FFFFC100"/>
        <bgColor indexed="64"/>
      </patternFill>
    </fill>
    <fill>
      <patternFill patternType="solid">
        <fgColor rgb="FFE7CC58"/>
        <bgColor indexed="64"/>
      </patternFill>
    </fill>
    <fill>
      <patternFill patternType="solid">
        <fgColor rgb="FF725AC1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4">
    <xf numFmtId="0" fontId="0" fillId="0" borderId="0" xfId="0"/>
    <xf numFmtId="0" fontId="0" fillId="0" borderId="0" xfId="0" applyAlignment="1">
      <alignment horizontal="center"/>
    </xf>
    <xf numFmtId="20" fontId="0" fillId="0" borderId="0" xfId="0" applyNumberForma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9" fontId="0" fillId="0" borderId="0" xfId="1" applyFont="1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10" fontId="2" fillId="0" borderId="0" xfId="1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7" fontId="0" fillId="0" borderId="0" xfId="1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1" applyNumberFormat="1" applyFont="1" applyBorder="1" applyAlignment="1">
      <alignment horizontal="center"/>
    </xf>
    <xf numFmtId="167" fontId="0" fillId="0" borderId="5" xfId="1" applyNumberFormat="1" applyFont="1" applyBorder="1" applyAlignment="1">
      <alignment horizontal="center"/>
    </xf>
    <xf numFmtId="167" fontId="0" fillId="0" borderId="7" xfId="1" applyNumberFormat="1" applyFont="1" applyBorder="1" applyAlignment="1">
      <alignment horizontal="center"/>
    </xf>
    <xf numFmtId="164" fontId="2" fillId="0" borderId="0" xfId="1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0" xfId="0" applyNumberFormat="1"/>
    <xf numFmtId="167" fontId="0" fillId="0" borderId="0" xfId="0" applyNumberFormat="1"/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8" xfId="0" applyFill="1" applyBorder="1" applyAlignment="1">
      <alignment horizontal="center"/>
    </xf>
    <xf numFmtId="167" fontId="2" fillId="2" borderId="1" xfId="1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67" fontId="0" fillId="0" borderId="2" xfId="0" applyNumberFormat="1" applyBorder="1" applyAlignment="1">
      <alignment horizontal="center"/>
    </xf>
    <xf numFmtId="167" fontId="0" fillId="0" borderId="3" xfId="0" applyNumberFormat="1" applyBorder="1" applyAlignment="1">
      <alignment horizontal="center"/>
    </xf>
    <xf numFmtId="167" fontId="0" fillId="0" borderId="4" xfId="0" applyNumberFormat="1" applyBorder="1" applyAlignment="1">
      <alignment horizontal="center"/>
    </xf>
    <xf numFmtId="167" fontId="2" fillId="2" borderId="0" xfId="1" applyNumberFormat="1" applyFont="1" applyFill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167" fontId="0" fillId="0" borderId="7" xfId="0" applyNumberFormat="1" applyBorder="1" applyAlignment="1">
      <alignment horizontal="center"/>
    </xf>
    <xf numFmtId="167" fontId="2" fillId="2" borderId="8" xfId="1" applyNumberFormat="1" applyFont="1" applyFill="1" applyBorder="1" applyAlignment="1">
      <alignment horizontal="center"/>
    </xf>
    <xf numFmtId="0" fontId="6" fillId="0" borderId="0" xfId="0" applyFont="1"/>
    <xf numFmtId="0" fontId="5" fillId="0" borderId="0" xfId="0" applyFont="1"/>
    <xf numFmtId="167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  <xf numFmtId="164" fontId="0" fillId="0" borderId="0" xfId="1" applyNumberFormat="1" applyFont="1"/>
    <xf numFmtId="10" fontId="0" fillId="0" borderId="0" xfId="1" applyNumberFormat="1" applyFont="1"/>
    <xf numFmtId="0" fontId="2" fillId="0" borderId="7" xfId="0" applyFont="1" applyBorder="1" applyAlignment="1">
      <alignment horizontal="center"/>
    </xf>
    <xf numFmtId="169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0" fontId="2" fillId="0" borderId="0" xfId="0" applyNumberFormat="1" applyFont="1"/>
    <xf numFmtId="10" fontId="2" fillId="0" borderId="0" xfId="0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170" fontId="2" fillId="0" borderId="0" xfId="1" applyNumberFormat="1" applyFont="1" applyFill="1" applyBorder="1" applyAlignment="1">
      <alignment horizontal="center"/>
    </xf>
    <xf numFmtId="170" fontId="2" fillId="0" borderId="0" xfId="0" applyNumberFormat="1" applyFont="1"/>
    <xf numFmtId="170" fontId="2" fillId="0" borderId="0" xfId="0" applyNumberFormat="1" applyFont="1" applyAlignment="1">
      <alignment horizontal="center"/>
    </xf>
    <xf numFmtId="10" fontId="2" fillId="0" borderId="0" xfId="1" applyNumberFormat="1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7" xfId="0" applyBorder="1"/>
    <xf numFmtId="0" fontId="2" fillId="0" borderId="0" xfId="0" applyFont="1" applyAlignment="1">
      <alignment horizontal="right"/>
    </xf>
    <xf numFmtId="166" fontId="2" fillId="0" borderId="0" xfId="0" applyNumberFormat="1" applyFont="1" applyAlignment="1">
      <alignment horizontal="center"/>
    </xf>
    <xf numFmtId="9" fontId="2" fillId="0" borderId="0" xfId="1" applyFont="1" applyAlignment="1">
      <alignment horizontal="center"/>
    </xf>
    <xf numFmtId="0" fontId="0" fillId="0" borderId="9" xfId="0" applyBorder="1"/>
    <xf numFmtId="0" fontId="2" fillId="0" borderId="9" xfId="0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0" fillId="0" borderId="12" xfId="0" applyBorder="1"/>
    <xf numFmtId="2" fontId="0" fillId="0" borderId="12" xfId="0" applyNumberFormat="1" applyBorder="1" applyAlignment="1">
      <alignment horizontal="center"/>
    </xf>
    <xf numFmtId="0" fontId="0" fillId="0" borderId="11" xfId="0" applyBorder="1"/>
    <xf numFmtId="0" fontId="0" fillId="0" borderId="2" xfId="0" applyBorder="1"/>
    <xf numFmtId="0" fontId="0" fillId="0" borderId="10" xfId="0" applyBorder="1"/>
    <xf numFmtId="2" fontId="0" fillId="0" borderId="0" xfId="1" applyNumberFormat="1" applyFont="1" applyBorder="1" applyAlignment="1">
      <alignment horizontal="center"/>
    </xf>
    <xf numFmtId="170" fontId="2" fillId="0" borderId="0" xfId="1" applyNumberFormat="1" applyFont="1" applyAlignment="1">
      <alignment horizontal="center"/>
    </xf>
    <xf numFmtId="170" fontId="2" fillId="0" borderId="0" xfId="1" applyNumberFormat="1" applyFont="1" applyFill="1" applyAlignment="1">
      <alignment horizontal="center"/>
    </xf>
    <xf numFmtId="0" fontId="10" fillId="0" borderId="0" xfId="0" applyFont="1" applyAlignment="1">
      <alignment horizontal="center"/>
    </xf>
    <xf numFmtId="0" fontId="0" fillId="0" borderId="12" xfId="0" applyBorder="1" applyAlignment="1">
      <alignment horizontal="left"/>
    </xf>
    <xf numFmtId="2" fontId="0" fillId="0" borderId="12" xfId="1" applyNumberFormat="1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46" fontId="0" fillId="0" borderId="0" xfId="0" applyNumberFormat="1"/>
    <xf numFmtId="10" fontId="2" fillId="0" borderId="12" xfId="0" applyNumberFormat="1" applyFont="1" applyBorder="1" applyAlignment="1">
      <alignment horizontal="center"/>
    </xf>
    <xf numFmtId="170" fontId="0" fillId="0" borderId="0" xfId="1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1" fillId="0" borderId="0" xfId="0" applyFont="1"/>
    <xf numFmtId="0" fontId="0" fillId="2" borderId="0" xfId="0" applyFill="1"/>
    <xf numFmtId="9" fontId="2" fillId="0" borderId="0" xfId="1" applyFont="1" applyAlignment="1">
      <alignment horizontal="center" vertical="center"/>
    </xf>
    <xf numFmtId="164" fontId="2" fillId="0" borderId="0" xfId="0" applyNumberFormat="1" applyFont="1"/>
    <xf numFmtId="1" fontId="2" fillId="0" borderId="0" xfId="0" applyNumberFormat="1" applyFont="1" applyAlignment="1">
      <alignment horizontal="center"/>
    </xf>
    <xf numFmtId="10" fontId="2" fillId="0" borderId="0" xfId="1" applyNumberFormat="1" applyFont="1"/>
    <xf numFmtId="164" fontId="2" fillId="0" borderId="0" xfId="1" applyNumberFormat="1" applyFont="1"/>
    <xf numFmtId="0" fontId="2" fillId="3" borderId="7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0" fontId="0" fillId="8" borderId="0" xfId="0" applyFill="1"/>
    <xf numFmtId="2" fontId="0" fillId="9" borderId="0" xfId="1" applyNumberFormat="1" applyFont="1" applyFill="1" applyBorder="1" applyAlignment="1">
      <alignment horizontal="center"/>
    </xf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2" fontId="2" fillId="0" borderId="0" xfId="0" applyNumberFormat="1" applyFont="1" applyAlignment="1">
      <alignment horizontal="center"/>
    </xf>
    <xf numFmtId="0" fontId="0" fillId="18" borderId="0" xfId="0" applyFill="1"/>
    <xf numFmtId="0" fontId="0" fillId="0" borderId="2" xfId="0" applyBorder="1" applyAlignment="1">
      <alignment horizontal="right"/>
    </xf>
    <xf numFmtId="0" fontId="2" fillId="19" borderId="0" xfId="0" applyFont="1" applyFill="1"/>
    <xf numFmtId="0" fontId="0" fillId="19" borderId="0" xfId="0" applyFill="1"/>
    <xf numFmtId="2" fontId="0" fillId="19" borderId="0" xfId="0" applyNumberFormat="1" applyFill="1" applyAlignment="1">
      <alignment horizontal="center"/>
    </xf>
    <xf numFmtId="0" fontId="0" fillId="19" borderId="12" xfId="0" applyFill="1" applyBorder="1"/>
    <xf numFmtId="2" fontId="0" fillId="19" borderId="12" xfId="0" applyNumberFormat="1" applyFill="1" applyBorder="1" applyAlignment="1">
      <alignment horizontal="center"/>
    </xf>
    <xf numFmtId="0" fontId="0" fillId="19" borderId="0" xfId="0" applyFill="1" applyAlignment="1">
      <alignment horizontal="left"/>
    </xf>
    <xf numFmtId="2" fontId="0" fillId="19" borderId="0" xfId="1" applyNumberFormat="1" applyFont="1" applyFill="1" applyBorder="1" applyAlignment="1">
      <alignment horizontal="center"/>
    </xf>
    <xf numFmtId="0" fontId="0" fillId="19" borderId="12" xfId="0" applyFill="1" applyBorder="1" applyAlignment="1">
      <alignment horizontal="left"/>
    </xf>
    <xf numFmtId="2" fontId="0" fillId="19" borderId="12" xfId="1" applyNumberFormat="1" applyFont="1" applyFill="1" applyBorder="1" applyAlignment="1">
      <alignment horizontal="center"/>
    </xf>
    <xf numFmtId="0" fontId="0" fillId="19" borderId="0" xfId="0" applyFill="1" applyAlignment="1">
      <alignment horizontal="right"/>
    </xf>
    <xf numFmtId="0" fontId="0" fillId="19" borderId="0" xfId="0" applyFill="1" applyAlignment="1">
      <alignment horizontal="center"/>
    </xf>
    <xf numFmtId="167" fontId="0" fillId="19" borderId="0" xfId="0" applyNumberFormat="1" applyFill="1" applyAlignment="1">
      <alignment horizontal="left"/>
    </xf>
    <xf numFmtId="0" fontId="2" fillId="0" borderId="7" xfId="0" applyFont="1" applyBorder="1"/>
    <xf numFmtId="0" fontId="2" fillId="19" borderId="0" xfId="0" applyFont="1" applyFill="1" applyAlignment="1">
      <alignment horizontal="left"/>
    </xf>
    <xf numFmtId="10" fontId="2" fillId="0" borderId="7" xfId="0" applyNumberFormat="1" applyFont="1" applyBorder="1" applyAlignment="1">
      <alignment horizontal="center"/>
    </xf>
    <xf numFmtId="170" fontId="2" fillId="0" borderId="7" xfId="0" applyNumberFormat="1" applyFont="1" applyBorder="1" applyAlignment="1">
      <alignment horizontal="center"/>
    </xf>
    <xf numFmtId="0" fontId="0" fillId="19" borderId="2" xfId="0" applyFill="1" applyBorder="1"/>
    <xf numFmtId="0" fontId="2" fillId="6" borderId="7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2" fontId="0" fillId="19" borderId="7" xfId="0" applyNumberFormat="1" applyFill="1" applyBorder="1" applyAlignment="1">
      <alignment horizontal="center"/>
    </xf>
    <xf numFmtId="170" fontId="0" fillId="20" borderId="0" xfId="1" applyNumberFormat="1" applyFont="1" applyFill="1" applyAlignment="1">
      <alignment horizontal="center"/>
    </xf>
    <xf numFmtId="10" fontId="2" fillId="0" borderId="0" xfId="1" applyNumberFormat="1" applyFont="1" applyFill="1" applyBorder="1" applyAlignment="1">
      <alignment horizontal="center"/>
    </xf>
    <xf numFmtId="0" fontId="12" fillId="19" borderId="7" xfId="0" applyFont="1" applyFill="1" applyBorder="1"/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2" fontId="2" fillId="0" borderId="0" xfId="0" applyNumberFormat="1" applyFont="1"/>
    <xf numFmtId="2" fontId="0" fillId="19" borderId="2" xfId="0" applyNumberFormat="1" applyFill="1" applyBorder="1" applyAlignment="1">
      <alignment horizontal="center"/>
    </xf>
    <xf numFmtId="2" fontId="0" fillId="19" borderId="0" xfId="0" applyNumberFormat="1" applyFill="1" applyAlignment="1">
      <alignment horizontal="left"/>
    </xf>
    <xf numFmtId="1" fontId="2" fillId="0" borderId="13" xfId="0" applyNumberFormat="1" applyFont="1" applyBorder="1" applyAlignment="1">
      <alignment horizontal="center"/>
    </xf>
    <xf numFmtId="2" fontId="13" fillId="19" borderId="2" xfId="0" applyNumberFormat="1" applyFont="1" applyFill="1" applyBorder="1" applyAlignment="1">
      <alignment horizontal="center"/>
    </xf>
    <xf numFmtId="2" fontId="14" fillId="19" borderId="2" xfId="0" applyNumberFormat="1" applyFont="1" applyFill="1" applyBorder="1" applyAlignment="1">
      <alignment horizontal="center"/>
    </xf>
    <xf numFmtId="0" fontId="0" fillId="19" borderId="7" xfId="0" applyFill="1" applyBorder="1"/>
    <xf numFmtId="2" fontId="0" fillId="19" borderId="0" xfId="0" applyNumberFormat="1" applyFill="1"/>
    <xf numFmtId="0" fontId="2" fillId="0" borderId="2" xfId="0" applyFont="1" applyBorder="1"/>
    <xf numFmtId="167" fontId="0" fillId="19" borderId="0" xfId="0" applyNumberFormat="1" applyFill="1" applyAlignment="1">
      <alignment horizontal="center"/>
    </xf>
    <xf numFmtId="10" fontId="0" fillId="19" borderId="0" xfId="0" applyNumberFormat="1" applyFill="1"/>
    <xf numFmtId="10" fontId="0" fillId="19" borderId="0" xfId="1" applyNumberFormat="1" applyFont="1" applyFill="1" applyAlignment="1">
      <alignment horizontal="center"/>
    </xf>
    <xf numFmtId="10" fontId="0" fillId="19" borderId="0" xfId="1" applyNumberFormat="1" applyFont="1" applyFill="1" applyBorder="1" applyAlignment="1">
      <alignment horizontal="center"/>
    </xf>
    <xf numFmtId="0" fontId="12" fillId="19" borderId="0" xfId="0" applyFont="1" applyFill="1"/>
    <xf numFmtId="170" fontId="0" fillId="19" borderId="0" xfId="1" applyNumberFormat="1" applyFont="1" applyFill="1" applyBorder="1" applyAlignment="1">
      <alignment horizontal="center"/>
    </xf>
    <xf numFmtId="170" fontId="0" fillId="19" borderId="7" xfId="1" applyNumberFormat="1" applyFont="1" applyFill="1" applyBorder="1" applyAlignment="1">
      <alignment horizontal="center"/>
    </xf>
    <xf numFmtId="10" fontId="0" fillId="19" borderId="7" xfId="1" applyNumberFormat="1" applyFont="1" applyFill="1" applyBorder="1" applyAlignment="1">
      <alignment horizontal="center"/>
    </xf>
    <xf numFmtId="10" fontId="0" fillId="19" borderId="0" xfId="0" applyNumberFormat="1" applyFill="1" applyAlignment="1">
      <alignment horizontal="center"/>
    </xf>
    <xf numFmtId="170" fontId="0" fillId="0" borderId="0" xfId="0" applyNumberFormat="1"/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170" fontId="0" fillId="0" borderId="0" xfId="0" applyNumberFormat="1" applyAlignment="1">
      <alignment horizontal="center"/>
    </xf>
    <xf numFmtId="170" fontId="0" fillId="0" borderId="2" xfId="0" applyNumberFormat="1" applyBorder="1" applyAlignment="1">
      <alignment horizontal="center"/>
    </xf>
    <xf numFmtId="170" fontId="0" fillId="0" borderId="3" xfId="0" applyNumberForma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170" fontId="0" fillId="0" borderId="7" xfId="0" applyNumberFormat="1" applyBorder="1" applyAlignment="1">
      <alignment horizontal="center"/>
    </xf>
    <xf numFmtId="170" fontId="0" fillId="0" borderId="8" xfId="0" applyNumberFormat="1" applyBorder="1" applyAlignment="1">
      <alignment horizontal="center"/>
    </xf>
    <xf numFmtId="0" fontId="0" fillId="19" borderId="1" xfId="0" applyFill="1" applyBorder="1"/>
    <xf numFmtId="0" fontId="0" fillId="19" borderId="4" xfId="0" applyFill="1" applyBorder="1"/>
    <xf numFmtId="0" fontId="0" fillId="19" borderId="6" xfId="0" applyFill="1" applyBorder="1"/>
    <xf numFmtId="170" fontId="0" fillId="19" borderId="0" xfId="0" applyNumberFormat="1" applyFill="1" applyAlignment="1">
      <alignment horizontal="center"/>
    </xf>
    <xf numFmtId="170" fontId="0" fillId="19" borderId="5" xfId="0" applyNumberFormat="1" applyFill="1" applyBorder="1" applyAlignment="1">
      <alignment horizontal="center"/>
    </xf>
    <xf numFmtId="0" fontId="2" fillId="19" borderId="1" xfId="0" applyFont="1" applyFill="1" applyBorder="1" applyAlignment="1">
      <alignment horizontal="left"/>
    </xf>
    <xf numFmtId="0" fontId="2" fillId="19" borderId="4" xfId="0" applyFont="1" applyFill="1" applyBorder="1" applyAlignment="1">
      <alignment horizontal="left"/>
    </xf>
    <xf numFmtId="0" fontId="2" fillId="19" borderId="6" xfId="0" applyFont="1" applyFill="1" applyBorder="1" applyAlignment="1">
      <alignment horizontal="left"/>
    </xf>
    <xf numFmtId="10" fontId="0" fillId="0" borderId="0" xfId="1" applyNumberFormat="1" applyFont="1" applyAlignment="1">
      <alignment horizontal="center"/>
    </xf>
    <xf numFmtId="168" fontId="0" fillId="12" borderId="0" xfId="0" applyNumberFormat="1" applyFill="1" applyAlignment="1">
      <alignment horizontal="center"/>
    </xf>
    <xf numFmtId="0" fontId="0" fillId="0" borderId="13" xfId="0" applyBorder="1"/>
    <xf numFmtId="0" fontId="0" fillId="3" borderId="13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0" fontId="0" fillId="0" borderId="0" xfId="0" applyNumberFormat="1"/>
    <xf numFmtId="2" fontId="0" fillId="0" borderId="0" xfId="1" applyNumberFormat="1" applyFont="1" applyAlignment="1">
      <alignment horizontal="center"/>
    </xf>
    <xf numFmtId="0" fontId="16" fillId="21" borderId="0" xfId="0" applyFont="1" applyFill="1" applyAlignment="1">
      <alignment horizontal="center"/>
    </xf>
    <xf numFmtId="0" fontId="16" fillId="22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3" borderId="0" xfId="0" applyFill="1" applyAlignment="1">
      <alignment horizontal="center"/>
    </xf>
    <xf numFmtId="0" fontId="0" fillId="13" borderId="5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3" borderId="7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16" borderId="5" xfId="0" applyFill="1" applyBorder="1" applyAlignment="1">
      <alignment horizontal="center"/>
    </xf>
    <xf numFmtId="0" fontId="0" fillId="16" borderId="7" xfId="0" applyFill="1" applyBorder="1" applyAlignment="1">
      <alignment horizontal="center"/>
    </xf>
    <xf numFmtId="10" fontId="0" fillId="19" borderId="0" xfId="1" applyNumberFormat="1" applyFont="1" applyFill="1"/>
    <xf numFmtId="2" fontId="0" fillId="19" borderId="0" xfId="0" applyNumberFormat="1" applyFill="1" applyAlignment="1">
      <alignment horizontal="right"/>
    </xf>
    <xf numFmtId="0" fontId="16" fillId="22" borderId="2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166" fontId="0" fillId="0" borderId="2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13" borderId="13" xfId="0" applyFill="1" applyBorder="1"/>
    <xf numFmtId="0" fontId="0" fillId="12" borderId="13" xfId="0" applyFill="1" applyBorder="1"/>
    <xf numFmtId="0" fontId="0" fillId="16" borderId="13" xfId="0" applyFill="1" applyBorder="1"/>
    <xf numFmtId="0" fontId="0" fillId="22" borderId="13" xfId="0" applyFill="1" applyBorder="1"/>
    <xf numFmtId="0" fontId="0" fillId="21" borderId="13" xfId="0" applyFill="1" applyBorder="1"/>
    <xf numFmtId="0" fontId="16" fillId="21" borderId="8" xfId="0" applyFont="1" applyFill="1" applyBorder="1" applyAlignment="1">
      <alignment horizontal="center"/>
    </xf>
    <xf numFmtId="0" fontId="15" fillId="24" borderId="7" xfId="0" applyFont="1" applyFill="1" applyBorder="1" applyAlignment="1">
      <alignment horizontal="center"/>
    </xf>
    <xf numFmtId="0" fontId="15" fillId="12" borderId="7" xfId="0" applyFont="1" applyFill="1" applyBorder="1" applyAlignment="1">
      <alignment horizontal="center"/>
    </xf>
    <xf numFmtId="0" fontId="15" fillId="23" borderId="7" xfId="0" applyFont="1" applyFill="1" applyBorder="1" applyAlignment="1">
      <alignment horizontal="center"/>
    </xf>
    <xf numFmtId="0" fontId="17" fillId="5" borderId="7" xfId="0" applyFont="1" applyFill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0" fontId="0" fillId="0" borderId="0" xfId="0" applyNumberFormat="1" applyAlignment="1">
      <alignment horizontal="center"/>
    </xf>
    <xf numFmtId="49" fontId="0" fillId="0" borderId="13" xfId="0" applyNumberFormat="1" applyBorder="1" applyAlignment="1">
      <alignment horizontal="center"/>
    </xf>
    <xf numFmtId="0" fontId="16" fillId="22" borderId="5" xfId="0" applyFont="1" applyFill="1" applyBorder="1" applyAlignment="1">
      <alignment horizontal="center"/>
    </xf>
    <xf numFmtId="0" fontId="16" fillId="22" borderId="7" xfId="0" applyFont="1" applyFill="1" applyBorder="1" applyAlignment="1">
      <alignment horizontal="center"/>
    </xf>
    <xf numFmtId="14" fontId="0" fillId="0" borderId="0" xfId="0" applyNumberFormat="1"/>
    <xf numFmtId="21" fontId="0" fillId="0" borderId="0" xfId="0" applyNumberFormat="1"/>
    <xf numFmtId="0" fontId="12" fillId="12" borderId="0" xfId="0" applyFont="1" applyFill="1" applyAlignment="1">
      <alignment horizontal="center"/>
    </xf>
    <xf numFmtId="2" fontId="0" fillId="19" borderId="0" xfId="1" applyNumberFormat="1" applyFont="1" applyFill="1" applyAlignment="1">
      <alignment horizontal="center"/>
    </xf>
    <xf numFmtId="0" fontId="0" fillId="0" borderId="4" xfId="0" applyBorder="1"/>
    <xf numFmtId="0" fontId="2" fillId="19" borderId="13" xfId="0" applyFont="1" applyFill="1" applyBorder="1" applyAlignment="1">
      <alignment horizontal="center"/>
    </xf>
    <xf numFmtId="10" fontId="2" fillId="19" borderId="13" xfId="0" applyNumberFormat="1" applyFont="1" applyFill="1" applyBorder="1" applyAlignment="1">
      <alignment horizontal="center"/>
    </xf>
    <xf numFmtId="170" fontId="2" fillId="19" borderId="13" xfId="0" applyNumberFormat="1" applyFont="1" applyFill="1" applyBorder="1" applyAlignment="1">
      <alignment horizontal="center"/>
    </xf>
    <xf numFmtId="10" fontId="18" fillId="19" borderId="13" xfId="0" applyNumberFormat="1" applyFont="1" applyFill="1" applyBorder="1" applyAlignment="1">
      <alignment horizontal="center"/>
    </xf>
    <xf numFmtId="2" fontId="1" fillId="19" borderId="0" xfId="1" applyNumberFormat="1" applyFont="1" applyFill="1" applyBorder="1" applyAlignment="1">
      <alignment horizontal="center"/>
    </xf>
    <xf numFmtId="2" fontId="1" fillId="19" borderId="12" xfId="1" applyNumberFormat="1" applyFont="1" applyFill="1" applyBorder="1" applyAlignment="1">
      <alignment horizontal="center"/>
    </xf>
    <xf numFmtId="0" fontId="16" fillId="21" borderId="2" xfId="0" applyFont="1" applyFill="1" applyBorder="1" applyAlignment="1">
      <alignment horizontal="center"/>
    </xf>
    <xf numFmtId="0" fontId="0" fillId="16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16" fillId="21" borderId="7" xfId="0" applyFont="1" applyFill="1" applyBorder="1" applyAlignment="1">
      <alignment horizontal="center"/>
    </xf>
    <xf numFmtId="0" fontId="12" fillId="13" borderId="0" xfId="0" applyFont="1" applyFill="1" applyAlignment="1">
      <alignment horizontal="center"/>
    </xf>
    <xf numFmtId="0" fontId="12" fillId="16" borderId="7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5" xfId="0" applyFont="1" applyBorder="1" applyAlignment="1">
      <alignment horizontal="center"/>
    </xf>
    <xf numFmtId="0" fontId="12" fillId="12" borderId="5" xfId="0" applyFont="1" applyFill="1" applyBorder="1" applyAlignment="1">
      <alignment horizontal="center"/>
    </xf>
    <xf numFmtId="0" fontId="12" fillId="16" borderId="5" xfId="0" applyFont="1" applyFill="1" applyBorder="1" applyAlignment="1">
      <alignment horizontal="center"/>
    </xf>
    <xf numFmtId="0" fontId="15" fillId="23" borderId="0" xfId="0" applyFont="1" applyFill="1" applyAlignment="1">
      <alignment horizontal="center" vertical="center"/>
    </xf>
    <xf numFmtId="0" fontId="17" fillId="5" borderId="0" xfId="0" applyFont="1" applyFill="1" applyAlignment="1">
      <alignment horizontal="center" vertical="center"/>
    </xf>
    <xf numFmtId="0" fontId="15" fillId="23" borderId="17" xfId="0" applyFont="1" applyFill="1" applyBorder="1" applyAlignment="1">
      <alignment horizontal="center" vertical="center"/>
    </xf>
    <xf numFmtId="0" fontId="15" fillId="25" borderId="17" xfId="0" applyFont="1" applyFill="1" applyBorder="1" applyAlignment="1">
      <alignment horizontal="center" vertical="center"/>
    </xf>
    <xf numFmtId="0" fontId="17" fillId="26" borderId="18" xfId="0" applyFont="1" applyFill="1" applyBorder="1" applyAlignment="1">
      <alignment horizontal="center" vertical="center"/>
    </xf>
    <xf numFmtId="0" fontId="17" fillId="5" borderId="19" xfId="0" applyFont="1" applyFill="1" applyBorder="1" applyAlignment="1">
      <alignment horizontal="center" vertical="center"/>
    </xf>
    <xf numFmtId="0" fontId="15" fillId="23" borderId="0" xfId="0" applyFont="1" applyFill="1" applyAlignment="1">
      <alignment horizontal="center"/>
    </xf>
    <xf numFmtId="0" fontId="17" fillId="5" borderId="0" xfId="0" applyFont="1" applyFill="1" applyAlignment="1">
      <alignment horizontal="center"/>
    </xf>
    <xf numFmtId="0" fontId="2" fillId="27" borderId="13" xfId="0" applyFont="1" applyFill="1" applyBorder="1" applyAlignment="1">
      <alignment horizontal="center"/>
    </xf>
    <xf numFmtId="2" fontId="16" fillId="23" borderId="20" xfId="1" applyNumberFormat="1" applyFont="1" applyFill="1" applyBorder="1" applyAlignment="1">
      <alignment horizontal="center" vertical="center"/>
    </xf>
    <xf numFmtId="2" fontId="16" fillId="25" borderId="20" xfId="1" applyNumberFormat="1" applyFont="1" applyFill="1" applyBorder="1" applyAlignment="1">
      <alignment horizontal="center" vertical="center"/>
    </xf>
    <xf numFmtId="2" fontId="2" fillId="19" borderId="13" xfId="0" applyNumberFormat="1" applyFont="1" applyFill="1" applyBorder="1" applyAlignment="1">
      <alignment horizontal="center"/>
    </xf>
    <xf numFmtId="0" fontId="17" fillId="5" borderId="15" xfId="0" applyFont="1" applyFill="1" applyBorder="1" applyAlignment="1">
      <alignment horizontal="center"/>
    </xf>
    <xf numFmtId="2" fontId="12" fillId="26" borderId="18" xfId="1" applyNumberFormat="1" applyFont="1" applyFill="1" applyBorder="1" applyAlignment="1">
      <alignment horizontal="center" vertical="center"/>
    </xf>
    <xf numFmtId="2" fontId="12" fillId="5" borderId="19" xfId="1" applyNumberFormat="1" applyFont="1" applyFill="1" applyBorder="1" applyAlignment="1">
      <alignment horizontal="center" vertical="center"/>
    </xf>
    <xf numFmtId="0" fontId="0" fillId="19" borderId="1" xfId="0" applyFill="1" applyBorder="1" applyAlignment="1">
      <alignment horizontal="center"/>
    </xf>
    <xf numFmtId="0" fontId="0" fillId="19" borderId="2" xfId="0" applyFill="1" applyBorder="1" applyAlignment="1">
      <alignment horizontal="center"/>
    </xf>
    <xf numFmtId="10" fontId="0" fillId="19" borderId="2" xfId="1" applyNumberFormat="1" applyFont="1" applyFill="1" applyBorder="1" applyAlignment="1">
      <alignment horizontal="center"/>
    </xf>
    <xf numFmtId="0" fontId="0" fillId="19" borderId="21" xfId="0" applyFill="1" applyBorder="1"/>
    <xf numFmtId="0" fontId="15" fillId="0" borderId="22" xfId="0" applyFont="1" applyBorder="1" applyAlignment="1">
      <alignment horizontal="center"/>
    </xf>
    <xf numFmtId="0" fontId="15" fillId="23" borderId="23" xfId="0" applyFont="1" applyFill="1" applyBorder="1" applyAlignment="1">
      <alignment horizontal="center"/>
    </xf>
    <xf numFmtId="0" fontId="17" fillId="5" borderId="23" xfId="0" applyFont="1" applyFill="1" applyBorder="1" applyAlignment="1">
      <alignment horizontal="center"/>
    </xf>
    <xf numFmtId="10" fontId="16" fillId="23" borderId="20" xfId="1" applyNumberFormat="1" applyFont="1" applyFill="1" applyBorder="1" applyAlignment="1">
      <alignment horizontal="center" vertical="center"/>
    </xf>
    <xf numFmtId="10" fontId="16" fillId="25" borderId="20" xfId="1" applyNumberFormat="1" applyFont="1" applyFill="1" applyBorder="1" applyAlignment="1">
      <alignment horizontal="center" vertical="center"/>
    </xf>
    <xf numFmtId="10" fontId="2" fillId="19" borderId="13" xfId="1" applyNumberFormat="1" applyFont="1" applyFill="1" applyBorder="1" applyAlignment="1">
      <alignment horizontal="center"/>
    </xf>
    <xf numFmtId="0" fontId="17" fillId="5" borderId="24" xfId="0" applyFont="1" applyFill="1" applyBorder="1" applyAlignment="1">
      <alignment horizontal="center"/>
    </xf>
    <xf numFmtId="10" fontId="12" fillId="26" borderId="18" xfId="1" applyNumberFormat="1" applyFont="1" applyFill="1" applyBorder="1" applyAlignment="1">
      <alignment horizontal="center" vertical="center"/>
    </xf>
    <xf numFmtId="10" fontId="12" fillId="5" borderId="19" xfId="1" applyNumberFormat="1" applyFont="1" applyFill="1" applyBorder="1" applyAlignment="1">
      <alignment horizontal="center" vertical="center"/>
    </xf>
    <xf numFmtId="10" fontId="0" fillId="19" borderId="0" xfId="0" applyNumberFormat="1" applyFill="1" applyAlignment="1">
      <alignment horizontal="right"/>
    </xf>
    <xf numFmtId="10" fontId="12" fillId="5" borderId="17" xfId="1" applyNumberFormat="1" applyFont="1" applyFill="1" applyBorder="1" applyAlignment="1">
      <alignment horizontal="center" vertical="center"/>
    </xf>
    <xf numFmtId="0" fontId="2" fillId="19" borderId="0" xfId="0" applyFont="1" applyFill="1" applyAlignment="1">
      <alignment horizontal="center"/>
    </xf>
    <xf numFmtId="0" fontId="15" fillId="23" borderId="25" xfId="0" applyFont="1" applyFill="1" applyBorder="1" applyAlignment="1">
      <alignment horizontal="center" vertical="center"/>
    </xf>
    <xf numFmtId="0" fontId="16" fillId="23" borderId="26" xfId="0" applyFont="1" applyFill="1" applyBorder="1" applyAlignment="1">
      <alignment horizontal="center" vertical="center"/>
    </xf>
    <xf numFmtId="10" fontId="1" fillId="19" borderId="17" xfId="1" applyNumberFormat="1" applyFont="1" applyFill="1" applyBorder="1" applyAlignment="1">
      <alignment horizontal="center"/>
    </xf>
    <xf numFmtId="10" fontId="1" fillId="19" borderId="0" xfId="1" applyNumberFormat="1" applyFont="1" applyFill="1" applyBorder="1" applyAlignment="1">
      <alignment horizontal="center"/>
    </xf>
    <xf numFmtId="0" fontId="15" fillId="23" borderId="27" xfId="0" applyFont="1" applyFill="1" applyBorder="1" applyAlignment="1">
      <alignment horizontal="center" vertical="center"/>
    </xf>
    <xf numFmtId="0" fontId="16" fillId="23" borderId="0" xfId="0" applyFont="1" applyFill="1" applyAlignment="1">
      <alignment horizontal="center" vertical="center"/>
    </xf>
    <xf numFmtId="0" fontId="2" fillId="19" borderId="27" xfId="0" applyFont="1" applyFill="1" applyBorder="1" applyAlignment="1">
      <alignment horizontal="left"/>
    </xf>
    <xf numFmtId="0" fontId="16" fillId="25" borderId="18" xfId="0" applyFont="1" applyFill="1" applyBorder="1" applyAlignment="1">
      <alignment horizontal="center" vertical="center"/>
    </xf>
    <xf numFmtId="0" fontId="16" fillId="25" borderId="28" xfId="0" applyFont="1" applyFill="1" applyBorder="1" applyAlignment="1">
      <alignment horizontal="center" vertical="center"/>
    </xf>
    <xf numFmtId="0" fontId="15" fillId="25" borderId="18" xfId="0" applyFont="1" applyFill="1" applyBorder="1" applyAlignment="1">
      <alignment horizontal="center" vertical="center"/>
    </xf>
    <xf numFmtId="0" fontId="15" fillId="23" borderId="29" xfId="0" applyFont="1" applyFill="1" applyBorder="1" applyAlignment="1">
      <alignment horizontal="center" vertical="center"/>
    </xf>
    <xf numFmtId="0" fontId="16" fillId="23" borderId="27" xfId="0" applyFont="1" applyFill="1" applyBorder="1" applyAlignment="1">
      <alignment horizontal="center" vertical="center"/>
    </xf>
    <xf numFmtId="0" fontId="16" fillId="23" borderId="18" xfId="0" applyFont="1" applyFill="1" applyBorder="1" applyAlignment="1">
      <alignment horizontal="center" vertical="center"/>
    </xf>
    <xf numFmtId="0" fontId="15" fillId="23" borderId="19" xfId="0" applyFont="1" applyFill="1" applyBorder="1" applyAlignment="1">
      <alignment horizontal="center" vertical="center"/>
    </xf>
    <xf numFmtId="0" fontId="15" fillId="28" borderId="20" xfId="0" applyFont="1" applyFill="1" applyBorder="1" applyAlignment="1">
      <alignment horizontal="center" vertical="center"/>
    </xf>
    <xf numFmtId="0" fontId="16" fillId="28" borderId="19" xfId="0" applyFont="1" applyFill="1" applyBorder="1" applyAlignment="1">
      <alignment horizontal="center" vertical="center"/>
    </xf>
    <xf numFmtId="0" fontId="15" fillId="28" borderId="17" xfId="0" applyFont="1" applyFill="1" applyBorder="1" applyAlignment="1">
      <alignment horizontal="center" vertical="center"/>
    </xf>
    <xf numFmtId="0" fontId="16" fillId="28" borderId="30" xfId="0" applyFont="1" applyFill="1" applyBorder="1" applyAlignment="1">
      <alignment horizontal="center" vertical="center"/>
    </xf>
    <xf numFmtId="0" fontId="15" fillId="28" borderId="30" xfId="0" applyFont="1" applyFill="1" applyBorder="1" applyAlignment="1">
      <alignment horizontal="center" vertical="center"/>
    </xf>
    <xf numFmtId="0" fontId="16" fillId="28" borderId="27" xfId="0" applyFont="1" applyFill="1" applyBorder="1" applyAlignment="1">
      <alignment horizontal="center" vertical="center"/>
    </xf>
    <xf numFmtId="0" fontId="15" fillId="28" borderId="27" xfId="0" applyFont="1" applyFill="1" applyBorder="1" applyAlignment="1">
      <alignment horizontal="center" vertical="center"/>
    </xf>
    <xf numFmtId="0" fontId="15" fillId="28" borderId="19" xfId="0" applyFont="1" applyFill="1" applyBorder="1" applyAlignment="1">
      <alignment horizontal="center" vertical="center"/>
    </xf>
    <xf numFmtId="0" fontId="16" fillId="28" borderId="31" xfId="0" applyFont="1" applyFill="1" applyBorder="1" applyAlignment="1">
      <alignment horizontal="center" vertical="center"/>
    </xf>
    <xf numFmtId="0" fontId="16" fillId="25" borderId="17" xfId="0" applyFont="1" applyFill="1" applyBorder="1" applyAlignment="1">
      <alignment horizontal="center" vertical="center"/>
    </xf>
    <xf numFmtId="0" fontId="16" fillId="25" borderId="30" xfId="0" applyFont="1" applyFill="1" applyBorder="1" applyAlignment="1">
      <alignment horizontal="center" vertical="center"/>
    </xf>
    <xf numFmtId="0" fontId="17" fillId="26" borderId="30" xfId="0" applyFont="1" applyFill="1" applyBorder="1" applyAlignment="1">
      <alignment horizontal="center" vertical="center"/>
    </xf>
    <xf numFmtId="0" fontId="12" fillId="26" borderId="17" xfId="0" applyFont="1" applyFill="1" applyBorder="1" applyAlignment="1">
      <alignment horizontal="center" vertical="center"/>
    </xf>
    <xf numFmtId="0" fontId="12" fillId="26" borderId="28" xfId="0" applyFont="1" applyFill="1" applyBorder="1" applyAlignment="1">
      <alignment horizontal="center" vertical="center"/>
    </xf>
    <xf numFmtId="0" fontId="15" fillId="28" borderId="32" xfId="0" applyFont="1" applyFill="1" applyBorder="1" applyAlignment="1">
      <alignment horizontal="center" vertical="center"/>
    </xf>
    <xf numFmtId="0" fontId="16" fillId="28" borderId="17" xfId="0" applyFont="1" applyFill="1" applyBorder="1" applyAlignment="1">
      <alignment horizontal="center" vertical="center"/>
    </xf>
    <xf numFmtId="0" fontId="15" fillId="28" borderId="0" xfId="0" applyFont="1" applyFill="1" applyAlignment="1">
      <alignment horizontal="center" vertical="center"/>
    </xf>
    <xf numFmtId="0" fontId="15" fillId="28" borderId="25" xfId="0" applyFont="1" applyFill="1" applyBorder="1" applyAlignment="1">
      <alignment horizontal="center" vertical="center"/>
    </xf>
    <xf numFmtId="0" fontId="16" fillId="28" borderId="29" xfId="0" applyFont="1" applyFill="1" applyBorder="1" applyAlignment="1">
      <alignment horizontal="center" vertical="center"/>
    </xf>
    <xf numFmtId="0" fontId="16" fillId="28" borderId="32" xfId="0" applyFont="1" applyFill="1" applyBorder="1" applyAlignment="1">
      <alignment horizontal="center" vertical="center"/>
    </xf>
    <xf numFmtId="0" fontId="17" fillId="5" borderId="32" xfId="0" applyFont="1" applyFill="1" applyBorder="1" applyAlignment="1">
      <alignment horizontal="center" vertical="center"/>
    </xf>
    <xf numFmtId="0" fontId="12" fillId="5" borderId="29" xfId="0" applyFont="1" applyFill="1" applyBorder="1" applyAlignment="1">
      <alignment horizontal="center" vertical="center"/>
    </xf>
    <xf numFmtId="0" fontId="17" fillId="5" borderId="29" xfId="0" applyFont="1" applyFill="1" applyBorder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17" fillId="5" borderId="26" xfId="0" applyFont="1" applyFill="1" applyBorder="1" applyAlignment="1">
      <alignment horizontal="center" vertical="center"/>
    </xf>
    <xf numFmtId="0" fontId="17" fillId="26" borderId="17" xfId="0" applyFont="1" applyFill="1" applyBorder="1" applyAlignment="1">
      <alignment horizontal="center" vertical="center"/>
    </xf>
    <xf numFmtId="0" fontId="12" fillId="5" borderId="30" xfId="0" applyFont="1" applyFill="1" applyBorder="1" applyAlignment="1">
      <alignment horizontal="center" vertical="center"/>
    </xf>
    <xf numFmtId="0" fontId="17" fillId="5" borderId="31" xfId="0" applyFont="1" applyFill="1" applyBorder="1" applyAlignment="1">
      <alignment horizontal="center" vertical="center"/>
    </xf>
    <xf numFmtId="0" fontId="12" fillId="5" borderId="20" xfId="0" applyFont="1" applyFill="1" applyBorder="1" applyAlignment="1">
      <alignment horizontal="center" vertical="center"/>
    </xf>
    <xf numFmtId="0" fontId="17" fillId="5" borderId="20" xfId="0" applyFont="1" applyFill="1" applyBorder="1" applyAlignment="1">
      <alignment horizontal="center" vertical="center"/>
    </xf>
    <xf numFmtId="9" fontId="2" fillId="19" borderId="0" xfId="1" applyFont="1" applyFill="1" applyAlignment="1">
      <alignment horizontal="center"/>
    </xf>
    <xf numFmtId="10" fontId="2" fillId="19" borderId="0" xfId="1" applyNumberFormat="1" applyFont="1" applyFill="1" applyAlignment="1">
      <alignment horizontal="center"/>
    </xf>
    <xf numFmtId="0" fontId="15" fillId="0" borderId="13" xfId="0" applyFont="1" applyBorder="1" applyAlignment="1">
      <alignment horizontal="center"/>
    </xf>
    <xf numFmtId="0" fontId="16" fillId="23" borderId="30" xfId="0" applyFont="1" applyFill="1" applyBorder="1" applyAlignment="1">
      <alignment horizontal="center" vertical="center"/>
    </xf>
    <xf numFmtId="10" fontId="1" fillId="19" borderId="20" xfId="1" applyNumberFormat="1" applyFont="1" applyFill="1" applyBorder="1" applyAlignment="1">
      <alignment horizontal="center"/>
    </xf>
    <xf numFmtId="0" fontId="2" fillId="27" borderId="16" xfId="0" applyFont="1" applyFill="1" applyBorder="1" applyAlignment="1">
      <alignment horizontal="center"/>
    </xf>
    <xf numFmtId="0" fontId="15" fillId="28" borderId="26" xfId="0" applyFont="1" applyFill="1" applyBorder="1" applyAlignment="1">
      <alignment horizontal="center" vertical="center"/>
    </xf>
    <xf numFmtId="0" fontId="16" fillId="28" borderId="0" xfId="0" applyFont="1" applyFill="1" applyAlignment="1">
      <alignment horizontal="center" vertical="center"/>
    </xf>
    <xf numFmtId="0" fontId="12" fillId="5" borderId="23" xfId="0" applyFont="1" applyFill="1" applyBorder="1" applyAlignment="1">
      <alignment horizontal="center" vertical="center"/>
    </xf>
    <xf numFmtId="0" fontId="2" fillId="19" borderId="13" xfId="0" applyFont="1" applyFill="1" applyBorder="1" applyAlignment="1">
      <alignment horizontal="right"/>
    </xf>
    <xf numFmtId="0" fontId="0" fillId="19" borderId="13" xfId="0" applyFill="1" applyBorder="1" applyAlignment="1">
      <alignment horizontal="right"/>
    </xf>
    <xf numFmtId="166" fontId="0" fillId="19" borderId="13" xfId="0" applyNumberFormat="1" applyFill="1" applyBorder="1" applyAlignment="1">
      <alignment horizontal="center" vertical="center"/>
    </xf>
    <xf numFmtId="168" fontId="0" fillId="19" borderId="13" xfId="0" applyNumberFormat="1" applyFill="1" applyBorder="1" applyAlignment="1">
      <alignment horizontal="center" vertical="center"/>
    </xf>
    <xf numFmtId="2" fontId="2" fillId="19" borderId="13" xfId="0" applyNumberFormat="1" applyFont="1" applyFill="1" applyBorder="1" applyAlignment="1">
      <alignment horizontal="center" vertical="center"/>
    </xf>
    <xf numFmtId="2" fontId="0" fillId="19" borderId="13" xfId="0" applyNumberFormat="1" applyFill="1" applyBorder="1" applyAlignment="1">
      <alignment horizontal="center"/>
    </xf>
    <xf numFmtId="0" fontId="0" fillId="19" borderId="13" xfId="0" applyFill="1" applyBorder="1" applyAlignment="1">
      <alignment horizontal="center"/>
    </xf>
    <xf numFmtId="0" fontId="0" fillId="19" borderId="14" xfId="0" applyFill="1" applyBorder="1" applyAlignment="1">
      <alignment horizontal="right"/>
    </xf>
    <xf numFmtId="171" fontId="0" fillId="19" borderId="13" xfId="0" applyNumberFormat="1" applyFill="1" applyBorder="1" applyAlignment="1">
      <alignment horizontal="center"/>
    </xf>
    <xf numFmtId="11" fontId="0" fillId="19" borderId="13" xfId="0" applyNumberFormat="1" applyFill="1" applyBorder="1" applyAlignment="1">
      <alignment horizontal="center"/>
    </xf>
    <xf numFmtId="0" fontId="0" fillId="23" borderId="13" xfId="0" applyFill="1" applyBorder="1"/>
    <xf numFmtId="1" fontId="0" fillId="19" borderId="13" xfId="0" applyNumberFormat="1" applyFill="1" applyBorder="1" applyAlignment="1">
      <alignment horizontal="center"/>
    </xf>
    <xf numFmtId="168" fontId="0" fillId="19" borderId="13" xfId="0" applyNumberFormat="1" applyFill="1" applyBorder="1" applyAlignment="1">
      <alignment horizontal="center"/>
    </xf>
    <xf numFmtId="166" fontId="0" fillId="19" borderId="13" xfId="0" applyNumberFormat="1" applyFill="1" applyBorder="1" applyAlignment="1">
      <alignment horizontal="center"/>
    </xf>
    <xf numFmtId="171" fontId="0" fillId="23" borderId="13" xfId="0" applyNumberFormat="1" applyFill="1" applyBorder="1"/>
    <xf numFmtId="0" fontId="2" fillId="19" borderId="7" xfId="0" applyFont="1" applyFill="1" applyBorder="1" applyAlignment="1">
      <alignment horizontal="center"/>
    </xf>
    <xf numFmtId="0" fontId="0" fillId="23" borderId="0" xfId="0" applyFill="1"/>
    <xf numFmtId="167" fontId="0" fillId="19" borderId="13" xfId="0" applyNumberFormat="1" applyFill="1" applyBorder="1" applyAlignment="1">
      <alignment horizontal="center"/>
    </xf>
    <xf numFmtId="11" fontId="0" fillId="0" borderId="0" xfId="0" applyNumberFormat="1"/>
    <xf numFmtId="0" fontId="0" fillId="19" borderId="13" xfId="0" applyFill="1" applyBorder="1"/>
    <xf numFmtId="0" fontId="2" fillId="0" borderId="7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19" borderId="13" xfId="0" applyFill="1" applyBorder="1" applyAlignment="1">
      <alignment horizontal="center"/>
    </xf>
    <xf numFmtId="0" fontId="2" fillId="19" borderId="13" xfId="0" applyFont="1" applyFill="1" applyBorder="1" applyAlignment="1">
      <alignment horizontal="center"/>
    </xf>
    <xf numFmtId="167" fontId="2" fillId="19" borderId="13" xfId="0" applyNumberFormat="1" applyFont="1" applyFill="1" applyBorder="1" applyAlignment="1">
      <alignment horizontal="center"/>
    </xf>
  </cellXfs>
  <cellStyles count="2">
    <cellStyle name="Normal" xfId="0" builtinId="0"/>
    <cellStyle name="Porcentaje" xfId="1" builtinId="5"/>
  </cellStyles>
  <dxfs count="3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1F9DFF"/>
      <color rgb="FF000000"/>
      <color rgb="FFB1EE2D"/>
      <color rgb="FFAD8D06"/>
      <color rgb="FF149721"/>
      <color rgb="FFCACDDE"/>
      <color rgb="FFD00000"/>
      <color rgb="FF7A8737"/>
      <color rgb="FFF78A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2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5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4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2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2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Ex2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Ex2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Ex2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Ex2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Ex2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Ex29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Ex30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Ex3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Ex3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Ex3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Ex3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Ex35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Ex36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Ex37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Ex38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Ex39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Ex40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Ex4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Ex4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Ex43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Ex44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Ex45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Ex46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Ex47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Ex48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Ex49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Ex50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Ex51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Ex52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Ex53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Ex54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Ex55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Ex56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Ex57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Ex58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Ex59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Ex60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Ex6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Ex6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Ex6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Ex6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Ex65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Ex66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Ex67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Ex68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Ex69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Ex70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Ex71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Ex72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Ex73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Ex74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Ex75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Ex76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Ex77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1977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'77_Seeds'!$T$14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'77_Seeds'!$T$282</c:f>
                <c:numCache>
                  <c:formatCode>General</c:formatCode>
                  <c:ptCount val="1"/>
                  <c:pt idx="0">
                    <c:v>1.136136446680905</c:v>
                  </c:pt>
                </c:numCache>
              </c:numRef>
            </c:plus>
            <c:minus>
              <c:numRef>
                <c:f>'77_Seeds'!$T$282</c:f>
                <c:numCache>
                  <c:formatCode>General</c:formatCode>
                  <c:ptCount val="1"/>
                  <c:pt idx="0">
                    <c:v>1.136136446680905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'77_Seeds'!$T$278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'77_Seeds'!$T$281</c:f>
              <c:numCache>
                <c:formatCode>0.00</c:formatCode>
                <c:ptCount val="1"/>
                <c:pt idx="0">
                  <c:v>98.434782608695656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AA-4B38-A394-D4F0C458CD1E}"/>
            </c:ext>
          </c:extLst>
        </c:ser>
        <c:ser>
          <c:idx val="9"/>
          <c:order val="1"/>
          <c:tx>
            <c:strRef>
              <c:f>'77_Seeds'!$U$14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'77_Seeds'!$U$279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'77_Seeds'!$U$279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'77_Seeds'!$U$282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'77_Seeds'!$U$282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'77_Seeds'!$U$278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'77_Seeds'!$U$281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AA-4B38-A394-D4F0C458CD1E}"/>
            </c:ext>
          </c:extLst>
        </c:ser>
        <c:ser>
          <c:idx val="7"/>
          <c:order val="2"/>
          <c:tx>
            <c:strRef>
              <c:f>'77_Seeds'!$V$14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'77_Seeds'!$V$282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'77_Seeds'!$V$282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'77_Seeds'!$V$282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'77_Seeds'!$V$282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'77_Seeds'!$V$278</c:f>
              <c:numCache>
                <c:formatCode>0.00</c:formatCode>
                <c:ptCount val="1"/>
                <c:pt idx="0">
                  <c:v>98.465996924738889</c:v>
                </c:pt>
              </c:numCache>
            </c:numRef>
          </c:xVal>
          <c:yVal>
            <c:numRef>
              <c:f>'77_Seeds'!$V$281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AA-4B38-A394-D4F0C458CD1E}"/>
            </c:ext>
          </c:extLst>
        </c:ser>
        <c:ser>
          <c:idx val="0"/>
          <c:order val="3"/>
          <c:tx>
            <c:strRef>
              <c:f>'77_Seeds'!$W$14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'77_Seeds'!$W$279</c:f>
                <c:numCache>
                  <c:formatCode>General</c:formatCode>
                  <c:ptCount val="1"/>
                  <c:pt idx="0">
                    <c:v>0.95772790288692811</c:v>
                  </c:pt>
                </c:numCache>
              </c:numRef>
            </c:plus>
            <c:minus>
              <c:numRef>
                <c:f>'77_Seeds'!$W$279</c:f>
                <c:numCache>
                  <c:formatCode>General</c:formatCode>
                  <c:ptCount val="1"/>
                  <c:pt idx="0">
                    <c:v>0.95772790288692811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'77_Seeds'!$W$282</c:f>
                <c:numCache>
                  <c:formatCode>General</c:formatCode>
                  <c:ptCount val="1"/>
                  <c:pt idx="0">
                    <c:v>1.6893629213710923</c:v>
                  </c:pt>
                </c:numCache>
              </c:numRef>
            </c:plus>
            <c:minus>
              <c:numRef>
                <c:f>'77_Seeds'!$W$282</c:f>
                <c:numCache>
                  <c:formatCode>General</c:formatCode>
                  <c:ptCount val="1"/>
                  <c:pt idx="0">
                    <c:v>1.6893629213710923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'77_Seeds'!$W$278</c:f>
              <c:numCache>
                <c:formatCode>0.00</c:formatCode>
                <c:ptCount val="1"/>
                <c:pt idx="0">
                  <c:v>95.637641534858659</c:v>
                </c:pt>
              </c:numCache>
            </c:numRef>
          </c:xVal>
          <c:yVal>
            <c:numRef>
              <c:f>'77_Seeds'!$W$281</c:f>
              <c:numCache>
                <c:formatCode>0.00</c:formatCode>
                <c:ptCount val="1"/>
                <c:pt idx="0">
                  <c:v>95.694444444444457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AA-4B38-A394-D4F0C458CD1E}"/>
            </c:ext>
          </c:extLst>
        </c:ser>
        <c:ser>
          <c:idx val="6"/>
          <c:order val="4"/>
          <c:tx>
            <c:strRef>
              <c:f>'77_Seeds'!$X$14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'77_Seeds'!$X$279</c:f>
                <c:numCache>
                  <c:formatCode>General</c:formatCode>
                  <c:ptCount val="1"/>
                  <c:pt idx="0">
                    <c:v>5.9863344121464781</c:v>
                  </c:pt>
                </c:numCache>
              </c:numRef>
            </c:plus>
            <c:minus>
              <c:numRef>
                <c:f>'77_Seeds'!$X$279</c:f>
                <c:numCache>
                  <c:formatCode>General</c:formatCode>
                  <c:ptCount val="1"/>
                  <c:pt idx="0">
                    <c:v>5.9863344121464781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'77_Seeds'!$X$282</c:f>
                <c:numCache>
                  <c:formatCode>General</c:formatCode>
                  <c:ptCount val="1"/>
                  <c:pt idx="0">
                    <c:v>2.4284215903682398</c:v>
                  </c:pt>
                </c:numCache>
              </c:numRef>
            </c:plus>
            <c:minus>
              <c:numRef>
                <c:f>'77_Seeds'!$X$282</c:f>
                <c:numCache>
                  <c:formatCode>General</c:formatCode>
                  <c:ptCount val="1"/>
                  <c:pt idx="0">
                    <c:v>2.4284215903682398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'77_Seeds'!$X$278</c:f>
              <c:numCache>
                <c:formatCode>0.00</c:formatCode>
                <c:ptCount val="1"/>
                <c:pt idx="0">
                  <c:v>87.240423342405805</c:v>
                </c:pt>
              </c:numCache>
            </c:numRef>
          </c:xVal>
          <c:yVal>
            <c:numRef>
              <c:f>'77_Seeds'!$X$281</c:f>
              <c:numCache>
                <c:formatCode>0.00</c:formatCode>
                <c:ptCount val="1"/>
                <c:pt idx="0">
                  <c:v>82.540983606557376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AA-4B38-A394-D4F0C458C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6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65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1977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'77_Seeds'!$T$14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'77_Seeds'!$T$224</c:f>
                <c:numCache>
                  <c:formatCode>General</c:formatCode>
                  <c:ptCount val="1"/>
                  <c:pt idx="0">
                    <c:v>0.98942505196526853</c:v>
                  </c:pt>
                </c:numCache>
              </c:numRef>
            </c:plus>
            <c:minus>
              <c:numRef>
                <c:f>'77_Seeds'!$T$224</c:f>
                <c:numCache>
                  <c:formatCode>General</c:formatCode>
                  <c:ptCount val="1"/>
                  <c:pt idx="0">
                    <c:v>0.98942505196526853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'77_Seeds'!$T$221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'77_Seeds'!$T$223</c:f>
              <c:numCache>
                <c:formatCode>0.00</c:formatCode>
                <c:ptCount val="1"/>
                <c:pt idx="0">
                  <c:v>98.826086956521777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A3-4463-BDF3-23C569637E58}"/>
            </c:ext>
          </c:extLst>
        </c:ser>
        <c:ser>
          <c:idx val="9"/>
          <c:order val="1"/>
          <c:tx>
            <c:strRef>
              <c:f>'77_Seeds'!$U$14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'77_Seeds'!$U$222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'77_Seeds'!$U$222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'77_Seeds'!$U$224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'77_Seeds'!$U$224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'77_Seeds'!$U$221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'77_Seeds'!$U$223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A3-4463-BDF3-23C569637E58}"/>
            </c:ext>
          </c:extLst>
        </c:ser>
        <c:ser>
          <c:idx val="7"/>
          <c:order val="2"/>
          <c:tx>
            <c:strRef>
              <c:f>'77_Seeds'!$V$14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'77_Seeds'!$V$222</c:f>
                <c:numCache>
                  <c:formatCode>General</c:formatCode>
                  <c:ptCount val="1"/>
                  <c:pt idx="0">
                    <c:v>0.8953739053495362</c:v>
                  </c:pt>
                </c:numCache>
              </c:numRef>
            </c:plus>
            <c:minus>
              <c:numRef>
                <c:f>'77_Seeds'!$V$222</c:f>
                <c:numCache>
                  <c:formatCode>General</c:formatCode>
                  <c:ptCount val="1"/>
                  <c:pt idx="0">
                    <c:v>0.8953739053495362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'77_Seeds'!$V$224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'77_Seeds'!$V$224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'77_Seeds'!$V$221</c:f>
              <c:numCache>
                <c:formatCode>0.00</c:formatCode>
                <c:ptCount val="1"/>
                <c:pt idx="0">
                  <c:v>98.539921085668283</c:v>
                </c:pt>
              </c:numCache>
            </c:numRef>
          </c:xVal>
          <c:yVal>
            <c:numRef>
              <c:f>'77_Seeds'!$V$223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A3-4463-BDF3-23C569637E58}"/>
            </c:ext>
          </c:extLst>
        </c:ser>
        <c:ser>
          <c:idx val="0"/>
          <c:order val="3"/>
          <c:tx>
            <c:strRef>
              <c:f>'77_Seeds'!$W$14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'77_Seeds'!$W$222</c:f>
                <c:numCache>
                  <c:formatCode>General</c:formatCode>
                  <c:ptCount val="1"/>
                  <c:pt idx="0">
                    <c:v>1.0000342170709318</c:v>
                  </c:pt>
                </c:numCache>
              </c:numRef>
            </c:plus>
            <c:minus>
              <c:numRef>
                <c:f>'77_Seeds'!$W$222</c:f>
                <c:numCache>
                  <c:formatCode>General</c:formatCode>
                  <c:ptCount val="1"/>
                  <c:pt idx="0">
                    <c:v>1.0000342170709318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'77_Seeds'!$W$224</c:f>
                <c:numCache>
                  <c:formatCode>General</c:formatCode>
                  <c:ptCount val="1"/>
                  <c:pt idx="0">
                    <c:v>1.6800701177492994</c:v>
                  </c:pt>
                </c:numCache>
              </c:numRef>
            </c:plus>
            <c:minus>
              <c:numRef>
                <c:f>'77_Seeds'!$W$224</c:f>
                <c:numCache>
                  <c:formatCode>General</c:formatCode>
                  <c:ptCount val="1"/>
                  <c:pt idx="0">
                    <c:v>1.6800701177492994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'77_Seeds'!$W$221</c:f>
              <c:numCache>
                <c:formatCode>0.00</c:formatCode>
                <c:ptCount val="1"/>
                <c:pt idx="0">
                  <c:v>95.367927401492096</c:v>
                </c:pt>
              </c:numCache>
            </c:numRef>
          </c:xVal>
          <c:yVal>
            <c:numRef>
              <c:f>'77_Seeds'!$W$223</c:f>
              <c:numCache>
                <c:formatCode>0.00</c:formatCode>
                <c:ptCount val="1"/>
                <c:pt idx="0">
                  <c:v>95.763888888888886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A3-4463-BDF3-23C569637E58}"/>
            </c:ext>
          </c:extLst>
        </c:ser>
        <c:ser>
          <c:idx val="6"/>
          <c:order val="4"/>
          <c:tx>
            <c:strRef>
              <c:f>'77_Seeds'!$X$14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'77_Seeds'!$X$222</c:f>
                <c:numCache>
                  <c:formatCode>General</c:formatCode>
                  <c:ptCount val="1"/>
                  <c:pt idx="0">
                    <c:v>5.9653746946091513</c:v>
                  </c:pt>
                </c:numCache>
              </c:numRef>
            </c:plus>
            <c:minus>
              <c:numRef>
                <c:f>'77_Seeds'!$X$222</c:f>
                <c:numCache>
                  <c:formatCode>General</c:formatCode>
                  <c:ptCount val="1"/>
                  <c:pt idx="0">
                    <c:v>5.9653746946091513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'77_Seeds'!$X$224</c:f>
                <c:numCache>
                  <c:formatCode>General</c:formatCode>
                  <c:ptCount val="1"/>
                  <c:pt idx="0">
                    <c:v>2.4615048068349505</c:v>
                  </c:pt>
                </c:numCache>
              </c:numRef>
            </c:plus>
            <c:minus>
              <c:numRef>
                <c:f>'77_Seeds'!$X$224</c:f>
                <c:numCache>
                  <c:formatCode>General</c:formatCode>
                  <c:ptCount val="1"/>
                  <c:pt idx="0">
                    <c:v>2.4615048068349505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'77_Seeds'!$X$221</c:f>
              <c:numCache>
                <c:formatCode>0.00</c:formatCode>
                <c:ptCount val="1"/>
                <c:pt idx="0">
                  <c:v>87.425474340123358</c:v>
                </c:pt>
              </c:numCache>
            </c:numRef>
          </c:xVal>
          <c:yVal>
            <c:numRef>
              <c:f>'77_Seeds'!$X$223</c:f>
              <c:numCache>
                <c:formatCode>0.00</c:formatCode>
                <c:ptCount val="1"/>
                <c:pt idx="0">
                  <c:v>81.98770491803279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A3-4463-BDF3-23C569637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1977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'77_Seeds'!$T$14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'77_Seeds'!$AL$114</c:f>
                <c:numCache>
                  <c:formatCode>General</c:formatCode>
                  <c:ptCount val="1"/>
                  <c:pt idx="0">
                    <c:v>0.86956521739130099</c:v>
                  </c:pt>
                </c:numCache>
              </c:numRef>
            </c:plus>
            <c:minus>
              <c:numRef>
                <c:f>'77_Seeds'!$AL$114</c:f>
                <c:numCache>
                  <c:formatCode>General</c:formatCode>
                  <c:ptCount val="1"/>
                  <c:pt idx="0">
                    <c:v>0.86956521739130099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'77_Seeds'!$AL$111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'77_Seeds'!$AL$113</c:f>
              <c:numCache>
                <c:formatCode>0.00</c:formatCode>
                <c:ptCount val="1"/>
                <c:pt idx="0">
                  <c:v>99.130434782608702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8-4854-9C63-26D1272C9786}"/>
            </c:ext>
          </c:extLst>
        </c:ser>
        <c:ser>
          <c:idx val="9"/>
          <c:order val="1"/>
          <c:tx>
            <c:strRef>
              <c:f>'77_Seeds'!$U$14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'77_Seeds'!$U$222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'77_Seeds'!$U$222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'77_Seeds'!$U$224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'77_Seeds'!$U$224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'77_Seeds'!$AM$111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'77_Seeds'!$AM$113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98-4854-9C63-26D1272C9786}"/>
            </c:ext>
          </c:extLst>
        </c:ser>
        <c:ser>
          <c:idx val="7"/>
          <c:order val="2"/>
          <c:tx>
            <c:strRef>
              <c:f>'77_Seeds'!$V$14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'77_Seeds'!$AN$112</c:f>
                <c:numCache>
                  <c:formatCode>General</c:formatCode>
                  <c:ptCount val="1"/>
                  <c:pt idx="0">
                    <c:v>0.79631186619877692</c:v>
                  </c:pt>
                </c:numCache>
              </c:numRef>
            </c:plus>
            <c:minus>
              <c:numRef>
                <c:f>'77_Seeds'!$AN$112</c:f>
                <c:numCache>
                  <c:formatCode>General</c:formatCode>
                  <c:ptCount val="1"/>
                  <c:pt idx="0">
                    <c:v>0.79631186619877692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'77_Seeds'!$AN$114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'77_Seeds'!$AN$114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'77_Seeds'!$AN$111</c:f>
              <c:numCache>
                <c:formatCode>0.00</c:formatCode>
                <c:ptCount val="1"/>
                <c:pt idx="0">
                  <c:v>98.85075688832292</c:v>
                </c:pt>
              </c:numCache>
            </c:numRef>
          </c:xVal>
          <c:yVal>
            <c:numRef>
              <c:f>'77_Seeds'!$AN$113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98-4854-9C63-26D1272C9786}"/>
            </c:ext>
          </c:extLst>
        </c:ser>
        <c:ser>
          <c:idx val="0"/>
          <c:order val="3"/>
          <c:tx>
            <c:strRef>
              <c:f>'77_Seeds'!$W$14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'77_Seeds'!$AO$112</c:f>
                <c:numCache>
                  <c:formatCode>General</c:formatCode>
                  <c:ptCount val="1"/>
                  <c:pt idx="0">
                    <c:v>0.91866069291988228</c:v>
                  </c:pt>
                </c:numCache>
              </c:numRef>
            </c:plus>
            <c:minus>
              <c:numRef>
                <c:f>'77_Seeds'!$AO$112</c:f>
                <c:numCache>
                  <c:formatCode>General</c:formatCode>
                  <c:ptCount val="1"/>
                  <c:pt idx="0">
                    <c:v>0.91866069291988228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'77_Seeds'!$AO$114</c:f>
                <c:numCache>
                  <c:formatCode>General</c:formatCode>
                  <c:ptCount val="1"/>
                  <c:pt idx="0">
                    <c:v>1.5309531175003726</c:v>
                  </c:pt>
                </c:numCache>
              </c:numRef>
            </c:plus>
            <c:minus>
              <c:numRef>
                <c:f>'77_Seeds'!$AO$114</c:f>
                <c:numCache>
                  <c:formatCode>General</c:formatCode>
                  <c:ptCount val="1"/>
                  <c:pt idx="0">
                    <c:v>1.5309531175003726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'77_Seeds'!$AO$111</c:f>
              <c:numCache>
                <c:formatCode>0.00</c:formatCode>
                <c:ptCount val="1"/>
                <c:pt idx="0">
                  <c:v>95.489219231114959</c:v>
                </c:pt>
              </c:numCache>
            </c:numRef>
          </c:xVal>
          <c:yVal>
            <c:numRef>
              <c:f>'77_Seeds'!$AO$113</c:f>
              <c:numCache>
                <c:formatCode>0.00</c:formatCode>
                <c:ptCount val="1"/>
                <c:pt idx="0">
                  <c:v>96.527777777777786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98-4854-9C63-26D1272C9786}"/>
            </c:ext>
          </c:extLst>
        </c:ser>
        <c:ser>
          <c:idx val="6"/>
          <c:order val="4"/>
          <c:tx>
            <c:strRef>
              <c:f>'77_Seeds'!$X$14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'77_Seeds'!$AP$112</c:f>
                <c:numCache>
                  <c:formatCode>General</c:formatCode>
                  <c:ptCount val="1"/>
                  <c:pt idx="0">
                    <c:v>5.7194625793975327</c:v>
                  </c:pt>
                </c:numCache>
              </c:numRef>
            </c:plus>
            <c:minus>
              <c:numRef>
                <c:f>'77_Seeds'!$AP$112</c:f>
                <c:numCache>
                  <c:formatCode>General</c:formatCode>
                  <c:ptCount val="1"/>
                  <c:pt idx="0">
                    <c:v>5.7194625793975327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'77_Seeds'!$AP$114</c:f>
                <c:numCache>
                  <c:formatCode>General</c:formatCode>
                  <c:ptCount val="1"/>
                  <c:pt idx="0">
                    <c:v>2.4663140269083059</c:v>
                  </c:pt>
                </c:numCache>
              </c:numRef>
            </c:plus>
            <c:minus>
              <c:numRef>
                <c:f>'77_Seeds'!$AP$114</c:f>
                <c:numCache>
                  <c:formatCode>General</c:formatCode>
                  <c:ptCount val="1"/>
                  <c:pt idx="0">
                    <c:v>2.4663140269083059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'77_Seeds'!$AP$111</c:f>
              <c:numCache>
                <c:formatCode>0.00</c:formatCode>
                <c:ptCount val="1"/>
                <c:pt idx="0">
                  <c:v>88.887724830540648</c:v>
                </c:pt>
              </c:numCache>
            </c:numRef>
          </c:xVal>
          <c:yVal>
            <c:numRef>
              <c:f>'77_Seeds'!$AP$113</c:f>
              <c:numCache>
                <c:formatCode>0.00</c:formatCode>
                <c:ptCount val="1"/>
                <c:pt idx="0">
                  <c:v>81.967213114754102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98-4854-9C63-26D1272C9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'88_Seeds'!$T$14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'88_Seeds'!$T$278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'88_Seeds'!$T$281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03-4D7C-AF31-4631DA0120CB}"/>
            </c:ext>
          </c:extLst>
        </c:ser>
        <c:ser>
          <c:idx val="9"/>
          <c:order val="1"/>
          <c:tx>
            <c:strRef>
              <c:f>'88_Seeds'!$U$14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'88_Seeds'!$U$279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'88_Seeds'!$U$279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'88_Seeds'!$U$282</c:f>
                <c:numCache>
                  <c:formatCode>General</c:formatCode>
                  <c:ptCount val="1"/>
                  <c:pt idx="0">
                    <c:v>12.991474322954939</c:v>
                  </c:pt>
                </c:numCache>
              </c:numRef>
            </c:plus>
            <c:minus>
              <c:numRef>
                <c:f>'88_Seeds'!$U$282</c:f>
                <c:numCache>
                  <c:formatCode>General</c:formatCode>
                  <c:ptCount val="1"/>
                  <c:pt idx="0">
                    <c:v>12.991474322954939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'88_Seeds'!$U$278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'88_Seeds'!$U$281</c:f>
              <c:numCache>
                <c:formatCode>0.00</c:formatCode>
                <c:ptCount val="1"/>
                <c:pt idx="0">
                  <c:v>39.999999999999986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03-4D7C-AF31-4631DA0120CB}"/>
            </c:ext>
          </c:extLst>
        </c:ser>
        <c:ser>
          <c:idx val="7"/>
          <c:order val="2"/>
          <c:tx>
            <c:strRef>
              <c:f>'88_Seeds'!$V$14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'88_Seeds'!$V$282</c:f>
                <c:numCache>
                  <c:formatCode>General</c:formatCode>
                  <c:ptCount val="1"/>
                  <c:pt idx="0">
                    <c:v>0.92085947628571529</c:v>
                  </c:pt>
                </c:numCache>
              </c:numRef>
            </c:plus>
            <c:minus>
              <c:numRef>
                <c:f>'88_Seeds'!$V$282</c:f>
                <c:numCache>
                  <c:formatCode>General</c:formatCode>
                  <c:ptCount val="1"/>
                  <c:pt idx="0">
                    <c:v>0.92085947628571529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'88_Seeds'!$V$282</c:f>
                <c:numCache>
                  <c:formatCode>General</c:formatCode>
                  <c:ptCount val="1"/>
                  <c:pt idx="0">
                    <c:v>0.92085947628571529</c:v>
                  </c:pt>
                </c:numCache>
              </c:numRef>
            </c:plus>
            <c:minus>
              <c:numRef>
                <c:f>'88_Seeds'!$V$282</c:f>
                <c:numCache>
                  <c:formatCode>General</c:formatCode>
                  <c:ptCount val="1"/>
                  <c:pt idx="0">
                    <c:v>0.92085947628571529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'88_Seeds'!$V$278</c:f>
              <c:numCache>
                <c:formatCode>0.00</c:formatCode>
                <c:ptCount val="1"/>
                <c:pt idx="0">
                  <c:v>96.24015367979716</c:v>
                </c:pt>
              </c:numCache>
            </c:numRef>
          </c:xVal>
          <c:yVal>
            <c:numRef>
              <c:f>'88_Seeds'!$V$281</c:f>
              <c:numCache>
                <c:formatCode>0.00</c:formatCode>
                <c:ptCount val="1"/>
                <c:pt idx="0">
                  <c:v>98.73239436619717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03-4D7C-AF31-4631DA0120CB}"/>
            </c:ext>
          </c:extLst>
        </c:ser>
        <c:ser>
          <c:idx val="0"/>
          <c:order val="3"/>
          <c:tx>
            <c:strRef>
              <c:f>'88_Seeds'!$W$14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'88_Seeds'!$W$279</c:f>
                <c:numCache>
                  <c:formatCode>General</c:formatCode>
                  <c:ptCount val="1"/>
                  <c:pt idx="0">
                    <c:v>2.0971464040909553</c:v>
                  </c:pt>
                </c:numCache>
              </c:numRef>
            </c:plus>
            <c:minus>
              <c:numRef>
                <c:f>'88_Seeds'!$W$279</c:f>
                <c:numCache>
                  <c:formatCode>General</c:formatCode>
                  <c:ptCount val="1"/>
                  <c:pt idx="0">
                    <c:v>2.0971464040909553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'88_Seeds'!$W$282</c:f>
                <c:numCache>
                  <c:formatCode>General</c:formatCode>
                  <c:ptCount val="1"/>
                  <c:pt idx="0">
                    <c:v>2.8389193203869736</c:v>
                  </c:pt>
                </c:numCache>
              </c:numRef>
            </c:plus>
            <c:minus>
              <c:numRef>
                <c:f>'88_Seeds'!$W$282</c:f>
                <c:numCache>
                  <c:formatCode>General</c:formatCode>
                  <c:ptCount val="1"/>
                  <c:pt idx="0">
                    <c:v>2.8389193203869736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'88_Seeds'!$W$278</c:f>
              <c:numCache>
                <c:formatCode>0.00</c:formatCode>
                <c:ptCount val="1"/>
                <c:pt idx="0">
                  <c:v>94.305163465135479</c:v>
                </c:pt>
              </c:numCache>
            </c:numRef>
          </c:xVal>
          <c:yVal>
            <c:numRef>
              <c:f>'88_Seeds'!$W$281</c:f>
              <c:numCache>
                <c:formatCode>0.00</c:formatCode>
                <c:ptCount val="1"/>
                <c:pt idx="0">
                  <c:v>86.666666666666657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03-4D7C-AF31-4631DA0120CB}"/>
            </c:ext>
          </c:extLst>
        </c:ser>
        <c:ser>
          <c:idx val="6"/>
          <c:order val="4"/>
          <c:tx>
            <c:strRef>
              <c:f>'88_Seeds'!$X$14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'88_Seeds'!$X$279</c:f>
                <c:numCache>
                  <c:formatCode>General</c:formatCode>
                  <c:ptCount val="1"/>
                  <c:pt idx="0">
                    <c:v>5.6770893606435635</c:v>
                  </c:pt>
                </c:numCache>
              </c:numRef>
            </c:plus>
            <c:minus>
              <c:numRef>
                <c:f>'88_Seeds'!$X$279</c:f>
                <c:numCache>
                  <c:formatCode>General</c:formatCode>
                  <c:ptCount val="1"/>
                  <c:pt idx="0">
                    <c:v>5.6770893606435635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'88_Seeds'!$X$282</c:f>
                <c:numCache>
                  <c:formatCode>General</c:formatCode>
                  <c:ptCount val="1"/>
                  <c:pt idx="0">
                    <c:v>2.1939252723072835</c:v>
                  </c:pt>
                </c:numCache>
              </c:numRef>
            </c:plus>
            <c:minus>
              <c:numRef>
                <c:f>'88_Seeds'!$X$282</c:f>
                <c:numCache>
                  <c:formatCode>General</c:formatCode>
                  <c:ptCount val="1"/>
                  <c:pt idx="0">
                    <c:v>2.1939252723072835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'88_Seeds'!$X$278</c:f>
              <c:numCache>
                <c:formatCode>0.00</c:formatCode>
                <c:ptCount val="1"/>
                <c:pt idx="0">
                  <c:v>80.855415914046404</c:v>
                </c:pt>
              </c:numCache>
            </c:numRef>
          </c:xVal>
          <c:yVal>
            <c:numRef>
              <c:f>'88_Seeds'!$X$281</c:f>
              <c:numCache>
                <c:formatCode>0.00</c:formatCode>
                <c:ptCount val="1"/>
                <c:pt idx="0">
                  <c:v>86.311475409836063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03-4D7C-AF31-4631DA012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6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6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1988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'88_Seeds'!$T$14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'88_Seeds'!$T$221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'88_Seeds'!$T$223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8E-4F96-AD42-95834E85F25F}"/>
            </c:ext>
          </c:extLst>
        </c:ser>
        <c:ser>
          <c:idx val="9"/>
          <c:order val="1"/>
          <c:tx>
            <c:strRef>
              <c:f>'88_Seeds'!$U$14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'88_Seeds'!$U$222</c:f>
                <c:numCache>
                  <c:formatCode>General</c:formatCode>
                  <c:ptCount val="1"/>
                  <c:pt idx="0">
                    <c:v>4.4318013832122762</c:v>
                  </c:pt>
                </c:numCache>
              </c:numRef>
            </c:plus>
            <c:minus>
              <c:numRef>
                <c:f>'88_Seeds'!$U$222</c:f>
                <c:numCache>
                  <c:formatCode>General</c:formatCode>
                  <c:ptCount val="1"/>
                  <c:pt idx="0">
                    <c:v>4.4318013832122762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'88_Seeds'!$U$224</c:f>
                <c:numCache>
                  <c:formatCode>General</c:formatCode>
                  <c:ptCount val="1"/>
                  <c:pt idx="0">
                    <c:v>12.754549917597563</c:v>
                  </c:pt>
                </c:numCache>
              </c:numRef>
            </c:plus>
            <c:minus>
              <c:numRef>
                <c:f>'88_Seeds'!$U$224</c:f>
                <c:numCache>
                  <c:formatCode>General</c:formatCode>
                  <c:ptCount val="1"/>
                  <c:pt idx="0">
                    <c:v>12.754549917597563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'88_Seeds'!$U$221</c:f>
              <c:numCache>
                <c:formatCode>0.00</c:formatCode>
                <c:ptCount val="1"/>
                <c:pt idx="0">
                  <c:v>98.51545461798321</c:v>
                </c:pt>
              </c:numCache>
            </c:numRef>
          </c:xVal>
          <c:yVal>
            <c:numRef>
              <c:f>'88_Seeds'!$U$223</c:f>
              <c:numCache>
                <c:formatCode>0.00</c:formatCode>
                <c:ptCount val="1"/>
                <c:pt idx="0">
                  <c:v>36.333333333333329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8E-4F96-AD42-95834E85F25F}"/>
            </c:ext>
          </c:extLst>
        </c:ser>
        <c:ser>
          <c:idx val="7"/>
          <c:order val="2"/>
          <c:tx>
            <c:strRef>
              <c:f>'88_Seeds'!$V$14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'88_Seeds'!$V$222</c:f>
                <c:numCache>
                  <c:formatCode>General</c:formatCode>
                  <c:ptCount val="1"/>
                  <c:pt idx="0">
                    <c:v>0.82068962912232857</c:v>
                  </c:pt>
                </c:numCache>
              </c:numRef>
            </c:plus>
            <c:minus>
              <c:numRef>
                <c:f>'88_Seeds'!$V$222</c:f>
                <c:numCache>
                  <c:formatCode>General</c:formatCode>
                  <c:ptCount val="1"/>
                  <c:pt idx="0">
                    <c:v>0.82068962912232857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'88_Seeds'!$V$224</c:f>
                <c:numCache>
                  <c:formatCode>General</c:formatCode>
                  <c:ptCount val="1"/>
                  <c:pt idx="0">
                    <c:v>0.87364858660677247</c:v>
                  </c:pt>
                </c:numCache>
              </c:numRef>
            </c:plus>
            <c:minus>
              <c:numRef>
                <c:f>'88_Seeds'!$V$224</c:f>
                <c:numCache>
                  <c:formatCode>General</c:formatCode>
                  <c:ptCount val="1"/>
                  <c:pt idx="0">
                    <c:v>0.87364858660677247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'88_Seeds'!$V$221</c:f>
              <c:numCache>
                <c:formatCode>0.00</c:formatCode>
                <c:ptCount val="1"/>
                <c:pt idx="0">
                  <c:v>96.134481735231361</c:v>
                </c:pt>
              </c:numCache>
            </c:numRef>
          </c:xVal>
          <c:yVal>
            <c:numRef>
              <c:f>'88_Seeds'!$V$223</c:f>
              <c:numCache>
                <c:formatCode>0.00</c:formatCode>
                <c:ptCount val="1"/>
                <c:pt idx="0">
                  <c:v>98.873239436619741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8E-4F96-AD42-95834E85F25F}"/>
            </c:ext>
          </c:extLst>
        </c:ser>
        <c:ser>
          <c:idx val="0"/>
          <c:order val="3"/>
          <c:tx>
            <c:strRef>
              <c:f>'88_Seeds'!$W$14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'88_Seeds'!$W$222</c:f>
                <c:numCache>
                  <c:formatCode>General</c:formatCode>
                  <c:ptCount val="1"/>
                  <c:pt idx="0">
                    <c:v>2.0505337793359821</c:v>
                  </c:pt>
                </c:numCache>
              </c:numRef>
            </c:plus>
            <c:minus>
              <c:numRef>
                <c:f>'88_Seeds'!$W$222</c:f>
                <c:numCache>
                  <c:formatCode>General</c:formatCode>
                  <c:ptCount val="1"/>
                  <c:pt idx="0">
                    <c:v>2.0505337793359821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'88_Seeds'!$W$224</c:f>
                <c:numCache>
                  <c:formatCode>General</c:formatCode>
                  <c:ptCount val="1"/>
                  <c:pt idx="0">
                    <c:v>2.8006111721933609</c:v>
                  </c:pt>
                </c:numCache>
              </c:numRef>
            </c:plus>
            <c:minus>
              <c:numRef>
                <c:f>'88_Seeds'!$W$224</c:f>
                <c:numCache>
                  <c:formatCode>General</c:formatCode>
                  <c:ptCount val="1"/>
                  <c:pt idx="0">
                    <c:v>2.8006111721933609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'88_Seeds'!$W$221</c:f>
              <c:numCache>
                <c:formatCode>0.00</c:formatCode>
                <c:ptCount val="1"/>
                <c:pt idx="0">
                  <c:v>94.367281800909552</c:v>
                </c:pt>
              </c:numCache>
            </c:numRef>
          </c:xVal>
          <c:yVal>
            <c:numRef>
              <c:f>'88_Seeds'!$W$223</c:f>
              <c:numCache>
                <c:formatCode>0.00</c:formatCode>
                <c:ptCount val="1"/>
                <c:pt idx="0">
                  <c:v>87.048611111111114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8E-4F96-AD42-95834E85F25F}"/>
            </c:ext>
          </c:extLst>
        </c:ser>
        <c:ser>
          <c:idx val="6"/>
          <c:order val="4"/>
          <c:tx>
            <c:strRef>
              <c:f>'88_Seeds'!$X$14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'88_Seeds'!$X$222</c:f>
                <c:numCache>
                  <c:formatCode>General</c:formatCode>
                  <c:ptCount val="1"/>
                  <c:pt idx="0">
                    <c:v>5.5620102164216876</c:v>
                  </c:pt>
                </c:numCache>
              </c:numRef>
            </c:plus>
            <c:minus>
              <c:numRef>
                <c:f>'88_Seeds'!$X$222</c:f>
                <c:numCache>
                  <c:formatCode>General</c:formatCode>
                  <c:ptCount val="1"/>
                  <c:pt idx="0">
                    <c:v>5.5620102164216876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'88_Seeds'!$X$224</c:f>
                <c:numCache>
                  <c:formatCode>General</c:formatCode>
                  <c:ptCount val="1"/>
                  <c:pt idx="0">
                    <c:v>2.2108219880662001</c:v>
                  </c:pt>
                </c:numCache>
              </c:numRef>
            </c:plus>
            <c:minus>
              <c:numRef>
                <c:f>'88_Seeds'!$X$224</c:f>
                <c:numCache>
                  <c:formatCode>General</c:formatCode>
                  <c:ptCount val="1"/>
                  <c:pt idx="0">
                    <c:v>2.2108219880662001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'88_Seeds'!$X$221</c:f>
              <c:numCache>
                <c:formatCode>0.00</c:formatCode>
                <c:ptCount val="1"/>
                <c:pt idx="0">
                  <c:v>81.690680398285878</c:v>
                </c:pt>
              </c:numCache>
            </c:numRef>
          </c:xVal>
          <c:yVal>
            <c:numRef>
              <c:f>'88_Seeds'!$X$223</c:f>
              <c:numCache>
                <c:formatCode>0.00</c:formatCode>
                <c:ptCount val="1"/>
                <c:pt idx="0">
                  <c:v>86.127049180327873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8E-4F96-AD42-95834E85F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3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10"/>
        <c:minorUnit val="1"/>
      </c:valAx>
      <c:valAx>
        <c:axId val="413405048"/>
        <c:scaling>
          <c:orientation val="minMax"/>
          <c:max val="101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  <c:minorUnit val="1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1988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'88_Seeds'!$T$14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'88_Seeds'!$AL$111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'88_Seeds'!$AL$113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0-4A04-B147-58EAA10B3115}"/>
            </c:ext>
          </c:extLst>
        </c:ser>
        <c:ser>
          <c:idx val="9"/>
          <c:order val="1"/>
          <c:tx>
            <c:strRef>
              <c:f>'88_Seeds'!$U$14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'88_Seeds'!$U$222</c:f>
                <c:numCache>
                  <c:formatCode>General</c:formatCode>
                  <c:ptCount val="1"/>
                  <c:pt idx="0">
                    <c:v>4.4318013832122762</c:v>
                  </c:pt>
                </c:numCache>
              </c:numRef>
            </c:plus>
            <c:minus>
              <c:numRef>
                <c:f>'88_Seeds'!$U$222</c:f>
                <c:numCache>
                  <c:formatCode>General</c:formatCode>
                  <c:ptCount val="1"/>
                  <c:pt idx="0">
                    <c:v>4.4318013832122762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'88_Seeds'!$U$224</c:f>
                <c:numCache>
                  <c:formatCode>General</c:formatCode>
                  <c:ptCount val="1"/>
                  <c:pt idx="0">
                    <c:v>12.754549917597563</c:v>
                  </c:pt>
                </c:numCache>
              </c:numRef>
            </c:plus>
            <c:minus>
              <c:numRef>
                <c:f>'88_Seeds'!$U$224</c:f>
                <c:numCache>
                  <c:formatCode>General</c:formatCode>
                  <c:ptCount val="1"/>
                  <c:pt idx="0">
                    <c:v>12.754549917597563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'88_Seeds'!$AM$111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'88_Seeds'!$AM$113</c:f>
              <c:numCache>
                <c:formatCode>0.00</c:formatCode>
                <c:ptCount val="1"/>
                <c:pt idx="0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60-4A04-B147-58EAA10B3115}"/>
            </c:ext>
          </c:extLst>
        </c:ser>
        <c:ser>
          <c:idx val="7"/>
          <c:order val="2"/>
          <c:tx>
            <c:strRef>
              <c:f>'88_Seeds'!$V$14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'88_Seeds'!$AN$112</c:f>
                <c:numCache>
                  <c:formatCode>General</c:formatCode>
                  <c:ptCount val="1"/>
                  <c:pt idx="0">
                    <c:v>0.79812800929093619</c:v>
                  </c:pt>
                </c:numCache>
              </c:numRef>
            </c:plus>
            <c:minus>
              <c:numRef>
                <c:f>'88_Seeds'!$AN$112</c:f>
                <c:numCache>
                  <c:formatCode>General</c:formatCode>
                  <c:ptCount val="1"/>
                  <c:pt idx="0">
                    <c:v>0.79812800929093619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'88_Seeds'!$AN$114</c:f>
                <c:numCache>
                  <c:formatCode>General</c:formatCode>
                  <c:ptCount val="1"/>
                  <c:pt idx="0">
                    <c:v>0.99238711073977215</c:v>
                  </c:pt>
                </c:numCache>
              </c:numRef>
            </c:plus>
            <c:minus>
              <c:numRef>
                <c:f>'88_Seeds'!$AN$114</c:f>
                <c:numCache>
                  <c:formatCode>General</c:formatCode>
                  <c:ptCount val="1"/>
                  <c:pt idx="0">
                    <c:v>0.99238711073977215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'88_Seeds'!$AN$111</c:f>
              <c:numCache>
                <c:formatCode>0.00</c:formatCode>
                <c:ptCount val="1"/>
                <c:pt idx="0">
                  <c:v>96.535242971760297</c:v>
                </c:pt>
              </c:numCache>
            </c:numRef>
          </c:xVal>
          <c:yVal>
            <c:numRef>
              <c:f>'88_Seeds'!$AN$113</c:f>
              <c:numCache>
                <c:formatCode>0.00</c:formatCode>
                <c:ptCount val="1"/>
                <c:pt idx="0">
                  <c:v>98.591549295774641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60-4A04-B147-58EAA10B3115}"/>
            </c:ext>
          </c:extLst>
        </c:ser>
        <c:ser>
          <c:idx val="0"/>
          <c:order val="3"/>
          <c:tx>
            <c:strRef>
              <c:f>'88_Seeds'!$W$14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'88_Seeds'!$AO$112</c:f>
                <c:numCache>
                  <c:formatCode>General</c:formatCode>
                  <c:ptCount val="1"/>
                  <c:pt idx="0">
                    <c:v>2.0011076673482431</c:v>
                  </c:pt>
                </c:numCache>
              </c:numRef>
            </c:plus>
            <c:minus>
              <c:numRef>
                <c:f>'88_Seeds'!$AO$112</c:f>
                <c:numCache>
                  <c:formatCode>General</c:formatCode>
                  <c:ptCount val="1"/>
                  <c:pt idx="0">
                    <c:v>2.0011076673482431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'88_Seeds'!$AO$114</c:f>
                <c:numCache>
                  <c:formatCode>General</c:formatCode>
                  <c:ptCount val="1"/>
                  <c:pt idx="0">
                    <c:v>2.7656104929294361</c:v>
                  </c:pt>
                </c:numCache>
              </c:numRef>
            </c:plus>
            <c:minus>
              <c:numRef>
                <c:f>'88_Seeds'!$AO$114</c:f>
                <c:numCache>
                  <c:formatCode>General</c:formatCode>
                  <c:ptCount val="1"/>
                  <c:pt idx="0">
                    <c:v>2.7656104929294361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'88_Seeds'!$AO$111</c:f>
              <c:numCache>
                <c:formatCode>0.00</c:formatCode>
                <c:ptCount val="1"/>
                <c:pt idx="0">
                  <c:v>94.406392232822043</c:v>
                </c:pt>
              </c:numCache>
            </c:numRef>
          </c:xVal>
          <c:yVal>
            <c:numRef>
              <c:f>'88_Seeds'!$AO$113</c:f>
              <c:numCache>
                <c:formatCode>0.00</c:formatCode>
                <c:ptCount val="1"/>
                <c:pt idx="0">
                  <c:v>87.5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60-4A04-B147-58EAA10B3115}"/>
            </c:ext>
          </c:extLst>
        </c:ser>
        <c:ser>
          <c:idx val="6"/>
          <c:order val="4"/>
          <c:tx>
            <c:strRef>
              <c:f>'88_Seeds'!$X$14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'88_Seeds'!$AP$112</c:f>
                <c:numCache>
                  <c:formatCode>General</c:formatCode>
                  <c:ptCount val="1"/>
                  <c:pt idx="0">
                    <c:v>5.6724398178334381</c:v>
                  </c:pt>
                </c:numCache>
              </c:numRef>
            </c:plus>
            <c:minus>
              <c:numRef>
                <c:f>'88_Seeds'!$AP$112</c:f>
                <c:numCache>
                  <c:formatCode>General</c:formatCode>
                  <c:ptCount val="1"/>
                  <c:pt idx="0">
                    <c:v>5.6724398178334381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'88_Seeds'!$AP$114</c:f>
                <c:numCache>
                  <c:formatCode>General</c:formatCode>
                  <c:ptCount val="1"/>
                  <c:pt idx="0">
                    <c:v>2.1654589556924106</c:v>
                  </c:pt>
                </c:numCache>
              </c:numRef>
            </c:plus>
            <c:minus>
              <c:numRef>
                <c:f>'88_Seeds'!$AP$114</c:f>
                <c:numCache>
                  <c:formatCode>General</c:formatCode>
                  <c:ptCount val="1"/>
                  <c:pt idx="0">
                    <c:v>2.1654589556924106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'88_Seeds'!$AP$111</c:f>
              <c:numCache>
                <c:formatCode>0.00</c:formatCode>
                <c:ptCount val="1"/>
                <c:pt idx="0">
                  <c:v>80.953707553194945</c:v>
                </c:pt>
              </c:numCache>
            </c:numRef>
          </c:xVal>
          <c:yVal>
            <c:numRef>
              <c:f>'88_Seeds'!$AP$113</c:f>
              <c:numCache>
                <c:formatCode>0.00</c:formatCode>
                <c:ptCount val="1"/>
                <c:pt idx="0">
                  <c:v>86.885245901639351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60-4A04-B147-58EAA10B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3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10"/>
        <c:minorUnit val="1"/>
      </c:valAx>
      <c:valAx>
        <c:axId val="413405048"/>
        <c:scaling>
          <c:orientation val="minMax"/>
          <c:max val="101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'88T_Seeds'!$T$14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'88T_Seeds'!$T$279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'88T_Seeds'!$T$282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'88T_Seeds'!$T$278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'88T_Seeds'!$T$281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CD-4219-937E-73C48F02420F}"/>
            </c:ext>
          </c:extLst>
        </c:ser>
        <c:ser>
          <c:idx val="9"/>
          <c:order val="1"/>
          <c:tx>
            <c:strRef>
              <c:f>'88T_Seeds'!$U$14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'88T_Seeds'!$U$279</c:f>
                <c:numCache>
                  <c:formatCode>General</c:formatCode>
                  <c:ptCount val="1"/>
                  <c:pt idx="0">
                    <c:v>4.4618113103545163</c:v>
                  </c:pt>
                </c:numCache>
              </c:numRef>
            </c:plus>
            <c:minus>
              <c:numRef>
                <c:f>'88T_Seeds'!$U$279</c:f>
                <c:numCache>
                  <c:formatCode>General</c:formatCode>
                  <c:ptCount val="1"/>
                  <c:pt idx="0">
                    <c:v>4.4618113103545163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'88T_Seeds'!$U$282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'88T_Seeds'!$U$282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'88T_Seeds'!$U$278</c:f>
              <c:numCache>
                <c:formatCode>0.00</c:formatCode>
                <c:ptCount val="1"/>
                <c:pt idx="0">
                  <c:v>87.700470300978992</c:v>
                </c:pt>
              </c:numCache>
            </c:numRef>
          </c:xVal>
          <c:yVal>
            <c:numRef>
              <c:f>'88T_Seeds'!$U$281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CD-4219-937E-73C48F02420F}"/>
            </c:ext>
          </c:extLst>
        </c:ser>
        <c:ser>
          <c:idx val="7"/>
          <c:order val="2"/>
          <c:tx>
            <c:strRef>
              <c:f>'88T_Seeds'!$V$14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'88T_Seeds'!$V$282</c:f>
                <c:numCache>
                  <c:formatCode>General</c:formatCode>
                  <c:ptCount val="1"/>
                  <c:pt idx="0">
                    <c:v>0.35879094979676707</c:v>
                  </c:pt>
                </c:numCache>
              </c:numRef>
            </c:plus>
            <c:minus>
              <c:numRef>
                <c:f>'88T_Seeds'!$V$282</c:f>
                <c:numCache>
                  <c:formatCode>General</c:formatCode>
                  <c:ptCount val="1"/>
                  <c:pt idx="0">
                    <c:v>0.35879094979676707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'88T_Seeds'!$V$282</c:f>
                <c:numCache>
                  <c:formatCode>General</c:formatCode>
                  <c:ptCount val="1"/>
                  <c:pt idx="0">
                    <c:v>0.35879094979676707</c:v>
                  </c:pt>
                </c:numCache>
              </c:numRef>
            </c:plus>
            <c:minus>
              <c:numRef>
                <c:f>'88T_Seeds'!$V$282</c:f>
                <c:numCache>
                  <c:formatCode>General</c:formatCode>
                  <c:ptCount val="1"/>
                  <c:pt idx="0">
                    <c:v>0.35879094979676707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'88T_Seeds'!$V$278</c:f>
              <c:numCache>
                <c:formatCode>0.00</c:formatCode>
                <c:ptCount val="1"/>
                <c:pt idx="0">
                  <c:v>97.974487694924008</c:v>
                </c:pt>
              </c:numCache>
            </c:numRef>
          </c:xVal>
          <c:yVal>
            <c:numRef>
              <c:f>'88T_Seeds'!$V$281</c:f>
              <c:numCache>
                <c:formatCode>0.00</c:formatCode>
                <c:ptCount val="1"/>
                <c:pt idx="0">
                  <c:v>99.023066485753048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CD-4219-937E-73C48F02420F}"/>
            </c:ext>
          </c:extLst>
        </c:ser>
        <c:ser>
          <c:idx val="0"/>
          <c:order val="3"/>
          <c:tx>
            <c:strRef>
              <c:f>'88T_Seeds'!$W$14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'88T_Seeds'!$W$279</c:f>
                <c:numCache>
                  <c:formatCode>General</c:formatCode>
                  <c:ptCount val="1"/>
                  <c:pt idx="0">
                    <c:v>0.76568509661910511</c:v>
                  </c:pt>
                </c:numCache>
              </c:numRef>
            </c:plus>
            <c:minus>
              <c:numRef>
                <c:f>'88T_Seeds'!$W$279</c:f>
                <c:numCache>
                  <c:formatCode>General</c:formatCode>
                  <c:ptCount val="1"/>
                  <c:pt idx="0">
                    <c:v>0.76568509661910511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'88T_Seeds'!$W$282</c:f>
                <c:numCache>
                  <c:formatCode>General</c:formatCode>
                  <c:ptCount val="1"/>
                  <c:pt idx="0">
                    <c:v>1.1533464030242313</c:v>
                  </c:pt>
                </c:numCache>
              </c:numRef>
            </c:plus>
            <c:minus>
              <c:numRef>
                <c:f>'88T_Seeds'!$W$282</c:f>
                <c:numCache>
                  <c:formatCode>General</c:formatCode>
                  <c:ptCount val="1"/>
                  <c:pt idx="0">
                    <c:v>1.1533464030242313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'88T_Seeds'!$W$278</c:f>
              <c:numCache>
                <c:formatCode>0.00</c:formatCode>
                <c:ptCount val="1"/>
                <c:pt idx="0">
                  <c:v>96.459408112509891</c:v>
                </c:pt>
              </c:numCache>
            </c:numRef>
          </c:xVal>
          <c:yVal>
            <c:numRef>
              <c:f>'88T_Seeds'!$W$281</c:f>
              <c:numCache>
                <c:formatCode>0.00</c:formatCode>
                <c:ptCount val="1"/>
                <c:pt idx="0">
                  <c:v>91.546391752577307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CD-4219-937E-73C48F02420F}"/>
            </c:ext>
          </c:extLst>
        </c:ser>
        <c:ser>
          <c:idx val="6"/>
          <c:order val="4"/>
          <c:tx>
            <c:strRef>
              <c:f>'88T_Seeds'!$X$14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'88T_Seeds'!$X$279</c:f>
                <c:numCache>
                  <c:formatCode>General</c:formatCode>
                  <c:ptCount val="1"/>
                  <c:pt idx="0">
                    <c:v>3.0727468468466839</c:v>
                  </c:pt>
                </c:numCache>
              </c:numRef>
            </c:plus>
            <c:minus>
              <c:numRef>
                <c:f>'88T_Seeds'!$X$279</c:f>
                <c:numCache>
                  <c:formatCode>General</c:formatCode>
                  <c:ptCount val="1"/>
                  <c:pt idx="0">
                    <c:v>3.0727468468466839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'88T_Seeds'!$X$282</c:f>
                <c:numCache>
                  <c:formatCode>General</c:formatCode>
                  <c:ptCount val="1"/>
                  <c:pt idx="0">
                    <c:v>0.91216507830114768</c:v>
                  </c:pt>
                </c:numCache>
              </c:numRef>
            </c:plus>
            <c:minus>
              <c:numRef>
                <c:f>'88T_Seeds'!$X$282</c:f>
                <c:numCache>
                  <c:formatCode>General</c:formatCode>
                  <c:ptCount val="1"/>
                  <c:pt idx="0">
                    <c:v>0.91216507830114768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'88T_Seeds'!$X$278</c:f>
              <c:numCache>
                <c:formatCode>0.00</c:formatCode>
                <c:ptCount val="1"/>
                <c:pt idx="0">
                  <c:v>83.132164824473946</c:v>
                </c:pt>
              </c:numCache>
            </c:numRef>
          </c:xVal>
          <c:yVal>
            <c:numRef>
              <c:f>'88T_Seeds'!$X$281</c:f>
              <c:numCache>
                <c:formatCode>0.00</c:formatCode>
                <c:ptCount val="1"/>
                <c:pt idx="0">
                  <c:v>90.564915758176411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CD-4219-937E-73C48F02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1988T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'88T_Seeds'!$T$14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'88T_Seeds'!$T$222</c:f>
                <c:numCache>
                  <c:formatCode>General</c:formatCode>
                  <c:ptCount val="1"/>
                  <c:pt idx="0">
                    <c:v>0.39430312439830256</c:v>
                  </c:pt>
                </c:numCache>
              </c:numRef>
            </c:plus>
            <c:minus>
              <c:numRef>
                <c:f>'88T_Seeds'!$T$222</c:f>
                <c:numCache>
                  <c:formatCode>General</c:formatCode>
                  <c:ptCount val="1"/>
                  <c:pt idx="0">
                    <c:v>0.39430312439830256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'88T_Seeds'!$T$224</c:f>
                <c:numCache>
                  <c:formatCode>General</c:formatCode>
                  <c:ptCount val="1"/>
                  <c:pt idx="0">
                    <c:v>1.1086474501108581E-2</c:v>
                  </c:pt>
                </c:numCache>
              </c:numRef>
            </c:plus>
            <c:minus>
              <c:numRef>
                <c:f>'88T_Seeds'!$T$224</c:f>
                <c:numCache>
                  <c:formatCode>General</c:formatCode>
                  <c:ptCount val="1"/>
                  <c:pt idx="0">
                    <c:v>1.1086474501108581E-2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'88T_Seeds'!$T$221</c:f>
              <c:numCache>
                <c:formatCode>0.00</c:formatCode>
                <c:ptCount val="1"/>
                <c:pt idx="0">
                  <c:v>99.568449752352834</c:v>
                </c:pt>
              </c:numCache>
            </c:numRef>
          </c:xVal>
          <c:yVal>
            <c:numRef>
              <c:f>'88T_Seeds'!$T$223</c:f>
              <c:numCache>
                <c:formatCode>0.00</c:formatCode>
                <c:ptCount val="1"/>
                <c:pt idx="0">
                  <c:v>99.988913525498887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99-48FE-8067-CA5C08858716}"/>
            </c:ext>
          </c:extLst>
        </c:ser>
        <c:ser>
          <c:idx val="9"/>
          <c:order val="1"/>
          <c:tx>
            <c:strRef>
              <c:f>'88T_Seeds'!$U$14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'88T_Seeds'!$U$222</c:f>
                <c:numCache>
                  <c:formatCode>General</c:formatCode>
                  <c:ptCount val="1"/>
                  <c:pt idx="0">
                    <c:v>4.4053118685645671</c:v>
                  </c:pt>
                </c:numCache>
              </c:numRef>
            </c:plus>
            <c:minus>
              <c:numRef>
                <c:f>'88T_Seeds'!$U$222</c:f>
                <c:numCache>
                  <c:formatCode>General</c:formatCode>
                  <c:ptCount val="1"/>
                  <c:pt idx="0">
                    <c:v>4.4053118685645671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'88T_Seeds'!$U$224</c:f>
                <c:numCache>
                  <c:formatCode>General</c:formatCode>
                  <c:ptCount val="1"/>
                  <c:pt idx="0">
                    <c:v>0.17543859649122809</c:v>
                  </c:pt>
                </c:numCache>
              </c:numRef>
            </c:plus>
            <c:minus>
              <c:numRef>
                <c:f>'88T_Seeds'!$U$224</c:f>
                <c:numCache>
                  <c:formatCode>General</c:formatCode>
                  <c:ptCount val="1"/>
                  <c:pt idx="0">
                    <c:v>0.17543859649122809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'88T_Seeds'!$U$221</c:f>
              <c:numCache>
                <c:formatCode>0.00</c:formatCode>
                <c:ptCount val="1"/>
                <c:pt idx="0">
                  <c:v>88.468233104715168</c:v>
                </c:pt>
              </c:numCache>
            </c:numRef>
          </c:xVal>
          <c:yVal>
            <c:numRef>
              <c:f>'88T_Seeds'!$U$223</c:f>
              <c:numCache>
                <c:formatCode>0.00</c:formatCode>
                <c:ptCount val="1"/>
                <c:pt idx="0">
                  <c:v>99.824561403508767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99-48FE-8067-CA5C08858716}"/>
            </c:ext>
          </c:extLst>
        </c:ser>
        <c:ser>
          <c:idx val="7"/>
          <c:order val="2"/>
          <c:tx>
            <c:strRef>
              <c:f>'88T_Seeds'!$V$14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'88T_Seeds'!$V$222</c:f>
                <c:numCache>
                  <c:formatCode>General</c:formatCode>
                  <c:ptCount val="1"/>
                  <c:pt idx="0">
                    <c:v>0.41419725731265056</c:v>
                  </c:pt>
                </c:numCache>
              </c:numRef>
            </c:plus>
            <c:minus>
              <c:numRef>
                <c:f>'88T_Seeds'!$V$222</c:f>
                <c:numCache>
                  <c:formatCode>General</c:formatCode>
                  <c:ptCount val="1"/>
                  <c:pt idx="0">
                    <c:v>0.41419725731265056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'88T_Seeds'!$V$224</c:f>
                <c:numCache>
                  <c:formatCode>General</c:formatCode>
                  <c:ptCount val="1"/>
                  <c:pt idx="0">
                    <c:v>0.32903950316721869</c:v>
                  </c:pt>
                </c:numCache>
              </c:numRef>
            </c:plus>
            <c:minus>
              <c:numRef>
                <c:f>'88T_Seeds'!$V$224</c:f>
                <c:numCache>
                  <c:formatCode>General</c:formatCode>
                  <c:ptCount val="1"/>
                  <c:pt idx="0">
                    <c:v>0.32903950316721869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'88T_Seeds'!$V$221</c:f>
              <c:numCache>
                <c:formatCode>0.00</c:formatCode>
                <c:ptCount val="1"/>
                <c:pt idx="0">
                  <c:v>97.927020121640055</c:v>
                </c:pt>
              </c:numCache>
            </c:numRef>
          </c:xVal>
          <c:yVal>
            <c:numRef>
              <c:f>'88T_Seeds'!$V$223</c:f>
              <c:numCache>
                <c:formatCode>0.00</c:formatCode>
                <c:ptCount val="1"/>
                <c:pt idx="0">
                  <c:v>99.124830393487102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99-48FE-8067-CA5C08858716}"/>
            </c:ext>
          </c:extLst>
        </c:ser>
        <c:ser>
          <c:idx val="0"/>
          <c:order val="3"/>
          <c:tx>
            <c:strRef>
              <c:f>'88T_Seeds'!$W$14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'88T_Seeds'!$W$222</c:f>
                <c:numCache>
                  <c:formatCode>General</c:formatCode>
                  <c:ptCount val="1"/>
                  <c:pt idx="0">
                    <c:v>0.70249498228105911</c:v>
                  </c:pt>
                </c:numCache>
              </c:numRef>
            </c:plus>
            <c:minus>
              <c:numRef>
                <c:f>'88T_Seeds'!$W$222</c:f>
                <c:numCache>
                  <c:formatCode>General</c:formatCode>
                  <c:ptCount val="1"/>
                  <c:pt idx="0">
                    <c:v>0.70249498228105911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'88T_Seeds'!$W$224</c:f>
                <c:numCache>
                  <c:formatCode>General</c:formatCode>
                  <c:ptCount val="1"/>
                  <c:pt idx="0">
                    <c:v>1.1595690774681799</c:v>
                  </c:pt>
                </c:numCache>
              </c:numRef>
            </c:plus>
            <c:minus>
              <c:numRef>
                <c:f>'88T_Seeds'!$W$224</c:f>
                <c:numCache>
                  <c:formatCode>General</c:formatCode>
                  <c:ptCount val="1"/>
                  <c:pt idx="0">
                    <c:v>1.1595690774681799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'88T_Seeds'!$W$221</c:f>
              <c:numCache>
                <c:formatCode>0.00</c:formatCode>
                <c:ptCount val="1"/>
                <c:pt idx="0">
                  <c:v>96.741044184987445</c:v>
                </c:pt>
              </c:numCache>
            </c:numRef>
          </c:xVal>
          <c:yVal>
            <c:numRef>
              <c:f>'88T_Seeds'!$W$223</c:f>
              <c:numCache>
                <c:formatCode>0.00</c:formatCode>
                <c:ptCount val="1"/>
                <c:pt idx="0">
                  <c:v>91.443298969072146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99-48FE-8067-CA5C08858716}"/>
            </c:ext>
          </c:extLst>
        </c:ser>
        <c:ser>
          <c:idx val="6"/>
          <c:order val="4"/>
          <c:tx>
            <c:strRef>
              <c:f>'88T_Seeds'!$X$14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'88T_Seeds'!$X$222</c:f>
                <c:numCache>
                  <c:formatCode>General</c:formatCode>
                  <c:ptCount val="1"/>
                  <c:pt idx="0">
                    <c:v>2.9971808850658053</c:v>
                  </c:pt>
                </c:numCache>
              </c:numRef>
            </c:plus>
            <c:minus>
              <c:numRef>
                <c:f>'88T_Seeds'!$X$222</c:f>
                <c:numCache>
                  <c:formatCode>General</c:formatCode>
                  <c:ptCount val="1"/>
                  <c:pt idx="0">
                    <c:v>2.9971808850658053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'88T_Seeds'!$X$224</c:f>
                <c:numCache>
                  <c:formatCode>General</c:formatCode>
                  <c:ptCount val="1"/>
                  <c:pt idx="0">
                    <c:v>0.8837909868716245</c:v>
                  </c:pt>
                </c:numCache>
              </c:numRef>
            </c:plus>
            <c:minus>
              <c:numRef>
                <c:f>'88T_Seeds'!$X$224</c:f>
                <c:numCache>
                  <c:formatCode>General</c:formatCode>
                  <c:ptCount val="1"/>
                  <c:pt idx="0">
                    <c:v>0.8837909868716245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'88T_Seeds'!$X$221</c:f>
              <c:numCache>
                <c:formatCode>0.00</c:formatCode>
                <c:ptCount val="1"/>
                <c:pt idx="0">
                  <c:v>83.369676101791129</c:v>
                </c:pt>
              </c:numCache>
            </c:numRef>
          </c:xVal>
          <c:yVal>
            <c:numRef>
              <c:f>'88T_Seeds'!$X$223</c:f>
              <c:numCache>
                <c:formatCode>0.00</c:formatCode>
                <c:ptCount val="1"/>
                <c:pt idx="0">
                  <c:v>91.209117938553021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99-48FE-8067-CA5C08858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1988T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'88T_Seeds'!$T$14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'88T_Seeds'!$AL$112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'88T_Seeds'!$AL$114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'88T_Seeds'!$AL$111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'88T_Seeds'!$AL$113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1E-4EA7-8EE0-C55776EAB05F}"/>
            </c:ext>
          </c:extLst>
        </c:ser>
        <c:ser>
          <c:idx val="9"/>
          <c:order val="1"/>
          <c:tx>
            <c:strRef>
              <c:f>'88T_Seeds'!$U$14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'88T_Seeds'!$U$222</c:f>
                <c:numCache>
                  <c:formatCode>General</c:formatCode>
                  <c:ptCount val="1"/>
                  <c:pt idx="0">
                    <c:v>4.4053118685645671</c:v>
                  </c:pt>
                </c:numCache>
              </c:numRef>
            </c:plus>
            <c:minus>
              <c:numRef>
                <c:f>'88T_Seeds'!$U$222</c:f>
                <c:numCache>
                  <c:formatCode>General</c:formatCode>
                  <c:ptCount val="1"/>
                  <c:pt idx="0">
                    <c:v>4.4053118685645671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'88T_Seeds'!$U$224</c:f>
                <c:numCache>
                  <c:formatCode>General</c:formatCode>
                  <c:ptCount val="1"/>
                  <c:pt idx="0">
                    <c:v>0.17543859649122809</c:v>
                  </c:pt>
                </c:numCache>
              </c:numRef>
            </c:plus>
            <c:minus>
              <c:numRef>
                <c:f>'88T_Seeds'!$U$224</c:f>
                <c:numCache>
                  <c:formatCode>General</c:formatCode>
                  <c:ptCount val="1"/>
                  <c:pt idx="0">
                    <c:v>0.17543859649122809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'88T_Seeds'!$AM$111</c:f>
              <c:numCache>
                <c:formatCode>0.00</c:formatCode>
                <c:ptCount val="1"/>
                <c:pt idx="0">
                  <c:v>86.862366905392705</c:v>
                </c:pt>
              </c:numCache>
            </c:numRef>
          </c:xVal>
          <c:yVal>
            <c:numRef>
              <c:f>'88T_Seeds'!$AM$113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1E-4EA7-8EE0-C55776EAB05F}"/>
            </c:ext>
          </c:extLst>
        </c:ser>
        <c:ser>
          <c:idx val="7"/>
          <c:order val="2"/>
          <c:tx>
            <c:strRef>
              <c:f>'88T_Seeds'!$V$14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'88T_Seeds'!$AN$112</c:f>
                <c:numCache>
                  <c:formatCode>General</c:formatCode>
                  <c:ptCount val="1"/>
                  <c:pt idx="0">
                    <c:v>0.40381620908914762</c:v>
                  </c:pt>
                </c:numCache>
              </c:numRef>
            </c:plus>
            <c:minus>
              <c:numRef>
                <c:f>'88T_Seeds'!$AN$112</c:f>
                <c:numCache>
                  <c:formatCode>General</c:formatCode>
                  <c:ptCount val="1"/>
                  <c:pt idx="0">
                    <c:v>0.40381620908914762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'88T_Seeds'!$AN$114</c:f>
                <c:numCache>
                  <c:formatCode>General</c:formatCode>
                  <c:ptCount val="1"/>
                  <c:pt idx="0">
                    <c:v>0.2346941488143626</c:v>
                  </c:pt>
                </c:numCache>
              </c:numRef>
            </c:plus>
            <c:minus>
              <c:numRef>
                <c:f>'88T_Seeds'!$AN$114</c:f>
                <c:numCache>
                  <c:formatCode>General</c:formatCode>
                  <c:ptCount val="1"/>
                  <c:pt idx="0">
                    <c:v>0.2346941488143626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'88T_Seeds'!$AN$111</c:f>
              <c:numCache>
                <c:formatCode>0.00</c:formatCode>
                <c:ptCount val="1"/>
                <c:pt idx="0">
                  <c:v>97.979806597933575</c:v>
                </c:pt>
              </c:numCache>
            </c:numRef>
          </c:xVal>
          <c:yVal>
            <c:numRef>
              <c:f>'88T_Seeds'!$AN$113</c:f>
              <c:numCache>
                <c:formatCode>0.00</c:formatCode>
                <c:ptCount val="1"/>
                <c:pt idx="0">
                  <c:v>99.592944369063773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1E-4EA7-8EE0-C55776EAB05F}"/>
            </c:ext>
          </c:extLst>
        </c:ser>
        <c:ser>
          <c:idx val="0"/>
          <c:order val="3"/>
          <c:tx>
            <c:strRef>
              <c:f>'88T_Seeds'!$W$14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'88T_Seeds'!$AO$112</c:f>
                <c:numCache>
                  <c:formatCode>General</c:formatCode>
                  <c:ptCount val="1"/>
                  <c:pt idx="0">
                    <c:v>0.46913011862175175</c:v>
                  </c:pt>
                </c:numCache>
              </c:numRef>
            </c:plus>
            <c:minus>
              <c:numRef>
                <c:f>'88T_Seeds'!$AO$112</c:f>
                <c:numCache>
                  <c:formatCode>General</c:formatCode>
                  <c:ptCount val="1"/>
                  <c:pt idx="0">
                    <c:v>0.46913011862175175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'88T_Seeds'!$AO$114</c:f>
                <c:numCache>
                  <c:formatCode>General</c:formatCode>
                  <c:ptCount val="1"/>
                  <c:pt idx="0">
                    <c:v>1.1412484385858428</c:v>
                  </c:pt>
                </c:numCache>
              </c:numRef>
            </c:plus>
            <c:minus>
              <c:numRef>
                <c:f>'88T_Seeds'!$AO$114</c:f>
                <c:numCache>
                  <c:formatCode>General</c:formatCode>
                  <c:ptCount val="1"/>
                  <c:pt idx="0">
                    <c:v>1.1412484385858428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'88T_Seeds'!$AO$111</c:f>
              <c:numCache>
                <c:formatCode>0.00</c:formatCode>
                <c:ptCount val="1"/>
                <c:pt idx="0">
                  <c:v>98.030132383145911</c:v>
                </c:pt>
              </c:numCache>
            </c:numRef>
          </c:xVal>
          <c:yVal>
            <c:numRef>
              <c:f>'88T_Seeds'!$AO$113</c:f>
              <c:numCache>
                <c:formatCode>0.00</c:formatCode>
                <c:ptCount val="1"/>
                <c:pt idx="0">
                  <c:v>91.75257731958763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1E-4EA7-8EE0-C55776EAB05F}"/>
            </c:ext>
          </c:extLst>
        </c:ser>
        <c:ser>
          <c:idx val="6"/>
          <c:order val="4"/>
          <c:tx>
            <c:strRef>
              <c:f>'88T_Seeds'!$X$14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'88T_Seeds'!$AP$112</c:f>
                <c:numCache>
                  <c:formatCode>General</c:formatCode>
                  <c:ptCount val="1"/>
                  <c:pt idx="0">
                    <c:v>2.9303966484371626</c:v>
                  </c:pt>
                </c:numCache>
              </c:numRef>
            </c:plus>
            <c:minus>
              <c:numRef>
                <c:f>'88T_Seeds'!$AP$112</c:f>
                <c:numCache>
                  <c:formatCode>General</c:formatCode>
                  <c:ptCount val="1"/>
                  <c:pt idx="0">
                    <c:v>2.9303966484371626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'88T_Seeds'!$AP$114</c:f>
                <c:numCache>
                  <c:formatCode>General</c:formatCode>
                  <c:ptCount val="1"/>
                  <c:pt idx="0">
                    <c:v>0.82110790463033556</c:v>
                  </c:pt>
                </c:numCache>
              </c:numRef>
            </c:plus>
            <c:minus>
              <c:numRef>
                <c:f>'88T_Seeds'!$AP$114</c:f>
                <c:numCache>
                  <c:formatCode>General</c:formatCode>
                  <c:ptCount val="1"/>
                  <c:pt idx="0">
                    <c:v>0.82110790463033556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'88T_Seeds'!$AP$111</c:f>
              <c:numCache>
                <c:formatCode>0.00</c:formatCode>
                <c:ptCount val="1"/>
                <c:pt idx="0">
                  <c:v>84.161696822879136</c:v>
                </c:pt>
              </c:numCache>
            </c:numRef>
          </c:xVal>
          <c:yVal>
            <c:numRef>
              <c:f>'88T_Seeds'!$AP$113</c:f>
              <c:numCache>
                <c:formatCode>0.00</c:formatCode>
                <c:ptCount val="1"/>
                <c:pt idx="0">
                  <c:v>92.666005946481661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1E-4EA7-8EE0-C55776EAB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'91T_Seeds'!$T$14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'91T_Seeds'!$T$279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'91T_Seeds'!$T$282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'91T_Seeds'!$T$278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'91T_Seeds'!$T$281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F-4681-B55B-67E8F5ADBD07}"/>
            </c:ext>
          </c:extLst>
        </c:ser>
        <c:ser>
          <c:idx val="9"/>
          <c:order val="1"/>
          <c:tx>
            <c:strRef>
              <c:f>'91T_Seeds'!$U$14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'91T_Seeds'!$U$279</c:f>
                <c:numCache>
                  <c:formatCode>General</c:formatCode>
                  <c:ptCount val="1"/>
                  <c:pt idx="0">
                    <c:v>5.6184851848274926</c:v>
                  </c:pt>
                </c:numCache>
              </c:numRef>
            </c:plus>
            <c:minus>
              <c:numRef>
                <c:f>'91T_Seeds'!$U$279</c:f>
                <c:numCache>
                  <c:formatCode>General</c:formatCode>
                  <c:ptCount val="1"/>
                  <c:pt idx="0">
                    <c:v>5.6184851848274926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'91T_Seeds'!$U$282</c:f>
                <c:numCache>
                  <c:formatCode>General</c:formatCode>
                  <c:ptCount val="1"/>
                  <c:pt idx="0">
                    <c:v>2.3179365283557471</c:v>
                  </c:pt>
                </c:numCache>
              </c:numRef>
            </c:plus>
            <c:minus>
              <c:numRef>
                <c:f>'91T_Seeds'!$U$282</c:f>
                <c:numCache>
                  <c:formatCode>General</c:formatCode>
                  <c:ptCount val="1"/>
                  <c:pt idx="0">
                    <c:v>2.3179365283557471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'91T_Seeds'!$U$278</c:f>
              <c:numCache>
                <c:formatCode>0.00</c:formatCode>
                <c:ptCount val="1"/>
                <c:pt idx="0">
                  <c:v>69.0248865092112</c:v>
                </c:pt>
              </c:numCache>
            </c:numRef>
          </c:xVal>
          <c:yVal>
            <c:numRef>
              <c:f>'91T_Seeds'!$U$281</c:f>
              <c:numCache>
                <c:formatCode>0.00</c:formatCode>
                <c:ptCount val="1"/>
                <c:pt idx="0">
                  <c:v>96.84210526315789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F-4681-B55B-67E8F5ADBD07}"/>
            </c:ext>
          </c:extLst>
        </c:ser>
        <c:ser>
          <c:idx val="7"/>
          <c:order val="2"/>
          <c:tx>
            <c:strRef>
              <c:f>'91T_Seeds'!$V$14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'91T_Seeds'!$V$282</c:f>
                <c:numCache>
                  <c:formatCode>General</c:formatCode>
                  <c:ptCount val="1"/>
                  <c:pt idx="0">
                    <c:v>0.63408948140399279</c:v>
                  </c:pt>
                </c:numCache>
              </c:numRef>
            </c:plus>
            <c:minus>
              <c:numRef>
                <c:f>'91T_Seeds'!$V$282</c:f>
                <c:numCache>
                  <c:formatCode>General</c:formatCode>
                  <c:ptCount val="1"/>
                  <c:pt idx="0">
                    <c:v>0.63408948140399279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'91T_Seeds'!$V$282</c:f>
                <c:numCache>
                  <c:formatCode>General</c:formatCode>
                  <c:ptCount val="1"/>
                  <c:pt idx="0">
                    <c:v>0.63408948140399279</c:v>
                  </c:pt>
                </c:numCache>
              </c:numRef>
            </c:plus>
            <c:minus>
              <c:numRef>
                <c:f>'91T_Seeds'!$V$282</c:f>
                <c:numCache>
                  <c:formatCode>General</c:formatCode>
                  <c:ptCount val="1"/>
                  <c:pt idx="0">
                    <c:v>0.63408948140399279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'91T_Seeds'!$V$278</c:f>
              <c:numCache>
                <c:formatCode>0.00</c:formatCode>
                <c:ptCount val="1"/>
                <c:pt idx="0">
                  <c:v>98.818615837195097</c:v>
                </c:pt>
              </c:numCache>
            </c:numRef>
          </c:xVal>
          <c:yVal>
            <c:numRef>
              <c:f>'91T_Seeds'!$V$281</c:f>
              <c:numCache>
                <c:formatCode>0.00</c:formatCode>
                <c:ptCount val="1"/>
                <c:pt idx="0">
                  <c:v>96.906377204884663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F-4681-B55B-67E8F5ADBD07}"/>
            </c:ext>
          </c:extLst>
        </c:ser>
        <c:ser>
          <c:idx val="0"/>
          <c:order val="3"/>
          <c:tx>
            <c:strRef>
              <c:f>'91T_Seeds'!$W$14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'91T_Seeds'!$W$279</c:f>
                <c:numCache>
                  <c:formatCode>General</c:formatCode>
                  <c:ptCount val="1"/>
                  <c:pt idx="0">
                    <c:v>1.0725467019872867</c:v>
                  </c:pt>
                </c:numCache>
              </c:numRef>
            </c:plus>
            <c:minus>
              <c:numRef>
                <c:f>'91T_Seeds'!$W$279</c:f>
                <c:numCache>
                  <c:formatCode>General</c:formatCode>
                  <c:ptCount val="1"/>
                  <c:pt idx="0">
                    <c:v>1.0725467019872867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'91T_Seeds'!$W$282</c:f>
                <c:numCache>
                  <c:formatCode>General</c:formatCode>
                  <c:ptCount val="1"/>
                  <c:pt idx="0">
                    <c:v>0.9975223129367341</c:v>
                  </c:pt>
                </c:numCache>
              </c:numRef>
            </c:plus>
            <c:minus>
              <c:numRef>
                <c:f>'91T_Seeds'!$W$282</c:f>
                <c:numCache>
                  <c:formatCode>General</c:formatCode>
                  <c:ptCount val="1"/>
                  <c:pt idx="0">
                    <c:v>0.9975223129367341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'91T_Seeds'!$W$278</c:f>
              <c:numCache>
                <c:formatCode>0.00</c:formatCode>
                <c:ptCount val="1"/>
                <c:pt idx="0">
                  <c:v>94.534461180957862</c:v>
                </c:pt>
              </c:numCache>
            </c:numRef>
          </c:xVal>
          <c:yVal>
            <c:numRef>
              <c:f>'91T_Seeds'!$W$281</c:f>
              <c:numCache>
                <c:formatCode>0.00</c:formatCode>
                <c:ptCount val="1"/>
                <c:pt idx="0">
                  <c:v>93.814432989690715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F-4681-B55B-67E8F5ADBD07}"/>
            </c:ext>
          </c:extLst>
        </c:ser>
        <c:ser>
          <c:idx val="6"/>
          <c:order val="4"/>
          <c:tx>
            <c:strRef>
              <c:f>'91T_Seeds'!$X$14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'91T_Seeds'!$X$279</c:f>
                <c:numCache>
                  <c:formatCode>General</c:formatCode>
                  <c:ptCount val="1"/>
                  <c:pt idx="0">
                    <c:v>3.533449083983629</c:v>
                  </c:pt>
                </c:numCache>
              </c:numRef>
            </c:plus>
            <c:minus>
              <c:numRef>
                <c:f>'91T_Seeds'!$X$279</c:f>
                <c:numCache>
                  <c:formatCode>General</c:formatCode>
                  <c:ptCount val="1"/>
                  <c:pt idx="0">
                    <c:v>3.533449083983629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'91T_Seeds'!$X$282</c:f>
                <c:numCache>
                  <c:formatCode>General</c:formatCode>
                  <c:ptCount val="1"/>
                  <c:pt idx="0">
                    <c:v>1.1188589850618125</c:v>
                  </c:pt>
                </c:numCache>
              </c:numRef>
            </c:plus>
            <c:minus>
              <c:numRef>
                <c:f>'91T_Seeds'!$X$282</c:f>
                <c:numCache>
                  <c:formatCode>General</c:formatCode>
                  <c:ptCount val="1"/>
                  <c:pt idx="0">
                    <c:v>1.1188589850618125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'91T_Seeds'!$X$278</c:f>
              <c:numCache>
                <c:formatCode>0.00</c:formatCode>
                <c:ptCount val="1"/>
                <c:pt idx="0">
                  <c:v>79.095873968430851</c:v>
                </c:pt>
              </c:numCache>
            </c:numRef>
          </c:xVal>
          <c:yVal>
            <c:numRef>
              <c:f>'91T_Seeds'!$X$281</c:f>
              <c:numCache>
                <c:formatCode>0.00</c:formatCode>
                <c:ptCount val="1"/>
                <c:pt idx="0">
                  <c:v>85.173439048562926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EF-4681-B55B-67E8F5AD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1991T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'91T_Seeds'!$T$14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'91T_Seeds'!$T$222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'91T_Seeds'!$T$224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'91T_Seeds'!$T$221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'91T_Seeds'!$T$223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AC-4CF3-9E4F-CCD8B0563B87}"/>
            </c:ext>
          </c:extLst>
        </c:ser>
        <c:ser>
          <c:idx val="9"/>
          <c:order val="1"/>
          <c:tx>
            <c:strRef>
              <c:f>'91T_Seeds'!$U$14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'91T_Seeds'!$U$222</c:f>
                <c:numCache>
                  <c:formatCode>General</c:formatCode>
                  <c:ptCount val="1"/>
                  <c:pt idx="0">
                    <c:v>5.809401377037811</c:v>
                  </c:pt>
                </c:numCache>
              </c:numRef>
            </c:plus>
            <c:minus>
              <c:numRef>
                <c:f>'91T_Seeds'!$U$222</c:f>
                <c:numCache>
                  <c:formatCode>General</c:formatCode>
                  <c:ptCount val="1"/>
                  <c:pt idx="0">
                    <c:v>5.809401377037811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'91T_Seeds'!$U$224</c:f>
                <c:numCache>
                  <c:formatCode>General</c:formatCode>
                  <c:ptCount val="1"/>
                  <c:pt idx="0">
                    <c:v>2.186028703722513</c:v>
                  </c:pt>
                </c:numCache>
              </c:numRef>
            </c:plus>
            <c:minus>
              <c:numRef>
                <c:f>'91T_Seeds'!$U$224</c:f>
                <c:numCache>
                  <c:formatCode>General</c:formatCode>
                  <c:ptCount val="1"/>
                  <c:pt idx="0">
                    <c:v>2.186028703722513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'91T_Seeds'!$U$221</c:f>
              <c:numCache>
                <c:formatCode>0.00</c:formatCode>
                <c:ptCount val="1"/>
                <c:pt idx="0">
                  <c:v>65.933028486085178</c:v>
                </c:pt>
              </c:numCache>
            </c:numRef>
          </c:xVal>
          <c:yVal>
            <c:numRef>
              <c:f>'91T_Seeds'!$U$223</c:f>
              <c:numCache>
                <c:formatCode>0.00</c:formatCode>
                <c:ptCount val="1"/>
                <c:pt idx="0">
                  <c:v>97.017543859649123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AC-4CF3-9E4F-CCD8B0563B87}"/>
            </c:ext>
          </c:extLst>
        </c:ser>
        <c:ser>
          <c:idx val="7"/>
          <c:order val="2"/>
          <c:tx>
            <c:strRef>
              <c:f>'91T_Seeds'!$V$14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'91T_Seeds'!$V$222</c:f>
                <c:numCache>
                  <c:formatCode>General</c:formatCode>
                  <c:ptCount val="1"/>
                  <c:pt idx="0">
                    <c:v>0.30339607399846896</c:v>
                  </c:pt>
                </c:numCache>
              </c:numRef>
            </c:plus>
            <c:minus>
              <c:numRef>
                <c:f>'91T_Seeds'!$V$222</c:f>
                <c:numCache>
                  <c:formatCode>General</c:formatCode>
                  <c:ptCount val="1"/>
                  <c:pt idx="0">
                    <c:v>0.30339607399846896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'91T_Seeds'!$V$224</c:f>
                <c:numCache>
                  <c:formatCode>General</c:formatCode>
                  <c:ptCount val="1"/>
                  <c:pt idx="0">
                    <c:v>0.64748631447258398</c:v>
                  </c:pt>
                </c:numCache>
              </c:numRef>
            </c:plus>
            <c:minus>
              <c:numRef>
                <c:f>'91T_Seeds'!$V$224</c:f>
                <c:numCache>
                  <c:formatCode>General</c:formatCode>
                  <c:ptCount val="1"/>
                  <c:pt idx="0">
                    <c:v>0.64748631447258398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'91T_Seeds'!$V$221</c:f>
              <c:numCache>
                <c:formatCode>0.00</c:formatCode>
                <c:ptCount val="1"/>
                <c:pt idx="0">
                  <c:v>98.797538054426525</c:v>
                </c:pt>
              </c:numCache>
            </c:numRef>
          </c:xVal>
          <c:yVal>
            <c:numRef>
              <c:f>'91T_Seeds'!$V$223</c:f>
              <c:numCache>
                <c:formatCode>0.00</c:formatCode>
                <c:ptCount val="1"/>
                <c:pt idx="0">
                  <c:v>96.791044776119378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AC-4CF3-9E4F-CCD8B0563B87}"/>
            </c:ext>
          </c:extLst>
        </c:ser>
        <c:ser>
          <c:idx val="0"/>
          <c:order val="3"/>
          <c:tx>
            <c:strRef>
              <c:f>'91T_Seeds'!$W$14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'91T_Seeds'!$W$222</c:f>
                <c:numCache>
                  <c:formatCode>General</c:formatCode>
                  <c:ptCount val="1"/>
                  <c:pt idx="0">
                    <c:v>1.0625989937802225</c:v>
                  </c:pt>
                </c:numCache>
              </c:numRef>
            </c:plus>
            <c:minus>
              <c:numRef>
                <c:f>'91T_Seeds'!$W$222</c:f>
                <c:numCache>
                  <c:formatCode>General</c:formatCode>
                  <c:ptCount val="1"/>
                  <c:pt idx="0">
                    <c:v>1.0625989937802225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'91T_Seeds'!$W$224</c:f>
                <c:numCache>
                  <c:formatCode>General</c:formatCode>
                  <c:ptCount val="1"/>
                  <c:pt idx="0">
                    <c:v>0.98360688997877888</c:v>
                  </c:pt>
                </c:numCache>
              </c:numRef>
            </c:plus>
            <c:minus>
              <c:numRef>
                <c:f>'91T_Seeds'!$W$224</c:f>
                <c:numCache>
                  <c:formatCode>General</c:formatCode>
                  <c:ptCount val="1"/>
                  <c:pt idx="0">
                    <c:v>0.98360688997877888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'91T_Seeds'!$W$221</c:f>
              <c:numCache>
                <c:formatCode>0.00</c:formatCode>
                <c:ptCount val="1"/>
                <c:pt idx="0">
                  <c:v>94.544872135796965</c:v>
                </c:pt>
              </c:numCache>
            </c:numRef>
          </c:xVal>
          <c:yVal>
            <c:numRef>
              <c:f>'91T_Seeds'!$W$223</c:f>
              <c:numCache>
                <c:formatCode>0.00</c:formatCode>
                <c:ptCount val="1"/>
                <c:pt idx="0">
                  <c:v>94.003436426116849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AAC-4CF3-9E4F-CCD8B0563B87}"/>
            </c:ext>
          </c:extLst>
        </c:ser>
        <c:ser>
          <c:idx val="6"/>
          <c:order val="4"/>
          <c:tx>
            <c:strRef>
              <c:f>'91T_Seeds'!$X$14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'91T_Seeds'!$X$222</c:f>
                <c:numCache>
                  <c:formatCode>General</c:formatCode>
                  <c:ptCount val="1"/>
                  <c:pt idx="0">
                    <c:v>3.6489383156822726</c:v>
                  </c:pt>
                </c:numCache>
              </c:numRef>
            </c:plus>
            <c:minus>
              <c:numRef>
                <c:f>'91T_Seeds'!$X$222</c:f>
                <c:numCache>
                  <c:formatCode>General</c:formatCode>
                  <c:ptCount val="1"/>
                  <c:pt idx="0">
                    <c:v>3.6489383156822726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'91T_Seeds'!$X$224</c:f>
                <c:numCache>
                  <c:formatCode>General</c:formatCode>
                  <c:ptCount val="1"/>
                  <c:pt idx="0">
                    <c:v>1.1532614594088133</c:v>
                  </c:pt>
                </c:numCache>
              </c:numRef>
            </c:plus>
            <c:minus>
              <c:numRef>
                <c:f>'91T_Seeds'!$X$224</c:f>
                <c:numCache>
                  <c:formatCode>General</c:formatCode>
                  <c:ptCount val="1"/>
                  <c:pt idx="0">
                    <c:v>1.1532614594088133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'91T_Seeds'!$X$221</c:f>
              <c:numCache>
                <c:formatCode>0.00</c:formatCode>
                <c:ptCount val="1"/>
                <c:pt idx="0">
                  <c:v>78.919342281323154</c:v>
                </c:pt>
              </c:numCache>
            </c:numRef>
          </c:xVal>
          <c:yVal>
            <c:numRef>
              <c:f>'91T_Seeds'!$X$223</c:f>
              <c:numCache>
                <c:formatCode>0.00</c:formatCode>
                <c:ptCount val="1"/>
                <c:pt idx="0">
                  <c:v>83.994053518334994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AAC-4CF3-9E4F-CCD8B0563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1991T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'91T_Seeds'!$T$14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'91T_Seeds'!$AL$112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'91T_Seeds'!$AL$114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'91T_Seeds'!$AL$111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'91T_Seeds'!$AL$113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93-4A94-8818-0EE1F70C697F}"/>
            </c:ext>
          </c:extLst>
        </c:ser>
        <c:ser>
          <c:idx val="9"/>
          <c:order val="1"/>
          <c:tx>
            <c:strRef>
              <c:f>'91T_Seeds'!$U$14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'91T_Seeds'!$U$222</c:f>
                <c:numCache>
                  <c:formatCode>General</c:formatCode>
                  <c:ptCount val="1"/>
                  <c:pt idx="0">
                    <c:v>5.809401377037811</c:v>
                  </c:pt>
                </c:numCache>
              </c:numRef>
            </c:plus>
            <c:minus>
              <c:numRef>
                <c:f>'91T_Seeds'!$U$222</c:f>
                <c:numCache>
                  <c:formatCode>General</c:formatCode>
                  <c:ptCount val="1"/>
                  <c:pt idx="0">
                    <c:v>5.809401377037811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'91T_Seeds'!$U$224</c:f>
                <c:numCache>
                  <c:formatCode>General</c:formatCode>
                  <c:ptCount val="1"/>
                  <c:pt idx="0">
                    <c:v>2.186028703722513</c:v>
                  </c:pt>
                </c:numCache>
              </c:numRef>
            </c:plus>
            <c:minus>
              <c:numRef>
                <c:f>'91T_Seeds'!$U$224</c:f>
                <c:numCache>
                  <c:formatCode>General</c:formatCode>
                  <c:ptCount val="1"/>
                  <c:pt idx="0">
                    <c:v>2.186028703722513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'91T_Seeds'!$AM$111</c:f>
              <c:numCache>
                <c:formatCode>0.00</c:formatCode>
                <c:ptCount val="1"/>
                <c:pt idx="0">
                  <c:v>63.114883321545143</c:v>
                </c:pt>
              </c:numCache>
            </c:numRef>
          </c:xVal>
          <c:yVal>
            <c:numRef>
              <c:f>'91T_Seeds'!$AM$113</c:f>
              <c:numCache>
                <c:formatCode>0.00</c:formatCode>
                <c:ptCount val="1"/>
                <c:pt idx="0">
                  <c:v>96.491228070175424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93-4A94-8818-0EE1F70C697F}"/>
            </c:ext>
          </c:extLst>
        </c:ser>
        <c:ser>
          <c:idx val="7"/>
          <c:order val="2"/>
          <c:tx>
            <c:strRef>
              <c:f>'91T_Seeds'!$V$14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'91T_Seeds'!$AN$112</c:f>
                <c:numCache>
                  <c:formatCode>General</c:formatCode>
                  <c:ptCount val="1"/>
                  <c:pt idx="0">
                    <c:v>0.30927443114784831</c:v>
                  </c:pt>
                </c:numCache>
              </c:numRef>
            </c:plus>
            <c:minus>
              <c:numRef>
                <c:f>'91T_Seeds'!$AN$112</c:f>
                <c:numCache>
                  <c:formatCode>General</c:formatCode>
                  <c:ptCount val="1"/>
                  <c:pt idx="0">
                    <c:v>0.30927443114784831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'91T_Seeds'!$AN$114</c:f>
                <c:numCache>
                  <c:formatCode>General</c:formatCode>
                  <c:ptCount val="1"/>
                  <c:pt idx="0">
                    <c:v>0.65425039084076997</c:v>
                  </c:pt>
                </c:numCache>
              </c:numRef>
            </c:plus>
            <c:minus>
              <c:numRef>
                <c:f>'91T_Seeds'!$AN$114</c:f>
                <c:numCache>
                  <c:formatCode>General</c:formatCode>
                  <c:ptCount val="1"/>
                  <c:pt idx="0">
                    <c:v>0.65425039084076997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'91T_Seeds'!$AN$111</c:f>
              <c:numCache>
                <c:formatCode>0.00</c:formatCode>
                <c:ptCount val="1"/>
                <c:pt idx="0">
                  <c:v>98.837452385037693</c:v>
                </c:pt>
              </c:numCache>
            </c:numRef>
          </c:xVal>
          <c:yVal>
            <c:numRef>
              <c:f>'91T_Seeds'!$AN$113</c:f>
              <c:numCache>
                <c:formatCode>0.00</c:formatCode>
                <c:ptCount val="1"/>
                <c:pt idx="0">
                  <c:v>96.743554952510181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93-4A94-8818-0EE1F70C697F}"/>
            </c:ext>
          </c:extLst>
        </c:ser>
        <c:ser>
          <c:idx val="0"/>
          <c:order val="3"/>
          <c:tx>
            <c:strRef>
              <c:f>'91T_Seeds'!$W$14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'91T_Seeds'!$AO$112</c:f>
                <c:numCache>
                  <c:formatCode>General</c:formatCode>
                  <c:ptCount val="1"/>
                  <c:pt idx="0">
                    <c:v>1.004030974787786</c:v>
                  </c:pt>
                </c:numCache>
              </c:numRef>
            </c:plus>
            <c:minus>
              <c:numRef>
                <c:f>'91T_Seeds'!$AO$112</c:f>
                <c:numCache>
                  <c:formatCode>General</c:formatCode>
                  <c:ptCount val="1"/>
                  <c:pt idx="0">
                    <c:v>1.004030974787786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'91T_Seeds'!$AO$114</c:f>
                <c:numCache>
                  <c:formatCode>General</c:formatCode>
                  <c:ptCount val="1"/>
                  <c:pt idx="0">
                    <c:v>0.93163457010175987</c:v>
                  </c:pt>
                </c:numCache>
              </c:numRef>
            </c:plus>
            <c:minus>
              <c:numRef>
                <c:f>'91T_Seeds'!$AO$114</c:f>
                <c:numCache>
                  <c:formatCode>General</c:formatCode>
                  <c:ptCount val="1"/>
                  <c:pt idx="0">
                    <c:v>0.93163457010175987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'91T_Seeds'!$AO$111</c:f>
              <c:numCache>
                <c:formatCode>0.00</c:formatCode>
                <c:ptCount val="1"/>
                <c:pt idx="0">
                  <c:v>95.141137497865557</c:v>
                </c:pt>
              </c:numCache>
            </c:numRef>
          </c:xVal>
          <c:yVal>
            <c:numRef>
              <c:f>'91T_Seeds'!$AO$113</c:f>
              <c:numCache>
                <c:formatCode>0.00</c:formatCode>
                <c:ptCount val="1"/>
                <c:pt idx="0">
                  <c:v>94.673539518900341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93-4A94-8818-0EE1F70C697F}"/>
            </c:ext>
          </c:extLst>
        </c:ser>
        <c:ser>
          <c:idx val="6"/>
          <c:order val="4"/>
          <c:tx>
            <c:strRef>
              <c:f>'91T_Seeds'!$X$14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'91T_Seeds'!$AP$112</c:f>
                <c:numCache>
                  <c:formatCode>General</c:formatCode>
                  <c:ptCount val="1"/>
                  <c:pt idx="0">
                    <c:v>3.5781376817224078</c:v>
                  </c:pt>
                </c:numCache>
              </c:numRef>
            </c:plus>
            <c:minus>
              <c:numRef>
                <c:f>'91T_Seeds'!$AP$112</c:f>
                <c:numCache>
                  <c:formatCode>General</c:formatCode>
                  <c:ptCount val="1"/>
                  <c:pt idx="0">
                    <c:v>3.5781376817224078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'91T_Seeds'!$AP$114</c:f>
                <c:numCache>
                  <c:formatCode>General</c:formatCode>
                  <c:ptCount val="1"/>
                  <c:pt idx="0">
                    <c:v>1.1143227601931236</c:v>
                  </c:pt>
                </c:numCache>
              </c:numRef>
            </c:plus>
            <c:minus>
              <c:numRef>
                <c:f>'91T_Seeds'!$AP$114</c:f>
                <c:numCache>
                  <c:formatCode>General</c:formatCode>
                  <c:ptCount val="1"/>
                  <c:pt idx="0">
                    <c:v>1.1143227601931236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'91T_Seeds'!$AP$111</c:f>
              <c:numCache>
                <c:formatCode>0.00</c:formatCode>
                <c:ptCount val="1"/>
                <c:pt idx="0">
                  <c:v>79.940659900565663</c:v>
                </c:pt>
              </c:numCache>
            </c:numRef>
          </c:xVal>
          <c:yVal>
            <c:numRef>
              <c:f>'91T_Seeds'!$AP$113</c:f>
              <c:numCache>
                <c:formatCode>0.00</c:formatCode>
                <c:ptCount val="1"/>
                <c:pt idx="0">
                  <c:v>85.332011892963337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B93-4A94-8818-0EE1F70C6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'01T_Seeds'!$T$14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'01T_Seeds'!$T$279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'01T_Seeds'!$T$282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'01T_Seeds'!$T$278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'01T_Seeds'!$T$281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84-4569-B67C-4C889AA97662}"/>
            </c:ext>
          </c:extLst>
        </c:ser>
        <c:ser>
          <c:idx val="9"/>
          <c:order val="1"/>
          <c:tx>
            <c:strRef>
              <c:f>'01T_Seeds'!$U$14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'01T_Seeds'!$U$279</c:f>
                <c:numCache>
                  <c:formatCode>General</c:formatCode>
                  <c:ptCount val="1"/>
                  <c:pt idx="0">
                    <c:v>0.94275446752617376</c:v>
                  </c:pt>
                </c:numCache>
              </c:numRef>
            </c:plus>
            <c:minus>
              <c:numRef>
                <c:f>'01T_Seeds'!$U$279</c:f>
                <c:numCache>
                  <c:formatCode>General</c:formatCode>
                  <c:ptCount val="1"/>
                  <c:pt idx="0">
                    <c:v>0.94275446752617376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'01T_Seeds'!$U$282</c:f>
                <c:numCache>
                  <c:formatCode>General</c:formatCode>
                  <c:ptCount val="1"/>
                  <c:pt idx="0">
                    <c:v>3.3883612295465801</c:v>
                  </c:pt>
                </c:numCache>
              </c:numRef>
            </c:plus>
            <c:minus>
              <c:numRef>
                <c:f>'01T_Seeds'!$U$282</c:f>
                <c:numCache>
                  <c:formatCode>General</c:formatCode>
                  <c:ptCount val="1"/>
                  <c:pt idx="0">
                    <c:v>3.3883612295465801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'01T_Seeds'!$U$278</c:f>
              <c:numCache>
                <c:formatCode>0.00</c:formatCode>
                <c:ptCount val="1"/>
                <c:pt idx="0">
                  <c:v>98.507000736367857</c:v>
                </c:pt>
              </c:numCache>
            </c:numRef>
          </c:xVal>
          <c:yVal>
            <c:numRef>
              <c:f>'01T_Seeds'!$U$281</c:f>
              <c:numCache>
                <c:formatCode>0.00</c:formatCode>
                <c:ptCount val="1"/>
                <c:pt idx="0">
                  <c:v>92.982456140350877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84-4569-B67C-4C889AA97662}"/>
            </c:ext>
          </c:extLst>
        </c:ser>
        <c:ser>
          <c:idx val="7"/>
          <c:order val="2"/>
          <c:tx>
            <c:strRef>
              <c:f>'01T_Seeds'!$V$14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'01T_Seeds'!$V$282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plus>
            <c:minus>
              <c:numRef>
                <c:f>'01T_Seeds'!$V$282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'01T_Seeds'!$V$282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plus>
            <c:minus>
              <c:numRef>
                <c:f>'01T_Seeds'!$V$282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'01T_Seeds'!$V$278</c:f>
              <c:numCache>
                <c:formatCode>0.00</c:formatCode>
                <c:ptCount val="1"/>
                <c:pt idx="0">
                  <c:v>99.090224406951975</c:v>
                </c:pt>
              </c:numCache>
            </c:numRef>
          </c:xVal>
          <c:yVal>
            <c:numRef>
              <c:f>'01T_Seeds'!$V$281</c:f>
              <c:numCache>
                <c:formatCode>0.00</c:formatCode>
                <c:ptCount val="1"/>
                <c:pt idx="0">
                  <c:v>99.864314789687924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84-4569-B67C-4C889AA97662}"/>
            </c:ext>
          </c:extLst>
        </c:ser>
        <c:ser>
          <c:idx val="0"/>
          <c:order val="3"/>
          <c:tx>
            <c:strRef>
              <c:f>'01T_Seeds'!$W$14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'01T_Seeds'!$W$279</c:f>
                <c:numCache>
                  <c:formatCode>General</c:formatCode>
                  <c:ptCount val="1"/>
                  <c:pt idx="0">
                    <c:v>0.24701539024972435</c:v>
                  </c:pt>
                </c:numCache>
              </c:numRef>
            </c:plus>
            <c:minus>
              <c:numRef>
                <c:f>'01T_Seeds'!$W$279</c:f>
                <c:numCache>
                  <c:formatCode>General</c:formatCode>
                  <c:ptCount val="1"/>
                  <c:pt idx="0">
                    <c:v>0.24701539024972435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'01T_Seeds'!$W$282</c:f>
                <c:numCache>
                  <c:formatCode>General</c:formatCode>
                  <c:ptCount val="1"/>
                  <c:pt idx="0">
                    <c:v>0.67123637223118737</c:v>
                  </c:pt>
                </c:numCache>
              </c:numRef>
            </c:plus>
            <c:minus>
              <c:numRef>
                <c:f>'01T_Seeds'!$W$282</c:f>
                <c:numCache>
                  <c:formatCode>General</c:formatCode>
                  <c:ptCount val="1"/>
                  <c:pt idx="0">
                    <c:v>0.67123637223118737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'01T_Seeds'!$W$278</c:f>
              <c:numCache>
                <c:formatCode>0.00</c:formatCode>
                <c:ptCount val="1"/>
                <c:pt idx="0">
                  <c:v>99.245503090984784</c:v>
                </c:pt>
              </c:numCache>
            </c:numRef>
          </c:xVal>
          <c:yVal>
            <c:numRef>
              <c:f>'01T_Seeds'!$W$281</c:f>
              <c:numCache>
                <c:formatCode>0.00</c:formatCode>
                <c:ptCount val="1"/>
                <c:pt idx="0">
                  <c:v>97.285223367697583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84-4569-B67C-4C889AA97662}"/>
            </c:ext>
          </c:extLst>
        </c:ser>
        <c:ser>
          <c:idx val="6"/>
          <c:order val="4"/>
          <c:tx>
            <c:strRef>
              <c:f>'01T_Seeds'!$X$14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'01T_Seeds'!$X$279</c:f>
                <c:numCache>
                  <c:formatCode>General</c:formatCode>
                  <c:ptCount val="1"/>
                  <c:pt idx="0">
                    <c:v>2.617581879728037</c:v>
                  </c:pt>
                </c:numCache>
              </c:numRef>
            </c:plus>
            <c:minus>
              <c:numRef>
                <c:f>'01T_Seeds'!$X$279</c:f>
                <c:numCache>
                  <c:formatCode>General</c:formatCode>
                  <c:ptCount val="1"/>
                  <c:pt idx="0">
                    <c:v>2.617581879728037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'01T_Seeds'!$X$282</c:f>
                <c:numCache>
                  <c:formatCode>General</c:formatCode>
                  <c:ptCount val="1"/>
                  <c:pt idx="0">
                    <c:v>0.77370304743561369</c:v>
                  </c:pt>
                </c:numCache>
              </c:numRef>
            </c:plus>
            <c:minus>
              <c:numRef>
                <c:f>'01T_Seeds'!$X$282</c:f>
                <c:numCache>
                  <c:formatCode>General</c:formatCode>
                  <c:ptCount val="1"/>
                  <c:pt idx="0">
                    <c:v>0.77370304743561369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'01T_Seeds'!$X$278</c:f>
              <c:numCache>
                <c:formatCode>0.00</c:formatCode>
                <c:ptCount val="1"/>
                <c:pt idx="0">
                  <c:v>90.836001307236288</c:v>
                </c:pt>
              </c:numCache>
            </c:numRef>
          </c:xVal>
          <c:yVal>
            <c:numRef>
              <c:f>'01T_Seeds'!$X$281</c:f>
              <c:numCache>
                <c:formatCode>0.00</c:formatCode>
                <c:ptCount val="1"/>
                <c:pt idx="0">
                  <c:v>93.538156590683855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84-4569-B67C-4C889AA97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'01T_Seeds'!$T$14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'01T_Seeds'!$T$222</c:f>
                <c:numCache>
                  <c:formatCode>General</c:formatCode>
                  <c:ptCount val="1"/>
                  <c:pt idx="0">
                    <c:v>5.4836517273998826</c:v>
                  </c:pt>
                </c:numCache>
              </c:numRef>
            </c:plus>
            <c:minus>
              <c:numRef>
                <c:f>'01T_Seeds'!$T$222</c:f>
                <c:numCache>
                  <c:formatCode>General</c:formatCode>
                  <c:ptCount val="1"/>
                  <c:pt idx="0">
                    <c:v>5.4836517273998826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'01T_Seeds'!$T$224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'01T_Seeds'!$T$221</c:f>
              <c:numCache>
                <c:formatCode>0.00</c:formatCode>
                <c:ptCount val="1"/>
                <c:pt idx="0">
                  <c:v>93.191443802857094</c:v>
                </c:pt>
              </c:numCache>
            </c:numRef>
          </c:xVal>
          <c:yVal>
            <c:numRef>
              <c:f>'01T_Seeds'!$T$223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20-45D5-8B34-0AE53993290C}"/>
            </c:ext>
          </c:extLst>
        </c:ser>
        <c:ser>
          <c:idx val="9"/>
          <c:order val="1"/>
          <c:tx>
            <c:strRef>
              <c:f>'01T_Seeds'!$U$14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'01T_Seeds'!$U$222</c:f>
                <c:numCache>
                  <c:formatCode>General</c:formatCode>
                  <c:ptCount val="1"/>
                  <c:pt idx="0">
                    <c:v>4.4538600058863986</c:v>
                  </c:pt>
                </c:numCache>
              </c:numRef>
            </c:plus>
            <c:minus>
              <c:numRef>
                <c:f>'01T_Seeds'!$U$222</c:f>
                <c:numCache>
                  <c:formatCode>General</c:formatCode>
                  <c:ptCount val="1"/>
                  <c:pt idx="0">
                    <c:v>4.4538600058863986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'01T_Seeds'!$U$224</c:f>
                <c:numCache>
                  <c:formatCode>General</c:formatCode>
                  <c:ptCount val="1"/>
                  <c:pt idx="0">
                    <c:v>3.5484650167348932</c:v>
                  </c:pt>
                </c:numCache>
              </c:numRef>
            </c:plus>
            <c:minus>
              <c:numRef>
                <c:f>'01T_Seeds'!$U$224</c:f>
                <c:numCache>
                  <c:formatCode>General</c:formatCode>
                  <c:ptCount val="1"/>
                  <c:pt idx="0">
                    <c:v>3.5484650167348932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'01T_Seeds'!$U$221</c:f>
              <c:numCache>
                <c:formatCode>0.00</c:formatCode>
                <c:ptCount val="1"/>
                <c:pt idx="0">
                  <c:v>93.826694214555374</c:v>
                </c:pt>
              </c:numCache>
            </c:numRef>
          </c:xVal>
          <c:yVal>
            <c:numRef>
              <c:f>'01T_Seeds'!$U$223</c:f>
              <c:numCache>
                <c:formatCode>0.00</c:formatCode>
                <c:ptCount val="1"/>
                <c:pt idx="0">
                  <c:v>92.280701754385987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20-45D5-8B34-0AE53993290C}"/>
            </c:ext>
          </c:extLst>
        </c:ser>
        <c:ser>
          <c:idx val="7"/>
          <c:order val="2"/>
          <c:tx>
            <c:strRef>
              <c:f>'01T_Seeds'!$V$14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'01T_Seeds'!$V$222</c:f>
                <c:numCache>
                  <c:formatCode>General</c:formatCode>
                  <c:ptCount val="1"/>
                  <c:pt idx="0">
                    <c:v>0.2089570246995624</c:v>
                  </c:pt>
                </c:numCache>
              </c:numRef>
            </c:plus>
            <c:minus>
              <c:numRef>
                <c:f>'01T_Seeds'!$V$222</c:f>
                <c:numCache>
                  <c:formatCode>General</c:formatCode>
                  <c:ptCount val="1"/>
                  <c:pt idx="0">
                    <c:v>0.2089570246995624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'01T_Seeds'!$V$224</c:f>
                <c:numCache>
                  <c:formatCode>General</c:formatCode>
                  <c:ptCount val="1"/>
                  <c:pt idx="0">
                    <c:v>0.14291901264934564</c:v>
                  </c:pt>
                </c:numCache>
              </c:numRef>
            </c:plus>
            <c:minus>
              <c:numRef>
                <c:f>'01T_Seeds'!$V$224</c:f>
                <c:numCache>
                  <c:formatCode>General</c:formatCode>
                  <c:ptCount val="1"/>
                  <c:pt idx="0">
                    <c:v>0.14291901264934564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'01T_Seeds'!$V$221</c:f>
              <c:numCache>
                <c:formatCode>0.00</c:formatCode>
                <c:ptCount val="1"/>
                <c:pt idx="0">
                  <c:v>99.139027239373092</c:v>
                </c:pt>
              </c:numCache>
            </c:numRef>
          </c:xVal>
          <c:yVal>
            <c:numRef>
              <c:f>'01T_Seeds'!$V$223</c:f>
              <c:numCache>
                <c:formatCode>0.00</c:formatCode>
                <c:ptCount val="1"/>
                <c:pt idx="0">
                  <c:v>99.837177747625503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20-45D5-8B34-0AE53993290C}"/>
            </c:ext>
          </c:extLst>
        </c:ser>
        <c:ser>
          <c:idx val="0"/>
          <c:order val="3"/>
          <c:tx>
            <c:strRef>
              <c:f>'01T_Seeds'!$W$14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'01T_Seeds'!$W$222</c:f>
                <c:numCache>
                  <c:formatCode>General</c:formatCode>
                  <c:ptCount val="1"/>
                  <c:pt idx="0">
                    <c:v>0.2637190943251273</c:v>
                  </c:pt>
                </c:numCache>
              </c:numRef>
            </c:plus>
            <c:minus>
              <c:numRef>
                <c:f>'01T_Seeds'!$W$222</c:f>
                <c:numCache>
                  <c:formatCode>General</c:formatCode>
                  <c:ptCount val="1"/>
                  <c:pt idx="0">
                    <c:v>0.2637190943251273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'01T_Seeds'!$W$224</c:f>
                <c:numCache>
                  <c:formatCode>General</c:formatCode>
                  <c:ptCount val="1"/>
                  <c:pt idx="0">
                    <c:v>0.67835976772566542</c:v>
                  </c:pt>
                </c:numCache>
              </c:numRef>
            </c:plus>
            <c:minus>
              <c:numRef>
                <c:f>'01T_Seeds'!$W$224</c:f>
                <c:numCache>
                  <c:formatCode>General</c:formatCode>
                  <c:ptCount val="1"/>
                  <c:pt idx="0">
                    <c:v>0.67835976772566542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'01T_Seeds'!$W$221</c:f>
              <c:numCache>
                <c:formatCode>0.00</c:formatCode>
                <c:ptCount val="1"/>
                <c:pt idx="0">
                  <c:v>99.22700106337463</c:v>
                </c:pt>
              </c:numCache>
            </c:numRef>
          </c:xVal>
          <c:yVal>
            <c:numRef>
              <c:f>'01T_Seeds'!$W$223</c:f>
              <c:numCache>
                <c:formatCode>0.00</c:formatCode>
                <c:ptCount val="1"/>
                <c:pt idx="0">
                  <c:v>97.233676975945031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B20-45D5-8B34-0AE53993290C}"/>
            </c:ext>
          </c:extLst>
        </c:ser>
        <c:ser>
          <c:idx val="6"/>
          <c:order val="4"/>
          <c:tx>
            <c:strRef>
              <c:f>'01T_Seeds'!$X$14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'01T_Seeds'!$X$222</c:f>
                <c:numCache>
                  <c:formatCode>General</c:formatCode>
                  <c:ptCount val="1"/>
                  <c:pt idx="0">
                    <c:v>2.5976816308412545</c:v>
                  </c:pt>
                </c:numCache>
              </c:numRef>
            </c:plus>
            <c:minus>
              <c:numRef>
                <c:f>'01T_Seeds'!$X$222</c:f>
                <c:numCache>
                  <c:formatCode>General</c:formatCode>
                  <c:ptCount val="1"/>
                  <c:pt idx="0">
                    <c:v>2.5976816308412545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'01T_Seeds'!$X$224</c:f>
                <c:numCache>
                  <c:formatCode>General</c:formatCode>
                  <c:ptCount val="1"/>
                  <c:pt idx="0">
                    <c:v>0.76056279188130838</c:v>
                  </c:pt>
                </c:numCache>
              </c:numRef>
            </c:plus>
            <c:minus>
              <c:numRef>
                <c:f>'01T_Seeds'!$X$224</c:f>
                <c:numCache>
                  <c:formatCode>General</c:formatCode>
                  <c:ptCount val="1"/>
                  <c:pt idx="0">
                    <c:v>0.76056279188130838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'01T_Seeds'!$X$221</c:f>
              <c:numCache>
                <c:formatCode>0.00</c:formatCode>
                <c:ptCount val="1"/>
                <c:pt idx="0">
                  <c:v>90.871941604009081</c:v>
                </c:pt>
              </c:numCache>
            </c:numRef>
          </c:xVal>
          <c:yVal>
            <c:numRef>
              <c:f>'01T_Seeds'!$X$223</c:f>
              <c:numCache>
                <c:formatCode>0.00</c:formatCode>
                <c:ptCount val="1"/>
                <c:pt idx="0">
                  <c:v>93.761149653121919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20-45D5-8B34-0AE539932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'01T_Seeds'!$T$14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'01T_Seeds'!$AL$112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'01T_Seeds'!$AL$114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'01T_Seeds'!$AL$111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'01T_Seeds'!$AL$113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0-499C-AAAD-14B7EEDDC052}"/>
            </c:ext>
          </c:extLst>
        </c:ser>
        <c:ser>
          <c:idx val="9"/>
          <c:order val="1"/>
          <c:tx>
            <c:strRef>
              <c:f>'01T_Seeds'!$U$14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'01T_Seeds'!$U$222</c:f>
                <c:numCache>
                  <c:formatCode>General</c:formatCode>
                  <c:ptCount val="1"/>
                  <c:pt idx="0">
                    <c:v>4.4538600058863986</c:v>
                  </c:pt>
                </c:numCache>
              </c:numRef>
            </c:plus>
            <c:minus>
              <c:numRef>
                <c:f>'01T_Seeds'!$U$222</c:f>
                <c:numCache>
                  <c:formatCode>General</c:formatCode>
                  <c:ptCount val="1"/>
                  <c:pt idx="0">
                    <c:v>4.4538600058863986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'01T_Seeds'!$U$224</c:f>
                <c:numCache>
                  <c:formatCode>General</c:formatCode>
                  <c:ptCount val="1"/>
                  <c:pt idx="0">
                    <c:v>3.5484650167348932</c:v>
                  </c:pt>
                </c:numCache>
              </c:numRef>
            </c:plus>
            <c:minus>
              <c:numRef>
                <c:f>'01T_Seeds'!$U$224</c:f>
                <c:numCache>
                  <c:formatCode>General</c:formatCode>
                  <c:ptCount val="1"/>
                  <c:pt idx="0">
                    <c:v>3.5484650167348932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'01T_Seeds'!$AM$111</c:f>
              <c:numCache>
                <c:formatCode>0.00</c:formatCode>
                <c:ptCount val="1"/>
                <c:pt idx="0">
                  <c:v>98.79866685319314</c:v>
                </c:pt>
              </c:numCache>
            </c:numRef>
          </c:xVal>
          <c:yVal>
            <c:numRef>
              <c:f>'01T_Seeds'!$AM$113</c:f>
              <c:numCache>
                <c:formatCode>0.00</c:formatCode>
                <c:ptCount val="1"/>
                <c:pt idx="0">
                  <c:v>92.982456140350877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F0-499C-AAAD-14B7EEDDC052}"/>
            </c:ext>
          </c:extLst>
        </c:ser>
        <c:ser>
          <c:idx val="7"/>
          <c:order val="2"/>
          <c:tx>
            <c:strRef>
              <c:f>'01T_Seeds'!$V$14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'01T_Seeds'!$AN$112</c:f>
                <c:numCache>
                  <c:formatCode>General</c:formatCode>
                  <c:ptCount val="1"/>
                  <c:pt idx="0">
                    <c:v>0.18810922406212408</c:v>
                  </c:pt>
                </c:numCache>
              </c:numRef>
            </c:plus>
            <c:minus>
              <c:numRef>
                <c:f>'01T_Seeds'!$AN$112</c:f>
                <c:numCache>
                  <c:formatCode>General</c:formatCode>
                  <c:ptCount val="1"/>
                  <c:pt idx="0">
                    <c:v>0.18810922406212408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'01T_Seeds'!$AN$114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plus>
            <c:minus>
              <c:numRef>
                <c:f>'01T_Seeds'!$AN$114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'01T_Seeds'!$AN$111</c:f>
              <c:numCache>
                <c:formatCode>0.00</c:formatCode>
                <c:ptCount val="1"/>
                <c:pt idx="0">
                  <c:v>99.241698575565096</c:v>
                </c:pt>
              </c:numCache>
            </c:numRef>
          </c:xVal>
          <c:yVal>
            <c:numRef>
              <c:f>'01T_Seeds'!$AN$113</c:f>
              <c:numCache>
                <c:formatCode>0.00</c:formatCode>
                <c:ptCount val="1"/>
                <c:pt idx="0">
                  <c:v>99.864314789687924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F0-499C-AAAD-14B7EEDDC052}"/>
            </c:ext>
          </c:extLst>
        </c:ser>
        <c:ser>
          <c:idx val="0"/>
          <c:order val="3"/>
          <c:tx>
            <c:strRef>
              <c:f>'01T_Seeds'!$W$14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'01T_Seeds'!$AO$112</c:f>
                <c:numCache>
                  <c:formatCode>General</c:formatCode>
                  <c:ptCount val="1"/>
                  <c:pt idx="0">
                    <c:v>0.2842764990664271</c:v>
                  </c:pt>
                </c:numCache>
              </c:numRef>
            </c:plus>
            <c:minus>
              <c:numRef>
                <c:f>'01T_Seeds'!$AO$112</c:f>
                <c:numCache>
                  <c:formatCode>General</c:formatCode>
                  <c:ptCount val="1"/>
                  <c:pt idx="0">
                    <c:v>0.2842764990664271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'01T_Seeds'!$AO$114</c:f>
                <c:numCache>
                  <c:formatCode>General</c:formatCode>
                  <c:ptCount val="1"/>
                  <c:pt idx="0">
                    <c:v>0.65739456332296642</c:v>
                  </c:pt>
                </c:numCache>
              </c:numRef>
            </c:plus>
            <c:minus>
              <c:numRef>
                <c:f>'01T_Seeds'!$AO$114</c:f>
                <c:numCache>
                  <c:formatCode>General</c:formatCode>
                  <c:ptCount val="1"/>
                  <c:pt idx="0">
                    <c:v>0.65739456332296642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'01T_Seeds'!$AO$111</c:f>
              <c:numCache>
                <c:formatCode>0.00</c:formatCode>
                <c:ptCount val="1"/>
                <c:pt idx="0">
                  <c:v>99.221205550886538</c:v>
                </c:pt>
              </c:numCache>
            </c:numRef>
          </c:xVal>
          <c:yVal>
            <c:numRef>
              <c:f>'01T_Seeds'!$AO$113</c:f>
              <c:numCache>
                <c:formatCode>0.00</c:formatCode>
                <c:ptCount val="1"/>
                <c:pt idx="0">
                  <c:v>97.422680412371136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F0-499C-AAAD-14B7EEDDC052}"/>
            </c:ext>
          </c:extLst>
        </c:ser>
        <c:ser>
          <c:idx val="6"/>
          <c:order val="4"/>
          <c:tx>
            <c:strRef>
              <c:f>'01T_Seeds'!$X$14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'01T_Seeds'!$AP$112</c:f>
                <c:numCache>
                  <c:formatCode>General</c:formatCode>
                  <c:ptCount val="1"/>
                  <c:pt idx="0">
                    <c:v>2.6995655729967534</c:v>
                  </c:pt>
                </c:numCache>
              </c:numRef>
            </c:plus>
            <c:minus>
              <c:numRef>
                <c:f>'01T_Seeds'!$AP$112</c:f>
                <c:numCache>
                  <c:formatCode>General</c:formatCode>
                  <c:ptCount val="1"/>
                  <c:pt idx="0">
                    <c:v>2.6995655729967534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'01T_Seeds'!$AP$114</c:f>
                <c:numCache>
                  <c:formatCode>General</c:formatCode>
                  <c:ptCount val="1"/>
                  <c:pt idx="0">
                    <c:v>0.76206920214220453</c:v>
                  </c:pt>
                </c:numCache>
              </c:numRef>
            </c:plus>
            <c:minus>
              <c:numRef>
                <c:f>'01T_Seeds'!$AP$114</c:f>
                <c:numCache>
                  <c:formatCode>General</c:formatCode>
                  <c:ptCount val="1"/>
                  <c:pt idx="0">
                    <c:v>0.76206920214220453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'01T_Seeds'!$AP$111</c:f>
              <c:numCache>
                <c:formatCode>0.00</c:formatCode>
                <c:ptCount val="1"/>
                <c:pt idx="0">
                  <c:v>90.354643132775649</c:v>
                </c:pt>
              </c:numCache>
            </c:numRef>
          </c:xVal>
          <c:yVal>
            <c:numRef>
              <c:f>'01T_Seeds'!$AP$113</c:f>
              <c:numCache>
                <c:formatCode>0.00</c:formatCode>
                <c:ptCount val="1"/>
                <c:pt idx="0">
                  <c:v>93.756194251734399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F0-499C-AAAD-14B7EEDDC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'07E_Seeds'!$T$14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'07E_Seeds'!$T$279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'07E_Seeds'!$T$282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'07E_Seeds'!$T$278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'07E_Seeds'!$T$281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19-4677-88C8-1EFAE042F6A9}"/>
            </c:ext>
          </c:extLst>
        </c:ser>
        <c:ser>
          <c:idx val="9"/>
          <c:order val="1"/>
          <c:tx>
            <c:strRef>
              <c:f>'07E_Seeds'!$U$14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'07E_Seeds'!$U$279</c:f>
                <c:numCache>
                  <c:formatCode>General</c:formatCode>
                  <c:ptCount val="1"/>
                  <c:pt idx="0">
                    <c:v>3.6528276344381028</c:v>
                  </c:pt>
                </c:numCache>
              </c:numRef>
            </c:plus>
            <c:minus>
              <c:numRef>
                <c:f>'07E_Seeds'!$U$279</c:f>
                <c:numCache>
                  <c:formatCode>General</c:formatCode>
                  <c:ptCount val="1"/>
                  <c:pt idx="0">
                    <c:v>3.6528276344381028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'07E_Seeds'!$U$282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'07E_Seeds'!$U$282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'07E_Seeds'!$U$278</c:f>
              <c:numCache>
                <c:formatCode>0.00</c:formatCode>
                <c:ptCount val="1"/>
                <c:pt idx="0">
                  <c:v>95.388468379938473</c:v>
                </c:pt>
              </c:numCache>
            </c:numRef>
          </c:xVal>
          <c:yVal>
            <c:numRef>
              <c:f>'07E_Seeds'!$U$281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19-4677-88C8-1EFAE042F6A9}"/>
            </c:ext>
          </c:extLst>
        </c:ser>
        <c:ser>
          <c:idx val="7"/>
          <c:order val="2"/>
          <c:tx>
            <c:strRef>
              <c:f>'07E_Seeds'!$V$14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'07E_Seeds'!$V$282</c:f>
                <c:numCache>
                  <c:formatCode>General</c:formatCode>
                  <c:ptCount val="1"/>
                  <c:pt idx="0">
                    <c:v>0.28857506492089147</c:v>
                  </c:pt>
                </c:numCache>
              </c:numRef>
            </c:plus>
            <c:minus>
              <c:numRef>
                <c:f>'07E_Seeds'!$V$282</c:f>
                <c:numCache>
                  <c:formatCode>General</c:formatCode>
                  <c:ptCount val="1"/>
                  <c:pt idx="0">
                    <c:v>0.28857506492089147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'07E_Seeds'!$V$282</c:f>
                <c:numCache>
                  <c:formatCode>General</c:formatCode>
                  <c:ptCount val="1"/>
                  <c:pt idx="0">
                    <c:v>0.28857506492089147</c:v>
                  </c:pt>
                </c:numCache>
              </c:numRef>
            </c:plus>
            <c:minus>
              <c:numRef>
                <c:f>'07E_Seeds'!$V$282</c:f>
                <c:numCache>
                  <c:formatCode>General</c:formatCode>
                  <c:ptCount val="1"/>
                  <c:pt idx="0">
                    <c:v>0.28857506492089147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'07E_Seeds'!$V$278</c:f>
              <c:numCache>
                <c:formatCode>0.00</c:formatCode>
                <c:ptCount val="1"/>
                <c:pt idx="0">
                  <c:v>97.619618589438261</c:v>
                </c:pt>
              </c:numCache>
            </c:numRef>
          </c:xVal>
          <c:yVal>
            <c:numRef>
              <c:f>'07E_Seeds'!$V$281</c:f>
              <c:numCache>
                <c:formatCode>0.00</c:formatCode>
                <c:ptCount val="1"/>
                <c:pt idx="0">
                  <c:v>99.387186629526454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19-4677-88C8-1EFAE042F6A9}"/>
            </c:ext>
          </c:extLst>
        </c:ser>
        <c:ser>
          <c:idx val="0"/>
          <c:order val="3"/>
          <c:tx>
            <c:strRef>
              <c:f>'07E_Seeds'!$W$14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'07E_Seeds'!$W$279</c:f>
                <c:numCache>
                  <c:formatCode>General</c:formatCode>
                  <c:ptCount val="1"/>
                  <c:pt idx="0">
                    <c:v>0.56071877505244083</c:v>
                  </c:pt>
                </c:numCache>
              </c:numRef>
            </c:plus>
            <c:minus>
              <c:numRef>
                <c:f>'07E_Seeds'!$W$279</c:f>
                <c:numCache>
                  <c:formatCode>General</c:formatCode>
                  <c:ptCount val="1"/>
                  <c:pt idx="0">
                    <c:v>0.56071877505244083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'07E_Seeds'!$W$282</c:f>
                <c:numCache>
                  <c:formatCode>General</c:formatCode>
                  <c:ptCount val="1"/>
                  <c:pt idx="0">
                    <c:v>0.98931403090296155</c:v>
                  </c:pt>
                </c:numCache>
              </c:numRef>
            </c:plus>
            <c:minus>
              <c:numRef>
                <c:f>'07E_Seeds'!$W$282</c:f>
                <c:numCache>
                  <c:formatCode>General</c:formatCode>
                  <c:ptCount val="1"/>
                  <c:pt idx="0">
                    <c:v>0.98931403090296155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'07E_Seeds'!$W$278</c:f>
              <c:numCache>
                <c:formatCode>0.00</c:formatCode>
                <c:ptCount val="1"/>
                <c:pt idx="0">
                  <c:v>98.417469875926514</c:v>
                </c:pt>
              </c:numCache>
            </c:numRef>
          </c:xVal>
          <c:yVal>
            <c:numRef>
              <c:f>'07E_Seeds'!$W$281</c:f>
              <c:numCache>
                <c:formatCode>0.00</c:formatCode>
                <c:ptCount val="1"/>
                <c:pt idx="0">
                  <c:v>95.910224438902745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19-4677-88C8-1EFAE042F6A9}"/>
            </c:ext>
          </c:extLst>
        </c:ser>
        <c:ser>
          <c:idx val="6"/>
          <c:order val="4"/>
          <c:tx>
            <c:strRef>
              <c:f>'07E_Seeds'!$X$14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'07E_Seeds'!$X$279</c:f>
                <c:numCache>
                  <c:formatCode>General</c:formatCode>
                  <c:ptCount val="1"/>
                  <c:pt idx="0">
                    <c:v>5.5591555816333305</c:v>
                  </c:pt>
                </c:numCache>
              </c:numRef>
            </c:plus>
            <c:minus>
              <c:numRef>
                <c:f>'07E_Seeds'!$X$279</c:f>
                <c:numCache>
                  <c:formatCode>General</c:formatCode>
                  <c:ptCount val="1"/>
                  <c:pt idx="0">
                    <c:v>5.5591555816333305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'07E_Seeds'!$X$282</c:f>
                <c:numCache>
                  <c:formatCode>General</c:formatCode>
                  <c:ptCount val="1"/>
                  <c:pt idx="0">
                    <c:v>1.4798876204394349</c:v>
                  </c:pt>
                </c:numCache>
              </c:numRef>
            </c:plus>
            <c:minus>
              <c:numRef>
                <c:f>'07E_Seeds'!$X$282</c:f>
                <c:numCache>
                  <c:formatCode>General</c:formatCode>
                  <c:ptCount val="1"/>
                  <c:pt idx="0">
                    <c:v>1.4798876204394349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'07E_Seeds'!$X$278</c:f>
              <c:numCache>
                <c:formatCode>0.00</c:formatCode>
                <c:ptCount val="1"/>
                <c:pt idx="0">
                  <c:v>84.293764523909886</c:v>
                </c:pt>
              </c:numCache>
            </c:numRef>
          </c:xVal>
          <c:yVal>
            <c:numRef>
              <c:f>'07E_Seeds'!$X$281</c:f>
              <c:numCache>
                <c:formatCode>0.00</c:formatCode>
                <c:ptCount val="1"/>
                <c:pt idx="0">
                  <c:v>77.584905660377359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19-4677-88C8-1EFAE042F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2007E</a:t>
            </a:r>
            <a:r>
              <a:rPr lang="en-US" sz="2000" baseline="0"/>
              <a:t>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'07E_Seeds'!$T$14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'07E_Seeds'!$T$222</c:f>
                <c:numCache>
                  <c:formatCode>General</c:formatCode>
                  <c:ptCount val="1"/>
                  <c:pt idx="0">
                    <c:v>1.7013731457819727</c:v>
                  </c:pt>
                </c:numCache>
              </c:numRef>
            </c:plus>
            <c:minus>
              <c:numRef>
                <c:f>'07E_Seeds'!$T$222</c:f>
                <c:numCache>
                  <c:formatCode>General</c:formatCode>
                  <c:ptCount val="1"/>
                  <c:pt idx="0">
                    <c:v>1.7013731457819727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'07E_Seeds'!$T$224</c:f>
                <c:numCache>
                  <c:formatCode>General</c:formatCode>
                  <c:ptCount val="1"/>
                  <c:pt idx="0">
                    <c:v>0.2205963001345288</c:v>
                  </c:pt>
                </c:numCache>
              </c:numRef>
            </c:plus>
            <c:minus>
              <c:numRef>
                <c:f>'07E_Seeds'!$T$224</c:f>
                <c:numCache>
                  <c:formatCode>General</c:formatCode>
                  <c:ptCount val="1"/>
                  <c:pt idx="0">
                    <c:v>0.2205963001345288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'07E_Seeds'!$T$221</c:f>
              <c:numCache>
                <c:formatCode>0.00</c:formatCode>
                <c:ptCount val="1"/>
                <c:pt idx="0">
                  <c:v>99.119499807698688</c:v>
                </c:pt>
              </c:numCache>
            </c:numRef>
          </c:xVal>
          <c:yVal>
            <c:numRef>
              <c:f>'07E_Seeds'!$T$223</c:f>
              <c:numCache>
                <c:formatCode>0.00</c:formatCode>
                <c:ptCount val="1"/>
                <c:pt idx="0">
                  <c:v>98.938953488372093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58-444F-ACED-947AC6A31663}"/>
            </c:ext>
          </c:extLst>
        </c:ser>
        <c:ser>
          <c:idx val="9"/>
          <c:order val="1"/>
          <c:tx>
            <c:strRef>
              <c:f>'07E_Seeds'!$U$14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'07E_Seeds'!$U$222</c:f>
                <c:numCache>
                  <c:formatCode>General</c:formatCode>
                  <c:ptCount val="1"/>
                  <c:pt idx="0">
                    <c:v>1.5785550027700972</c:v>
                  </c:pt>
                </c:numCache>
              </c:numRef>
            </c:plus>
            <c:minus>
              <c:numRef>
                <c:f>'07E_Seeds'!$U$222</c:f>
                <c:numCache>
                  <c:formatCode>General</c:formatCode>
                  <c:ptCount val="1"/>
                  <c:pt idx="0">
                    <c:v>1.5785550027700972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'07E_Seeds'!$U$224</c:f>
                <c:numCache>
                  <c:formatCode>General</c:formatCode>
                  <c:ptCount val="1"/>
                  <c:pt idx="0">
                    <c:v>0.38487479672896863</c:v>
                  </c:pt>
                </c:numCache>
              </c:numRef>
            </c:plus>
            <c:minus>
              <c:numRef>
                <c:f>'07E_Seeds'!$U$224</c:f>
                <c:numCache>
                  <c:formatCode>General</c:formatCode>
                  <c:ptCount val="1"/>
                  <c:pt idx="0">
                    <c:v>0.38487479672896863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'07E_Seeds'!$U$221</c:f>
              <c:numCache>
                <c:formatCode>0.00</c:formatCode>
                <c:ptCount val="1"/>
                <c:pt idx="0">
                  <c:v>97.816064187066928</c:v>
                </c:pt>
              </c:numCache>
            </c:numRef>
          </c:xVal>
          <c:yVal>
            <c:numRef>
              <c:f>'07E_Seeds'!$U$223</c:f>
              <c:numCache>
                <c:formatCode>0.00</c:formatCode>
                <c:ptCount val="1"/>
                <c:pt idx="0">
                  <c:v>99.479166666666671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58-444F-ACED-947AC6A31663}"/>
            </c:ext>
          </c:extLst>
        </c:ser>
        <c:ser>
          <c:idx val="7"/>
          <c:order val="2"/>
          <c:tx>
            <c:strRef>
              <c:f>'07E_Seeds'!$V$14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'07E_Seeds'!$V$222</c:f>
                <c:numCache>
                  <c:formatCode>General</c:formatCode>
                  <c:ptCount val="1"/>
                  <c:pt idx="0">
                    <c:v>0.40630962166341095</c:v>
                  </c:pt>
                </c:numCache>
              </c:numRef>
            </c:plus>
            <c:minus>
              <c:numRef>
                <c:f>'07E_Seeds'!$V$222</c:f>
                <c:numCache>
                  <c:formatCode>General</c:formatCode>
                  <c:ptCount val="1"/>
                  <c:pt idx="0">
                    <c:v>0.40630962166341095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'07E_Seeds'!$V$224</c:f>
                <c:numCache>
                  <c:formatCode>General</c:formatCode>
                  <c:ptCount val="1"/>
                  <c:pt idx="0">
                    <c:v>0.31018552202215355</c:v>
                  </c:pt>
                </c:numCache>
              </c:numRef>
            </c:plus>
            <c:minus>
              <c:numRef>
                <c:f>'07E_Seeds'!$V$224</c:f>
                <c:numCache>
                  <c:formatCode>General</c:formatCode>
                  <c:ptCount val="1"/>
                  <c:pt idx="0">
                    <c:v>0.31018552202215355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'07E_Seeds'!$V$221</c:f>
              <c:numCache>
                <c:formatCode>0.00</c:formatCode>
                <c:ptCount val="1"/>
                <c:pt idx="0">
                  <c:v>97.587213919068617</c:v>
                </c:pt>
              </c:numCache>
            </c:numRef>
          </c:xVal>
          <c:yVal>
            <c:numRef>
              <c:f>'07E_Seeds'!$V$223</c:f>
              <c:numCache>
                <c:formatCode>0.00</c:formatCode>
                <c:ptCount val="1"/>
                <c:pt idx="0">
                  <c:v>99.296657381615574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58-444F-ACED-947AC6A31663}"/>
            </c:ext>
          </c:extLst>
        </c:ser>
        <c:ser>
          <c:idx val="0"/>
          <c:order val="3"/>
          <c:tx>
            <c:strRef>
              <c:f>'07E_Seeds'!$W$14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'07E_Seeds'!$W$222</c:f>
                <c:numCache>
                  <c:formatCode>General</c:formatCode>
                  <c:ptCount val="1"/>
                  <c:pt idx="0">
                    <c:v>0.59905732451010629</c:v>
                  </c:pt>
                </c:numCache>
              </c:numRef>
            </c:plus>
            <c:minus>
              <c:numRef>
                <c:f>'07E_Seeds'!$W$222</c:f>
                <c:numCache>
                  <c:formatCode>General</c:formatCode>
                  <c:ptCount val="1"/>
                  <c:pt idx="0">
                    <c:v>0.59905732451010629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'07E_Seeds'!$W$224</c:f>
                <c:numCache>
                  <c:formatCode>General</c:formatCode>
                  <c:ptCount val="1"/>
                  <c:pt idx="0">
                    <c:v>0.98788394655700207</c:v>
                  </c:pt>
                </c:numCache>
              </c:numRef>
            </c:plus>
            <c:minus>
              <c:numRef>
                <c:f>'07E_Seeds'!$W$224</c:f>
                <c:numCache>
                  <c:formatCode>General</c:formatCode>
                  <c:ptCount val="1"/>
                  <c:pt idx="0">
                    <c:v>0.98788394655700207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'07E_Seeds'!$W$221</c:f>
              <c:numCache>
                <c:formatCode>0.00</c:formatCode>
                <c:ptCount val="1"/>
                <c:pt idx="0">
                  <c:v>98.261356405011142</c:v>
                </c:pt>
              </c:numCache>
            </c:numRef>
          </c:xVal>
          <c:yVal>
            <c:numRef>
              <c:f>'07E_Seeds'!$W$223</c:f>
              <c:numCache>
                <c:formatCode>0.00</c:formatCode>
                <c:ptCount val="1"/>
                <c:pt idx="0">
                  <c:v>95.897755610972567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58-444F-ACED-947AC6A31663}"/>
            </c:ext>
          </c:extLst>
        </c:ser>
        <c:ser>
          <c:idx val="6"/>
          <c:order val="4"/>
          <c:tx>
            <c:strRef>
              <c:f>'07E_Seeds'!$X$14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'07E_Seeds'!$X$222</c:f>
                <c:numCache>
                  <c:formatCode>General</c:formatCode>
                  <c:ptCount val="1"/>
                  <c:pt idx="0">
                    <c:v>5.4059606431395686</c:v>
                  </c:pt>
                </c:numCache>
              </c:numRef>
            </c:plus>
            <c:minus>
              <c:numRef>
                <c:f>'07E_Seeds'!$X$222</c:f>
                <c:numCache>
                  <c:formatCode>General</c:formatCode>
                  <c:ptCount val="1"/>
                  <c:pt idx="0">
                    <c:v>5.4059606431395686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'07E_Seeds'!$X$224</c:f>
                <c:numCache>
                  <c:formatCode>General</c:formatCode>
                  <c:ptCount val="1"/>
                  <c:pt idx="0">
                    <c:v>1.4684949002174135</c:v>
                  </c:pt>
                </c:numCache>
              </c:numRef>
            </c:plus>
            <c:minus>
              <c:numRef>
                <c:f>'07E_Seeds'!$X$224</c:f>
                <c:numCache>
                  <c:formatCode>General</c:formatCode>
                  <c:ptCount val="1"/>
                  <c:pt idx="0">
                    <c:v>1.4684949002174135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'07E_Seeds'!$X$221</c:f>
              <c:numCache>
                <c:formatCode>0.00</c:formatCode>
                <c:ptCount val="1"/>
                <c:pt idx="0">
                  <c:v>84.471013125687421</c:v>
                </c:pt>
              </c:numCache>
            </c:numRef>
          </c:xVal>
          <c:yVal>
            <c:numRef>
              <c:f>'07E_Seeds'!$X$223</c:f>
              <c:numCache>
                <c:formatCode>0.00</c:formatCode>
                <c:ptCount val="1"/>
                <c:pt idx="0">
                  <c:v>78.050314465408789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58-444F-ACED-947AC6A31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2007E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'07E_Seeds'!$T$14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'07E_Seeds'!$AL$112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'07E_Seeds'!$AL$114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'07E_Seeds'!$AL$111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'07E_Seeds'!$AL$113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56-4474-B844-D1D7E30A0D9E}"/>
            </c:ext>
          </c:extLst>
        </c:ser>
        <c:ser>
          <c:idx val="9"/>
          <c:order val="1"/>
          <c:tx>
            <c:strRef>
              <c:f>'07E_Seeds'!$U$14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'07E_Seeds'!$U$222</c:f>
                <c:numCache>
                  <c:formatCode>General</c:formatCode>
                  <c:ptCount val="1"/>
                  <c:pt idx="0">
                    <c:v>1.5785550027700972</c:v>
                  </c:pt>
                </c:numCache>
              </c:numRef>
            </c:plus>
            <c:minus>
              <c:numRef>
                <c:f>'07E_Seeds'!$U$222</c:f>
                <c:numCache>
                  <c:formatCode>General</c:formatCode>
                  <c:ptCount val="1"/>
                  <c:pt idx="0">
                    <c:v>1.5785550027700972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'07E_Seeds'!$U$224</c:f>
                <c:numCache>
                  <c:formatCode>General</c:formatCode>
                  <c:ptCount val="1"/>
                  <c:pt idx="0">
                    <c:v>0.38487479672896863</c:v>
                  </c:pt>
                </c:numCache>
              </c:numRef>
            </c:plus>
            <c:minus>
              <c:numRef>
                <c:f>'07E_Seeds'!$U$224</c:f>
                <c:numCache>
                  <c:formatCode>General</c:formatCode>
                  <c:ptCount val="1"/>
                  <c:pt idx="0">
                    <c:v>0.38487479672896863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'07E_Seeds'!$AM$111</c:f>
              <c:numCache>
                <c:formatCode>0.00</c:formatCode>
                <c:ptCount val="1"/>
                <c:pt idx="0">
                  <c:v>98.678872714950131</c:v>
                </c:pt>
              </c:numCache>
            </c:numRef>
          </c:xVal>
          <c:yVal>
            <c:numRef>
              <c:f>'07E_Seeds'!$AM$113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56-4474-B844-D1D7E30A0D9E}"/>
            </c:ext>
          </c:extLst>
        </c:ser>
        <c:ser>
          <c:idx val="7"/>
          <c:order val="2"/>
          <c:tx>
            <c:strRef>
              <c:f>'07E_Seeds'!$V$14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'07E_Seeds'!$AN$112</c:f>
                <c:numCache>
                  <c:formatCode>General</c:formatCode>
                  <c:ptCount val="1"/>
                  <c:pt idx="0">
                    <c:v>0.39845690455752458</c:v>
                  </c:pt>
                </c:numCache>
              </c:numRef>
            </c:plus>
            <c:minus>
              <c:numRef>
                <c:f>'07E_Seeds'!$AN$112</c:f>
                <c:numCache>
                  <c:formatCode>General</c:formatCode>
                  <c:ptCount val="1"/>
                  <c:pt idx="0">
                    <c:v>0.39845690455752458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'07E_Seeds'!$AN$114</c:f>
                <c:numCache>
                  <c:formatCode>General</c:formatCode>
                  <c:ptCount val="1"/>
                  <c:pt idx="0">
                    <c:v>0.31056016230667621</c:v>
                  </c:pt>
                </c:numCache>
              </c:numRef>
            </c:plus>
            <c:minus>
              <c:numRef>
                <c:f>'07E_Seeds'!$AN$114</c:f>
                <c:numCache>
                  <c:formatCode>General</c:formatCode>
                  <c:ptCount val="1"/>
                  <c:pt idx="0">
                    <c:v>0.31056016230667621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'07E_Seeds'!$AN$111</c:f>
              <c:numCache>
                <c:formatCode>0.00</c:formatCode>
                <c:ptCount val="1"/>
                <c:pt idx="0">
                  <c:v>97.652499104338204</c:v>
                </c:pt>
              </c:numCache>
            </c:numRef>
          </c:xVal>
          <c:yVal>
            <c:numRef>
              <c:f>'07E_Seeds'!$AN$113</c:f>
              <c:numCache>
                <c:formatCode>0.00</c:formatCode>
                <c:ptCount val="1"/>
                <c:pt idx="0">
                  <c:v>99.30362116991644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56-4474-B844-D1D7E30A0D9E}"/>
            </c:ext>
          </c:extLst>
        </c:ser>
        <c:ser>
          <c:idx val="0"/>
          <c:order val="3"/>
          <c:tx>
            <c:strRef>
              <c:f>'07E_Seeds'!$W$14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'07E_Seeds'!$AO$112</c:f>
                <c:numCache>
                  <c:formatCode>General</c:formatCode>
                  <c:ptCount val="1"/>
                  <c:pt idx="0">
                    <c:v>0.60295328303488727</c:v>
                  </c:pt>
                </c:numCache>
              </c:numRef>
            </c:plus>
            <c:minus>
              <c:numRef>
                <c:f>'07E_Seeds'!$AO$112</c:f>
                <c:numCache>
                  <c:formatCode>General</c:formatCode>
                  <c:ptCount val="1"/>
                  <c:pt idx="0">
                    <c:v>0.60295328303488727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'07E_Seeds'!$AO$114</c:f>
                <c:numCache>
                  <c:formatCode>General</c:formatCode>
                  <c:ptCount val="1"/>
                  <c:pt idx="0">
                    <c:v>0.91779382641286622</c:v>
                  </c:pt>
                </c:numCache>
              </c:numRef>
            </c:plus>
            <c:minus>
              <c:numRef>
                <c:f>'07E_Seeds'!$AO$114</c:f>
                <c:numCache>
                  <c:formatCode>General</c:formatCode>
                  <c:ptCount val="1"/>
                  <c:pt idx="0">
                    <c:v>0.91779382641286622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'07E_Seeds'!$AO$111</c:f>
              <c:numCache>
                <c:formatCode>0.00</c:formatCode>
                <c:ptCount val="1"/>
                <c:pt idx="0">
                  <c:v>98.33232169578622</c:v>
                </c:pt>
              </c:numCache>
            </c:numRef>
          </c:xVal>
          <c:yVal>
            <c:numRef>
              <c:f>'07E_Seeds'!$AO$113</c:f>
              <c:numCache>
                <c:formatCode>0.00</c:formatCode>
                <c:ptCount val="1"/>
                <c:pt idx="0">
                  <c:v>96.508728179551113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56-4474-B844-D1D7E30A0D9E}"/>
            </c:ext>
          </c:extLst>
        </c:ser>
        <c:ser>
          <c:idx val="6"/>
          <c:order val="4"/>
          <c:tx>
            <c:strRef>
              <c:f>'07E_Seeds'!$X$14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'07E_Seeds'!$AP$112</c:f>
                <c:numCache>
                  <c:formatCode>General</c:formatCode>
                  <c:ptCount val="1"/>
                  <c:pt idx="0">
                    <c:v>5.0351383233538822</c:v>
                  </c:pt>
                </c:numCache>
              </c:numRef>
            </c:plus>
            <c:minus>
              <c:numRef>
                <c:f>'07E_Seeds'!$AP$112</c:f>
                <c:numCache>
                  <c:formatCode>General</c:formatCode>
                  <c:ptCount val="1"/>
                  <c:pt idx="0">
                    <c:v>5.0351383233538822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'07E_Seeds'!$AP$114</c:f>
                <c:numCache>
                  <c:formatCode>General</c:formatCode>
                  <c:ptCount val="1"/>
                  <c:pt idx="0">
                    <c:v>1.4612713412832194</c:v>
                  </c:pt>
                </c:numCache>
              </c:numRef>
            </c:plus>
            <c:minus>
              <c:numRef>
                <c:f>'07E_Seeds'!$AP$114</c:f>
                <c:numCache>
                  <c:formatCode>General</c:formatCode>
                  <c:ptCount val="1"/>
                  <c:pt idx="0">
                    <c:v>1.4612713412832194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'07E_Seeds'!$AP$111</c:f>
              <c:numCache>
                <c:formatCode>0.00</c:formatCode>
                <c:ptCount val="1"/>
                <c:pt idx="0">
                  <c:v>88.162409392304568</c:v>
                </c:pt>
              </c:numCache>
            </c:numRef>
          </c:xVal>
          <c:yVal>
            <c:numRef>
              <c:f>'07E_Seeds'!$AP$113</c:f>
              <c:numCache>
                <c:formatCode>0.00</c:formatCode>
                <c:ptCount val="1"/>
                <c:pt idx="0">
                  <c:v>78.364779874213838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56-4474-B844-D1D7E30A0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'11E_Seeds'!$T$14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'11E_Seeds'!$T$279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'11E_Seeds'!$T$282</c:f>
                <c:numCache>
                  <c:formatCode>General</c:formatCode>
                  <c:ptCount val="1"/>
                  <c:pt idx="0">
                    <c:v>1.5878416962177138</c:v>
                  </c:pt>
                </c:numCache>
              </c:numRef>
            </c:plus>
            <c:minus>
              <c:numRef>
                <c:f>'11E_Seeds'!$T$282</c:f>
                <c:numCache>
                  <c:formatCode>General</c:formatCode>
                  <c:ptCount val="1"/>
                  <c:pt idx="0">
                    <c:v>1.5878416962177138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'11E_Seeds'!$T$278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'11E_Seeds'!$T$281</c:f>
              <c:numCache>
                <c:formatCode>0.00</c:formatCode>
                <c:ptCount val="1"/>
                <c:pt idx="0">
                  <c:v>85.676274944567609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1E-45B4-907E-36E0897C96FD}"/>
            </c:ext>
          </c:extLst>
        </c:ser>
        <c:ser>
          <c:idx val="9"/>
          <c:order val="1"/>
          <c:tx>
            <c:strRef>
              <c:f>'11E_Seeds'!$U$14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'11E_Seeds'!$U$279</c:f>
                <c:numCache>
                  <c:formatCode>General</c:formatCode>
                  <c:ptCount val="1"/>
                  <c:pt idx="0">
                    <c:v>2.3915566468563929</c:v>
                  </c:pt>
                </c:numCache>
              </c:numRef>
            </c:plus>
            <c:minus>
              <c:numRef>
                <c:f>'11E_Seeds'!$U$279</c:f>
                <c:numCache>
                  <c:formatCode>General</c:formatCode>
                  <c:ptCount val="1"/>
                  <c:pt idx="0">
                    <c:v>2.3915566468563929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'11E_Seeds'!$U$282</c:f>
                <c:numCache>
                  <c:formatCode>General</c:formatCode>
                  <c:ptCount val="1"/>
                  <c:pt idx="0">
                    <c:v>2.1411824228052607</c:v>
                  </c:pt>
                </c:numCache>
              </c:numRef>
            </c:plus>
            <c:minus>
              <c:numRef>
                <c:f>'11E_Seeds'!$U$282</c:f>
                <c:numCache>
                  <c:formatCode>General</c:formatCode>
                  <c:ptCount val="1"/>
                  <c:pt idx="0">
                    <c:v>2.1411824228052607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'11E_Seeds'!$U$278</c:f>
              <c:numCache>
                <c:formatCode>0.00</c:formatCode>
                <c:ptCount val="1"/>
                <c:pt idx="0">
                  <c:v>92.059439002022017</c:v>
                </c:pt>
              </c:numCache>
            </c:numRef>
          </c:xVal>
          <c:yVal>
            <c:numRef>
              <c:f>'11E_Seeds'!$U$281</c:f>
              <c:numCache>
                <c:formatCode>0.00</c:formatCode>
                <c:ptCount val="1"/>
                <c:pt idx="0">
                  <c:v>97.192982456140356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1E-45B4-907E-36E0897C96FD}"/>
            </c:ext>
          </c:extLst>
        </c:ser>
        <c:ser>
          <c:idx val="7"/>
          <c:order val="2"/>
          <c:tx>
            <c:strRef>
              <c:f>'11E_Seeds'!$V$14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'11E_Seeds'!$V$282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plus>
            <c:minus>
              <c:numRef>
                <c:f>'11E_Seeds'!$V$282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'11E_Seeds'!$V$282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plus>
            <c:minus>
              <c:numRef>
                <c:f>'11E_Seeds'!$V$282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'11E_Seeds'!$V$278</c:f>
              <c:numCache>
                <c:formatCode>0.00</c:formatCode>
                <c:ptCount val="1"/>
                <c:pt idx="0">
                  <c:v>99.460135288650889</c:v>
                </c:pt>
              </c:numCache>
            </c:numRef>
          </c:xVal>
          <c:yVal>
            <c:numRef>
              <c:f>'11E_Seeds'!$V$281</c:f>
              <c:numCache>
                <c:formatCode>0.00</c:formatCode>
                <c:ptCount val="1"/>
                <c:pt idx="0">
                  <c:v>99.864314789687924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1E-45B4-907E-36E0897C96FD}"/>
            </c:ext>
          </c:extLst>
        </c:ser>
        <c:ser>
          <c:idx val="0"/>
          <c:order val="3"/>
          <c:tx>
            <c:strRef>
              <c:f>'11E_Seeds'!$W$14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'11E_Seeds'!$W$279</c:f>
                <c:numCache>
                  <c:formatCode>General</c:formatCode>
                  <c:ptCount val="1"/>
                  <c:pt idx="0">
                    <c:v>0.28401095105209756</c:v>
                  </c:pt>
                </c:numCache>
              </c:numRef>
            </c:plus>
            <c:minus>
              <c:numRef>
                <c:f>'11E_Seeds'!$W$279</c:f>
                <c:numCache>
                  <c:formatCode>General</c:formatCode>
                  <c:ptCount val="1"/>
                  <c:pt idx="0">
                    <c:v>0.28401095105209756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'11E_Seeds'!$W$282</c:f>
                <c:numCache>
                  <c:formatCode>General</c:formatCode>
                  <c:ptCount val="1"/>
                  <c:pt idx="0">
                    <c:v>0.59757636799363811</c:v>
                  </c:pt>
                </c:numCache>
              </c:numRef>
            </c:plus>
            <c:minus>
              <c:numRef>
                <c:f>'11E_Seeds'!$W$282</c:f>
                <c:numCache>
                  <c:formatCode>General</c:formatCode>
                  <c:ptCount val="1"/>
                  <c:pt idx="0">
                    <c:v>0.59757636799363811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'11E_Seeds'!$W$278</c:f>
              <c:numCache>
                <c:formatCode>0.00</c:formatCode>
                <c:ptCount val="1"/>
                <c:pt idx="0">
                  <c:v>98.868615958237228</c:v>
                </c:pt>
              </c:numCache>
            </c:numRef>
          </c:xVal>
          <c:yVal>
            <c:numRef>
              <c:f>'11E_Seeds'!$W$281</c:f>
              <c:numCache>
                <c:formatCode>0.00</c:formatCode>
                <c:ptCount val="1"/>
                <c:pt idx="0">
                  <c:v>97.869415807560131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1E-45B4-907E-36E0897C96FD}"/>
            </c:ext>
          </c:extLst>
        </c:ser>
        <c:ser>
          <c:idx val="6"/>
          <c:order val="4"/>
          <c:tx>
            <c:strRef>
              <c:f>'11E_Seeds'!$X$14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'11E_Seeds'!$X$279</c:f>
                <c:numCache>
                  <c:formatCode>General</c:formatCode>
                  <c:ptCount val="1"/>
                  <c:pt idx="0">
                    <c:v>2.6476127157079707</c:v>
                  </c:pt>
                </c:numCache>
              </c:numRef>
            </c:plus>
            <c:minus>
              <c:numRef>
                <c:f>'11E_Seeds'!$X$279</c:f>
                <c:numCache>
                  <c:formatCode>General</c:formatCode>
                  <c:ptCount val="1"/>
                  <c:pt idx="0">
                    <c:v>2.6476127157079707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'11E_Seeds'!$X$282</c:f>
                <c:numCache>
                  <c:formatCode>General</c:formatCode>
                  <c:ptCount val="1"/>
                  <c:pt idx="0">
                    <c:v>0.8332152512143608</c:v>
                  </c:pt>
                </c:numCache>
              </c:numRef>
            </c:plus>
            <c:minus>
              <c:numRef>
                <c:f>'11E_Seeds'!$X$282</c:f>
                <c:numCache>
                  <c:formatCode>General</c:formatCode>
                  <c:ptCount val="1"/>
                  <c:pt idx="0">
                    <c:v>0.8332152512143608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'11E_Seeds'!$X$278</c:f>
              <c:numCache>
                <c:formatCode>0.00</c:formatCode>
                <c:ptCount val="1"/>
                <c:pt idx="0">
                  <c:v>91.663505639204374</c:v>
                </c:pt>
              </c:numCache>
            </c:numRef>
          </c:xVal>
          <c:yVal>
            <c:numRef>
              <c:f>'11E_Seeds'!$X$281</c:f>
              <c:numCache>
                <c:formatCode>0.00</c:formatCode>
                <c:ptCount val="1"/>
                <c:pt idx="0">
                  <c:v>92.368681863230918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1E-45B4-907E-36E0897C9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2011E</a:t>
            </a:r>
            <a:r>
              <a:rPr lang="en-US" sz="2000" baseline="0"/>
              <a:t>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'11E_Seeds'!$T$14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'11E_Seeds'!$T$222</c:f>
                <c:numCache>
                  <c:formatCode>General</c:formatCode>
                  <c:ptCount val="1"/>
                  <c:pt idx="0">
                    <c:v>2.198258562517593</c:v>
                  </c:pt>
                </c:numCache>
              </c:numRef>
            </c:plus>
            <c:minus>
              <c:numRef>
                <c:f>'11E_Seeds'!$T$222</c:f>
                <c:numCache>
                  <c:formatCode>General</c:formatCode>
                  <c:ptCount val="1"/>
                  <c:pt idx="0">
                    <c:v>2.198258562517593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'11E_Seeds'!$T$224</c:f>
                <c:numCache>
                  <c:formatCode>General</c:formatCode>
                  <c:ptCount val="1"/>
                  <c:pt idx="0">
                    <c:v>1.5230972381655952</c:v>
                  </c:pt>
                </c:numCache>
              </c:numRef>
            </c:plus>
            <c:minus>
              <c:numRef>
                <c:f>'11E_Seeds'!$T$224</c:f>
                <c:numCache>
                  <c:formatCode>General</c:formatCode>
                  <c:ptCount val="1"/>
                  <c:pt idx="0">
                    <c:v>1.5230972381655952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'11E_Seeds'!$T$221</c:f>
              <c:numCache>
                <c:formatCode>0.00</c:formatCode>
                <c:ptCount val="1"/>
                <c:pt idx="0">
                  <c:v>98.97239136384556</c:v>
                </c:pt>
              </c:numCache>
            </c:numRef>
          </c:xVal>
          <c:yVal>
            <c:numRef>
              <c:f>'11E_Seeds'!$T$223</c:f>
              <c:numCache>
                <c:formatCode>0.00</c:formatCode>
                <c:ptCount val="1"/>
                <c:pt idx="0">
                  <c:v>87.05099778270511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A9-41F0-A73F-00E37B2419FF}"/>
            </c:ext>
          </c:extLst>
        </c:ser>
        <c:ser>
          <c:idx val="9"/>
          <c:order val="1"/>
          <c:tx>
            <c:strRef>
              <c:f>'11E_Seeds'!$U$14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'11E_Seeds'!$U$222</c:f>
                <c:numCache>
                  <c:formatCode>General</c:formatCode>
                  <c:ptCount val="1"/>
                  <c:pt idx="0">
                    <c:v>2.2924691252524396</c:v>
                  </c:pt>
                </c:numCache>
              </c:numRef>
            </c:plus>
            <c:minus>
              <c:numRef>
                <c:f>'11E_Seeds'!$U$222</c:f>
                <c:numCache>
                  <c:formatCode>General</c:formatCode>
                  <c:ptCount val="1"/>
                  <c:pt idx="0">
                    <c:v>2.2924691252524396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'11E_Seeds'!$U$224</c:f>
                <c:numCache>
                  <c:formatCode>General</c:formatCode>
                  <c:ptCount val="1"/>
                  <c:pt idx="0">
                    <c:v>2.2295594755805039</c:v>
                  </c:pt>
                </c:numCache>
              </c:numRef>
            </c:plus>
            <c:minus>
              <c:numRef>
                <c:f>'11E_Seeds'!$U$224</c:f>
                <c:numCache>
                  <c:formatCode>General</c:formatCode>
                  <c:ptCount val="1"/>
                  <c:pt idx="0">
                    <c:v>2.2295594755805039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'11E_Seeds'!$U$221</c:f>
              <c:numCache>
                <c:formatCode>0.00</c:formatCode>
                <c:ptCount val="1"/>
                <c:pt idx="0">
                  <c:v>92.465680436105387</c:v>
                </c:pt>
              </c:numCache>
            </c:numRef>
          </c:xVal>
          <c:yVal>
            <c:numRef>
              <c:f>'11E_Seeds'!$U$223</c:f>
              <c:numCache>
                <c:formatCode>0.00</c:formatCode>
                <c:ptCount val="1"/>
                <c:pt idx="0">
                  <c:v>97.017543859649095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A9-41F0-A73F-00E37B2419FF}"/>
            </c:ext>
          </c:extLst>
        </c:ser>
        <c:ser>
          <c:idx val="7"/>
          <c:order val="2"/>
          <c:tx>
            <c:strRef>
              <c:f>'11E_Seeds'!$V$14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'11E_Seeds'!$V$222</c:f>
                <c:numCache>
                  <c:formatCode>General</c:formatCode>
                  <c:ptCount val="1"/>
                  <c:pt idx="0">
                    <c:v>0.18626189193765647</c:v>
                  </c:pt>
                </c:numCache>
              </c:numRef>
            </c:plus>
            <c:minus>
              <c:numRef>
                <c:f>'11E_Seeds'!$V$222</c:f>
                <c:numCache>
                  <c:formatCode>General</c:formatCode>
                  <c:ptCount val="1"/>
                  <c:pt idx="0">
                    <c:v>0.18626189193765647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'11E_Seeds'!$V$224</c:f>
                <c:numCache>
                  <c:formatCode>General</c:formatCode>
                  <c:ptCount val="1"/>
                  <c:pt idx="0">
                    <c:v>0.13568521031207587</c:v>
                  </c:pt>
                </c:numCache>
              </c:numRef>
            </c:plus>
            <c:minus>
              <c:numRef>
                <c:f>'11E_Seeds'!$V$224</c:f>
                <c:numCache>
                  <c:formatCode>General</c:formatCode>
                  <c:ptCount val="1"/>
                  <c:pt idx="0">
                    <c:v>0.13568521031207587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'11E_Seeds'!$V$221</c:f>
              <c:numCache>
                <c:formatCode>0.00</c:formatCode>
                <c:ptCount val="1"/>
                <c:pt idx="0">
                  <c:v>99.483059172879706</c:v>
                </c:pt>
              </c:numCache>
            </c:numRef>
          </c:xVal>
          <c:yVal>
            <c:numRef>
              <c:f>'11E_Seeds'!$V$223</c:f>
              <c:numCache>
                <c:formatCode>0.00</c:formatCode>
                <c:ptCount val="1"/>
                <c:pt idx="0">
                  <c:v>99.864314789687967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A9-41F0-A73F-00E37B2419FF}"/>
            </c:ext>
          </c:extLst>
        </c:ser>
        <c:ser>
          <c:idx val="0"/>
          <c:order val="3"/>
          <c:tx>
            <c:strRef>
              <c:f>'11E_Seeds'!$W$14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'11E_Seeds'!$W$222</c:f>
                <c:numCache>
                  <c:formatCode>General</c:formatCode>
                  <c:ptCount val="1"/>
                  <c:pt idx="0">
                    <c:v>0.28740325132663325</c:v>
                  </c:pt>
                </c:numCache>
              </c:numRef>
            </c:plus>
            <c:minus>
              <c:numRef>
                <c:f>'11E_Seeds'!$W$222</c:f>
                <c:numCache>
                  <c:formatCode>General</c:formatCode>
                  <c:ptCount val="1"/>
                  <c:pt idx="0">
                    <c:v>0.28740325132663325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'11E_Seeds'!$W$224</c:f>
                <c:numCache>
                  <c:formatCode>General</c:formatCode>
                  <c:ptCount val="1"/>
                  <c:pt idx="0">
                    <c:v>0.62884272989536716</c:v>
                  </c:pt>
                </c:numCache>
              </c:numRef>
            </c:plus>
            <c:minus>
              <c:numRef>
                <c:f>'11E_Seeds'!$W$224</c:f>
                <c:numCache>
                  <c:formatCode>General</c:formatCode>
                  <c:ptCount val="1"/>
                  <c:pt idx="0">
                    <c:v>0.62884272989536716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'11E_Seeds'!$W$221</c:f>
              <c:numCache>
                <c:formatCode>0.00</c:formatCode>
                <c:ptCount val="1"/>
                <c:pt idx="0">
                  <c:v>98.846908097621323</c:v>
                </c:pt>
              </c:numCache>
            </c:numRef>
          </c:xVal>
          <c:yVal>
            <c:numRef>
              <c:f>'11E_Seeds'!$W$223</c:f>
              <c:numCache>
                <c:formatCode>0.00</c:formatCode>
                <c:ptCount val="1"/>
                <c:pt idx="0">
                  <c:v>97.620274914089336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A9-41F0-A73F-00E37B2419FF}"/>
            </c:ext>
          </c:extLst>
        </c:ser>
        <c:ser>
          <c:idx val="6"/>
          <c:order val="4"/>
          <c:tx>
            <c:strRef>
              <c:f>'11E_Seeds'!$X$14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'11E_Seeds'!$X$222</c:f>
                <c:numCache>
                  <c:formatCode>General</c:formatCode>
                  <c:ptCount val="1"/>
                  <c:pt idx="0">
                    <c:v>2.7182746776738815</c:v>
                  </c:pt>
                </c:numCache>
              </c:numRef>
            </c:plus>
            <c:minus>
              <c:numRef>
                <c:f>'11E_Seeds'!$X$222</c:f>
                <c:numCache>
                  <c:formatCode>General</c:formatCode>
                  <c:ptCount val="1"/>
                  <c:pt idx="0">
                    <c:v>2.7182746776738815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'11E_Seeds'!$X$224</c:f>
                <c:numCache>
                  <c:formatCode>General</c:formatCode>
                  <c:ptCount val="1"/>
                  <c:pt idx="0">
                    <c:v>0.81425658330070261</c:v>
                  </c:pt>
                </c:numCache>
              </c:numRef>
            </c:plus>
            <c:minus>
              <c:numRef>
                <c:f>'11E_Seeds'!$X$224</c:f>
                <c:numCache>
                  <c:formatCode>General</c:formatCode>
                  <c:ptCount val="1"/>
                  <c:pt idx="0">
                    <c:v>0.81425658330070261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'11E_Seeds'!$X$221</c:f>
              <c:numCache>
                <c:formatCode>0.00</c:formatCode>
                <c:ptCount val="1"/>
                <c:pt idx="0">
                  <c:v>90.716309835157958</c:v>
                </c:pt>
              </c:numCache>
            </c:numRef>
          </c:xVal>
          <c:yVal>
            <c:numRef>
              <c:f>'11E_Seeds'!$X$223</c:f>
              <c:numCache>
                <c:formatCode>0.00</c:formatCode>
                <c:ptCount val="1"/>
                <c:pt idx="0">
                  <c:v>92.750247770069379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A9-41F0-A73F-00E37B241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2011E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'11E_Seeds'!$T$14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'11E_Seeds'!$AL$112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'11E_Seeds'!$AL$114</c:f>
                <c:numCache>
                  <c:formatCode>General</c:formatCode>
                  <c:ptCount val="1"/>
                  <c:pt idx="0">
                    <c:v>1.210317190862304</c:v>
                  </c:pt>
                </c:numCache>
              </c:numRef>
            </c:plus>
            <c:minus>
              <c:numRef>
                <c:f>'11E_Seeds'!$AL$114</c:f>
                <c:numCache>
                  <c:formatCode>General</c:formatCode>
                  <c:ptCount val="1"/>
                  <c:pt idx="0">
                    <c:v>1.210317190862304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'11E_Seeds'!$AL$111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'11E_Seeds'!$AL$113</c:f>
              <c:numCache>
                <c:formatCode>0.00</c:formatCode>
                <c:ptCount val="1"/>
                <c:pt idx="0">
                  <c:v>92.904656319290467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86-49F3-A774-43AA4D0FFC7C}"/>
            </c:ext>
          </c:extLst>
        </c:ser>
        <c:ser>
          <c:idx val="9"/>
          <c:order val="1"/>
          <c:tx>
            <c:strRef>
              <c:f>'11E_Seeds'!$U$14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'11E_Seeds'!$U$222</c:f>
                <c:numCache>
                  <c:formatCode>General</c:formatCode>
                  <c:ptCount val="1"/>
                  <c:pt idx="0">
                    <c:v>2.2924691252524396</c:v>
                  </c:pt>
                </c:numCache>
              </c:numRef>
            </c:plus>
            <c:minus>
              <c:numRef>
                <c:f>'11E_Seeds'!$U$222</c:f>
                <c:numCache>
                  <c:formatCode>General</c:formatCode>
                  <c:ptCount val="1"/>
                  <c:pt idx="0">
                    <c:v>2.2924691252524396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'11E_Seeds'!$U$224</c:f>
                <c:numCache>
                  <c:formatCode>General</c:formatCode>
                  <c:ptCount val="1"/>
                  <c:pt idx="0">
                    <c:v>2.2295594755805039</c:v>
                  </c:pt>
                </c:numCache>
              </c:numRef>
            </c:plus>
            <c:minus>
              <c:numRef>
                <c:f>'11E_Seeds'!$U$224</c:f>
                <c:numCache>
                  <c:formatCode>General</c:formatCode>
                  <c:ptCount val="1"/>
                  <c:pt idx="0">
                    <c:v>2.2295594755805039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'11E_Seeds'!$AM$111</c:f>
              <c:numCache>
                <c:formatCode>0.00</c:formatCode>
                <c:ptCount val="1"/>
                <c:pt idx="0">
                  <c:v>94.127731408382431</c:v>
                </c:pt>
              </c:numCache>
            </c:numRef>
          </c:xVal>
          <c:yVal>
            <c:numRef>
              <c:f>'11E_Seeds'!$AM$113</c:f>
              <c:numCache>
                <c:formatCode>0.00</c:formatCode>
                <c:ptCount val="1"/>
                <c:pt idx="0">
                  <c:v>98.245614035087726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86-49F3-A774-43AA4D0FFC7C}"/>
            </c:ext>
          </c:extLst>
        </c:ser>
        <c:ser>
          <c:idx val="7"/>
          <c:order val="2"/>
          <c:tx>
            <c:strRef>
              <c:f>'11E_Seeds'!$V$14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'11E_Seeds'!$AN$112</c:f>
                <c:numCache>
                  <c:formatCode>General</c:formatCode>
                  <c:ptCount val="1"/>
                  <c:pt idx="0">
                    <c:v>0.18970017384731178</c:v>
                  </c:pt>
                </c:numCache>
              </c:numRef>
            </c:plus>
            <c:minus>
              <c:numRef>
                <c:f>'11E_Seeds'!$AN$112</c:f>
                <c:numCache>
                  <c:formatCode>General</c:formatCode>
                  <c:ptCount val="1"/>
                  <c:pt idx="0">
                    <c:v>0.18970017384731178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'11E_Seeds'!$AN$114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plus>
            <c:minus>
              <c:numRef>
                <c:f>'11E_Seeds'!$AN$114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'11E_Seeds'!$AN$111</c:f>
              <c:numCache>
                <c:formatCode>0.00</c:formatCode>
                <c:ptCount val="1"/>
                <c:pt idx="0">
                  <c:v>99.488763222465778</c:v>
                </c:pt>
              </c:numCache>
            </c:numRef>
          </c:xVal>
          <c:yVal>
            <c:numRef>
              <c:f>'11E_Seeds'!$AN$113</c:f>
              <c:numCache>
                <c:formatCode>0.00</c:formatCode>
                <c:ptCount val="1"/>
                <c:pt idx="0">
                  <c:v>99.864314789687924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86-49F3-A774-43AA4D0FFC7C}"/>
            </c:ext>
          </c:extLst>
        </c:ser>
        <c:ser>
          <c:idx val="0"/>
          <c:order val="3"/>
          <c:tx>
            <c:strRef>
              <c:f>'11E_Seeds'!$W$14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'11E_Seeds'!$AO$112</c:f>
                <c:numCache>
                  <c:formatCode>General</c:formatCode>
                  <c:ptCount val="1"/>
                  <c:pt idx="0">
                    <c:v>0.28380854209175477</c:v>
                  </c:pt>
                </c:numCache>
              </c:numRef>
            </c:plus>
            <c:minus>
              <c:numRef>
                <c:f>'11E_Seeds'!$AO$112</c:f>
                <c:numCache>
                  <c:formatCode>General</c:formatCode>
                  <c:ptCount val="1"/>
                  <c:pt idx="0">
                    <c:v>0.28380854209175477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'11E_Seeds'!$AO$114</c:f>
                <c:numCache>
                  <c:formatCode>General</c:formatCode>
                  <c:ptCount val="1"/>
                  <c:pt idx="0">
                    <c:v>0.58954505375429189</c:v>
                  </c:pt>
                </c:numCache>
              </c:numRef>
            </c:plus>
            <c:minus>
              <c:numRef>
                <c:f>'11E_Seeds'!$AO$114</c:f>
                <c:numCache>
                  <c:formatCode>General</c:formatCode>
                  <c:ptCount val="1"/>
                  <c:pt idx="0">
                    <c:v>0.58954505375429189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'11E_Seeds'!$AO$111</c:f>
              <c:numCache>
                <c:formatCode>0.00</c:formatCode>
                <c:ptCount val="1"/>
                <c:pt idx="0">
                  <c:v>98.90995720008668</c:v>
                </c:pt>
              </c:numCache>
            </c:numRef>
          </c:xVal>
          <c:yVal>
            <c:numRef>
              <c:f>'11E_Seeds'!$AO$113</c:f>
              <c:numCache>
                <c:formatCode>0.00</c:formatCode>
                <c:ptCount val="1"/>
                <c:pt idx="0">
                  <c:v>97.9381443298969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86-49F3-A774-43AA4D0FFC7C}"/>
            </c:ext>
          </c:extLst>
        </c:ser>
        <c:ser>
          <c:idx val="6"/>
          <c:order val="4"/>
          <c:tx>
            <c:strRef>
              <c:f>'11E_Seeds'!$X$14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'11E_Seeds'!$AP$112</c:f>
                <c:numCache>
                  <c:formatCode>General</c:formatCode>
                  <c:ptCount val="1"/>
                  <c:pt idx="0">
                    <c:v>2.5581030678838119</c:v>
                  </c:pt>
                </c:numCache>
              </c:numRef>
            </c:plus>
            <c:minus>
              <c:numRef>
                <c:f>'11E_Seeds'!$AP$112</c:f>
                <c:numCache>
                  <c:formatCode>General</c:formatCode>
                  <c:ptCount val="1"/>
                  <c:pt idx="0">
                    <c:v>2.5581030678838119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'11E_Seeds'!$AP$114</c:f>
                <c:numCache>
                  <c:formatCode>General</c:formatCode>
                  <c:ptCount val="1"/>
                  <c:pt idx="0">
                    <c:v>0.79499983748395853</c:v>
                  </c:pt>
                </c:numCache>
              </c:numRef>
            </c:plus>
            <c:minus>
              <c:numRef>
                <c:f>'11E_Seeds'!$AP$114</c:f>
                <c:numCache>
                  <c:formatCode>General</c:formatCode>
                  <c:ptCount val="1"/>
                  <c:pt idx="0">
                    <c:v>0.79499983748395853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'11E_Seeds'!$AP$111</c:f>
              <c:numCache>
                <c:formatCode>0.00</c:formatCode>
                <c:ptCount val="1"/>
                <c:pt idx="0">
                  <c:v>92.339324212818269</c:v>
                </c:pt>
              </c:numCache>
            </c:numRef>
          </c:xVal>
          <c:yVal>
            <c:numRef>
              <c:f>'11E_Seeds'!$AP$113</c:f>
              <c:numCache>
                <c:formatCode>0.00</c:formatCode>
                <c:ptCount val="1"/>
                <c:pt idx="0">
                  <c:v>93.161546085232899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86-49F3-A774-43AA4D0FF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'15O_Seeds'!$T$14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'15O_Seeds'!$T$279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'15O_Seeds'!$T$282</c:f>
                <c:numCache>
                  <c:formatCode>General</c:formatCode>
                  <c:ptCount val="1"/>
                  <c:pt idx="0">
                    <c:v>1.8880081737526198</c:v>
                  </c:pt>
                </c:numCache>
              </c:numRef>
            </c:plus>
            <c:minus>
              <c:numRef>
                <c:f>'15O_Seeds'!$T$282</c:f>
                <c:numCache>
                  <c:formatCode>General</c:formatCode>
                  <c:ptCount val="1"/>
                  <c:pt idx="0">
                    <c:v>1.8880081737526198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'15O_Seeds'!$T$278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'15O_Seeds'!$T$281</c:f>
              <c:numCache>
                <c:formatCode>0.00</c:formatCode>
                <c:ptCount val="1"/>
                <c:pt idx="0">
                  <c:v>73.481152993348132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5-404B-AB74-D13ABFFFAED7}"/>
            </c:ext>
          </c:extLst>
        </c:ser>
        <c:ser>
          <c:idx val="9"/>
          <c:order val="1"/>
          <c:tx>
            <c:strRef>
              <c:f>'15O_Seeds'!$U$14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'15O_Seeds'!$U$279</c:f>
                <c:numCache>
                  <c:formatCode>General</c:formatCode>
                  <c:ptCount val="1"/>
                  <c:pt idx="0">
                    <c:v>9.3180759584735746</c:v>
                  </c:pt>
                </c:numCache>
              </c:numRef>
            </c:plus>
            <c:minus>
              <c:numRef>
                <c:f>'15O_Seeds'!$U$279</c:f>
                <c:numCache>
                  <c:formatCode>General</c:formatCode>
                  <c:ptCount val="1"/>
                  <c:pt idx="0">
                    <c:v>9.3180759584735746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'15O_Seeds'!$U$282</c:f>
                <c:numCache>
                  <c:formatCode>General</c:formatCode>
                  <c:ptCount val="1"/>
                  <c:pt idx="0">
                    <c:v>2.6872381403076497</c:v>
                  </c:pt>
                </c:numCache>
              </c:numRef>
            </c:plus>
            <c:minus>
              <c:numRef>
                <c:f>'15O_Seeds'!$U$282</c:f>
                <c:numCache>
                  <c:formatCode>General</c:formatCode>
                  <c:ptCount val="1"/>
                  <c:pt idx="0">
                    <c:v>2.6872381403076497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'15O_Seeds'!$U$278</c:f>
              <c:numCache>
                <c:formatCode>0.00</c:formatCode>
                <c:ptCount val="1"/>
                <c:pt idx="0">
                  <c:v>82.820528455536305</c:v>
                </c:pt>
              </c:numCache>
            </c:numRef>
          </c:xVal>
          <c:yVal>
            <c:numRef>
              <c:f>'15O_Seeds'!$U$281</c:f>
              <c:numCache>
                <c:formatCode>0.00</c:formatCode>
                <c:ptCount val="1"/>
                <c:pt idx="0">
                  <c:v>95.438596491228068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25-404B-AB74-D13ABFFFAED7}"/>
            </c:ext>
          </c:extLst>
        </c:ser>
        <c:ser>
          <c:idx val="7"/>
          <c:order val="2"/>
          <c:tx>
            <c:strRef>
              <c:f>'15O_Seeds'!$V$14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'15O_Seeds'!$V$282</c:f>
                <c:numCache>
                  <c:formatCode>General</c:formatCode>
                  <c:ptCount val="1"/>
                  <c:pt idx="0">
                    <c:v>0.24778039681060093</c:v>
                  </c:pt>
                </c:numCache>
              </c:numRef>
            </c:plus>
            <c:minus>
              <c:numRef>
                <c:f>'15O_Seeds'!$V$282</c:f>
                <c:numCache>
                  <c:formatCode>General</c:formatCode>
                  <c:ptCount val="1"/>
                  <c:pt idx="0">
                    <c:v>0.24778039681060093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'15O_Seeds'!$V$282</c:f>
                <c:numCache>
                  <c:formatCode>General</c:formatCode>
                  <c:ptCount val="1"/>
                  <c:pt idx="0">
                    <c:v>0.24778039681060093</c:v>
                  </c:pt>
                </c:numCache>
              </c:numRef>
            </c:plus>
            <c:minus>
              <c:numRef>
                <c:f>'15O_Seeds'!$V$282</c:f>
                <c:numCache>
                  <c:formatCode>General</c:formatCode>
                  <c:ptCount val="1"/>
                  <c:pt idx="0">
                    <c:v>0.24778039681060093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'15O_Seeds'!$V$278</c:f>
              <c:numCache>
                <c:formatCode>0.00</c:formatCode>
                <c:ptCount val="1"/>
                <c:pt idx="0">
                  <c:v>99.597632188799977</c:v>
                </c:pt>
              </c:numCache>
            </c:numRef>
          </c:xVal>
          <c:yVal>
            <c:numRef>
              <c:f>'15O_Seeds'!$V$281</c:f>
              <c:numCache>
                <c:formatCode>0.00</c:formatCode>
                <c:ptCount val="1"/>
                <c:pt idx="0">
                  <c:v>99.538670284938945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25-404B-AB74-D13ABFFFAED7}"/>
            </c:ext>
          </c:extLst>
        </c:ser>
        <c:ser>
          <c:idx val="0"/>
          <c:order val="3"/>
          <c:tx>
            <c:strRef>
              <c:f>'15O_Seeds'!$W$14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'15O_Seeds'!$W$279</c:f>
                <c:numCache>
                  <c:formatCode>General</c:formatCode>
                  <c:ptCount val="1"/>
                  <c:pt idx="0">
                    <c:v>0.4135752408039739</c:v>
                  </c:pt>
                </c:numCache>
              </c:numRef>
            </c:plus>
            <c:minus>
              <c:numRef>
                <c:f>'15O_Seeds'!$W$279</c:f>
                <c:numCache>
                  <c:formatCode>General</c:formatCode>
                  <c:ptCount val="1"/>
                  <c:pt idx="0">
                    <c:v>0.4135752408039739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'15O_Seeds'!$W$282</c:f>
                <c:numCache>
                  <c:formatCode>General</c:formatCode>
                  <c:ptCount val="1"/>
                  <c:pt idx="0">
                    <c:v>0.67657795867699344</c:v>
                  </c:pt>
                </c:numCache>
              </c:numRef>
            </c:plus>
            <c:minus>
              <c:numRef>
                <c:f>'15O_Seeds'!$W$282</c:f>
                <c:numCache>
                  <c:formatCode>General</c:formatCode>
                  <c:ptCount val="1"/>
                  <c:pt idx="0">
                    <c:v>0.67657795867699344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'15O_Seeds'!$W$278</c:f>
              <c:numCache>
                <c:formatCode>0.00</c:formatCode>
                <c:ptCount val="1"/>
                <c:pt idx="0">
                  <c:v>98.495534879805803</c:v>
                </c:pt>
              </c:numCache>
            </c:numRef>
          </c:xVal>
          <c:yVal>
            <c:numRef>
              <c:f>'15O_Seeds'!$W$281</c:f>
              <c:numCache>
                <c:formatCode>0.00</c:formatCode>
                <c:ptCount val="1"/>
                <c:pt idx="0">
                  <c:v>97.490636704119851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25-404B-AB74-D13ABFFFAED7}"/>
            </c:ext>
          </c:extLst>
        </c:ser>
        <c:ser>
          <c:idx val="6"/>
          <c:order val="4"/>
          <c:tx>
            <c:strRef>
              <c:f>'15O_Seeds'!$X$14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'15O_Seeds'!$X$279</c:f>
                <c:numCache>
                  <c:formatCode>General</c:formatCode>
                  <c:ptCount val="1"/>
                  <c:pt idx="0">
                    <c:v>2.6297685684445145</c:v>
                  </c:pt>
                </c:numCache>
              </c:numRef>
            </c:plus>
            <c:minus>
              <c:numRef>
                <c:f>'15O_Seeds'!$X$279</c:f>
                <c:numCache>
                  <c:formatCode>General</c:formatCode>
                  <c:ptCount val="1"/>
                  <c:pt idx="0">
                    <c:v>2.6297685684445145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'15O_Seeds'!$X$282</c:f>
                <c:numCache>
                  <c:formatCode>General</c:formatCode>
                  <c:ptCount val="1"/>
                  <c:pt idx="0">
                    <c:v>0.63746543372285025</c:v>
                  </c:pt>
                </c:numCache>
              </c:numRef>
            </c:plus>
            <c:minus>
              <c:numRef>
                <c:f>'15O_Seeds'!$X$282</c:f>
                <c:numCache>
                  <c:formatCode>General</c:formatCode>
                  <c:ptCount val="1"/>
                  <c:pt idx="0">
                    <c:v>0.63746543372285025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'15O_Seeds'!$X$278</c:f>
              <c:numCache>
                <c:formatCode>0.00</c:formatCode>
                <c:ptCount val="1"/>
                <c:pt idx="0">
                  <c:v>91.768047475888423</c:v>
                </c:pt>
              </c:numCache>
            </c:numRef>
          </c:xVal>
          <c:yVal>
            <c:numRef>
              <c:f>'15O_Seeds'!$X$281</c:f>
              <c:numCache>
                <c:formatCode>0.00</c:formatCode>
                <c:ptCount val="1"/>
                <c:pt idx="0">
                  <c:v>95.718533201189274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25-404B-AB74-D13ABFFFA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2015O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'15O_Seeds'!$T$14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'15O_Seeds'!$T$222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'15O_Seeds'!$T$224</c:f>
                <c:numCache>
                  <c:formatCode>General</c:formatCode>
                  <c:ptCount val="1"/>
                  <c:pt idx="0">
                    <c:v>1.92061811346193</c:v>
                  </c:pt>
                </c:numCache>
              </c:numRef>
            </c:plus>
            <c:minus>
              <c:numRef>
                <c:f>'15O_Seeds'!$T$224</c:f>
                <c:numCache>
                  <c:formatCode>General</c:formatCode>
                  <c:ptCount val="1"/>
                  <c:pt idx="0">
                    <c:v>1.92061811346193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'15O_Seeds'!$T$221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'15O_Seeds'!$T$223</c:f>
              <c:numCache>
                <c:formatCode>0.00</c:formatCode>
                <c:ptCount val="1"/>
                <c:pt idx="0">
                  <c:v>75.68736141906875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F7-436D-9F32-077D2D247AF6}"/>
            </c:ext>
          </c:extLst>
        </c:ser>
        <c:ser>
          <c:idx val="9"/>
          <c:order val="1"/>
          <c:tx>
            <c:strRef>
              <c:f>'15O_Seeds'!$U$14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'15O_Seeds'!$U$222</c:f>
                <c:numCache>
                  <c:formatCode>General</c:formatCode>
                  <c:ptCount val="1"/>
                  <c:pt idx="0">
                    <c:v>7.9740855393981462</c:v>
                  </c:pt>
                </c:numCache>
              </c:numRef>
            </c:plus>
            <c:minus>
              <c:numRef>
                <c:f>'15O_Seeds'!$U$222</c:f>
                <c:numCache>
                  <c:formatCode>General</c:formatCode>
                  <c:ptCount val="1"/>
                  <c:pt idx="0">
                    <c:v>7.9740855393981462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'15O_Seeds'!$U$224</c:f>
                <c:numCache>
                  <c:formatCode>General</c:formatCode>
                  <c:ptCount val="1"/>
                  <c:pt idx="0">
                    <c:v>2.8075089631015118</c:v>
                  </c:pt>
                </c:numCache>
              </c:numRef>
            </c:plus>
            <c:minus>
              <c:numRef>
                <c:f>'15O_Seeds'!$U$224</c:f>
                <c:numCache>
                  <c:formatCode>General</c:formatCode>
                  <c:ptCount val="1"/>
                  <c:pt idx="0">
                    <c:v>2.8075089631015118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'15O_Seeds'!$U$221</c:f>
              <c:numCache>
                <c:formatCode>0.00</c:formatCode>
                <c:ptCount val="1"/>
                <c:pt idx="0">
                  <c:v>86.294426328849767</c:v>
                </c:pt>
              </c:numCache>
            </c:numRef>
          </c:xVal>
          <c:yVal>
            <c:numRef>
              <c:f>'15O_Seeds'!$U$223</c:f>
              <c:numCache>
                <c:formatCode>0.00</c:formatCode>
                <c:ptCount val="1"/>
                <c:pt idx="0">
                  <c:v>95.087719298245617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F7-436D-9F32-077D2D247AF6}"/>
            </c:ext>
          </c:extLst>
        </c:ser>
        <c:ser>
          <c:idx val="7"/>
          <c:order val="2"/>
          <c:tx>
            <c:strRef>
              <c:f>'15O_Seeds'!$V$14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'15O_Seeds'!$V$222</c:f>
                <c:numCache>
                  <c:formatCode>General</c:formatCode>
                  <c:ptCount val="1"/>
                  <c:pt idx="0">
                    <c:v>0.18780952671925677</c:v>
                  </c:pt>
                </c:numCache>
              </c:numRef>
            </c:plus>
            <c:minus>
              <c:numRef>
                <c:f>'15O_Seeds'!$V$222</c:f>
                <c:numCache>
                  <c:formatCode>General</c:formatCode>
                  <c:ptCount val="1"/>
                  <c:pt idx="0">
                    <c:v>0.18780952671925677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'15O_Seeds'!$V$224</c:f>
                <c:numCache>
                  <c:formatCode>General</c:formatCode>
                  <c:ptCount val="1"/>
                  <c:pt idx="0">
                    <c:v>0.20394473429634513</c:v>
                  </c:pt>
                </c:numCache>
              </c:numRef>
            </c:plus>
            <c:minus>
              <c:numRef>
                <c:f>'15O_Seeds'!$V$224</c:f>
                <c:numCache>
                  <c:formatCode>General</c:formatCode>
                  <c:ptCount val="1"/>
                  <c:pt idx="0">
                    <c:v>0.20394473429634513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'15O_Seeds'!$V$221</c:f>
              <c:numCache>
                <c:formatCode>0.00</c:formatCode>
                <c:ptCount val="1"/>
                <c:pt idx="0">
                  <c:v>99.559706766988569</c:v>
                </c:pt>
              </c:numCache>
            </c:numRef>
          </c:xVal>
          <c:yVal>
            <c:numRef>
              <c:f>'15O_Seeds'!$V$223</c:f>
              <c:numCache>
                <c:formatCode>0.00</c:formatCode>
                <c:ptCount val="1"/>
                <c:pt idx="0">
                  <c:v>99.674355495251035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F7-436D-9F32-077D2D247AF6}"/>
            </c:ext>
          </c:extLst>
        </c:ser>
        <c:ser>
          <c:idx val="0"/>
          <c:order val="3"/>
          <c:tx>
            <c:strRef>
              <c:f>'15O_Seeds'!$W$14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'15O_Seeds'!$W$222</c:f>
                <c:numCache>
                  <c:formatCode>General</c:formatCode>
                  <c:ptCount val="1"/>
                  <c:pt idx="0">
                    <c:v>0.3818968513536225</c:v>
                  </c:pt>
                </c:numCache>
              </c:numRef>
            </c:plus>
            <c:minus>
              <c:numRef>
                <c:f>'15O_Seeds'!$W$222</c:f>
                <c:numCache>
                  <c:formatCode>General</c:formatCode>
                  <c:ptCount val="1"/>
                  <c:pt idx="0">
                    <c:v>0.3818968513536225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'15O_Seeds'!$W$224</c:f>
                <c:numCache>
                  <c:formatCode>General</c:formatCode>
                  <c:ptCount val="1"/>
                  <c:pt idx="0">
                    <c:v>0.67954411317282848</c:v>
                  </c:pt>
                </c:numCache>
              </c:numRef>
            </c:plus>
            <c:minus>
              <c:numRef>
                <c:f>'15O_Seeds'!$W$224</c:f>
                <c:numCache>
                  <c:formatCode>General</c:formatCode>
                  <c:ptCount val="1"/>
                  <c:pt idx="0">
                    <c:v>0.67954411317282848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'15O_Seeds'!$W$221</c:f>
              <c:numCache>
                <c:formatCode>0.00</c:formatCode>
                <c:ptCount val="1"/>
                <c:pt idx="0">
                  <c:v>98.587018962957771</c:v>
                </c:pt>
              </c:numCache>
            </c:numRef>
          </c:xVal>
          <c:yVal>
            <c:numRef>
              <c:f>'15O_Seeds'!$W$223</c:f>
              <c:numCache>
                <c:formatCode>0.00</c:formatCode>
                <c:ptCount val="1"/>
                <c:pt idx="0">
                  <c:v>97.453183520599254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F7-436D-9F32-077D2D247AF6}"/>
            </c:ext>
          </c:extLst>
        </c:ser>
        <c:ser>
          <c:idx val="6"/>
          <c:order val="4"/>
          <c:tx>
            <c:strRef>
              <c:f>'15O_Seeds'!$X$14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'15O_Seeds'!$X$222</c:f>
                <c:numCache>
                  <c:formatCode>General</c:formatCode>
                  <c:ptCount val="1"/>
                  <c:pt idx="0">
                    <c:v>2.5917594344110553</c:v>
                  </c:pt>
                </c:numCache>
              </c:numRef>
            </c:plus>
            <c:minus>
              <c:numRef>
                <c:f>'15O_Seeds'!$X$222</c:f>
                <c:numCache>
                  <c:formatCode>General</c:formatCode>
                  <c:ptCount val="1"/>
                  <c:pt idx="0">
                    <c:v>2.5917594344110553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'15O_Seeds'!$X$224</c:f>
                <c:numCache>
                  <c:formatCode>General</c:formatCode>
                  <c:ptCount val="1"/>
                  <c:pt idx="0">
                    <c:v>0.64173043392541351</c:v>
                  </c:pt>
                </c:numCache>
              </c:numRef>
            </c:plus>
            <c:minus>
              <c:numRef>
                <c:f>'15O_Seeds'!$X$224</c:f>
                <c:numCache>
                  <c:formatCode>General</c:formatCode>
                  <c:ptCount val="1"/>
                  <c:pt idx="0">
                    <c:v>0.64173043392541351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'15O_Seeds'!$X$221</c:f>
              <c:numCache>
                <c:formatCode>0.00</c:formatCode>
                <c:ptCount val="1"/>
                <c:pt idx="0">
                  <c:v>92.039673899540361</c:v>
                </c:pt>
              </c:numCache>
            </c:numRef>
          </c:xVal>
          <c:yVal>
            <c:numRef>
              <c:f>'15O_Seeds'!$X$223</c:f>
              <c:numCache>
                <c:formatCode>0.00</c:formatCode>
                <c:ptCount val="1"/>
                <c:pt idx="0">
                  <c:v>95.634291377601571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F7-436D-9F32-077D2D247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2015O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'15O_Seeds'!$T$14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'15O_Seeds'!$AL$112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'15O_Seeds'!$AL$114</c:f>
                <c:numCache>
                  <c:formatCode>General</c:formatCode>
                  <c:ptCount val="1"/>
                  <c:pt idx="0">
                    <c:v>1.8681504541587082</c:v>
                  </c:pt>
                </c:numCache>
              </c:numRef>
            </c:plus>
            <c:minus>
              <c:numRef>
                <c:f>'15O_Seeds'!$AL$114</c:f>
                <c:numCache>
                  <c:formatCode>General</c:formatCode>
                  <c:ptCount val="1"/>
                  <c:pt idx="0">
                    <c:v>1.8681504541587082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'15O_Seeds'!$AL$111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'15O_Seeds'!$AL$113</c:f>
              <c:numCache>
                <c:formatCode>0.00</c:formatCode>
                <c:ptCount val="1"/>
                <c:pt idx="0">
                  <c:v>80.487804878048792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A-4648-9CDB-FC5372836584}"/>
            </c:ext>
          </c:extLst>
        </c:ser>
        <c:ser>
          <c:idx val="9"/>
          <c:order val="1"/>
          <c:tx>
            <c:strRef>
              <c:f>'15O_Seeds'!$U$14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'15O_Seeds'!$U$222</c:f>
                <c:numCache>
                  <c:formatCode>General</c:formatCode>
                  <c:ptCount val="1"/>
                  <c:pt idx="0">
                    <c:v>7.9740855393981462</c:v>
                  </c:pt>
                </c:numCache>
              </c:numRef>
            </c:plus>
            <c:minus>
              <c:numRef>
                <c:f>'15O_Seeds'!$U$222</c:f>
                <c:numCache>
                  <c:formatCode>General</c:formatCode>
                  <c:ptCount val="1"/>
                  <c:pt idx="0">
                    <c:v>7.9740855393981462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'15O_Seeds'!$U$224</c:f>
                <c:numCache>
                  <c:formatCode>General</c:formatCode>
                  <c:ptCount val="1"/>
                  <c:pt idx="0">
                    <c:v>2.8075089631015118</c:v>
                  </c:pt>
                </c:numCache>
              </c:numRef>
            </c:plus>
            <c:minus>
              <c:numRef>
                <c:f>'15O_Seeds'!$U$224</c:f>
                <c:numCache>
                  <c:formatCode>General</c:formatCode>
                  <c:ptCount val="1"/>
                  <c:pt idx="0">
                    <c:v>2.8075089631015118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'15O_Seeds'!$AM$111</c:f>
              <c:numCache>
                <c:formatCode>0.00</c:formatCode>
                <c:ptCount val="1"/>
                <c:pt idx="0">
                  <c:v>88.851367868735252</c:v>
                </c:pt>
              </c:numCache>
            </c:numRef>
          </c:xVal>
          <c:yVal>
            <c:numRef>
              <c:f>'15O_Seeds'!$AM$113</c:f>
              <c:numCache>
                <c:formatCode>0.00</c:formatCode>
                <c:ptCount val="1"/>
                <c:pt idx="0">
                  <c:v>96.491228070175438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4A-4648-9CDB-FC5372836584}"/>
            </c:ext>
          </c:extLst>
        </c:ser>
        <c:ser>
          <c:idx val="7"/>
          <c:order val="2"/>
          <c:tx>
            <c:strRef>
              <c:f>'15O_Seeds'!$V$14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'15O_Seeds'!$AN$112</c:f>
                <c:numCache>
                  <c:formatCode>General</c:formatCode>
                  <c:ptCount val="1"/>
                  <c:pt idx="0">
                    <c:v>0.16397476248663884</c:v>
                  </c:pt>
                </c:numCache>
              </c:numRef>
            </c:plus>
            <c:minus>
              <c:numRef>
                <c:f>'15O_Seeds'!$AN$112</c:f>
                <c:numCache>
                  <c:formatCode>General</c:formatCode>
                  <c:ptCount val="1"/>
                  <c:pt idx="0">
                    <c:v>0.16397476248663884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'15O_Seeds'!$AN$114</c:f>
                <c:numCache>
                  <c:formatCode>General</c:formatCode>
                  <c:ptCount val="1"/>
                  <c:pt idx="0">
                    <c:v>0.19175746172356631</c:v>
                  </c:pt>
                </c:numCache>
              </c:numRef>
            </c:plus>
            <c:minus>
              <c:numRef>
                <c:f>'15O_Seeds'!$AN$114</c:f>
                <c:numCache>
                  <c:formatCode>General</c:formatCode>
                  <c:ptCount val="1"/>
                  <c:pt idx="0">
                    <c:v>0.19175746172356631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'15O_Seeds'!$AN$111</c:f>
              <c:numCache>
                <c:formatCode>0.00</c:formatCode>
                <c:ptCount val="1"/>
                <c:pt idx="0">
                  <c:v>99.683049426169603</c:v>
                </c:pt>
              </c:numCache>
            </c:numRef>
          </c:xVal>
          <c:yVal>
            <c:numRef>
              <c:f>'15O_Seeds'!$AN$113</c:f>
              <c:numCache>
                <c:formatCode>0.00</c:formatCode>
                <c:ptCount val="1"/>
                <c:pt idx="0">
                  <c:v>99.728629579375848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4A-4648-9CDB-FC5372836584}"/>
            </c:ext>
          </c:extLst>
        </c:ser>
        <c:ser>
          <c:idx val="0"/>
          <c:order val="3"/>
          <c:tx>
            <c:strRef>
              <c:f>'15O_Seeds'!$W$14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'15O_Seeds'!$AO$112</c:f>
                <c:numCache>
                  <c:formatCode>General</c:formatCode>
                  <c:ptCount val="1"/>
                  <c:pt idx="0">
                    <c:v>0.41095659350023561</c:v>
                  </c:pt>
                </c:numCache>
              </c:numRef>
            </c:plus>
            <c:minus>
              <c:numRef>
                <c:f>'15O_Seeds'!$AO$112</c:f>
                <c:numCache>
                  <c:formatCode>General</c:formatCode>
                  <c:ptCount val="1"/>
                  <c:pt idx="0">
                    <c:v>0.41095659350023561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'15O_Seeds'!$AO$114</c:f>
                <c:numCache>
                  <c:formatCode>General</c:formatCode>
                  <c:ptCount val="1"/>
                  <c:pt idx="0">
                    <c:v>0.64197928239881541</c:v>
                  </c:pt>
                </c:numCache>
              </c:numRef>
            </c:plus>
            <c:minus>
              <c:numRef>
                <c:f>'15O_Seeds'!$AO$114</c:f>
                <c:numCache>
                  <c:formatCode>General</c:formatCode>
                  <c:ptCount val="1"/>
                  <c:pt idx="0">
                    <c:v>0.64197928239881541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'15O_Seeds'!$AO$111</c:f>
              <c:numCache>
                <c:formatCode>0.00</c:formatCode>
                <c:ptCount val="1"/>
                <c:pt idx="0">
                  <c:v>98.553814253377908</c:v>
                </c:pt>
              </c:numCache>
            </c:numRef>
          </c:xVal>
          <c:yVal>
            <c:numRef>
              <c:f>'15O_Seeds'!$AO$113</c:f>
              <c:numCache>
                <c:formatCode>0.00</c:formatCode>
                <c:ptCount val="1"/>
                <c:pt idx="0">
                  <c:v>97.752808988764045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4A-4648-9CDB-FC5372836584}"/>
            </c:ext>
          </c:extLst>
        </c:ser>
        <c:ser>
          <c:idx val="6"/>
          <c:order val="4"/>
          <c:tx>
            <c:strRef>
              <c:f>'15O_Seeds'!$X$14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'15O_Seeds'!$AP$112</c:f>
                <c:numCache>
                  <c:formatCode>General</c:formatCode>
                  <c:ptCount val="1"/>
                  <c:pt idx="0">
                    <c:v>2.5070381910901651</c:v>
                  </c:pt>
                </c:numCache>
              </c:numRef>
            </c:plus>
            <c:minus>
              <c:numRef>
                <c:f>'15O_Seeds'!$AP$112</c:f>
                <c:numCache>
                  <c:formatCode>General</c:formatCode>
                  <c:ptCount val="1"/>
                  <c:pt idx="0">
                    <c:v>2.5070381910901651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'15O_Seeds'!$AP$114</c:f>
                <c:numCache>
                  <c:formatCode>General</c:formatCode>
                  <c:ptCount val="1"/>
                  <c:pt idx="0">
                    <c:v>0.62188226937477109</c:v>
                  </c:pt>
                </c:numCache>
              </c:numRef>
            </c:plus>
            <c:minus>
              <c:numRef>
                <c:f>'15O_Seeds'!$AP$114</c:f>
                <c:numCache>
                  <c:formatCode>General</c:formatCode>
                  <c:ptCount val="1"/>
                  <c:pt idx="0">
                    <c:v>0.62188226937477109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'15O_Seeds'!$AP$111</c:f>
              <c:numCache>
                <c:formatCode>0.00</c:formatCode>
                <c:ptCount val="1"/>
                <c:pt idx="0">
                  <c:v>92.925992601530254</c:v>
                </c:pt>
              </c:numCache>
            </c:numRef>
          </c:xVal>
          <c:yVal>
            <c:numRef>
              <c:f>'15O_Seeds'!$AP$113</c:f>
              <c:numCache>
                <c:formatCode>0.00</c:formatCode>
                <c:ptCount val="1"/>
                <c:pt idx="0">
                  <c:v>95.936570862239847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A-4648-9CDB-FC5372836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'19O_Seeds'!$T$14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'19O_Seeds'!$T$279</c:f>
                <c:numCache>
                  <c:formatCode>General</c:formatCode>
                  <c:ptCount val="1"/>
                  <c:pt idx="0">
                    <c:v>218.08922451936206</c:v>
                  </c:pt>
                </c:numCache>
              </c:numRef>
            </c:plus>
            <c:minus>
              <c:numRef>
                <c:f>'19O_Seeds'!$T$279</c:f>
                <c:numCache>
                  <c:formatCode>General</c:formatCode>
                  <c:ptCount val="1"/>
                  <c:pt idx="0">
                    <c:v>218.08922451936206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'19O_Seeds'!$T$282</c:f>
                <c:numCache>
                  <c:formatCode>General</c:formatCode>
                  <c:ptCount val="1"/>
                  <c:pt idx="0">
                    <c:v>1.4026713148658199</c:v>
                  </c:pt>
                </c:numCache>
              </c:numRef>
            </c:plus>
            <c:minus>
              <c:numRef>
                <c:f>'19O_Seeds'!$T$282</c:f>
                <c:numCache>
                  <c:formatCode>General</c:formatCode>
                  <c:ptCount val="1"/>
                  <c:pt idx="0">
                    <c:v>1.4026713148658199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'19O_Seeds'!$T$278</c:f>
              <c:numCache>
                <c:formatCode>0.00</c:formatCode>
                <c:ptCount val="1"/>
                <c:pt idx="0">
                  <c:v>19.833028582959844</c:v>
                </c:pt>
              </c:numCache>
            </c:numRef>
          </c:xVal>
          <c:yVal>
            <c:numRef>
              <c:f>'19O_Seeds'!$T$281</c:f>
              <c:numCache>
                <c:formatCode>0.00</c:formatCode>
                <c:ptCount val="1"/>
                <c:pt idx="0">
                  <c:v>10.288248337028824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C3-489A-956D-0E3ACBCFE599}"/>
            </c:ext>
          </c:extLst>
        </c:ser>
        <c:ser>
          <c:idx val="9"/>
          <c:order val="1"/>
          <c:tx>
            <c:strRef>
              <c:f>'19O_Seeds'!$U$14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'19O_Seeds'!$U$279</c:f>
                <c:numCache>
                  <c:formatCode>General</c:formatCode>
                  <c:ptCount val="1"/>
                  <c:pt idx="0">
                    <c:v>10.114892584665835</c:v>
                  </c:pt>
                </c:numCache>
              </c:numRef>
            </c:plus>
            <c:minus>
              <c:numRef>
                <c:f>'19O_Seeds'!$U$279</c:f>
                <c:numCache>
                  <c:formatCode>General</c:formatCode>
                  <c:ptCount val="1"/>
                  <c:pt idx="0">
                    <c:v>10.114892584665835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'19O_Seeds'!$U$282</c:f>
                <c:numCache>
                  <c:formatCode>General</c:formatCode>
                  <c:ptCount val="1"/>
                  <c:pt idx="0">
                    <c:v>3.1882394425356106</c:v>
                  </c:pt>
                </c:numCache>
              </c:numRef>
            </c:plus>
            <c:minus>
              <c:numRef>
                <c:f>'19O_Seeds'!$U$282</c:f>
                <c:numCache>
                  <c:formatCode>General</c:formatCode>
                  <c:ptCount val="1"/>
                  <c:pt idx="0">
                    <c:v>3.1882394425356106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'19O_Seeds'!$U$278</c:f>
              <c:numCache>
                <c:formatCode>0.00</c:formatCode>
                <c:ptCount val="1"/>
                <c:pt idx="0">
                  <c:v>78.038974400175675</c:v>
                </c:pt>
              </c:numCache>
            </c:numRef>
          </c:xVal>
          <c:yVal>
            <c:numRef>
              <c:f>'19O_Seeds'!$U$281</c:f>
              <c:numCache>
                <c:formatCode>0.00</c:formatCode>
                <c:ptCount val="1"/>
                <c:pt idx="0">
                  <c:v>93.68421052631578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C3-489A-956D-0E3ACBCFE599}"/>
            </c:ext>
          </c:extLst>
        </c:ser>
        <c:ser>
          <c:idx val="7"/>
          <c:order val="2"/>
          <c:tx>
            <c:strRef>
              <c:f>'19O_Seeds'!$V$14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'19O_Seeds'!$V$282</c:f>
                <c:numCache>
                  <c:formatCode>General</c:formatCode>
                  <c:ptCount val="1"/>
                  <c:pt idx="0">
                    <c:v>0.22076125236589483</c:v>
                  </c:pt>
                </c:numCache>
              </c:numRef>
            </c:plus>
            <c:minus>
              <c:numRef>
                <c:f>'19O_Seeds'!$V$282</c:f>
                <c:numCache>
                  <c:formatCode>General</c:formatCode>
                  <c:ptCount val="1"/>
                  <c:pt idx="0">
                    <c:v>0.22076125236589483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'19O_Seeds'!$V$282</c:f>
                <c:numCache>
                  <c:formatCode>General</c:formatCode>
                  <c:ptCount val="1"/>
                  <c:pt idx="0">
                    <c:v>0.22076125236589483</c:v>
                  </c:pt>
                </c:numCache>
              </c:numRef>
            </c:plus>
            <c:minus>
              <c:numRef>
                <c:f>'19O_Seeds'!$V$282</c:f>
                <c:numCache>
                  <c:formatCode>General</c:formatCode>
                  <c:ptCount val="1"/>
                  <c:pt idx="0">
                    <c:v>0.22076125236589483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'19O_Seeds'!$V$278</c:f>
              <c:numCache>
                <c:formatCode>0.00</c:formatCode>
                <c:ptCount val="1"/>
                <c:pt idx="0">
                  <c:v>99.198294920097283</c:v>
                </c:pt>
              </c:numCache>
            </c:numRef>
          </c:xVal>
          <c:yVal>
            <c:numRef>
              <c:f>'19O_Seeds'!$V$281</c:f>
              <c:numCache>
                <c:formatCode>0.00</c:formatCode>
                <c:ptCount val="1"/>
                <c:pt idx="0">
                  <c:v>99.666666666666671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C3-489A-956D-0E3ACBCFE599}"/>
            </c:ext>
          </c:extLst>
        </c:ser>
        <c:ser>
          <c:idx val="0"/>
          <c:order val="3"/>
          <c:tx>
            <c:strRef>
              <c:f>'19O_Seeds'!$W$14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'19O_Seeds'!$W$279</c:f>
                <c:numCache>
                  <c:formatCode>General</c:formatCode>
                  <c:ptCount val="1"/>
                  <c:pt idx="0">
                    <c:v>0.32929426971273557</c:v>
                  </c:pt>
                </c:numCache>
              </c:numRef>
            </c:plus>
            <c:minus>
              <c:numRef>
                <c:f>'19O_Seeds'!$W$279</c:f>
                <c:numCache>
                  <c:formatCode>General</c:formatCode>
                  <c:ptCount val="1"/>
                  <c:pt idx="0">
                    <c:v>0.32929426971273557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'19O_Seeds'!$W$282</c:f>
                <c:numCache>
                  <c:formatCode>General</c:formatCode>
                  <c:ptCount val="1"/>
                  <c:pt idx="0">
                    <c:v>0.59815085967171078</c:v>
                  </c:pt>
                </c:numCache>
              </c:numRef>
            </c:plus>
            <c:minus>
              <c:numRef>
                <c:f>'19O_Seeds'!$W$282</c:f>
                <c:numCache>
                  <c:formatCode>General</c:formatCode>
                  <c:ptCount val="1"/>
                  <c:pt idx="0">
                    <c:v>0.59815085967171078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'19O_Seeds'!$W$278</c:f>
              <c:numCache>
                <c:formatCode>0.00</c:formatCode>
                <c:ptCount val="1"/>
                <c:pt idx="0">
                  <c:v>98.396000668408419</c:v>
                </c:pt>
              </c:numCache>
            </c:numRef>
          </c:xVal>
          <c:yVal>
            <c:numRef>
              <c:f>'19O_Seeds'!$W$281</c:f>
              <c:numCache>
                <c:formatCode>0.00</c:formatCode>
                <c:ptCount val="1"/>
                <c:pt idx="0">
                  <c:v>97.869415807560131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C3-489A-956D-0E3ACBCFE599}"/>
            </c:ext>
          </c:extLst>
        </c:ser>
        <c:ser>
          <c:idx val="6"/>
          <c:order val="4"/>
          <c:tx>
            <c:strRef>
              <c:f>'19O_Seeds'!$X$14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'19O_Seeds'!$X$279</c:f>
                <c:numCache>
                  <c:formatCode>General</c:formatCode>
                  <c:ptCount val="1"/>
                  <c:pt idx="0">
                    <c:v>1.9379753479276487</c:v>
                  </c:pt>
                </c:numCache>
              </c:numRef>
            </c:plus>
            <c:minus>
              <c:numRef>
                <c:f>'19O_Seeds'!$X$279</c:f>
                <c:numCache>
                  <c:formatCode>General</c:formatCode>
                  <c:ptCount val="1"/>
                  <c:pt idx="0">
                    <c:v>1.9379753479276487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'19O_Seeds'!$X$282</c:f>
                <c:numCache>
                  <c:formatCode>General</c:formatCode>
                  <c:ptCount val="1"/>
                  <c:pt idx="0">
                    <c:v>0.79310202524788675</c:v>
                  </c:pt>
                </c:numCache>
              </c:numRef>
            </c:plus>
            <c:minus>
              <c:numRef>
                <c:f>'19O_Seeds'!$X$282</c:f>
                <c:numCache>
                  <c:formatCode>General</c:formatCode>
                  <c:ptCount val="1"/>
                  <c:pt idx="0">
                    <c:v>0.79310202524788675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'19O_Seeds'!$X$278</c:f>
              <c:numCache>
                <c:formatCode>0.00</c:formatCode>
                <c:ptCount val="1"/>
                <c:pt idx="0">
                  <c:v>95.71553376656432</c:v>
                </c:pt>
              </c:numCache>
            </c:numRef>
          </c:xVal>
          <c:yVal>
            <c:numRef>
              <c:f>'19O_Seeds'!$X$281</c:f>
              <c:numCache>
                <c:formatCode>0.00</c:formatCode>
                <c:ptCount val="1"/>
                <c:pt idx="0">
                  <c:v>93.161546085232899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C3-489A-956D-0E3ACBCFE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2019O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'19O_Seeds'!$T$14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'19O_Seeds'!$T$222</c:f>
                <c:numCache>
                  <c:formatCode>General</c:formatCode>
                  <c:ptCount val="1"/>
                  <c:pt idx="0">
                    <c:v>205.40164642598796</c:v>
                  </c:pt>
                </c:numCache>
              </c:numRef>
            </c:plus>
            <c:minus>
              <c:numRef>
                <c:f>'19O_Seeds'!$T$222</c:f>
                <c:numCache>
                  <c:formatCode>General</c:formatCode>
                  <c:ptCount val="1"/>
                  <c:pt idx="0">
                    <c:v>205.40164642598796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'19O_Seeds'!$T$224</c:f>
                <c:numCache>
                  <c:formatCode>General</c:formatCode>
                  <c:ptCount val="1"/>
                  <c:pt idx="0">
                    <c:v>1.3670718487170288</c:v>
                  </c:pt>
                </c:numCache>
              </c:numRef>
            </c:plus>
            <c:minus>
              <c:numRef>
                <c:f>'19O_Seeds'!$T$224</c:f>
                <c:numCache>
                  <c:formatCode>General</c:formatCode>
                  <c:ptCount val="1"/>
                  <c:pt idx="0">
                    <c:v>1.3670718487170288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'19O_Seeds'!$T$221</c:f>
              <c:numCache>
                <c:formatCode>0.00</c:formatCode>
                <c:ptCount val="1"/>
                <c:pt idx="0">
                  <c:v>22.579412950523892</c:v>
                </c:pt>
              </c:numCache>
            </c:numRef>
          </c:xVal>
          <c:yVal>
            <c:numRef>
              <c:f>'19O_Seeds'!$T$223</c:f>
              <c:numCache>
                <c:formatCode>0.00</c:formatCode>
                <c:ptCount val="1"/>
                <c:pt idx="0">
                  <c:v>9.4678492239467857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9B-4717-B7C7-648896A95F9C}"/>
            </c:ext>
          </c:extLst>
        </c:ser>
        <c:ser>
          <c:idx val="9"/>
          <c:order val="1"/>
          <c:tx>
            <c:strRef>
              <c:f>'19O_Seeds'!$U$14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'19O_Seeds'!$U$222</c:f>
                <c:numCache>
                  <c:formatCode>General</c:formatCode>
                  <c:ptCount val="1"/>
                  <c:pt idx="0">
                    <c:v>9.5735150149371258</c:v>
                  </c:pt>
                </c:numCache>
              </c:numRef>
            </c:plus>
            <c:minus>
              <c:numRef>
                <c:f>'19O_Seeds'!$U$222</c:f>
                <c:numCache>
                  <c:formatCode>General</c:formatCode>
                  <c:ptCount val="1"/>
                  <c:pt idx="0">
                    <c:v>9.5735150149371258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'19O_Seeds'!$U$224</c:f>
                <c:numCache>
                  <c:formatCode>General</c:formatCode>
                  <c:ptCount val="1"/>
                  <c:pt idx="0">
                    <c:v>2.9696168126276965</c:v>
                  </c:pt>
                </c:numCache>
              </c:numRef>
            </c:plus>
            <c:minus>
              <c:numRef>
                <c:f>'19O_Seeds'!$U$224</c:f>
                <c:numCache>
                  <c:formatCode>General</c:formatCode>
                  <c:ptCount val="1"/>
                  <c:pt idx="0">
                    <c:v>2.9696168126276965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'19O_Seeds'!$U$221</c:f>
              <c:numCache>
                <c:formatCode>0.00</c:formatCode>
                <c:ptCount val="1"/>
                <c:pt idx="0">
                  <c:v>79.496544226056244</c:v>
                </c:pt>
              </c:numCache>
            </c:numRef>
          </c:xVal>
          <c:yVal>
            <c:numRef>
              <c:f>'19O_Seeds'!$U$223</c:f>
              <c:numCache>
                <c:formatCode>0.00</c:formatCode>
                <c:ptCount val="1"/>
                <c:pt idx="0">
                  <c:v>94.561403508771917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9B-4717-B7C7-648896A95F9C}"/>
            </c:ext>
          </c:extLst>
        </c:ser>
        <c:ser>
          <c:idx val="7"/>
          <c:order val="2"/>
          <c:tx>
            <c:strRef>
              <c:f>'19O_Seeds'!$V$14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'19O_Seeds'!$V$222</c:f>
                <c:numCache>
                  <c:formatCode>General</c:formatCode>
                  <c:ptCount val="1"/>
                  <c:pt idx="0">
                    <c:v>0.16863142007421517</c:v>
                  </c:pt>
                </c:numCache>
              </c:numRef>
            </c:plus>
            <c:minus>
              <c:numRef>
                <c:f>'19O_Seeds'!$V$222</c:f>
                <c:numCache>
                  <c:formatCode>General</c:formatCode>
                  <c:ptCount val="1"/>
                  <c:pt idx="0">
                    <c:v>0.16863142007421517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'19O_Seeds'!$V$224</c:f>
                <c:numCache>
                  <c:formatCode>General</c:formatCode>
                  <c:ptCount val="1"/>
                  <c:pt idx="0">
                    <c:v>0.21404392069141936</c:v>
                  </c:pt>
                </c:numCache>
              </c:numRef>
            </c:plus>
            <c:minus>
              <c:numRef>
                <c:f>'19O_Seeds'!$V$224</c:f>
                <c:numCache>
                  <c:formatCode>General</c:formatCode>
                  <c:ptCount val="1"/>
                  <c:pt idx="0">
                    <c:v>0.21404392069141936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'19O_Seeds'!$V$221</c:f>
              <c:numCache>
                <c:formatCode>0.00</c:formatCode>
                <c:ptCount val="1"/>
                <c:pt idx="0">
                  <c:v>99.228929786040567</c:v>
                </c:pt>
              </c:numCache>
            </c:numRef>
          </c:xVal>
          <c:yVal>
            <c:numRef>
              <c:f>'19O_Seeds'!$V$223</c:f>
              <c:numCache>
                <c:formatCode>0.00</c:formatCode>
                <c:ptCount val="1"/>
                <c:pt idx="0">
                  <c:v>99.674242424242408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9B-4717-B7C7-648896A95F9C}"/>
            </c:ext>
          </c:extLst>
        </c:ser>
        <c:ser>
          <c:idx val="0"/>
          <c:order val="3"/>
          <c:tx>
            <c:strRef>
              <c:f>'19O_Seeds'!$W$14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'19O_Seeds'!$W$222</c:f>
                <c:numCache>
                  <c:formatCode>General</c:formatCode>
                  <c:ptCount val="1"/>
                  <c:pt idx="0">
                    <c:v>0.34038406439670571</c:v>
                  </c:pt>
                </c:numCache>
              </c:numRef>
            </c:plus>
            <c:minus>
              <c:numRef>
                <c:f>'19O_Seeds'!$W$222</c:f>
                <c:numCache>
                  <c:formatCode>General</c:formatCode>
                  <c:ptCount val="1"/>
                  <c:pt idx="0">
                    <c:v>0.34038406439670571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'19O_Seeds'!$W$224</c:f>
                <c:numCache>
                  <c:formatCode>General</c:formatCode>
                  <c:ptCount val="1"/>
                  <c:pt idx="0">
                    <c:v>0.58139474865478946</c:v>
                  </c:pt>
                </c:numCache>
              </c:numRef>
            </c:plus>
            <c:minus>
              <c:numRef>
                <c:f>'19O_Seeds'!$W$224</c:f>
                <c:numCache>
                  <c:formatCode>General</c:formatCode>
                  <c:ptCount val="1"/>
                  <c:pt idx="0">
                    <c:v>0.58139474865478946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'19O_Seeds'!$W$221</c:f>
              <c:numCache>
                <c:formatCode>0.00</c:formatCode>
                <c:ptCount val="1"/>
                <c:pt idx="0">
                  <c:v>98.451239988495558</c:v>
                </c:pt>
              </c:numCache>
            </c:numRef>
          </c:xVal>
          <c:yVal>
            <c:numRef>
              <c:f>'19O_Seeds'!$W$223</c:f>
              <c:numCache>
                <c:formatCode>0.00</c:formatCode>
                <c:ptCount val="1"/>
                <c:pt idx="0">
                  <c:v>97.989690721649453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9B-4717-B7C7-648896A95F9C}"/>
            </c:ext>
          </c:extLst>
        </c:ser>
        <c:ser>
          <c:idx val="6"/>
          <c:order val="4"/>
          <c:tx>
            <c:strRef>
              <c:f>'19O_Seeds'!$X$14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'19O_Seeds'!$X$222</c:f>
                <c:numCache>
                  <c:formatCode>General</c:formatCode>
                  <c:ptCount val="1"/>
                  <c:pt idx="0">
                    <c:v>1.7852748500693856</c:v>
                  </c:pt>
                </c:numCache>
              </c:numRef>
            </c:plus>
            <c:minus>
              <c:numRef>
                <c:f>'19O_Seeds'!$X$222</c:f>
                <c:numCache>
                  <c:formatCode>General</c:formatCode>
                  <c:ptCount val="1"/>
                  <c:pt idx="0">
                    <c:v>1.7852748500693856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'19O_Seeds'!$X$224</c:f>
                <c:numCache>
                  <c:formatCode>General</c:formatCode>
                  <c:ptCount val="1"/>
                  <c:pt idx="0">
                    <c:v>0.76080355817848744</c:v>
                  </c:pt>
                </c:numCache>
              </c:numRef>
            </c:plus>
            <c:minus>
              <c:numRef>
                <c:f>'19O_Seeds'!$X$224</c:f>
                <c:numCache>
                  <c:formatCode>General</c:formatCode>
                  <c:ptCount val="1"/>
                  <c:pt idx="0">
                    <c:v>0.76080355817848744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'19O_Seeds'!$X$221</c:f>
              <c:numCache>
                <c:formatCode>0.00</c:formatCode>
                <c:ptCount val="1"/>
                <c:pt idx="0">
                  <c:v>96.30377876628387</c:v>
                </c:pt>
              </c:numCache>
            </c:numRef>
          </c:xVal>
          <c:yVal>
            <c:numRef>
              <c:f>'19O_Seeds'!$X$223</c:f>
              <c:numCache>
                <c:formatCode>0.00</c:formatCode>
                <c:ptCount val="1"/>
                <c:pt idx="0">
                  <c:v>93.736372646184336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29B-4717-B7C7-648896A95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2019O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'19O_Seeds'!$T$14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'19O_Seeds'!$AL$112</c:f>
                <c:numCache>
                  <c:formatCode>General</c:formatCode>
                  <c:ptCount val="1"/>
                  <c:pt idx="0">
                    <c:v>226.30585798530535</c:v>
                  </c:pt>
                </c:numCache>
              </c:numRef>
            </c:plus>
            <c:minus>
              <c:numRef>
                <c:f>'19O_Seeds'!$AL$112</c:f>
                <c:numCache>
                  <c:formatCode>General</c:formatCode>
                  <c:ptCount val="1"/>
                  <c:pt idx="0">
                    <c:v>226.30585798530535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'19O_Seeds'!$AL$114</c:f>
                <c:numCache>
                  <c:formatCode>General</c:formatCode>
                  <c:ptCount val="1"/>
                  <c:pt idx="0">
                    <c:v>1.3551927136362363</c:v>
                  </c:pt>
                </c:numCache>
              </c:numRef>
            </c:plus>
            <c:minus>
              <c:numRef>
                <c:f>'19O_Seeds'!$AL$114</c:f>
                <c:numCache>
                  <c:formatCode>General</c:formatCode>
                  <c:ptCount val="1"/>
                  <c:pt idx="0">
                    <c:v>1.3551927136362363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'19O_Seeds'!$AL$111</c:f>
              <c:numCache>
                <c:formatCode>0.00</c:formatCode>
                <c:ptCount val="1"/>
                <c:pt idx="0">
                  <c:v>18.637662454662976</c:v>
                </c:pt>
              </c:numCache>
            </c:numRef>
          </c:xVal>
          <c:yVal>
            <c:numRef>
              <c:f>'19O_Seeds'!$AL$113</c:f>
              <c:numCache>
                <c:formatCode>0.00</c:formatCode>
                <c:ptCount val="1"/>
                <c:pt idx="0">
                  <c:v>9.0909090909090917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F-4761-B52C-A37FB3E22DD0}"/>
            </c:ext>
          </c:extLst>
        </c:ser>
        <c:ser>
          <c:idx val="9"/>
          <c:order val="1"/>
          <c:tx>
            <c:strRef>
              <c:f>'19O_Seeds'!$U$14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'19O_Seeds'!$U$222</c:f>
                <c:numCache>
                  <c:formatCode>General</c:formatCode>
                  <c:ptCount val="1"/>
                  <c:pt idx="0">
                    <c:v>9.5735150149371258</c:v>
                  </c:pt>
                </c:numCache>
              </c:numRef>
            </c:plus>
            <c:minus>
              <c:numRef>
                <c:f>'19O_Seeds'!$U$222</c:f>
                <c:numCache>
                  <c:formatCode>General</c:formatCode>
                  <c:ptCount val="1"/>
                  <c:pt idx="0">
                    <c:v>9.5735150149371258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'19O_Seeds'!$U$224</c:f>
                <c:numCache>
                  <c:formatCode>General</c:formatCode>
                  <c:ptCount val="1"/>
                  <c:pt idx="0">
                    <c:v>2.9696168126276965</c:v>
                  </c:pt>
                </c:numCache>
              </c:numRef>
            </c:plus>
            <c:minus>
              <c:numRef>
                <c:f>'19O_Seeds'!$U$224</c:f>
                <c:numCache>
                  <c:formatCode>General</c:formatCode>
                  <c:ptCount val="1"/>
                  <c:pt idx="0">
                    <c:v>2.9696168126276965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'19O_Seeds'!$AM$111</c:f>
              <c:numCache>
                <c:formatCode>0.00</c:formatCode>
                <c:ptCount val="1"/>
                <c:pt idx="0">
                  <c:v>83.321823538797602</c:v>
                </c:pt>
              </c:numCache>
            </c:numRef>
          </c:xVal>
          <c:yVal>
            <c:numRef>
              <c:f>'19O_Seeds'!$AM$113</c:f>
              <c:numCache>
                <c:formatCode>0.00</c:formatCode>
                <c:ptCount val="1"/>
                <c:pt idx="0">
                  <c:v>96.491228070175438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0F-4761-B52C-A37FB3E22DD0}"/>
            </c:ext>
          </c:extLst>
        </c:ser>
        <c:ser>
          <c:idx val="7"/>
          <c:order val="2"/>
          <c:tx>
            <c:strRef>
              <c:f>'19O_Seeds'!$V$14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'19O_Seeds'!$AN$112</c:f>
                <c:numCache>
                  <c:formatCode>General</c:formatCode>
                  <c:ptCount val="1"/>
                  <c:pt idx="0">
                    <c:v>0.16419115828813854</c:v>
                  </c:pt>
                </c:numCache>
              </c:numRef>
            </c:plus>
            <c:minus>
              <c:numRef>
                <c:f>'19O_Seeds'!$AN$112</c:f>
                <c:numCache>
                  <c:formatCode>General</c:formatCode>
                  <c:ptCount val="1"/>
                  <c:pt idx="0">
                    <c:v>0.16419115828813854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'19O_Seeds'!$AN$114</c:f>
                <c:numCache>
                  <c:formatCode>General</c:formatCode>
                  <c:ptCount val="1"/>
                  <c:pt idx="0">
                    <c:v>0.15151515151514658</c:v>
                  </c:pt>
                </c:numCache>
              </c:numRef>
            </c:plus>
            <c:minus>
              <c:numRef>
                <c:f>'19O_Seeds'!$AN$114</c:f>
                <c:numCache>
                  <c:formatCode>General</c:formatCode>
                  <c:ptCount val="1"/>
                  <c:pt idx="0">
                    <c:v>0.15151515151514658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'19O_Seeds'!$AN$111</c:f>
              <c:numCache>
                <c:formatCode>0.00</c:formatCode>
                <c:ptCount val="1"/>
                <c:pt idx="0">
                  <c:v>99.242574535516596</c:v>
                </c:pt>
              </c:numCache>
            </c:numRef>
          </c:xVal>
          <c:yVal>
            <c:numRef>
              <c:f>'19O_Seeds'!$AN$113</c:f>
              <c:numCache>
                <c:formatCode>0.00</c:formatCode>
                <c:ptCount val="1"/>
                <c:pt idx="0">
                  <c:v>99.848484848484858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0F-4761-B52C-A37FB3E22DD0}"/>
            </c:ext>
          </c:extLst>
        </c:ser>
        <c:ser>
          <c:idx val="0"/>
          <c:order val="3"/>
          <c:tx>
            <c:strRef>
              <c:f>'19O_Seeds'!$W$14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'19O_Seeds'!$AO$112</c:f>
                <c:numCache>
                  <c:formatCode>General</c:formatCode>
                  <c:ptCount val="1"/>
                  <c:pt idx="0">
                    <c:v>0.32214844962137273</c:v>
                  </c:pt>
                </c:numCache>
              </c:numRef>
            </c:plus>
            <c:minus>
              <c:numRef>
                <c:f>'19O_Seeds'!$AO$112</c:f>
                <c:numCache>
                  <c:formatCode>General</c:formatCode>
                  <c:ptCount val="1"/>
                  <c:pt idx="0">
                    <c:v>0.32214844962137273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'19O_Seeds'!$AO$114</c:f>
                <c:numCache>
                  <c:formatCode>General</c:formatCode>
                  <c:ptCount val="1"/>
                  <c:pt idx="0">
                    <c:v>0.56494132717154499</c:v>
                  </c:pt>
                </c:numCache>
              </c:numRef>
            </c:plus>
            <c:minus>
              <c:numRef>
                <c:f>'19O_Seeds'!$AO$114</c:f>
                <c:numCache>
                  <c:formatCode>General</c:formatCode>
                  <c:ptCount val="1"/>
                  <c:pt idx="0">
                    <c:v>0.56494132717154499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'19O_Seeds'!$AO$111</c:f>
              <c:numCache>
                <c:formatCode>0.00</c:formatCode>
                <c:ptCount val="1"/>
                <c:pt idx="0">
                  <c:v>98.526760953433183</c:v>
                </c:pt>
              </c:numCache>
            </c:numRef>
          </c:xVal>
          <c:yVal>
            <c:numRef>
              <c:f>'19O_Seeds'!$AO$113</c:f>
              <c:numCache>
                <c:formatCode>0.00</c:formatCode>
                <c:ptCount val="1"/>
                <c:pt idx="0">
                  <c:v>98.109965635738845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0F-4761-B52C-A37FB3E22DD0}"/>
            </c:ext>
          </c:extLst>
        </c:ser>
        <c:ser>
          <c:idx val="6"/>
          <c:order val="4"/>
          <c:tx>
            <c:strRef>
              <c:f>'19O_Seeds'!$X$14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'19O_Seeds'!$AP$112</c:f>
                <c:numCache>
                  <c:formatCode>General</c:formatCode>
                  <c:ptCount val="1"/>
                  <c:pt idx="0">
                    <c:v>1.564061153625018</c:v>
                  </c:pt>
                </c:numCache>
              </c:numRef>
            </c:plus>
            <c:minus>
              <c:numRef>
                <c:f>'19O_Seeds'!$AP$112</c:f>
                <c:numCache>
                  <c:formatCode>General</c:formatCode>
                  <c:ptCount val="1"/>
                  <c:pt idx="0">
                    <c:v>1.564061153625018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'19O_Seeds'!$AP$114</c:f>
                <c:numCache>
                  <c:formatCode>General</c:formatCode>
                  <c:ptCount val="1"/>
                  <c:pt idx="0">
                    <c:v>0.76206920214220453</c:v>
                  </c:pt>
                </c:numCache>
              </c:numRef>
            </c:plus>
            <c:minus>
              <c:numRef>
                <c:f>'19O_Seeds'!$AP$114</c:f>
                <c:numCache>
                  <c:formatCode>General</c:formatCode>
                  <c:ptCount val="1"/>
                  <c:pt idx="0">
                    <c:v>0.76206920214220453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'19O_Seeds'!$AP$111</c:f>
              <c:numCache>
                <c:formatCode>0.00</c:formatCode>
                <c:ptCount val="1"/>
                <c:pt idx="0">
                  <c:v>97.236513416049533</c:v>
                </c:pt>
              </c:numCache>
            </c:numRef>
          </c:xVal>
          <c:yVal>
            <c:numRef>
              <c:f>'19O_Seeds'!$AP$113</c:f>
              <c:numCache>
                <c:formatCode>0.00</c:formatCode>
                <c:ptCount val="1"/>
                <c:pt idx="0">
                  <c:v>93.756194251734399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0F-4761-B52C-A37FB3E22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'19M_Seeds'!$T$14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'19M_Seeds'!$T$279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'19M_Seeds'!$T$282</c:f>
                <c:numCache>
                  <c:formatCode>General</c:formatCode>
                  <c:ptCount val="1"/>
                  <c:pt idx="0">
                    <c:v>2.3209013355549004</c:v>
                  </c:pt>
                </c:numCache>
              </c:numRef>
            </c:plus>
            <c:minus>
              <c:numRef>
                <c:f>'19M_Seeds'!$T$282</c:f>
                <c:numCache>
                  <c:formatCode>General</c:formatCode>
                  <c:ptCount val="1"/>
                  <c:pt idx="0">
                    <c:v>2.3209013355549004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'19M_Seeds'!$T$278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'19M_Seeds'!$T$281</c:f>
              <c:numCache>
                <c:formatCode>0.00</c:formatCode>
                <c:ptCount val="1"/>
                <c:pt idx="0">
                  <c:v>51.2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3A-4C01-8695-64855FC061B6}"/>
            </c:ext>
          </c:extLst>
        </c:ser>
        <c:ser>
          <c:idx val="9"/>
          <c:order val="1"/>
          <c:tx>
            <c:strRef>
              <c:f>'19M_Seeds'!$U$14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'19M_Seeds'!$U$279</c:f>
                <c:numCache>
                  <c:formatCode>General</c:formatCode>
                  <c:ptCount val="1"/>
                  <c:pt idx="0">
                    <c:v>6.6735625702156414</c:v>
                  </c:pt>
                </c:numCache>
              </c:numRef>
            </c:plus>
            <c:minus>
              <c:numRef>
                <c:f>'19M_Seeds'!$U$279</c:f>
                <c:numCache>
                  <c:formatCode>General</c:formatCode>
                  <c:ptCount val="1"/>
                  <c:pt idx="0">
                    <c:v>6.6735625702156414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'19M_Seeds'!$U$282</c:f>
                <c:numCache>
                  <c:formatCode>General</c:formatCode>
                  <c:ptCount val="1"/>
                  <c:pt idx="0">
                    <c:v>3.5495759668739382</c:v>
                  </c:pt>
                </c:numCache>
              </c:numRef>
            </c:plus>
            <c:minus>
              <c:numRef>
                <c:f>'19M_Seeds'!$U$282</c:f>
                <c:numCache>
                  <c:formatCode>General</c:formatCode>
                  <c:ptCount val="1"/>
                  <c:pt idx="0">
                    <c:v>3.5495759668739382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'19M_Seeds'!$U$278</c:f>
              <c:numCache>
                <c:formatCode>0.00</c:formatCode>
                <c:ptCount val="1"/>
                <c:pt idx="0">
                  <c:v>86.88814003426009</c:v>
                </c:pt>
              </c:numCache>
            </c:numRef>
          </c:xVal>
          <c:yVal>
            <c:numRef>
              <c:f>'19M_Seeds'!$U$281</c:f>
              <c:numCache>
                <c:formatCode>0.00</c:formatCode>
                <c:ptCount val="1"/>
                <c:pt idx="0">
                  <c:v>91.25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3A-4C01-8695-64855FC061B6}"/>
            </c:ext>
          </c:extLst>
        </c:ser>
        <c:ser>
          <c:idx val="7"/>
          <c:order val="2"/>
          <c:tx>
            <c:strRef>
              <c:f>'19M_Seeds'!$V$14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'19M_Seeds'!$V$282</c:f>
                <c:numCache>
                  <c:formatCode>General</c:formatCode>
                  <c:ptCount val="1"/>
                  <c:pt idx="0">
                    <c:v>0.50912354011135486</c:v>
                  </c:pt>
                </c:numCache>
              </c:numRef>
            </c:plus>
            <c:minus>
              <c:numRef>
                <c:f>'19M_Seeds'!$V$282</c:f>
                <c:numCache>
                  <c:formatCode>General</c:formatCode>
                  <c:ptCount val="1"/>
                  <c:pt idx="0">
                    <c:v>0.50912354011135486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'19M_Seeds'!$V$282</c:f>
                <c:numCache>
                  <c:formatCode>General</c:formatCode>
                  <c:ptCount val="1"/>
                  <c:pt idx="0">
                    <c:v>0.50912354011135486</c:v>
                  </c:pt>
                </c:numCache>
              </c:numRef>
            </c:plus>
            <c:minus>
              <c:numRef>
                <c:f>'19M_Seeds'!$V$282</c:f>
                <c:numCache>
                  <c:formatCode>General</c:formatCode>
                  <c:ptCount val="1"/>
                  <c:pt idx="0">
                    <c:v>0.50912354011135486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'19M_Seeds'!$V$278</c:f>
              <c:numCache>
                <c:formatCode>0.00</c:formatCode>
                <c:ptCount val="1"/>
                <c:pt idx="0">
                  <c:v>95.004284457217736</c:v>
                </c:pt>
              </c:numCache>
            </c:numRef>
          </c:xVal>
          <c:yVal>
            <c:numRef>
              <c:f>'19M_Seeds'!$V$281</c:f>
              <c:numCache>
                <c:formatCode>0.00</c:formatCode>
                <c:ptCount val="1"/>
                <c:pt idx="0">
                  <c:v>98.02139037433156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3A-4C01-8695-64855FC061B6}"/>
            </c:ext>
          </c:extLst>
        </c:ser>
        <c:ser>
          <c:idx val="0"/>
          <c:order val="3"/>
          <c:tx>
            <c:strRef>
              <c:f>'19M_Seeds'!$W$14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'19M_Seeds'!$W$279</c:f>
                <c:numCache>
                  <c:formatCode>General</c:formatCode>
                  <c:ptCount val="1"/>
                  <c:pt idx="0">
                    <c:v>1.1039237691881703</c:v>
                  </c:pt>
                </c:numCache>
              </c:numRef>
            </c:plus>
            <c:minus>
              <c:numRef>
                <c:f>'19M_Seeds'!$W$279</c:f>
                <c:numCache>
                  <c:formatCode>General</c:formatCode>
                  <c:ptCount val="1"/>
                  <c:pt idx="0">
                    <c:v>1.1039237691881703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'19M_Seeds'!$W$282</c:f>
                <c:numCache>
                  <c:formatCode>General</c:formatCode>
                  <c:ptCount val="1"/>
                  <c:pt idx="0">
                    <c:v>1.2525931894740905</c:v>
                  </c:pt>
                </c:numCache>
              </c:numRef>
            </c:plus>
            <c:minus>
              <c:numRef>
                <c:f>'19M_Seeds'!$W$282</c:f>
                <c:numCache>
                  <c:formatCode>General</c:formatCode>
                  <c:ptCount val="1"/>
                  <c:pt idx="0">
                    <c:v>1.2525931894740905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'19M_Seeds'!$W$278</c:f>
              <c:numCache>
                <c:formatCode>0.00</c:formatCode>
                <c:ptCount val="1"/>
                <c:pt idx="0">
                  <c:v>95.516911706089587</c:v>
                </c:pt>
              </c:numCache>
            </c:numRef>
          </c:xVal>
          <c:yVal>
            <c:numRef>
              <c:f>'19M_Seeds'!$W$281</c:f>
              <c:numCache>
                <c:formatCode>0.00</c:formatCode>
                <c:ptCount val="1"/>
                <c:pt idx="0">
                  <c:v>89.126213592233015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3A-4C01-8695-64855FC061B6}"/>
            </c:ext>
          </c:extLst>
        </c:ser>
        <c:ser>
          <c:idx val="6"/>
          <c:order val="4"/>
          <c:tx>
            <c:strRef>
              <c:f>'19M_Seeds'!$X$14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'19M_Seeds'!$X$279</c:f>
                <c:numCache>
                  <c:formatCode>General</c:formatCode>
                  <c:ptCount val="1"/>
                  <c:pt idx="0">
                    <c:v>2.6938640225359696</c:v>
                  </c:pt>
                </c:numCache>
              </c:numRef>
            </c:plus>
            <c:minus>
              <c:numRef>
                <c:f>'19M_Seeds'!$X$279</c:f>
                <c:numCache>
                  <c:formatCode>General</c:formatCode>
                  <c:ptCount val="1"/>
                  <c:pt idx="0">
                    <c:v>2.6938640225359696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'19M_Seeds'!$X$282</c:f>
                <c:numCache>
                  <c:formatCode>General</c:formatCode>
                  <c:ptCount val="1"/>
                  <c:pt idx="0">
                    <c:v>0.6299876499974858</c:v>
                  </c:pt>
                </c:numCache>
              </c:numRef>
            </c:plus>
            <c:minus>
              <c:numRef>
                <c:f>'19M_Seeds'!$X$282</c:f>
                <c:numCache>
                  <c:formatCode>General</c:formatCode>
                  <c:ptCount val="1"/>
                  <c:pt idx="0">
                    <c:v>0.6299876499974858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'19M_Seeds'!$X$278</c:f>
              <c:numCache>
                <c:formatCode>0.00</c:formatCode>
                <c:ptCount val="1"/>
                <c:pt idx="0">
                  <c:v>90.234037244308411</c:v>
                </c:pt>
              </c:numCache>
            </c:numRef>
          </c:xVal>
          <c:yVal>
            <c:numRef>
              <c:f>'19M_Seeds'!$X$281</c:f>
              <c:numCache>
                <c:formatCode>0.00</c:formatCode>
                <c:ptCount val="1"/>
                <c:pt idx="0">
                  <c:v>95.794669299111547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93A-4C01-8695-64855FC06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'19M_Seeds'!$T$14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'19M_Seeds'!$T$222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'19M_Seeds'!$T$224</c:f>
                <c:numCache>
                  <c:formatCode>General</c:formatCode>
                  <c:ptCount val="1"/>
                  <c:pt idx="0">
                    <c:v>2.3011785548446841</c:v>
                  </c:pt>
                </c:numCache>
              </c:numRef>
            </c:plus>
            <c:minus>
              <c:numRef>
                <c:f>'19M_Seeds'!$T$224</c:f>
                <c:numCache>
                  <c:formatCode>General</c:formatCode>
                  <c:ptCount val="1"/>
                  <c:pt idx="0">
                    <c:v>2.3011785548446841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'19M_Seeds'!$T$221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'19M_Seeds'!$T$223</c:f>
              <c:numCache>
                <c:formatCode>0.00</c:formatCode>
                <c:ptCount val="1"/>
                <c:pt idx="0">
                  <c:v>47.911111111111119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5-4C72-ACA6-CF4344D8717C}"/>
            </c:ext>
          </c:extLst>
        </c:ser>
        <c:ser>
          <c:idx val="9"/>
          <c:order val="1"/>
          <c:tx>
            <c:strRef>
              <c:f>'19M_Seeds'!$U$14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'19M_Seeds'!$U$222</c:f>
                <c:numCache>
                  <c:formatCode>General</c:formatCode>
                  <c:ptCount val="1"/>
                  <c:pt idx="0">
                    <c:v>5.4751149696131165</c:v>
                  </c:pt>
                </c:numCache>
              </c:numRef>
            </c:plus>
            <c:minus>
              <c:numRef>
                <c:f>'19M_Seeds'!$U$222</c:f>
                <c:numCache>
                  <c:formatCode>General</c:formatCode>
                  <c:ptCount val="1"/>
                  <c:pt idx="0">
                    <c:v>5.4751149696131165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'19M_Seeds'!$U$224</c:f>
                <c:numCache>
                  <c:formatCode>General</c:formatCode>
                  <c:ptCount val="1"/>
                  <c:pt idx="0">
                    <c:v>3.517997296132811</c:v>
                  </c:pt>
                </c:numCache>
              </c:numRef>
            </c:plus>
            <c:minus>
              <c:numRef>
                <c:f>'19M_Seeds'!$U$224</c:f>
                <c:numCache>
                  <c:formatCode>General</c:formatCode>
                  <c:ptCount val="1"/>
                  <c:pt idx="0">
                    <c:v>3.517997296132811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'19M_Seeds'!$U$221</c:f>
              <c:numCache>
                <c:formatCode>0.00</c:formatCode>
                <c:ptCount val="1"/>
                <c:pt idx="0">
                  <c:v>87.814605185389951</c:v>
                </c:pt>
              </c:numCache>
            </c:numRef>
          </c:xVal>
          <c:yVal>
            <c:numRef>
              <c:f>'19M_Seeds'!$U$223</c:f>
              <c:numCache>
                <c:formatCode>0.00</c:formatCode>
                <c:ptCount val="1"/>
                <c:pt idx="0">
                  <c:v>91.40625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D5-4C72-ACA6-CF4344D8717C}"/>
            </c:ext>
          </c:extLst>
        </c:ser>
        <c:ser>
          <c:idx val="7"/>
          <c:order val="2"/>
          <c:tx>
            <c:strRef>
              <c:f>'19M_Seeds'!$V$14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'19M_Seeds'!$V$222</c:f>
                <c:numCache>
                  <c:formatCode>General</c:formatCode>
                  <c:ptCount val="1"/>
                  <c:pt idx="0">
                    <c:v>0.63509442713483166</c:v>
                  </c:pt>
                </c:numCache>
              </c:numRef>
            </c:plus>
            <c:minus>
              <c:numRef>
                <c:f>'19M_Seeds'!$V$222</c:f>
                <c:numCache>
                  <c:formatCode>General</c:formatCode>
                  <c:ptCount val="1"/>
                  <c:pt idx="0">
                    <c:v>0.63509442713483166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'19M_Seeds'!$V$224</c:f>
                <c:numCache>
                  <c:formatCode>General</c:formatCode>
                  <c:ptCount val="1"/>
                  <c:pt idx="0">
                    <c:v>0.51463722216836016</c:v>
                  </c:pt>
                </c:numCache>
              </c:numRef>
            </c:plus>
            <c:minus>
              <c:numRef>
                <c:f>'19M_Seeds'!$V$224</c:f>
                <c:numCache>
                  <c:formatCode>General</c:formatCode>
                  <c:ptCount val="1"/>
                  <c:pt idx="0">
                    <c:v>0.51463722216836016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'19M_Seeds'!$V$221</c:f>
              <c:numCache>
                <c:formatCode>0.00</c:formatCode>
                <c:ptCount val="1"/>
                <c:pt idx="0">
                  <c:v>95.093697883602928</c:v>
                </c:pt>
              </c:numCache>
            </c:numRef>
          </c:xVal>
          <c:yVal>
            <c:numRef>
              <c:f>'19M_Seeds'!$V$223</c:f>
              <c:numCache>
                <c:formatCode>0.00</c:formatCode>
                <c:ptCount val="1"/>
                <c:pt idx="0">
                  <c:v>97.974598930481278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D5-4C72-ACA6-CF4344D8717C}"/>
            </c:ext>
          </c:extLst>
        </c:ser>
        <c:ser>
          <c:idx val="0"/>
          <c:order val="3"/>
          <c:tx>
            <c:strRef>
              <c:f>'19M_Seeds'!$W$14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'19M_Seeds'!$W$222</c:f>
                <c:numCache>
                  <c:formatCode>General</c:formatCode>
                  <c:ptCount val="1"/>
                  <c:pt idx="0">
                    <c:v>1.111872074002376</c:v>
                  </c:pt>
                </c:numCache>
              </c:numRef>
            </c:plus>
            <c:minus>
              <c:numRef>
                <c:f>'19M_Seeds'!$W$222</c:f>
                <c:numCache>
                  <c:formatCode>General</c:formatCode>
                  <c:ptCount val="1"/>
                  <c:pt idx="0">
                    <c:v>1.111872074002376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'19M_Seeds'!$W$224</c:f>
                <c:numCache>
                  <c:formatCode>General</c:formatCode>
                  <c:ptCount val="1"/>
                  <c:pt idx="0">
                    <c:v>1.2431706972297392</c:v>
                  </c:pt>
                </c:numCache>
              </c:numRef>
            </c:plus>
            <c:minus>
              <c:numRef>
                <c:f>'19M_Seeds'!$W$224</c:f>
                <c:numCache>
                  <c:formatCode>General</c:formatCode>
                  <c:ptCount val="1"/>
                  <c:pt idx="0">
                    <c:v>1.2431706972297392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'19M_Seeds'!$W$221</c:f>
              <c:numCache>
                <c:formatCode>0.00</c:formatCode>
                <c:ptCount val="1"/>
                <c:pt idx="0">
                  <c:v>95.428803444707427</c:v>
                </c:pt>
              </c:numCache>
            </c:numRef>
          </c:xVal>
          <c:yVal>
            <c:numRef>
              <c:f>'19M_Seeds'!$W$223</c:f>
              <c:numCache>
                <c:formatCode>0.00</c:formatCode>
                <c:ptCount val="1"/>
                <c:pt idx="0">
                  <c:v>89.312297734627819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D5-4C72-ACA6-CF4344D8717C}"/>
            </c:ext>
          </c:extLst>
        </c:ser>
        <c:ser>
          <c:idx val="6"/>
          <c:order val="4"/>
          <c:tx>
            <c:strRef>
              <c:f>'19M_Seeds'!$X$14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'19M_Seeds'!$X$222</c:f>
                <c:numCache>
                  <c:formatCode>General</c:formatCode>
                  <c:ptCount val="1"/>
                  <c:pt idx="0">
                    <c:v>2.693507672495548</c:v>
                  </c:pt>
                </c:numCache>
              </c:numRef>
            </c:plus>
            <c:minus>
              <c:numRef>
                <c:f>'19M_Seeds'!$X$222</c:f>
                <c:numCache>
                  <c:formatCode>General</c:formatCode>
                  <c:ptCount val="1"/>
                  <c:pt idx="0">
                    <c:v>2.693507672495548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'19M_Seeds'!$X$224</c:f>
                <c:numCache>
                  <c:formatCode>General</c:formatCode>
                  <c:ptCount val="1"/>
                  <c:pt idx="0">
                    <c:v>0.62696437112381154</c:v>
                  </c:pt>
                </c:numCache>
              </c:numRef>
            </c:plus>
            <c:minus>
              <c:numRef>
                <c:f>'19M_Seeds'!$X$224</c:f>
                <c:numCache>
                  <c:formatCode>General</c:formatCode>
                  <c:ptCount val="1"/>
                  <c:pt idx="0">
                    <c:v>0.62696437112381154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'19M_Seeds'!$X$221</c:f>
              <c:numCache>
                <c:formatCode>0.00</c:formatCode>
                <c:ptCount val="1"/>
                <c:pt idx="0">
                  <c:v>90.29454239315713</c:v>
                </c:pt>
              </c:numCache>
            </c:numRef>
          </c:xVal>
          <c:yVal>
            <c:numRef>
              <c:f>'19M_Seeds'!$X$223</c:f>
              <c:numCache>
                <c:formatCode>0.00</c:formatCode>
                <c:ptCount val="1"/>
                <c:pt idx="0">
                  <c:v>95.829220138203368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D5-4C72-ACA6-CF4344D87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4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  <c:majorUnit val="5"/>
        <c:minorUnit val="1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2001T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'19M_Seeds'!$T$14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'19M_Seeds'!$AL$112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'19M_Seeds'!$AL$114</c:f>
                <c:numCache>
                  <c:formatCode>General</c:formatCode>
                  <c:ptCount val="1"/>
                  <c:pt idx="0">
                    <c:v>2.3577574185109524</c:v>
                  </c:pt>
                </c:numCache>
              </c:numRef>
            </c:plus>
            <c:minus>
              <c:numRef>
                <c:f>'19M_Seeds'!$AL$114</c:f>
                <c:numCache>
                  <c:formatCode>General</c:formatCode>
                  <c:ptCount val="1"/>
                  <c:pt idx="0">
                    <c:v>2.3577574185109524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'19M_Seeds'!$AL$111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'19M_Seeds'!$AL$113</c:f>
              <c:numCache>
                <c:formatCode>0.00</c:formatCode>
                <c:ptCount val="1"/>
                <c:pt idx="0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1-4EF7-9A6D-1FC42BC9BC5A}"/>
            </c:ext>
          </c:extLst>
        </c:ser>
        <c:ser>
          <c:idx val="9"/>
          <c:order val="1"/>
          <c:tx>
            <c:strRef>
              <c:f>'19M_Seeds'!$U$14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'19M_Seeds'!$U$222</c:f>
                <c:numCache>
                  <c:formatCode>General</c:formatCode>
                  <c:ptCount val="1"/>
                  <c:pt idx="0">
                    <c:v>5.4751149696131165</c:v>
                  </c:pt>
                </c:numCache>
              </c:numRef>
            </c:plus>
            <c:minus>
              <c:numRef>
                <c:f>'19M_Seeds'!$U$222</c:f>
                <c:numCache>
                  <c:formatCode>General</c:formatCode>
                  <c:ptCount val="1"/>
                  <c:pt idx="0">
                    <c:v>5.4751149696131165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'19M_Seeds'!$U$224</c:f>
                <c:numCache>
                  <c:formatCode>General</c:formatCode>
                  <c:ptCount val="1"/>
                  <c:pt idx="0">
                    <c:v>3.517997296132811</c:v>
                  </c:pt>
                </c:numCache>
              </c:numRef>
            </c:plus>
            <c:minus>
              <c:numRef>
                <c:f>'19M_Seeds'!$U$224</c:f>
                <c:numCache>
                  <c:formatCode>General</c:formatCode>
                  <c:ptCount val="1"/>
                  <c:pt idx="0">
                    <c:v>3.517997296132811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'19M_Seeds'!$AM$111</c:f>
              <c:numCache>
                <c:formatCode>0.00</c:formatCode>
                <c:ptCount val="1"/>
                <c:pt idx="0">
                  <c:v>88.155748523560035</c:v>
                </c:pt>
              </c:numCache>
            </c:numRef>
          </c:xVal>
          <c:yVal>
            <c:numRef>
              <c:f>'19M_Seeds'!$AM$113</c:f>
              <c:numCache>
                <c:formatCode>0.00</c:formatCode>
                <c:ptCount val="1"/>
                <c:pt idx="0">
                  <c:v>87.5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F1-4EF7-9A6D-1FC42BC9BC5A}"/>
            </c:ext>
          </c:extLst>
        </c:ser>
        <c:ser>
          <c:idx val="7"/>
          <c:order val="2"/>
          <c:tx>
            <c:strRef>
              <c:f>'19M_Seeds'!$V$14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'19M_Seeds'!$AN$112</c:f>
                <c:numCache>
                  <c:formatCode>General</c:formatCode>
                  <c:ptCount val="1"/>
                  <c:pt idx="0">
                    <c:v>0.66097185068799191</c:v>
                  </c:pt>
                </c:numCache>
              </c:numRef>
            </c:plus>
            <c:minus>
              <c:numRef>
                <c:f>'19M_Seeds'!$AN$112</c:f>
                <c:numCache>
                  <c:formatCode>General</c:formatCode>
                  <c:ptCount val="1"/>
                  <c:pt idx="0">
                    <c:v>0.66097185068799191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'19M_Seeds'!$AN$114</c:f>
                <c:numCache>
                  <c:formatCode>General</c:formatCode>
                  <c:ptCount val="1"/>
                  <c:pt idx="0">
                    <c:v>0.560706749365393</c:v>
                  </c:pt>
                </c:numCache>
              </c:numRef>
            </c:plus>
            <c:minus>
              <c:numRef>
                <c:f>'19M_Seeds'!$AN$114</c:f>
                <c:numCache>
                  <c:formatCode>General</c:formatCode>
                  <c:ptCount val="1"/>
                  <c:pt idx="0">
                    <c:v>0.560706749365393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'19M_Seeds'!$AN$111</c:f>
              <c:numCache>
                <c:formatCode>0.00</c:formatCode>
                <c:ptCount val="1"/>
                <c:pt idx="0">
                  <c:v>94.78796383219894</c:v>
                </c:pt>
              </c:numCache>
            </c:numRef>
          </c:xVal>
          <c:yVal>
            <c:numRef>
              <c:f>'19M_Seeds'!$AN$113</c:f>
              <c:numCache>
                <c:formatCode>0.00</c:formatCode>
                <c:ptCount val="1"/>
                <c:pt idx="0">
                  <c:v>97.593582887700549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F1-4EF7-9A6D-1FC42BC9BC5A}"/>
            </c:ext>
          </c:extLst>
        </c:ser>
        <c:ser>
          <c:idx val="0"/>
          <c:order val="3"/>
          <c:tx>
            <c:strRef>
              <c:f>'19M_Seeds'!$W$14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'19M_Seeds'!$AO$112</c:f>
                <c:numCache>
                  <c:formatCode>General</c:formatCode>
                  <c:ptCount val="1"/>
                  <c:pt idx="0">
                    <c:v>1.1697443872659721</c:v>
                  </c:pt>
                </c:numCache>
              </c:numRef>
            </c:plus>
            <c:minus>
              <c:numRef>
                <c:f>'19M_Seeds'!$AO$112</c:f>
                <c:numCache>
                  <c:formatCode>General</c:formatCode>
                  <c:ptCount val="1"/>
                  <c:pt idx="0">
                    <c:v>1.1697443872659721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'19M_Seeds'!$AO$114</c:f>
                <c:numCache>
                  <c:formatCode>General</c:formatCode>
                  <c:ptCount val="1"/>
                  <c:pt idx="0">
                    <c:v>1.2598091084793046</c:v>
                  </c:pt>
                </c:numCache>
              </c:numRef>
            </c:plus>
            <c:minus>
              <c:numRef>
                <c:f>'19M_Seeds'!$AO$114</c:f>
                <c:numCache>
                  <c:formatCode>General</c:formatCode>
                  <c:ptCount val="1"/>
                  <c:pt idx="0">
                    <c:v>1.2598091084793046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'19M_Seeds'!$AO$111</c:f>
              <c:numCache>
                <c:formatCode>0.00</c:formatCode>
                <c:ptCount val="1"/>
                <c:pt idx="0">
                  <c:v>94.967308963684715</c:v>
                </c:pt>
              </c:numCache>
            </c:numRef>
          </c:xVal>
          <c:yVal>
            <c:numRef>
              <c:f>'19M_Seeds'!$AO$113</c:f>
              <c:numCache>
                <c:formatCode>0.00</c:formatCode>
                <c:ptCount val="1"/>
                <c:pt idx="0">
                  <c:v>88.996763754045304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F1-4EF7-9A6D-1FC42BC9BC5A}"/>
            </c:ext>
          </c:extLst>
        </c:ser>
        <c:ser>
          <c:idx val="6"/>
          <c:order val="4"/>
          <c:tx>
            <c:strRef>
              <c:f>'19M_Seeds'!$X$14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'19M_Seeds'!$AP$112</c:f>
                <c:numCache>
                  <c:formatCode>General</c:formatCode>
                  <c:ptCount val="1"/>
                  <c:pt idx="0">
                    <c:v>3.1915079009809917</c:v>
                  </c:pt>
                </c:numCache>
              </c:numRef>
            </c:plus>
            <c:minus>
              <c:numRef>
                <c:f>'19M_Seeds'!$AP$112</c:f>
                <c:numCache>
                  <c:formatCode>General</c:formatCode>
                  <c:ptCount val="1"/>
                  <c:pt idx="0">
                    <c:v>3.1915079009809917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'19M_Seeds'!$AP$114</c:f>
                <c:numCache>
                  <c:formatCode>General</c:formatCode>
                  <c:ptCount val="1"/>
                  <c:pt idx="0">
                    <c:v>0.76475687800248704</c:v>
                  </c:pt>
                </c:numCache>
              </c:numRef>
            </c:plus>
            <c:minus>
              <c:numRef>
                <c:f>'19M_Seeds'!$AP$114</c:f>
                <c:numCache>
                  <c:formatCode>General</c:formatCode>
                  <c:ptCount val="1"/>
                  <c:pt idx="0">
                    <c:v>0.76475687800248704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'19M_Seeds'!$AP$111</c:f>
              <c:numCache>
                <c:formatCode>0.00</c:formatCode>
                <c:ptCount val="1"/>
                <c:pt idx="0">
                  <c:v>87.536535633885691</c:v>
                </c:pt>
              </c:numCache>
            </c:numRef>
          </c:xVal>
          <c:yVal>
            <c:numRef>
              <c:f>'19M_Seeds'!$AP$113</c:f>
              <c:numCache>
                <c:formatCode>0.00</c:formatCode>
                <c:ptCount val="1"/>
                <c:pt idx="0">
                  <c:v>93.682132280355361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F1-4EF7-9A6D-1FC42BC9B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4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  <c:majorUnit val="5"/>
        <c:minorUnit val="1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1988 RF Classification (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 Seeds 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183131313131314"/>
          <c:y val="5.5494047619047615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'24M_Seeds'!$T$14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'24M_Seeds'!$T$279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'24M_Seeds'!$T$282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'24M_Seeds'!$T$278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'24M_Seeds'!$T$281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08-462E-93A9-4E6CEE5422E6}"/>
            </c:ext>
          </c:extLst>
        </c:ser>
        <c:ser>
          <c:idx val="9"/>
          <c:order val="1"/>
          <c:tx>
            <c:strRef>
              <c:f>'24M_Seeds'!$U$14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'24M_Seeds'!$U$279</c:f>
                <c:numCache>
                  <c:formatCode>General</c:formatCode>
                  <c:ptCount val="1"/>
                  <c:pt idx="0">
                    <c:v>0.43698781147197224</c:v>
                  </c:pt>
                </c:numCache>
              </c:numRef>
            </c:plus>
            <c:minus>
              <c:numRef>
                <c:f>'24M_Seeds'!$U$279</c:f>
                <c:numCache>
                  <c:formatCode>General</c:formatCode>
                  <c:ptCount val="1"/>
                  <c:pt idx="0">
                    <c:v>0.43698781147197224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'24M_Seeds'!$U$282</c:f>
                <c:numCache>
                  <c:formatCode>General</c:formatCode>
                  <c:ptCount val="1"/>
                  <c:pt idx="0">
                    <c:v>2.867124661597364</c:v>
                  </c:pt>
                </c:numCache>
              </c:numRef>
            </c:plus>
            <c:minus>
              <c:numRef>
                <c:f>'24M_Seeds'!$U$282</c:f>
                <c:numCache>
                  <c:formatCode>General</c:formatCode>
                  <c:ptCount val="1"/>
                  <c:pt idx="0">
                    <c:v>2.867124661597364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'24M_Seeds'!$U$278</c:f>
              <c:numCache>
                <c:formatCode>0.00</c:formatCode>
                <c:ptCount val="1"/>
                <c:pt idx="0">
                  <c:v>99.579690281549759</c:v>
                </c:pt>
              </c:numCache>
            </c:numRef>
          </c:xVal>
          <c:yVal>
            <c:numRef>
              <c:f>'24M_Seeds'!$U$281</c:f>
              <c:numCache>
                <c:formatCode>0.00</c:formatCode>
                <c:ptCount val="1"/>
                <c:pt idx="0">
                  <c:v>94.375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08-462E-93A9-4E6CEE5422E6}"/>
            </c:ext>
          </c:extLst>
        </c:ser>
        <c:ser>
          <c:idx val="7"/>
          <c:order val="2"/>
          <c:tx>
            <c:strRef>
              <c:f>'24M_Seeds'!$V$14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'24M_Seeds'!$V$282</c:f>
                <c:numCache>
                  <c:formatCode>General</c:formatCode>
                  <c:ptCount val="1"/>
                  <c:pt idx="0">
                    <c:v>0.37791125866336178</c:v>
                  </c:pt>
                </c:numCache>
              </c:numRef>
            </c:plus>
            <c:minus>
              <c:numRef>
                <c:f>'24M_Seeds'!$V$282</c:f>
                <c:numCache>
                  <c:formatCode>General</c:formatCode>
                  <c:ptCount val="1"/>
                  <c:pt idx="0">
                    <c:v>0.37791125866336178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'24M_Seeds'!$V$282</c:f>
                <c:numCache>
                  <c:formatCode>General</c:formatCode>
                  <c:ptCount val="1"/>
                  <c:pt idx="0">
                    <c:v>0.37791125866336178</c:v>
                  </c:pt>
                </c:numCache>
              </c:numRef>
            </c:plus>
            <c:minus>
              <c:numRef>
                <c:f>'24M_Seeds'!$V$282</c:f>
                <c:numCache>
                  <c:formatCode>General</c:formatCode>
                  <c:ptCount val="1"/>
                  <c:pt idx="0">
                    <c:v>0.37791125866336178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'24M_Seeds'!$V$278</c:f>
              <c:numCache>
                <c:formatCode>0.00</c:formatCode>
                <c:ptCount val="1"/>
                <c:pt idx="0">
                  <c:v>97.3623106416144</c:v>
                </c:pt>
              </c:numCache>
            </c:numRef>
          </c:xVal>
          <c:yVal>
            <c:numRef>
              <c:f>'24M_Seeds'!$V$281</c:f>
              <c:numCache>
                <c:formatCode>0.00</c:formatCode>
                <c:ptCount val="1"/>
                <c:pt idx="0">
                  <c:v>98.903743315508024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08-462E-93A9-4E6CEE5422E6}"/>
            </c:ext>
          </c:extLst>
        </c:ser>
        <c:ser>
          <c:idx val="0"/>
          <c:order val="3"/>
          <c:tx>
            <c:strRef>
              <c:f>'24M_Seeds'!$W$14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'24M_Seeds'!$W$279</c:f>
                <c:numCache>
                  <c:formatCode>General</c:formatCode>
                  <c:ptCount val="1"/>
                  <c:pt idx="0">
                    <c:v>0.73852522245550722</c:v>
                  </c:pt>
                </c:numCache>
              </c:numRef>
            </c:plus>
            <c:minus>
              <c:numRef>
                <c:f>'24M_Seeds'!$W$279</c:f>
                <c:numCache>
                  <c:formatCode>General</c:formatCode>
                  <c:ptCount val="1"/>
                  <c:pt idx="0">
                    <c:v>0.73852522245550722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'24M_Seeds'!$W$282</c:f>
                <c:numCache>
                  <c:formatCode>General</c:formatCode>
                  <c:ptCount val="1"/>
                  <c:pt idx="0">
                    <c:v>0.97814409107446409</c:v>
                  </c:pt>
                </c:numCache>
              </c:numRef>
            </c:plus>
            <c:minus>
              <c:numRef>
                <c:f>'24M_Seeds'!$W$282</c:f>
                <c:numCache>
                  <c:formatCode>General</c:formatCode>
                  <c:ptCount val="1"/>
                  <c:pt idx="0">
                    <c:v>0.97814409107446409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'24M_Seeds'!$W$278</c:f>
              <c:numCache>
                <c:formatCode>0.00</c:formatCode>
                <c:ptCount val="1"/>
                <c:pt idx="0">
                  <c:v>97.396050927038118</c:v>
                </c:pt>
              </c:numCache>
            </c:numRef>
          </c:xVal>
          <c:yVal>
            <c:numRef>
              <c:f>'24M_Seeds'!$W$281</c:f>
              <c:numCache>
                <c:formatCode>0.00</c:formatCode>
                <c:ptCount val="1"/>
                <c:pt idx="0">
                  <c:v>93.689320388349515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08-462E-93A9-4E6CEE5422E6}"/>
            </c:ext>
          </c:extLst>
        </c:ser>
        <c:ser>
          <c:idx val="6"/>
          <c:order val="4"/>
          <c:tx>
            <c:strRef>
              <c:f>'24M_Seeds'!$X$14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'24M_Seeds'!$X$279</c:f>
                <c:numCache>
                  <c:formatCode>General</c:formatCode>
                  <c:ptCount val="1"/>
                  <c:pt idx="0">
                    <c:v>2.3722786532979043</c:v>
                  </c:pt>
                </c:numCache>
              </c:numRef>
            </c:plus>
            <c:minus>
              <c:numRef>
                <c:f>'24M_Seeds'!$X$279</c:f>
                <c:numCache>
                  <c:formatCode>General</c:formatCode>
                  <c:ptCount val="1"/>
                  <c:pt idx="0">
                    <c:v>2.3722786532979043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'24M_Seeds'!$X$282</c:f>
                <c:numCache>
                  <c:formatCode>General</c:formatCode>
                  <c:ptCount val="1"/>
                  <c:pt idx="0">
                    <c:v>0.64751385721553967</c:v>
                  </c:pt>
                </c:numCache>
              </c:numRef>
            </c:plus>
            <c:minus>
              <c:numRef>
                <c:f>'24M_Seeds'!$X$282</c:f>
                <c:numCache>
                  <c:formatCode>General</c:formatCode>
                  <c:ptCount val="1"/>
                  <c:pt idx="0">
                    <c:v>0.64751385721553967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'24M_Seeds'!$X$278</c:f>
              <c:numCache>
                <c:formatCode>0.00</c:formatCode>
                <c:ptCount val="1"/>
                <c:pt idx="0">
                  <c:v>92.280094395122518</c:v>
                </c:pt>
              </c:numCache>
            </c:numRef>
          </c:xVal>
          <c:yVal>
            <c:numRef>
              <c:f>'24M_Seeds'!$X$281</c:f>
              <c:numCache>
                <c:formatCode>0.00</c:formatCode>
                <c:ptCount val="1"/>
                <c:pt idx="0">
                  <c:v>95.55774925962487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08-462E-93A9-4E6CEE542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7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95000"/>
                  <a:alpha val="6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</c:valAx>
      <c:valAx>
        <c:axId val="413405048"/>
        <c:scaling>
          <c:orientation val="minMax"/>
          <c:max val="101"/>
          <c:min val="70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RRB 2024M </a:t>
            </a:r>
            <a:r>
              <a:rPr lang="en-US" sz="2000" baseline="0"/>
              <a:t>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Mean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'24M_Seeds'!$T$14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'24M_Seeds'!$T$222</c:f>
                <c:numCache>
                  <c:formatCode>General</c:formatCode>
                  <c:ptCount val="1"/>
                  <c:pt idx="0">
                    <c:v>0.89930941234433737</c:v>
                  </c:pt>
                </c:numCache>
              </c:numRef>
            </c:plus>
            <c:minus>
              <c:numRef>
                <c:f>'24M_Seeds'!$T$222</c:f>
                <c:numCache>
                  <c:formatCode>General</c:formatCode>
                  <c:ptCount val="1"/>
                  <c:pt idx="0">
                    <c:v>0.89930941234433737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'24M_Seeds'!$T$224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'24M_Seeds'!$T$221</c:f>
              <c:numCache>
                <c:formatCode>0.00</c:formatCode>
                <c:ptCount val="1"/>
                <c:pt idx="0">
                  <c:v>98.824180100393562</c:v>
                </c:pt>
              </c:numCache>
            </c:numRef>
          </c:xVal>
          <c:yVal>
            <c:numRef>
              <c:f>'24M_Seeds'!$T$223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8-423B-94E0-F445ED12BE5B}"/>
            </c:ext>
          </c:extLst>
        </c:ser>
        <c:ser>
          <c:idx val="9"/>
          <c:order val="1"/>
          <c:tx>
            <c:strRef>
              <c:f>'24M_Seeds'!$U$14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'24M_Seeds'!$U$222</c:f>
                <c:numCache>
                  <c:formatCode>General</c:formatCode>
                  <c:ptCount val="1"/>
                  <c:pt idx="0">
                    <c:v>0.74588136054221432</c:v>
                  </c:pt>
                </c:numCache>
              </c:numRef>
            </c:plus>
            <c:minus>
              <c:numRef>
                <c:f>'24M_Seeds'!$U$222</c:f>
                <c:numCache>
                  <c:formatCode>General</c:formatCode>
                  <c:ptCount val="1"/>
                  <c:pt idx="0">
                    <c:v>0.74588136054221432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'24M_Seeds'!$U$224</c:f>
                <c:numCache>
                  <c:formatCode>General</c:formatCode>
                  <c:ptCount val="1"/>
                  <c:pt idx="0">
                    <c:v>2.969454998960535</c:v>
                  </c:pt>
                </c:numCache>
              </c:numRef>
            </c:plus>
            <c:minus>
              <c:numRef>
                <c:f>'24M_Seeds'!$U$224</c:f>
                <c:numCache>
                  <c:formatCode>General</c:formatCode>
                  <c:ptCount val="1"/>
                  <c:pt idx="0">
                    <c:v>2.969454998960535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'24M_Seeds'!$U$221</c:f>
              <c:numCache>
                <c:formatCode>0.00</c:formatCode>
                <c:ptCount val="1"/>
                <c:pt idx="0">
                  <c:v>99.180007756778963</c:v>
                </c:pt>
              </c:numCache>
            </c:numRef>
          </c:xVal>
          <c:yVal>
            <c:numRef>
              <c:f>'24M_Seeds'!$U$223</c:f>
              <c:numCache>
                <c:formatCode>0.00</c:formatCode>
                <c:ptCount val="1"/>
                <c:pt idx="0">
                  <c:v>93.984375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B8-423B-94E0-F445ED12BE5B}"/>
            </c:ext>
          </c:extLst>
        </c:ser>
        <c:ser>
          <c:idx val="7"/>
          <c:order val="2"/>
          <c:tx>
            <c:strRef>
              <c:f>'24M_Seeds'!$V$14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'24M_Seeds'!$V$222</c:f>
                <c:numCache>
                  <c:formatCode>General</c:formatCode>
                  <c:ptCount val="1"/>
                  <c:pt idx="0">
                    <c:v>0.43867039389894258</c:v>
                  </c:pt>
                </c:numCache>
              </c:numRef>
            </c:plus>
            <c:minus>
              <c:numRef>
                <c:f>'24M_Seeds'!$V$222</c:f>
                <c:numCache>
                  <c:formatCode>General</c:formatCode>
                  <c:ptCount val="1"/>
                  <c:pt idx="0">
                    <c:v>0.43867039389894258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'24M_Seeds'!$V$224</c:f>
                <c:numCache>
                  <c:formatCode>General</c:formatCode>
                  <c:ptCount val="1"/>
                  <c:pt idx="0">
                    <c:v>0.38227756943095326</c:v>
                  </c:pt>
                </c:numCache>
              </c:numRef>
            </c:plus>
            <c:minus>
              <c:numRef>
                <c:f>'24M_Seeds'!$V$224</c:f>
                <c:numCache>
                  <c:formatCode>General</c:formatCode>
                  <c:ptCount val="1"/>
                  <c:pt idx="0">
                    <c:v>0.38227756943095326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'24M_Seeds'!$V$221</c:f>
              <c:numCache>
                <c:formatCode>0.00</c:formatCode>
                <c:ptCount val="1"/>
                <c:pt idx="0">
                  <c:v>97.292737057380705</c:v>
                </c:pt>
              </c:numCache>
            </c:numRef>
          </c:xVal>
          <c:yVal>
            <c:numRef>
              <c:f>'24M_Seeds'!$V$223</c:f>
              <c:numCache>
                <c:formatCode>0.00</c:formatCode>
                <c:ptCount val="1"/>
                <c:pt idx="0">
                  <c:v>98.883689839572185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B8-423B-94E0-F445ED12BE5B}"/>
            </c:ext>
          </c:extLst>
        </c:ser>
        <c:ser>
          <c:idx val="0"/>
          <c:order val="3"/>
          <c:tx>
            <c:strRef>
              <c:f>'24M_Seeds'!$W$14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'24M_Seeds'!$W$222</c:f>
                <c:numCache>
                  <c:formatCode>General</c:formatCode>
                  <c:ptCount val="1"/>
                  <c:pt idx="0">
                    <c:v>0.76087507604023785</c:v>
                  </c:pt>
                </c:numCache>
              </c:numRef>
            </c:plus>
            <c:minus>
              <c:numRef>
                <c:f>'24M_Seeds'!$W$222</c:f>
                <c:numCache>
                  <c:formatCode>General</c:formatCode>
                  <c:ptCount val="1"/>
                  <c:pt idx="0">
                    <c:v>0.76087507604023785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'24M_Seeds'!$W$224</c:f>
                <c:numCache>
                  <c:formatCode>General</c:formatCode>
                  <c:ptCount val="1"/>
                  <c:pt idx="0">
                    <c:v>0.99274955624395278</c:v>
                  </c:pt>
                </c:numCache>
              </c:numRef>
            </c:plus>
            <c:minus>
              <c:numRef>
                <c:f>'24M_Seeds'!$W$224</c:f>
                <c:numCache>
                  <c:formatCode>General</c:formatCode>
                  <c:ptCount val="1"/>
                  <c:pt idx="0">
                    <c:v>0.99274955624395278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'24M_Seeds'!$W$221</c:f>
              <c:numCache>
                <c:formatCode>0.00</c:formatCode>
                <c:ptCount val="1"/>
                <c:pt idx="0">
                  <c:v>97.263605753944987</c:v>
                </c:pt>
              </c:numCache>
            </c:numRef>
          </c:xVal>
          <c:yVal>
            <c:numRef>
              <c:f>'24M_Seeds'!$W$223</c:f>
              <c:numCache>
                <c:formatCode>0.00</c:formatCode>
                <c:ptCount val="1"/>
                <c:pt idx="0">
                  <c:v>93.487055016181216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B8-423B-94E0-F445ED12BE5B}"/>
            </c:ext>
          </c:extLst>
        </c:ser>
        <c:ser>
          <c:idx val="6"/>
          <c:order val="4"/>
          <c:tx>
            <c:strRef>
              <c:f>'24M_Seeds'!$X$14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'24M_Seeds'!$X$222</c:f>
                <c:numCache>
                  <c:formatCode>General</c:formatCode>
                  <c:ptCount val="1"/>
                  <c:pt idx="0">
                    <c:v>2.3709215565361981</c:v>
                  </c:pt>
                </c:numCache>
              </c:numRef>
            </c:plus>
            <c:minus>
              <c:numRef>
                <c:f>'24M_Seeds'!$X$222</c:f>
                <c:numCache>
                  <c:formatCode>General</c:formatCode>
                  <c:ptCount val="1"/>
                  <c:pt idx="0">
                    <c:v>2.3709215565361981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'24M_Seeds'!$X$224</c:f>
                <c:numCache>
                  <c:formatCode>General</c:formatCode>
                  <c:ptCount val="1"/>
                  <c:pt idx="0">
                    <c:v>0.66540533021227666</c:v>
                  </c:pt>
                </c:numCache>
              </c:numRef>
            </c:plus>
            <c:minus>
              <c:numRef>
                <c:f>'24M_Seeds'!$X$224</c:f>
                <c:numCache>
                  <c:formatCode>General</c:formatCode>
                  <c:ptCount val="1"/>
                  <c:pt idx="0">
                    <c:v>0.66540533021227666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'24M_Seeds'!$X$221</c:f>
              <c:numCache>
                <c:formatCode>0.00</c:formatCode>
                <c:ptCount val="1"/>
                <c:pt idx="0">
                  <c:v>92.271802376962214</c:v>
                </c:pt>
              </c:numCache>
            </c:numRef>
          </c:xVal>
          <c:yVal>
            <c:numRef>
              <c:f>'24M_Seeds'!$X$223</c:f>
              <c:numCache>
                <c:formatCode>0.00</c:formatCode>
                <c:ptCount val="1"/>
                <c:pt idx="0">
                  <c:v>95.286278381046401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B8-423B-94E0-F445ED12B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82323232321"/>
          <c:y val="0.21458253968253968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2024M RF Classification (20 Seeds </a:t>
            </a: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Mode</a:t>
            </a:r>
            <a:r>
              <a:rPr lang="en-US" sz="2000" baseline="0"/>
              <a:t>)</a:t>
            </a:r>
            <a:endParaRPr lang="en-US" sz="2000"/>
          </a:p>
        </c:rich>
      </c:tx>
      <c:layout>
        <c:manualLayout>
          <c:xMode val="edge"/>
          <c:yMode val="edge"/>
          <c:x val="0.14503838383838383"/>
          <c:y val="3.0295634920634923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50101175369608"/>
          <c:y val="8.1961517103253279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'24M_Seeds'!$T$14</c:f>
              <c:strCache>
                <c:ptCount val="1"/>
                <c:pt idx="0">
                  <c:v>Water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'24M_Seeds'!$AL$112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'24M_Seeds'!$AL$114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'24M_Seeds'!$AL$111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'24M_Seeds'!$AL$113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AB-4C66-B2F7-67BAC0A49CE5}"/>
            </c:ext>
          </c:extLst>
        </c:ser>
        <c:ser>
          <c:idx val="9"/>
          <c:order val="1"/>
          <c:tx>
            <c:strRef>
              <c:f>'24M_Seeds'!$U$14</c:f>
              <c:strCache>
                <c:ptCount val="1"/>
                <c:pt idx="0">
                  <c:v>Bare-Rock-Built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'24M_Seeds'!$U$222</c:f>
                <c:numCache>
                  <c:formatCode>General</c:formatCode>
                  <c:ptCount val="1"/>
                  <c:pt idx="0">
                    <c:v>0.74588136054221432</c:v>
                  </c:pt>
                </c:numCache>
              </c:numRef>
            </c:plus>
            <c:minus>
              <c:numRef>
                <c:f>'24M_Seeds'!$U$222</c:f>
                <c:numCache>
                  <c:formatCode>General</c:formatCode>
                  <c:ptCount val="1"/>
                  <c:pt idx="0">
                    <c:v>0.74588136054221432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'24M_Seeds'!$U$224</c:f>
                <c:numCache>
                  <c:formatCode>General</c:formatCode>
                  <c:ptCount val="1"/>
                  <c:pt idx="0">
                    <c:v>2.969454998960535</c:v>
                  </c:pt>
                </c:numCache>
              </c:numRef>
            </c:plus>
            <c:minus>
              <c:numRef>
                <c:f>'24M_Seeds'!$U$224</c:f>
                <c:numCache>
                  <c:formatCode>General</c:formatCode>
                  <c:ptCount val="1"/>
                  <c:pt idx="0">
                    <c:v>2.969454998960535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'24M_Seeds'!$AM$111</c:f>
              <c:numCache>
                <c:formatCode>0.00</c:formatCode>
                <c:ptCount val="1"/>
                <c:pt idx="0">
                  <c:v>99.259886526930188</c:v>
                </c:pt>
              </c:numCache>
            </c:numRef>
          </c:xVal>
          <c:yVal>
            <c:numRef>
              <c:f>'24M_Seeds'!$AM$113</c:f>
              <c:numCache>
                <c:formatCode>0.00</c:formatCode>
                <c:ptCount val="1"/>
                <c:pt idx="0">
                  <c:v>85.9375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AB-4C66-B2F7-67BAC0A49CE5}"/>
            </c:ext>
          </c:extLst>
        </c:ser>
        <c:ser>
          <c:idx val="7"/>
          <c:order val="2"/>
          <c:tx>
            <c:strRef>
              <c:f>'24M_Seeds'!$V$14</c:f>
              <c:strCache>
                <c:ptCount val="1"/>
                <c:pt idx="0">
                  <c:v>Agriculture-Grass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'24M_Seeds'!$AN$112</c:f>
                <c:numCache>
                  <c:formatCode>General</c:formatCode>
                  <c:ptCount val="1"/>
                  <c:pt idx="0">
                    <c:v>0.50939438123577674</c:v>
                  </c:pt>
                </c:numCache>
              </c:numRef>
            </c:plus>
            <c:minus>
              <c:numRef>
                <c:f>'24M_Seeds'!$AN$112</c:f>
                <c:numCache>
                  <c:formatCode>General</c:formatCode>
                  <c:ptCount val="1"/>
                  <c:pt idx="0">
                    <c:v>0.50939438123577674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'24M_Seeds'!$AN$114</c:f>
                <c:numCache>
                  <c:formatCode>General</c:formatCode>
                  <c:ptCount val="1"/>
                  <c:pt idx="0">
                    <c:v>0.47813820512740118</c:v>
                  </c:pt>
                </c:numCache>
              </c:numRef>
            </c:plus>
            <c:minus>
              <c:numRef>
                <c:f>'24M_Seeds'!$AN$114</c:f>
                <c:numCache>
                  <c:formatCode>General</c:formatCode>
                  <c:ptCount val="1"/>
                  <c:pt idx="0">
                    <c:v>0.47813820512740118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'24M_Seeds'!$AN$111</c:f>
              <c:numCache>
                <c:formatCode>0.00</c:formatCode>
                <c:ptCount val="1"/>
                <c:pt idx="0">
                  <c:v>96.34502163171301</c:v>
                </c:pt>
              </c:numCache>
            </c:numRef>
          </c:xVal>
          <c:yVal>
            <c:numRef>
              <c:f>'24M_Seeds'!$AN$113</c:f>
              <c:numCache>
                <c:formatCode>0.00</c:formatCode>
                <c:ptCount val="1"/>
                <c:pt idx="0">
                  <c:v>98.262032085561501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AB-4C66-B2F7-67BAC0A49CE5}"/>
            </c:ext>
          </c:extLst>
        </c:ser>
        <c:ser>
          <c:idx val="0"/>
          <c:order val="3"/>
          <c:tx>
            <c:strRef>
              <c:f>'24M_Seeds'!$W$14</c:f>
              <c:strCache>
                <c:ptCount val="1"/>
                <c:pt idx="0">
                  <c:v>Forest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3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'24M_Seeds'!$AO$112</c:f>
                <c:numCache>
                  <c:formatCode>General</c:formatCode>
                  <c:ptCount val="1"/>
                  <c:pt idx="0">
                    <c:v>0.9298679744581192</c:v>
                  </c:pt>
                </c:numCache>
              </c:numRef>
            </c:plus>
            <c:minus>
              <c:numRef>
                <c:f>'24M_Seeds'!$AO$112</c:f>
                <c:numCache>
                  <c:formatCode>General</c:formatCode>
                  <c:ptCount val="1"/>
                  <c:pt idx="0">
                    <c:v>0.9298679744581192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'24M_Seeds'!$AO$114</c:f>
                <c:numCache>
                  <c:formatCode>General</c:formatCode>
                  <c:ptCount val="1"/>
                  <c:pt idx="0">
                    <c:v>1.1077596969605779</c:v>
                  </c:pt>
                </c:numCache>
              </c:numRef>
            </c:plus>
            <c:minus>
              <c:numRef>
                <c:f>'24M_Seeds'!$AO$114</c:f>
                <c:numCache>
                  <c:formatCode>General</c:formatCode>
                  <c:ptCount val="1"/>
                  <c:pt idx="0">
                    <c:v>1.1077596969605779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'24M_Seeds'!$AO$111</c:f>
              <c:numCache>
                <c:formatCode>0.00</c:formatCode>
                <c:ptCount val="1"/>
                <c:pt idx="0">
                  <c:v>96.526158691542264</c:v>
                </c:pt>
              </c:numCache>
            </c:numRef>
          </c:xVal>
          <c:yVal>
            <c:numRef>
              <c:f>'24M_Seeds'!$AO$113</c:f>
              <c:numCache>
                <c:formatCode>0.00</c:formatCode>
                <c:ptCount val="1"/>
                <c:pt idx="0">
                  <c:v>91.747572815533985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AB-4C66-B2F7-67BAC0A49CE5}"/>
            </c:ext>
          </c:extLst>
        </c:ser>
        <c:ser>
          <c:idx val="6"/>
          <c:order val="4"/>
          <c:tx>
            <c:strRef>
              <c:f>'24M_Seeds'!$X$14</c:f>
              <c:strCache>
                <c:ptCount val="1"/>
                <c:pt idx="0">
                  <c:v>Shrubland-Wetland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'24M_Seeds'!$AP$112</c:f>
                <c:numCache>
                  <c:formatCode>General</c:formatCode>
                  <c:ptCount val="1"/>
                  <c:pt idx="0">
                    <c:v>2.8731306112532264</c:v>
                  </c:pt>
                </c:numCache>
              </c:numRef>
            </c:plus>
            <c:minus>
              <c:numRef>
                <c:f>'24M_Seeds'!$AP$112</c:f>
                <c:numCache>
                  <c:formatCode>General</c:formatCode>
                  <c:ptCount val="1"/>
                  <c:pt idx="0">
                    <c:v>2.8731306112532264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'24M_Seeds'!$AP$114</c:f>
                <c:numCache>
                  <c:formatCode>General</c:formatCode>
                  <c:ptCount val="1"/>
                  <c:pt idx="0">
                    <c:v>0.6936871730384524</c:v>
                  </c:pt>
                </c:numCache>
              </c:numRef>
            </c:plus>
            <c:minus>
              <c:numRef>
                <c:f>'24M_Seeds'!$AP$114</c:f>
                <c:numCache>
                  <c:formatCode>General</c:formatCode>
                  <c:ptCount val="1"/>
                  <c:pt idx="0">
                    <c:v>0.6936871730384524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'24M_Seeds'!$AP$111</c:f>
              <c:numCache>
                <c:formatCode>0.00</c:formatCode>
                <c:ptCount val="1"/>
                <c:pt idx="0">
                  <c:v>89.309432789444642</c:v>
                </c:pt>
              </c:numCache>
            </c:numRef>
          </c:xVal>
          <c:yVal>
            <c:numRef>
              <c:f>'24M_Seeds'!$AP$113</c:f>
              <c:numCache>
                <c:formatCode>0.00</c:formatCode>
                <c:ptCount val="1"/>
                <c:pt idx="0">
                  <c:v>94.866732477788744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AB-4C66-B2F7-67BAC0A49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4477653103282"/>
          <c:y val="0.21206261219755693"/>
          <c:w val="0.27240723008797452"/>
          <c:h val="0.56176796014270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RRB Mode Classification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Acc. Derived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Area (%) ± SE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RRB_all!$D$3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(RRB_all!$D$18,RRB_all!$D$66,RRB_all!$D$114,RRB_all!$D$162,RRB_all!$D$210,RRB_all!$D$258,RRB_all!$D$306,RRB_all!$D$354,RRB_all!$D$402,RRB_all!$D$450,RRB_all!$D$498)</c:f>
                <c:numCache>
                  <c:formatCode>General</c:formatCode>
                  <c:ptCount val="11"/>
                  <c:pt idx="0">
                    <c:v>1.2498370834048164E-5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2.5033763780969002E-5</c:v>
                  </c:pt>
                  <c:pt idx="7">
                    <c:v>3.0762488028007981E-5</c:v>
                  </c:pt>
                  <c:pt idx="8">
                    <c:v>6.6592853079662994E-4</c:v>
                  </c:pt>
                  <c:pt idx="9">
                    <c:v>4.0916072595347268E-5</c:v>
                  </c:pt>
                  <c:pt idx="10">
                    <c:v>0</c:v>
                  </c:pt>
                </c:numCache>
              </c:numRef>
            </c:plus>
            <c:minus>
              <c:numRef>
                <c:f>(RRB_all!$D$18,RRB_all!$D$66,RRB_all!$D$114,RRB_all!$D$162,RRB_all!$D$210,RRB_all!$D$258,RRB_all!$D$306,RRB_all!$D$354,RRB_all!$D$402,RRB_all!$D$450,RRB_all!$D$498)</c:f>
                <c:numCache>
                  <c:formatCode>General</c:formatCode>
                  <c:ptCount val="11"/>
                  <c:pt idx="0">
                    <c:v>1.2498370834048164E-5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2.5033763780969002E-5</c:v>
                  </c:pt>
                  <c:pt idx="7">
                    <c:v>3.0762488028007981E-5</c:v>
                  </c:pt>
                  <c:pt idx="8">
                    <c:v>6.6592853079662994E-4</c:v>
                  </c:pt>
                  <c:pt idx="9">
                    <c:v>4.0916072595347268E-5</c:v>
                  </c:pt>
                  <c:pt idx="1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(RRB_all!$D$15,RRB_all!$D$63,RRB_all!$D$111,RRB_all!$D$159,RRB_all!$D$207,RRB_all!$D$255,RRB_all!$D$303,RRB_all!$D$351,RRB_all!$D$399,RRB_all!$D$447,RRB_all!$D$495)</c:f>
              <c:numCache>
                <c:formatCode>0.00%</c:formatCode>
                <c:ptCount val="11"/>
                <c:pt idx="0">
                  <c:v>1.431049815923822E-3</c:v>
                </c:pt>
                <c:pt idx="1">
                  <c:v>9.2429588643475891E-3</c:v>
                </c:pt>
                <c:pt idx="2">
                  <c:v>4.6280556941357886E-3</c:v>
                </c:pt>
                <c:pt idx="3">
                  <c:v>1.8355480974193842E-3</c:v>
                </c:pt>
                <c:pt idx="4">
                  <c:v>1.9498389949657582E-3</c:v>
                </c:pt>
                <c:pt idx="5">
                  <c:v>3.0365095922717583E-3</c:v>
                </c:pt>
                <c:pt idx="6">
                  <c:v>1.9237403006546901E-3</c:v>
                </c:pt>
                <c:pt idx="7">
                  <c:v>1.3268496220723469E-3</c:v>
                </c:pt>
                <c:pt idx="8">
                  <c:v>1.1581378438177703E-3</c:v>
                </c:pt>
                <c:pt idx="9">
                  <c:v>8.3390992788788618E-4</c:v>
                </c:pt>
                <c:pt idx="10">
                  <c:v>2.4007437979046671E-3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FD-49D9-8F1E-0FD202F908F4}"/>
            </c:ext>
          </c:extLst>
        </c:ser>
        <c:ser>
          <c:idx val="1"/>
          <c:order val="1"/>
          <c:tx>
            <c:strRef>
              <c:f>RRB_all!$E$3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(RRB_all!$E$18,RRB_all!$E$66,RRB_all!$E$114,RRB_all!$E$162,RRB_all!$E$210,RRB_all!$E$258,RRB_all!$E$306,RRB_all!$E$354,RRB_all!$E$402,RRB_all!$E$450,RRB_all!$E$498)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9.0263098925283283E-4</c:v>
                  </c:pt>
                  <c:pt idx="2">
                    <c:v>1.1786113207339502E-3</c:v>
                  </c:pt>
                  <c:pt idx="3">
                    <c:v>8.8168218788689144E-4</c:v>
                  </c:pt>
                  <c:pt idx="4">
                    <c:v>1.6561045521155298E-4</c:v>
                  </c:pt>
                  <c:pt idx="5">
                    <c:v>5.1902010263688884E-5</c:v>
                  </c:pt>
                  <c:pt idx="6">
                    <c:v>2.7026924446367696E-4</c:v>
                  </c:pt>
                  <c:pt idx="7">
                    <c:v>7.0093616900050693E-4</c:v>
                  </c:pt>
                  <c:pt idx="8">
                    <c:v>8.3634846709300078E-4</c:v>
                  </c:pt>
                  <c:pt idx="9">
                    <c:v>2.9204400208849809E-4</c:v>
                  </c:pt>
                  <c:pt idx="10">
                    <c:v>3.8574156123357171E-4</c:v>
                  </c:pt>
                </c:numCache>
              </c:numRef>
            </c:plus>
            <c:minus>
              <c:numRef>
                <c:f>(RRB_all!$E$18,RRB_all!$E$66,RRB_all!$E$114,RRB_all!$E$162,RRB_all!$E$210,RRB_all!$E$258,RRB_all!$E$306,RRB_all!$E$354,RRB_all!$E$402,RRB_all!$E$450,RRB_all!$E$498)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9.0263098925283283E-4</c:v>
                  </c:pt>
                  <c:pt idx="2">
                    <c:v>1.1786113207339502E-3</c:v>
                  </c:pt>
                  <c:pt idx="3">
                    <c:v>8.8168218788689144E-4</c:v>
                  </c:pt>
                  <c:pt idx="4">
                    <c:v>1.6561045521155298E-4</c:v>
                  </c:pt>
                  <c:pt idx="5">
                    <c:v>5.1902010263688884E-5</c:v>
                  </c:pt>
                  <c:pt idx="6">
                    <c:v>2.7026924446367696E-4</c:v>
                  </c:pt>
                  <c:pt idx="7">
                    <c:v>7.0093616900050693E-4</c:v>
                  </c:pt>
                  <c:pt idx="8">
                    <c:v>8.3634846709300078E-4</c:v>
                  </c:pt>
                  <c:pt idx="9">
                    <c:v>2.9204400208849809E-4</c:v>
                  </c:pt>
                  <c:pt idx="10">
                    <c:v>3.8574156123357171E-4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(RRB_all!$E$15,RRB_all!$E$63,RRB_all!$E$111,RRB_all!$E$159,RRB_all!$E$207,RRB_all!$E$255,RRB_all!$E$303,RRB_all!$E$351,RRB_all!$E$399,RRB_all!$E$447,RRB_all!$E$495)</c:f>
              <c:numCache>
                <c:formatCode>0.00%</c:formatCode>
                <c:ptCount val="11"/>
                <c:pt idx="0">
                  <c:v>2.9133294026940002E-3</c:v>
                </c:pt>
                <c:pt idx="1">
                  <c:v>2.8543698126899178E-3</c:v>
                </c:pt>
                <c:pt idx="2">
                  <c:v>2.2089167846871521E-2</c:v>
                </c:pt>
                <c:pt idx="3">
                  <c:v>1.7126183356766991E-2</c:v>
                </c:pt>
                <c:pt idx="4">
                  <c:v>4.3693493036841974E-3</c:v>
                </c:pt>
                <c:pt idx="5">
                  <c:v>5.5629029796699222E-3</c:v>
                </c:pt>
                <c:pt idx="6">
                  <c:v>1.1846814631123626E-2</c:v>
                </c:pt>
                <c:pt idx="7">
                  <c:v>8.5665177921150255E-3</c:v>
                </c:pt>
                <c:pt idx="8">
                  <c:v>8.7899549135347591E-3</c:v>
                </c:pt>
                <c:pt idx="9">
                  <c:v>6.942843515200991E-3</c:v>
                </c:pt>
                <c:pt idx="10">
                  <c:v>7.6033703756691598E-3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FD-49D9-8F1E-0FD202F908F4}"/>
            </c:ext>
          </c:extLst>
        </c:ser>
        <c:ser>
          <c:idx val="2"/>
          <c:order val="2"/>
          <c:tx>
            <c:strRef>
              <c:f>RRB_all!$F$3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(RRB_all!$F$18,RRB_all!$F$66,RRB_all!$F$114,RRB_all!$F$162,RRB_all!$F$210,RRB_all!$F$258,RRB_all!$F$306,RRB_all!$F$354,RRB_all!$F$402,RRB_all!$F$450,RRB_all!$F$498)</c:f>
                <c:numCache>
                  <c:formatCode>General</c:formatCode>
                  <c:ptCount val="11"/>
                  <c:pt idx="0">
                    <c:v>1.8690114669293618E-3</c:v>
                  </c:pt>
                  <c:pt idx="1">
                    <c:v>6.0302312067055507E-3</c:v>
                  </c:pt>
                  <c:pt idx="2">
                    <c:v>2.4014553202589919E-3</c:v>
                  </c:pt>
                  <c:pt idx="3">
                    <c:v>3.1523938806840061E-3</c:v>
                  </c:pt>
                  <c:pt idx="4">
                    <c:v>1.2524329209936086E-3</c:v>
                  </c:pt>
                  <c:pt idx="5">
                    <c:v>2.3468601715543858E-3</c:v>
                  </c:pt>
                  <c:pt idx="6">
                    <c:v>1.224991297709735E-3</c:v>
                  </c:pt>
                  <c:pt idx="7">
                    <c:v>1.2865519234957676E-3</c:v>
                  </c:pt>
                  <c:pt idx="8">
                    <c:v>1.131042618562766E-3</c:v>
                  </c:pt>
                  <c:pt idx="9">
                    <c:v>4.5091835573878164E-3</c:v>
                  </c:pt>
                  <c:pt idx="10">
                    <c:v>3.7763534776664291E-3</c:v>
                  </c:pt>
                </c:numCache>
              </c:numRef>
            </c:plus>
            <c:minus>
              <c:numRef>
                <c:f>(RRB_all!$F$18,RRB_all!$F$66,RRB_all!$F$114,RRB_all!$F$162,RRB_all!$F$210,RRB_all!$F$258,RRB_all!$F$306,RRB_all!$F$354,RRB_all!$F$402,RRB_all!$F$450,RRB_all!$F$498)</c:f>
                <c:numCache>
                  <c:formatCode>General</c:formatCode>
                  <c:ptCount val="11"/>
                  <c:pt idx="0">
                    <c:v>1.8690114669293618E-3</c:v>
                  </c:pt>
                  <c:pt idx="1">
                    <c:v>6.0302312067055507E-3</c:v>
                  </c:pt>
                  <c:pt idx="2">
                    <c:v>2.4014553202589919E-3</c:v>
                  </c:pt>
                  <c:pt idx="3">
                    <c:v>3.1523938806840061E-3</c:v>
                  </c:pt>
                  <c:pt idx="4">
                    <c:v>1.2524329209936086E-3</c:v>
                  </c:pt>
                  <c:pt idx="5">
                    <c:v>2.3468601715543858E-3</c:v>
                  </c:pt>
                  <c:pt idx="6">
                    <c:v>1.224991297709735E-3</c:v>
                  </c:pt>
                  <c:pt idx="7">
                    <c:v>1.2865519234957676E-3</c:v>
                  </c:pt>
                  <c:pt idx="8">
                    <c:v>1.131042618562766E-3</c:v>
                  </c:pt>
                  <c:pt idx="9">
                    <c:v>4.5091835573878164E-3</c:v>
                  </c:pt>
                  <c:pt idx="10">
                    <c:v>3.7763534776664291E-3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(RRB_all!$F$15,RRB_all!$F$63,RRB_all!$F$111,RRB_all!$F$159,RRB_all!$F$207,RRB_all!$F$255,RRB_all!$F$303,RRB_all!$F$351,RRB_all!$F$399,RRB_all!$F$447,RRB_all!$F$495)</c:f>
              <c:numCache>
                <c:formatCode>0.00%</c:formatCode>
                <c:ptCount val="11"/>
                <c:pt idx="0">
                  <c:v>0.23279731742539653</c:v>
                </c:pt>
                <c:pt idx="1">
                  <c:v>0.49339741864170394</c:v>
                </c:pt>
                <c:pt idx="2">
                  <c:v>0.51135537381048013</c:v>
                </c:pt>
                <c:pt idx="3">
                  <c:v>0.42991146709297268</c:v>
                </c:pt>
                <c:pt idx="4">
                  <c:v>0.5394319097895095</c:v>
                </c:pt>
                <c:pt idx="5">
                  <c:v>0.46580111710014371</c:v>
                </c:pt>
                <c:pt idx="6">
                  <c:v>0.52486483174373366</c:v>
                </c:pt>
                <c:pt idx="7">
                  <c:v>0.50996167827948324</c:v>
                </c:pt>
                <c:pt idx="8">
                  <c:v>0.50675028953780088</c:v>
                </c:pt>
                <c:pt idx="9">
                  <c:v>0.54202645261968829</c:v>
                </c:pt>
                <c:pt idx="10">
                  <c:v>0.55263939665282902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FD-49D9-8F1E-0FD202F908F4}"/>
            </c:ext>
          </c:extLst>
        </c:ser>
        <c:ser>
          <c:idx val="3"/>
          <c:order val="3"/>
          <c:tx>
            <c:strRef>
              <c:f>RRB_all!$G$3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(RRB_all!$G$18,RRB_all!$G$66,RRB_all!$G$114,RRB_all!$G$162,RRB_all!$G$210,RRB_all!$G$258,RRB_all!$G$306,RRB_all!$G$354,RRB_all!$G$402,RRB_all!$G$450,RRB_all!$G$498)</c:f>
                <c:numCache>
                  <c:formatCode>General</c:formatCode>
                  <c:ptCount val="11"/>
                  <c:pt idx="0">
                    <c:v>4.3158044634111561E-3</c:v>
                  </c:pt>
                  <c:pt idx="1">
                    <c:v>6.1306693592947806E-3</c:v>
                  </c:pt>
                  <c:pt idx="2">
                    <c:v>3.3873539388072256E-3</c:v>
                  </c:pt>
                  <c:pt idx="3">
                    <c:v>3.0770282054968789E-3</c:v>
                  </c:pt>
                  <c:pt idx="4">
                    <c:v>1.9985537260392124E-3</c:v>
                  </c:pt>
                  <c:pt idx="5">
                    <c:v>2.6753418148499509E-3</c:v>
                  </c:pt>
                  <c:pt idx="6">
                    <c:v>1.8343402937187941E-3</c:v>
                  </c:pt>
                  <c:pt idx="7">
                    <c:v>1.9307440312729357E-3</c:v>
                  </c:pt>
                  <c:pt idx="8">
                    <c:v>1.7714199178753146E-3</c:v>
                  </c:pt>
                  <c:pt idx="9">
                    <c:v>4.5507564925095258E-3</c:v>
                  </c:pt>
                  <c:pt idx="10">
                    <c:v>3.6649761871968196E-3</c:v>
                  </c:pt>
                </c:numCache>
              </c:numRef>
            </c:plus>
            <c:minus>
              <c:numRef>
                <c:f>(RRB_all!$G$18,RRB_all!$G$66,RRB_all!$G$114,RRB_all!$G$162,RRB_all!$G$210,RRB_all!$G$258,RRB_all!$G$306,RRB_all!$G$354,RRB_all!$G$402,RRB_all!$G$450,RRB_all!$G$498)</c:f>
                <c:numCache>
                  <c:formatCode>General</c:formatCode>
                  <c:ptCount val="11"/>
                  <c:pt idx="0">
                    <c:v>4.3158044634111561E-3</c:v>
                  </c:pt>
                  <c:pt idx="1">
                    <c:v>6.1306693592947806E-3</c:v>
                  </c:pt>
                  <c:pt idx="2">
                    <c:v>3.3873539388072256E-3</c:v>
                  </c:pt>
                  <c:pt idx="3">
                    <c:v>3.0770282054968789E-3</c:v>
                  </c:pt>
                  <c:pt idx="4">
                    <c:v>1.9985537260392124E-3</c:v>
                  </c:pt>
                  <c:pt idx="5">
                    <c:v>2.6753418148499509E-3</c:v>
                  </c:pt>
                  <c:pt idx="6">
                    <c:v>1.8343402937187941E-3</c:v>
                  </c:pt>
                  <c:pt idx="7">
                    <c:v>1.9307440312729357E-3</c:v>
                  </c:pt>
                  <c:pt idx="8">
                    <c:v>1.7714199178753146E-3</c:v>
                  </c:pt>
                  <c:pt idx="9">
                    <c:v>4.5507564925095258E-3</c:v>
                  </c:pt>
                  <c:pt idx="10">
                    <c:v>3.6649761871968196E-3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(RRB_all!$G$15,RRB_all!$G$63,RRB_all!$G$111,RRB_all!$G$159,RRB_all!$G$207,RRB_all!$G$255,RRB_all!$G$303,RRB_all!$G$351,RRB_all!$G$399,RRB_all!$G$447,RRB_all!$G$495)</c:f>
              <c:numCache>
                <c:formatCode>0.00%</c:formatCode>
                <c:ptCount val="11"/>
                <c:pt idx="0">
                  <c:v>0.26315112012499509</c:v>
                </c:pt>
                <c:pt idx="1">
                  <c:v>0.19192552429796828</c:v>
                </c:pt>
                <c:pt idx="2">
                  <c:v>0.26346740964177867</c:v>
                </c:pt>
                <c:pt idx="3">
                  <c:v>0.23201195543936165</c:v>
                </c:pt>
                <c:pt idx="4">
                  <c:v>0.27537534987135642</c:v>
                </c:pt>
                <c:pt idx="5">
                  <c:v>0.24195173004637002</c:v>
                </c:pt>
                <c:pt idx="6">
                  <c:v>0.2791467449740796</c:v>
                </c:pt>
                <c:pt idx="7">
                  <c:v>0.25292570944116732</c:v>
                </c:pt>
                <c:pt idx="8">
                  <c:v>0.2730458482546621</c:v>
                </c:pt>
                <c:pt idx="9">
                  <c:v>0.27135064979365692</c:v>
                </c:pt>
                <c:pt idx="10">
                  <c:v>0.25247621067563286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FD-49D9-8F1E-0FD202F908F4}"/>
            </c:ext>
          </c:extLst>
        </c:ser>
        <c:ser>
          <c:idx val="4"/>
          <c:order val="4"/>
          <c:tx>
            <c:strRef>
              <c:f>RRB_all!$H$3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(RRB_all!$H$18,RRB_all!$H$66,RRB_all!$H$114,RRB_all!$H$162,RRB_all!$H$210,RRB_all!$H$258,RRB_all!$H$306,RRB_all!$H$354,RRB_all!$H$402,RRB_all!$H$450,RRB_all!$H$498)</c:f>
                <c:numCache>
                  <c:formatCode>General</c:formatCode>
                  <c:ptCount val="11"/>
                  <c:pt idx="0">
                    <c:v>3.9655672293447981E-3</c:v>
                  </c:pt>
                  <c:pt idx="1">
                    <c:v>7.3854713714492926E-3</c:v>
                  </c:pt>
                  <c:pt idx="2">
                    <c:v>2.4375962244214946E-3</c:v>
                  </c:pt>
                  <c:pt idx="3">
                    <c:v>2.7038892522240673E-3</c:v>
                  </c:pt>
                  <c:pt idx="4">
                    <c:v>1.633659971742239E-3</c:v>
                  </c:pt>
                  <c:pt idx="5">
                    <c:v>1.4311410037658543E-3</c:v>
                  </c:pt>
                  <c:pt idx="6">
                    <c:v>1.4177497359615402E-3</c:v>
                  </c:pt>
                  <c:pt idx="7">
                    <c:v>1.2869431161790588E-3</c:v>
                  </c:pt>
                  <c:pt idx="8">
                    <c:v>9.0870623059685835E-4</c:v>
                  </c:pt>
                  <c:pt idx="9">
                    <c:v>1.9471758048229403E-3</c:v>
                  </c:pt>
                  <c:pt idx="10">
                    <c:v>1.9290932903510609E-3</c:v>
                  </c:pt>
                </c:numCache>
              </c:numRef>
            </c:plus>
            <c:minus>
              <c:numRef>
                <c:f>(RRB_all!$H$18,RRB_all!$H$66,RRB_all!$H$114,RRB_all!$H$162,RRB_all!$H$210,RRB_all!$H$258,RRB_all!$H$306,RRB_all!$H$354,RRB_all!$H$402,RRB_all!$H$450,RRB_all!$H$498)</c:f>
                <c:numCache>
                  <c:formatCode>General</c:formatCode>
                  <c:ptCount val="11"/>
                  <c:pt idx="0">
                    <c:v>3.9655672293447981E-3</c:v>
                  </c:pt>
                  <c:pt idx="1">
                    <c:v>7.3854713714492926E-3</c:v>
                  </c:pt>
                  <c:pt idx="2">
                    <c:v>2.4375962244214946E-3</c:v>
                  </c:pt>
                  <c:pt idx="3">
                    <c:v>2.7038892522240673E-3</c:v>
                  </c:pt>
                  <c:pt idx="4">
                    <c:v>1.633659971742239E-3</c:v>
                  </c:pt>
                  <c:pt idx="5">
                    <c:v>1.4311410037658543E-3</c:v>
                  </c:pt>
                  <c:pt idx="6">
                    <c:v>1.4177497359615402E-3</c:v>
                  </c:pt>
                  <c:pt idx="7">
                    <c:v>1.2869431161790588E-3</c:v>
                  </c:pt>
                  <c:pt idx="8">
                    <c:v>9.0870623059685835E-4</c:v>
                  </c:pt>
                  <c:pt idx="9">
                    <c:v>1.9471758048229403E-3</c:v>
                  </c:pt>
                  <c:pt idx="10">
                    <c:v>1.9290932903510609E-3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(RRB_all!$H$15,RRB_all!$H$63,RRB_all!$H$111,RRB_all!$H$159,RRB_all!$H$207,RRB_all!$H$255,RRB_all!$H$303,RRB_all!$H$351,RRB_all!$H$399,RRB_all!$H$447,RRB_all!$H$495)</c:f>
              <c:numCache>
                <c:formatCode>0.00%</c:formatCode>
                <c:ptCount val="11"/>
                <c:pt idx="0">
                  <c:v>6.5073140870792745E-2</c:v>
                </c:pt>
                <c:pt idx="1">
                  <c:v>0.13387656724219552</c:v>
                </c:pt>
                <c:pt idx="2">
                  <c:v>7.4546527543447594E-2</c:v>
                </c:pt>
                <c:pt idx="3">
                  <c:v>7.1649564141285496E-2</c:v>
                </c:pt>
                <c:pt idx="4">
                  <c:v>5.4956730415920634E-2</c:v>
                </c:pt>
                <c:pt idx="5">
                  <c:v>2.5966938431120551E-2</c:v>
                </c:pt>
                <c:pt idx="6">
                  <c:v>5.0584869121418401E-2</c:v>
                </c:pt>
                <c:pt idx="7">
                  <c:v>4.7252897184995216E-2</c:v>
                </c:pt>
                <c:pt idx="8">
                  <c:v>5.1146694208676721E-2</c:v>
                </c:pt>
                <c:pt idx="9">
                  <c:v>5.4533476902421135E-2</c:v>
                </c:pt>
                <c:pt idx="10">
                  <c:v>6.0552281763418599E-2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FD-49D9-8F1E-0FD202F908F4}"/>
            </c:ext>
          </c:extLst>
        </c:ser>
        <c:ser>
          <c:idx val="5"/>
          <c:order val="5"/>
          <c:tx>
            <c:strRef>
              <c:f>RRB_all!$I$5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(RRB_all!$I$15,RRB_all!$I$63,RRB_all!$I$111,RRB_all!$I$159,RRB_all!$I$207,RRB_all!$I$255,RRB_all!$I$303,RRB_all!$I$351,RRB_all!$I$399,RRB_all!$I$447,RRB_all!$I$495)</c:f>
              <c:numCache>
                <c:formatCode>0.00%</c:formatCode>
                <c:ptCount val="11"/>
                <c:pt idx="0">
                  <c:v>0.43463404236019776</c:v>
                </c:pt>
                <c:pt idx="1">
                  <c:v>0.16870316114109477</c:v>
                </c:pt>
                <c:pt idx="2">
                  <c:v>0.12391346546328628</c:v>
                </c:pt>
                <c:pt idx="3">
                  <c:v>0.24746528187219372</c:v>
                </c:pt>
                <c:pt idx="4">
                  <c:v>0.12391682162456366</c:v>
                </c:pt>
                <c:pt idx="5">
                  <c:v>0.25768080185042408</c:v>
                </c:pt>
                <c:pt idx="6">
                  <c:v>0.13163299922898988</c:v>
                </c:pt>
                <c:pt idx="7">
                  <c:v>0.17996634768016689</c:v>
                </c:pt>
                <c:pt idx="8">
                  <c:v>0.15910907524150777</c:v>
                </c:pt>
                <c:pt idx="9">
                  <c:v>0.12431266724114465</c:v>
                </c:pt>
                <c:pt idx="10">
                  <c:v>0.12432799673454573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FD-49D9-8F1E-0FD202F90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65000000000000013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2.0000000000000004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RRB PA Mode Classification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RRB_all!$D$3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(RRB_all!$D$36,RRB_all!$D$84,RRB_all!$D$132,RRB_all!$D$180,RRB_all!$D$228,RRB_all!$D$276,RRB_all!$D$324,RRB_all!$D$372,RRB_all!$D$420,RRB_all!$D$468,RRB_all!$D$516)</c:f>
              <c:numCache>
                <c:formatCode>0.00%</c:formatCode>
                <c:ptCount val="11"/>
                <c:pt idx="0">
                  <c:v>5.5554321284378098E-3</c:v>
                </c:pt>
                <c:pt idx="1">
                  <c:v>3.3861758486343686E-2</c:v>
                </c:pt>
                <c:pt idx="2">
                  <c:v>1.9053197312161319E-2</c:v>
                </c:pt>
                <c:pt idx="3">
                  <c:v>7.7193563567546381E-3</c:v>
                </c:pt>
                <c:pt idx="4">
                  <c:v>7.5250596321288412E-3</c:v>
                </c:pt>
                <c:pt idx="5">
                  <c:v>8.9323980699589391E-3</c:v>
                </c:pt>
                <c:pt idx="6">
                  <c:v>8.9929895641249879E-3</c:v>
                </c:pt>
                <c:pt idx="7">
                  <c:v>6.7062665742983005E-3</c:v>
                </c:pt>
                <c:pt idx="8">
                  <c:v>7.0092240451285447E-3</c:v>
                </c:pt>
                <c:pt idx="9">
                  <c:v>7.4786061532682033E-3</c:v>
                </c:pt>
                <c:pt idx="10">
                  <c:v>9.1355815470624234E-3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B-4E0B-B0AC-A5CD2EAF1D34}"/>
            </c:ext>
          </c:extLst>
        </c:ser>
        <c:ser>
          <c:idx val="1"/>
          <c:order val="1"/>
          <c:tx>
            <c:strRef>
              <c:f>RRB_all!$E$3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(RRB_all!$E$36,RRB_all!$E$84,RRB_all!$E$132,RRB_all!$E$180,RRB_all!$E$228,RRB_all!$E$276,RRB_all!$E$324,RRB_all!$E$372,RRB_all!$E$420,RRB_all!$E$468,RRB_all!$E$516)</c:f>
              <c:numCache>
                <c:formatCode>0.00%</c:formatCode>
                <c:ptCount val="11"/>
                <c:pt idx="0">
                  <c:v>1.9300410608358799E-3</c:v>
                </c:pt>
                <c:pt idx="1">
                  <c:v>4.5128544854873267E-3</c:v>
                </c:pt>
                <c:pt idx="2">
                  <c:v>4.9317436818219458E-3</c:v>
                </c:pt>
                <c:pt idx="3">
                  <c:v>6.5580193852386994E-3</c:v>
                </c:pt>
                <c:pt idx="4">
                  <c:v>2.6878386812059325E-3</c:v>
                </c:pt>
                <c:pt idx="5">
                  <c:v>5.1870358439082319E-3</c:v>
                </c:pt>
                <c:pt idx="6">
                  <c:v>1.2846204649791261E-2</c:v>
                </c:pt>
                <c:pt idx="7">
                  <c:v>5.3049872858848077E-3</c:v>
                </c:pt>
                <c:pt idx="8">
                  <c:v>5.0686804586372166E-3</c:v>
                </c:pt>
                <c:pt idx="9">
                  <c:v>5.0161678303599746E-3</c:v>
                </c:pt>
                <c:pt idx="10">
                  <c:v>5.5655307107988182E-3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B-4E0B-B0AC-A5CD2EAF1D34}"/>
            </c:ext>
          </c:extLst>
        </c:ser>
        <c:ser>
          <c:idx val="2"/>
          <c:order val="2"/>
          <c:tx>
            <c:strRef>
              <c:f>RRB_all!$F$3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(RRB_all!$F$36,RRB_all!$F$84,RRB_all!$F$132,RRB_all!$F$180,RRB_all!$F$228,RRB_all!$F$276,RRB_all!$F$324,RRB_all!$F$372,RRB_all!$F$420,RRB_all!$F$468,RRB_all!$F$516)</c:f>
              <c:numCache>
                <c:formatCode>0.00%</c:formatCode>
                <c:ptCount val="11"/>
                <c:pt idx="0">
                  <c:v>8.876532712337841E-2</c:v>
                </c:pt>
                <c:pt idx="1">
                  <c:v>0.11243600023428711</c:v>
                </c:pt>
                <c:pt idx="2">
                  <c:v>0.15251000264582859</c:v>
                </c:pt>
                <c:pt idx="3">
                  <c:v>0.14224216804444992</c:v>
                </c:pt>
                <c:pt idx="4">
                  <c:v>0.18777950351329678</c:v>
                </c:pt>
                <c:pt idx="5">
                  <c:v>0.15814299188679892</c:v>
                </c:pt>
                <c:pt idx="6">
                  <c:v>0.17385759787041097</c:v>
                </c:pt>
                <c:pt idx="7">
                  <c:v>0.17429345268511207</c:v>
                </c:pt>
                <c:pt idx="8">
                  <c:v>0.18867060242083217</c:v>
                </c:pt>
                <c:pt idx="9">
                  <c:v>0.16499710170686238</c:v>
                </c:pt>
                <c:pt idx="10">
                  <c:v>0.17152644111819584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B-4E0B-B0AC-A5CD2EAF1D34}"/>
            </c:ext>
          </c:extLst>
        </c:ser>
        <c:ser>
          <c:idx val="3"/>
          <c:order val="3"/>
          <c:tx>
            <c:strRef>
              <c:f>RRB_all!$G$3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(RRB_all!$G$36,RRB_all!$G$84,RRB_all!$G$132,RRB_all!$G$180,RRB_all!$G$228,RRB_all!$G$276,RRB_all!$G$324,RRB_all!$G$372,RRB_all!$G$420,RRB_all!$G$468,RRB_all!$G$516)</c:f>
              <c:numCache>
                <c:formatCode>0.00%</c:formatCode>
                <c:ptCount val="11"/>
                <c:pt idx="0">
                  <c:v>0.48273768528373984</c:v>
                </c:pt>
                <c:pt idx="1">
                  <c:v>0.44728762176365683</c:v>
                </c:pt>
                <c:pt idx="2">
                  <c:v>0.61695107640789382</c:v>
                </c:pt>
                <c:pt idx="3">
                  <c:v>0.50174523700362939</c:v>
                </c:pt>
                <c:pt idx="4">
                  <c:v>0.63100668728123943</c:v>
                </c:pt>
                <c:pt idx="5">
                  <c:v>0.53735526206831086</c:v>
                </c:pt>
                <c:pt idx="6">
                  <c:v>0.61167315332273653</c:v>
                </c:pt>
                <c:pt idx="7">
                  <c:v>0.49163292057061031</c:v>
                </c:pt>
                <c:pt idx="8">
                  <c:v>0.61167315332273653</c:v>
                </c:pt>
                <c:pt idx="9">
                  <c:v>0.64625271904330073</c:v>
                </c:pt>
                <c:pt idx="10">
                  <c:v>0.62460984127048236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B-4E0B-B0AC-A5CD2EAF1D34}"/>
            </c:ext>
          </c:extLst>
        </c:ser>
        <c:ser>
          <c:idx val="4"/>
          <c:order val="4"/>
          <c:tx>
            <c:strRef>
              <c:f>RRB_all!$H$3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(RRB_all!$H$36,RRB_all!$H$84,RRB_all!$H$132,RRB_all!$H$180,RRB_all!$H$228,RRB_all!$H$276,RRB_all!$H$324,RRB_all!$H$372,RRB_all!$H$420,RRB_all!$H$468,RRB_all!$H$516)</c:f>
              <c:numCache>
                <c:formatCode>0.00%</c:formatCode>
                <c:ptCount val="11"/>
                <c:pt idx="0">
                  <c:v>0.18731133323504046</c:v>
                </c:pt>
                <c:pt idx="1">
                  <c:v>0.27413288522557205</c:v>
                </c:pt>
                <c:pt idx="2">
                  <c:v>0.20216271239843348</c:v>
                </c:pt>
                <c:pt idx="3">
                  <c:v>0.19911172869552571</c:v>
                </c:pt>
                <c:pt idx="4">
                  <c:v>0.16661004728156262</c:v>
                </c:pt>
                <c:pt idx="5">
                  <c:v>9.5038566486036688E-2</c:v>
                </c:pt>
                <c:pt idx="6">
                  <c:v>0.17532431597252376</c:v>
                </c:pt>
                <c:pt idx="7">
                  <c:v>0.1694998576099887</c:v>
                </c:pt>
                <c:pt idx="8">
                  <c:v>0.17115481328731075</c:v>
                </c:pt>
                <c:pt idx="9">
                  <c:v>0.17188635459354215</c:v>
                </c:pt>
                <c:pt idx="10">
                  <c:v>0.18479355468079389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B-4E0B-B0AC-A5CD2EAF1D34}"/>
            </c:ext>
          </c:extLst>
        </c:ser>
        <c:ser>
          <c:idx val="5"/>
          <c:order val="5"/>
          <c:tx>
            <c:strRef>
              <c:f>RRB_all!$I$5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(RRB_all!$I$36,RRB_all!$I$84,RRB_all!$I$132,RRB_all!$I$180,RRB_all!$I$228,RRB_all!$I$276,RRB_all!$I$324,RRB_all!$I$372,RRB_all!$I$420,RRB_all!$I$468,RRB_all!$I$516)</c:f>
              <c:numCache>
                <c:formatCode>0.00%</c:formatCode>
                <c:ptCount val="11"/>
                <c:pt idx="0">
                  <c:v>0.23370018116856758</c:v>
                </c:pt>
                <c:pt idx="1">
                  <c:v>0.1277688798046529</c:v>
                </c:pt>
                <c:pt idx="2">
                  <c:v>4.3912675538609006E-3</c:v>
                </c:pt>
                <c:pt idx="3">
                  <c:v>0.14262349051440154</c:v>
                </c:pt>
                <c:pt idx="4">
                  <c:v>4.3908636105663779E-3</c:v>
                </c:pt>
                <c:pt idx="5">
                  <c:v>0.19534374564498627</c:v>
                </c:pt>
                <c:pt idx="6">
                  <c:v>1.7305738620412542E-2</c:v>
                </c:pt>
                <c:pt idx="7">
                  <c:v>0.15256251527410575</c:v>
                </c:pt>
                <c:pt idx="8">
                  <c:v>1.6423526465354717E-2</c:v>
                </c:pt>
                <c:pt idx="9">
                  <c:v>4.369050672666565E-3</c:v>
                </c:pt>
                <c:pt idx="10">
                  <c:v>4.369050672666565E-3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B-4E0B-B0AC-A5CD2EAF1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2.0000000000000004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RRB Mode Classification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Acc. Derived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Area (kHa)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± CI</a:t>
            </a:r>
            <a:r>
              <a:rPr lang="en-US" sz="2160" b="0" i="0" u="none" strike="noStrike" kern="1200" cap="none" spc="0" baseline="-250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95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RRB_all!$D$3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(RRB_all!$D$17,RRB_all!$D$65,RRB_all!$D$113,RRB_all!$D$161,RRB_all!$D$209,RRB_all!$D$257,RRB_all!$D$305,RRB_all!$D$353,RRB_all!$D$401,RRB_all!$D$449,RRB_all!$D$497)</c:f>
                <c:numCache>
                  <c:formatCode>General</c:formatCode>
                  <c:ptCount val="11"/>
                  <c:pt idx="0">
                    <c:v>2.7006504694952942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5.4093006845445375</c:v>
                  </c:pt>
                  <c:pt idx="7">
                    <c:v>6.6471645655895699</c:v>
                  </c:pt>
                  <c:pt idx="8">
                    <c:v>143.89397012024196</c:v>
                  </c:pt>
                  <c:pt idx="9">
                    <c:v>8.8411531496171563</c:v>
                  </c:pt>
                  <c:pt idx="10">
                    <c:v>0</c:v>
                  </c:pt>
                </c:numCache>
              </c:numRef>
            </c:plus>
            <c:minus>
              <c:numRef>
                <c:f>(RRB_all!$D$17,RRB_all!$D$65,RRB_all!$D$113,RRB_all!$D$161,RRB_all!$D$209,RRB_all!$D$257,RRB_all!$D$305,RRB_all!$D$353,RRB_all!$D$401,RRB_all!$D$449,RRB_all!$D$497)</c:f>
                <c:numCache>
                  <c:formatCode>General</c:formatCode>
                  <c:ptCount val="11"/>
                  <c:pt idx="0">
                    <c:v>2.7006504694952942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5.4093006845445375</c:v>
                  </c:pt>
                  <c:pt idx="7">
                    <c:v>6.6471645655895699</c:v>
                  </c:pt>
                  <c:pt idx="8">
                    <c:v>143.89397012024196</c:v>
                  </c:pt>
                  <c:pt idx="9">
                    <c:v>8.8411531496171563</c:v>
                  </c:pt>
                  <c:pt idx="1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(RRB_all!$D$14,RRB_all!$D$62,RRB_all!$D$110,RRB_all!$D$158,RRB_all!$D$206,RRB_all!$D$254,RRB_all!$D$302,RRB_all!$D$350,RRB_all!$D$398,RRB_all!$D$446,RRB_all!$D$494)</c:f>
              <c:numCache>
                <c:formatCode>0.00</c:formatCode>
                <c:ptCount val="11"/>
                <c:pt idx="0">
                  <c:v>157.76608695652175</c:v>
                </c:pt>
                <c:pt idx="1">
                  <c:v>1018.99</c:v>
                </c:pt>
                <c:pt idx="2">
                  <c:v>510.22</c:v>
                </c:pt>
                <c:pt idx="3">
                  <c:v>202.36</c:v>
                </c:pt>
                <c:pt idx="4">
                  <c:v>214.96</c:v>
                </c:pt>
                <c:pt idx="5">
                  <c:v>334.76</c:v>
                </c:pt>
                <c:pt idx="6">
                  <c:v>212.08274944567631</c:v>
                </c:pt>
                <c:pt idx="7">
                  <c:v>146.27853658536588</c:v>
                </c:pt>
                <c:pt idx="8">
                  <c:v>127.67890659169008</c:v>
                </c:pt>
                <c:pt idx="9">
                  <c:v>91.934400000000011</c:v>
                </c:pt>
                <c:pt idx="10">
                  <c:v>264.67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5-423A-A604-A44B4FDA058F}"/>
            </c:ext>
          </c:extLst>
        </c:ser>
        <c:ser>
          <c:idx val="1"/>
          <c:order val="1"/>
          <c:tx>
            <c:strRef>
              <c:f>RRB_all!$E$3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(RRB_all!$E$17,RRB_all!$E$65,RRB_all!$E$113,RRB_all!$E$161,RRB_all!$E$209,RRB_all!$E$257,RRB_all!$E$305,RRB_all!$E$353,RRB_all!$E$401,RRB_all!$E$449,RRB_all!$E$497)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195.04068468394996</c:v>
                  </c:pt>
                  <c:pt idx="2">
                    <c:v>254.6745699064561</c:v>
                  </c:pt>
                  <c:pt idx="3">
                    <c:v>190.51406349503708</c:v>
                  </c:pt>
                  <c:pt idx="4">
                    <c:v>35.785140284203408</c:v>
                  </c:pt>
                  <c:pt idx="5">
                    <c:v>11.214996758179947</c:v>
                  </c:pt>
                  <c:pt idx="6">
                    <c:v>58.39983239756021</c:v>
                  </c:pt>
                  <c:pt idx="7">
                    <c:v>151.45842758486333</c:v>
                  </c:pt>
                  <c:pt idx="8">
                    <c:v>180.71834403914903</c:v>
                  </c:pt>
                  <c:pt idx="9">
                    <c:v>63.104926380083086</c:v>
                  </c:pt>
                  <c:pt idx="10">
                    <c:v>83.35111369966242</c:v>
                  </c:pt>
                </c:numCache>
              </c:numRef>
            </c:plus>
            <c:minus>
              <c:numRef>
                <c:f>(RRB_all!$E$17,RRB_all!$E$65,RRB_all!$E$113,RRB_all!$E$161,RRB_all!$E$209,RRB_all!$E$257,RRB_all!$E$305,RRB_all!$E$353,RRB_all!$E$401,RRB_all!$E$449,RRB_all!$E$497)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195.04068468394996</c:v>
                  </c:pt>
                  <c:pt idx="2">
                    <c:v>254.6745699064561</c:v>
                  </c:pt>
                  <c:pt idx="3">
                    <c:v>190.51406349503708</c:v>
                  </c:pt>
                  <c:pt idx="4">
                    <c:v>35.785140284203408</c:v>
                  </c:pt>
                  <c:pt idx="5">
                    <c:v>11.214996758179947</c:v>
                  </c:pt>
                  <c:pt idx="6">
                    <c:v>58.39983239756021</c:v>
                  </c:pt>
                  <c:pt idx="7">
                    <c:v>151.45842758486333</c:v>
                  </c:pt>
                  <c:pt idx="8">
                    <c:v>180.71834403914903</c:v>
                  </c:pt>
                  <c:pt idx="9">
                    <c:v>63.104926380083086</c:v>
                  </c:pt>
                  <c:pt idx="10">
                    <c:v>83.35111369966242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(RRB_all!$E$14,RRB_all!$E$62,RRB_all!$E$110,RRB_all!$E$158,RRB_all!$E$206,RRB_all!$E$254,RRB_all!$E$302,RRB_all!$E$350,RRB_all!$E$398,RRB_all!$E$446,RRB_all!$E$494)</c:f>
              <c:numCache>
                <c:formatCode>0.00</c:formatCode>
                <c:ptCount val="11"/>
                <c:pt idx="0">
                  <c:v>321.18000000000006</c:v>
                </c:pt>
                <c:pt idx="1">
                  <c:v>314.68</c:v>
                </c:pt>
                <c:pt idx="2">
                  <c:v>2435.2203092783507</c:v>
                </c:pt>
                <c:pt idx="3">
                  <c:v>1888.0760841667768</c:v>
                </c:pt>
                <c:pt idx="4">
                  <c:v>481.69891398466433</c:v>
                </c:pt>
                <c:pt idx="5">
                  <c:v>613.28223899371062</c:v>
                </c:pt>
                <c:pt idx="6">
                  <c:v>1306.0520790082242</c:v>
                </c:pt>
                <c:pt idx="7">
                  <c:v>944.41575399172098</c:v>
                </c:pt>
                <c:pt idx="8">
                  <c:v>969.04857944263961</c:v>
                </c:pt>
                <c:pt idx="9">
                  <c:v>765.4137833333333</c:v>
                </c:pt>
                <c:pt idx="10">
                  <c:v>838.23356706564653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5-423A-A604-A44B4FDA058F}"/>
            </c:ext>
          </c:extLst>
        </c:ser>
        <c:ser>
          <c:idx val="2"/>
          <c:order val="2"/>
          <c:tx>
            <c:strRef>
              <c:f>RRB_all!$F$3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(RRB_all!$F$17,RRB_all!$F$65,RRB_all!$F$113,RRB_all!$F$161,RRB_all!$F$209,RRB_all!$F$257,RRB_all!$F$305,RRB_all!$F$353,RRB_all!$F$401,RRB_all!$F$449,RRB_all!$F$497)</c:f>
                <c:numCache>
                  <c:formatCode>General</c:formatCode>
                  <c:ptCount val="11"/>
                  <c:pt idx="0">
                    <c:v>403.85637157638985</c:v>
                  </c:pt>
                  <c:pt idx="1">
                    <c:v>1303.0135651911767</c:v>
                  </c:pt>
                  <c:pt idx="2">
                    <c:v>518.90694589262705</c:v>
                  </c:pt>
                  <c:pt idx="3">
                    <c:v>681.1699002169762</c:v>
                  </c:pt>
                  <c:pt idx="4">
                    <c:v>270.62595605488315</c:v>
                  </c:pt>
                  <c:pt idx="5">
                    <c:v>507.11001524150595</c:v>
                  </c:pt>
                  <c:pt idx="6">
                    <c:v>264.69636460737905</c:v>
                  </c:pt>
                  <c:pt idx="7">
                    <c:v>277.99839693935019</c:v>
                  </c:pt>
                  <c:pt idx="8">
                    <c:v>244.39591522756618</c:v>
                  </c:pt>
                  <c:pt idx="9">
                    <c:v>974.34528491707079</c:v>
                  </c:pt>
                  <c:pt idx="10">
                    <c:v>815.99521472485742</c:v>
                  </c:pt>
                </c:numCache>
              </c:numRef>
            </c:plus>
            <c:minus>
              <c:numRef>
                <c:f>(RRB_all!$F$17,RRB_all!$F$65,RRB_all!$F$113,RRB_all!$F$161,RRB_all!$F$209,RRB_all!$F$257,RRB_all!$F$305,RRB_all!$F$353,RRB_all!$F$401,RRB_all!$F$449,RRB_all!$F$497)</c:f>
                <c:numCache>
                  <c:formatCode>General</c:formatCode>
                  <c:ptCount val="11"/>
                  <c:pt idx="0">
                    <c:v>403.85637157638985</c:v>
                  </c:pt>
                  <c:pt idx="1">
                    <c:v>1303.0135651911767</c:v>
                  </c:pt>
                  <c:pt idx="2">
                    <c:v>518.90694589262705</c:v>
                  </c:pt>
                  <c:pt idx="3">
                    <c:v>681.1699002169762</c:v>
                  </c:pt>
                  <c:pt idx="4">
                    <c:v>270.62595605488315</c:v>
                  </c:pt>
                  <c:pt idx="5">
                    <c:v>507.11001524150595</c:v>
                  </c:pt>
                  <c:pt idx="6">
                    <c:v>264.69636460737905</c:v>
                  </c:pt>
                  <c:pt idx="7">
                    <c:v>277.99839693935019</c:v>
                  </c:pt>
                  <c:pt idx="8">
                    <c:v>244.39591522756618</c:v>
                  </c:pt>
                  <c:pt idx="9">
                    <c:v>974.34528491707079</c:v>
                  </c:pt>
                  <c:pt idx="10">
                    <c:v>815.99521472485742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(RRB_all!$F$14,RRB_all!$F$62,RRB_all!$F$110,RRB_all!$F$158,RRB_all!$F$206,RRB_all!$F$254,RRB_all!$F$302,RRB_all!$F$350,RRB_all!$F$398,RRB_all!$F$446,RRB_all!$F$494)</c:f>
              <c:numCache>
                <c:formatCode>0.00</c:formatCode>
                <c:ptCount val="11"/>
                <c:pt idx="0">
                  <c:v>25664.740259562841</c:v>
                </c:pt>
                <c:pt idx="1">
                  <c:v>54394.598418154652</c:v>
                </c:pt>
                <c:pt idx="2">
                  <c:v>56374.373185736382</c:v>
                </c:pt>
                <c:pt idx="3">
                  <c:v>47395.589689664776</c:v>
                </c:pt>
                <c:pt idx="4">
                  <c:v>59469.670894744471</c:v>
                </c:pt>
                <c:pt idx="5">
                  <c:v>51352.244154705346</c:v>
                </c:pt>
                <c:pt idx="6">
                  <c:v>57863.723375587921</c:v>
                </c:pt>
                <c:pt idx="7">
                  <c:v>56220.725221921624</c:v>
                </c:pt>
                <c:pt idx="8">
                  <c:v>55866.685670094863</c:v>
                </c:pt>
                <c:pt idx="9">
                  <c:v>59755.70626905754</c:v>
                </c:pt>
                <c:pt idx="10">
                  <c:v>60925.730283991135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65-423A-A604-A44B4FDA058F}"/>
            </c:ext>
          </c:extLst>
        </c:ser>
        <c:ser>
          <c:idx val="3"/>
          <c:order val="3"/>
          <c:tx>
            <c:strRef>
              <c:f>RRB_all!$G$3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(RRB_all!$G$17,RRB_all!$G$65,RRB_all!$G$113,RRB_all!$G$161,RRB_all!$G$209,RRB_all!$G$257,RRB_all!$G$305,RRB_all!$G$353,RRB_all!$G$401,RRB_all!$G$449,RRB_all!$G$497)</c:f>
                <c:numCache>
                  <c:formatCode>General</c:formatCode>
                  <c:ptCount val="11"/>
                  <c:pt idx="0">
                    <c:v>932.55989161477532</c:v>
                  </c:pt>
                  <c:pt idx="1">
                    <c:v>1324.7162612902882</c:v>
                  </c:pt>
                  <c:pt idx="2">
                    <c:v>731.94011656825296</c:v>
                  </c:pt>
                  <c:pt idx="3">
                    <c:v>664.88487004940669</c:v>
                  </c:pt>
                  <c:pt idx="4">
                    <c:v>431.84788883329827</c:v>
                  </c:pt>
                  <c:pt idx="5">
                    <c:v>578.08839442114038</c:v>
                  </c:pt>
                  <c:pt idx="6">
                    <c:v>396.36461753481581</c:v>
                  </c:pt>
                  <c:pt idx="7">
                    <c:v>417.19555642626221</c:v>
                  </c:pt>
                  <c:pt idx="8">
                    <c:v>382.76877013848156</c:v>
                  </c:pt>
                  <c:pt idx="9">
                    <c:v>983.32837305275677</c:v>
                  </c:pt>
                  <c:pt idx="10">
                    <c:v>791.9287875247262</c:v>
                  </c:pt>
                </c:numCache>
              </c:numRef>
            </c:plus>
            <c:minus>
              <c:numRef>
                <c:f>(RRB_all!$G$17,RRB_all!$G$65,RRB_all!$G$113,RRB_all!$G$161,RRB_all!$G$209,RRB_all!$G$257,RRB_all!$G$305,RRB_all!$G$353,RRB_all!$G$401,RRB_all!$G$449,RRB_all!$G$497)</c:f>
                <c:numCache>
                  <c:formatCode>General</c:formatCode>
                  <c:ptCount val="11"/>
                  <c:pt idx="0">
                    <c:v>932.55989161477532</c:v>
                  </c:pt>
                  <c:pt idx="1">
                    <c:v>1324.7162612902882</c:v>
                  </c:pt>
                  <c:pt idx="2">
                    <c:v>731.94011656825296</c:v>
                  </c:pt>
                  <c:pt idx="3">
                    <c:v>664.88487004940669</c:v>
                  </c:pt>
                  <c:pt idx="4">
                    <c:v>431.84788883329827</c:v>
                  </c:pt>
                  <c:pt idx="5">
                    <c:v>578.08839442114038</c:v>
                  </c:pt>
                  <c:pt idx="6">
                    <c:v>396.36461753481581</c:v>
                  </c:pt>
                  <c:pt idx="7">
                    <c:v>417.19555642626221</c:v>
                  </c:pt>
                  <c:pt idx="8">
                    <c:v>382.76877013848156</c:v>
                  </c:pt>
                  <c:pt idx="9">
                    <c:v>983.32837305275677</c:v>
                  </c:pt>
                  <c:pt idx="10">
                    <c:v>791.9287875247262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(RRB_all!$G$14,RRB_all!$G$62,RRB_all!$G$110,RRB_all!$G$158,RRB_all!$G$206,RRB_all!$G$254,RRB_all!$G$302,RRB_all!$G$350,RRB_all!$G$398,RRB_all!$G$446,RRB_all!$G$494)</c:f>
              <c:numCache>
                <c:formatCode>0.00</c:formatCode>
                <c:ptCount val="11"/>
                <c:pt idx="0">
                  <c:v>29011.095238180085</c:v>
                </c:pt>
                <c:pt idx="1">
                  <c:v>21158.829426229513</c:v>
                </c:pt>
                <c:pt idx="2">
                  <c:v>29045.964575957893</c:v>
                </c:pt>
                <c:pt idx="3">
                  <c:v>25578.158027412424</c:v>
                </c:pt>
                <c:pt idx="4">
                  <c:v>30358.755446567688</c:v>
                </c:pt>
                <c:pt idx="5">
                  <c:v>26673.968478962062</c:v>
                </c:pt>
                <c:pt idx="6">
                  <c:v>30774.532899667407</c:v>
                </c:pt>
                <c:pt idx="7">
                  <c:v>27883.794837341491</c:v>
                </c:pt>
                <c:pt idx="8">
                  <c:v>30101.939540835225</c:v>
                </c:pt>
                <c:pt idx="9">
                  <c:v>29915.052386501709</c:v>
                </c:pt>
                <c:pt idx="10">
                  <c:v>27834.239845935143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65-423A-A604-A44B4FDA058F}"/>
            </c:ext>
          </c:extLst>
        </c:ser>
        <c:ser>
          <c:idx val="4"/>
          <c:order val="4"/>
          <c:tx>
            <c:strRef>
              <c:f>RRB_all!$H$3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(RRB_all!$H$17,RRB_all!$H$65,RRB_all!$H$113,RRB_all!$H$161,RRB_all!$H$209,RRB_all!$H$257,RRB_all!$H$305,RRB_all!$H$353,RRB_all!$H$401,RRB_all!$H$449,RRB_all!$H$497)</c:f>
                <c:numCache>
                  <c:formatCode>General</c:formatCode>
                  <c:ptCount val="11"/>
                  <c:pt idx="0">
                    <c:v>856.88056003026986</c:v>
                  </c:pt>
                  <c:pt idx="1">
                    <c:v>1595.8541310370374</c:v>
                  </c:pt>
                  <c:pt idx="2">
                    <c:v>526.71627969224141</c:v>
                  </c:pt>
                  <c:pt idx="3">
                    <c:v>584.2569303984269</c:v>
                  </c:pt>
                  <c:pt idx="4">
                    <c:v>353.00157342605735</c:v>
                  </c:pt>
                  <c:pt idx="5">
                    <c:v>309.24123432192653</c:v>
                  </c:pt>
                  <c:pt idx="6">
                    <c:v>306.3476464965168</c:v>
                  </c:pt>
                  <c:pt idx="7">
                    <c:v>278.08292593259426</c:v>
                  </c:pt>
                  <c:pt idx="8">
                    <c:v>196.35342404861527</c:v>
                  </c:pt>
                  <c:pt idx="9">
                    <c:v>420.7461373413019</c:v>
                  </c:pt>
                  <c:pt idx="10">
                    <c:v>416.83886399771529</c:v>
                  </c:pt>
                </c:numCache>
              </c:numRef>
            </c:plus>
            <c:minus>
              <c:numRef>
                <c:f>(RRB_all!$H$17,RRB_all!$H$65,RRB_all!$H$113,RRB_all!$H$161,RRB_all!$H$209,RRB_all!$H$257,RRB_all!$H$305,RRB_all!$H$353,RRB_all!$H$401,RRB_all!$H$449,RRB_all!$H$497)</c:f>
                <c:numCache>
                  <c:formatCode>General</c:formatCode>
                  <c:ptCount val="11"/>
                  <c:pt idx="0">
                    <c:v>856.88056003026986</c:v>
                  </c:pt>
                  <c:pt idx="1">
                    <c:v>1595.8541310370374</c:v>
                  </c:pt>
                  <c:pt idx="2">
                    <c:v>526.71627969224141</c:v>
                  </c:pt>
                  <c:pt idx="3">
                    <c:v>584.2569303984269</c:v>
                  </c:pt>
                  <c:pt idx="4">
                    <c:v>353.00157342605735</c:v>
                  </c:pt>
                  <c:pt idx="5">
                    <c:v>309.24123432192653</c:v>
                  </c:pt>
                  <c:pt idx="6">
                    <c:v>306.3476464965168</c:v>
                  </c:pt>
                  <c:pt idx="7">
                    <c:v>278.08292593259426</c:v>
                  </c:pt>
                  <c:pt idx="8">
                    <c:v>196.35342404861527</c:v>
                  </c:pt>
                  <c:pt idx="9">
                    <c:v>420.7461373413019</c:v>
                  </c:pt>
                  <c:pt idx="10">
                    <c:v>416.83886399771529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(RRB_all!$H$14,RRB_all!$H$62,RRB_all!$H$110,RRB_all!$H$158,RRB_all!$H$206,RRB_all!$H$254,RRB_all!$H$302,RRB_all!$H$350,RRB_all!$H$398,RRB_all!$H$446,RRB_all!$H$494)</c:f>
              <c:numCache>
                <c:formatCode>0.00</c:formatCode>
                <c:ptCount val="11"/>
                <c:pt idx="0">
                  <c:v>7173.9884153005469</c:v>
                </c:pt>
                <c:pt idx="1">
                  <c:v>14759.222155615844</c:v>
                </c:pt>
                <c:pt idx="2">
                  <c:v>8218.3819290273805</c:v>
                </c:pt>
                <c:pt idx="3">
                  <c:v>7899.0061987560193</c:v>
                </c:pt>
                <c:pt idx="4">
                  <c:v>6058.70474470317</c:v>
                </c:pt>
                <c:pt idx="5">
                  <c:v>2862.7251273388852</c:v>
                </c:pt>
                <c:pt idx="6">
                  <c:v>5576.7288962907714</c:v>
                </c:pt>
                <c:pt idx="7">
                  <c:v>5209.3956501597977</c:v>
                </c:pt>
                <c:pt idx="8">
                  <c:v>5638.6673030355651</c:v>
                </c:pt>
                <c:pt idx="9">
                  <c:v>6012.0431611074182</c:v>
                </c:pt>
                <c:pt idx="10">
                  <c:v>6675.5863030080836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65-423A-A604-A44B4FDA058F}"/>
            </c:ext>
          </c:extLst>
        </c:ser>
        <c:ser>
          <c:idx val="5"/>
          <c:order val="5"/>
          <c:tx>
            <c:strRef>
              <c:f>RRB_all!$I$5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(RRB_all!$I$14,RRB_all!$I$62,RRB_all!$I$110,RRB_all!$I$158,RRB_all!$I$206,RRB_all!$I$254,RRB_all!$I$302,RRB_all!$I$350,RRB_all!$I$398,RRB_all!$I$446,RRB_all!$I$494)</c:f>
              <c:numCache>
                <c:formatCode>0.0</c:formatCode>
                <c:ptCount val="11"/>
                <c:pt idx="0">
                  <c:v>47916.23</c:v>
                </c:pt>
                <c:pt idx="1">
                  <c:v>18598.679999999993</c:v>
                </c:pt>
                <c:pt idx="2">
                  <c:v>13660.839999999997</c:v>
                </c:pt>
                <c:pt idx="3">
                  <c:v>27281.809999999998</c:v>
                </c:pt>
                <c:pt idx="4">
                  <c:v>13661.210000000021</c:v>
                </c:pt>
                <c:pt idx="5">
                  <c:v>28408.020000000004</c:v>
                </c:pt>
                <c:pt idx="6">
                  <c:v>14511.87999999999</c:v>
                </c:pt>
                <c:pt idx="7">
                  <c:v>19840.39</c:v>
                </c:pt>
                <c:pt idx="8">
                  <c:v>17540.980000000025</c:v>
                </c:pt>
                <c:pt idx="9">
                  <c:v>13704.849999999991</c:v>
                </c:pt>
                <c:pt idx="10">
                  <c:v>13706.539999999994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65-423A-A604-A44B4FDA0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RRB PA Mode Classification Px count 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RRB_all!$D$3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(RRB_all!$D$36,RRB_all!$D$84,RRB_all!$D$132,RRB_all!$D$180,RRB_all!$D$228,RRB_all!$D$276,RRB_all!$D$324,RRB_all!$D$372,RRB_all!$D$420,RRB_all!$D$468,RRB_all!$D$516)</c:f>
              <c:numCache>
                <c:formatCode>0.00%</c:formatCode>
                <c:ptCount val="11"/>
                <c:pt idx="0">
                  <c:v>5.5554321284378098E-3</c:v>
                </c:pt>
                <c:pt idx="1">
                  <c:v>3.3861758486343686E-2</c:v>
                </c:pt>
                <c:pt idx="2">
                  <c:v>1.9053197312161319E-2</c:v>
                </c:pt>
                <c:pt idx="3">
                  <c:v>7.7193563567546381E-3</c:v>
                </c:pt>
                <c:pt idx="4">
                  <c:v>7.5250596321288412E-3</c:v>
                </c:pt>
                <c:pt idx="5">
                  <c:v>8.9323980699589391E-3</c:v>
                </c:pt>
                <c:pt idx="6">
                  <c:v>8.9929895641249879E-3</c:v>
                </c:pt>
                <c:pt idx="7">
                  <c:v>6.7062665742983005E-3</c:v>
                </c:pt>
                <c:pt idx="8">
                  <c:v>7.0092240451285447E-3</c:v>
                </c:pt>
                <c:pt idx="9">
                  <c:v>7.4786061532682033E-3</c:v>
                </c:pt>
                <c:pt idx="10">
                  <c:v>9.1355815470624234E-3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8-407B-B682-A6DE6E78BAB0}"/>
            </c:ext>
          </c:extLst>
        </c:ser>
        <c:ser>
          <c:idx val="1"/>
          <c:order val="1"/>
          <c:tx>
            <c:strRef>
              <c:f>RRB_all!$E$3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(RRB_all!$E$35,RRB_all!$E$83,RRB_all!$E$131,RRB_all!$E$179,RRB_all!$E$227,RRB_all!$E$275,RRB_all!$E$323,RRB_all!$E$371,RRB_all!$E$419,RRB_all!$E$467,RRB_all!$E$515)</c:f>
              <c:numCache>
                <c:formatCode>0.00</c:formatCode>
                <c:ptCount val="11"/>
                <c:pt idx="0">
                  <c:v>47.78</c:v>
                </c:pt>
                <c:pt idx="1">
                  <c:v>111.72</c:v>
                </c:pt>
                <c:pt idx="2">
                  <c:v>122.09</c:v>
                </c:pt>
                <c:pt idx="3">
                  <c:v>162.35</c:v>
                </c:pt>
                <c:pt idx="4">
                  <c:v>66.540000000000006</c:v>
                </c:pt>
                <c:pt idx="5">
                  <c:v>128.41</c:v>
                </c:pt>
                <c:pt idx="6">
                  <c:v>318.02</c:v>
                </c:pt>
                <c:pt idx="7">
                  <c:v>131.33000000000001</c:v>
                </c:pt>
                <c:pt idx="8">
                  <c:v>125.48</c:v>
                </c:pt>
                <c:pt idx="9">
                  <c:v>124.18</c:v>
                </c:pt>
                <c:pt idx="10">
                  <c:v>137.78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28-407B-B682-A6DE6E78BAB0}"/>
            </c:ext>
          </c:extLst>
        </c:ser>
        <c:ser>
          <c:idx val="2"/>
          <c:order val="2"/>
          <c:tx>
            <c:strRef>
              <c:f>RRB_all!$F$3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(RRB_all!$F$35,RRB_all!$F$83,RRB_all!$F$131,RRB_all!$F$179,RRB_all!$F$227,RRB_all!$F$275,RRB_all!$F$323,RRB_all!$F$371,RRB_all!$F$419,RRB_all!$F$467,RRB_all!$F$515)</c:f>
              <c:numCache>
                <c:formatCode>0.00</c:formatCode>
                <c:ptCount val="11"/>
                <c:pt idx="0">
                  <c:v>2197.4699999999998</c:v>
                </c:pt>
                <c:pt idx="1">
                  <c:v>2783.46</c:v>
                </c:pt>
                <c:pt idx="2">
                  <c:v>3775.53</c:v>
                </c:pt>
                <c:pt idx="3">
                  <c:v>3521.34</c:v>
                </c:pt>
                <c:pt idx="4">
                  <c:v>4648.66</c:v>
                </c:pt>
                <c:pt idx="5">
                  <c:v>3914.98</c:v>
                </c:pt>
                <c:pt idx="6">
                  <c:v>4304.01</c:v>
                </c:pt>
                <c:pt idx="7">
                  <c:v>4314.8</c:v>
                </c:pt>
                <c:pt idx="8">
                  <c:v>4670.72</c:v>
                </c:pt>
                <c:pt idx="9">
                  <c:v>4084.66</c:v>
                </c:pt>
                <c:pt idx="10">
                  <c:v>4246.3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28-407B-B682-A6DE6E78BAB0}"/>
            </c:ext>
          </c:extLst>
        </c:ser>
        <c:ser>
          <c:idx val="3"/>
          <c:order val="3"/>
          <c:tx>
            <c:strRef>
              <c:f>RRB_all!$G$3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(RRB_all!$G$35,RRB_all!$G$83,RRB_all!$G$131,RRB_all!$G$179,RRB_all!$G$227,RRB_all!$G$275,RRB_all!$G$323,RRB_all!$G$371,RRB_all!$G$419,RRB_all!$G$467,RRB_all!$G$515)</c:f>
              <c:numCache>
                <c:formatCode>0.00</c:formatCode>
                <c:ptCount val="11"/>
                <c:pt idx="0">
                  <c:v>11950.63</c:v>
                </c:pt>
                <c:pt idx="1">
                  <c:v>11073.03</c:v>
                </c:pt>
                <c:pt idx="2">
                  <c:v>15273.21</c:v>
                </c:pt>
                <c:pt idx="3">
                  <c:v>12421.18</c:v>
                </c:pt>
                <c:pt idx="4">
                  <c:v>15621.17</c:v>
                </c:pt>
                <c:pt idx="5">
                  <c:v>13302.74</c:v>
                </c:pt>
                <c:pt idx="6">
                  <c:v>15142.55</c:v>
                </c:pt>
                <c:pt idx="7">
                  <c:v>12170.84</c:v>
                </c:pt>
                <c:pt idx="8">
                  <c:v>15142.55</c:v>
                </c:pt>
                <c:pt idx="9">
                  <c:v>15998.6</c:v>
                </c:pt>
                <c:pt idx="10">
                  <c:v>15462.81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28-407B-B682-A6DE6E78BAB0}"/>
            </c:ext>
          </c:extLst>
        </c:ser>
        <c:ser>
          <c:idx val="4"/>
          <c:order val="4"/>
          <c:tx>
            <c:strRef>
              <c:f>RRB_all!$H$3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(RRB_all!$H$35,RRB_all!$H$83,RRB_all!$H$131,RRB_all!$H$179,RRB_all!$H$227,RRB_all!$H$275,RRB_all!$H$323,RRB_all!$H$371,RRB_all!$H$419,RRB_all!$H$467,RRB_all!$H$515)</c:f>
              <c:numCache>
                <c:formatCode>0.00</c:formatCode>
                <c:ptCount val="11"/>
                <c:pt idx="0">
                  <c:v>4637.07</c:v>
                </c:pt>
                <c:pt idx="1">
                  <c:v>6786.42</c:v>
                </c:pt>
                <c:pt idx="2">
                  <c:v>5004.7299999999996</c:v>
                </c:pt>
                <c:pt idx="3">
                  <c:v>4929.2</c:v>
                </c:pt>
                <c:pt idx="4">
                  <c:v>4124.59</c:v>
                </c:pt>
                <c:pt idx="5">
                  <c:v>2352.77</c:v>
                </c:pt>
                <c:pt idx="6">
                  <c:v>4340.32</c:v>
                </c:pt>
                <c:pt idx="7">
                  <c:v>4196.13</c:v>
                </c:pt>
                <c:pt idx="8">
                  <c:v>4237.1000000000004</c:v>
                </c:pt>
                <c:pt idx="9">
                  <c:v>4255.21</c:v>
                </c:pt>
                <c:pt idx="10">
                  <c:v>4574.74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28-407B-B682-A6DE6E78BAB0}"/>
            </c:ext>
          </c:extLst>
        </c:ser>
        <c:ser>
          <c:idx val="5"/>
          <c:order val="5"/>
          <c:tx>
            <c:strRef>
              <c:f>RRB_all!$I$5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(RRB_all!$I$35,RRB_all!$I$83,RRB_all!$I$131,RRB_all!$I$179,RRB_all!$I$227,RRB_all!$I$275,RRB_all!$I$323,RRB_all!$I$371,RRB_all!$I$419,RRB_all!$I$467,RRB_all!$I$515)</c:f>
              <c:numCache>
                <c:formatCode>0.00</c:formatCode>
                <c:ptCount val="11"/>
                <c:pt idx="0">
                  <c:v>5785.4700000000012</c:v>
                </c:pt>
                <c:pt idx="1">
                  <c:v>3163.0399999999972</c:v>
                </c:pt>
                <c:pt idx="2">
                  <c:v>108.71000000000276</c:v>
                </c:pt>
                <c:pt idx="3">
                  <c:v>3530.7799999999988</c:v>
                </c:pt>
                <c:pt idx="4">
                  <c:v>108.70000000000073</c:v>
                </c:pt>
                <c:pt idx="5">
                  <c:v>4835.9199999999983</c:v>
                </c:pt>
                <c:pt idx="6">
                  <c:v>428.42000000000189</c:v>
                </c:pt>
                <c:pt idx="7">
                  <c:v>3776.8299999999981</c:v>
                </c:pt>
                <c:pt idx="8">
                  <c:v>406.57999999999811</c:v>
                </c:pt>
                <c:pt idx="9">
                  <c:v>108.15999999999985</c:v>
                </c:pt>
                <c:pt idx="10">
                  <c:v>108.15999999999985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28-407B-B682-A6DE6E78B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ACB_B Mode Classification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Px count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RRB_all!$D$3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(RRB_all!$D$26,RRB_all!$D$74,RRB_all!$D$122,RRB_all!$D$170,RRB_all!$D$218,RRB_all!$D$266,RRB_all!$D$314,RRB_all!$D$362,RRB_all!$D$410,RRB_all!$D$458,RRB_all!$D$506)</c:f>
              <c:numCache>
                <c:formatCode>0.00</c:formatCode>
                <c:ptCount val="11"/>
                <c:pt idx="0">
                  <c:v>0</c:v>
                </c:pt>
                <c:pt idx="1">
                  <c:v>5.04</c:v>
                </c:pt>
                <c:pt idx="2">
                  <c:v>1.89</c:v>
                </c:pt>
                <c:pt idx="3">
                  <c:v>0.9</c:v>
                </c:pt>
                <c:pt idx="4">
                  <c:v>1.62</c:v>
                </c:pt>
                <c:pt idx="5">
                  <c:v>7.47</c:v>
                </c:pt>
                <c:pt idx="6">
                  <c:v>1.35</c:v>
                </c:pt>
                <c:pt idx="7">
                  <c:v>1.08</c:v>
                </c:pt>
                <c:pt idx="8">
                  <c:v>3.69</c:v>
                </c:pt>
                <c:pt idx="9">
                  <c:v>1.59</c:v>
                </c:pt>
                <c:pt idx="10">
                  <c:v>6.85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0-4B0F-858B-3C03442EC611}"/>
            </c:ext>
          </c:extLst>
        </c:ser>
        <c:ser>
          <c:idx val="1"/>
          <c:order val="1"/>
          <c:tx>
            <c:strRef>
              <c:f>RRB_all!$E$3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(RRB_all!$E$26,RRB_all!$E$74,RRB_all!$E$122,RRB_all!$E$170,RRB_all!$E$218,RRB_all!$E$266,RRB_all!$E$314,RRB_all!$E$362,RRB_all!$E$410,RRB_all!$E$458,RRB_all!$E$506)</c:f>
              <c:numCache>
                <c:formatCode>0.00</c:formatCode>
                <c:ptCount val="11"/>
                <c:pt idx="0">
                  <c:v>0</c:v>
                </c:pt>
                <c:pt idx="1">
                  <c:v>314.64999999999998</c:v>
                </c:pt>
                <c:pt idx="2">
                  <c:v>508.25</c:v>
                </c:pt>
                <c:pt idx="3">
                  <c:v>516.9</c:v>
                </c:pt>
                <c:pt idx="4">
                  <c:v>329.41</c:v>
                </c:pt>
                <c:pt idx="5">
                  <c:v>235.81</c:v>
                </c:pt>
                <c:pt idx="6">
                  <c:v>199</c:v>
                </c:pt>
                <c:pt idx="7">
                  <c:v>366.68</c:v>
                </c:pt>
                <c:pt idx="8">
                  <c:v>175.78</c:v>
                </c:pt>
                <c:pt idx="9">
                  <c:v>158.12</c:v>
                </c:pt>
                <c:pt idx="10">
                  <c:v>216.42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0-4B0F-858B-3C03442EC611}"/>
            </c:ext>
          </c:extLst>
        </c:ser>
        <c:ser>
          <c:idx val="2"/>
          <c:order val="2"/>
          <c:tx>
            <c:strRef>
              <c:f>RRB_all!$F$3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(RRB_all!$F$26,RRB_all!$F$74,RRB_all!$F$122,RRB_all!$F$170,RRB_all!$F$218,RRB_all!$F$266,RRB_all!$F$314,RRB_all!$F$362,RRB_all!$F$410,RRB_all!$F$458,RRB_all!$F$506)</c:f>
              <c:numCache>
                <c:formatCode>0.00</c:formatCode>
                <c:ptCount val="11"/>
                <c:pt idx="0">
                  <c:v>0</c:v>
                </c:pt>
                <c:pt idx="1">
                  <c:v>5284.64</c:v>
                </c:pt>
                <c:pt idx="2">
                  <c:v>5013.63</c:v>
                </c:pt>
                <c:pt idx="3">
                  <c:v>3957.2</c:v>
                </c:pt>
                <c:pt idx="4">
                  <c:v>5303.17</c:v>
                </c:pt>
                <c:pt idx="5">
                  <c:v>5126.05</c:v>
                </c:pt>
                <c:pt idx="6">
                  <c:v>5132.3500000000004</c:v>
                </c:pt>
                <c:pt idx="7">
                  <c:v>4868.8999999999996</c:v>
                </c:pt>
                <c:pt idx="8">
                  <c:v>5130.1899999999996</c:v>
                </c:pt>
                <c:pt idx="9">
                  <c:v>5132.1000000000004</c:v>
                </c:pt>
                <c:pt idx="10">
                  <c:v>5188.83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F0-4B0F-858B-3C03442EC611}"/>
            </c:ext>
          </c:extLst>
        </c:ser>
        <c:ser>
          <c:idx val="3"/>
          <c:order val="3"/>
          <c:tx>
            <c:strRef>
              <c:f>RRB_all!$G$3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(RRB_all!$G$26,RRB_all!$G$74,RRB_all!$G$122,RRB_all!$G$170,RRB_all!$G$218,RRB_all!$G$266,RRB_all!$G$314,RRB_all!$G$362,RRB_all!$G$410,RRB_all!$G$458,RRB_all!$G$506)</c:f>
              <c:numCache>
                <c:formatCode>0.00</c:formatCode>
                <c:ptCount val="11"/>
                <c:pt idx="0">
                  <c:v>0</c:v>
                </c:pt>
                <c:pt idx="1">
                  <c:v>455.06</c:v>
                </c:pt>
                <c:pt idx="2">
                  <c:v>562.79999999999995</c:v>
                </c:pt>
                <c:pt idx="3">
                  <c:v>362.9</c:v>
                </c:pt>
                <c:pt idx="4">
                  <c:v>451.91</c:v>
                </c:pt>
                <c:pt idx="5">
                  <c:v>659.28</c:v>
                </c:pt>
                <c:pt idx="6">
                  <c:v>750.27</c:v>
                </c:pt>
                <c:pt idx="7">
                  <c:v>820.3</c:v>
                </c:pt>
                <c:pt idx="8">
                  <c:v>619.86</c:v>
                </c:pt>
                <c:pt idx="9">
                  <c:v>771.17</c:v>
                </c:pt>
                <c:pt idx="10">
                  <c:v>582.41999999999996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F0-4B0F-858B-3C03442EC611}"/>
            </c:ext>
          </c:extLst>
        </c:ser>
        <c:ser>
          <c:idx val="4"/>
          <c:order val="4"/>
          <c:tx>
            <c:strRef>
              <c:f>RRB_all!$H$3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(RRB_all!$H$26,RRB_all!$H$74,RRB_all!$H$122,RRB_all!$H$170,RRB_all!$H$218,RRB_all!$H$266,RRB_all!$H$314,RRB_all!$H$362,RRB_all!$H$410,RRB_all!$H$458,RRB_all!$H$506)</c:f>
              <c:numCache>
                <c:formatCode>0.00</c:formatCode>
                <c:ptCount val="11"/>
                <c:pt idx="0">
                  <c:v>0</c:v>
                </c:pt>
                <c:pt idx="1">
                  <c:v>259.57</c:v>
                </c:pt>
                <c:pt idx="2">
                  <c:v>137.71</c:v>
                </c:pt>
                <c:pt idx="3">
                  <c:v>83.52</c:v>
                </c:pt>
                <c:pt idx="4">
                  <c:v>138.16</c:v>
                </c:pt>
                <c:pt idx="5">
                  <c:v>129.07</c:v>
                </c:pt>
                <c:pt idx="6">
                  <c:v>141.31</c:v>
                </c:pt>
                <c:pt idx="7">
                  <c:v>167.32</c:v>
                </c:pt>
                <c:pt idx="8">
                  <c:v>280.99</c:v>
                </c:pt>
                <c:pt idx="9">
                  <c:v>161.30000000000001</c:v>
                </c:pt>
                <c:pt idx="10">
                  <c:v>229.73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F0-4B0F-858B-3C03442EC611}"/>
            </c:ext>
          </c:extLst>
        </c:ser>
        <c:ser>
          <c:idx val="5"/>
          <c:order val="5"/>
          <c:tx>
            <c:strRef>
              <c:f>RRB_all!$I$5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(RRB_all!$I$26,RRB_all!$I$74,RRB_all!$I$122,RRB_all!$I$170,RRB_all!$I$218,RRB_all!$I$266,RRB_all!$I$314,RRB_all!$I$362,RRB_all!$I$410,RRB_all!$I$458,RRB_all!$I$506)</c:f>
              <c:numCache>
                <c:formatCode>0.00</c:formatCode>
                <c:ptCount val="11"/>
                <c:pt idx="0">
                  <c:v>6319.92</c:v>
                </c:pt>
                <c:pt idx="1">
                  <c:v>0.96000000000003638</c:v>
                </c:pt>
                <c:pt idx="2">
                  <c:v>95.639999999999418</c:v>
                </c:pt>
                <c:pt idx="3">
                  <c:v>1398.5</c:v>
                </c:pt>
                <c:pt idx="4">
                  <c:v>95.650000000000546</c:v>
                </c:pt>
                <c:pt idx="5">
                  <c:v>162.24000000000069</c:v>
                </c:pt>
                <c:pt idx="6">
                  <c:v>95.639999999998508</c:v>
                </c:pt>
                <c:pt idx="7">
                  <c:v>95.640000000000327</c:v>
                </c:pt>
                <c:pt idx="8">
                  <c:v>109.41000000000076</c:v>
                </c:pt>
                <c:pt idx="9">
                  <c:v>95.639999999999418</c:v>
                </c:pt>
                <c:pt idx="10">
                  <c:v>95.670000000000073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F0-4B0F-858B-3C03442EC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ACB_B Mode Classification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RRB_all!$D$3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(RRB_all!$D$27,RRB_all!$D$75,RRB_all!$D$123,RRB_all!$D$171,RRB_all!$D$219,RRB_all!$D$267,RRB_all!$D$315,RRB_all!$D$363,RRB_all!$D$411,RRB_all!$D$459,RRB_all!$D$507)</c:f>
              <c:numCache>
                <c:formatCode>0.00%</c:formatCode>
                <c:ptCount val="11"/>
                <c:pt idx="0">
                  <c:v>0</c:v>
                </c:pt>
                <c:pt idx="1">
                  <c:v>7.9747844909429236E-4</c:v>
                </c:pt>
                <c:pt idx="2">
                  <c:v>2.9905441841035962E-4</c:v>
                </c:pt>
                <c:pt idx="3">
                  <c:v>1.4240686590969505E-4</c:v>
                </c:pt>
                <c:pt idx="4">
                  <c:v>2.5633235863745113E-4</c:v>
                </c:pt>
                <c:pt idx="5">
                  <c:v>1.1819769870504689E-3</c:v>
                </c:pt>
                <c:pt idx="6">
                  <c:v>2.1361029886454261E-4</c:v>
                </c:pt>
                <c:pt idx="7">
                  <c:v>1.7088823909163409E-4</c:v>
                </c:pt>
                <c:pt idx="8">
                  <c:v>5.8386815022974973E-4</c:v>
                </c:pt>
                <c:pt idx="9">
                  <c:v>2.5158546310712797E-4</c:v>
                </c:pt>
                <c:pt idx="10">
                  <c:v>1.08387447942379E-3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1-463B-8838-C77CA845ED44}"/>
            </c:ext>
          </c:extLst>
        </c:ser>
        <c:ser>
          <c:idx val="1"/>
          <c:order val="1"/>
          <c:tx>
            <c:strRef>
              <c:f>RRB_all!$E$3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(RRB_all!$E$27,RRB_all!$E$75,RRB_all!$E$123,RRB_all!$E$171,RRB_all!$E$219,RRB_all!$E$267,RRB_all!$E$315,RRB_all!$E$363,RRB_all!$E$411,RRB_all!$E$459,RRB_all!$E$507)</c:f>
              <c:numCache>
                <c:formatCode>0.00%</c:formatCode>
                <c:ptCount val="11"/>
                <c:pt idx="0">
                  <c:v>0</c:v>
                </c:pt>
                <c:pt idx="1">
                  <c:v>4.9787022620539495E-2</c:v>
                </c:pt>
                <c:pt idx="2">
                  <c:v>8.0420321776225018E-2</c:v>
                </c:pt>
                <c:pt idx="3">
                  <c:v>8.1789009987468186E-2</c:v>
                </c:pt>
                <c:pt idx="4">
                  <c:v>5.2122495221458502E-2</c:v>
                </c:pt>
                <c:pt idx="5">
                  <c:v>3.7312181166850214E-2</c:v>
                </c:pt>
                <c:pt idx="6">
                  <c:v>3.1487740351143684E-2</c:v>
                </c:pt>
                <c:pt idx="7">
                  <c:v>5.8019721768629982E-2</c:v>
                </c:pt>
                <c:pt idx="8">
                  <c:v>2.7813643210673554E-2</c:v>
                </c:pt>
                <c:pt idx="9">
                  <c:v>2.5019304041823315E-2</c:v>
                </c:pt>
                <c:pt idx="10">
                  <c:v>3.4244104355751336E-2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41-463B-8838-C77CA845ED44}"/>
            </c:ext>
          </c:extLst>
        </c:ser>
        <c:ser>
          <c:idx val="2"/>
          <c:order val="2"/>
          <c:tx>
            <c:strRef>
              <c:f>RRB_all!$F$3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(RRB_all!$F$27,RRB_all!$F$75,RRB_all!$F$123,RRB_all!$F$171,RRB_all!$F$219,RRB_all!$F$267,RRB_all!$F$315,RRB_all!$F$363,RRB_all!$F$411,RRB_all!$F$459,RRB_all!$F$507)</c:f>
              <c:numCache>
                <c:formatCode>0.00%</c:formatCode>
                <c:ptCount val="11"/>
                <c:pt idx="0">
                  <c:v>0</c:v>
                </c:pt>
                <c:pt idx="1">
                  <c:v>0.83618779984556768</c:v>
                </c:pt>
                <c:pt idx="2">
                  <c:v>0.79330592792313825</c:v>
                </c:pt>
                <c:pt idx="3">
                  <c:v>0.62614716641982804</c:v>
                </c:pt>
                <c:pt idx="4">
                  <c:v>0.83911979898479727</c:v>
                </c:pt>
                <c:pt idx="5">
                  <c:v>0.81109412777376932</c:v>
                </c:pt>
                <c:pt idx="6">
                  <c:v>0.81209097583513723</c:v>
                </c:pt>
                <c:pt idx="7">
                  <c:v>0.77040532158634911</c:v>
                </c:pt>
                <c:pt idx="8">
                  <c:v>0.81174919935695378</c:v>
                </c:pt>
                <c:pt idx="9">
                  <c:v>0.81205141837238448</c:v>
                </c:pt>
                <c:pt idx="10">
                  <c:v>0.8210277978202255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41-463B-8838-C77CA845ED44}"/>
            </c:ext>
          </c:extLst>
        </c:ser>
        <c:ser>
          <c:idx val="3"/>
          <c:order val="3"/>
          <c:tx>
            <c:strRef>
              <c:f>RRB_all!$G$3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(RRB_all!$G$27,RRB_all!$G$75,RRB_all!$G$123,RRB_all!$G$171,RRB_all!$G$219,RRB_all!$G$267,RRB_all!$G$315,RRB_all!$G$363,RRB_all!$G$411,RRB_all!$G$459,RRB_all!$G$507)</c:f>
              <c:numCache>
                <c:formatCode>0.00%</c:formatCode>
                <c:ptCount val="11"/>
                <c:pt idx="0">
                  <c:v>0</c:v>
                </c:pt>
                <c:pt idx="1">
                  <c:v>7.2004076000962036E-2</c:v>
                </c:pt>
                <c:pt idx="2">
                  <c:v>8.9051760148862638E-2</c:v>
                </c:pt>
                <c:pt idx="3">
                  <c:v>5.7421612931809259E-2</c:v>
                </c:pt>
                <c:pt idx="4">
                  <c:v>7.1505651970278111E-2</c:v>
                </c:pt>
                <c:pt idx="5">
                  <c:v>0.10431777617438195</c:v>
                </c:pt>
                <c:pt idx="6">
                  <c:v>0.11871511031785212</c:v>
                </c:pt>
                <c:pt idx="7">
                  <c:v>0.1297959467841365</c:v>
                </c:pt>
                <c:pt idx="8">
                  <c:v>9.8080355447537307E-2</c:v>
                </c:pt>
                <c:pt idx="9">
                  <c:v>0.12202211420397725</c:v>
                </c:pt>
                <c:pt idx="10">
                  <c:v>9.2156229825693992E-2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41-463B-8838-C77CA845ED44}"/>
            </c:ext>
          </c:extLst>
        </c:ser>
        <c:ser>
          <c:idx val="4"/>
          <c:order val="4"/>
          <c:tx>
            <c:strRef>
              <c:f>RRB_all!$H$3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(RRB_all!$H$27,RRB_all!$H$75,RRB_all!$H$123,RRB_all!$H$171,RRB_all!$H$219,RRB_all!$H$267,RRB_all!$H$315,RRB_all!$H$363,RRB_all!$H$411,RRB_all!$H$459,RRB_all!$H$507)</c:f>
              <c:numCache>
                <c:formatCode>0.00%</c:formatCode>
                <c:ptCount val="11"/>
                <c:pt idx="0">
                  <c:v>0</c:v>
                </c:pt>
                <c:pt idx="1">
                  <c:v>4.1071722426866158E-2</c:v>
                </c:pt>
                <c:pt idx="2">
                  <c:v>2.1789832782693454E-2</c:v>
                </c:pt>
                <c:pt idx="3">
                  <c:v>1.3215357156419701E-2</c:v>
                </c:pt>
                <c:pt idx="4">
                  <c:v>2.1861036215648298E-2</c:v>
                </c:pt>
                <c:pt idx="5">
                  <c:v>2.0422726869960377E-2</c:v>
                </c:pt>
                <c:pt idx="6">
                  <c:v>2.2359460246332234E-2</c:v>
                </c:pt>
                <c:pt idx="7">
                  <c:v>2.6475018671122418E-2</c:v>
                </c:pt>
                <c:pt idx="8">
                  <c:v>4.4461005835516904E-2</c:v>
                </c:pt>
                <c:pt idx="9">
                  <c:v>2.552247496803757E-2</c:v>
                </c:pt>
                <c:pt idx="10">
                  <c:v>3.6350143672704713E-2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41-463B-8838-C77CA845ED44}"/>
            </c:ext>
          </c:extLst>
        </c:ser>
        <c:ser>
          <c:idx val="5"/>
          <c:order val="5"/>
          <c:tx>
            <c:strRef>
              <c:f>RRB_all!$I$5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(RRB_all!$I$27,RRB_all!$I$75,RRB_all!$I$123,RRB_all!$I$171,RRB_all!$I$219,RRB_all!$I$267,RRB_all!$I$315,RRB_all!$I$363,RRB_all!$I$411,RRB_all!$I$459,RRB_all!$I$507)</c:f>
              <c:numCache>
                <c:formatCode>0.00%</c:formatCode>
                <c:ptCount val="11"/>
                <c:pt idx="0">
                  <c:v>1</c:v>
                </c:pt>
                <c:pt idx="1">
                  <c:v>1.5190065697034716E-4</c:v>
                </c:pt>
                <c:pt idx="2">
                  <c:v>1.513310295067017E-2</c:v>
                </c:pt>
                <c:pt idx="3">
                  <c:v>0.22128444663856503</c:v>
                </c:pt>
                <c:pt idx="4">
                  <c:v>1.5134685249180456E-2</c:v>
                </c:pt>
                <c:pt idx="5">
                  <c:v>2.5671211027987806E-2</c:v>
                </c:pt>
                <c:pt idx="6">
                  <c:v>1.5133102950670026E-2</c:v>
                </c:pt>
                <c:pt idx="7">
                  <c:v>1.5133102950670314E-2</c:v>
                </c:pt>
                <c:pt idx="8">
                  <c:v>1.7311927999088716E-2</c:v>
                </c:pt>
                <c:pt idx="9">
                  <c:v>1.513310295067017E-2</c:v>
                </c:pt>
                <c:pt idx="10">
                  <c:v>1.5137849846200596E-2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41-463B-8838-C77CA845E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85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2.5000000000000005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ACB_B PA Mode Classification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RRB_all!$D$3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(RRB_all!$D$45,RRB_all!$D$93,RRB_all!$D$141,RRB_all!$D$189,RRB_all!$D$237,RRB_all!$D$285,RRB_all!$D$333,RRB_all!$D$381,RRB_all!$D$429,RRB_all!$D$477,RRB_all!$D$525)</c:f>
              <c:numCache>
                <c:formatCode>0.00%</c:formatCode>
                <c:ptCount val="11"/>
                <c:pt idx="0">
                  <c:v>0</c:v>
                </c:pt>
                <c:pt idx="1">
                  <c:v>1.6884991421335003E-3</c:v>
                </c:pt>
                <c:pt idx="2">
                  <c:v>7.4212260682480461E-4</c:v>
                </c:pt>
                <c:pt idx="3">
                  <c:v>4.0850785696778234E-4</c:v>
                </c:pt>
                <c:pt idx="4">
                  <c:v>6.059533211688772E-4</c:v>
                </c:pt>
                <c:pt idx="5">
                  <c:v>1.0757373566818269E-3</c:v>
                </c:pt>
                <c:pt idx="6">
                  <c:v>4.0169939268498597E-4</c:v>
                </c:pt>
                <c:pt idx="7">
                  <c:v>5.3786867834091344E-4</c:v>
                </c:pt>
                <c:pt idx="8">
                  <c:v>1.4025436422560528E-3</c:v>
                </c:pt>
                <c:pt idx="9">
                  <c:v>0</c:v>
                </c:pt>
                <c:pt idx="10">
                  <c:v>4.0850785696778231E-5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8-4EBB-8946-AAB86B545127}"/>
            </c:ext>
          </c:extLst>
        </c:ser>
        <c:ser>
          <c:idx val="1"/>
          <c:order val="1"/>
          <c:tx>
            <c:strRef>
              <c:f>RRB_all!$E$3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(RRB_all!$E$45,RRB_all!$E$93,RRB_all!$E$141,RRB_all!$E$189,RRB_all!$E$237,RRB_all!$E$285,RRB_all!$E$333,RRB_all!$E$381,RRB_all!$E$429,RRB_all!$E$477,RRB_all!$E$525)</c:f>
              <c:numCache>
                <c:formatCode>0.00%</c:formatCode>
                <c:ptCount val="11"/>
                <c:pt idx="0">
                  <c:v>0</c:v>
                </c:pt>
                <c:pt idx="1">
                  <c:v>2.9344481058852364E-3</c:v>
                </c:pt>
                <c:pt idx="2">
                  <c:v>8.5173888177782625E-3</c:v>
                </c:pt>
                <c:pt idx="3">
                  <c:v>2.011901195566328E-2</c:v>
                </c:pt>
                <c:pt idx="4">
                  <c:v>1.435905117241755E-2</c:v>
                </c:pt>
                <c:pt idx="5">
                  <c:v>9.8518478172063516E-3</c:v>
                </c:pt>
                <c:pt idx="6">
                  <c:v>9.5250415316321252E-3</c:v>
                </c:pt>
                <c:pt idx="7">
                  <c:v>2.8193850595059775E-2</c:v>
                </c:pt>
                <c:pt idx="8">
                  <c:v>1.0022059424276262E-2</c:v>
                </c:pt>
                <c:pt idx="9">
                  <c:v>8.4493041749502985E-3</c:v>
                </c:pt>
                <c:pt idx="10">
                  <c:v>1.2922465208747515E-2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8-4EBB-8946-AAB86B545127}"/>
            </c:ext>
          </c:extLst>
        </c:ser>
        <c:ser>
          <c:idx val="2"/>
          <c:order val="2"/>
          <c:tx>
            <c:strRef>
              <c:f>RRB_all!$F$3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(RRB_all!$F$45,RRB_all!$F$93,RRB_all!$F$141,RRB_all!$F$189,RRB_all!$F$237,RRB_all!$F$285,RRB_all!$F$333,RRB_all!$F$381,RRB_all!$F$429,RRB_all!$F$477,RRB_all!$F$525)</c:f>
              <c:numCache>
                <c:formatCode>0.00%</c:formatCode>
                <c:ptCount val="11"/>
                <c:pt idx="0">
                  <c:v>0</c:v>
                </c:pt>
                <c:pt idx="1">
                  <c:v>0.76442032735096277</c:v>
                </c:pt>
                <c:pt idx="2">
                  <c:v>0.77110623927666877</c:v>
                </c:pt>
                <c:pt idx="3">
                  <c:v>0.70056374084261552</c:v>
                </c:pt>
                <c:pt idx="4">
                  <c:v>0.83612026471309131</c:v>
                </c:pt>
                <c:pt idx="5">
                  <c:v>0.78012745445137388</c:v>
                </c:pt>
                <c:pt idx="6">
                  <c:v>0.79806094937225969</c:v>
                </c:pt>
                <c:pt idx="7">
                  <c:v>0.76499223835071761</c:v>
                </c:pt>
                <c:pt idx="8">
                  <c:v>0.83473814646368361</c:v>
                </c:pt>
                <c:pt idx="9">
                  <c:v>0.77101092077670963</c:v>
                </c:pt>
                <c:pt idx="10">
                  <c:v>0.80335112611999238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78-4EBB-8946-AAB86B545127}"/>
            </c:ext>
          </c:extLst>
        </c:ser>
        <c:ser>
          <c:idx val="3"/>
          <c:order val="3"/>
          <c:tx>
            <c:strRef>
              <c:f>RRB_all!$G$3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(RRB_all!$G$45,RRB_all!$G$93,RRB_all!$G$141,RRB_all!$G$189,RRB_all!$G$237,RRB_all!$G$285,RRB_all!$G$333,RRB_all!$G$381,RRB_all!$G$429,RRB_all!$G$477,RRB_all!$G$525)</c:f>
              <c:numCache>
                <c:formatCode>0.00%</c:formatCode>
                <c:ptCount val="11"/>
                <c:pt idx="0">
                  <c:v>0</c:v>
                </c:pt>
                <c:pt idx="1">
                  <c:v>0.16750183828535636</c:v>
                </c:pt>
                <c:pt idx="2">
                  <c:v>0.19765652659386149</c:v>
                </c:pt>
                <c:pt idx="3">
                  <c:v>4.5705220730412048E-2</c:v>
                </c:pt>
                <c:pt idx="4">
                  <c:v>0.13282632969307442</c:v>
                </c:pt>
                <c:pt idx="5">
                  <c:v>0.18338598545712032</c:v>
                </c:pt>
                <c:pt idx="6">
                  <c:v>0.17774176856668211</c:v>
                </c:pt>
                <c:pt idx="7">
                  <c:v>0.18032217652986193</c:v>
                </c:pt>
                <c:pt idx="8">
                  <c:v>0.11588687055747707</c:v>
                </c:pt>
                <c:pt idx="9">
                  <c:v>0.19920204798605626</c:v>
                </c:pt>
                <c:pt idx="10">
                  <c:v>0.15666957161142733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8-4EBB-8946-AAB86B545127}"/>
            </c:ext>
          </c:extLst>
        </c:ser>
        <c:ser>
          <c:idx val="4"/>
          <c:order val="4"/>
          <c:tx>
            <c:strRef>
              <c:f>RRB_all!$H$3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(RRB_all!$H$45,RRB_all!$H$93,RRB_all!$H$141,RRB_all!$H$189,RRB_all!$H$237,RRB_all!$H$285,RRB_all!$H$333,RRB_all!$H$381,RRB_all!$H$429,RRB_all!$H$477,RRB_all!$H$525)</c:f>
              <c:numCache>
                <c:formatCode>0.00%</c:formatCode>
                <c:ptCount val="11"/>
                <c:pt idx="0">
                  <c:v>0</c:v>
                </c:pt>
                <c:pt idx="1">
                  <c:v>5.8879599117623034E-2</c:v>
                </c:pt>
                <c:pt idx="2">
                  <c:v>1.7518178599635066E-2</c:v>
                </c:pt>
                <c:pt idx="3">
                  <c:v>1.7259456956888804E-2</c:v>
                </c:pt>
                <c:pt idx="4">
                  <c:v>1.1628856995016203E-2</c:v>
                </c:pt>
                <c:pt idx="5">
                  <c:v>1.6884991421335004E-2</c:v>
                </c:pt>
                <c:pt idx="6">
                  <c:v>9.8109970315095728E-3</c:v>
                </c:pt>
                <c:pt idx="7">
                  <c:v>2.1501130205070943E-2</c:v>
                </c:pt>
                <c:pt idx="8">
                  <c:v>3.3245731092894686E-2</c:v>
                </c:pt>
                <c:pt idx="9">
                  <c:v>1.6946267599880171E-2</c:v>
                </c:pt>
                <c:pt idx="10">
                  <c:v>2.2631335276015144E-2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78-4EBB-8946-AAB86B545127}"/>
            </c:ext>
          </c:extLst>
        </c:ser>
        <c:ser>
          <c:idx val="5"/>
          <c:order val="5"/>
          <c:tx>
            <c:strRef>
              <c:f>RRB_all!$I$5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(RRB_all!$I$45,RRB_all!$I$93,RRB_all!$I$141,RRB_all!$I$189,RRB_all!$I$237,RRB_all!$I$285,RRB_all!$I$333,RRB_all!$I$381,RRB_all!$I$429,RRB_all!$I$477,RRB_all!$I$525)</c:f>
              <c:numCache>
                <c:formatCode>0.00%</c:formatCode>
                <c:ptCount val="11"/>
                <c:pt idx="0">
                  <c:v>1</c:v>
                </c:pt>
                <c:pt idx="1">
                  <c:v>4.5752879980391807E-3</c:v>
                </c:pt>
                <c:pt idx="2">
                  <c:v>4.459544105231748E-3</c:v>
                </c:pt>
                <c:pt idx="3">
                  <c:v>0.21594406165745245</c:v>
                </c:pt>
                <c:pt idx="4">
                  <c:v>4.459544105231748E-3</c:v>
                </c:pt>
                <c:pt idx="5">
                  <c:v>8.6739834962827403E-3</c:v>
                </c:pt>
                <c:pt idx="6">
                  <c:v>4.4595441052315927E-3</c:v>
                </c:pt>
                <c:pt idx="7">
                  <c:v>4.4527356409489573E-3</c:v>
                </c:pt>
                <c:pt idx="8">
                  <c:v>4.7046488194123492E-3</c:v>
                </c:pt>
                <c:pt idx="9">
                  <c:v>4.3914594624035368E-3</c:v>
                </c:pt>
                <c:pt idx="10">
                  <c:v>4.3846509981209014E-3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78-4EBB-8946-AAB86B545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85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2.5000000000000005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ACB_B PA Mode Classification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Px count </a:t>
            </a: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RRB_all!$D$3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(RRB_all!$D$44,RRB_all!$D$92,RRB_all!$D$140,RRB_all!$D$188,RRB_all!$D$236,RRB_all!$D$284,RRB_all!$D$332,RRB_all!$D$380,RRB_all!$D$428,RRB_all!$D$476,RRB_all!$D$524)</c:f>
              <c:numCache>
                <c:formatCode>0.00</c:formatCode>
                <c:ptCount val="11"/>
                <c:pt idx="0">
                  <c:v>0</c:v>
                </c:pt>
                <c:pt idx="1">
                  <c:v>2.48</c:v>
                </c:pt>
                <c:pt idx="2">
                  <c:v>1.0900000000000001</c:v>
                </c:pt>
                <c:pt idx="3">
                  <c:v>0.6</c:v>
                </c:pt>
                <c:pt idx="4">
                  <c:v>0.89</c:v>
                </c:pt>
                <c:pt idx="5">
                  <c:v>1.58</c:v>
                </c:pt>
                <c:pt idx="6">
                  <c:v>0.59</c:v>
                </c:pt>
                <c:pt idx="7">
                  <c:v>0.79</c:v>
                </c:pt>
                <c:pt idx="8">
                  <c:v>2.06</c:v>
                </c:pt>
                <c:pt idx="9">
                  <c:v>0</c:v>
                </c:pt>
                <c:pt idx="10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E-4DF4-9BA1-A9D292D154A8}"/>
            </c:ext>
          </c:extLst>
        </c:ser>
        <c:ser>
          <c:idx val="1"/>
          <c:order val="1"/>
          <c:tx>
            <c:strRef>
              <c:f>RRB_all!$E$3</c:f>
              <c:strCache>
                <c:ptCount val="1"/>
                <c:pt idx="0">
                  <c:v>Bare-Rock-Built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(RRB_all!$E$44,RRB_all!$E$92,RRB_all!$E$140,RRB_all!$E$188,RRB_all!$E$236,RRB_all!$E$284,RRB_all!$E$332,RRB_all!$E$380,RRB_all!$E$428,RRB_all!$E$476,RRB_all!$E$524)</c:f>
              <c:numCache>
                <c:formatCode>0.00</c:formatCode>
                <c:ptCount val="11"/>
                <c:pt idx="0">
                  <c:v>0</c:v>
                </c:pt>
                <c:pt idx="1">
                  <c:v>4.3099999999999996</c:v>
                </c:pt>
                <c:pt idx="2">
                  <c:v>12.51</c:v>
                </c:pt>
                <c:pt idx="3">
                  <c:v>29.55</c:v>
                </c:pt>
                <c:pt idx="4">
                  <c:v>21.09</c:v>
                </c:pt>
                <c:pt idx="5">
                  <c:v>14.47</c:v>
                </c:pt>
                <c:pt idx="6">
                  <c:v>13.99</c:v>
                </c:pt>
                <c:pt idx="7">
                  <c:v>41.41</c:v>
                </c:pt>
                <c:pt idx="8">
                  <c:v>14.72</c:v>
                </c:pt>
                <c:pt idx="9">
                  <c:v>12.41</c:v>
                </c:pt>
                <c:pt idx="10">
                  <c:v>18.98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EE-4DF4-9BA1-A9D292D154A8}"/>
            </c:ext>
          </c:extLst>
        </c:ser>
        <c:ser>
          <c:idx val="2"/>
          <c:order val="2"/>
          <c:tx>
            <c:strRef>
              <c:f>RRB_all!$F$3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(RRB_all!$F$44,RRB_all!$F$92,RRB_all!$F$140,RRB_all!$F$188,RRB_all!$F$236,RRB_all!$F$284,RRB_all!$F$332,RRB_all!$F$380,RRB_all!$F$428,RRB_all!$F$476,RRB_all!$F$524)</c:f>
              <c:numCache>
                <c:formatCode>0.00</c:formatCode>
                <c:ptCount val="11"/>
                <c:pt idx="0">
                  <c:v>0</c:v>
                </c:pt>
                <c:pt idx="1">
                  <c:v>1122.75</c:v>
                </c:pt>
                <c:pt idx="2">
                  <c:v>1132.57</c:v>
                </c:pt>
                <c:pt idx="3">
                  <c:v>1028.96</c:v>
                </c:pt>
                <c:pt idx="4">
                  <c:v>1228.06</c:v>
                </c:pt>
                <c:pt idx="5">
                  <c:v>1145.82</c:v>
                </c:pt>
                <c:pt idx="6">
                  <c:v>1172.1600000000001</c:v>
                </c:pt>
                <c:pt idx="7">
                  <c:v>1123.5899999999999</c:v>
                </c:pt>
                <c:pt idx="8">
                  <c:v>1226.03</c:v>
                </c:pt>
                <c:pt idx="9">
                  <c:v>1132.43</c:v>
                </c:pt>
                <c:pt idx="10">
                  <c:v>1179.93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EE-4DF4-9BA1-A9D292D154A8}"/>
            </c:ext>
          </c:extLst>
        </c:ser>
        <c:ser>
          <c:idx val="3"/>
          <c:order val="3"/>
          <c:tx>
            <c:strRef>
              <c:f>RRB_all!$G$3</c:f>
              <c:strCache>
                <c:ptCount val="1"/>
                <c:pt idx="0">
                  <c:v>Forest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(RRB_all!$G$44,RRB_all!$G$92,RRB_all!$G$140,RRB_all!$G$188,RRB_all!$G$236,RRB_all!$G$284,RRB_all!$G$332,RRB_all!$G$380,RRB_all!$G$428,RRB_all!$G$476,RRB_all!$G$524)</c:f>
              <c:numCache>
                <c:formatCode>0.00</c:formatCode>
                <c:ptCount val="11"/>
                <c:pt idx="0">
                  <c:v>0</c:v>
                </c:pt>
                <c:pt idx="1">
                  <c:v>246.02</c:v>
                </c:pt>
                <c:pt idx="2">
                  <c:v>290.31</c:v>
                </c:pt>
                <c:pt idx="3">
                  <c:v>67.13</c:v>
                </c:pt>
                <c:pt idx="4">
                  <c:v>195.09</c:v>
                </c:pt>
                <c:pt idx="5">
                  <c:v>269.35000000000002</c:v>
                </c:pt>
                <c:pt idx="6">
                  <c:v>261.06</c:v>
                </c:pt>
                <c:pt idx="7">
                  <c:v>264.85000000000002</c:v>
                </c:pt>
                <c:pt idx="8">
                  <c:v>170.21</c:v>
                </c:pt>
                <c:pt idx="9">
                  <c:v>292.58</c:v>
                </c:pt>
                <c:pt idx="10">
                  <c:v>230.11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EE-4DF4-9BA1-A9D292D154A8}"/>
            </c:ext>
          </c:extLst>
        </c:ser>
        <c:ser>
          <c:idx val="4"/>
          <c:order val="4"/>
          <c:tx>
            <c:strRef>
              <c:f>RRB_all!$H$3</c:f>
              <c:strCache>
                <c:ptCount val="1"/>
                <c:pt idx="0">
                  <c:v>Shrubland-Wetland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(RRB_all!$H$44,RRB_all!$H$92,RRB_all!$H$140,RRB_all!$H$188,RRB_all!$H$236,RRB_all!$H$284,RRB_all!$H$332,RRB_all!$H$380,RRB_all!$H$428,RRB_all!$H$476,RRB_all!$H$524)</c:f>
              <c:numCache>
                <c:formatCode>0.00</c:formatCode>
                <c:ptCount val="11"/>
                <c:pt idx="0">
                  <c:v>0</c:v>
                </c:pt>
                <c:pt idx="1">
                  <c:v>86.48</c:v>
                </c:pt>
                <c:pt idx="2">
                  <c:v>25.73</c:v>
                </c:pt>
                <c:pt idx="3">
                  <c:v>25.35</c:v>
                </c:pt>
                <c:pt idx="4">
                  <c:v>17.079999999999998</c:v>
                </c:pt>
                <c:pt idx="5">
                  <c:v>24.8</c:v>
                </c:pt>
                <c:pt idx="6">
                  <c:v>14.41</c:v>
                </c:pt>
                <c:pt idx="7">
                  <c:v>31.58</c:v>
                </c:pt>
                <c:pt idx="8">
                  <c:v>48.83</c:v>
                </c:pt>
                <c:pt idx="9">
                  <c:v>24.89</c:v>
                </c:pt>
                <c:pt idx="10">
                  <c:v>33.24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EE-4DF4-9BA1-A9D292D154A8}"/>
            </c:ext>
          </c:extLst>
        </c:ser>
        <c:ser>
          <c:idx val="5"/>
          <c:order val="5"/>
          <c:tx>
            <c:strRef>
              <c:f>RRB_all!$I$5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(RRB_all!$I$44,RRB_all!$I$92,RRB_all!$I$140,RRB_all!$I$188,RRB_all!$I$236,RRB_all!$I$284,RRB_all!$I$332,RRB_all!$I$380,RRB_all!$I$428,RRB_all!$I$476,RRB_all!$I$524)</c:f>
              <c:numCache>
                <c:formatCode>0.00</c:formatCode>
                <c:ptCount val="11"/>
                <c:pt idx="0">
                  <c:v>1468.76</c:v>
                </c:pt>
                <c:pt idx="1">
                  <c:v>6.7200000000000273</c:v>
                </c:pt>
                <c:pt idx="2">
                  <c:v>6.5500000000001819</c:v>
                </c:pt>
                <c:pt idx="3">
                  <c:v>317.16999999999985</c:v>
                </c:pt>
                <c:pt idx="4">
                  <c:v>6.5500000000001819</c:v>
                </c:pt>
                <c:pt idx="5">
                  <c:v>12.740000000000236</c:v>
                </c:pt>
                <c:pt idx="6">
                  <c:v>6.5499999999999545</c:v>
                </c:pt>
                <c:pt idx="7">
                  <c:v>6.540000000000191</c:v>
                </c:pt>
                <c:pt idx="8">
                  <c:v>6.9100000000000819</c:v>
                </c:pt>
                <c:pt idx="9">
                  <c:v>6.4499999999998181</c:v>
                </c:pt>
                <c:pt idx="10">
                  <c:v>6.4400000000000546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EE-4DF4-9BA1-A9D292D15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13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RRB Mode Area Wieghted Overall Accuracy ± SE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RRB_all!$J$6</c:f>
              <c:strCache>
                <c:ptCount val="1"/>
                <c:pt idx="0">
                  <c:v>Ô</c:v>
                </c:pt>
              </c:strCache>
            </c:strRef>
          </c:tx>
          <c:spPr>
            <a:solidFill>
              <a:srgbClr val="7030A0">
                <a:alpha val="70000"/>
              </a:srgbClr>
            </a:solidFill>
            <a:ln>
              <a:solidFill>
                <a:srgbClr val="7030A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([1]GUE_all!$K$7,[1]GUE_all!$K$55,[1]GUE_all!$K$103,[1]GUE_all!$K$151,[1]GUE_all!$K$199,[1]GUE_all!$K$247,[1]GUE_all!$K$295,[1]GUE_all!$K$343,[1]GUE_all!$K$391,[1]GUE_all!$K$439,[1]GUE_all!$K$487)</c:f>
                <c:numCache>
                  <c:formatCode>General</c:formatCode>
                  <c:ptCount val="11"/>
                  <c:pt idx="0">
                    <c:v>6.4183019921026973E-3</c:v>
                  </c:pt>
                  <c:pt idx="1">
                    <c:v>6.6407652331395735E-3</c:v>
                  </c:pt>
                  <c:pt idx="2">
                    <c:v>2.1390344995911837E-3</c:v>
                  </c:pt>
                  <c:pt idx="3">
                    <c:v>2.7122304755798632E-3</c:v>
                  </c:pt>
                  <c:pt idx="4">
                    <c:v>2.5431929706373497E-3</c:v>
                  </c:pt>
                  <c:pt idx="5">
                    <c:v>2.7761448885463206E-3</c:v>
                  </c:pt>
                  <c:pt idx="6">
                    <c:v>2.3555218478968389E-3</c:v>
                  </c:pt>
                  <c:pt idx="7">
                    <c:v>2.2750917392034883E-3</c:v>
                  </c:pt>
                  <c:pt idx="8">
                    <c:v>2.156092163808633E-3</c:v>
                  </c:pt>
                  <c:pt idx="9">
                    <c:v>2.3702762785370495E-3</c:v>
                  </c:pt>
                  <c:pt idx="10">
                    <c:v>2.4816070541914823E-3</c:v>
                  </c:pt>
                </c:numCache>
              </c:numRef>
            </c:plus>
            <c:minus>
              <c:numRef>
                <c:f>([1]GUE_all!$K$7,[1]GUE_all!$K$55,[1]GUE_all!$K$103,[1]GUE_all!$K$151,[1]GUE_all!$K$199,[1]GUE_all!$K$247,[1]GUE_all!$K$295,[1]GUE_all!$K$343,[1]GUE_all!$K$391,[1]GUE_all!$K$439,[1]GUE_all!$K$487)</c:f>
                <c:numCache>
                  <c:formatCode>General</c:formatCode>
                  <c:ptCount val="11"/>
                  <c:pt idx="0">
                    <c:v>6.4183019921026973E-3</c:v>
                  </c:pt>
                  <c:pt idx="1">
                    <c:v>6.6407652331395735E-3</c:v>
                  </c:pt>
                  <c:pt idx="2">
                    <c:v>2.1390344995911837E-3</c:v>
                  </c:pt>
                  <c:pt idx="3">
                    <c:v>2.7122304755798632E-3</c:v>
                  </c:pt>
                  <c:pt idx="4">
                    <c:v>2.5431929706373497E-3</c:v>
                  </c:pt>
                  <c:pt idx="5">
                    <c:v>2.7761448885463206E-3</c:v>
                  </c:pt>
                  <c:pt idx="6">
                    <c:v>2.3555218478968389E-3</c:v>
                  </c:pt>
                  <c:pt idx="7">
                    <c:v>2.2750917392034883E-3</c:v>
                  </c:pt>
                  <c:pt idx="8">
                    <c:v>2.156092163808633E-3</c:v>
                  </c:pt>
                  <c:pt idx="9">
                    <c:v>2.3702762785370495E-3</c:v>
                  </c:pt>
                  <c:pt idx="10">
                    <c:v>2.4816070541914823E-3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(RRB_all!$K$6,RRB_all!$K$54,RRB_all!$K$102,RRB_all!$K$150,RRB_all!$K$198,RRB_all!$K$246,RRB_all!$K$294,RRB_all!$K$342,RRB_all!$K$390,RRB_all!$K$438,RRB_all!$K$486)</c:f>
              <c:numCache>
                <c:formatCode>0.00%</c:formatCode>
                <c:ptCount val="11"/>
                <c:pt idx="0">
                  <c:v>0.96148214544033306</c:v>
                </c:pt>
                <c:pt idx="1">
                  <c:v>0.93584830015501419</c:v>
                </c:pt>
                <c:pt idx="2">
                  <c:v>0.96549516014643944</c:v>
                </c:pt>
                <c:pt idx="3">
                  <c:v>0.95088530936223714</c:v>
                </c:pt>
                <c:pt idx="4">
                  <c:v>0.98677249912620968</c:v>
                </c:pt>
                <c:pt idx="5">
                  <c:v>0.97559403711546622</c:v>
                </c:pt>
                <c:pt idx="6">
                  <c:v>0.98814217878695343</c:v>
                </c:pt>
                <c:pt idx="7">
                  <c:v>0.98832752168647631</c:v>
                </c:pt>
                <c:pt idx="8">
                  <c:v>0.98610688058640539</c:v>
                </c:pt>
                <c:pt idx="9">
                  <c:v>0.94344334897525939</c:v>
                </c:pt>
                <c:pt idx="10">
                  <c:v>0.95946070090354252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2-4C4A-AD22-F55BCB094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5.000000000000001E-2"/>
        <c:minorUnit val="2.5000000000000005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RRB Agriculture-Grass HC Area</a:t>
            </a:r>
          </a:p>
          <a:p>
            <a:pPr>
              <a:defRPr/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(Equivalent 10m Geom. Res.)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RRB_PA_HC!$H$316:$H$323</c:f>
                <c:numCache>
                  <c:formatCode>General</c:formatCode>
                  <c:ptCount val="8"/>
                  <c:pt idx="0">
                    <c:v>2.9794261671374136E-2</c:v>
                  </c:pt>
                  <c:pt idx="1">
                    <c:v>2.2354565316384866E-2</c:v>
                  </c:pt>
                  <c:pt idx="2">
                    <c:v>3.0528041009861631E-2</c:v>
                  </c:pt>
                  <c:pt idx="3">
                    <c:v>7.6426785523481802E-3</c:v>
                  </c:pt>
                  <c:pt idx="4">
                    <c:v>9.1860874378388562E-3</c:v>
                  </c:pt>
                  <c:pt idx="5">
                    <c:v>3.8243564843174635E-2</c:v>
                  </c:pt>
                  <c:pt idx="6">
                    <c:v>6.6943953847348487E-3</c:v>
                  </c:pt>
                  <c:pt idx="7">
                    <c:v>7.1982149164293045E-3</c:v>
                  </c:pt>
                </c:numCache>
              </c:numRef>
            </c:plus>
            <c:minus>
              <c:numRef>
                <c:f>RRB_PA_HC!$H$316:$H$323</c:f>
                <c:numCache>
                  <c:formatCode>General</c:formatCode>
                  <c:ptCount val="8"/>
                  <c:pt idx="0">
                    <c:v>2.9794261671374136E-2</c:v>
                  </c:pt>
                  <c:pt idx="1">
                    <c:v>2.2354565316384866E-2</c:v>
                  </c:pt>
                  <c:pt idx="2">
                    <c:v>3.0528041009861631E-2</c:v>
                  </c:pt>
                  <c:pt idx="3">
                    <c:v>7.6426785523481802E-3</c:v>
                  </c:pt>
                  <c:pt idx="4">
                    <c:v>9.1860874378388562E-3</c:v>
                  </c:pt>
                  <c:pt idx="5">
                    <c:v>3.8243564843174635E-2</c:v>
                  </c:pt>
                  <c:pt idx="6">
                    <c:v>6.6943953847348487E-3</c:v>
                  </c:pt>
                  <c:pt idx="7">
                    <c:v>7.1982149164293045E-3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RRB_PA_HC!$G$305:$G$312</c:f>
              <c:strCache>
                <c:ptCount val="8"/>
                <c:pt idx="0">
                  <c:v>1977(M)</c:v>
                </c:pt>
                <c:pt idx="1">
                  <c:v>1988(M)</c:v>
                </c:pt>
                <c:pt idx="2">
                  <c:v>1991(M)</c:v>
                </c:pt>
                <c:pt idx="3">
                  <c:v>2001(M)</c:v>
                </c:pt>
                <c:pt idx="4">
                  <c:v>2011(M)</c:v>
                </c:pt>
                <c:pt idx="5">
                  <c:v>2015(M)</c:v>
                </c:pt>
                <c:pt idx="6">
                  <c:v> 2019M</c:v>
                </c:pt>
                <c:pt idx="7">
                  <c:v>2024M</c:v>
                </c:pt>
              </c:strCache>
            </c:strRef>
          </c:cat>
          <c:val>
            <c:numRef>
              <c:f>RRB_PA_HC!$H$305:$H$312</c:f>
              <c:numCache>
                <c:formatCode>0.00%</c:formatCode>
                <c:ptCount val="8"/>
                <c:pt idx="0">
                  <c:v>9.9224818805757189E-2</c:v>
                </c:pt>
                <c:pt idx="1">
                  <c:v>0.12259159833400374</c:v>
                </c:pt>
                <c:pt idx="2">
                  <c:v>0.11833242963941254</c:v>
                </c:pt>
                <c:pt idx="3">
                  <c:v>0.15655155073359336</c:v>
                </c:pt>
                <c:pt idx="4">
                  <c:v>0.14693918039439371</c:v>
                </c:pt>
                <c:pt idx="5">
                  <c:v>0.14646241310163849</c:v>
                </c:pt>
                <c:pt idx="6">
                  <c:v>0.15786346312704622</c:v>
                </c:pt>
                <c:pt idx="7">
                  <c:v>0.16277864513379611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ED-4284-8663-6BA13D053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806960"/>
        <c:axId val="802808720"/>
      </c:barChart>
      <c:catAx>
        <c:axId val="8028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8720"/>
        <c:crosses val="autoZero"/>
        <c:auto val="1"/>
        <c:lblAlgn val="ctr"/>
        <c:lblOffset val="100"/>
        <c:noMultiLvlLbl val="0"/>
      </c:catAx>
      <c:valAx>
        <c:axId val="802808720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RRB Agriculture-Grass HC Area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RRB_PA_HC!$D$316:$D$325</c:f>
                <c:numCache>
                  <c:formatCode>General</c:formatCode>
                  <c:ptCount val="10"/>
                  <c:pt idx="0">
                    <c:v>2.9794261671374136E-2</c:v>
                  </c:pt>
                  <c:pt idx="1">
                    <c:v>2.2354565316384866E-2</c:v>
                  </c:pt>
                  <c:pt idx="2">
                    <c:v>9.4553177087186267E-3</c:v>
                  </c:pt>
                  <c:pt idx="3">
                    <c:v>3.0528041009861631E-2</c:v>
                  </c:pt>
                  <c:pt idx="4">
                    <c:v>7.6426785523481802E-3</c:v>
                  </c:pt>
                  <c:pt idx="5">
                    <c:v>9.1860874378388562E-3</c:v>
                  </c:pt>
                  <c:pt idx="6">
                    <c:v>3.8243564843174635E-2</c:v>
                  </c:pt>
                  <c:pt idx="7">
                    <c:v>1.0564509860363318E-2</c:v>
                  </c:pt>
                  <c:pt idx="8">
                    <c:v>6.6943953847348487E-3</c:v>
                  </c:pt>
                  <c:pt idx="9">
                    <c:v>7.1982149164293045E-3</c:v>
                  </c:pt>
                </c:numCache>
              </c:numRef>
            </c:plus>
            <c:minus>
              <c:numRef>
                <c:f>RRB_PA_HC!$D$316:$D$325</c:f>
                <c:numCache>
                  <c:formatCode>General</c:formatCode>
                  <c:ptCount val="10"/>
                  <c:pt idx="0">
                    <c:v>2.9794261671374136E-2</c:v>
                  </c:pt>
                  <c:pt idx="1">
                    <c:v>2.2354565316384866E-2</c:v>
                  </c:pt>
                  <c:pt idx="2">
                    <c:v>9.4553177087186267E-3</c:v>
                  </c:pt>
                  <c:pt idx="3">
                    <c:v>3.0528041009861631E-2</c:v>
                  </c:pt>
                  <c:pt idx="4">
                    <c:v>7.6426785523481802E-3</c:v>
                  </c:pt>
                  <c:pt idx="5">
                    <c:v>9.1860874378388562E-3</c:v>
                  </c:pt>
                  <c:pt idx="6">
                    <c:v>3.8243564843174635E-2</c:v>
                  </c:pt>
                  <c:pt idx="7">
                    <c:v>1.0564509860363318E-2</c:v>
                  </c:pt>
                  <c:pt idx="8">
                    <c:v>6.6943953847348487E-3</c:v>
                  </c:pt>
                  <c:pt idx="9">
                    <c:v>7.1982149164293045E-3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RRB_PA_HC!$C$305:$C$314</c:f>
              <c:strCache>
                <c:ptCount val="10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2011E</c:v>
                </c:pt>
                <c:pt idx="6">
                  <c:v>2015O</c:v>
                </c:pt>
                <c:pt idx="7">
                  <c:v> 2019O</c:v>
                </c:pt>
                <c:pt idx="8">
                  <c:v> 2019M</c:v>
                </c:pt>
                <c:pt idx="9">
                  <c:v>2024M</c:v>
                </c:pt>
              </c:strCache>
            </c:strRef>
          </c:cat>
          <c:val>
            <c:numRef>
              <c:f>RRB_PA_HC!$D$305:$D$314</c:f>
              <c:numCache>
                <c:formatCode>0.00%</c:formatCode>
                <c:ptCount val="10"/>
                <c:pt idx="0">
                  <c:v>8.434335987914017E-2</c:v>
                </c:pt>
                <c:pt idx="1">
                  <c:v>0.10420565561006545</c:v>
                </c:pt>
                <c:pt idx="2">
                  <c:v>0.13886924153587318</c:v>
                </c:pt>
                <c:pt idx="3">
                  <c:v>0.13404454282707792</c:v>
                </c:pt>
                <c:pt idx="4">
                  <c:v>0.17733837723860324</c:v>
                </c:pt>
                <c:pt idx="5">
                  <c:v>0.16644968179366978</c:v>
                </c:pt>
                <c:pt idx="6">
                  <c:v>0.16590960960900308</c:v>
                </c:pt>
                <c:pt idx="7">
                  <c:v>0.1788244846188492</c:v>
                </c:pt>
                <c:pt idx="8">
                  <c:v>0.15786346312704622</c:v>
                </c:pt>
                <c:pt idx="9">
                  <c:v>0.16277864513379611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E-4903-86B7-6DEF18A57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806960"/>
        <c:axId val="802808720"/>
      </c:barChart>
      <c:catAx>
        <c:axId val="8028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8720"/>
        <c:crosses val="autoZero"/>
        <c:auto val="1"/>
        <c:lblAlgn val="ctr"/>
        <c:lblOffset val="100"/>
        <c:noMultiLvlLbl val="0"/>
      </c:catAx>
      <c:valAx>
        <c:axId val="80280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RRB PA Mode Binary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RRB_PA_HC!$F$3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[1]GUE_all!$L$6:$L$16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RRB_PA_HC!$E$440:$E$450</c:f>
              <c:numCache>
                <c:formatCode>0.00%</c:formatCode>
                <c:ptCount val="11"/>
                <c:pt idx="0">
                  <c:v>8.876532712337841E-2</c:v>
                </c:pt>
                <c:pt idx="1">
                  <c:v>0.11243600023428711</c:v>
                </c:pt>
                <c:pt idx="2">
                  <c:v>0.15251000264582859</c:v>
                </c:pt>
                <c:pt idx="3">
                  <c:v>0.14224216804444992</c:v>
                </c:pt>
                <c:pt idx="4">
                  <c:v>0.18777950351329678</c:v>
                </c:pt>
                <c:pt idx="5">
                  <c:v>0.15814299188679892</c:v>
                </c:pt>
                <c:pt idx="6">
                  <c:v>0.17385759787041097</c:v>
                </c:pt>
                <c:pt idx="7">
                  <c:v>0.17429345268511207</c:v>
                </c:pt>
                <c:pt idx="8">
                  <c:v>0.18867060242083217</c:v>
                </c:pt>
                <c:pt idx="9">
                  <c:v>0.16499710170686238</c:v>
                </c:pt>
                <c:pt idx="10">
                  <c:v>0.17152644111819584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A-4DF4-A47E-3AAB03D6D0A2}"/>
            </c:ext>
          </c:extLst>
        </c:ser>
        <c:ser>
          <c:idx val="0"/>
          <c:order val="1"/>
          <c:tx>
            <c:strRef>
              <c:f>RRB_PA_HC!$L$4</c:f>
              <c:strCache>
                <c:ptCount val="1"/>
                <c:pt idx="0">
                  <c:v>Agriculture-Grass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RRB_PA_HC!$L$440:$L$450</c:f>
                <c:numCache>
                  <c:formatCode>General</c:formatCode>
                  <c:ptCount val="11"/>
                  <c:pt idx="0">
                    <c:v>2.9794261671374136E-2</c:v>
                  </c:pt>
                  <c:pt idx="1">
                    <c:v>2.2354565316384866E-2</c:v>
                  </c:pt>
                  <c:pt idx="2">
                    <c:v>9.4553177087186267E-3</c:v>
                  </c:pt>
                  <c:pt idx="3">
                    <c:v>3.0528041009861631E-2</c:v>
                  </c:pt>
                  <c:pt idx="4">
                    <c:v>7.6426785523481802E-3</c:v>
                  </c:pt>
                  <c:pt idx="5">
                    <c:v>4.3854366973983372E-2</c:v>
                  </c:pt>
                  <c:pt idx="6">
                    <c:v>9.1860874378388562E-3</c:v>
                  </c:pt>
                  <c:pt idx="7">
                    <c:v>3.8243564843174635E-2</c:v>
                  </c:pt>
                  <c:pt idx="8">
                    <c:v>1.0564509860363318E-2</c:v>
                  </c:pt>
                  <c:pt idx="9">
                    <c:v>6.6943953847348487E-3</c:v>
                  </c:pt>
                  <c:pt idx="10">
                    <c:v>7.1982149164293045E-3</c:v>
                  </c:pt>
                </c:numCache>
              </c:numRef>
            </c:plus>
            <c:minus>
              <c:numRef>
                <c:f>RRB_PA_HC!$L$440:$L$450</c:f>
                <c:numCache>
                  <c:formatCode>General</c:formatCode>
                  <c:ptCount val="11"/>
                  <c:pt idx="0">
                    <c:v>2.9794261671374136E-2</c:v>
                  </c:pt>
                  <c:pt idx="1">
                    <c:v>2.2354565316384866E-2</c:v>
                  </c:pt>
                  <c:pt idx="2">
                    <c:v>9.4553177087186267E-3</c:v>
                  </c:pt>
                  <c:pt idx="3">
                    <c:v>3.0528041009861631E-2</c:v>
                  </c:pt>
                  <c:pt idx="4">
                    <c:v>7.6426785523481802E-3</c:v>
                  </c:pt>
                  <c:pt idx="5">
                    <c:v>4.3854366973983372E-2</c:v>
                  </c:pt>
                  <c:pt idx="6">
                    <c:v>9.1860874378388562E-3</c:v>
                  </c:pt>
                  <c:pt idx="7">
                    <c:v>3.8243564843174635E-2</c:v>
                  </c:pt>
                  <c:pt idx="8">
                    <c:v>1.0564509860363318E-2</c:v>
                  </c:pt>
                  <c:pt idx="9">
                    <c:v>6.6943953847348487E-3</c:v>
                  </c:pt>
                  <c:pt idx="10">
                    <c:v>7.1982149164293045E-3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RRB_PA_HC!$G$440:$G$450</c:f>
              <c:numCache>
                <c:formatCode>0.00%</c:formatCode>
                <c:ptCount val="11"/>
                <c:pt idx="0">
                  <c:v>8.434335987914017E-2</c:v>
                </c:pt>
                <c:pt idx="1">
                  <c:v>0.10420565561006545</c:v>
                </c:pt>
                <c:pt idx="2">
                  <c:v>0.13886924153587318</c:v>
                </c:pt>
                <c:pt idx="3">
                  <c:v>0.13404454282707792</c:v>
                </c:pt>
                <c:pt idx="4">
                  <c:v>0.17733837723860324</c:v>
                </c:pt>
                <c:pt idx="5">
                  <c:v>0.14916414033797934</c:v>
                </c:pt>
                <c:pt idx="6">
                  <c:v>0.16644968179366978</c:v>
                </c:pt>
                <c:pt idx="7">
                  <c:v>0.16590960960900308</c:v>
                </c:pt>
                <c:pt idx="8">
                  <c:v>0.1788244846188492</c:v>
                </c:pt>
                <c:pt idx="9">
                  <c:v>0.15786346312704622</c:v>
                </c:pt>
                <c:pt idx="10">
                  <c:v>0.16277864513379611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EA-4DF4-A47E-3AAB03D6D0A2}"/>
            </c:ext>
          </c:extLst>
        </c:ser>
        <c:ser>
          <c:idx val="5"/>
          <c:order val="2"/>
          <c:tx>
            <c:strRef>
              <c:f>RRB_PA_HC!$I$5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RRB_PA_HC!$H$440:$H$450</c:f>
              <c:numCache>
                <c:formatCode>0.00%</c:formatCode>
                <c:ptCount val="11"/>
                <c:pt idx="0">
                  <c:v>0.23370018116856758</c:v>
                </c:pt>
                <c:pt idx="1">
                  <c:v>0.1277688798046529</c:v>
                </c:pt>
                <c:pt idx="2">
                  <c:v>4.3912675538609006E-3</c:v>
                </c:pt>
                <c:pt idx="3">
                  <c:v>0.14262349051440154</c:v>
                </c:pt>
                <c:pt idx="4">
                  <c:v>4.3908636105663779E-3</c:v>
                </c:pt>
                <c:pt idx="5">
                  <c:v>0.19534374564498627</c:v>
                </c:pt>
                <c:pt idx="6">
                  <c:v>1.7305738620412542E-2</c:v>
                </c:pt>
                <c:pt idx="7">
                  <c:v>0.15256251527410575</c:v>
                </c:pt>
                <c:pt idx="8">
                  <c:v>1.6423526465354717E-2</c:v>
                </c:pt>
                <c:pt idx="9">
                  <c:v>4.369050672666565E-3</c:v>
                </c:pt>
                <c:pt idx="10">
                  <c:v>4.369050672666565E-3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EA-4DF4-A47E-3AAB03D6D0A2}"/>
            </c:ext>
          </c:extLst>
        </c:ser>
        <c:ser>
          <c:idx val="1"/>
          <c:order val="3"/>
          <c:tx>
            <c:strRef>
              <c:f>RRB_PA_HC!$K$3</c:f>
              <c:strCache>
                <c:ptCount val="1"/>
                <c:pt idx="0">
                  <c:v>Not Agriculture-Grass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RRB_PA_HC!$D$440:$D$450</c:f>
              <c:numCache>
                <c:formatCode>0.00%</c:formatCode>
                <c:ptCount val="11"/>
                <c:pt idx="0">
                  <c:v>0.67753449170805391</c:v>
                </c:pt>
                <c:pt idx="1">
                  <c:v>0.75979511996105986</c:v>
                </c:pt>
                <c:pt idx="2">
                  <c:v>0.84309872980031053</c:v>
                </c:pt>
                <c:pt idx="3">
                  <c:v>0.71513434144114851</c:v>
                </c:pt>
                <c:pt idx="4">
                  <c:v>0.80782963287613685</c:v>
                </c:pt>
                <c:pt idx="5">
                  <c:v>0.64651326246821461</c:v>
                </c:pt>
                <c:pt idx="6">
                  <c:v>0.80883666350917638</c:v>
                </c:pt>
                <c:pt idx="7">
                  <c:v>0.6731440320407821</c:v>
                </c:pt>
                <c:pt idx="8">
                  <c:v>0.79490587111381306</c:v>
                </c:pt>
                <c:pt idx="9">
                  <c:v>0.8306338476204711</c:v>
                </c:pt>
                <c:pt idx="10">
                  <c:v>0.8241045082091375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EA-4DF4-A47E-3AAB03D6D0A2}"/>
            </c:ext>
          </c:extLst>
        </c:ser>
        <c:ser>
          <c:idx val="3"/>
          <c:order val="4"/>
          <c:tx>
            <c:strRef>
              <c:f>RRB_PA_HC!$K$4</c:f>
              <c:strCache>
                <c:ptCount val="1"/>
                <c:pt idx="0">
                  <c:v>Not Agriculture-Grass (HC)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RRB_PA_HC!$K$440:$K$450</c:f>
                <c:numCache>
                  <c:formatCode>General</c:formatCode>
                  <c:ptCount val="11"/>
                  <c:pt idx="0">
                    <c:v>0.22741582317691486</c:v>
                  </c:pt>
                  <c:pt idx="1">
                    <c:v>0.15106273436308598</c:v>
                  </c:pt>
                  <c:pt idx="2">
                    <c:v>5.2270449228118861E-2</c:v>
                  </c:pt>
                  <c:pt idx="3">
                    <c:v>0.15348226762301245</c:v>
                  </c:pt>
                  <c:pt idx="4">
                    <c:v>3.2878893029433164E-2</c:v>
                  </c:pt>
                  <c:pt idx="5">
                    <c:v>0.17928350493155842</c:v>
                  </c:pt>
                  <c:pt idx="6">
                    <c:v>4.2736379686226351E-2</c:v>
                  </c:pt>
                  <c:pt idx="7">
                    <c:v>0.14770163217006857</c:v>
                  </c:pt>
                  <c:pt idx="8">
                    <c:v>4.4510330733514028E-2</c:v>
                  </c:pt>
                  <c:pt idx="9">
                    <c:v>3.3701145889181161E-2</c:v>
                  </c:pt>
                  <c:pt idx="10">
                    <c:v>3.4584063687300305E-2</c:v>
                  </c:pt>
                </c:numCache>
              </c:numRef>
            </c:plus>
            <c:minus>
              <c:numRef>
                <c:f>RRB_PA_HC!$K$440:$K$450</c:f>
                <c:numCache>
                  <c:formatCode>General</c:formatCode>
                  <c:ptCount val="11"/>
                  <c:pt idx="0">
                    <c:v>0.22741582317691486</c:v>
                  </c:pt>
                  <c:pt idx="1">
                    <c:v>0.15106273436308598</c:v>
                  </c:pt>
                  <c:pt idx="2">
                    <c:v>5.2270449228118861E-2</c:v>
                  </c:pt>
                  <c:pt idx="3">
                    <c:v>0.15348226762301245</c:v>
                  </c:pt>
                  <c:pt idx="4">
                    <c:v>3.2878893029433164E-2</c:v>
                  </c:pt>
                  <c:pt idx="5">
                    <c:v>0.17928350493155842</c:v>
                  </c:pt>
                  <c:pt idx="6">
                    <c:v>4.2736379686226351E-2</c:v>
                  </c:pt>
                  <c:pt idx="7">
                    <c:v>0.14770163217006857</c:v>
                  </c:pt>
                  <c:pt idx="8">
                    <c:v>4.4510330733514028E-2</c:v>
                  </c:pt>
                  <c:pt idx="9">
                    <c:v>3.3701145889181161E-2</c:v>
                  </c:pt>
                  <c:pt idx="10">
                    <c:v>3.4584063687300305E-2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RRB_PA_HC!$F$440:$F$450</c:f>
              <c:numCache>
                <c:formatCode>0.00%</c:formatCode>
                <c:ptCount val="11"/>
                <c:pt idx="0">
                  <c:v>0.65844655527257068</c:v>
                </c:pt>
                <c:pt idx="1">
                  <c:v>0.7223770447104636</c:v>
                </c:pt>
                <c:pt idx="2">
                  <c:v>0.79940499152728928</c:v>
                </c:pt>
                <c:pt idx="3">
                  <c:v>0.68194514854004795</c:v>
                </c:pt>
                <c:pt idx="4">
                  <c:v>0.78214005117961549</c:v>
                </c:pt>
                <c:pt idx="5">
                  <c:v>0.62769798775647867</c:v>
                </c:pt>
                <c:pt idx="6">
                  <c:v>0.78162785108226496</c:v>
                </c:pt>
                <c:pt idx="7">
                  <c:v>0.64814519337775356</c:v>
                </c:pt>
                <c:pt idx="8">
                  <c:v>0.76610067478727328</c:v>
                </c:pt>
                <c:pt idx="9">
                  <c:v>0.80174099559903778</c:v>
                </c:pt>
                <c:pt idx="10">
                  <c:v>0.79543907626247423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EA-4DF4-A47E-3AAB03D6D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2.0000000000000004E-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3486126260820186"/>
          <c:w val="0.93372244240575686"/>
          <c:h val="0.12558181086779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RRB PA Mode Binary Px count 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RRB_PA_HC!$F$3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RRB_PA_HC!$E$453:$E$463</c:f>
              <c:numCache>
                <c:formatCode>0.00</c:formatCode>
                <c:ptCount val="11"/>
                <c:pt idx="0">
                  <c:v>2197.4699999999998</c:v>
                </c:pt>
                <c:pt idx="1">
                  <c:v>2783.46</c:v>
                </c:pt>
                <c:pt idx="2">
                  <c:v>3775.53</c:v>
                </c:pt>
                <c:pt idx="3">
                  <c:v>3521.34</c:v>
                </c:pt>
                <c:pt idx="4">
                  <c:v>4648.66</c:v>
                </c:pt>
                <c:pt idx="5">
                  <c:v>3914.98</c:v>
                </c:pt>
                <c:pt idx="6">
                  <c:v>4304.01</c:v>
                </c:pt>
                <c:pt idx="7">
                  <c:v>4314.8</c:v>
                </c:pt>
                <c:pt idx="8">
                  <c:v>4670.72</c:v>
                </c:pt>
                <c:pt idx="9">
                  <c:v>4084.66</c:v>
                </c:pt>
                <c:pt idx="10">
                  <c:v>4246.3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5-4F51-B81B-4E0E277B9070}"/>
            </c:ext>
          </c:extLst>
        </c:ser>
        <c:ser>
          <c:idx val="0"/>
          <c:order val="1"/>
          <c:tx>
            <c:strRef>
              <c:f>RRB_PA_HC!$L$4</c:f>
              <c:strCache>
                <c:ptCount val="1"/>
                <c:pt idx="0">
                  <c:v>Agriculture-Grass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RRB_PA_HC!$L$453:$L$463</c:f>
                <c:numCache>
                  <c:formatCode>General</c:formatCode>
                  <c:ptCount val="11"/>
                  <c:pt idx="0">
                    <c:v>737.58525222345452</c:v>
                  </c:pt>
                  <c:pt idx="1">
                    <c:v>553.40850124415795</c:v>
                  </c:pt>
                  <c:pt idx="2">
                    <c:v>234.07537243115291</c:v>
                  </c:pt>
                  <c:pt idx="3">
                    <c:v>755.75065683808407</c:v>
                  </c:pt>
                  <c:pt idx="4">
                    <c:v>189.20176810800393</c:v>
                  </c:pt>
                  <c:pt idx="5">
                    <c:v>1085.6565160895836</c:v>
                  </c:pt>
                  <c:pt idx="6">
                    <c:v>227.41032130676683</c:v>
                  </c:pt>
                  <c:pt idx="7">
                    <c:v>946.75577907938919</c:v>
                  </c:pt>
                  <c:pt idx="8">
                    <c:v>261.53447787766129</c:v>
                  </c:pt>
                  <c:pt idx="9">
                    <c:v>165.72611742472668</c:v>
                  </c:pt>
                  <c:pt idx="10">
                    <c:v>178.19864856037805</c:v>
                  </c:pt>
                </c:numCache>
              </c:numRef>
            </c:plus>
            <c:minus>
              <c:numRef>
                <c:f>RRB_PA_HC!$L$453:$L$463</c:f>
                <c:numCache>
                  <c:formatCode>General</c:formatCode>
                  <c:ptCount val="11"/>
                  <c:pt idx="0">
                    <c:v>737.58525222345452</c:v>
                  </c:pt>
                  <c:pt idx="1">
                    <c:v>553.40850124415795</c:v>
                  </c:pt>
                  <c:pt idx="2">
                    <c:v>234.07537243115291</c:v>
                  </c:pt>
                  <c:pt idx="3">
                    <c:v>755.75065683808407</c:v>
                  </c:pt>
                  <c:pt idx="4">
                    <c:v>189.20176810800393</c:v>
                  </c:pt>
                  <c:pt idx="5">
                    <c:v>1085.6565160895836</c:v>
                  </c:pt>
                  <c:pt idx="6">
                    <c:v>227.41032130676683</c:v>
                  </c:pt>
                  <c:pt idx="7">
                    <c:v>946.75577907938919</c:v>
                  </c:pt>
                  <c:pt idx="8">
                    <c:v>261.53447787766129</c:v>
                  </c:pt>
                  <c:pt idx="9">
                    <c:v>165.72611742472668</c:v>
                  </c:pt>
                  <c:pt idx="10">
                    <c:v>178.19864856037805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RRB_PA_HC!$G$453:$G$463</c:f>
              <c:numCache>
                <c:formatCode>0.00</c:formatCode>
                <c:ptCount val="11"/>
                <c:pt idx="0">
                  <c:v>2088</c:v>
                </c:pt>
                <c:pt idx="1">
                  <c:v>2579.71</c:v>
                </c:pt>
                <c:pt idx="2">
                  <c:v>3437.84</c:v>
                </c:pt>
                <c:pt idx="3">
                  <c:v>3318.4</c:v>
                </c:pt>
                <c:pt idx="4">
                  <c:v>4390.18</c:v>
                </c:pt>
                <c:pt idx="5">
                  <c:v>3692.7</c:v>
                </c:pt>
                <c:pt idx="6">
                  <c:v>4120.62</c:v>
                </c:pt>
                <c:pt idx="7">
                  <c:v>4107.25</c:v>
                </c:pt>
                <c:pt idx="8">
                  <c:v>4426.97</c:v>
                </c:pt>
                <c:pt idx="9">
                  <c:v>3908.06</c:v>
                </c:pt>
                <c:pt idx="10">
                  <c:v>4029.74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45-4F51-B81B-4E0E277B9070}"/>
            </c:ext>
          </c:extLst>
        </c:ser>
        <c:ser>
          <c:idx val="5"/>
          <c:order val="2"/>
          <c:tx>
            <c:strRef>
              <c:f>RRB_PA_HC!$I$5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RRB_PA_HC!$H$453:$H$463</c:f>
              <c:numCache>
                <c:formatCode>0.00</c:formatCode>
                <c:ptCount val="11"/>
                <c:pt idx="0">
                  <c:v>5785.4700000000012</c:v>
                </c:pt>
                <c:pt idx="1">
                  <c:v>3163.0399999999972</c:v>
                </c:pt>
                <c:pt idx="2">
                  <c:v>108.71000000000276</c:v>
                </c:pt>
                <c:pt idx="3">
                  <c:v>3530.7799999999988</c:v>
                </c:pt>
                <c:pt idx="4">
                  <c:v>108.70000000000073</c:v>
                </c:pt>
                <c:pt idx="5">
                  <c:v>4835.9199999999983</c:v>
                </c:pt>
                <c:pt idx="6">
                  <c:v>428.42000000000189</c:v>
                </c:pt>
                <c:pt idx="7">
                  <c:v>3776.8299999999981</c:v>
                </c:pt>
                <c:pt idx="8">
                  <c:v>406.57999999999811</c:v>
                </c:pt>
                <c:pt idx="9">
                  <c:v>108.15999999999985</c:v>
                </c:pt>
                <c:pt idx="10">
                  <c:v>108.15999999999985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45-4F51-B81B-4E0E277B9070}"/>
            </c:ext>
          </c:extLst>
        </c:ser>
        <c:ser>
          <c:idx val="1"/>
          <c:order val="3"/>
          <c:tx>
            <c:strRef>
              <c:f>RRB_PA_HC!$K$3</c:f>
              <c:strCache>
                <c:ptCount val="1"/>
                <c:pt idx="0">
                  <c:v>Not Agriculture-Grass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RRB_PA_HC!$D$453:$D$463</c:f>
              <c:numCache>
                <c:formatCode>0.00</c:formatCode>
                <c:ptCount val="11"/>
                <c:pt idx="0">
                  <c:v>16773.009999999998</c:v>
                </c:pt>
                <c:pt idx="1">
                  <c:v>18809.45</c:v>
                </c:pt>
                <c:pt idx="2">
                  <c:v>20871.71</c:v>
                </c:pt>
                <c:pt idx="3">
                  <c:v>17703.830000000002</c:v>
                </c:pt>
                <c:pt idx="4">
                  <c:v>19998.59</c:v>
                </c:pt>
                <c:pt idx="5">
                  <c:v>16005.05</c:v>
                </c:pt>
                <c:pt idx="6">
                  <c:v>20023.519999999997</c:v>
                </c:pt>
                <c:pt idx="7">
                  <c:v>16664.32</c:v>
                </c:pt>
                <c:pt idx="8">
                  <c:v>19678.650000000001</c:v>
                </c:pt>
                <c:pt idx="9">
                  <c:v>20563.13</c:v>
                </c:pt>
                <c:pt idx="10">
                  <c:v>20401.489999999998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45-4F51-B81B-4E0E277B9070}"/>
            </c:ext>
          </c:extLst>
        </c:ser>
        <c:ser>
          <c:idx val="3"/>
          <c:order val="4"/>
          <c:tx>
            <c:strRef>
              <c:f>RRB_PA_HC!$K$4</c:f>
              <c:strCache>
                <c:ptCount val="1"/>
                <c:pt idx="0">
                  <c:v>Not Agriculture-Grass (HC)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RRB_PA_HC!$K$453:$K$463</c:f>
                <c:numCache>
                  <c:formatCode>General</c:formatCode>
                  <c:ptCount val="11"/>
                  <c:pt idx="0">
                    <c:v>5629.894747776546</c:v>
                  </c:pt>
                  <c:pt idx="1">
                    <c:v>3739.7014987558382</c:v>
                  </c:pt>
                  <c:pt idx="2">
                    <c:v>1294.0046275688492</c:v>
                  </c:pt>
                  <c:pt idx="3">
                    <c:v>3799.5993431619149</c:v>
                  </c:pt>
                  <c:pt idx="4">
                    <c:v>813.94823189199587</c:v>
                  </c:pt>
                  <c:pt idx="5">
                    <c:v>4438.3334839104136</c:v>
                  </c:pt>
                  <c:pt idx="6">
                    <c:v>1057.9796786932352</c:v>
                  </c:pt>
                  <c:pt idx="7">
                    <c:v>3656.4942209206092</c:v>
                  </c:pt>
                  <c:pt idx="8">
                    <c:v>1101.8955221223366</c:v>
                  </c:pt>
                  <c:pt idx="9">
                    <c:v>834.30388257527432</c:v>
                  </c:pt>
                  <c:pt idx="10">
                    <c:v>856.16135143962208</c:v>
                  </c:pt>
                </c:numCache>
              </c:numRef>
            </c:plus>
            <c:minus>
              <c:numRef>
                <c:f>RRB_PA_HC!$K$453:$K$463</c:f>
                <c:numCache>
                  <c:formatCode>General</c:formatCode>
                  <c:ptCount val="11"/>
                  <c:pt idx="0">
                    <c:v>5629.894747776546</c:v>
                  </c:pt>
                  <c:pt idx="1">
                    <c:v>3739.7014987558382</c:v>
                  </c:pt>
                  <c:pt idx="2">
                    <c:v>1294.0046275688492</c:v>
                  </c:pt>
                  <c:pt idx="3">
                    <c:v>3799.5993431619149</c:v>
                  </c:pt>
                  <c:pt idx="4">
                    <c:v>813.94823189199587</c:v>
                  </c:pt>
                  <c:pt idx="5">
                    <c:v>4438.3334839104136</c:v>
                  </c:pt>
                  <c:pt idx="6">
                    <c:v>1057.9796786932352</c:v>
                  </c:pt>
                  <c:pt idx="7">
                    <c:v>3656.4942209206092</c:v>
                  </c:pt>
                  <c:pt idx="8">
                    <c:v>1101.8955221223366</c:v>
                  </c:pt>
                  <c:pt idx="9">
                    <c:v>834.30388257527432</c:v>
                  </c:pt>
                  <c:pt idx="10">
                    <c:v>856.16135143962208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RRB_PA_HC!$F$453:$F$463</c:f>
              <c:numCache>
                <c:formatCode>0.00</c:formatCode>
                <c:ptCount val="11"/>
                <c:pt idx="0">
                  <c:v>16300.469999999998</c:v>
                </c:pt>
                <c:pt idx="1">
                  <c:v>17883.13</c:v>
                </c:pt>
                <c:pt idx="2">
                  <c:v>19790.03</c:v>
                </c:pt>
                <c:pt idx="3">
                  <c:v>16882.2</c:v>
                </c:pt>
                <c:pt idx="4">
                  <c:v>19362.620000000003</c:v>
                </c:pt>
                <c:pt idx="5">
                  <c:v>15539.259999999998</c:v>
                </c:pt>
                <c:pt idx="6">
                  <c:v>19349.939999999999</c:v>
                </c:pt>
                <c:pt idx="7">
                  <c:v>16045.449999999999</c:v>
                </c:pt>
                <c:pt idx="8">
                  <c:v>18965.55</c:v>
                </c:pt>
                <c:pt idx="9">
                  <c:v>19847.86</c:v>
                </c:pt>
                <c:pt idx="10">
                  <c:v>19691.849999999999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45-4F51-B81B-4E0E277B9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2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3486126260820186"/>
          <c:w val="0.93372244240575686"/>
          <c:h val="0.12558181086779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RRB PA Mode Class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RRB_PA_HC!$D$342</c:f>
              <c:strCache>
                <c:ptCount val="1"/>
                <c:pt idx="0">
                  <c:v>0 / W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RRB_PA_HC!$D$343:$D$353</c:f>
              <c:numCache>
                <c:formatCode>0.0000</c:formatCode>
                <c:ptCount val="11"/>
                <c:pt idx="0">
                  <c:v>5.5554321284378098E-3</c:v>
                </c:pt>
                <c:pt idx="1">
                  <c:v>3.3861758486343686E-2</c:v>
                </c:pt>
                <c:pt idx="2">
                  <c:v>1.9053197312161319E-2</c:v>
                </c:pt>
                <c:pt idx="3">
                  <c:v>7.7193563567546381E-3</c:v>
                </c:pt>
                <c:pt idx="4">
                  <c:v>7.5250596321288412E-3</c:v>
                </c:pt>
                <c:pt idx="5">
                  <c:v>8.9323980699589391E-3</c:v>
                </c:pt>
                <c:pt idx="6">
                  <c:v>8.9929895641249879E-3</c:v>
                </c:pt>
                <c:pt idx="7">
                  <c:v>6.7062665742983005E-3</c:v>
                </c:pt>
                <c:pt idx="8">
                  <c:v>7.0092240451285447E-3</c:v>
                </c:pt>
                <c:pt idx="9">
                  <c:v>7.4786061532682033E-3</c:v>
                </c:pt>
                <c:pt idx="10">
                  <c:v>9.1355815470624234E-3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F-49AB-BD90-C5EDC72BC814}"/>
            </c:ext>
          </c:extLst>
        </c:ser>
        <c:ser>
          <c:idx val="3"/>
          <c:order val="1"/>
          <c:tx>
            <c:strRef>
              <c:f>RRB_PA_HC!$I$342</c:f>
              <c:strCache>
                <c:ptCount val="1"/>
                <c:pt idx="0">
                  <c:v>0 / W (HC)</c:v>
                </c:pt>
              </c:strCache>
            </c:strRef>
          </c:tx>
          <c:spPr>
            <a:solidFill>
              <a:srgbClr val="1F9DFF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RRB_PA_HC!$I$369:$I$379</c:f>
                <c:numCache>
                  <c:formatCode>General</c:formatCode>
                  <c:ptCount val="11"/>
                  <c:pt idx="0">
                    <c:v>1.8646920356883531E-3</c:v>
                  </c:pt>
                  <c:pt idx="1">
                    <c:v>6.732406793494107E-3</c:v>
                  </c:pt>
                  <c:pt idx="2">
                    <c:v>1.1812604473672311E-3</c:v>
                  </c:pt>
                  <c:pt idx="3">
                    <c:v>1.6567297213516889E-3</c:v>
                  </c:pt>
                  <c:pt idx="4">
                    <c:v>3.0627204130156689E-4</c:v>
                  </c:pt>
                  <c:pt idx="5">
                    <c:v>2.4770282782943828E-3</c:v>
                  </c:pt>
                  <c:pt idx="6">
                    <c:v>4.7516122088147195E-4</c:v>
                  </c:pt>
                  <c:pt idx="7">
                    <c:v>1.4714926845424709E-3</c:v>
                  </c:pt>
                  <c:pt idx="8">
                    <c:v>3.9247776594834275E-4</c:v>
                  </c:pt>
                  <c:pt idx="9">
                    <c:v>3.034280360005018E-4</c:v>
                  </c:pt>
                  <c:pt idx="10">
                    <c:v>3.8338042189662804E-4</c:v>
                  </c:pt>
                </c:numCache>
              </c:numRef>
            </c:plus>
            <c:minus>
              <c:numRef>
                <c:f>RRB_PA_HC!$I$369:$I$379</c:f>
                <c:numCache>
                  <c:formatCode>General</c:formatCode>
                  <c:ptCount val="11"/>
                  <c:pt idx="0">
                    <c:v>1.8646920356883531E-3</c:v>
                  </c:pt>
                  <c:pt idx="1">
                    <c:v>6.732406793494107E-3</c:v>
                  </c:pt>
                  <c:pt idx="2">
                    <c:v>1.1812604473672311E-3</c:v>
                  </c:pt>
                  <c:pt idx="3">
                    <c:v>1.6567297213516889E-3</c:v>
                  </c:pt>
                  <c:pt idx="4">
                    <c:v>3.0627204130156689E-4</c:v>
                  </c:pt>
                  <c:pt idx="5">
                    <c:v>2.4770282782943828E-3</c:v>
                  </c:pt>
                  <c:pt idx="6">
                    <c:v>4.7516122088147195E-4</c:v>
                  </c:pt>
                  <c:pt idx="7">
                    <c:v>1.4714926845424709E-3</c:v>
                  </c:pt>
                  <c:pt idx="8">
                    <c:v>3.9247776594834275E-4</c:v>
                  </c:pt>
                  <c:pt idx="9">
                    <c:v>3.034280360005018E-4</c:v>
                  </c:pt>
                  <c:pt idx="10">
                    <c:v>3.8338042189662804E-4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RRB_PA_HC!$I$343:$I$353</c:f>
              <c:numCache>
                <c:formatCode>0.0000</c:formatCode>
                <c:ptCount val="11"/>
                <c:pt idx="0">
                  <c:v>5.4827223354385508E-3</c:v>
                </c:pt>
                <c:pt idx="1">
                  <c:v>3.189576647230262E-2</c:v>
                </c:pt>
                <c:pt idx="2">
                  <c:v>1.6829085532972882E-2</c:v>
                </c:pt>
                <c:pt idx="3">
                  <c:v>7.3521719021083813E-3</c:v>
                </c:pt>
                <c:pt idx="4">
                  <c:v>7.2184666716486332E-3</c:v>
                </c:pt>
                <c:pt idx="5">
                  <c:v>8.7885942571381825E-3</c:v>
                </c:pt>
                <c:pt idx="6">
                  <c:v>8.0291808635903697E-3</c:v>
                </c:pt>
                <c:pt idx="7">
                  <c:v>6.2312292600364754E-3</c:v>
                </c:pt>
                <c:pt idx="8">
                  <c:v>6.3330229702354378E-3</c:v>
                </c:pt>
                <c:pt idx="9">
                  <c:v>7.0435592251559724E-3</c:v>
                </c:pt>
                <c:pt idx="10">
                  <c:v>8.9630977603364029E-3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F-49AB-BD90-C5EDC72BC814}"/>
            </c:ext>
          </c:extLst>
        </c:ser>
        <c:ser>
          <c:idx val="4"/>
          <c:order val="2"/>
          <c:tx>
            <c:strRef>
              <c:f>RRB_PA_HC!$E$342</c:f>
              <c:strCache>
                <c:ptCount val="1"/>
                <c:pt idx="0">
                  <c:v>1 / B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RRB_PA_HC!$E$343:$E$353</c:f>
              <c:numCache>
                <c:formatCode>0.0000</c:formatCode>
                <c:ptCount val="11"/>
                <c:pt idx="0">
                  <c:v>1.9300410608358799E-3</c:v>
                </c:pt>
                <c:pt idx="1">
                  <c:v>4.5128544854873267E-3</c:v>
                </c:pt>
                <c:pt idx="2">
                  <c:v>4.9317436818219458E-3</c:v>
                </c:pt>
                <c:pt idx="3">
                  <c:v>6.5580193852386994E-3</c:v>
                </c:pt>
                <c:pt idx="4">
                  <c:v>2.6878386812059325E-3</c:v>
                </c:pt>
                <c:pt idx="5">
                  <c:v>5.1870358439082319E-3</c:v>
                </c:pt>
                <c:pt idx="6">
                  <c:v>1.2846204649791261E-2</c:v>
                </c:pt>
                <c:pt idx="7">
                  <c:v>5.3049872858848077E-3</c:v>
                </c:pt>
                <c:pt idx="8">
                  <c:v>5.0686804586372166E-3</c:v>
                </c:pt>
                <c:pt idx="9">
                  <c:v>5.0161678303599746E-3</c:v>
                </c:pt>
                <c:pt idx="10">
                  <c:v>5.5655307107988182E-3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F-49AB-BD90-C5EDC72BC814}"/>
            </c:ext>
          </c:extLst>
        </c:ser>
        <c:ser>
          <c:idx val="6"/>
          <c:order val="3"/>
          <c:tx>
            <c:strRef>
              <c:f>RRB_PA_HC!$J$342</c:f>
              <c:strCache>
                <c:ptCount val="1"/>
                <c:pt idx="0">
                  <c:v>1 / B (HC)</c:v>
                </c:pt>
              </c:strCache>
            </c:strRef>
          </c:tx>
          <c:spPr>
            <a:solidFill>
              <a:srgbClr val="CACDDE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RRB_PA_HC!$J$369:$J$379</c:f>
                <c:numCache>
                  <c:formatCode>General</c:formatCode>
                  <c:ptCount val="11"/>
                  <c:pt idx="0">
                    <c:v>6.478221876331674E-4</c:v>
                  </c:pt>
                  <c:pt idx="1">
                    <c:v>8.9724732424626785E-4</c:v>
                  </c:pt>
                  <c:pt idx="2">
                    <c:v>3.0575832772020275E-4</c:v>
                  </c:pt>
                  <c:pt idx="3">
                    <c:v>1.4074833608657595E-3</c:v>
                  </c:pt>
                  <c:pt idx="4">
                    <c:v>1.0939578951208474E-4</c:v>
                  </c:pt>
                  <c:pt idx="5">
                    <c:v>1.4384081816839944E-3</c:v>
                  </c:pt>
                  <c:pt idx="6">
                    <c:v>6.7875295990983112E-4</c:v>
                  </c:pt>
                  <c:pt idx="7">
                    <c:v>1.1640232156424689E-3</c:v>
                  </c:pt>
                  <c:pt idx="8">
                    <c:v>2.8381806172889606E-4</c:v>
                  </c:pt>
                  <c:pt idx="9">
                    <c:v>2.0352000383786498E-4</c:v>
                  </c:pt>
                  <c:pt idx="10">
                    <c:v>2.3356099455658561E-4</c:v>
                  </c:pt>
                </c:numCache>
              </c:numRef>
            </c:plus>
            <c:minus>
              <c:numRef>
                <c:f>RRB_PA_HC!$J$369:$J$379</c:f>
                <c:numCache>
                  <c:formatCode>General</c:formatCode>
                  <c:ptCount val="11"/>
                  <c:pt idx="0">
                    <c:v>6.478221876331674E-4</c:v>
                  </c:pt>
                  <c:pt idx="1">
                    <c:v>8.9724732424626785E-4</c:v>
                  </c:pt>
                  <c:pt idx="2">
                    <c:v>3.0575832772020275E-4</c:v>
                  </c:pt>
                  <c:pt idx="3">
                    <c:v>1.4074833608657595E-3</c:v>
                  </c:pt>
                  <c:pt idx="4">
                    <c:v>1.0939578951208474E-4</c:v>
                  </c:pt>
                  <c:pt idx="5">
                    <c:v>1.4384081816839944E-3</c:v>
                  </c:pt>
                  <c:pt idx="6">
                    <c:v>6.7875295990983112E-4</c:v>
                  </c:pt>
                  <c:pt idx="7">
                    <c:v>1.1640232156424689E-3</c:v>
                  </c:pt>
                  <c:pt idx="8">
                    <c:v>2.8381806172889606E-4</c:v>
                  </c:pt>
                  <c:pt idx="9">
                    <c:v>2.0352000383786498E-4</c:v>
                  </c:pt>
                  <c:pt idx="10">
                    <c:v>2.3356099455658561E-4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RRB_PA_HC!$J$343:$J$353</c:f>
              <c:numCache>
                <c:formatCode>0.0000</c:formatCode>
                <c:ptCount val="11"/>
                <c:pt idx="0">
                  <c:v>1.3927964792302455E-3</c:v>
                </c:pt>
                <c:pt idx="1">
                  <c:v>4.1311280722412186E-3</c:v>
                </c:pt>
                <c:pt idx="2">
                  <c:v>3.5252131305807287E-3</c:v>
                </c:pt>
                <c:pt idx="3">
                  <c:v>4.3395628121724273E-3</c:v>
                </c:pt>
                <c:pt idx="4">
                  <c:v>1.1072085700609348E-3</c:v>
                </c:pt>
                <c:pt idx="5">
                  <c:v>3.2069058145617517E-3</c:v>
                </c:pt>
                <c:pt idx="6">
                  <c:v>8.846358148243149E-3</c:v>
                </c:pt>
                <c:pt idx="7">
                  <c:v>3.0275549918302468E-3</c:v>
                </c:pt>
                <c:pt idx="8">
                  <c:v>3.0679493212742797E-3</c:v>
                </c:pt>
                <c:pt idx="9">
                  <c:v>3.1115751970738348E-3</c:v>
                </c:pt>
                <c:pt idx="10">
                  <c:v>3.7595002413561181E-3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BF-49AB-BD90-C5EDC72BC814}"/>
            </c:ext>
          </c:extLst>
        </c:ser>
        <c:ser>
          <c:idx val="2"/>
          <c:order val="4"/>
          <c:tx>
            <c:strRef>
              <c:f>RRB_PA_HC!$F$342</c:f>
              <c:strCache>
                <c:ptCount val="1"/>
                <c:pt idx="0">
                  <c:v>2 / A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[1]GUE_all!$L$6:$L$16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RRB_PA_HC!$F$343:$F$353</c:f>
              <c:numCache>
                <c:formatCode>0.0000</c:formatCode>
                <c:ptCount val="11"/>
                <c:pt idx="0">
                  <c:v>8.876532712337841E-2</c:v>
                </c:pt>
                <c:pt idx="1">
                  <c:v>0.11243600023428711</c:v>
                </c:pt>
                <c:pt idx="2">
                  <c:v>0.15251000264582859</c:v>
                </c:pt>
                <c:pt idx="3">
                  <c:v>0.14224216804444992</c:v>
                </c:pt>
                <c:pt idx="4">
                  <c:v>0.18777950351329678</c:v>
                </c:pt>
                <c:pt idx="5">
                  <c:v>0.15814299188679892</c:v>
                </c:pt>
                <c:pt idx="6">
                  <c:v>0.17385759787041097</c:v>
                </c:pt>
                <c:pt idx="7">
                  <c:v>0.17429345268511207</c:v>
                </c:pt>
                <c:pt idx="8">
                  <c:v>0.18867060242083217</c:v>
                </c:pt>
                <c:pt idx="9">
                  <c:v>0.16499710170686238</c:v>
                </c:pt>
                <c:pt idx="10">
                  <c:v>0.17152644111819584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BF-49AB-BD90-C5EDC72BC814}"/>
            </c:ext>
          </c:extLst>
        </c:ser>
        <c:ser>
          <c:idx val="0"/>
          <c:order val="5"/>
          <c:tx>
            <c:strRef>
              <c:f>RRB_PA_HC!$K$342</c:f>
              <c:strCache>
                <c:ptCount val="1"/>
                <c:pt idx="0">
                  <c:v>2 / A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RRB_PA_HC!$K$369:$K$379</c:f>
                <c:numCache>
                  <c:formatCode>General</c:formatCode>
                  <c:ptCount val="11"/>
                  <c:pt idx="0">
                    <c:v>2.9794261671374136E-2</c:v>
                  </c:pt>
                  <c:pt idx="1">
                    <c:v>2.2354565316384866E-2</c:v>
                  </c:pt>
                  <c:pt idx="2">
                    <c:v>9.4553177087186267E-3</c:v>
                  </c:pt>
                  <c:pt idx="3">
                    <c:v>3.0528041009861631E-2</c:v>
                  </c:pt>
                  <c:pt idx="4">
                    <c:v>7.6426785523481802E-3</c:v>
                  </c:pt>
                  <c:pt idx="5">
                    <c:v>4.3854366973983372E-2</c:v>
                  </c:pt>
                  <c:pt idx="6">
                    <c:v>9.1860874378388562E-3</c:v>
                  </c:pt>
                  <c:pt idx="7">
                    <c:v>3.8243564843174635E-2</c:v>
                  </c:pt>
                  <c:pt idx="8">
                    <c:v>1.0564509860363318E-2</c:v>
                  </c:pt>
                  <c:pt idx="9">
                    <c:v>6.6943953847348487E-3</c:v>
                  </c:pt>
                  <c:pt idx="10">
                    <c:v>7.1982149164293045E-3</c:v>
                  </c:pt>
                </c:numCache>
              </c:numRef>
            </c:plus>
            <c:minus>
              <c:numRef>
                <c:f>RRB_PA_HC!$K$369:$K$379</c:f>
                <c:numCache>
                  <c:formatCode>General</c:formatCode>
                  <c:ptCount val="11"/>
                  <c:pt idx="0">
                    <c:v>2.9794261671374136E-2</c:v>
                  </c:pt>
                  <c:pt idx="1">
                    <c:v>2.2354565316384866E-2</c:v>
                  </c:pt>
                  <c:pt idx="2">
                    <c:v>9.4553177087186267E-3</c:v>
                  </c:pt>
                  <c:pt idx="3">
                    <c:v>3.0528041009861631E-2</c:v>
                  </c:pt>
                  <c:pt idx="4">
                    <c:v>7.6426785523481802E-3</c:v>
                  </c:pt>
                  <c:pt idx="5">
                    <c:v>4.3854366973983372E-2</c:v>
                  </c:pt>
                  <c:pt idx="6">
                    <c:v>9.1860874378388562E-3</c:v>
                  </c:pt>
                  <c:pt idx="7">
                    <c:v>3.8243564843174635E-2</c:v>
                  </c:pt>
                  <c:pt idx="8">
                    <c:v>1.0564509860363318E-2</c:v>
                  </c:pt>
                  <c:pt idx="9">
                    <c:v>6.6943953847348487E-3</c:v>
                  </c:pt>
                  <c:pt idx="10">
                    <c:v>7.1982149164293045E-3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RRB_PA_HC!$K$343:$K$353</c:f>
              <c:numCache>
                <c:formatCode>0.0000</c:formatCode>
                <c:ptCount val="11"/>
                <c:pt idx="0">
                  <c:v>8.434335987914017E-2</c:v>
                </c:pt>
                <c:pt idx="1">
                  <c:v>0.10420565561006545</c:v>
                </c:pt>
                <c:pt idx="2">
                  <c:v>0.13886924153587318</c:v>
                </c:pt>
                <c:pt idx="3">
                  <c:v>0.13404454282707792</c:v>
                </c:pt>
                <c:pt idx="4">
                  <c:v>0.17733837723860324</c:v>
                </c:pt>
                <c:pt idx="5">
                  <c:v>0.14916414033797934</c:v>
                </c:pt>
                <c:pt idx="6">
                  <c:v>0.16644968179366978</c:v>
                </c:pt>
                <c:pt idx="7">
                  <c:v>0.16590960960900308</c:v>
                </c:pt>
                <c:pt idx="8">
                  <c:v>0.1788244846188492</c:v>
                </c:pt>
                <c:pt idx="9">
                  <c:v>0.15786346312704622</c:v>
                </c:pt>
                <c:pt idx="10">
                  <c:v>0.16277864513379611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BF-49AB-BD90-C5EDC72BC814}"/>
            </c:ext>
          </c:extLst>
        </c:ser>
        <c:ser>
          <c:idx val="7"/>
          <c:order val="6"/>
          <c:tx>
            <c:strRef>
              <c:f>RRB_PA_HC!$G$342</c:f>
              <c:strCache>
                <c:ptCount val="1"/>
                <c:pt idx="0">
                  <c:v>3 / F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RRB_PA_HC!$G$343:$G$353</c:f>
              <c:numCache>
                <c:formatCode>0.0000</c:formatCode>
                <c:ptCount val="11"/>
                <c:pt idx="0">
                  <c:v>0.48273768528373984</c:v>
                </c:pt>
                <c:pt idx="1">
                  <c:v>0.44728762176365683</c:v>
                </c:pt>
                <c:pt idx="2">
                  <c:v>0.61695107640789382</c:v>
                </c:pt>
                <c:pt idx="3">
                  <c:v>0.50174523700362939</c:v>
                </c:pt>
                <c:pt idx="4">
                  <c:v>0.63100668728123943</c:v>
                </c:pt>
                <c:pt idx="5">
                  <c:v>0.53735526206831086</c:v>
                </c:pt>
                <c:pt idx="6">
                  <c:v>0.61167315332273653</c:v>
                </c:pt>
                <c:pt idx="7">
                  <c:v>0.49163292057061031</c:v>
                </c:pt>
                <c:pt idx="8">
                  <c:v>0.61167315332273653</c:v>
                </c:pt>
                <c:pt idx="9">
                  <c:v>0.64625271904330073</c:v>
                </c:pt>
                <c:pt idx="10">
                  <c:v>0.62460984127048236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BF-49AB-BD90-C5EDC72BC814}"/>
            </c:ext>
          </c:extLst>
        </c:ser>
        <c:ser>
          <c:idx val="8"/>
          <c:order val="7"/>
          <c:tx>
            <c:strRef>
              <c:f>RRB_PA_HC!$L$342</c:f>
              <c:strCache>
                <c:ptCount val="1"/>
                <c:pt idx="0">
                  <c:v>3 / F (HC)</c:v>
                </c:pt>
              </c:strCache>
            </c:strRef>
          </c:tx>
          <c:spPr>
            <a:solidFill>
              <a:srgbClr val="14972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RRB_PA_HC!$L$369:$L$379</c:f>
                <c:numCache>
                  <c:formatCode>General</c:formatCode>
                  <c:ptCount val="11"/>
                  <c:pt idx="0">
                    <c:v>0.16203188091658768</c:v>
                  </c:pt>
                  <c:pt idx="1">
                    <c:v>8.8929883089855458E-2</c:v>
                  </c:pt>
                  <c:pt idx="2">
                    <c:v>3.8249743210086631E-2</c:v>
                  </c:pt>
                  <c:pt idx="3">
                    <c:v>0.10768465766749961</c:v>
                  </c:pt>
                  <c:pt idx="4">
                    <c:v>2.5682149462766646E-2</c:v>
                  </c:pt>
                  <c:pt idx="5">
                    <c:v>0.14901308352009143</c:v>
                  </c:pt>
                  <c:pt idx="6">
                    <c:v>3.2318881306466936E-2</c:v>
                  </c:pt>
                  <c:pt idx="7">
                    <c:v>0.10787436468339287</c:v>
                  </c:pt>
                  <c:pt idx="8">
                    <c:v>3.4250312325732342E-2</c:v>
                  </c:pt>
                  <c:pt idx="9">
                    <c:v>2.622028614431041E-2</c:v>
                  </c:pt>
                  <c:pt idx="10">
                    <c:v>2.6212144594567555E-2</c:v>
                  </c:pt>
                </c:numCache>
              </c:numRef>
            </c:plus>
            <c:minus>
              <c:numRef>
                <c:f>RRB_PA_HC!$L$369:$L$379</c:f>
                <c:numCache>
                  <c:formatCode>General</c:formatCode>
                  <c:ptCount val="11"/>
                  <c:pt idx="0">
                    <c:v>0.16203188091658768</c:v>
                  </c:pt>
                  <c:pt idx="1">
                    <c:v>8.8929883089855458E-2</c:v>
                  </c:pt>
                  <c:pt idx="2">
                    <c:v>3.8249743210086631E-2</c:v>
                  </c:pt>
                  <c:pt idx="3">
                    <c:v>0.10768465766749961</c:v>
                  </c:pt>
                  <c:pt idx="4">
                    <c:v>2.5682149462766646E-2</c:v>
                  </c:pt>
                  <c:pt idx="5">
                    <c:v>0.14901308352009143</c:v>
                  </c:pt>
                  <c:pt idx="6">
                    <c:v>3.2318881306466936E-2</c:v>
                  </c:pt>
                  <c:pt idx="7">
                    <c:v>0.10787436468339287</c:v>
                  </c:pt>
                  <c:pt idx="8">
                    <c:v>3.4250312325732342E-2</c:v>
                  </c:pt>
                  <c:pt idx="9">
                    <c:v>2.622028614431041E-2</c:v>
                  </c:pt>
                  <c:pt idx="10">
                    <c:v>2.6212144594567555E-2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RRB_PA_HC!$L$343:$L$353</c:f>
              <c:numCache>
                <c:formatCode>0.0000</c:formatCode>
                <c:ptCount val="11"/>
                <c:pt idx="0">
                  <c:v>0.47100717201319275</c:v>
                </c:pt>
                <c:pt idx="1">
                  <c:v>0.42690868255914238</c:v>
                </c:pt>
                <c:pt idx="2">
                  <c:v>0.59113708017668476</c:v>
                </c:pt>
                <c:pt idx="3">
                  <c:v>0.48374350408689631</c:v>
                </c:pt>
                <c:pt idx="4">
                  <c:v>0.61675839545644584</c:v>
                </c:pt>
                <c:pt idx="5">
                  <c:v>0.52675942551184662</c:v>
                </c:pt>
                <c:pt idx="6">
                  <c:v>0.59661253153282334</c:v>
                </c:pt>
                <c:pt idx="7">
                  <c:v>0.47663127450168541</c:v>
                </c:pt>
                <c:pt idx="8">
                  <c:v>0.59482992977445825</c:v>
                </c:pt>
                <c:pt idx="9">
                  <c:v>0.62889446779461089</c:v>
                </c:pt>
                <c:pt idx="10">
                  <c:v>0.60830668990687087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BF-49AB-BD90-C5EDC72BC814}"/>
            </c:ext>
          </c:extLst>
        </c:ser>
        <c:ser>
          <c:idx val="9"/>
          <c:order val="8"/>
          <c:tx>
            <c:strRef>
              <c:f>RRB_PA_HC!$H$342</c:f>
              <c:strCache>
                <c:ptCount val="1"/>
                <c:pt idx="0">
                  <c:v>4 / S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RRB_PA_HC!$H$343:$H$353</c:f>
              <c:numCache>
                <c:formatCode>0.0000</c:formatCode>
                <c:ptCount val="11"/>
                <c:pt idx="0">
                  <c:v>0.18731133323504046</c:v>
                </c:pt>
                <c:pt idx="1">
                  <c:v>0.27413288522557205</c:v>
                </c:pt>
                <c:pt idx="2">
                  <c:v>0.20216271239843348</c:v>
                </c:pt>
                <c:pt idx="3">
                  <c:v>0.19911172869552571</c:v>
                </c:pt>
                <c:pt idx="4">
                  <c:v>0.16661004728156262</c:v>
                </c:pt>
                <c:pt idx="5">
                  <c:v>9.5038566486036688E-2</c:v>
                </c:pt>
                <c:pt idx="6">
                  <c:v>0.17532431597252376</c:v>
                </c:pt>
                <c:pt idx="7">
                  <c:v>0.1694998576099887</c:v>
                </c:pt>
                <c:pt idx="8">
                  <c:v>0.17115481328731075</c:v>
                </c:pt>
                <c:pt idx="9">
                  <c:v>0.17188635459354215</c:v>
                </c:pt>
                <c:pt idx="10">
                  <c:v>0.18479355468079389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BF-49AB-BD90-C5EDC72BC814}"/>
            </c:ext>
          </c:extLst>
        </c:ser>
        <c:ser>
          <c:idx val="10"/>
          <c:order val="9"/>
          <c:tx>
            <c:strRef>
              <c:f>RRB_PA_HC!$M$342</c:f>
              <c:strCache>
                <c:ptCount val="1"/>
                <c:pt idx="0">
                  <c:v>4 / S (HC)</c:v>
                </c:pt>
              </c:strCache>
            </c:strRef>
          </c:tx>
          <c:spPr>
            <a:solidFill>
              <a:srgbClr val="AD8D06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RRB_PA_HC!$M$369:$M$379</c:f>
                <c:numCache>
                  <c:formatCode>General</c:formatCode>
                  <c:ptCount val="11"/>
                  <c:pt idx="0">
                    <c:v>6.2871428037005683E-2</c:v>
                  </c:pt>
                  <c:pt idx="1">
                    <c:v>5.4503197155490138E-2</c:v>
                  </c:pt>
                  <c:pt idx="2">
                    <c:v>1.2533687242944794E-2</c:v>
                  </c:pt>
                  <c:pt idx="3">
                    <c:v>4.2733396873295373E-2</c:v>
                  </c:pt>
                  <c:pt idx="4">
                    <c:v>6.7810757358528649E-3</c:v>
                  </c:pt>
                  <c:pt idx="5">
                    <c:v>2.6354984951488605E-2</c:v>
                  </c:pt>
                  <c:pt idx="6">
                    <c:v>9.2635841989681094E-3</c:v>
                  </c:pt>
                  <c:pt idx="7">
                    <c:v>3.7191751586490775E-2</c:v>
                  </c:pt>
                  <c:pt idx="8">
                    <c:v>9.583722580104443E-3</c:v>
                  </c:pt>
                  <c:pt idx="9">
                    <c:v>6.9739117050323842E-3</c:v>
                  </c:pt>
                  <c:pt idx="10">
                    <c:v>7.7549776762795364E-3</c:v>
                  </c:pt>
                </c:numCache>
              </c:numRef>
            </c:plus>
            <c:minus>
              <c:numRef>
                <c:f>RRB_PA_HC!$M$369:$M$379</c:f>
                <c:numCache>
                  <c:formatCode>General</c:formatCode>
                  <c:ptCount val="11"/>
                  <c:pt idx="0">
                    <c:v>6.2871428037005683E-2</c:v>
                  </c:pt>
                  <c:pt idx="1">
                    <c:v>5.4503197155490138E-2</c:v>
                  </c:pt>
                  <c:pt idx="2">
                    <c:v>1.2533687242944794E-2</c:v>
                  </c:pt>
                  <c:pt idx="3">
                    <c:v>4.2733396873295373E-2</c:v>
                  </c:pt>
                  <c:pt idx="4">
                    <c:v>6.7810757358528649E-3</c:v>
                  </c:pt>
                  <c:pt idx="5">
                    <c:v>2.6354984951488605E-2</c:v>
                  </c:pt>
                  <c:pt idx="6">
                    <c:v>9.2635841989681094E-3</c:v>
                  </c:pt>
                  <c:pt idx="7">
                    <c:v>3.7191751586490775E-2</c:v>
                  </c:pt>
                  <c:pt idx="8">
                    <c:v>9.583722580104443E-3</c:v>
                  </c:pt>
                  <c:pt idx="9">
                    <c:v>6.9739117050323842E-3</c:v>
                  </c:pt>
                  <c:pt idx="10">
                    <c:v>7.7549776762795364E-3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RRB_PA_HC!$M$343:$M$353</c:f>
              <c:numCache>
                <c:formatCode>0.0000</c:formatCode>
                <c:ptCount val="11"/>
                <c:pt idx="0">
                  <c:v>0.18056386444470923</c:v>
                </c:pt>
                <c:pt idx="1">
                  <c:v>0.25944146760677739</c:v>
                </c:pt>
                <c:pt idx="2">
                  <c:v>0.18791361268705098</c:v>
                </c:pt>
                <c:pt idx="3">
                  <c:v>0.18650990973887083</c:v>
                </c:pt>
                <c:pt idx="4">
                  <c:v>0.15705598048146002</c:v>
                </c:pt>
                <c:pt idx="5">
                  <c:v>8.8943062172932158E-2</c:v>
                </c:pt>
                <c:pt idx="6">
                  <c:v>0.16813978053760811</c:v>
                </c:pt>
                <c:pt idx="7">
                  <c:v>0.16225513462420146</c:v>
                </c:pt>
                <c:pt idx="8">
                  <c:v>0.16186977272130537</c:v>
                </c:pt>
                <c:pt idx="9">
                  <c:v>0.16269139338219699</c:v>
                </c:pt>
                <c:pt idx="10">
                  <c:v>0.17440978835391088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9BF-49AB-BD90-C5EDC72BC814}"/>
            </c:ext>
          </c:extLst>
        </c:ser>
        <c:ser>
          <c:idx val="5"/>
          <c:order val="10"/>
          <c:tx>
            <c:strRef>
              <c:f>RRB_PA_HC!$I$5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(RRB_PA_HC!$I$8,RRB_PA_HC!$I$33,RRB_PA_HC!$I$58,RRB_PA_HC!$I$83,RRB_PA_HC!$I$108,RRB_PA_HC!$I$133,RRB_PA_HC!$I$158,RRB_PA_HC!$I$183,RRB_PA_HC!$I$208,RRB_PA_HC!$I$233,RRB_PA_HC!$I$258)</c:f>
              <c:numCache>
                <c:formatCode>0.00%</c:formatCode>
                <c:ptCount val="11"/>
                <c:pt idx="0">
                  <c:v>0.23370018116856758</c:v>
                </c:pt>
                <c:pt idx="1">
                  <c:v>0.1277688798046529</c:v>
                </c:pt>
                <c:pt idx="2">
                  <c:v>4.3912675538609006E-3</c:v>
                </c:pt>
                <c:pt idx="3">
                  <c:v>0.14262349051440154</c:v>
                </c:pt>
                <c:pt idx="4">
                  <c:v>4.3908636105663779E-3</c:v>
                </c:pt>
                <c:pt idx="5">
                  <c:v>0.19534374564498627</c:v>
                </c:pt>
                <c:pt idx="6">
                  <c:v>1.7305738620412542E-2</c:v>
                </c:pt>
                <c:pt idx="7">
                  <c:v>0.15256251527410575</c:v>
                </c:pt>
                <c:pt idx="8">
                  <c:v>1.6423526465354717E-2</c:v>
                </c:pt>
                <c:pt idx="9">
                  <c:v>4.369050672666565E-3</c:v>
                </c:pt>
                <c:pt idx="10">
                  <c:v>4.369050672666565E-3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9BF-49AB-BD90-C5EDC72BC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1.0000000000000002E-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RRB PA Mode Class Px count 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RRB_PA_HC!$D$342</c:f>
              <c:strCache>
                <c:ptCount val="1"/>
                <c:pt idx="0">
                  <c:v>0 / W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RRB_PA_HC!$D$356:$D$366</c:f>
              <c:numCache>
                <c:formatCode>0.00</c:formatCode>
                <c:ptCount val="11"/>
                <c:pt idx="0">
                  <c:v>137.53</c:v>
                </c:pt>
                <c:pt idx="1">
                  <c:v>838.28</c:v>
                </c:pt>
                <c:pt idx="2">
                  <c:v>471.68</c:v>
                </c:pt>
                <c:pt idx="3">
                  <c:v>191.1</c:v>
                </c:pt>
                <c:pt idx="4">
                  <c:v>186.29</c:v>
                </c:pt>
                <c:pt idx="5">
                  <c:v>221.13</c:v>
                </c:pt>
                <c:pt idx="6">
                  <c:v>222.63</c:v>
                </c:pt>
                <c:pt idx="7">
                  <c:v>166.02</c:v>
                </c:pt>
                <c:pt idx="8">
                  <c:v>173.52</c:v>
                </c:pt>
                <c:pt idx="9">
                  <c:v>185.14</c:v>
                </c:pt>
                <c:pt idx="10">
                  <c:v>226.16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C-446E-8298-388376136280}"/>
            </c:ext>
          </c:extLst>
        </c:ser>
        <c:ser>
          <c:idx val="3"/>
          <c:order val="1"/>
          <c:tx>
            <c:strRef>
              <c:f>RRB_PA_HC!$I$342</c:f>
              <c:strCache>
                <c:ptCount val="1"/>
                <c:pt idx="0">
                  <c:v>0 / W (HC)</c:v>
                </c:pt>
              </c:strCache>
            </c:strRef>
          </c:tx>
          <c:spPr>
            <a:solidFill>
              <a:srgbClr val="1F9DFF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RRB_PA_HC!$I$382:$I$392</c:f>
                <c:numCache>
                  <c:formatCode>General</c:formatCode>
                  <c:ptCount val="11"/>
                  <c:pt idx="0">
                    <c:v>46.162222800899087</c:v>
                  </c:pt>
                  <c:pt idx="1">
                    <c:v>166.66712595940044</c:v>
                  </c:pt>
                  <c:pt idx="2">
                    <c:v>29.243224572000805</c:v>
                  </c:pt>
                  <c:pt idx="3">
                    <c:v>41.013918145296344</c:v>
                  </c:pt>
                  <c:pt idx="4">
                    <c:v>7.582055340859525</c:v>
                  </c:pt>
                  <c:pt idx="5">
                    <c:v>61.321188206041825</c:v>
                  </c:pt>
                  <c:pt idx="6">
                    <c:v>11.763067426080676</c:v>
                  </c:pt>
                  <c:pt idx="7">
                    <c:v>36.428199323899186</c:v>
                  </c:pt>
                  <c:pt idx="8">
                    <c:v>9.7161599499288762</c:v>
                  </c:pt>
                  <c:pt idx="9">
                    <c:v>7.5116492878266232</c:v>
                  </c:pt>
                  <c:pt idx="10">
                    <c:v>9.4909465554518295</c:v>
                  </c:pt>
                </c:numCache>
              </c:numRef>
            </c:plus>
            <c:minus>
              <c:numRef>
                <c:f>RRB_PA_HC!$I$382:$I$392</c:f>
                <c:numCache>
                  <c:formatCode>General</c:formatCode>
                  <c:ptCount val="11"/>
                  <c:pt idx="0">
                    <c:v>46.162222800899087</c:v>
                  </c:pt>
                  <c:pt idx="1">
                    <c:v>166.66712595940044</c:v>
                  </c:pt>
                  <c:pt idx="2">
                    <c:v>29.243224572000805</c:v>
                  </c:pt>
                  <c:pt idx="3">
                    <c:v>41.013918145296344</c:v>
                  </c:pt>
                  <c:pt idx="4">
                    <c:v>7.582055340859525</c:v>
                  </c:pt>
                  <c:pt idx="5">
                    <c:v>61.321188206041825</c:v>
                  </c:pt>
                  <c:pt idx="6">
                    <c:v>11.763067426080676</c:v>
                  </c:pt>
                  <c:pt idx="7">
                    <c:v>36.428199323899186</c:v>
                  </c:pt>
                  <c:pt idx="8">
                    <c:v>9.7161599499288762</c:v>
                  </c:pt>
                  <c:pt idx="9">
                    <c:v>7.5116492878266232</c:v>
                  </c:pt>
                  <c:pt idx="10">
                    <c:v>9.4909465554518295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RRB_PA_HC!$I$356:$I$366</c:f>
              <c:numCache>
                <c:formatCode>0.00</c:formatCode>
                <c:ptCount val="11"/>
                <c:pt idx="0">
                  <c:v>135.72999999999999</c:v>
                </c:pt>
                <c:pt idx="1">
                  <c:v>789.61</c:v>
                </c:pt>
                <c:pt idx="2">
                  <c:v>416.62</c:v>
                </c:pt>
                <c:pt idx="3">
                  <c:v>182.01</c:v>
                </c:pt>
                <c:pt idx="4">
                  <c:v>178.7</c:v>
                </c:pt>
                <c:pt idx="5">
                  <c:v>217.57</c:v>
                </c:pt>
                <c:pt idx="6">
                  <c:v>198.77</c:v>
                </c:pt>
                <c:pt idx="7">
                  <c:v>154.26</c:v>
                </c:pt>
                <c:pt idx="8">
                  <c:v>156.78</c:v>
                </c:pt>
                <c:pt idx="9">
                  <c:v>174.37</c:v>
                </c:pt>
                <c:pt idx="10">
                  <c:v>221.89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5C-446E-8298-388376136280}"/>
            </c:ext>
          </c:extLst>
        </c:ser>
        <c:ser>
          <c:idx val="4"/>
          <c:order val="2"/>
          <c:tx>
            <c:strRef>
              <c:f>RRB_PA_HC!$E$342</c:f>
              <c:strCache>
                <c:ptCount val="1"/>
                <c:pt idx="0">
                  <c:v>1 / B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RRB_PA_HC!$E$356:$E$366</c:f>
              <c:numCache>
                <c:formatCode>0.00</c:formatCode>
                <c:ptCount val="11"/>
                <c:pt idx="0">
                  <c:v>47.78</c:v>
                </c:pt>
                <c:pt idx="1">
                  <c:v>111.72</c:v>
                </c:pt>
                <c:pt idx="2">
                  <c:v>122.09</c:v>
                </c:pt>
                <c:pt idx="3">
                  <c:v>162.35</c:v>
                </c:pt>
                <c:pt idx="4">
                  <c:v>66.540000000000006</c:v>
                </c:pt>
                <c:pt idx="5">
                  <c:v>128.41</c:v>
                </c:pt>
                <c:pt idx="6">
                  <c:v>318.02</c:v>
                </c:pt>
                <c:pt idx="7">
                  <c:v>131.33000000000001</c:v>
                </c:pt>
                <c:pt idx="8">
                  <c:v>125.48</c:v>
                </c:pt>
                <c:pt idx="9">
                  <c:v>124.18</c:v>
                </c:pt>
                <c:pt idx="10">
                  <c:v>137.78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5C-446E-8298-388376136280}"/>
            </c:ext>
          </c:extLst>
        </c:ser>
        <c:ser>
          <c:idx val="6"/>
          <c:order val="3"/>
          <c:tx>
            <c:strRef>
              <c:f>RRB_PA_HC!$J$342</c:f>
              <c:strCache>
                <c:ptCount val="1"/>
                <c:pt idx="0">
                  <c:v>1 / B (HC)</c:v>
                </c:pt>
              </c:strCache>
            </c:strRef>
          </c:tx>
          <c:spPr>
            <a:solidFill>
              <a:srgbClr val="CACDDE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RRB_PA_HC!$J$382:$J$392</c:f>
                <c:numCache>
                  <c:formatCode>General</c:formatCode>
                  <c:ptCount val="11"/>
                  <c:pt idx="0">
                    <c:v>16.037453685937312</c:v>
                  </c:pt>
                  <c:pt idx="1">
                    <c:v>22.212209896674395</c:v>
                  </c:pt>
                  <c:pt idx="2">
                    <c:v>7.5693378731249537</c:v>
                  </c:pt>
                  <c:pt idx="3">
                    <c:v>34.843587707424703</c:v>
                  </c:pt>
                  <c:pt idx="4">
                    <c:v>2.7081966953716945</c:v>
                  </c:pt>
                  <c:pt idx="5">
                    <c:v>35.609161025359882</c:v>
                  </c:pt>
                  <c:pt idx="6">
                    <c:v>16.803174337879785</c:v>
                  </c:pt>
                  <c:pt idx="7">
                    <c:v>28.81650052528418</c:v>
                  </c:pt>
                  <c:pt idx="8">
                    <c:v>7.0261857452574645</c:v>
                  </c:pt>
                  <c:pt idx="9">
                    <c:v>5.0383310390099938</c:v>
                  </c:pt>
                  <c:pt idx="10">
                    <c:v>5.782024303193106</c:v>
                  </c:pt>
                </c:numCache>
              </c:numRef>
            </c:plus>
            <c:minus>
              <c:numRef>
                <c:f>RRB_PA_HC!$J$382:$J$392</c:f>
                <c:numCache>
                  <c:formatCode>General</c:formatCode>
                  <c:ptCount val="11"/>
                  <c:pt idx="0">
                    <c:v>16.037453685937312</c:v>
                  </c:pt>
                  <c:pt idx="1">
                    <c:v>22.212209896674395</c:v>
                  </c:pt>
                  <c:pt idx="2">
                    <c:v>7.5693378731249537</c:v>
                  </c:pt>
                  <c:pt idx="3">
                    <c:v>34.843587707424703</c:v>
                  </c:pt>
                  <c:pt idx="4">
                    <c:v>2.7081966953716945</c:v>
                  </c:pt>
                  <c:pt idx="5">
                    <c:v>35.609161025359882</c:v>
                  </c:pt>
                  <c:pt idx="6">
                    <c:v>16.803174337879785</c:v>
                  </c:pt>
                  <c:pt idx="7">
                    <c:v>28.81650052528418</c:v>
                  </c:pt>
                  <c:pt idx="8">
                    <c:v>7.0261857452574645</c:v>
                  </c:pt>
                  <c:pt idx="9">
                    <c:v>5.0383310390099938</c:v>
                  </c:pt>
                  <c:pt idx="10">
                    <c:v>5.782024303193106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RRB_PA_HC!$J$356:$J$366</c:f>
              <c:numCache>
                <c:formatCode>0.00</c:formatCode>
                <c:ptCount val="11"/>
                <c:pt idx="0">
                  <c:v>34.479999999999997</c:v>
                </c:pt>
                <c:pt idx="1">
                  <c:v>102.27</c:v>
                </c:pt>
                <c:pt idx="2">
                  <c:v>87.27</c:v>
                </c:pt>
                <c:pt idx="3">
                  <c:v>107.43</c:v>
                </c:pt>
                <c:pt idx="4">
                  <c:v>27.41</c:v>
                </c:pt>
                <c:pt idx="5">
                  <c:v>79.39</c:v>
                </c:pt>
                <c:pt idx="6">
                  <c:v>219</c:v>
                </c:pt>
                <c:pt idx="7">
                  <c:v>74.95</c:v>
                </c:pt>
                <c:pt idx="8">
                  <c:v>75.95</c:v>
                </c:pt>
                <c:pt idx="9">
                  <c:v>77.03</c:v>
                </c:pt>
                <c:pt idx="10">
                  <c:v>93.07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5C-446E-8298-388376136280}"/>
            </c:ext>
          </c:extLst>
        </c:ser>
        <c:ser>
          <c:idx val="2"/>
          <c:order val="4"/>
          <c:tx>
            <c:strRef>
              <c:f>RRB_PA_HC!$F$342</c:f>
              <c:strCache>
                <c:ptCount val="1"/>
                <c:pt idx="0">
                  <c:v>2 / A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[1]GUE_all!$L$6:$L$16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RRB_PA_HC!$F$356:$F$366</c:f>
              <c:numCache>
                <c:formatCode>0.00</c:formatCode>
                <c:ptCount val="11"/>
                <c:pt idx="0">
                  <c:v>2197.4699999999998</c:v>
                </c:pt>
                <c:pt idx="1">
                  <c:v>2783.46</c:v>
                </c:pt>
                <c:pt idx="2">
                  <c:v>3775.53</c:v>
                </c:pt>
                <c:pt idx="3">
                  <c:v>3521.34</c:v>
                </c:pt>
                <c:pt idx="4">
                  <c:v>4648.66</c:v>
                </c:pt>
                <c:pt idx="5">
                  <c:v>3914.98</c:v>
                </c:pt>
                <c:pt idx="6">
                  <c:v>4304.01</c:v>
                </c:pt>
                <c:pt idx="7">
                  <c:v>4314.8</c:v>
                </c:pt>
                <c:pt idx="8">
                  <c:v>4670.72</c:v>
                </c:pt>
                <c:pt idx="9">
                  <c:v>4084.66</c:v>
                </c:pt>
                <c:pt idx="10">
                  <c:v>4246.3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5C-446E-8298-388376136280}"/>
            </c:ext>
          </c:extLst>
        </c:ser>
        <c:ser>
          <c:idx val="0"/>
          <c:order val="5"/>
          <c:tx>
            <c:strRef>
              <c:f>RRB_PA_HC!$K$342</c:f>
              <c:strCache>
                <c:ptCount val="1"/>
                <c:pt idx="0">
                  <c:v>2 / A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RRB_PA_HC!$K$382:$K$392</c:f>
                <c:numCache>
                  <c:formatCode>General</c:formatCode>
                  <c:ptCount val="11"/>
                  <c:pt idx="0">
                    <c:v>737.58525222345452</c:v>
                  </c:pt>
                  <c:pt idx="1">
                    <c:v>553.40850124415795</c:v>
                  </c:pt>
                  <c:pt idx="2">
                    <c:v>234.07537243115291</c:v>
                  </c:pt>
                  <c:pt idx="3">
                    <c:v>755.75065683808407</c:v>
                  </c:pt>
                  <c:pt idx="4">
                    <c:v>189.20176810800393</c:v>
                  </c:pt>
                  <c:pt idx="5">
                    <c:v>1085.6565160895836</c:v>
                  </c:pt>
                  <c:pt idx="6">
                    <c:v>227.41032130676683</c:v>
                  </c:pt>
                  <c:pt idx="7">
                    <c:v>946.75577907938919</c:v>
                  </c:pt>
                  <c:pt idx="8">
                    <c:v>261.53447787766129</c:v>
                  </c:pt>
                  <c:pt idx="9">
                    <c:v>165.72611742472668</c:v>
                  </c:pt>
                  <c:pt idx="10">
                    <c:v>178.19864856037805</c:v>
                  </c:pt>
                </c:numCache>
              </c:numRef>
            </c:plus>
            <c:minus>
              <c:numRef>
                <c:f>RRB_PA_HC!$K$382:$K$392</c:f>
                <c:numCache>
                  <c:formatCode>General</c:formatCode>
                  <c:ptCount val="11"/>
                  <c:pt idx="0">
                    <c:v>737.58525222345452</c:v>
                  </c:pt>
                  <c:pt idx="1">
                    <c:v>553.40850124415795</c:v>
                  </c:pt>
                  <c:pt idx="2">
                    <c:v>234.07537243115291</c:v>
                  </c:pt>
                  <c:pt idx="3">
                    <c:v>755.75065683808407</c:v>
                  </c:pt>
                  <c:pt idx="4">
                    <c:v>189.20176810800393</c:v>
                  </c:pt>
                  <c:pt idx="5">
                    <c:v>1085.6565160895836</c:v>
                  </c:pt>
                  <c:pt idx="6">
                    <c:v>227.41032130676683</c:v>
                  </c:pt>
                  <c:pt idx="7">
                    <c:v>946.75577907938919</c:v>
                  </c:pt>
                  <c:pt idx="8">
                    <c:v>261.53447787766129</c:v>
                  </c:pt>
                  <c:pt idx="9">
                    <c:v>165.72611742472668</c:v>
                  </c:pt>
                  <c:pt idx="10">
                    <c:v>178.19864856037805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RRB_PA_HC!$K$356:$K$366</c:f>
              <c:numCache>
                <c:formatCode>0.00</c:formatCode>
                <c:ptCount val="11"/>
                <c:pt idx="0">
                  <c:v>2088</c:v>
                </c:pt>
                <c:pt idx="1">
                  <c:v>2579.71</c:v>
                </c:pt>
                <c:pt idx="2">
                  <c:v>3437.84</c:v>
                </c:pt>
                <c:pt idx="3">
                  <c:v>3318.4</c:v>
                </c:pt>
                <c:pt idx="4">
                  <c:v>4390.18</c:v>
                </c:pt>
                <c:pt idx="5">
                  <c:v>3692.7</c:v>
                </c:pt>
                <c:pt idx="6">
                  <c:v>4120.62</c:v>
                </c:pt>
                <c:pt idx="7">
                  <c:v>4107.25</c:v>
                </c:pt>
                <c:pt idx="8">
                  <c:v>4426.97</c:v>
                </c:pt>
                <c:pt idx="9">
                  <c:v>3908.06</c:v>
                </c:pt>
                <c:pt idx="10">
                  <c:v>4029.74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5C-446E-8298-388376136280}"/>
            </c:ext>
          </c:extLst>
        </c:ser>
        <c:ser>
          <c:idx val="7"/>
          <c:order val="6"/>
          <c:tx>
            <c:strRef>
              <c:f>RRB_PA_HC!$G$342</c:f>
              <c:strCache>
                <c:ptCount val="1"/>
                <c:pt idx="0">
                  <c:v>3 / F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RRB_PA_HC!$G$356:$G$366</c:f>
              <c:numCache>
                <c:formatCode>0.00</c:formatCode>
                <c:ptCount val="11"/>
                <c:pt idx="0">
                  <c:v>11950.63</c:v>
                </c:pt>
                <c:pt idx="1">
                  <c:v>11073.03</c:v>
                </c:pt>
                <c:pt idx="2">
                  <c:v>15273.21</c:v>
                </c:pt>
                <c:pt idx="3">
                  <c:v>12421.18</c:v>
                </c:pt>
                <c:pt idx="4">
                  <c:v>15621.17</c:v>
                </c:pt>
                <c:pt idx="5">
                  <c:v>13302.74</c:v>
                </c:pt>
                <c:pt idx="6">
                  <c:v>15142.55</c:v>
                </c:pt>
                <c:pt idx="7">
                  <c:v>12170.84</c:v>
                </c:pt>
                <c:pt idx="8">
                  <c:v>15142.55</c:v>
                </c:pt>
                <c:pt idx="9">
                  <c:v>15998.6</c:v>
                </c:pt>
                <c:pt idx="10">
                  <c:v>15462.81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5C-446E-8298-388376136280}"/>
            </c:ext>
          </c:extLst>
        </c:ser>
        <c:ser>
          <c:idx val="8"/>
          <c:order val="7"/>
          <c:tx>
            <c:strRef>
              <c:f>RRB_PA_HC!$L$342</c:f>
              <c:strCache>
                <c:ptCount val="1"/>
                <c:pt idx="0">
                  <c:v>3 / F (HC)</c:v>
                </c:pt>
              </c:strCache>
            </c:strRef>
          </c:tx>
          <c:spPr>
            <a:solidFill>
              <a:srgbClr val="14972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RRB_PA_HC!$L$382:$L$392</c:f>
                <c:numCache>
                  <c:formatCode>General</c:formatCode>
                  <c:ptCount val="11"/>
                  <c:pt idx="0">
                    <c:v>4011.2531423769988</c:v>
                  </c:pt>
                  <c:pt idx="1">
                    <c:v>2201.5437392783074</c:v>
                  </c:pt>
                  <c:pt idx="2">
                    <c:v>946.90873042174417</c:v>
                  </c:pt>
                  <c:pt idx="3">
                    <c:v>2665.836000983737</c:v>
                  </c:pt>
                  <c:pt idx="4">
                    <c:v>635.78600799277797</c:v>
                  </c:pt>
                  <c:pt idx="5">
                    <c:v>3688.9604449692079</c:v>
                  </c:pt>
                  <c:pt idx="6">
                    <c:v>800.08460967883013</c:v>
                  </c:pt>
                  <c:pt idx="7">
                    <c:v>2670.5323783838398</c:v>
                  </c:pt>
                  <c:pt idx="8">
                    <c:v>847.89901942021356</c:v>
                  </c:pt>
                  <c:pt idx="9">
                    <c:v>649.1080927742413</c:v>
                  </c:pt>
                  <c:pt idx="10">
                    <c:v>648.9065409758847</c:v>
                  </c:pt>
                </c:numCache>
              </c:numRef>
            </c:plus>
            <c:minus>
              <c:numRef>
                <c:f>RRB_PA_HC!$L$382:$L$392</c:f>
                <c:numCache>
                  <c:formatCode>General</c:formatCode>
                  <c:ptCount val="11"/>
                  <c:pt idx="0">
                    <c:v>4011.2531423769988</c:v>
                  </c:pt>
                  <c:pt idx="1">
                    <c:v>2201.5437392783074</c:v>
                  </c:pt>
                  <c:pt idx="2">
                    <c:v>946.90873042174417</c:v>
                  </c:pt>
                  <c:pt idx="3">
                    <c:v>2665.836000983737</c:v>
                  </c:pt>
                  <c:pt idx="4">
                    <c:v>635.78600799277797</c:v>
                  </c:pt>
                  <c:pt idx="5">
                    <c:v>3688.9604449692079</c:v>
                  </c:pt>
                  <c:pt idx="6">
                    <c:v>800.08460967883013</c:v>
                  </c:pt>
                  <c:pt idx="7">
                    <c:v>2670.5323783838398</c:v>
                  </c:pt>
                  <c:pt idx="8">
                    <c:v>847.89901942021356</c:v>
                  </c:pt>
                  <c:pt idx="9">
                    <c:v>649.1080927742413</c:v>
                  </c:pt>
                  <c:pt idx="10">
                    <c:v>648.9065409758847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RRB_PA_HC!$L$356:$L$366</c:f>
              <c:numCache>
                <c:formatCode>0.00</c:formatCode>
                <c:ptCount val="11"/>
                <c:pt idx="0">
                  <c:v>11660.23</c:v>
                </c:pt>
                <c:pt idx="1">
                  <c:v>10568.53</c:v>
                </c:pt>
                <c:pt idx="2">
                  <c:v>14634.16</c:v>
                </c:pt>
                <c:pt idx="3">
                  <c:v>11975.53</c:v>
                </c:pt>
                <c:pt idx="4">
                  <c:v>15268.44</c:v>
                </c:pt>
                <c:pt idx="5">
                  <c:v>13040.43</c:v>
                </c:pt>
                <c:pt idx="6">
                  <c:v>14769.71</c:v>
                </c:pt>
                <c:pt idx="7">
                  <c:v>11799.46</c:v>
                </c:pt>
                <c:pt idx="8">
                  <c:v>14725.58</c:v>
                </c:pt>
                <c:pt idx="9">
                  <c:v>15568.88</c:v>
                </c:pt>
                <c:pt idx="10">
                  <c:v>15059.21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5C-446E-8298-388376136280}"/>
            </c:ext>
          </c:extLst>
        </c:ser>
        <c:ser>
          <c:idx val="9"/>
          <c:order val="8"/>
          <c:tx>
            <c:strRef>
              <c:f>RRB_PA_HC!$H$342</c:f>
              <c:strCache>
                <c:ptCount val="1"/>
                <c:pt idx="0">
                  <c:v>4 / S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RRB_PA_HC!$H$356:$H$366</c:f>
              <c:numCache>
                <c:formatCode>0.00</c:formatCode>
                <c:ptCount val="11"/>
                <c:pt idx="0">
                  <c:v>4637.07</c:v>
                </c:pt>
                <c:pt idx="1">
                  <c:v>6786.42</c:v>
                </c:pt>
                <c:pt idx="2">
                  <c:v>5004.7299999999996</c:v>
                </c:pt>
                <c:pt idx="3">
                  <c:v>4929.2</c:v>
                </c:pt>
                <c:pt idx="4">
                  <c:v>4124.59</c:v>
                </c:pt>
                <c:pt idx="5">
                  <c:v>2352.77</c:v>
                </c:pt>
                <c:pt idx="6">
                  <c:v>4340.32</c:v>
                </c:pt>
                <c:pt idx="7">
                  <c:v>4196.13</c:v>
                </c:pt>
                <c:pt idx="8">
                  <c:v>4237.1000000000004</c:v>
                </c:pt>
                <c:pt idx="9">
                  <c:v>4255.21</c:v>
                </c:pt>
                <c:pt idx="10">
                  <c:v>4574.74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5C-446E-8298-388376136280}"/>
            </c:ext>
          </c:extLst>
        </c:ser>
        <c:ser>
          <c:idx val="10"/>
          <c:order val="9"/>
          <c:tx>
            <c:strRef>
              <c:f>RRB_PA_HC!$M$342</c:f>
              <c:strCache>
                <c:ptCount val="1"/>
                <c:pt idx="0">
                  <c:v>4 / S (HC)</c:v>
                </c:pt>
              </c:strCache>
            </c:strRef>
          </c:tx>
          <c:spPr>
            <a:solidFill>
              <a:srgbClr val="AD8D06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RRB_PA_HC!$M$382:$M$392</c:f>
                <c:numCache>
                  <c:formatCode>General</c:formatCode>
                  <c:ptCount val="11"/>
                  <c:pt idx="0">
                    <c:v>1556.4419289127109</c:v>
                  </c:pt>
                  <c:pt idx="1">
                    <c:v>1349.2784236214561</c:v>
                  </c:pt>
                  <c:pt idx="2">
                    <c:v>310.28333470197919</c:v>
                  </c:pt>
                  <c:pt idx="3">
                    <c:v>1057.9058363254567</c:v>
                  </c:pt>
                  <c:pt idx="4">
                    <c:v>167.87197186298673</c:v>
                  </c:pt>
                  <c:pt idx="5">
                    <c:v>652.44268970980431</c:v>
                  </c:pt>
                  <c:pt idx="6">
                    <c:v>229.32882725044459</c:v>
                  </c:pt>
                  <c:pt idx="7">
                    <c:v>920.71714268758626</c:v>
                  </c:pt>
                  <c:pt idx="8">
                    <c:v>237.25415700693659</c:v>
                  </c:pt>
                  <c:pt idx="9">
                    <c:v>172.64580947419645</c:v>
                  </c:pt>
                  <c:pt idx="10">
                    <c:v>191.9818396050924</c:v>
                  </c:pt>
                </c:numCache>
              </c:numRef>
            </c:plus>
            <c:minus>
              <c:numRef>
                <c:f>RRB_PA_HC!$M$382:$M$392</c:f>
                <c:numCache>
                  <c:formatCode>General</c:formatCode>
                  <c:ptCount val="11"/>
                  <c:pt idx="0">
                    <c:v>1556.4419289127109</c:v>
                  </c:pt>
                  <c:pt idx="1">
                    <c:v>1349.2784236214561</c:v>
                  </c:pt>
                  <c:pt idx="2">
                    <c:v>310.28333470197919</c:v>
                  </c:pt>
                  <c:pt idx="3">
                    <c:v>1057.9058363254567</c:v>
                  </c:pt>
                  <c:pt idx="4">
                    <c:v>167.87197186298673</c:v>
                  </c:pt>
                  <c:pt idx="5">
                    <c:v>652.44268970980431</c:v>
                  </c:pt>
                  <c:pt idx="6">
                    <c:v>229.32882725044459</c:v>
                  </c:pt>
                  <c:pt idx="7">
                    <c:v>920.71714268758626</c:v>
                  </c:pt>
                  <c:pt idx="8">
                    <c:v>237.25415700693659</c:v>
                  </c:pt>
                  <c:pt idx="9">
                    <c:v>172.64580947419645</c:v>
                  </c:pt>
                  <c:pt idx="10">
                    <c:v>191.9818396050924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RRB_PA_HC!$M$356:$M$366</c:f>
              <c:numCache>
                <c:formatCode>0.00</c:formatCode>
                <c:ptCount val="11"/>
                <c:pt idx="0">
                  <c:v>4470.03</c:v>
                </c:pt>
                <c:pt idx="1">
                  <c:v>6422.72</c:v>
                </c:pt>
                <c:pt idx="2">
                  <c:v>4651.9799999999996</c:v>
                </c:pt>
                <c:pt idx="3">
                  <c:v>4617.2299999999996</c:v>
                </c:pt>
                <c:pt idx="4">
                  <c:v>3888.07</c:v>
                </c:pt>
                <c:pt idx="5">
                  <c:v>2201.87</c:v>
                </c:pt>
                <c:pt idx="6">
                  <c:v>4162.46</c:v>
                </c:pt>
                <c:pt idx="7">
                  <c:v>4016.78</c:v>
                </c:pt>
                <c:pt idx="8">
                  <c:v>4007.24</c:v>
                </c:pt>
                <c:pt idx="9">
                  <c:v>4027.58</c:v>
                </c:pt>
                <c:pt idx="10">
                  <c:v>4317.68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5C-446E-8298-388376136280}"/>
            </c:ext>
          </c:extLst>
        </c:ser>
        <c:ser>
          <c:idx val="5"/>
          <c:order val="10"/>
          <c:tx>
            <c:strRef>
              <c:f>RRB_PA_HC!$I$5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(RRB_PA_HC!$I$7,RRB_PA_HC!$I$32,RRB_PA_HC!$I$57,RRB_PA_HC!$I$82,RRB_PA_HC!$I$107,RRB_PA_HC!$I$132,RRB_PA_HC!$I$157,RRB_PA_HC!$I$182,RRB_PA_HC!$I$207,RRB_PA_HC!$I$232,RRB_PA_HC!$I$257)</c:f>
              <c:numCache>
                <c:formatCode>0.00</c:formatCode>
                <c:ptCount val="11"/>
                <c:pt idx="0">
                  <c:v>5785.4700000000012</c:v>
                </c:pt>
                <c:pt idx="1">
                  <c:v>3163.0399999999972</c:v>
                </c:pt>
                <c:pt idx="2">
                  <c:v>108.71000000000276</c:v>
                </c:pt>
                <c:pt idx="3">
                  <c:v>3530.7799999999988</c:v>
                </c:pt>
                <c:pt idx="4">
                  <c:v>108.70000000000073</c:v>
                </c:pt>
                <c:pt idx="5">
                  <c:v>4835.9199999999983</c:v>
                </c:pt>
                <c:pt idx="6">
                  <c:v>428.42000000000189</c:v>
                </c:pt>
                <c:pt idx="7">
                  <c:v>3776.8299999999981</c:v>
                </c:pt>
                <c:pt idx="8">
                  <c:v>406.57999999999811</c:v>
                </c:pt>
                <c:pt idx="9">
                  <c:v>108.15999999999985</c:v>
                </c:pt>
                <c:pt idx="10">
                  <c:v>108.15999999999985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45C-446E-8298-388376136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ACB_B Agriculture-Grass HC Area</a:t>
            </a:r>
          </a:p>
          <a:p>
            <a:pPr>
              <a:defRPr/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(Equivalent 10m Geom. Res.)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RRB_PA_HC!$U$316:$U$323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1.8404144567011785E-2</c:v>
                  </c:pt>
                  <c:pt idx="2">
                    <c:v>0.20636270909666807</c:v>
                  </c:pt>
                  <c:pt idx="3">
                    <c:v>1.9173109523139695E-2</c:v>
                  </c:pt>
                  <c:pt idx="4">
                    <c:v>1.7847363268253487E-2</c:v>
                  </c:pt>
                  <c:pt idx="5">
                    <c:v>2.9941120898915159E-2</c:v>
                  </c:pt>
                  <c:pt idx="6">
                    <c:v>2.7559642503298599E-2</c:v>
                  </c:pt>
                  <c:pt idx="7">
                    <c:v>2.457320960620616E-2</c:v>
                  </c:pt>
                </c:numCache>
              </c:numRef>
            </c:plus>
            <c:minus>
              <c:numRef>
                <c:f>RRB_PA_HC!$U$316:$U$323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1.8404144567011785E-2</c:v>
                  </c:pt>
                  <c:pt idx="2">
                    <c:v>0.20636270909666807</c:v>
                  </c:pt>
                  <c:pt idx="3">
                    <c:v>1.9173109523139695E-2</c:v>
                  </c:pt>
                  <c:pt idx="4">
                    <c:v>1.7847363268253487E-2</c:v>
                  </c:pt>
                  <c:pt idx="5">
                    <c:v>2.9941120898915159E-2</c:v>
                  </c:pt>
                  <c:pt idx="6">
                    <c:v>2.7559642503298599E-2</c:v>
                  </c:pt>
                  <c:pt idx="7">
                    <c:v>2.457320960620616E-2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RRB_PA_HC!$T$305:$T$312</c:f>
              <c:strCache>
                <c:ptCount val="8"/>
                <c:pt idx="0">
                  <c:v>1977(M)</c:v>
                </c:pt>
                <c:pt idx="1">
                  <c:v>1988(M)</c:v>
                </c:pt>
                <c:pt idx="2">
                  <c:v>1991(M)</c:v>
                </c:pt>
                <c:pt idx="3">
                  <c:v>2001(M)</c:v>
                </c:pt>
                <c:pt idx="4">
                  <c:v>2011(M)</c:v>
                </c:pt>
                <c:pt idx="5">
                  <c:v>2015(M)</c:v>
                </c:pt>
                <c:pt idx="6">
                  <c:v> 2019M</c:v>
                </c:pt>
                <c:pt idx="7">
                  <c:v>2024M</c:v>
                </c:pt>
              </c:strCache>
            </c:strRef>
          </c:cat>
          <c:val>
            <c:numRef>
              <c:f>RRB_PA_HC!$U$305:$U$312</c:f>
              <c:numCache>
                <c:formatCode>0.00%</c:formatCode>
                <c:ptCount val="8"/>
                <c:pt idx="0">
                  <c:v>0</c:v>
                </c:pt>
                <c:pt idx="1">
                  <c:v>0.69845753018343226</c:v>
                </c:pt>
                <c:pt idx="2">
                  <c:v>0.637931086732478</c:v>
                </c:pt>
                <c:pt idx="3">
                  <c:v>0.76043415796575287</c:v>
                </c:pt>
                <c:pt idx="4">
                  <c:v>0.72556722606764046</c:v>
                </c:pt>
                <c:pt idx="5">
                  <c:v>0.68872504309749438</c:v>
                </c:pt>
                <c:pt idx="6">
                  <c:v>0.75665867806857479</c:v>
                </c:pt>
                <c:pt idx="7">
                  <c:v>0.79184482148206647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6-4EC7-B9C9-E27F0F52E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806960"/>
        <c:axId val="802808720"/>
      </c:barChart>
      <c:catAx>
        <c:axId val="8028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8720"/>
        <c:crosses val="autoZero"/>
        <c:auto val="1"/>
        <c:lblAlgn val="ctr"/>
        <c:lblOffset val="100"/>
        <c:noMultiLvlLbl val="0"/>
      </c:catAx>
      <c:valAx>
        <c:axId val="802808720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ACB_B Agriculture-Grass HC Area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RRB_PA_HC!$Q$316:$Q$325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1.8404144567011785E-2</c:v>
                  </c:pt>
                  <c:pt idx="2">
                    <c:v>2.0598552674476779E-2</c:v>
                  </c:pt>
                  <c:pt idx="3">
                    <c:v>0.20636270909666807</c:v>
                  </c:pt>
                  <c:pt idx="4">
                    <c:v>1.9173109523139695E-2</c:v>
                  </c:pt>
                  <c:pt idx="5">
                    <c:v>1.7847363268253487E-2</c:v>
                  </c:pt>
                  <c:pt idx="6">
                    <c:v>2.9941120898915159E-2</c:v>
                  </c:pt>
                  <c:pt idx="7">
                    <c:v>2.2646451338201416E-2</c:v>
                  </c:pt>
                  <c:pt idx="8">
                    <c:v>2.7559642503298599E-2</c:v>
                  </c:pt>
                  <c:pt idx="9">
                    <c:v>2.457320960620616E-2</c:v>
                  </c:pt>
                </c:numCache>
              </c:numRef>
            </c:plus>
            <c:minus>
              <c:numRef>
                <c:f>RRB_PA_HC!$Q$316:$Q$325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1.8404144567011785E-2</c:v>
                  </c:pt>
                  <c:pt idx="2">
                    <c:v>2.0598552674476779E-2</c:v>
                  </c:pt>
                  <c:pt idx="3">
                    <c:v>0.20636270909666807</c:v>
                  </c:pt>
                  <c:pt idx="4">
                    <c:v>1.9173109523139695E-2</c:v>
                  </c:pt>
                  <c:pt idx="5">
                    <c:v>1.7847363268253487E-2</c:v>
                  </c:pt>
                  <c:pt idx="6">
                    <c:v>2.9941120898915159E-2</c:v>
                  </c:pt>
                  <c:pt idx="7">
                    <c:v>2.2646451338201416E-2</c:v>
                  </c:pt>
                  <c:pt idx="8">
                    <c:v>2.7559642503298599E-2</c:v>
                  </c:pt>
                  <c:pt idx="9">
                    <c:v>2.457320960620616E-2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RRB_PA_HC!$P$305:$P$314</c:f>
              <c:strCache>
                <c:ptCount val="10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2011E</c:v>
                </c:pt>
                <c:pt idx="6">
                  <c:v>2015O</c:v>
                </c:pt>
                <c:pt idx="7">
                  <c:v> 2019O</c:v>
                </c:pt>
                <c:pt idx="8">
                  <c:v> 2019M</c:v>
                </c:pt>
                <c:pt idx="9">
                  <c:v>2024M</c:v>
                </c:pt>
              </c:strCache>
            </c:strRef>
          </c:cat>
          <c:val>
            <c:numRef>
              <c:f>RRB_PA_HC!$Q$305:$Q$314</c:f>
              <c:numCache>
                <c:formatCode>0.00%</c:formatCode>
                <c:ptCount val="10"/>
                <c:pt idx="0">
                  <c:v>0</c:v>
                </c:pt>
                <c:pt idx="1">
                  <c:v>0.75538549524769194</c:v>
                </c:pt>
                <c:pt idx="2">
                  <c:v>0.76077099049538388</c:v>
                </c:pt>
                <c:pt idx="3">
                  <c:v>0.69484463084506654</c:v>
                </c:pt>
                <c:pt idx="4">
                  <c:v>0.8282769138593099</c:v>
                </c:pt>
                <c:pt idx="5">
                  <c:v>0.7902993000898717</c:v>
                </c:pt>
                <c:pt idx="6">
                  <c:v>0.75017021160706987</c:v>
                </c:pt>
                <c:pt idx="7">
                  <c:v>0.82416460143250092</c:v>
                </c:pt>
                <c:pt idx="8">
                  <c:v>0.75665867806857479</c:v>
                </c:pt>
                <c:pt idx="9">
                  <c:v>0.79184482148206647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2-4603-9D8B-8DED40264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806960"/>
        <c:axId val="802808720"/>
      </c:barChart>
      <c:catAx>
        <c:axId val="8028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8720"/>
        <c:crosses val="autoZero"/>
        <c:auto val="1"/>
        <c:lblAlgn val="ctr"/>
        <c:lblOffset val="100"/>
        <c:noMultiLvlLbl val="0"/>
      </c:catAx>
      <c:valAx>
        <c:axId val="80280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ACB_B PA Mode Class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RRB_PA_HC!$Q$342</c:f>
              <c:strCache>
                <c:ptCount val="1"/>
                <c:pt idx="0">
                  <c:v>0 / W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RRB_PA_HC!$Q$343:$Q$353</c:f>
              <c:numCache>
                <c:formatCode>0.0000</c:formatCode>
                <c:ptCount val="11"/>
                <c:pt idx="0">
                  <c:v>0</c:v>
                </c:pt>
                <c:pt idx="1">
                  <c:v>1.6884991421335003E-3</c:v>
                </c:pt>
                <c:pt idx="2">
                  <c:v>7.4212260682480461E-4</c:v>
                </c:pt>
                <c:pt idx="3">
                  <c:v>4.0850785696778234E-4</c:v>
                </c:pt>
                <c:pt idx="4">
                  <c:v>6.059533211688772E-4</c:v>
                </c:pt>
                <c:pt idx="5">
                  <c:v>1.0757373566818269E-3</c:v>
                </c:pt>
                <c:pt idx="6">
                  <c:v>4.0169939268498597E-4</c:v>
                </c:pt>
                <c:pt idx="7">
                  <c:v>5.3786867834091344E-4</c:v>
                </c:pt>
                <c:pt idx="8">
                  <c:v>1.4025436422560528E-3</c:v>
                </c:pt>
                <c:pt idx="9">
                  <c:v>0</c:v>
                </c:pt>
                <c:pt idx="10">
                  <c:v>4.0850785696778231E-5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B3-48A5-9106-FB6C6F068E07}"/>
            </c:ext>
          </c:extLst>
        </c:ser>
        <c:ser>
          <c:idx val="3"/>
          <c:order val="1"/>
          <c:tx>
            <c:strRef>
              <c:f>RRB_PA_HC!$V$342</c:f>
              <c:strCache>
                <c:ptCount val="1"/>
                <c:pt idx="0">
                  <c:v>0 / W (HC)</c:v>
                </c:pt>
              </c:strCache>
            </c:strRef>
          </c:tx>
          <c:spPr>
            <a:solidFill>
              <a:srgbClr val="1F9DFF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RRB_PA_HC!$V$369:$V$379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4.0652218682867275E-5</c:v>
                  </c:pt>
                  <c:pt idx="2">
                    <c:v>1.9824313212587033E-5</c:v>
                  </c:pt>
                  <c:pt idx="3">
                    <c:v>1.2033278791984219E-4</c:v>
                  </c:pt>
                  <c:pt idx="4">
                    <c:v>1.3895141504156418E-5</c:v>
                  </c:pt>
                  <c:pt idx="5">
                    <c:v>3.2729746089342967E-5</c:v>
                  </c:pt>
                  <c:pt idx="6">
                    <c:v>8.9833677384227024E-6</c:v>
                  </c:pt>
                  <c:pt idx="7">
                    <c:v>2.105170525738301E-5</c:v>
                  </c:pt>
                  <c:pt idx="8">
                    <c:v>3.805101812899759E-5</c:v>
                  </c:pt>
                  <c:pt idx="9">
                    <c:v>0</c:v>
                  </c:pt>
                  <c:pt idx="10">
                    <c:v>1.2495593606166208E-6</c:v>
                  </c:pt>
                </c:numCache>
              </c:numRef>
            </c:plus>
            <c:minus>
              <c:numRef>
                <c:f>RRB_PA_HC!$V$369:$V$379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4.0652218682867275E-5</c:v>
                  </c:pt>
                  <c:pt idx="2">
                    <c:v>1.9824313212587033E-5</c:v>
                  </c:pt>
                  <c:pt idx="3">
                    <c:v>1.2033278791984219E-4</c:v>
                  </c:pt>
                  <c:pt idx="4">
                    <c:v>1.3895141504156418E-5</c:v>
                  </c:pt>
                  <c:pt idx="5">
                    <c:v>3.2729746089342967E-5</c:v>
                  </c:pt>
                  <c:pt idx="6">
                    <c:v>8.9833677384227024E-6</c:v>
                  </c:pt>
                  <c:pt idx="7">
                    <c:v>2.105170525738301E-5</c:v>
                  </c:pt>
                  <c:pt idx="8">
                    <c:v>3.805101812899759E-5</c:v>
                  </c:pt>
                  <c:pt idx="9">
                    <c:v>0</c:v>
                  </c:pt>
                  <c:pt idx="10">
                    <c:v>1.2495593606166208E-6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RRB_PA_HC!$V$343:$V$353</c:f>
              <c:numCache>
                <c:formatCode>0.0000</c:formatCode>
                <c:ptCount val="11"/>
                <c:pt idx="0">
                  <c:v>0</c:v>
                </c:pt>
                <c:pt idx="1">
                  <c:v>1.1233966066614015E-3</c:v>
                </c:pt>
                <c:pt idx="2">
                  <c:v>7.4212260682480461E-4</c:v>
                </c:pt>
                <c:pt idx="3">
                  <c:v>3.47231678422615E-4</c:v>
                </c:pt>
                <c:pt idx="4">
                  <c:v>5.4467714262370986E-4</c:v>
                </c:pt>
                <c:pt idx="5">
                  <c:v>1.0757373566818269E-3</c:v>
                </c:pt>
                <c:pt idx="6">
                  <c:v>3.47231678422615E-4</c:v>
                </c:pt>
                <c:pt idx="7">
                  <c:v>5.3786867834091344E-4</c:v>
                </c:pt>
                <c:pt idx="8">
                  <c:v>1.3412674637108854E-3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B3-48A5-9106-FB6C6F068E07}"/>
            </c:ext>
          </c:extLst>
        </c:ser>
        <c:ser>
          <c:idx val="4"/>
          <c:order val="2"/>
          <c:tx>
            <c:strRef>
              <c:f>RRB_PA_HC!$R$342</c:f>
              <c:strCache>
                <c:ptCount val="1"/>
                <c:pt idx="0">
                  <c:v>1 / B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RRB_PA_HC!$R$343:$R$353</c:f>
              <c:numCache>
                <c:formatCode>0.0000</c:formatCode>
                <c:ptCount val="11"/>
                <c:pt idx="0">
                  <c:v>0</c:v>
                </c:pt>
                <c:pt idx="1">
                  <c:v>2.9344481058852364E-3</c:v>
                </c:pt>
                <c:pt idx="2">
                  <c:v>8.5173888177782625E-3</c:v>
                </c:pt>
                <c:pt idx="3">
                  <c:v>2.011901195566328E-2</c:v>
                </c:pt>
                <c:pt idx="4">
                  <c:v>1.435905117241755E-2</c:v>
                </c:pt>
                <c:pt idx="5">
                  <c:v>9.8518478172063516E-3</c:v>
                </c:pt>
                <c:pt idx="6">
                  <c:v>9.5250415316321252E-3</c:v>
                </c:pt>
                <c:pt idx="7">
                  <c:v>2.8193850595059775E-2</c:v>
                </c:pt>
                <c:pt idx="8">
                  <c:v>1.0022059424276262E-2</c:v>
                </c:pt>
                <c:pt idx="9">
                  <c:v>8.4493041749502985E-3</c:v>
                </c:pt>
                <c:pt idx="10">
                  <c:v>1.2922465208747515E-2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B3-48A5-9106-FB6C6F068E07}"/>
            </c:ext>
          </c:extLst>
        </c:ser>
        <c:ser>
          <c:idx val="6"/>
          <c:order val="3"/>
          <c:tx>
            <c:strRef>
              <c:f>RRB_PA_HC!$W$342</c:f>
              <c:strCache>
                <c:ptCount val="1"/>
                <c:pt idx="0">
                  <c:v>1 / B (HC)</c:v>
                </c:pt>
              </c:strCache>
            </c:strRef>
          </c:tx>
          <c:spPr>
            <a:solidFill>
              <a:schemeClr val="accent1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RRB_PA_HC!$W$369:$W$379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7.0649621985144345E-5</c:v>
                  </c:pt>
                  <c:pt idx="2">
                    <c:v>2.2752491586189332E-4</c:v>
                  </c:pt>
                  <c:pt idx="3">
                    <c:v>5.9263898050522278E-3</c:v>
                  </c:pt>
                  <c:pt idx="4">
                    <c:v>3.2926801609287515E-4</c:v>
                  </c:pt>
                  <c:pt idx="5">
                    <c:v>2.9974647209670427E-4</c:v>
                  </c:pt>
                  <c:pt idx="6">
                    <c:v>2.13012397729718E-4</c:v>
                  </c:pt>
                  <c:pt idx="7">
                    <c:v>1.1034824236813043E-3</c:v>
                  </c:pt>
                  <c:pt idx="8">
                    <c:v>2.7189853731011873E-4</c:v>
                  </c:pt>
                  <c:pt idx="9">
                    <c:v>3.0201881217023187E-4</c:v>
                  </c:pt>
                  <c:pt idx="10">
                    <c:v>3.9527727774172434E-4</c:v>
                  </c:pt>
                </c:numCache>
              </c:numRef>
            </c:plus>
            <c:minus>
              <c:numRef>
                <c:f>RRB_PA_HC!$W$369:$W$379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7.0649621985144345E-5</c:v>
                  </c:pt>
                  <c:pt idx="2">
                    <c:v>2.2752491586189332E-4</c:v>
                  </c:pt>
                  <c:pt idx="3">
                    <c:v>5.9263898050522278E-3</c:v>
                  </c:pt>
                  <c:pt idx="4">
                    <c:v>3.2926801609287515E-4</c:v>
                  </c:pt>
                  <c:pt idx="5">
                    <c:v>2.9974647209670427E-4</c:v>
                  </c:pt>
                  <c:pt idx="6">
                    <c:v>2.13012397729718E-4</c:v>
                  </c:pt>
                  <c:pt idx="7">
                    <c:v>1.1034824236813043E-3</c:v>
                  </c:pt>
                  <c:pt idx="8">
                    <c:v>2.7189853731011873E-4</c:v>
                  </c:pt>
                  <c:pt idx="9">
                    <c:v>3.0201881217023187E-4</c:v>
                  </c:pt>
                  <c:pt idx="10">
                    <c:v>3.9527727774172434E-4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RRB_PA_HC!$W$343:$W$353</c:f>
              <c:numCache>
                <c:formatCode>0.0000</c:formatCode>
                <c:ptCount val="11"/>
                <c:pt idx="0">
                  <c:v>0</c:v>
                </c:pt>
                <c:pt idx="1">
                  <c:v>2.6893433917045671E-3</c:v>
                </c:pt>
                <c:pt idx="2">
                  <c:v>6.3386802472834231E-3</c:v>
                </c:pt>
                <c:pt idx="3">
                  <c:v>1.6748822135679076E-2</c:v>
                </c:pt>
                <c:pt idx="4">
                  <c:v>1.0076527138538632E-2</c:v>
                </c:pt>
                <c:pt idx="5">
                  <c:v>6.2501702116070697E-3</c:v>
                </c:pt>
                <c:pt idx="6">
                  <c:v>6.27059560445546E-3</c:v>
                </c:pt>
                <c:pt idx="7">
                  <c:v>1.976497181295787E-2</c:v>
                </c:pt>
                <c:pt idx="8">
                  <c:v>7.3531414254200825E-3</c:v>
                </c:pt>
                <c:pt idx="9">
                  <c:v>6.3522971758490157E-3</c:v>
                </c:pt>
                <c:pt idx="10">
                  <c:v>9.7361039243988139E-3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B3-48A5-9106-FB6C6F068E07}"/>
            </c:ext>
          </c:extLst>
        </c:ser>
        <c:ser>
          <c:idx val="2"/>
          <c:order val="4"/>
          <c:tx>
            <c:strRef>
              <c:f>RRB_PA_HC!$S$342</c:f>
              <c:strCache>
                <c:ptCount val="1"/>
                <c:pt idx="0">
                  <c:v>2 / A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[1]GUE_all!$L$6:$L$16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RRB_PA_HC!$S$343:$S$353</c:f>
              <c:numCache>
                <c:formatCode>0.0000</c:formatCode>
                <c:ptCount val="11"/>
                <c:pt idx="0">
                  <c:v>0</c:v>
                </c:pt>
                <c:pt idx="1">
                  <c:v>0.76442032735096277</c:v>
                </c:pt>
                <c:pt idx="2">
                  <c:v>0.77110623927666877</c:v>
                </c:pt>
                <c:pt idx="3">
                  <c:v>0.70056374084261552</c:v>
                </c:pt>
                <c:pt idx="4">
                  <c:v>0.83612026471309131</c:v>
                </c:pt>
                <c:pt idx="5">
                  <c:v>0.78012745445137388</c:v>
                </c:pt>
                <c:pt idx="6">
                  <c:v>0.79806094937225969</c:v>
                </c:pt>
                <c:pt idx="7">
                  <c:v>0.76499223835071761</c:v>
                </c:pt>
                <c:pt idx="8">
                  <c:v>0.83473814646368361</c:v>
                </c:pt>
                <c:pt idx="9">
                  <c:v>0.77101092077670963</c:v>
                </c:pt>
                <c:pt idx="10">
                  <c:v>0.80335112611999238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B3-48A5-9106-FB6C6F068E07}"/>
            </c:ext>
          </c:extLst>
        </c:ser>
        <c:ser>
          <c:idx val="0"/>
          <c:order val="5"/>
          <c:tx>
            <c:strRef>
              <c:f>RRB_PA_HC!$X$342</c:f>
              <c:strCache>
                <c:ptCount val="1"/>
                <c:pt idx="0">
                  <c:v>2 / A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RRB_PA_HC!$X$369:$X$379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1.8404144567011785E-2</c:v>
                  </c:pt>
                  <c:pt idx="2">
                    <c:v>2.0598552674476779E-2</c:v>
                  </c:pt>
                  <c:pt idx="3">
                    <c:v>0.20636270909666807</c:v>
                  </c:pt>
                  <c:pt idx="4">
                    <c:v>1.9173109523139695E-2</c:v>
                  </c:pt>
                  <c:pt idx="5">
                    <c:v>2.3735694724108202E-2</c:v>
                  </c:pt>
                  <c:pt idx="6">
                    <c:v>1.7847363268253487E-2</c:v>
                  </c:pt>
                  <c:pt idx="7">
                    <c:v>2.9941120898915159E-2</c:v>
                  </c:pt>
                  <c:pt idx="8">
                    <c:v>2.2646451338201416E-2</c:v>
                  </c:pt>
                  <c:pt idx="9">
                    <c:v>2.7559642503298599E-2</c:v>
                  </c:pt>
                  <c:pt idx="10">
                    <c:v>2.457320960620616E-2</c:v>
                  </c:pt>
                </c:numCache>
              </c:numRef>
            </c:plus>
            <c:minus>
              <c:numRef>
                <c:f>RRB_PA_HC!$X$369:$X$379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1.8404144567011785E-2</c:v>
                  </c:pt>
                  <c:pt idx="2">
                    <c:v>2.0598552674476779E-2</c:v>
                  </c:pt>
                  <c:pt idx="3">
                    <c:v>0.20636270909666807</c:v>
                  </c:pt>
                  <c:pt idx="4">
                    <c:v>1.9173109523139695E-2</c:v>
                  </c:pt>
                  <c:pt idx="5">
                    <c:v>2.3735694724108202E-2</c:v>
                  </c:pt>
                  <c:pt idx="6">
                    <c:v>1.7847363268253487E-2</c:v>
                  </c:pt>
                  <c:pt idx="7">
                    <c:v>2.9941120898915159E-2</c:v>
                  </c:pt>
                  <c:pt idx="8">
                    <c:v>2.2646451338201416E-2</c:v>
                  </c:pt>
                  <c:pt idx="9">
                    <c:v>2.7559642503298599E-2</c:v>
                  </c:pt>
                  <c:pt idx="10">
                    <c:v>2.457320960620616E-2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RRB_PA_HC!$X$343:$X$353</c:f>
              <c:numCache>
                <c:formatCode>0.0000</c:formatCode>
                <c:ptCount val="11"/>
                <c:pt idx="0">
                  <c:v>0</c:v>
                </c:pt>
                <c:pt idx="1">
                  <c:v>0.75538549524769194</c:v>
                </c:pt>
                <c:pt idx="2">
                  <c:v>0.76077099049538388</c:v>
                </c:pt>
                <c:pt idx="3">
                  <c:v>0.69484463084506654</c:v>
                </c:pt>
                <c:pt idx="4">
                  <c:v>0.8282769138593099</c:v>
                </c:pt>
                <c:pt idx="5">
                  <c:v>0.77154878945505057</c:v>
                </c:pt>
                <c:pt idx="6">
                  <c:v>0.7902993000898717</c:v>
                </c:pt>
                <c:pt idx="7">
                  <c:v>0.75017021160706987</c:v>
                </c:pt>
                <c:pt idx="8">
                  <c:v>0.82416460143250092</c:v>
                </c:pt>
                <c:pt idx="9">
                  <c:v>0.75665867806857479</c:v>
                </c:pt>
                <c:pt idx="10">
                  <c:v>0.79184482148206647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B3-48A5-9106-FB6C6F068E07}"/>
            </c:ext>
          </c:extLst>
        </c:ser>
        <c:ser>
          <c:idx val="7"/>
          <c:order val="6"/>
          <c:tx>
            <c:strRef>
              <c:f>RRB_PA_HC!$T$342</c:f>
              <c:strCache>
                <c:ptCount val="1"/>
                <c:pt idx="0">
                  <c:v>3 / F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RRB_PA_HC!$T$343:$T$353</c:f>
              <c:numCache>
                <c:formatCode>0.0000</c:formatCode>
                <c:ptCount val="11"/>
                <c:pt idx="0">
                  <c:v>0</c:v>
                </c:pt>
                <c:pt idx="1">
                  <c:v>0.16750183828535636</c:v>
                </c:pt>
                <c:pt idx="2">
                  <c:v>0.19765652659386149</c:v>
                </c:pt>
                <c:pt idx="3">
                  <c:v>4.5705220730412048E-2</c:v>
                </c:pt>
                <c:pt idx="4">
                  <c:v>0.13282632969307442</c:v>
                </c:pt>
                <c:pt idx="5">
                  <c:v>0.18338598545712032</c:v>
                </c:pt>
                <c:pt idx="6">
                  <c:v>0.17774176856668211</c:v>
                </c:pt>
                <c:pt idx="7">
                  <c:v>0.18032217652986193</c:v>
                </c:pt>
                <c:pt idx="8">
                  <c:v>0.11588687055747707</c:v>
                </c:pt>
                <c:pt idx="9">
                  <c:v>0.19920204798605626</c:v>
                </c:pt>
                <c:pt idx="10">
                  <c:v>0.15666957161142733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B3-48A5-9106-FB6C6F068E07}"/>
            </c:ext>
          </c:extLst>
        </c:ser>
        <c:ser>
          <c:idx val="8"/>
          <c:order val="7"/>
          <c:tx>
            <c:strRef>
              <c:f>RRB_PA_HC!$Y$342</c:f>
              <c:strCache>
                <c:ptCount val="1"/>
                <c:pt idx="0">
                  <c:v>3 / F (HC)</c:v>
                </c:pt>
              </c:strCache>
            </c:strRef>
          </c:tx>
          <c:spPr>
            <a:solidFill>
              <a:srgbClr val="14972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RRB_PA_HC!$Y$369:$Y$379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4.0327656614350836E-3</c:v>
                  </c:pt>
                  <c:pt idx="2">
                    <c:v>5.2799966685744409E-3</c:v>
                  </c:pt>
                  <c:pt idx="3">
                    <c:v>1.3463233421765012E-2</c:v>
                  </c:pt>
                  <c:pt idx="4">
                    <c:v>3.0458462427481754E-3</c:v>
                  </c:pt>
                  <c:pt idx="5">
                    <c:v>5.579593107066157E-3</c:v>
                  </c:pt>
                  <c:pt idx="6">
                    <c:v>3.9749118335468316E-3</c:v>
                  </c:pt>
                  <c:pt idx="7">
                    <c:v>7.0576508068580903E-3</c:v>
                  </c:pt>
                  <c:pt idx="8">
                    <c:v>3.1440115513284858E-3</c:v>
                  </c:pt>
                  <c:pt idx="9">
                    <c:v>7.1204402953075289E-3</c:v>
                  </c:pt>
                  <c:pt idx="10">
                    <c:v>4.7922684078581775E-3</c:v>
                  </c:pt>
                </c:numCache>
              </c:numRef>
            </c:plus>
            <c:minus>
              <c:numRef>
                <c:f>RRB_PA_HC!$Y$369:$Y$379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4.0327656614350836E-3</c:v>
                  </c:pt>
                  <c:pt idx="2">
                    <c:v>5.2799966685744409E-3</c:v>
                  </c:pt>
                  <c:pt idx="3">
                    <c:v>1.3463233421765012E-2</c:v>
                  </c:pt>
                  <c:pt idx="4">
                    <c:v>3.0458462427481754E-3</c:v>
                  </c:pt>
                  <c:pt idx="5">
                    <c:v>5.579593107066157E-3</c:v>
                  </c:pt>
                  <c:pt idx="6">
                    <c:v>3.9749118335468316E-3</c:v>
                  </c:pt>
                  <c:pt idx="7">
                    <c:v>7.0576508068580903E-3</c:v>
                  </c:pt>
                  <c:pt idx="8">
                    <c:v>3.1440115513284858E-3</c:v>
                  </c:pt>
                  <c:pt idx="9">
                    <c:v>7.1204402953075289E-3</c:v>
                  </c:pt>
                  <c:pt idx="10">
                    <c:v>4.7922684078581775E-3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RRB_PA_HC!$Y$343:$Y$353</c:f>
              <c:numCache>
                <c:formatCode>0.0000</c:formatCode>
                <c:ptCount val="11"/>
                <c:pt idx="0">
                  <c:v>0</c:v>
                </c:pt>
                <c:pt idx="1">
                  <c:v>0.16264740325172253</c:v>
                </c:pt>
                <c:pt idx="2">
                  <c:v>0.19109997548952859</c:v>
                </c:pt>
                <c:pt idx="3">
                  <c:v>4.2593752553174109E-2</c:v>
                </c:pt>
                <c:pt idx="4">
                  <c:v>0.12857784798060948</c:v>
                </c:pt>
                <c:pt idx="5">
                  <c:v>0.17708134753125085</c:v>
                </c:pt>
                <c:pt idx="6">
                  <c:v>0.1719137231406084</c:v>
                </c:pt>
                <c:pt idx="7">
                  <c:v>0.17315286364007734</c:v>
                </c:pt>
                <c:pt idx="8">
                  <c:v>0.11159072959503255</c:v>
                </c:pt>
                <c:pt idx="9">
                  <c:v>0.1886012690977423</c:v>
                </c:pt>
                <c:pt idx="10">
                  <c:v>0.14935728097170403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B3-48A5-9106-FB6C6F068E07}"/>
            </c:ext>
          </c:extLst>
        </c:ser>
        <c:ser>
          <c:idx val="9"/>
          <c:order val="8"/>
          <c:tx>
            <c:strRef>
              <c:f>RRB_PA_HC!$U$342</c:f>
              <c:strCache>
                <c:ptCount val="1"/>
                <c:pt idx="0">
                  <c:v>4 / S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RRB_PA_HC!$U$343:$U$353</c:f>
              <c:numCache>
                <c:formatCode>0.0000</c:formatCode>
                <c:ptCount val="11"/>
                <c:pt idx="0">
                  <c:v>0</c:v>
                </c:pt>
                <c:pt idx="1">
                  <c:v>5.8879599117623034E-2</c:v>
                </c:pt>
                <c:pt idx="2">
                  <c:v>1.7518178599635066E-2</c:v>
                </c:pt>
                <c:pt idx="3">
                  <c:v>1.7259456956888804E-2</c:v>
                </c:pt>
                <c:pt idx="4">
                  <c:v>1.1628856995016203E-2</c:v>
                </c:pt>
                <c:pt idx="5">
                  <c:v>1.6884991421335004E-2</c:v>
                </c:pt>
                <c:pt idx="6">
                  <c:v>9.8109970315095728E-3</c:v>
                </c:pt>
                <c:pt idx="7">
                  <c:v>2.1501130205070943E-2</c:v>
                </c:pt>
                <c:pt idx="8">
                  <c:v>3.3245731092894686E-2</c:v>
                </c:pt>
                <c:pt idx="9">
                  <c:v>1.6946267599880171E-2</c:v>
                </c:pt>
                <c:pt idx="10">
                  <c:v>2.2631335276015144E-2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B3-48A5-9106-FB6C6F068E07}"/>
            </c:ext>
          </c:extLst>
        </c:ser>
        <c:ser>
          <c:idx val="10"/>
          <c:order val="9"/>
          <c:tx>
            <c:strRef>
              <c:f>RRB_PA_HC!$Z$342</c:f>
              <c:strCache>
                <c:ptCount val="1"/>
                <c:pt idx="0">
                  <c:v>4 / S (HC)</c:v>
                </c:pt>
              </c:strCache>
            </c:strRef>
          </c:tx>
          <c:spPr>
            <a:solidFill>
              <a:srgbClr val="AD8D0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RRB_PA_HC!$Z$369:$Z$379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1.4175822063283718E-3</c:v>
                  </c:pt>
                  <c:pt idx="2">
                    <c:v>4.6796291647693974E-4</c:v>
                  </c:pt>
                  <c:pt idx="3">
                    <c:v>5.0840602896133338E-3</c:v>
                  </c:pt>
                  <c:pt idx="4">
                    <c:v>2.666618167314512E-4</c:v>
                  </c:pt>
                  <c:pt idx="5">
                    <c:v>5.1373272342766178E-4</c:v>
                  </c:pt>
                  <c:pt idx="6">
                    <c:v>2.1940733747571382E-4</c:v>
                  </c:pt>
                  <c:pt idx="7">
                    <c:v>8.4153525573184241E-4</c:v>
                  </c:pt>
                  <c:pt idx="8">
                    <c:v>9.0195690060143325E-4</c:v>
                  </c:pt>
                  <c:pt idx="9">
                    <c:v>6.0574119540024755E-4</c:v>
                  </c:pt>
                  <c:pt idx="10">
                    <c:v>6.9225588578160802E-4</c:v>
                  </c:pt>
                </c:numCache>
              </c:numRef>
            </c:plus>
            <c:minus>
              <c:numRef>
                <c:f>RRB_PA_HC!$Z$369:$Z$379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1.4175822063283718E-3</c:v>
                  </c:pt>
                  <c:pt idx="2">
                    <c:v>4.6796291647693974E-4</c:v>
                  </c:pt>
                  <c:pt idx="3">
                    <c:v>5.0840602896133338E-3</c:v>
                  </c:pt>
                  <c:pt idx="4">
                    <c:v>2.666618167314512E-4</c:v>
                  </c:pt>
                  <c:pt idx="5">
                    <c:v>5.1373272342766178E-4</c:v>
                  </c:pt>
                  <c:pt idx="6">
                    <c:v>2.1940733747571382E-4</c:v>
                  </c:pt>
                  <c:pt idx="7">
                    <c:v>8.4153525573184241E-4</c:v>
                  </c:pt>
                  <c:pt idx="8">
                    <c:v>9.0195690060143325E-4</c:v>
                  </c:pt>
                  <c:pt idx="9">
                    <c:v>6.0574119540024755E-4</c:v>
                  </c:pt>
                  <c:pt idx="10">
                    <c:v>6.9225588578160802E-4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RRB_PA_HC!$Z$343:$Z$353</c:f>
              <c:numCache>
                <c:formatCode>0.0000</c:formatCode>
                <c:ptCount val="11"/>
                <c:pt idx="0">
                  <c:v>0</c:v>
                </c:pt>
                <c:pt idx="1">
                  <c:v>5.4188567226776334E-2</c:v>
                </c:pt>
                <c:pt idx="2">
                  <c:v>1.4454369672376699E-2</c:v>
                </c:pt>
                <c:pt idx="3">
                  <c:v>1.4508837386639068E-2</c:v>
                </c:pt>
                <c:pt idx="4">
                  <c:v>9.6952531387020351E-3</c:v>
                </c:pt>
                <c:pt idx="5">
                  <c:v>1.3882458672621804E-2</c:v>
                </c:pt>
                <c:pt idx="6">
                  <c:v>8.9054712818976561E-3</c:v>
                </c:pt>
                <c:pt idx="7">
                  <c:v>1.7409243171110325E-2</c:v>
                </c:pt>
                <c:pt idx="8">
                  <c:v>2.8547890737765189E-2</c:v>
                </c:pt>
                <c:pt idx="9">
                  <c:v>1.2799912851657181E-2</c:v>
                </c:pt>
                <c:pt idx="10">
                  <c:v>1.8607532884882486E-2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2B3-48A5-9106-FB6C6F068E07}"/>
            </c:ext>
          </c:extLst>
        </c:ser>
        <c:ser>
          <c:idx val="5"/>
          <c:order val="10"/>
          <c:tx>
            <c:strRef>
              <c:f>RRB_PA_HC!$V$5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(RRB_PA_HC!$V$8,RRB_PA_HC!$V$33,RRB_PA_HC!$V$58,RRB_PA_HC!$V$83,RRB_PA_HC!$V$108,RRB_PA_HC!$V$133,RRB_PA_HC!$V$158,RRB_PA_HC!$V$183,RRB_PA_HC!$V$208,RRB_PA_HC!$V$233,RRB_PA_HC!$V$258)</c:f>
              <c:numCache>
                <c:formatCode>0.00%</c:formatCode>
                <c:ptCount val="11"/>
                <c:pt idx="0">
                  <c:v>1</c:v>
                </c:pt>
                <c:pt idx="1">
                  <c:v>4.5752879980391807E-3</c:v>
                </c:pt>
                <c:pt idx="2">
                  <c:v>4.459544105231748E-3</c:v>
                </c:pt>
                <c:pt idx="3">
                  <c:v>0.21594406165745245</c:v>
                </c:pt>
                <c:pt idx="4">
                  <c:v>4.459544105231748E-3</c:v>
                </c:pt>
                <c:pt idx="5">
                  <c:v>8.6739834962827403E-3</c:v>
                </c:pt>
                <c:pt idx="6">
                  <c:v>4.4595441052315927E-3</c:v>
                </c:pt>
                <c:pt idx="7">
                  <c:v>4.4527356409489573E-3</c:v>
                </c:pt>
                <c:pt idx="8">
                  <c:v>4.7046488194123492E-3</c:v>
                </c:pt>
                <c:pt idx="9">
                  <c:v>4.3914594624035368E-3</c:v>
                </c:pt>
                <c:pt idx="10">
                  <c:v>4.3846509981209014E-3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2B3-48A5-9106-FB6C6F068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ACB_B PA Mode Class Px count 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RRB_PA_HC!$Q$342</c:f>
              <c:strCache>
                <c:ptCount val="1"/>
                <c:pt idx="0">
                  <c:v>0 / W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RRB_PA_HC!$Q$356:$Q$366</c:f>
              <c:numCache>
                <c:formatCode>0.00</c:formatCode>
                <c:ptCount val="11"/>
                <c:pt idx="0">
                  <c:v>0</c:v>
                </c:pt>
                <c:pt idx="1">
                  <c:v>2.48</c:v>
                </c:pt>
                <c:pt idx="2">
                  <c:v>1.0900000000000001</c:v>
                </c:pt>
                <c:pt idx="3">
                  <c:v>0.6</c:v>
                </c:pt>
                <c:pt idx="4">
                  <c:v>0.89</c:v>
                </c:pt>
                <c:pt idx="5">
                  <c:v>1.58</c:v>
                </c:pt>
                <c:pt idx="6">
                  <c:v>0.59</c:v>
                </c:pt>
                <c:pt idx="7">
                  <c:v>0.79</c:v>
                </c:pt>
                <c:pt idx="8">
                  <c:v>2.06</c:v>
                </c:pt>
                <c:pt idx="9">
                  <c:v>0</c:v>
                </c:pt>
                <c:pt idx="10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3-4C9C-A117-C828F27480D5}"/>
            </c:ext>
          </c:extLst>
        </c:ser>
        <c:ser>
          <c:idx val="3"/>
          <c:order val="1"/>
          <c:tx>
            <c:strRef>
              <c:f>RRB_PA_HC!$V$342</c:f>
              <c:strCache>
                <c:ptCount val="1"/>
                <c:pt idx="0">
                  <c:v>0 / W (HC)</c:v>
                </c:pt>
              </c:strCache>
            </c:strRef>
          </c:tx>
          <c:spPr>
            <a:solidFill>
              <a:srgbClr val="1F9DFF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RRB_PA_HC!$V$382:$V$392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5.9708352712648141E-2</c:v>
                  </c:pt>
                  <c:pt idx="2">
                    <c:v>2.9117158274119329E-2</c:v>
                  </c:pt>
                  <c:pt idx="3">
                    <c:v>0.17673998558514742</c:v>
                  </c:pt>
                  <c:pt idx="4">
                    <c:v>2.040862803564478E-2</c:v>
                  </c:pt>
                  <c:pt idx="5">
                    <c:v>4.8072141866183374E-2</c:v>
                  </c:pt>
                  <c:pt idx="6">
                    <c:v>1.3194411199485728E-2</c:v>
                  </c:pt>
                  <c:pt idx="7">
                    <c:v>3.0919902613833872E-2</c:v>
                  </c:pt>
                  <c:pt idx="8">
                    <c:v>5.5887813387146504E-2</c:v>
                  </c:pt>
                  <c:pt idx="9">
                    <c:v>0</c:v>
                  </c:pt>
                  <c:pt idx="10">
                    <c:v>1.835302806499268E-3</c:v>
                  </c:pt>
                </c:numCache>
              </c:numRef>
            </c:plus>
            <c:minus>
              <c:numRef>
                <c:f>RRB_PA_HC!$V$382:$V$392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5.9708352712648141E-2</c:v>
                  </c:pt>
                  <c:pt idx="2">
                    <c:v>2.9117158274119329E-2</c:v>
                  </c:pt>
                  <c:pt idx="3">
                    <c:v>0.17673998558514742</c:v>
                  </c:pt>
                  <c:pt idx="4">
                    <c:v>2.040862803564478E-2</c:v>
                  </c:pt>
                  <c:pt idx="5">
                    <c:v>4.8072141866183374E-2</c:v>
                  </c:pt>
                  <c:pt idx="6">
                    <c:v>1.3194411199485728E-2</c:v>
                  </c:pt>
                  <c:pt idx="7">
                    <c:v>3.0919902613833872E-2</c:v>
                  </c:pt>
                  <c:pt idx="8">
                    <c:v>5.5887813387146504E-2</c:v>
                  </c:pt>
                  <c:pt idx="9">
                    <c:v>0</c:v>
                  </c:pt>
                  <c:pt idx="10">
                    <c:v>1.835302806499268E-3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RRB_PA_HC!$V$356:$V$366</c:f>
              <c:numCache>
                <c:formatCode>0.00</c:formatCode>
                <c:ptCount val="11"/>
                <c:pt idx="0">
                  <c:v>0</c:v>
                </c:pt>
                <c:pt idx="1">
                  <c:v>1.65</c:v>
                </c:pt>
                <c:pt idx="2">
                  <c:v>1.0900000000000001</c:v>
                </c:pt>
                <c:pt idx="3">
                  <c:v>0.51</c:v>
                </c:pt>
                <c:pt idx="4">
                  <c:v>0.8</c:v>
                </c:pt>
                <c:pt idx="5">
                  <c:v>1.58</c:v>
                </c:pt>
                <c:pt idx="6">
                  <c:v>0.51</c:v>
                </c:pt>
                <c:pt idx="7">
                  <c:v>0.79</c:v>
                </c:pt>
                <c:pt idx="8">
                  <c:v>1.97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D3-4C9C-A117-C828F27480D5}"/>
            </c:ext>
          </c:extLst>
        </c:ser>
        <c:ser>
          <c:idx val="4"/>
          <c:order val="2"/>
          <c:tx>
            <c:strRef>
              <c:f>RRB_PA_HC!$R$342</c:f>
              <c:strCache>
                <c:ptCount val="1"/>
                <c:pt idx="0">
                  <c:v>1 / B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RRB_PA_HC!$R$356:$R$366</c:f>
              <c:numCache>
                <c:formatCode>0.00</c:formatCode>
                <c:ptCount val="11"/>
                <c:pt idx="0">
                  <c:v>0</c:v>
                </c:pt>
                <c:pt idx="1">
                  <c:v>4.3099999999999996</c:v>
                </c:pt>
                <c:pt idx="2">
                  <c:v>12.51</c:v>
                </c:pt>
                <c:pt idx="3">
                  <c:v>29.55</c:v>
                </c:pt>
                <c:pt idx="4">
                  <c:v>21.09</c:v>
                </c:pt>
                <c:pt idx="5">
                  <c:v>14.47</c:v>
                </c:pt>
                <c:pt idx="6">
                  <c:v>13.99</c:v>
                </c:pt>
                <c:pt idx="7">
                  <c:v>41.41</c:v>
                </c:pt>
                <c:pt idx="8">
                  <c:v>14.72</c:v>
                </c:pt>
                <c:pt idx="9">
                  <c:v>12.41</c:v>
                </c:pt>
                <c:pt idx="10">
                  <c:v>18.98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D3-4C9C-A117-C828F27480D5}"/>
            </c:ext>
          </c:extLst>
        </c:ser>
        <c:ser>
          <c:idx val="6"/>
          <c:order val="3"/>
          <c:tx>
            <c:strRef>
              <c:f>RRB_PA_HC!$W$342</c:f>
              <c:strCache>
                <c:ptCount val="1"/>
                <c:pt idx="0">
                  <c:v>1 / B (HC)</c:v>
                </c:pt>
              </c:strCache>
            </c:strRef>
          </c:tx>
          <c:spPr>
            <a:solidFill>
              <a:srgbClr val="CACDDE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RRB_PA_HC!$W$382:$W$392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0.1037673387869006</c:v>
                  </c:pt>
                  <c:pt idx="2">
                    <c:v>0.33417949542131442</c:v>
                  </c:pt>
                  <c:pt idx="3">
                    <c:v>8.7044442900685102</c:v>
                  </c:pt>
                  <c:pt idx="4">
                    <c:v>0.48361569131657134</c:v>
                  </c:pt>
                  <c:pt idx="5">
                    <c:v>0.44025562835675536</c:v>
                  </c:pt>
                  <c:pt idx="6">
                    <c:v>0.3128640892895006</c:v>
                  </c:pt>
                  <c:pt idx="7">
                    <c:v>1.6207508446061525</c:v>
                  </c:pt>
                  <c:pt idx="8">
                    <c:v>0.39935369565960999</c:v>
                  </c:pt>
                  <c:pt idx="9">
                    <c:v>0.4435931505631498</c:v>
                  </c:pt>
                  <c:pt idx="10">
                    <c:v>0.58056745445593505</c:v>
                  </c:pt>
                </c:numCache>
              </c:numRef>
            </c:plus>
            <c:minus>
              <c:numRef>
                <c:f>RRB_PA_HC!$W$382:$W$392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0.1037673387869006</c:v>
                  </c:pt>
                  <c:pt idx="2">
                    <c:v>0.33417949542131442</c:v>
                  </c:pt>
                  <c:pt idx="3">
                    <c:v>8.7044442900685102</c:v>
                  </c:pt>
                  <c:pt idx="4">
                    <c:v>0.48361569131657134</c:v>
                  </c:pt>
                  <c:pt idx="5">
                    <c:v>0.44025562835675536</c:v>
                  </c:pt>
                  <c:pt idx="6">
                    <c:v>0.3128640892895006</c:v>
                  </c:pt>
                  <c:pt idx="7">
                    <c:v>1.6207508446061525</c:v>
                  </c:pt>
                  <c:pt idx="8">
                    <c:v>0.39935369565960999</c:v>
                  </c:pt>
                  <c:pt idx="9">
                    <c:v>0.4435931505631498</c:v>
                  </c:pt>
                  <c:pt idx="10">
                    <c:v>0.58056745445593505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RRB_PA_HC!$W$356:$W$366</c:f>
              <c:numCache>
                <c:formatCode>0.00</c:formatCode>
                <c:ptCount val="11"/>
                <c:pt idx="0">
                  <c:v>0</c:v>
                </c:pt>
                <c:pt idx="1">
                  <c:v>3.95</c:v>
                </c:pt>
                <c:pt idx="2">
                  <c:v>9.31</c:v>
                </c:pt>
                <c:pt idx="3">
                  <c:v>24.6</c:v>
                </c:pt>
                <c:pt idx="4">
                  <c:v>14.8</c:v>
                </c:pt>
                <c:pt idx="5">
                  <c:v>9.18</c:v>
                </c:pt>
                <c:pt idx="6">
                  <c:v>9.2100000000000009</c:v>
                </c:pt>
                <c:pt idx="7">
                  <c:v>29.03</c:v>
                </c:pt>
                <c:pt idx="8">
                  <c:v>10.8</c:v>
                </c:pt>
                <c:pt idx="9">
                  <c:v>9.33</c:v>
                </c:pt>
                <c:pt idx="10">
                  <c:v>14.3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D3-4C9C-A117-C828F27480D5}"/>
            </c:ext>
          </c:extLst>
        </c:ser>
        <c:ser>
          <c:idx val="2"/>
          <c:order val="4"/>
          <c:tx>
            <c:strRef>
              <c:f>RRB_PA_HC!$S$342</c:f>
              <c:strCache>
                <c:ptCount val="1"/>
                <c:pt idx="0">
                  <c:v>2 / A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[1]GUE_all!$L$6:$L$16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RRB_PA_HC!$S$356:$S$366</c:f>
              <c:numCache>
                <c:formatCode>0.00</c:formatCode>
                <c:ptCount val="11"/>
                <c:pt idx="0">
                  <c:v>0</c:v>
                </c:pt>
                <c:pt idx="1">
                  <c:v>1122.75</c:v>
                </c:pt>
                <c:pt idx="2">
                  <c:v>1132.57</c:v>
                </c:pt>
                <c:pt idx="3">
                  <c:v>1028.96</c:v>
                </c:pt>
                <c:pt idx="4">
                  <c:v>1228.06</c:v>
                </c:pt>
                <c:pt idx="5">
                  <c:v>1145.82</c:v>
                </c:pt>
                <c:pt idx="6">
                  <c:v>1172.1600000000001</c:v>
                </c:pt>
                <c:pt idx="7">
                  <c:v>1123.5899999999999</c:v>
                </c:pt>
                <c:pt idx="8">
                  <c:v>1226.03</c:v>
                </c:pt>
                <c:pt idx="9">
                  <c:v>1132.43</c:v>
                </c:pt>
                <c:pt idx="10">
                  <c:v>1179.93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D3-4C9C-A117-C828F27480D5}"/>
            </c:ext>
          </c:extLst>
        </c:ser>
        <c:ser>
          <c:idx val="0"/>
          <c:order val="5"/>
          <c:tx>
            <c:strRef>
              <c:f>RRB_PA_HC!$X$342</c:f>
              <c:strCache>
                <c:ptCount val="1"/>
                <c:pt idx="0">
                  <c:v>2 / A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RRB_PA_HC!$X$382:$X$392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27.031271374244231</c:v>
                  </c:pt>
                  <c:pt idx="2">
                    <c:v>30.254330226164512</c:v>
                  </c:pt>
                  <c:pt idx="3">
                    <c:v>303.09729261282217</c:v>
                  </c:pt>
                  <c:pt idx="4">
                    <c:v>28.160696343206659</c:v>
                  </c:pt>
                  <c:pt idx="5">
                    <c:v>34.862038982981161</c:v>
                  </c:pt>
                  <c:pt idx="6">
                    <c:v>26.21349327387999</c:v>
                  </c:pt>
                  <c:pt idx="7">
                    <c:v>43.976320731490631</c:v>
                  </c:pt>
                  <c:pt idx="8">
                    <c:v>33.262201867496714</c:v>
                  </c:pt>
                  <c:pt idx="9">
                    <c:v>40.478500523144852</c:v>
                  </c:pt>
                  <c:pt idx="10">
                    <c:v>36.092147341211358</c:v>
                  </c:pt>
                </c:numCache>
              </c:numRef>
            </c:plus>
            <c:minus>
              <c:numRef>
                <c:f>RRB_PA_HC!$X$382:$X$392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27.031271374244231</c:v>
                  </c:pt>
                  <c:pt idx="2">
                    <c:v>30.254330226164512</c:v>
                  </c:pt>
                  <c:pt idx="3">
                    <c:v>303.09729261282217</c:v>
                  </c:pt>
                  <c:pt idx="4">
                    <c:v>28.160696343206659</c:v>
                  </c:pt>
                  <c:pt idx="5">
                    <c:v>34.862038982981161</c:v>
                  </c:pt>
                  <c:pt idx="6">
                    <c:v>26.21349327387999</c:v>
                  </c:pt>
                  <c:pt idx="7">
                    <c:v>43.976320731490631</c:v>
                  </c:pt>
                  <c:pt idx="8">
                    <c:v>33.262201867496714</c:v>
                  </c:pt>
                  <c:pt idx="9">
                    <c:v>40.478500523144852</c:v>
                  </c:pt>
                  <c:pt idx="10">
                    <c:v>36.092147341211358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RRB_PA_HC!$X$356:$X$366</c:f>
              <c:numCache>
                <c:formatCode>0.00</c:formatCode>
                <c:ptCount val="11"/>
                <c:pt idx="0">
                  <c:v>0</c:v>
                </c:pt>
                <c:pt idx="1">
                  <c:v>1109.48</c:v>
                </c:pt>
                <c:pt idx="2">
                  <c:v>1117.3900000000001</c:v>
                </c:pt>
                <c:pt idx="3">
                  <c:v>1020.56</c:v>
                </c:pt>
                <c:pt idx="4">
                  <c:v>1216.54</c:v>
                </c:pt>
                <c:pt idx="5">
                  <c:v>1133.22</c:v>
                </c:pt>
                <c:pt idx="6">
                  <c:v>1160.76</c:v>
                </c:pt>
                <c:pt idx="7">
                  <c:v>1101.82</c:v>
                </c:pt>
                <c:pt idx="8">
                  <c:v>1210.5</c:v>
                </c:pt>
                <c:pt idx="9">
                  <c:v>1111.3499999999999</c:v>
                </c:pt>
                <c:pt idx="10">
                  <c:v>1163.03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D3-4C9C-A117-C828F27480D5}"/>
            </c:ext>
          </c:extLst>
        </c:ser>
        <c:ser>
          <c:idx val="7"/>
          <c:order val="6"/>
          <c:tx>
            <c:strRef>
              <c:f>RRB_PA_HC!$T$342</c:f>
              <c:strCache>
                <c:ptCount val="1"/>
                <c:pt idx="0">
                  <c:v>3 / F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RRB_PA_HC!$T$356:$T$366</c:f>
              <c:numCache>
                <c:formatCode>0.00</c:formatCode>
                <c:ptCount val="11"/>
                <c:pt idx="0">
                  <c:v>0</c:v>
                </c:pt>
                <c:pt idx="1">
                  <c:v>246.02</c:v>
                </c:pt>
                <c:pt idx="2">
                  <c:v>290.31</c:v>
                </c:pt>
                <c:pt idx="3">
                  <c:v>67.13</c:v>
                </c:pt>
                <c:pt idx="4">
                  <c:v>195.09</c:v>
                </c:pt>
                <c:pt idx="5">
                  <c:v>269.35000000000002</c:v>
                </c:pt>
                <c:pt idx="6">
                  <c:v>261.06</c:v>
                </c:pt>
                <c:pt idx="7">
                  <c:v>264.85000000000002</c:v>
                </c:pt>
                <c:pt idx="8">
                  <c:v>170.21</c:v>
                </c:pt>
                <c:pt idx="9">
                  <c:v>292.58</c:v>
                </c:pt>
                <c:pt idx="10">
                  <c:v>230.11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D3-4C9C-A117-C828F27480D5}"/>
            </c:ext>
          </c:extLst>
        </c:ser>
        <c:ser>
          <c:idx val="8"/>
          <c:order val="7"/>
          <c:tx>
            <c:strRef>
              <c:f>RRB_PA_HC!$Y$342</c:f>
              <c:strCache>
                <c:ptCount val="1"/>
                <c:pt idx="0">
                  <c:v>3 / F (HC)</c:v>
                </c:pt>
              </c:strCache>
            </c:strRef>
          </c:tx>
          <c:spPr>
            <a:solidFill>
              <a:srgbClr val="14972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RRB_PA_HC!$Y$382:$Y$392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5.9231648928893934</c:v>
                  </c:pt>
                  <c:pt idx="2">
                    <c:v>7.7550479069353964</c:v>
                  </c:pt>
                  <c:pt idx="3">
                    <c:v>19.774258720551579</c:v>
                  </c:pt>
                  <c:pt idx="4">
                    <c:v>4.4736171274988097</c:v>
                  </c:pt>
                  <c:pt idx="5">
                    <c:v>8.1950831719344883</c:v>
                  </c:pt>
                  <c:pt idx="6">
                    <c:v>5.8381915046402444</c:v>
                  </c:pt>
                  <c:pt idx="7">
                    <c:v>10.365995199080889</c:v>
                  </c:pt>
                  <c:pt idx="8">
                    <c:v>4.6177984061292268</c:v>
                  </c:pt>
                  <c:pt idx="9">
                    <c:v>10.458217888135886</c:v>
                  </c:pt>
                  <c:pt idx="10">
                    <c:v>7.0386921467257766</c:v>
                  </c:pt>
                </c:numCache>
              </c:numRef>
            </c:plus>
            <c:minus>
              <c:numRef>
                <c:f>RRB_PA_HC!$Y$382:$Y$392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5.9231648928893934</c:v>
                  </c:pt>
                  <c:pt idx="2">
                    <c:v>7.7550479069353964</c:v>
                  </c:pt>
                  <c:pt idx="3">
                    <c:v>19.774258720551579</c:v>
                  </c:pt>
                  <c:pt idx="4">
                    <c:v>4.4736171274988097</c:v>
                  </c:pt>
                  <c:pt idx="5">
                    <c:v>8.1950831719344883</c:v>
                  </c:pt>
                  <c:pt idx="6">
                    <c:v>5.8381915046402444</c:v>
                  </c:pt>
                  <c:pt idx="7">
                    <c:v>10.365995199080889</c:v>
                  </c:pt>
                  <c:pt idx="8">
                    <c:v>4.6177984061292268</c:v>
                  </c:pt>
                  <c:pt idx="9">
                    <c:v>10.458217888135886</c:v>
                  </c:pt>
                  <c:pt idx="10">
                    <c:v>7.0386921467257766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RRB_PA_HC!$Y$356:$Y$366</c:f>
              <c:numCache>
                <c:formatCode>0.00</c:formatCode>
                <c:ptCount val="11"/>
                <c:pt idx="0">
                  <c:v>0</c:v>
                </c:pt>
                <c:pt idx="1">
                  <c:v>238.89</c:v>
                </c:pt>
                <c:pt idx="2">
                  <c:v>280.68</c:v>
                </c:pt>
                <c:pt idx="3">
                  <c:v>62.56</c:v>
                </c:pt>
                <c:pt idx="4">
                  <c:v>188.85</c:v>
                </c:pt>
                <c:pt idx="5">
                  <c:v>260.08999999999997</c:v>
                </c:pt>
                <c:pt idx="6">
                  <c:v>252.5</c:v>
                </c:pt>
                <c:pt idx="7">
                  <c:v>254.32</c:v>
                </c:pt>
                <c:pt idx="8">
                  <c:v>163.9</c:v>
                </c:pt>
                <c:pt idx="9">
                  <c:v>277.01</c:v>
                </c:pt>
                <c:pt idx="10">
                  <c:v>219.37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D3-4C9C-A117-C828F27480D5}"/>
            </c:ext>
          </c:extLst>
        </c:ser>
        <c:ser>
          <c:idx val="9"/>
          <c:order val="8"/>
          <c:tx>
            <c:strRef>
              <c:f>RRB_PA_HC!$U$342</c:f>
              <c:strCache>
                <c:ptCount val="1"/>
                <c:pt idx="0">
                  <c:v>4 / S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RRB_PA_HC!$U$356:$U$366</c:f>
              <c:numCache>
                <c:formatCode>0.00</c:formatCode>
                <c:ptCount val="11"/>
                <c:pt idx="0">
                  <c:v>0</c:v>
                </c:pt>
                <c:pt idx="1">
                  <c:v>86.48</c:v>
                </c:pt>
                <c:pt idx="2">
                  <c:v>25.73</c:v>
                </c:pt>
                <c:pt idx="3">
                  <c:v>25.35</c:v>
                </c:pt>
                <c:pt idx="4">
                  <c:v>17.079999999999998</c:v>
                </c:pt>
                <c:pt idx="5">
                  <c:v>24.8</c:v>
                </c:pt>
                <c:pt idx="6">
                  <c:v>14.41</c:v>
                </c:pt>
                <c:pt idx="7">
                  <c:v>31.58</c:v>
                </c:pt>
                <c:pt idx="8">
                  <c:v>48.83</c:v>
                </c:pt>
                <c:pt idx="9">
                  <c:v>24.89</c:v>
                </c:pt>
                <c:pt idx="10">
                  <c:v>33.24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D3-4C9C-A117-C828F27480D5}"/>
            </c:ext>
          </c:extLst>
        </c:ser>
        <c:ser>
          <c:idx val="10"/>
          <c:order val="9"/>
          <c:tx>
            <c:strRef>
              <c:f>RRB_PA_HC!$Z$342</c:f>
              <c:strCache>
                <c:ptCount val="1"/>
                <c:pt idx="0">
                  <c:v>4 / S (HC)</c:v>
                </c:pt>
              </c:strCache>
            </c:strRef>
          </c:tx>
          <c:spPr>
            <a:solidFill>
              <a:srgbClr val="AD8D0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RRB_PA_HC!$Z$382:$Z$392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2.0820880413668594</c:v>
                  </c:pt>
                  <c:pt idx="2">
                    <c:v>0.68732521320466999</c:v>
                  </c:pt>
                  <c:pt idx="3">
                    <c:v>7.4672643909724803</c:v>
                  </c:pt>
                  <c:pt idx="4">
                    <c:v>0.39166220994248624</c:v>
                  </c:pt>
                  <c:pt idx="5">
                    <c:v>0.75455007486161252</c:v>
                  </c:pt>
                  <c:pt idx="6">
                    <c:v>0.32225672099082942</c:v>
                  </c:pt>
                  <c:pt idx="7">
                    <c:v>1.2360133222087009</c:v>
                  </c:pt>
                  <c:pt idx="8">
                    <c:v>1.3247582173273611</c:v>
                  </c:pt>
                  <c:pt idx="9">
                    <c:v>0.88968843815606757</c:v>
                  </c:pt>
                  <c:pt idx="10">
                    <c:v>1.0167577548005946</c:v>
                  </c:pt>
                </c:numCache>
              </c:numRef>
            </c:plus>
            <c:minus>
              <c:numRef>
                <c:f>RRB_PA_HC!$Z$382:$Z$392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2.0820880413668594</c:v>
                  </c:pt>
                  <c:pt idx="2">
                    <c:v>0.68732521320466999</c:v>
                  </c:pt>
                  <c:pt idx="3">
                    <c:v>7.4672643909724803</c:v>
                  </c:pt>
                  <c:pt idx="4">
                    <c:v>0.39166220994248624</c:v>
                  </c:pt>
                  <c:pt idx="5">
                    <c:v>0.75455007486161252</c:v>
                  </c:pt>
                  <c:pt idx="6">
                    <c:v>0.32225672099082942</c:v>
                  </c:pt>
                  <c:pt idx="7">
                    <c:v>1.2360133222087009</c:v>
                  </c:pt>
                  <c:pt idx="8">
                    <c:v>1.3247582173273611</c:v>
                  </c:pt>
                  <c:pt idx="9">
                    <c:v>0.88968843815606757</c:v>
                  </c:pt>
                  <c:pt idx="10">
                    <c:v>1.0167577548005946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RRB_PA_HC!$Z$356:$Z$366</c:f>
              <c:numCache>
                <c:formatCode>0.00</c:formatCode>
                <c:ptCount val="11"/>
                <c:pt idx="0">
                  <c:v>0</c:v>
                </c:pt>
                <c:pt idx="1">
                  <c:v>79.59</c:v>
                </c:pt>
                <c:pt idx="2">
                  <c:v>21.23</c:v>
                </c:pt>
                <c:pt idx="3">
                  <c:v>21.31</c:v>
                </c:pt>
                <c:pt idx="4">
                  <c:v>14.24</c:v>
                </c:pt>
                <c:pt idx="5">
                  <c:v>20.39</c:v>
                </c:pt>
                <c:pt idx="6">
                  <c:v>13.08</c:v>
                </c:pt>
                <c:pt idx="7">
                  <c:v>25.57</c:v>
                </c:pt>
                <c:pt idx="8">
                  <c:v>41.93</c:v>
                </c:pt>
                <c:pt idx="9">
                  <c:v>18.8</c:v>
                </c:pt>
                <c:pt idx="10">
                  <c:v>27.33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D3-4C9C-A117-C828F27480D5}"/>
            </c:ext>
          </c:extLst>
        </c:ser>
        <c:ser>
          <c:idx val="5"/>
          <c:order val="10"/>
          <c:tx>
            <c:strRef>
              <c:f>RRB_PA_HC!$V$5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(RRB_PA_HC!$V$7,RRB_PA_HC!$V$32,RRB_PA_HC!$V$57,RRB_PA_HC!$V$82,RRB_PA_HC!$V$107,RRB_PA_HC!$V$132,RRB_PA_HC!$V$157,RRB_PA_HC!$V$182,RRB_PA_HC!$V$207,RRB_PA_HC!$V$232,RRB_PA_HC!$V$257)</c:f>
              <c:numCache>
                <c:formatCode>0.00</c:formatCode>
                <c:ptCount val="11"/>
                <c:pt idx="0">
                  <c:v>1468.76</c:v>
                </c:pt>
                <c:pt idx="1">
                  <c:v>6.7200000000000273</c:v>
                </c:pt>
                <c:pt idx="2">
                  <c:v>6.5500000000001819</c:v>
                </c:pt>
                <c:pt idx="3">
                  <c:v>317.16999999999985</c:v>
                </c:pt>
                <c:pt idx="4">
                  <c:v>6.5500000000001819</c:v>
                </c:pt>
                <c:pt idx="5">
                  <c:v>12.740000000000236</c:v>
                </c:pt>
                <c:pt idx="6">
                  <c:v>6.5499999999999545</c:v>
                </c:pt>
                <c:pt idx="7">
                  <c:v>6.540000000000191</c:v>
                </c:pt>
                <c:pt idx="8">
                  <c:v>6.9100000000000819</c:v>
                </c:pt>
                <c:pt idx="9">
                  <c:v>6.4499999999998181</c:v>
                </c:pt>
                <c:pt idx="10">
                  <c:v>6.4400000000000546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D3-4C9C-A117-C828F2748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ACB_B PA Mode Binary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RRB_PA_HC!$F$3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[1]GUE_all!$L$6:$L$16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RRB_PA_HC!$R$440:$R$450</c:f>
              <c:numCache>
                <c:formatCode>0.00%</c:formatCode>
                <c:ptCount val="11"/>
                <c:pt idx="0">
                  <c:v>0</c:v>
                </c:pt>
                <c:pt idx="1">
                  <c:v>0.76442032735096277</c:v>
                </c:pt>
                <c:pt idx="2">
                  <c:v>0.77110623927666877</c:v>
                </c:pt>
                <c:pt idx="3">
                  <c:v>0.70056374084261552</c:v>
                </c:pt>
                <c:pt idx="4">
                  <c:v>0.83612026471309131</c:v>
                </c:pt>
                <c:pt idx="5">
                  <c:v>0.78012745445137388</c:v>
                </c:pt>
                <c:pt idx="6">
                  <c:v>0.79806094937225969</c:v>
                </c:pt>
                <c:pt idx="7">
                  <c:v>0.76499223835071761</c:v>
                </c:pt>
                <c:pt idx="8">
                  <c:v>0.83473814646368361</c:v>
                </c:pt>
                <c:pt idx="9">
                  <c:v>0.77101092077670963</c:v>
                </c:pt>
                <c:pt idx="10">
                  <c:v>0.80335112611999238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ED-4C17-A291-2151D7239B88}"/>
            </c:ext>
          </c:extLst>
        </c:ser>
        <c:ser>
          <c:idx val="0"/>
          <c:order val="1"/>
          <c:tx>
            <c:strRef>
              <c:f>RRB_PA_HC!$L$4</c:f>
              <c:strCache>
                <c:ptCount val="1"/>
                <c:pt idx="0">
                  <c:v>Agriculture-Grass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RRB_PA_HC!$Y$440:$Y$450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1.8404144567011785E-2</c:v>
                  </c:pt>
                  <c:pt idx="2">
                    <c:v>2.0598552674476779E-2</c:v>
                  </c:pt>
                  <c:pt idx="3">
                    <c:v>0.20636270909666807</c:v>
                  </c:pt>
                  <c:pt idx="4">
                    <c:v>1.9173109523139695E-2</c:v>
                  </c:pt>
                  <c:pt idx="5">
                    <c:v>2.3735694724108202E-2</c:v>
                  </c:pt>
                  <c:pt idx="6">
                    <c:v>1.7847363268253487E-2</c:v>
                  </c:pt>
                  <c:pt idx="7">
                    <c:v>2.9941120898915159E-2</c:v>
                  </c:pt>
                  <c:pt idx="8">
                    <c:v>2.2646451338201416E-2</c:v>
                  </c:pt>
                  <c:pt idx="9">
                    <c:v>2.7559642503298599E-2</c:v>
                  </c:pt>
                  <c:pt idx="10">
                    <c:v>2.457320960620616E-2</c:v>
                  </c:pt>
                </c:numCache>
              </c:numRef>
            </c:plus>
            <c:minus>
              <c:numRef>
                <c:f>RRB_PA_HC!$Y$440:$Y$450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1.8404144567011785E-2</c:v>
                  </c:pt>
                  <c:pt idx="2">
                    <c:v>2.0598552674476779E-2</c:v>
                  </c:pt>
                  <c:pt idx="3">
                    <c:v>0.20636270909666807</c:v>
                  </c:pt>
                  <c:pt idx="4">
                    <c:v>1.9173109523139695E-2</c:v>
                  </c:pt>
                  <c:pt idx="5">
                    <c:v>2.3735694724108202E-2</c:v>
                  </c:pt>
                  <c:pt idx="6">
                    <c:v>1.7847363268253487E-2</c:v>
                  </c:pt>
                  <c:pt idx="7">
                    <c:v>2.9941120898915159E-2</c:v>
                  </c:pt>
                  <c:pt idx="8">
                    <c:v>2.2646451338201416E-2</c:v>
                  </c:pt>
                  <c:pt idx="9">
                    <c:v>2.7559642503298599E-2</c:v>
                  </c:pt>
                  <c:pt idx="10">
                    <c:v>2.457320960620616E-2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RRB_PA_HC!$T$440:$T$450</c:f>
              <c:numCache>
                <c:formatCode>0.00%</c:formatCode>
                <c:ptCount val="11"/>
                <c:pt idx="0">
                  <c:v>0</c:v>
                </c:pt>
                <c:pt idx="1">
                  <c:v>0.75538549524769194</c:v>
                </c:pt>
                <c:pt idx="2">
                  <c:v>0.76077099049538388</c:v>
                </c:pt>
                <c:pt idx="3">
                  <c:v>0.69484463084506654</c:v>
                </c:pt>
                <c:pt idx="4">
                  <c:v>0.8282769138593099</c:v>
                </c:pt>
                <c:pt idx="5">
                  <c:v>0.77154878945505057</c:v>
                </c:pt>
                <c:pt idx="6">
                  <c:v>0.7902993000898717</c:v>
                </c:pt>
                <c:pt idx="7">
                  <c:v>0.75017021160706987</c:v>
                </c:pt>
                <c:pt idx="8">
                  <c:v>0.82416460143250092</c:v>
                </c:pt>
                <c:pt idx="9">
                  <c:v>0.75665867806857479</c:v>
                </c:pt>
                <c:pt idx="10">
                  <c:v>0.79184482148206647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ED-4C17-A291-2151D7239B88}"/>
            </c:ext>
          </c:extLst>
        </c:ser>
        <c:ser>
          <c:idx val="5"/>
          <c:order val="2"/>
          <c:tx>
            <c:strRef>
              <c:f>RRB_PA_HC!$I$5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RRB_PA_HC!$U$440:$U$450</c:f>
              <c:numCache>
                <c:formatCode>0.00%</c:formatCode>
                <c:ptCount val="11"/>
                <c:pt idx="0">
                  <c:v>1</c:v>
                </c:pt>
                <c:pt idx="1">
                  <c:v>4.5752879980391807E-3</c:v>
                </c:pt>
                <c:pt idx="2">
                  <c:v>4.459544105231748E-3</c:v>
                </c:pt>
                <c:pt idx="3">
                  <c:v>0.21594406165745245</c:v>
                </c:pt>
                <c:pt idx="4">
                  <c:v>4.459544105231748E-3</c:v>
                </c:pt>
                <c:pt idx="5">
                  <c:v>8.6739834962827403E-3</c:v>
                </c:pt>
                <c:pt idx="6">
                  <c:v>4.4595441052315927E-3</c:v>
                </c:pt>
                <c:pt idx="7">
                  <c:v>4.4527356409489573E-3</c:v>
                </c:pt>
                <c:pt idx="8">
                  <c:v>4.7046488194123492E-3</c:v>
                </c:pt>
                <c:pt idx="9">
                  <c:v>4.3914594624035368E-3</c:v>
                </c:pt>
                <c:pt idx="10">
                  <c:v>4.3846509981209014E-3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ED-4C17-A291-2151D7239B88}"/>
            </c:ext>
          </c:extLst>
        </c:ser>
        <c:ser>
          <c:idx val="1"/>
          <c:order val="3"/>
          <c:tx>
            <c:strRef>
              <c:f>RRB_PA_HC!$K$3</c:f>
              <c:strCache>
                <c:ptCount val="1"/>
                <c:pt idx="0">
                  <c:v>Not Agriculture-Grass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RRB_PA_HC!$Q$440:$Q$450</c:f>
              <c:numCache>
                <c:formatCode>0.00%</c:formatCode>
                <c:ptCount val="11"/>
                <c:pt idx="0">
                  <c:v>0</c:v>
                </c:pt>
                <c:pt idx="1">
                  <c:v>0.23100438465099812</c:v>
                </c:pt>
                <c:pt idx="2">
                  <c:v>0.22443421661809965</c:v>
                </c:pt>
                <c:pt idx="3">
                  <c:v>8.3492197499931919E-2</c:v>
                </c:pt>
                <c:pt idx="4">
                  <c:v>0.15942019118167705</c:v>
                </c:pt>
                <c:pt idx="5">
                  <c:v>0.2111985620523435</c:v>
                </c:pt>
                <c:pt idx="6">
                  <c:v>0.19747950652250879</c:v>
                </c:pt>
                <c:pt idx="7">
                  <c:v>0.23055502600833355</c:v>
                </c:pt>
                <c:pt idx="8">
                  <c:v>0.16055720471690405</c:v>
                </c:pt>
                <c:pt idx="9">
                  <c:v>0.22459761976088674</c:v>
                </c:pt>
                <c:pt idx="10">
                  <c:v>0.19226422288188674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ED-4C17-A291-2151D7239B88}"/>
            </c:ext>
          </c:extLst>
        </c:ser>
        <c:ser>
          <c:idx val="3"/>
          <c:order val="4"/>
          <c:tx>
            <c:strRef>
              <c:f>RRB_PA_HC!$K$4</c:f>
              <c:strCache>
                <c:ptCount val="1"/>
                <c:pt idx="0">
                  <c:v>Not Agriculture-Grass (HC)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RRB_PA_HC!$X$440:$X$450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5.5616497084314664E-3</c:v>
                  </c:pt>
                  <c:pt idx="2">
                    <c:v>5.9953088141258609E-3</c:v>
                  </c:pt>
                  <c:pt idx="3">
                    <c:v>2.4594016304350416E-2</c:v>
                  </c:pt>
                  <c:pt idx="4">
                    <c:v>3.655671217076658E-3</c:v>
                  </c:pt>
                  <c:pt idx="5">
                    <c:v>6.4258020486798652E-3</c:v>
                  </c:pt>
                  <c:pt idx="6">
                    <c:v>4.4163149364906855E-3</c:v>
                  </c:pt>
                  <c:pt idx="7">
                    <c:v>9.0237201915286201E-3</c:v>
                  </c:pt>
                  <c:pt idx="8">
                    <c:v>4.3559180073690362E-3</c:v>
                  </c:pt>
                  <c:pt idx="9">
                    <c:v>8.0282003028780084E-3</c:v>
                  </c:pt>
                  <c:pt idx="10">
                    <c:v>5.8810511307421263E-3</c:v>
                  </c:pt>
                </c:numCache>
              </c:numRef>
            </c:plus>
            <c:minus>
              <c:numRef>
                <c:f>RRB_PA_HC!$X$440:$X$450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5.5616497084314664E-3</c:v>
                  </c:pt>
                  <c:pt idx="2">
                    <c:v>5.9953088141258609E-3</c:v>
                  </c:pt>
                  <c:pt idx="3">
                    <c:v>2.4594016304350416E-2</c:v>
                  </c:pt>
                  <c:pt idx="4">
                    <c:v>3.655671217076658E-3</c:v>
                  </c:pt>
                  <c:pt idx="5">
                    <c:v>6.4258020486798652E-3</c:v>
                  </c:pt>
                  <c:pt idx="6">
                    <c:v>4.4163149364906855E-3</c:v>
                  </c:pt>
                  <c:pt idx="7">
                    <c:v>9.0237201915286201E-3</c:v>
                  </c:pt>
                  <c:pt idx="8">
                    <c:v>4.3559180073690362E-3</c:v>
                  </c:pt>
                  <c:pt idx="9">
                    <c:v>8.0282003028780084E-3</c:v>
                  </c:pt>
                  <c:pt idx="10">
                    <c:v>5.8810511307421263E-3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RRB_PA_HC!$S$440:$S$450</c:f>
              <c:numCache>
                <c:formatCode>0.00%</c:formatCode>
                <c:ptCount val="11"/>
                <c:pt idx="0">
                  <c:v>0</c:v>
                </c:pt>
                <c:pt idx="1">
                  <c:v>0.22064871047686482</c:v>
                </c:pt>
                <c:pt idx="2">
                  <c:v>0.21263514801601352</c:v>
                </c:pt>
                <c:pt idx="3">
                  <c:v>7.419864375391487E-2</c:v>
                </c:pt>
                <c:pt idx="4">
                  <c:v>0.14889430540047388</c:v>
                </c:pt>
                <c:pt idx="5">
                  <c:v>0.19828971377216151</c:v>
                </c:pt>
                <c:pt idx="6">
                  <c:v>0.18743702170538415</c:v>
                </c:pt>
                <c:pt idx="7">
                  <c:v>0.21086494730248645</c:v>
                </c:pt>
                <c:pt idx="8">
                  <c:v>0.14883302922192873</c:v>
                </c:pt>
                <c:pt idx="9">
                  <c:v>0.2077534791252485</c:v>
                </c:pt>
                <c:pt idx="10">
                  <c:v>0.17770091778098532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ED-4C17-A291-2151D7239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2.0000000000000004E-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3486126260820186"/>
          <c:w val="0.93372244240575686"/>
          <c:h val="0.12558181086779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ACB_B PA Mode Binary Px count 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RRB_PA_HC!$F$3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RRB_PA_HC!$R$453:$R$463</c:f>
              <c:numCache>
                <c:formatCode>0.00</c:formatCode>
                <c:ptCount val="11"/>
                <c:pt idx="0">
                  <c:v>0</c:v>
                </c:pt>
                <c:pt idx="1">
                  <c:v>1122.75</c:v>
                </c:pt>
                <c:pt idx="2">
                  <c:v>1132.57</c:v>
                </c:pt>
                <c:pt idx="3">
                  <c:v>1028.96</c:v>
                </c:pt>
                <c:pt idx="4">
                  <c:v>1228.06</c:v>
                </c:pt>
                <c:pt idx="5">
                  <c:v>1145.82</c:v>
                </c:pt>
                <c:pt idx="6">
                  <c:v>1172.1600000000001</c:v>
                </c:pt>
                <c:pt idx="7">
                  <c:v>1123.5899999999999</c:v>
                </c:pt>
                <c:pt idx="8">
                  <c:v>1226.03</c:v>
                </c:pt>
                <c:pt idx="9">
                  <c:v>1132.43</c:v>
                </c:pt>
                <c:pt idx="10">
                  <c:v>1179.93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1-4117-93A2-D9398895D394}"/>
            </c:ext>
          </c:extLst>
        </c:ser>
        <c:ser>
          <c:idx val="0"/>
          <c:order val="1"/>
          <c:tx>
            <c:strRef>
              <c:f>RRB_PA_HC!$L$4</c:f>
              <c:strCache>
                <c:ptCount val="1"/>
                <c:pt idx="0">
                  <c:v>Agriculture-Grass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RRB_PA_HC!$Y$453:$Y$463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27.031271374244231</c:v>
                  </c:pt>
                  <c:pt idx="2">
                    <c:v>30.254330226164512</c:v>
                  </c:pt>
                  <c:pt idx="3">
                    <c:v>303.09729261282217</c:v>
                  </c:pt>
                  <c:pt idx="4">
                    <c:v>28.160696343206659</c:v>
                  </c:pt>
                  <c:pt idx="5">
                    <c:v>34.862038982981161</c:v>
                  </c:pt>
                  <c:pt idx="6">
                    <c:v>26.21349327387999</c:v>
                  </c:pt>
                  <c:pt idx="7">
                    <c:v>43.976320731490631</c:v>
                  </c:pt>
                  <c:pt idx="8">
                    <c:v>33.262201867496714</c:v>
                  </c:pt>
                  <c:pt idx="9">
                    <c:v>40.478500523144852</c:v>
                  </c:pt>
                  <c:pt idx="10">
                    <c:v>36.092147341211358</c:v>
                  </c:pt>
                </c:numCache>
              </c:numRef>
            </c:plus>
            <c:minus>
              <c:numRef>
                <c:f>RRB_PA_HC!$Y$453:$Y$463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27.031271374244231</c:v>
                  </c:pt>
                  <c:pt idx="2">
                    <c:v>30.254330226164512</c:v>
                  </c:pt>
                  <c:pt idx="3">
                    <c:v>303.09729261282217</c:v>
                  </c:pt>
                  <c:pt idx="4">
                    <c:v>28.160696343206659</c:v>
                  </c:pt>
                  <c:pt idx="5">
                    <c:v>34.862038982981161</c:v>
                  </c:pt>
                  <c:pt idx="6">
                    <c:v>26.21349327387999</c:v>
                  </c:pt>
                  <c:pt idx="7">
                    <c:v>43.976320731490631</c:v>
                  </c:pt>
                  <c:pt idx="8">
                    <c:v>33.262201867496714</c:v>
                  </c:pt>
                  <c:pt idx="9">
                    <c:v>40.478500523144852</c:v>
                  </c:pt>
                  <c:pt idx="10">
                    <c:v>36.092147341211358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RRB_PA_HC!$T$453:$T$463</c:f>
              <c:numCache>
                <c:formatCode>0.00</c:formatCode>
                <c:ptCount val="11"/>
                <c:pt idx="0">
                  <c:v>0</c:v>
                </c:pt>
                <c:pt idx="1">
                  <c:v>1109.48</c:v>
                </c:pt>
                <c:pt idx="2">
                  <c:v>1117.3900000000001</c:v>
                </c:pt>
                <c:pt idx="3">
                  <c:v>1020.56</c:v>
                </c:pt>
                <c:pt idx="4">
                  <c:v>1216.54</c:v>
                </c:pt>
                <c:pt idx="5">
                  <c:v>1133.22</c:v>
                </c:pt>
                <c:pt idx="6">
                  <c:v>1160.76</c:v>
                </c:pt>
                <c:pt idx="7">
                  <c:v>1101.82</c:v>
                </c:pt>
                <c:pt idx="8">
                  <c:v>1210.5</c:v>
                </c:pt>
                <c:pt idx="9">
                  <c:v>1111.3499999999999</c:v>
                </c:pt>
                <c:pt idx="10">
                  <c:v>1163.03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A1-4117-93A2-D9398895D394}"/>
            </c:ext>
          </c:extLst>
        </c:ser>
        <c:ser>
          <c:idx val="5"/>
          <c:order val="2"/>
          <c:tx>
            <c:strRef>
              <c:f>RRB_PA_HC!$I$5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RRB_PA_HC!$U$453:$U$463</c:f>
              <c:numCache>
                <c:formatCode>0.00</c:formatCode>
                <c:ptCount val="11"/>
                <c:pt idx="0">
                  <c:v>1468.76</c:v>
                </c:pt>
                <c:pt idx="1">
                  <c:v>6.7200000000000273</c:v>
                </c:pt>
                <c:pt idx="2">
                  <c:v>6.5500000000001819</c:v>
                </c:pt>
                <c:pt idx="3">
                  <c:v>317.16999999999985</c:v>
                </c:pt>
                <c:pt idx="4">
                  <c:v>6.5500000000001819</c:v>
                </c:pt>
                <c:pt idx="5">
                  <c:v>12.740000000000236</c:v>
                </c:pt>
                <c:pt idx="6">
                  <c:v>6.5499999999999545</c:v>
                </c:pt>
                <c:pt idx="7">
                  <c:v>6.540000000000191</c:v>
                </c:pt>
                <c:pt idx="8">
                  <c:v>6.9100000000000819</c:v>
                </c:pt>
                <c:pt idx="9">
                  <c:v>6.4499999999998181</c:v>
                </c:pt>
                <c:pt idx="10">
                  <c:v>6.4400000000000546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A1-4117-93A2-D9398895D394}"/>
            </c:ext>
          </c:extLst>
        </c:ser>
        <c:ser>
          <c:idx val="1"/>
          <c:order val="3"/>
          <c:tx>
            <c:strRef>
              <c:f>RRB_PA_HC!$K$3</c:f>
              <c:strCache>
                <c:ptCount val="1"/>
                <c:pt idx="0">
                  <c:v>Not Agriculture-Grass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RRB_PA_HC!$Q$453:$Q$463</c:f>
              <c:numCache>
                <c:formatCode>0.00</c:formatCode>
                <c:ptCount val="11"/>
                <c:pt idx="0">
                  <c:v>0</c:v>
                </c:pt>
                <c:pt idx="1">
                  <c:v>339.29</c:v>
                </c:pt>
                <c:pt idx="2">
                  <c:v>329.64000000000004</c:v>
                </c:pt>
                <c:pt idx="3">
                  <c:v>122.63</c:v>
                </c:pt>
                <c:pt idx="4">
                  <c:v>234.14999999999998</c:v>
                </c:pt>
                <c:pt idx="5">
                  <c:v>310.20000000000005</c:v>
                </c:pt>
                <c:pt idx="6">
                  <c:v>290.05</c:v>
                </c:pt>
                <c:pt idx="7">
                  <c:v>338.63</c:v>
                </c:pt>
                <c:pt idx="8">
                  <c:v>235.82</c:v>
                </c:pt>
                <c:pt idx="9">
                  <c:v>329.88</c:v>
                </c:pt>
                <c:pt idx="10">
                  <c:v>282.39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A1-4117-93A2-D9398895D394}"/>
            </c:ext>
          </c:extLst>
        </c:ser>
        <c:ser>
          <c:idx val="3"/>
          <c:order val="4"/>
          <c:tx>
            <c:strRef>
              <c:f>RRB_PA_HC!$K$4</c:f>
              <c:strCache>
                <c:ptCount val="1"/>
                <c:pt idx="0">
                  <c:v>Not Agriculture-Grass (HC)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RRB_PA_HC!$X$453:$X$463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8.1687286257558007</c:v>
                  </c:pt>
                  <c:pt idx="2">
                    <c:v>8.8056697738354988</c:v>
                  </c:pt>
                  <c:pt idx="3">
                    <c:v>36.122707387177719</c:v>
                  </c:pt>
                  <c:pt idx="4">
                    <c:v>5.3693036567935124</c:v>
                  </c:pt>
                  <c:pt idx="5">
                    <c:v>9.4379610170190382</c:v>
                  </c:pt>
                  <c:pt idx="6">
                    <c:v>6.4865067261200595</c:v>
                  </c:pt>
                  <c:pt idx="7">
                    <c:v>13.253679268509575</c:v>
                  </c:pt>
                  <c:pt idx="8">
                    <c:v>6.3977981325033451</c:v>
                  </c:pt>
                  <c:pt idx="9">
                    <c:v>11.791499476855103</c:v>
                  </c:pt>
                  <c:pt idx="10">
                    <c:v>8.6378526587888054</c:v>
                  </c:pt>
                </c:numCache>
              </c:numRef>
            </c:plus>
            <c:minus>
              <c:numRef>
                <c:f>RRB_PA_HC!$X$453:$X$463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8.1687286257558007</c:v>
                  </c:pt>
                  <c:pt idx="2">
                    <c:v>8.8056697738354988</c:v>
                  </c:pt>
                  <c:pt idx="3">
                    <c:v>36.122707387177719</c:v>
                  </c:pt>
                  <c:pt idx="4">
                    <c:v>5.3693036567935124</c:v>
                  </c:pt>
                  <c:pt idx="5">
                    <c:v>9.4379610170190382</c:v>
                  </c:pt>
                  <c:pt idx="6">
                    <c:v>6.4865067261200595</c:v>
                  </c:pt>
                  <c:pt idx="7">
                    <c:v>13.253679268509575</c:v>
                  </c:pt>
                  <c:pt idx="8">
                    <c:v>6.3977981325033451</c:v>
                  </c:pt>
                  <c:pt idx="9">
                    <c:v>11.791499476855103</c:v>
                  </c:pt>
                  <c:pt idx="10">
                    <c:v>8.6378526587888054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RRB_PA_HC!$S$453:$S$463</c:f>
              <c:numCache>
                <c:formatCode>0.00</c:formatCode>
                <c:ptCount val="11"/>
                <c:pt idx="0">
                  <c:v>0</c:v>
                </c:pt>
                <c:pt idx="1">
                  <c:v>324.08</c:v>
                </c:pt>
                <c:pt idx="2">
                  <c:v>312.31</c:v>
                </c:pt>
                <c:pt idx="3">
                  <c:v>108.98</c:v>
                </c:pt>
                <c:pt idx="4">
                  <c:v>218.69</c:v>
                </c:pt>
                <c:pt idx="5">
                  <c:v>291.23999999999995</c:v>
                </c:pt>
                <c:pt idx="6">
                  <c:v>275.3</c:v>
                </c:pt>
                <c:pt idx="7">
                  <c:v>309.70999999999998</c:v>
                </c:pt>
                <c:pt idx="8">
                  <c:v>218.60000000000002</c:v>
                </c:pt>
                <c:pt idx="9">
                  <c:v>305.14</c:v>
                </c:pt>
                <c:pt idx="10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A1-4117-93A2-D9398895D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3486126260820186"/>
          <c:w val="0.93372244240575686"/>
          <c:h val="0.12558181086779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ACB_R Agriculture-Grass HC Area</a:t>
            </a:r>
          </a:p>
          <a:p>
            <a:pPr>
              <a:defRPr/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(Equivalent 10m Geom. Res.)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RRB_PA_HC!$AH$316:$AH$323</c:f>
                <c:numCache>
                  <c:formatCode>General</c:formatCode>
                  <c:ptCount val="8"/>
                  <c:pt idx="0">
                    <c:v>0.15822173160460185</c:v>
                  </c:pt>
                  <c:pt idx="1">
                    <c:v>2.128986232789909E-2</c:v>
                  </c:pt>
                  <c:pt idx="2">
                    <c:v>1.7074531183121692E-2</c:v>
                  </c:pt>
                  <c:pt idx="3">
                    <c:v>1.641924531632874E-2</c:v>
                  </c:pt>
                  <c:pt idx="4">
                    <c:v>2.2404239026630062E-2</c:v>
                  </c:pt>
                  <c:pt idx="5">
                    <c:v>2.2275045879530501E-2</c:v>
                  </c:pt>
                  <c:pt idx="6">
                    <c:v>1.6862460107534675E-2</c:v>
                  </c:pt>
                  <c:pt idx="7">
                    <c:v>1.9719124672967752E-2</c:v>
                  </c:pt>
                </c:numCache>
              </c:numRef>
            </c:plus>
            <c:minus>
              <c:numRef>
                <c:f>RRB_PA_HC!$AH$316:$AH$323</c:f>
                <c:numCache>
                  <c:formatCode>General</c:formatCode>
                  <c:ptCount val="8"/>
                  <c:pt idx="0">
                    <c:v>0.15822173160460185</c:v>
                  </c:pt>
                  <c:pt idx="1">
                    <c:v>2.128986232789909E-2</c:v>
                  </c:pt>
                  <c:pt idx="2">
                    <c:v>1.7074531183121692E-2</c:v>
                  </c:pt>
                  <c:pt idx="3">
                    <c:v>1.641924531632874E-2</c:v>
                  </c:pt>
                  <c:pt idx="4">
                    <c:v>2.2404239026630062E-2</c:v>
                  </c:pt>
                  <c:pt idx="5">
                    <c:v>2.2275045879530501E-2</c:v>
                  </c:pt>
                  <c:pt idx="6">
                    <c:v>1.6862460107534675E-2</c:v>
                  </c:pt>
                  <c:pt idx="7">
                    <c:v>1.9719124672967752E-2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RRB_PA_HC!$AG$305:$AG$312</c:f>
              <c:strCache>
                <c:ptCount val="8"/>
                <c:pt idx="0">
                  <c:v>1977(M)</c:v>
                </c:pt>
                <c:pt idx="1">
                  <c:v>1988(M)</c:v>
                </c:pt>
                <c:pt idx="2">
                  <c:v>1991(M)</c:v>
                </c:pt>
                <c:pt idx="3">
                  <c:v>2001(M)</c:v>
                </c:pt>
                <c:pt idx="4">
                  <c:v>2011(M)</c:v>
                </c:pt>
                <c:pt idx="5">
                  <c:v>2015(M)</c:v>
                </c:pt>
                <c:pt idx="6">
                  <c:v> 2019M</c:v>
                </c:pt>
                <c:pt idx="7">
                  <c:v>2024M</c:v>
                </c:pt>
              </c:strCache>
            </c:strRef>
          </c:cat>
          <c:val>
            <c:numRef>
              <c:f>RRB_PA_HC!$AH$305:$AH$312</c:f>
              <c:numCache>
                <c:formatCode>0.00%</c:formatCode>
                <c:ptCount val="8"/>
                <c:pt idx="0">
                  <c:v>0.55436643214949755</c:v>
                </c:pt>
                <c:pt idx="1">
                  <c:v>0.69018596592356862</c:v>
                </c:pt>
                <c:pt idx="2">
                  <c:v>0.83166573317560089</c:v>
                </c:pt>
                <c:pt idx="3">
                  <c:v>0.87718792618227881</c:v>
                </c:pt>
                <c:pt idx="4">
                  <c:v>0.87788981021542156</c:v>
                </c:pt>
                <c:pt idx="5">
                  <c:v>0.98053199430022919</c:v>
                </c:pt>
                <c:pt idx="6">
                  <c:v>0.67838762955693332</c:v>
                </c:pt>
                <c:pt idx="7">
                  <c:v>0.69248629628743097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5-4323-B14D-932846B73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806960"/>
        <c:axId val="802808720"/>
      </c:barChart>
      <c:catAx>
        <c:axId val="8028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8720"/>
        <c:crosses val="autoZero"/>
        <c:auto val="1"/>
        <c:lblAlgn val="ctr"/>
        <c:lblOffset val="100"/>
        <c:noMultiLvlLbl val="0"/>
      </c:catAx>
      <c:valAx>
        <c:axId val="8028087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ACB_R Agriculture-Grass HC Area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RRB_PA_HC!$AD$316:$AD$325</c:f>
                <c:numCache>
                  <c:formatCode>General</c:formatCode>
                  <c:ptCount val="10"/>
                  <c:pt idx="0">
                    <c:v>0.15822173160460185</c:v>
                  </c:pt>
                  <c:pt idx="1">
                    <c:v>2.128986232789909E-2</c:v>
                  </c:pt>
                  <c:pt idx="2">
                    <c:v>2.9010130870482917E-2</c:v>
                  </c:pt>
                  <c:pt idx="3">
                    <c:v>1.7074531183121692E-2</c:v>
                  </c:pt>
                  <c:pt idx="4">
                    <c:v>1.641924531632874E-2</c:v>
                  </c:pt>
                  <c:pt idx="5">
                    <c:v>2.2404239026630062E-2</c:v>
                  </c:pt>
                  <c:pt idx="6">
                    <c:v>2.2275045879530501E-2</c:v>
                  </c:pt>
                  <c:pt idx="7">
                    <c:v>0.15553092203315994</c:v>
                  </c:pt>
                  <c:pt idx="8">
                    <c:v>1.6862460107534675E-2</c:v>
                  </c:pt>
                  <c:pt idx="9">
                    <c:v>1.9719124672967752E-2</c:v>
                  </c:pt>
                </c:numCache>
              </c:numRef>
            </c:plus>
            <c:minus>
              <c:numRef>
                <c:f>RRB_PA_HC!$AD$316:$AD$325</c:f>
                <c:numCache>
                  <c:formatCode>General</c:formatCode>
                  <c:ptCount val="10"/>
                  <c:pt idx="0">
                    <c:v>0.15822173160460185</c:v>
                  </c:pt>
                  <c:pt idx="1">
                    <c:v>2.128986232789909E-2</c:v>
                  </c:pt>
                  <c:pt idx="2">
                    <c:v>2.9010130870482917E-2</c:v>
                  </c:pt>
                  <c:pt idx="3">
                    <c:v>1.7074531183121692E-2</c:v>
                  </c:pt>
                  <c:pt idx="4">
                    <c:v>1.641924531632874E-2</c:v>
                  </c:pt>
                  <c:pt idx="5">
                    <c:v>2.2404239026630062E-2</c:v>
                  </c:pt>
                  <c:pt idx="6">
                    <c:v>2.2275045879530501E-2</c:v>
                  </c:pt>
                  <c:pt idx="7">
                    <c:v>0.15553092203315994</c:v>
                  </c:pt>
                  <c:pt idx="8">
                    <c:v>1.6862460107534675E-2</c:v>
                  </c:pt>
                  <c:pt idx="9">
                    <c:v>1.9719124672967752E-2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RRB_PA_HC!$AC$305:$AC$314</c:f>
              <c:strCache>
                <c:ptCount val="10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2011E</c:v>
                </c:pt>
                <c:pt idx="6">
                  <c:v>2015O</c:v>
                </c:pt>
                <c:pt idx="7">
                  <c:v> 2019O</c:v>
                </c:pt>
                <c:pt idx="8">
                  <c:v> 2019M</c:v>
                </c:pt>
                <c:pt idx="9">
                  <c:v>2024M</c:v>
                </c:pt>
              </c:strCache>
            </c:strRef>
          </c:cat>
          <c:val>
            <c:numRef>
              <c:f>RRB_PA_HC!$AD$305:$AD$314</c:f>
              <c:numCache>
                <c:formatCode>0.00%</c:formatCode>
                <c:ptCount val="10"/>
                <c:pt idx="0">
                  <c:v>0.27405031476649833</c:v>
                </c:pt>
                <c:pt idx="1">
                  <c:v>0.34119252220121121</c:v>
                </c:pt>
                <c:pt idx="2">
                  <c:v>0.49429111712186136</c:v>
                </c:pt>
                <c:pt idx="3">
                  <c:v>0.59561481197788257</c:v>
                </c:pt>
                <c:pt idx="4">
                  <c:v>0.62821648275366826</c:v>
                </c:pt>
                <c:pt idx="5">
                  <c:v>0.62871915168633463</c:v>
                </c:pt>
                <c:pt idx="6">
                  <c:v>0.70222849893482064</c:v>
                </c:pt>
                <c:pt idx="7">
                  <c:v>0.48584149172989927</c:v>
                </c:pt>
                <c:pt idx="8">
                  <c:v>0.67838762955693332</c:v>
                </c:pt>
                <c:pt idx="9">
                  <c:v>0.69248629628743097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C-4910-97AC-DBF05BBA1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806960"/>
        <c:axId val="802808720"/>
      </c:barChart>
      <c:catAx>
        <c:axId val="8028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8720"/>
        <c:crosses val="autoZero"/>
        <c:auto val="1"/>
        <c:lblAlgn val="ctr"/>
        <c:lblOffset val="100"/>
        <c:noMultiLvlLbl val="0"/>
      </c:catAx>
      <c:valAx>
        <c:axId val="8028087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0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ACB_R PA Mode Class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RRB_PA_HC!$AD$342</c:f>
              <c:strCache>
                <c:ptCount val="1"/>
                <c:pt idx="0">
                  <c:v>0 / W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RRB_PA_HC!$AD$343:$AD$353</c:f>
              <c:numCache>
                <c:formatCode>0.0000</c:formatCode>
                <c:ptCount val="11"/>
                <c:pt idx="0">
                  <c:v>0</c:v>
                </c:pt>
                <c:pt idx="1">
                  <c:v>1.7234363405701702E-3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4.3085908514254256E-4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1-48A3-82CE-9C104C4901D4}"/>
            </c:ext>
          </c:extLst>
        </c:ser>
        <c:ser>
          <c:idx val="3"/>
          <c:order val="1"/>
          <c:tx>
            <c:strRef>
              <c:f>RRB_PA_HC!$AI$342</c:f>
              <c:strCache>
                <c:ptCount val="1"/>
                <c:pt idx="0">
                  <c:v>0 / W (HC)</c:v>
                </c:pt>
              </c:strCache>
            </c:strRef>
          </c:tx>
          <c:spPr>
            <a:solidFill>
              <a:srgbClr val="1F9DFF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RRB_PA_HC!$AI$369:$AI$379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1.0093968705444057E-4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1.3609239203718238E-4</c:v>
                  </c:pt>
                  <c:pt idx="9">
                    <c:v>0</c:v>
                  </c:pt>
                  <c:pt idx="10">
                    <c:v>0</c:v>
                  </c:pt>
                </c:numCache>
              </c:numRef>
            </c:plus>
            <c:minus>
              <c:numRef>
                <c:f>RRB_PA_HC!$AI$369:$AI$379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1.0093968705444057E-4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1.3609239203718238E-4</c:v>
                  </c:pt>
                  <c:pt idx="9">
                    <c:v>0</c:v>
                  </c:pt>
                  <c:pt idx="1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RRB_PA_HC!$AI$343:$AI$353</c:f>
              <c:numCache>
                <c:formatCode>0.0000</c:formatCode>
                <c:ptCount val="11"/>
                <c:pt idx="0">
                  <c:v>0</c:v>
                </c:pt>
                <c:pt idx="1">
                  <c:v>8.6171817028508511E-4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2.1542954257127128E-4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91-48A3-82CE-9C104C4901D4}"/>
            </c:ext>
          </c:extLst>
        </c:ser>
        <c:ser>
          <c:idx val="4"/>
          <c:order val="2"/>
          <c:tx>
            <c:strRef>
              <c:f>RRB_PA_HC!$AE$342</c:f>
              <c:strCache>
                <c:ptCount val="1"/>
                <c:pt idx="0">
                  <c:v>1 / B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RRB_PA_HC!$AE$343:$AE$353</c:f>
              <c:numCache>
                <c:formatCode>0.0000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1.0053378653325992E-3</c:v>
                </c:pt>
                <c:pt idx="3">
                  <c:v>0</c:v>
                </c:pt>
                <c:pt idx="4">
                  <c:v>1.9867391148239463E-3</c:v>
                </c:pt>
                <c:pt idx="5">
                  <c:v>7.9948296909782886E-3</c:v>
                </c:pt>
                <c:pt idx="6">
                  <c:v>1.6037532613639084E-2</c:v>
                </c:pt>
                <c:pt idx="7">
                  <c:v>7.9230198434545335E-3</c:v>
                </c:pt>
                <c:pt idx="8">
                  <c:v>9.1677238671996567E-3</c:v>
                </c:pt>
                <c:pt idx="9">
                  <c:v>5.0984991741867538E-3</c:v>
                </c:pt>
                <c:pt idx="10">
                  <c:v>6.7022524355506621E-3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91-48A3-82CE-9C104C4901D4}"/>
            </c:ext>
          </c:extLst>
        </c:ser>
        <c:ser>
          <c:idx val="6"/>
          <c:order val="3"/>
          <c:tx>
            <c:strRef>
              <c:f>RRB_PA_HC!$AJ$342</c:f>
              <c:strCache>
                <c:ptCount val="1"/>
                <c:pt idx="0">
                  <c:v>1 / B (HC)</c:v>
                </c:pt>
              </c:strCache>
            </c:strRef>
          </c:tx>
          <c:spPr>
            <a:solidFill>
              <a:srgbClr val="CACDDE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RRB_PA_HC!$AJ$369:$AJ$379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0</c:v>
                  </c:pt>
                  <c:pt idx="2">
                    <c:v>5.6107270978093686E-5</c:v>
                  </c:pt>
                  <c:pt idx="3">
                    <c:v>0</c:v>
                  </c:pt>
                  <c:pt idx="4">
                    <c:v>5.1163739347322634E-5</c:v>
                  </c:pt>
                  <c:pt idx="5">
                    <c:v>2.696770180697678E-3</c:v>
                  </c:pt>
                  <c:pt idx="6">
                    <c:v>5.6108997674437036E-4</c:v>
                  </c:pt>
                  <c:pt idx="7">
                    <c:v>2.4690376351632832E-4</c:v>
                  </c:pt>
                  <c:pt idx="8">
                    <c:v>2.8957436750133808E-3</c:v>
                  </c:pt>
                  <c:pt idx="9">
                    <c:v>1.2516392538698378E-4</c:v>
                  </c:pt>
                  <c:pt idx="10">
                    <c:v>1.8789705320506955E-4</c:v>
                  </c:pt>
                </c:numCache>
              </c:numRef>
            </c:plus>
            <c:minus>
              <c:numRef>
                <c:f>RRB_PA_HC!$AJ$369:$AJ$379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0</c:v>
                  </c:pt>
                  <c:pt idx="2">
                    <c:v>5.6107270978093686E-5</c:v>
                  </c:pt>
                  <c:pt idx="3">
                    <c:v>0</c:v>
                  </c:pt>
                  <c:pt idx="4">
                    <c:v>5.1163739347322634E-5</c:v>
                  </c:pt>
                  <c:pt idx="5">
                    <c:v>2.696770180697678E-3</c:v>
                  </c:pt>
                  <c:pt idx="6">
                    <c:v>5.6108997674437036E-4</c:v>
                  </c:pt>
                  <c:pt idx="7">
                    <c:v>2.4690376351632832E-4</c:v>
                  </c:pt>
                  <c:pt idx="8">
                    <c:v>2.8957436750133808E-3</c:v>
                  </c:pt>
                  <c:pt idx="9">
                    <c:v>1.2516392538698378E-4</c:v>
                  </c:pt>
                  <c:pt idx="10">
                    <c:v>1.8789705320506955E-4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RRB_PA_HC!$AJ$343:$AJ$353</c:f>
              <c:numCache>
                <c:formatCode>0.0000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4.3085908514254256E-4</c:v>
                </c:pt>
                <c:pt idx="3">
                  <c:v>0</c:v>
                </c:pt>
                <c:pt idx="4">
                  <c:v>6.4628862771381394E-4</c:v>
                </c:pt>
                <c:pt idx="5">
                  <c:v>4.2607176197429208E-3</c:v>
                </c:pt>
                <c:pt idx="6">
                  <c:v>6.7740622830744198E-3</c:v>
                </c:pt>
                <c:pt idx="7">
                  <c:v>4.8830696316154824E-3</c:v>
                </c:pt>
                <c:pt idx="8">
                  <c:v>6.7979988989156715E-3</c:v>
                </c:pt>
                <c:pt idx="9">
                  <c:v>3.7101754553941165E-3</c:v>
                </c:pt>
                <c:pt idx="10">
                  <c:v>4.3325274672666786E-3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91-48A3-82CE-9C104C4901D4}"/>
            </c:ext>
          </c:extLst>
        </c:ser>
        <c:ser>
          <c:idx val="2"/>
          <c:order val="4"/>
          <c:tx>
            <c:strRef>
              <c:f>RRB_PA_HC!$AF$342</c:f>
              <c:strCache>
                <c:ptCount val="1"/>
                <c:pt idx="0">
                  <c:v>2 / A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[1]GUE_all!$L$6:$L$16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RRB_PA_HC!$AF$343:$AF$353</c:f>
              <c:numCache>
                <c:formatCode>0.0000</c:formatCode>
                <c:ptCount val="11"/>
                <c:pt idx="0">
                  <c:v>0.28108767982382654</c:v>
                </c:pt>
                <c:pt idx="1">
                  <c:v>0.36350144816525842</c:v>
                </c:pt>
                <c:pt idx="2">
                  <c:v>0.5198075496086364</c:v>
                </c:pt>
                <c:pt idx="3">
                  <c:v>0.60588362017377984</c:v>
                </c:pt>
                <c:pt idx="4">
                  <c:v>0.63757569954759807</c:v>
                </c:pt>
                <c:pt idx="5">
                  <c:v>0.45307226464322475</c:v>
                </c:pt>
                <c:pt idx="6">
                  <c:v>0.6403762836010245</c:v>
                </c:pt>
                <c:pt idx="7">
                  <c:v>0.71479522225147818</c:v>
                </c:pt>
                <c:pt idx="8">
                  <c:v>0.49240012447040243</c:v>
                </c:pt>
                <c:pt idx="9">
                  <c:v>0.68688512818057779</c:v>
                </c:pt>
                <c:pt idx="10">
                  <c:v>0.70337745649520078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91-48A3-82CE-9C104C4901D4}"/>
            </c:ext>
          </c:extLst>
        </c:ser>
        <c:ser>
          <c:idx val="0"/>
          <c:order val="5"/>
          <c:tx>
            <c:strRef>
              <c:f>RRB_PA_HC!$AK$342</c:f>
              <c:strCache>
                <c:ptCount val="1"/>
                <c:pt idx="0">
                  <c:v>2 / A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RRB_PA_HC!$AK$369:$AK$379</c:f>
                <c:numCache>
                  <c:formatCode>General</c:formatCode>
                  <c:ptCount val="11"/>
                  <c:pt idx="0">
                    <c:v>0.15822173160460185</c:v>
                  </c:pt>
                  <c:pt idx="1">
                    <c:v>2.128986232789909E-2</c:v>
                  </c:pt>
                  <c:pt idx="2">
                    <c:v>2.9010130870482917E-2</c:v>
                  </c:pt>
                  <c:pt idx="3">
                    <c:v>1.7074531183121692E-2</c:v>
                  </c:pt>
                  <c:pt idx="4">
                    <c:v>1.641924531632874E-2</c:v>
                  </c:pt>
                  <c:pt idx="5">
                    <c:v>0.15282774245582534</c:v>
                  </c:pt>
                  <c:pt idx="6">
                    <c:v>2.2404239026630062E-2</c:v>
                  </c:pt>
                  <c:pt idx="7">
                    <c:v>2.2275045879530501E-2</c:v>
                  </c:pt>
                  <c:pt idx="8">
                    <c:v>0.15553092203315994</c:v>
                  </c:pt>
                  <c:pt idx="9">
                    <c:v>1.6862460107534675E-2</c:v>
                  </c:pt>
                  <c:pt idx="10">
                    <c:v>1.9719124672967752E-2</c:v>
                  </c:pt>
                </c:numCache>
              </c:numRef>
            </c:plus>
            <c:minus>
              <c:numRef>
                <c:f>RRB_PA_HC!$AK$369:$AK$379</c:f>
                <c:numCache>
                  <c:formatCode>General</c:formatCode>
                  <c:ptCount val="11"/>
                  <c:pt idx="0">
                    <c:v>0.15822173160460185</c:v>
                  </c:pt>
                  <c:pt idx="1">
                    <c:v>2.128986232789909E-2</c:v>
                  </c:pt>
                  <c:pt idx="2">
                    <c:v>2.9010130870482917E-2</c:v>
                  </c:pt>
                  <c:pt idx="3">
                    <c:v>1.7074531183121692E-2</c:v>
                  </c:pt>
                  <c:pt idx="4">
                    <c:v>1.641924531632874E-2</c:v>
                  </c:pt>
                  <c:pt idx="5">
                    <c:v>0.15282774245582534</c:v>
                  </c:pt>
                  <c:pt idx="6">
                    <c:v>2.2404239026630062E-2</c:v>
                  </c:pt>
                  <c:pt idx="7">
                    <c:v>2.2275045879530501E-2</c:v>
                  </c:pt>
                  <c:pt idx="8">
                    <c:v>0.15553092203315994</c:v>
                  </c:pt>
                  <c:pt idx="9">
                    <c:v>1.6862460107534675E-2</c:v>
                  </c:pt>
                  <c:pt idx="10">
                    <c:v>1.9719124672967752E-2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RRB_PA_HC!$AK$343:$AK$353</c:f>
              <c:numCache>
                <c:formatCode>0.0000</c:formatCode>
                <c:ptCount val="11"/>
                <c:pt idx="0">
                  <c:v>0.27405031476649833</c:v>
                </c:pt>
                <c:pt idx="1">
                  <c:v>0.34119252220121121</c:v>
                </c:pt>
                <c:pt idx="2">
                  <c:v>0.49429111712186136</c:v>
                </c:pt>
                <c:pt idx="3">
                  <c:v>0.59561481197788257</c:v>
                </c:pt>
                <c:pt idx="4">
                  <c:v>0.62821648275366826</c:v>
                </c:pt>
                <c:pt idx="5">
                  <c:v>0.44581947004332528</c:v>
                </c:pt>
                <c:pt idx="6">
                  <c:v>0.62871915168633463</c:v>
                </c:pt>
                <c:pt idx="7">
                  <c:v>0.70222849893482064</c:v>
                </c:pt>
                <c:pt idx="8">
                  <c:v>0.48584149172989927</c:v>
                </c:pt>
                <c:pt idx="9">
                  <c:v>0.67838762955693332</c:v>
                </c:pt>
                <c:pt idx="10">
                  <c:v>0.69248629628743097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91-48A3-82CE-9C104C4901D4}"/>
            </c:ext>
          </c:extLst>
        </c:ser>
        <c:ser>
          <c:idx val="7"/>
          <c:order val="6"/>
          <c:tx>
            <c:strRef>
              <c:f>RRB_PA_HC!$AG$342</c:f>
              <c:strCache>
                <c:ptCount val="1"/>
                <c:pt idx="0">
                  <c:v>3 / F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RRB_PA_HC!$AG$343:$AG$353</c:f>
              <c:numCache>
                <c:formatCode>0.0000</c:formatCode>
                <c:ptCount val="11"/>
                <c:pt idx="0">
                  <c:v>0.30899777389472677</c:v>
                </c:pt>
                <c:pt idx="1">
                  <c:v>0.36699619407808126</c:v>
                </c:pt>
                <c:pt idx="2">
                  <c:v>0.45781171457979269</c:v>
                </c:pt>
                <c:pt idx="3">
                  <c:v>0.36314239892763966</c:v>
                </c:pt>
                <c:pt idx="4">
                  <c:v>0.34794264786844442</c:v>
                </c:pt>
                <c:pt idx="5">
                  <c:v>0.29212245972664386</c:v>
                </c:pt>
                <c:pt idx="6">
                  <c:v>0.33346099528448669</c:v>
                </c:pt>
                <c:pt idx="7">
                  <c:v>0.26703688632501138</c:v>
                </c:pt>
                <c:pt idx="8">
                  <c:v>0.2628001053211097</c:v>
                </c:pt>
                <c:pt idx="9">
                  <c:v>0.29621562103549803</c:v>
                </c:pt>
                <c:pt idx="10">
                  <c:v>0.27122579409723058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91-48A3-82CE-9C104C4901D4}"/>
            </c:ext>
          </c:extLst>
        </c:ser>
        <c:ser>
          <c:idx val="8"/>
          <c:order val="7"/>
          <c:tx>
            <c:strRef>
              <c:f>RRB_PA_HC!$AL$342</c:f>
              <c:strCache>
                <c:ptCount val="1"/>
                <c:pt idx="0">
                  <c:v>3 / F (HC)</c:v>
                </c:pt>
              </c:strCache>
            </c:strRef>
          </c:tx>
          <c:spPr>
            <a:solidFill>
              <a:srgbClr val="14972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RRB_PA_HC!$AL$369:$AL$379</c:f>
                <c:numCache>
                  <c:formatCode>General</c:formatCode>
                  <c:ptCount val="11"/>
                  <c:pt idx="0">
                    <c:v>0.1739320730038155</c:v>
                  </c:pt>
                  <c:pt idx="1">
                    <c:v>2.1494545582203924E-2</c:v>
                  </c:pt>
                  <c:pt idx="2">
                    <c:v>2.5550182493500478E-2</c:v>
                  </c:pt>
                  <c:pt idx="3">
                    <c:v>1.0233790794055751E-2</c:v>
                  </c:pt>
                  <c:pt idx="4">
                    <c:v>8.9604351223214682E-3</c:v>
                  </c:pt>
                  <c:pt idx="5">
                    <c:v>9.8537075704294805E-2</c:v>
                  </c:pt>
                  <c:pt idx="6">
                    <c:v>1.1666484277650484E-2</c:v>
                  </c:pt>
                  <c:pt idx="7">
                    <c:v>8.3216265431666422E-3</c:v>
                  </c:pt>
                  <c:pt idx="8">
                    <c:v>8.3008798454234742E-2</c:v>
                  </c:pt>
                  <c:pt idx="9">
                    <c:v>7.2718477777648999E-3</c:v>
                  </c:pt>
                  <c:pt idx="10">
                    <c:v>7.6037911066665822E-3</c:v>
                  </c:pt>
                </c:numCache>
              </c:numRef>
            </c:plus>
            <c:minus>
              <c:numRef>
                <c:f>RRB_PA_HC!$AL$369:$AL$379</c:f>
                <c:numCache>
                  <c:formatCode>General</c:formatCode>
                  <c:ptCount val="11"/>
                  <c:pt idx="0">
                    <c:v>0.1739320730038155</c:v>
                  </c:pt>
                  <c:pt idx="1">
                    <c:v>2.1494545582203924E-2</c:v>
                  </c:pt>
                  <c:pt idx="2">
                    <c:v>2.5550182493500478E-2</c:v>
                  </c:pt>
                  <c:pt idx="3">
                    <c:v>1.0233790794055751E-2</c:v>
                  </c:pt>
                  <c:pt idx="4">
                    <c:v>8.9604351223214682E-3</c:v>
                  </c:pt>
                  <c:pt idx="5">
                    <c:v>9.8537075704294805E-2</c:v>
                  </c:pt>
                  <c:pt idx="6">
                    <c:v>1.1666484277650484E-2</c:v>
                  </c:pt>
                  <c:pt idx="7">
                    <c:v>8.3216265431666422E-3</c:v>
                  </c:pt>
                  <c:pt idx="8">
                    <c:v>8.3008798454234742E-2</c:v>
                  </c:pt>
                  <c:pt idx="9">
                    <c:v>7.2718477777648999E-3</c:v>
                  </c:pt>
                  <c:pt idx="10">
                    <c:v>7.6037911066665822E-3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RRB_PA_HC!$AL$343:$AL$353</c:f>
              <c:numCache>
                <c:formatCode>0.0000</c:formatCode>
                <c:ptCount val="11"/>
                <c:pt idx="0">
                  <c:v>0.29145223448308882</c:v>
                </c:pt>
                <c:pt idx="1">
                  <c:v>0.35758910405246902</c:v>
                </c:pt>
                <c:pt idx="2">
                  <c:v>0.43610120401177682</c:v>
                </c:pt>
                <c:pt idx="3">
                  <c:v>0.35385499198123371</c:v>
                </c:pt>
                <c:pt idx="4">
                  <c:v>0.33925365631806975</c:v>
                </c:pt>
                <c:pt idx="5">
                  <c:v>0.28410369341982433</c:v>
                </c:pt>
                <c:pt idx="6">
                  <c:v>0.32429327141728703</c:v>
                </c:pt>
                <c:pt idx="7">
                  <c:v>0.25727074706178044</c:v>
                </c:pt>
                <c:pt idx="8">
                  <c:v>0.25643296550733657</c:v>
                </c:pt>
                <c:pt idx="9">
                  <c:v>0.2875745027168059</c:v>
                </c:pt>
                <c:pt idx="10">
                  <c:v>0.26452354166167991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91-48A3-82CE-9C104C4901D4}"/>
            </c:ext>
          </c:extLst>
        </c:ser>
        <c:ser>
          <c:idx val="9"/>
          <c:order val="8"/>
          <c:tx>
            <c:strRef>
              <c:f>RRB_PA_HC!$AH$342</c:f>
              <c:strCache>
                <c:ptCount val="1"/>
                <c:pt idx="0">
                  <c:v>4 / S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RRB_PA_HC!$AH$343:$AH$353</c:f>
              <c:numCache>
                <c:formatCode>0.0000</c:formatCode>
                <c:ptCount val="11"/>
                <c:pt idx="0">
                  <c:v>6.7979988989156706E-2</c:v>
                </c:pt>
                <c:pt idx="1">
                  <c:v>0.2629437250161572</c:v>
                </c:pt>
                <c:pt idx="2">
                  <c:v>1.6851377552241666E-2</c:v>
                </c:pt>
                <c:pt idx="3">
                  <c:v>2.6449960504583866E-2</c:v>
                </c:pt>
                <c:pt idx="4">
                  <c:v>7.9708930751370369E-3</c:v>
                </c:pt>
                <c:pt idx="5">
                  <c:v>1.0436364506786032E-2</c:v>
                </c:pt>
                <c:pt idx="6">
                  <c:v>5.6011681068530534E-3</c:v>
                </c:pt>
                <c:pt idx="7">
                  <c:v>5.7208511860593154E-3</c:v>
                </c:pt>
                <c:pt idx="8">
                  <c:v>7.4921607583119899E-3</c:v>
                </c:pt>
                <c:pt idx="9">
                  <c:v>7.3246044474232237E-3</c:v>
                </c:pt>
                <c:pt idx="10">
                  <c:v>1.4242286425545158E-2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91-48A3-82CE-9C104C4901D4}"/>
            </c:ext>
          </c:extLst>
        </c:ser>
        <c:ser>
          <c:idx val="10"/>
          <c:order val="9"/>
          <c:tx>
            <c:strRef>
              <c:f>RRB_PA_HC!$AM$342</c:f>
              <c:strCache>
                <c:ptCount val="1"/>
                <c:pt idx="0">
                  <c:v>4 / S (HC)</c:v>
                </c:pt>
              </c:strCache>
            </c:strRef>
          </c:tx>
          <c:spPr>
            <a:solidFill>
              <a:srgbClr val="AD8D0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RRB_PA_HC!$AM$369:$AM$379</c:f>
                <c:numCache>
                  <c:formatCode>General</c:formatCode>
                  <c:ptCount val="11"/>
                  <c:pt idx="0">
                    <c:v>3.8265325534962889E-2</c:v>
                  </c:pt>
                  <c:pt idx="1">
                    <c:v>1.5400311976292075E-2</c:v>
                  </c:pt>
                  <c:pt idx="2">
                    <c:v>9.4046473258518957E-4</c:v>
                  </c:pt>
                  <c:pt idx="3">
                    <c:v>7.4539178877012753E-4</c:v>
                  </c:pt>
                  <c:pt idx="4">
                    <c:v>2.0527138798383661E-4</c:v>
                  </c:pt>
                  <c:pt idx="5">
                    <c:v>3.5203347268987655E-3</c:v>
                  </c:pt>
                  <c:pt idx="6">
                    <c:v>1.9596276799728756E-4</c:v>
                  </c:pt>
                  <c:pt idx="7">
                    <c:v>1.7827794404955428E-4</c:v>
                  </c:pt>
                  <c:pt idx="8">
                    <c:v>2.3664954837576712E-3</c:v>
                  </c:pt>
                  <c:pt idx="9">
                    <c:v>1.7981296323200485E-4</c:v>
                  </c:pt>
                  <c:pt idx="10">
                    <c:v>3.9928123806077284E-4</c:v>
                  </c:pt>
                </c:numCache>
              </c:numRef>
            </c:plus>
            <c:minus>
              <c:numRef>
                <c:f>RRB_PA_HC!$AM$369:$AM$379</c:f>
                <c:numCache>
                  <c:formatCode>General</c:formatCode>
                  <c:ptCount val="11"/>
                  <c:pt idx="0">
                    <c:v>3.8265325534962889E-2</c:v>
                  </c:pt>
                  <c:pt idx="1">
                    <c:v>1.5400311976292075E-2</c:v>
                  </c:pt>
                  <c:pt idx="2">
                    <c:v>9.4046473258518957E-4</c:v>
                  </c:pt>
                  <c:pt idx="3">
                    <c:v>7.4539178877012753E-4</c:v>
                  </c:pt>
                  <c:pt idx="4">
                    <c:v>2.0527138798383661E-4</c:v>
                  </c:pt>
                  <c:pt idx="5">
                    <c:v>3.5203347268987655E-3</c:v>
                  </c:pt>
                  <c:pt idx="6">
                    <c:v>1.9596276799728756E-4</c:v>
                  </c:pt>
                  <c:pt idx="7">
                    <c:v>1.7827794404955428E-4</c:v>
                  </c:pt>
                  <c:pt idx="8">
                    <c:v>2.3664954837576712E-3</c:v>
                  </c:pt>
                  <c:pt idx="9">
                    <c:v>1.7981296323200485E-4</c:v>
                  </c:pt>
                  <c:pt idx="10">
                    <c:v>3.9928123806077284E-4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RRB_PA_HC!$AM$343:$AM$353</c:f>
              <c:numCache>
                <c:formatCode>0.0000</c:formatCode>
                <c:ptCount val="11"/>
                <c:pt idx="0">
                  <c:v>6.4078320607032585E-2</c:v>
                </c:pt>
                <c:pt idx="1">
                  <c:v>0.24207099600258516</c:v>
                </c:pt>
                <c:pt idx="2">
                  <c:v>1.3619934413672596E-2</c:v>
                </c:pt>
                <c:pt idx="3">
                  <c:v>2.2476482274935972E-2</c:v>
                </c:pt>
                <c:pt idx="4">
                  <c:v>6.2474567345668667E-3</c:v>
                </c:pt>
                <c:pt idx="5">
                  <c:v>8.2341958493908126E-3</c:v>
                </c:pt>
                <c:pt idx="6">
                  <c:v>5.385738564281782E-3</c:v>
                </c:pt>
                <c:pt idx="7">
                  <c:v>4.5958302415204542E-3</c:v>
                </c:pt>
                <c:pt idx="8">
                  <c:v>6.7740622830744198E-3</c:v>
                </c:pt>
                <c:pt idx="9">
                  <c:v>5.8884074969480817E-3</c:v>
                </c:pt>
                <c:pt idx="10">
                  <c:v>1.0747540512722312E-2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491-48A3-82CE-9C104C4901D4}"/>
            </c:ext>
          </c:extLst>
        </c:ser>
        <c:ser>
          <c:idx val="5"/>
          <c:order val="10"/>
          <c:tx>
            <c:strRef>
              <c:f>RRB_PA_HC!$AI$5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(RRB_PA_HC!$AI$8,RRB_PA_HC!$AI$33,RRB_PA_HC!$AI$58,RRB_PA_HC!$AI$83,RRB_PA_HC!$AI$108,RRB_PA_HC!$AI$133,RRB_PA_HC!$AI$158,RRB_PA_HC!$AI$183,RRB_PA_HC!$AI$208,RRB_PA_HC!$AI$233,RRB_PA_HC!$AI$258)</c:f>
              <c:numCache>
                <c:formatCode>0.00%</c:formatCode>
                <c:ptCount val="11"/>
                <c:pt idx="0">
                  <c:v>0.34193455729228994</c:v>
                </c:pt>
                <c:pt idx="1">
                  <c:v>4.8351963999329339E-3</c:v>
                </c:pt>
                <c:pt idx="2">
                  <c:v>4.5240203939966644E-3</c:v>
                </c:pt>
                <c:pt idx="3">
                  <c:v>4.5240203939965282E-3</c:v>
                </c:pt>
                <c:pt idx="4">
                  <c:v>4.5240203939966644E-3</c:v>
                </c:pt>
                <c:pt idx="5">
                  <c:v>0.23637408143236696</c:v>
                </c:pt>
                <c:pt idx="6">
                  <c:v>4.5240203939968006E-3</c:v>
                </c:pt>
                <c:pt idx="7">
                  <c:v>4.5240203939966644E-3</c:v>
                </c:pt>
                <c:pt idx="8">
                  <c:v>0.22770902649783373</c:v>
                </c:pt>
                <c:pt idx="9">
                  <c:v>4.4761471623142035E-3</c:v>
                </c:pt>
                <c:pt idx="10">
                  <c:v>4.4522105464728364E-3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491-48A3-82CE-9C104C490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ACB_R PA Mode Class Px count 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RRB_PA_HC!$AD$342</c:f>
              <c:strCache>
                <c:ptCount val="1"/>
                <c:pt idx="0">
                  <c:v>0 / W</c:v>
                </c:pt>
              </c:strCache>
            </c:strRef>
          </c:tx>
          <c:spPr>
            <a:solidFill>
              <a:srgbClr val="1F9DFF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RRB_PA_HC!$AD$356:$AD$366</c:f>
              <c:numCache>
                <c:formatCode>0.00</c:formatCode>
                <c:ptCount val="11"/>
                <c:pt idx="0">
                  <c:v>0</c:v>
                </c:pt>
                <c:pt idx="1">
                  <c:v>0.72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0.18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D-49F2-B1CF-4B85D03208A2}"/>
            </c:ext>
          </c:extLst>
        </c:ser>
        <c:ser>
          <c:idx val="3"/>
          <c:order val="1"/>
          <c:tx>
            <c:strRef>
              <c:f>RRB_PA_HC!$AI$342</c:f>
              <c:strCache>
                <c:ptCount val="1"/>
                <c:pt idx="0">
                  <c:v>0 / W (HC)</c:v>
                </c:pt>
              </c:strCache>
            </c:strRef>
          </c:tx>
          <c:spPr>
            <a:solidFill>
              <a:srgbClr val="1F9DFF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RRB_PA_HC!$AI$382:$AI$392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4.2169573060733635E-2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5.6855318621373677E-2</c:v>
                  </c:pt>
                  <c:pt idx="9">
                    <c:v>0</c:v>
                  </c:pt>
                  <c:pt idx="10">
                    <c:v>0</c:v>
                  </c:pt>
                </c:numCache>
              </c:numRef>
            </c:plus>
            <c:minus>
              <c:numRef>
                <c:f>RRB_PA_HC!$AI$382:$AI$392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4.2169573060733635E-2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5.6855318621373677E-2</c:v>
                  </c:pt>
                  <c:pt idx="9">
                    <c:v>0</c:v>
                  </c:pt>
                  <c:pt idx="1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RRB_PA_HC!$AI$356:$AI$366</c:f>
              <c:numCache>
                <c:formatCode>0.00</c:formatCode>
                <c:ptCount val="11"/>
                <c:pt idx="0">
                  <c:v>0</c:v>
                </c:pt>
                <c:pt idx="1">
                  <c:v>0.36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0.09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BD-49F2-B1CF-4B85D03208A2}"/>
            </c:ext>
          </c:extLst>
        </c:ser>
        <c:ser>
          <c:idx val="4"/>
          <c:order val="2"/>
          <c:tx>
            <c:strRef>
              <c:f>RRB_PA_HC!$AE$342</c:f>
              <c:strCache>
                <c:ptCount val="1"/>
                <c:pt idx="0">
                  <c:v>1 / B</c:v>
                </c:pt>
              </c:strCache>
            </c:strRef>
          </c:tx>
          <c:spPr>
            <a:solidFill>
              <a:srgbClr val="CACDDE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RRB_PA_HC!$AE$356:$AE$366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0.42</c:v>
                </c:pt>
                <c:pt idx="3">
                  <c:v>0</c:v>
                </c:pt>
                <c:pt idx="4">
                  <c:v>0.83</c:v>
                </c:pt>
                <c:pt idx="5">
                  <c:v>3.34</c:v>
                </c:pt>
                <c:pt idx="6">
                  <c:v>6.7</c:v>
                </c:pt>
                <c:pt idx="7">
                  <c:v>3.31</c:v>
                </c:pt>
                <c:pt idx="8">
                  <c:v>3.83</c:v>
                </c:pt>
                <c:pt idx="9">
                  <c:v>2.13</c:v>
                </c:pt>
                <c:pt idx="10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BD-49F2-B1CF-4B85D03208A2}"/>
            </c:ext>
          </c:extLst>
        </c:ser>
        <c:ser>
          <c:idx val="6"/>
          <c:order val="3"/>
          <c:tx>
            <c:strRef>
              <c:f>RRB_PA_HC!$AJ$342</c:f>
              <c:strCache>
                <c:ptCount val="1"/>
                <c:pt idx="0">
                  <c:v>1 / B (HC)</c:v>
                </c:pt>
              </c:strCache>
            </c:strRef>
          </c:tx>
          <c:spPr>
            <a:solidFill>
              <a:srgbClr val="CACDDE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RRB_PA_HC!$AJ$382:$AJ$392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0</c:v>
                  </c:pt>
                  <c:pt idx="2">
                    <c:v>2.3439934596518198E-2</c:v>
                  </c:pt>
                  <c:pt idx="3">
                    <c:v>0</c:v>
                  </c:pt>
                  <c:pt idx="4">
                    <c:v>2.1374675387130976E-2</c:v>
                  </c:pt>
                  <c:pt idx="5">
                    <c:v>1.1266296783900689</c:v>
                  </c:pt>
                  <c:pt idx="6">
                    <c:v>0.23440655958449561</c:v>
                  </c:pt>
                  <c:pt idx="7">
                    <c:v>0.10314898528421647</c:v>
                  </c:pt>
                  <c:pt idx="8">
                    <c:v>1.20975483511034</c:v>
                  </c:pt>
                  <c:pt idx="9">
                    <c:v>5.2289733108920211E-2</c:v>
                  </c:pt>
                  <c:pt idx="10">
                    <c:v>7.8497751917481901E-2</c:v>
                  </c:pt>
                </c:numCache>
              </c:numRef>
            </c:plus>
            <c:minus>
              <c:numRef>
                <c:f>RRB_PA_HC!$AJ$382:$AJ$392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0</c:v>
                  </c:pt>
                  <c:pt idx="2">
                    <c:v>2.3439934596518198E-2</c:v>
                  </c:pt>
                  <c:pt idx="3">
                    <c:v>0</c:v>
                  </c:pt>
                  <c:pt idx="4">
                    <c:v>2.1374675387130976E-2</c:v>
                  </c:pt>
                  <c:pt idx="5">
                    <c:v>1.1266296783900689</c:v>
                  </c:pt>
                  <c:pt idx="6">
                    <c:v>0.23440655958449561</c:v>
                  </c:pt>
                  <c:pt idx="7">
                    <c:v>0.10314898528421647</c:v>
                  </c:pt>
                  <c:pt idx="8">
                    <c:v>1.20975483511034</c:v>
                  </c:pt>
                  <c:pt idx="9">
                    <c:v>5.2289733108920211E-2</c:v>
                  </c:pt>
                  <c:pt idx="10">
                    <c:v>7.8497751917481901E-2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RRB_PA_HC!$AJ$356:$AJ$366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0.18</c:v>
                </c:pt>
                <c:pt idx="3">
                  <c:v>0</c:v>
                </c:pt>
                <c:pt idx="4">
                  <c:v>0.27</c:v>
                </c:pt>
                <c:pt idx="5">
                  <c:v>1.78</c:v>
                </c:pt>
                <c:pt idx="6">
                  <c:v>2.83</c:v>
                </c:pt>
                <c:pt idx="7">
                  <c:v>2.04</c:v>
                </c:pt>
                <c:pt idx="8">
                  <c:v>2.84</c:v>
                </c:pt>
                <c:pt idx="9">
                  <c:v>1.55</c:v>
                </c:pt>
                <c:pt idx="10">
                  <c:v>1.81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BD-49F2-B1CF-4B85D03208A2}"/>
            </c:ext>
          </c:extLst>
        </c:ser>
        <c:ser>
          <c:idx val="2"/>
          <c:order val="4"/>
          <c:tx>
            <c:strRef>
              <c:f>RRB_PA_HC!$AF$342</c:f>
              <c:strCache>
                <c:ptCount val="1"/>
                <c:pt idx="0">
                  <c:v>2 / A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[1]GUE_all!$L$6:$L$16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RRB_PA_HC!$AF$356:$AF$366</c:f>
              <c:numCache>
                <c:formatCode>0.00</c:formatCode>
                <c:ptCount val="11"/>
                <c:pt idx="0">
                  <c:v>117.43</c:v>
                </c:pt>
                <c:pt idx="1">
                  <c:v>151.86000000000001</c:v>
                </c:pt>
                <c:pt idx="2">
                  <c:v>217.16</c:v>
                </c:pt>
                <c:pt idx="3">
                  <c:v>253.12</c:v>
                </c:pt>
                <c:pt idx="4">
                  <c:v>266.36</c:v>
                </c:pt>
                <c:pt idx="5">
                  <c:v>189.28</c:v>
                </c:pt>
                <c:pt idx="6">
                  <c:v>267.52999999999997</c:v>
                </c:pt>
                <c:pt idx="7">
                  <c:v>298.62</c:v>
                </c:pt>
                <c:pt idx="8">
                  <c:v>205.71</c:v>
                </c:pt>
                <c:pt idx="9">
                  <c:v>286.95999999999998</c:v>
                </c:pt>
                <c:pt idx="10">
                  <c:v>293.85000000000002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BD-49F2-B1CF-4B85D03208A2}"/>
            </c:ext>
          </c:extLst>
        </c:ser>
        <c:ser>
          <c:idx val="0"/>
          <c:order val="5"/>
          <c:tx>
            <c:strRef>
              <c:f>RRB_PA_HC!$AK$342</c:f>
              <c:strCache>
                <c:ptCount val="1"/>
                <c:pt idx="0">
                  <c:v>2 / A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RRB_PA_HC!$AK$382:$AK$392</c:f>
                <c:numCache>
                  <c:formatCode>General</c:formatCode>
                  <c:ptCount val="11"/>
                  <c:pt idx="0">
                    <c:v>66.100292812454512</c:v>
                  </c:pt>
                  <c:pt idx="1">
                    <c:v>8.8942657847264019</c:v>
                  </c:pt>
                  <c:pt idx="2">
                    <c:v>12.119562373761648</c:v>
                  </c:pt>
                  <c:pt idx="3">
                    <c:v>7.1332268923727487</c:v>
                  </c:pt>
                  <c:pt idx="4">
                    <c:v>6.8594681158026578</c:v>
                  </c:pt>
                  <c:pt idx="5">
                    <c:v>63.846845965770143</c:v>
                  </c:pt>
                  <c:pt idx="6">
                    <c:v>9.3598189381552412</c:v>
                  </c:pt>
                  <c:pt idx="7">
                    <c:v>9.3058459170914567</c:v>
                  </c:pt>
                  <c:pt idx="8">
                    <c:v>64.976153297793218</c:v>
                  </c:pt>
                  <c:pt idx="9">
                    <c:v>7.0446299591247605</c:v>
                  </c:pt>
                  <c:pt idx="10">
                    <c:v>8.2380587146257369</c:v>
                  </c:pt>
                </c:numCache>
              </c:numRef>
            </c:plus>
            <c:minus>
              <c:numRef>
                <c:f>RRB_PA_HC!$AK$382:$AK$392</c:f>
                <c:numCache>
                  <c:formatCode>General</c:formatCode>
                  <c:ptCount val="11"/>
                  <c:pt idx="0">
                    <c:v>66.100292812454512</c:v>
                  </c:pt>
                  <c:pt idx="1">
                    <c:v>8.8942657847264019</c:v>
                  </c:pt>
                  <c:pt idx="2">
                    <c:v>12.119562373761648</c:v>
                  </c:pt>
                  <c:pt idx="3">
                    <c:v>7.1332268923727487</c:v>
                  </c:pt>
                  <c:pt idx="4">
                    <c:v>6.8594681158026578</c:v>
                  </c:pt>
                  <c:pt idx="5">
                    <c:v>63.846845965770143</c:v>
                  </c:pt>
                  <c:pt idx="6">
                    <c:v>9.3598189381552412</c:v>
                  </c:pt>
                  <c:pt idx="7">
                    <c:v>9.3058459170914567</c:v>
                  </c:pt>
                  <c:pt idx="8">
                    <c:v>64.976153297793218</c:v>
                  </c:pt>
                  <c:pt idx="9">
                    <c:v>7.0446299591247605</c:v>
                  </c:pt>
                  <c:pt idx="10">
                    <c:v>8.2380587146257369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RRB_PA_HC!$AK$356:$AK$366</c:f>
              <c:numCache>
                <c:formatCode>0.00</c:formatCode>
                <c:ptCount val="11"/>
                <c:pt idx="0">
                  <c:v>114.49</c:v>
                </c:pt>
                <c:pt idx="1">
                  <c:v>142.54</c:v>
                </c:pt>
                <c:pt idx="2">
                  <c:v>206.5</c:v>
                </c:pt>
                <c:pt idx="3">
                  <c:v>248.83</c:v>
                </c:pt>
                <c:pt idx="4">
                  <c:v>262.45</c:v>
                </c:pt>
                <c:pt idx="5">
                  <c:v>186.25</c:v>
                </c:pt>
                <c:pt idx="6">
                  <c:v>262.66000000000003</c:v>
                </c:pt>
                <c:pt idx="7">
                  <c:v>293.37</c:v>
                </c:pt>
                <c:pt idx="8">
                  <c:v>202.97</c:v>
                </c:pt>
                <c:pt idx="9">
                  <c:v>283.41000000000003</c:v>
                </c:pt>
                <c:pt idx="10">
                  <c:v>289.3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BD-49F2-B1CF-4B85D03208A2}"/>
            </c:ext>
          </c:extLst>
        </c:ser>
        <c:ser>
          <c:idx val="7"/>
          <c:order val="6"/>
          <c:tx>
            <c:strRef>
              <c:f>RRB_PA_HC!$AG$342</c:f>
              <c:strCache>
                <c:ptCount val="1"/>
                <c:pt idx="0">
                  <c:v>3 / F</c:v>
                </c:pt>
              </c:strCache>
            </c:strRef>
          </c:tx>
          <c:spPr>
            <a:solidFill>
              <a:srgbClr val="149721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RRB_PA_HC!$AG$356:$AG$366</c:f>
              <c:numCache>
                <c:formatCode>0.00</c:formatCode>
                <c:ptCount val="11"/>
                <c:pt idx="0">
                  <c:v>129.09</c:v>
                </c:pt>
                <c:pt idx="1">
                  <c:v>153.32</c:v>
                </c:pt>
                <c:pt idx="2">
                  <c:v>191.26</c:v>
                </c:pt>
                <c:pt idx="3">
                  <c:v>151.71</c:v>
                </c:pt>
                <c:pt idx="4">
                  <c:v>145.36000000000001</c:v>
                </c:pt>
                <c:pt idx="5">
                  <c:v>122.04</c:v>
                </c:pt>
                <c:pt idx="6">
                  <c:v>139.31</c:v>
                </c:pt>
                <c:pt idx="7">
                  <c:v>111.56</c:v>
                </c:pt>
                <c:pt idx="8">
                  <c:v>109.79</c:v>
                </c:pt>
                <c:pt idx="9">
                  <c:v>123.75</c:v>
                </c:pt>
                <c:pt idx="10">
                  <c:v>113.31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BD-49F2-B1CF-4B85D03208A2}"/>
            </c:ext>
          </c:extLst>
        </c:ser>
        <c:ser>
          <c:idx val="8"/>
          <c:order val="7"/>
          <c:tx>
            <c:strRef>
              <c:f>RRB_PA_HC!$AL$342</c:f>
              <c:strCache>
                <c:ptCount val="1"/>
                <c:pt idx="0">
                  <c:v>3 / F (HC)</c:v>
                </c:pt>
              </c:strCache>
            </c:strRef>
          </c:tx>
          <c:spPr>
            <a:solidFill>
              <a:srgbClr val="14972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RRB_PA_HC!$AL$382:$AL$392</c:f>
                <c:numCache>
                  <c:formatCode>General</c:formatCode>
                  <c:ptCount val="11"/>
                  <c:pt idx="0">
                    <c:v>72.663602138803995</c:v>
                  </c:pt>
                  <c:pt idx="1">
                    <c:v>8.9797763078773336</c:v>
                  </c:pt>
                  <c:pt idx="2">
                    <c:v>10.674099740309694</c:v>
                  </c:pt>
                  <c:pt idx="3">
                    <c:v>4.275370780032671</c:v>
                  </c:pt>
                  <c:pt idx="4">
                    <c:v>3.7434009810522393</c:v>
                  </c:pt>
                  <c:pt idx="5">
                    <c:v>41.165834116983241</c:v>
                  </c:pt>
                  <c:pt idx="6">
                    <c:v>4.8739071366740427</c:v>
                  </c:pt>
                  <c:pt idx="7">
                    <c:v>3.476525920938728</c:v>
                  </c:pt>
                  <c:pt idx="8">
                    <c:v>34.678585730225649</c:v>
                  </c:pt>
                  <c:pt idx="9">
                    <c:v>3.0379598461168422</c:v>
                  </c:pt>
                  <c:pt idx="10">
                    <c:v>3.176635810632098</c:v>
                  </c:pt>
                </c:numCache>
              </c:numRef>
            </c:plus>
            <c:minus>
              <c:numRef>
                <c:f>RRB_PA_HC!$AL$382:$AL$392</c:f>
                <c:numCache>
                  <c:formatCode>General</c:formatCode>
                  <c:ptCount val="11"/>
                  <c:pt idx="0">
                    <c:v>72.663602138803995</c:v>
                  </c:pt>
                  <c:pt idx="1">
                    <c:v>8.9797763078773336</c:v>
                  </c:pt>
                  <c:pt idx="2">
                    <c:v>10.674099740309694</c:v>
                  </c:pt>
                  <c:pt idx="3">
                    <c:v>4.275370780032671</c:v>
                  </c:pt>
                  <c:pt idx="4">
                    <c:v>3.7434009810522393</c:v>
                  </c:pt>
                  <c:pt idx="5">
                    <c:v>41.165834116983241</c:v>
                  </c:pt>
                  <c:pt idx="6">
                    <c:v>4.8739071366740427</c:v>
                  </c:pt>
                  <c:pt idx="7">
                    <c:v>3.476525920938728</c:v>
                  </c:pt>
                  <c:pt idx="8">
                    <c:v>34.678585730225649</c:v>
                  </c:pt>
                  <c:pt idx="9">
                    <c:v>3.0379598461168422</c:v>
                  </c:pt>
                  <c:pt idx="10">
                    <c:v>3.176635810632098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RRB_PA_HC!$AL$356:$AL$366</c:f>
              <c:numCache>
                <c:formatCode>0.00</c:formatCode>
                <c:ptCount val="11"/>
                <c:pt idx="0">
                  <c:v>121.76</c:v>
                </c:pt>
                <c:pt idx="1">
                  <c:v>149.38999999999999</c:v>
                </c:pt>
                <c:pt idx="2">
                  <c:v>182.19</c:v>
                </c:pt>
                <c:pt idx="3">
                  <c:v>147.83000000000001</c:v>
                </c:pt>
                <c:pt idx="4">
                  <c:v>141.72999999999999</c:v>
                </c:pt>
                <c:pt idx="5">
                  <c:v>118.69</c:v>
                </c:pt>
                <c:pt idx="6">
                  <c:v>135.47999999999999</c:v>
                </c:pt>
                <c:pt idx="7">
                  <c:v>107.48</c:v>
                </c:pt>
                <c:pt idx="8">
                  <c:v>107.13</c:v>
                </c:pt>
                <c:pt idx="9">
                  <c:v>120.14</c:v>
                </c:pt>
                <c:pt idx="10">
                  <c:v>110.51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BD-49F2-B1CF-4B85D03208A2}"/>
            </c:ext>
          </c:extLst>
        </c:ser>
        <c:ser>
          <c:idx val="9"/>
          <c:order val="8"/>
          <c:tx>
            <c:strRef>
              <c:f>RRB_PA_HC!$AH$342</c:f>
              <c:strCache>
                <c:ptCount val="1"/>
                <c:pt idx="0">
                  <c:v>4 / S</c:v>
                </c:pt>
              </c:strCache>
            </c:strRef>
          </c:tx>
          <c:spPr>
            <a:solidFill>
              <a:srgbClr val="AD8D06">
                <a:alpha val="70000"/>
              </a:srgbClr>
            </a:solidFill>
            <a:ln>
              <a:noFill/>
            </a:ln>
            <a:effectLst/>
          </c:spPr>
          <c:invertIfNegative val="0"/>
          <c:val>
            <c:numRef>
              <c:f>RRB_PA_HC!$AH$356:$AH$366</c:f>
              <c:numCache>
                <c:formatCode>0.00</c:formatCode>
                <c:ptCount val="11"/>
                <c:pt idx="0">
                  <c:v>28.4</c:v>
                </c:pt>
                <c:pt idx="1">
                  <c:v>109.85</c:v>
                </c:pt>
                <c:pt idx="2">
                  <c:v>7.04</c:v>
                </c:pt>
                <c:pt idx="3">
                  <c:v>11.05</c:v>
                </c:pt>
                <c:pt idx="4">
                  <c:v>3.33</c:v>
                </c:pt>
                <c:pt idx="5">
                  <c:v>4.3600000000000003</c:v>
                </c:pt>
                <c:pt idx="6">
                  <c:v>2.34</c:v>
                </c:pt>
                <c:pt idx="7">
                  <c:v>2.39</c:v>
                </c:pt>
                <c:pt idx="8">
                  <c:v>3.13</c:v>
                </c:pt>
                <c:pt idx="9">
                  <c:v>3.06</c:v>
                </c:pt>
                <c:pt idx="10">
                  <c:v>5.95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BD-49F2-B1CF-4B85D03208A2}"/>
            </c:ext>
          </c:extLst>
        </c:ser>
        <c:ser>
          <c:idx val="10"/>
          <c:order val="9"/>
          <c:tx>
            <c:strRef>
              <c:f>RRB_PA_HC!$AM$342</c:f>
              <c:strCache>
                <c:ptCount val="1"/>
                <c:pt idx="0">
                  <c:v>4 / S (HC)</c:v>
                </c:pt>
              </c:strCache>
            </c:strRef>
          </c:tx>
          <c:spPr>
            <a:solidFill>
              <a:srgbClr val="AD8D0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RRB_PA_HC!$AM$382:$AM$392</c:f>
                <c:numCache>
                  <c:formatCode>General</c:formatCode>
                  <c:ptCount val="11"/>
                  <c:pt idx="0">
                    <c:v>15.986105048741447</c:v>
                  </c:pt>
                  <c:pt idx="1">
                    <c:v>6.4337883343355395</c:v>
                  </c:pt>
                  <c:pt idx="2">
                    <c:v>0.39289795133211464</c:v>
                  </c:pt>
                  <c:pt idx="3">
                    <c:v>0.31140232759449615</c:v>
                  </c:pt>
                  <c:pt idx="4">
                    <c:v>8.5756227758007411E-2</c:v>
                  </c:pt>
                  <c:pt idx="5">
                    <c:v>1.4706902388564973</c:v>
                  </c:pt>
                  <c:pt idx="6">
                    <c:v>8.1867365586226815E-2</c:v>
                  </c:pt>
                  <c:pt idx="7">
                    <c:v>7.4479176685582293E-2</c:v>
                  </c:pt>
                  <c:pt idx="8">
                    <c:v>0.98865081824944234</c:v>
                  </c:pt>
                  <c:pt idx="9">
                    <c:v>7.5120461649434658E-2</c:v>
                  </c:pt>
                  <c:pt idx="10">
                    <c:v>0.16680772282464906</c:v>
                  </c:pt>
                </c:numCache>
              </c:numRef>
            </c:plus>
            <c:minus>
              <c:numRef>
                <c:f>RRB_PA_HC!$AM$382:$AM$392</c:f>
                <c:numCache>
                  <c:formatCode>General</c:formatCode>
                  <c:ptCount val="11"/>
                  <c:pt idx="0">
                    <c:v>15.986105048741447</c:v>
                  </c:pt>
                  <c:pt idx="1">
                    <c:v>6.4337883343355395</c:v>
                  </c:pt>
                  <c:pt idx="2">
                    <c:v>0.39289795133211464</c:v>
                  </c:pt>
                  <c:pt idx="3">
                    <c:v>0.31140232759449615</c:v>
                  </c:pt>
                  <c:pt idx="4">
                    <c:v>8.5756227758007411E-2</c:v>
                  </c:pt>
                  <c:pt idx="5">
                    <c:v>1.4706902388564973</c:v>
                  </c:pt>
                  <c:pt idx="6">
                    <c:v>8.1867365586226815E-2</c:v>
                  </c:pt>
                  <c:pt idx="7">
                    <c:v>7.4479176685582293E-2</c:v>
                  </c:pt>
                  <c:pt idx="8">
                    <c:v>0.98865081824944234</c:v>
                  </c:pt>
                  <c:pt idx="9">
                    <c:v>7.5120461649434658E-2</c:v>
                  </c:pt>
                  <c:pt idx="10">
                    <c:v>0.16680772282464906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RRB_PA_HC!$AM$356:$AM$366</c:f>
              <c:numCache>
                <c:formatCode>0.00</c:formatCode>
                <c:ptCount val="11"/>
                <c:pt idx="0">
                  <c:v>26.77</c:v>
                </c:pt>
                <c:pt idx="1">
                  <c:v>101.13</c:v>
                </c:pt>
                <c:pt idx="2">
                  <c:v>5.69</c:v>
                </c:pt>
                <c:pt idx="3">
                  <c:v>9.39</c:v>
                </c:pt>
                <c:pt idx="4">
                  <c:v>2.61</c:v>
                </c:pt>
                <c:pt idx="5">
                  <c:v>3.44</c:v>
                </c:pt>
                <c:pt idx="6">
                  <c:v>2.25</c:v>
                </c:pt>
                <c:pt idx="7">
                  <c:v>1.92</c:v>
                </c:pt>
                <c:pt idx="8">
                  <c:v>2.83</c:v>
                </c:pt>
                <c:pt idx="9">
                  <c:v>2.46</c:v>
                </c:pt>
                <c:pt idx="10">
                  <c:v>4.49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BD-49F2-B1CF-4B85D03208A2}"/>
            </c:ext>
          </c:extLst>
        </c:ser>
        <c:ser>
          <c:idx val="5"/>
          <c:order val="10"/>
          <c:tx>
            <c:strRef>
              <c:f>RRB_PA_HC!$AI$5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(RRB_PA_HC!$AI$7,RRB_PA_HC!$AI$32,RRB_PA_HC!$AI$57,RRB_PA_HC!$AI$82,RRB_PA_HC!$AI$107,RRB_PA_HC!$AI$132,RRB_PA_HC!$AI$157,RRB_PA_HC!$AI$182,RRB_PA_HC!$AI$207,RRB_PA_HC!$AI$232,RRB_PA_HC!$AI$257)</c:f>
              <c:numCache>
                <c:formatCode>0.00</c:formatCode>
                <c:ptCount val="11"/>
                <c:pt idx="0">
                  <c:v>142.84999999999997</c:v>
                </c:pt>
                <c:pt idx="1">
                  <c:v>2.0199999999999818</c:v>
                </c:pt>
                <c:pt idx="2">
                  <c:v>1.8899999999999864</c:v>
                </c:pt>
                <c:pt idx="3">
                  <c:v>1.8899999999999295</c:v>
                </c:pt>
                <c:pt idx="4">
                  <c:v>1.8899999999999864</c:v>
                </c:pt>
                <c:pt idx="5">
                  <c:v>98.749999999999943</c:v>
                </c:pt>
                <c:pt idx="6">
                  <c:v>1.8900000000000432</c:v>
                </c:pt>
                <c:pt idx="7">
                  <c:v>1.8899999999999864</c:v>
                </c:pt>
                <c:pt idx="8">
                  <c:v>95.13</c:v>
                </c:pt>
                <c:pt idx="9">
                  <c:v>1.8700000000000045</c:v>
                </c:pt>
                <c:pt idx="10">
                  <c:v>1.8599999999999568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BD-49F2-B1CF-4B85D0320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ACB_R PA Mode Binary Px count Area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RRB_PA_HC!$F$3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[1]GUE_all!$L$6:$L$16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RRB_PA_HC!$AE$440:$AE$450</c:f>
              <c:numCache>
                <c:formatCode>0.00%</c:formatCode>
                <c:ptCount val="11"/>
                <c:pt idx="0">
                  <c:v>0.28108767982382654</c:v>
                </c:pt>
                <c:pt idx="1">
                  <c:v>0.36350144816525842</c:v>
                </c:pt>
                <c:pt idx="2">
                  <c:v>0.5198075496086364</c:v>
                </c:pt>
                <c:pt idx="3">
                  <c:v>0.60588362017377984</c:v>
                </c:pt>
                <c:pt idx="4">
                  <c:v>0.63757569954759807</c:v>
                </c:pt>
                <c:pt idx="5">
                  <c:v>0.45307226464322475</c:v>
                </c:pt>
                <c:pt idx="6">
                  <c:v>0.6403762836010245</c:v>
                </c:pt>
                <c:pt idx="7">
                  <c:v>0.71479522225147818</c:v>
                </c:pt>
                <c:pt idx="8">
                  <c:v>0.49240012447040243</c:v>
                </c:pt>
                <c:pt idx="9">
                  <c:v>0.68688512818057779</c:v>
                </c:pt>
                <c:pt idx="10">
                  <c:v>0.70337745649520078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E-4FCC-8471-18FE87681292}"/>
            </c:ext>
          </c:extLst>
        </c:ser>
        <c:ser>
          <c:idx val="0"/>
          <c:order val="1"/>
          <c:tx>
            <c:strRef>
              <c:f>RRB_PA_HC!$L$4</c:f>
              <c:strCache>
                <c:ptCount val="1"/>
                <c:pt idx="0">
                  <c:v>Agriculture-Grass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RRB_PA_HC!$AL$440:$AL$450</c:f>
                <c:numCache>
                  <c:formatCode>General</c:formatCode>
                  <c:ptCount val="11"/>
                  <c:pt idx="0">
                    <c:v>0.15822173160460185</c:v>
                  </c:pt>
                  <c:pt idx="1">
                    <c:v>2.128986232789909E-2</c:v>
                  </c:pt>
                  <c:pt idx="2">
                    <c:v>2.9010130870482917E-2</c:v>
                  </c:pt>
                  <c:pt idx="3">
                    <c:v>1.7074531183121692E-2</c:v>
                  </c:pt>
                  <c:pt idx="4">
                    <c:v>1.641924531632874E-2</c:v>
                  </c:pt>
                  <c:pt idx="5">
                    <c:v>0.15282774245582534</c:v>
                  </c:pt>
                  <c:pt idx="6">
                    <c:v>2.2404239026630062E-2</c:v>
                  </c:pt>
                  <c:pt idx="7">
                    <c:v>2.2275045879530501E-2</c:v>
                  </c:pt>
                  <c:pt idx="8">
                    <c:v>0.15553092203315994</c:v>
                  </c:pt>
                  <c:pt idx="9">
                    <c:v>1.6862460107534675E-2</c:v>
                  </c:pt>
                  <c:pt idx="10">
                    <c:v>1.9719124672967752E-2</c:v>
                  </c:pt>
                </c:numCache>
              </c:numRef>
            </c:plus>
            <c:minus>
              <c:numRef>
                <c:f>RRB_PA_HC!$AL$440:$AL$450</c:f>
                <c:numCache>
                  <c:formatCode>General</c:formatCode>
                  <c:ptCount val="11"/>
                  <c:pt idx="0">
                    <c:v>0.15822173160460185</c:v>
                  </c:pt>
                  <c:pt idx="1">
                    <c:v>2.128986232789909E-2</c:v>
                  </c:pt>
                  <c:pt idx="2">
                    <c:v>2.9010130870482917E-2</c:v>
                  </c:pt>
                  <c:pt idx="3">
                    <c:v>1.7074531183121692E-2</c:v>
                  </c:pt>
                  <c:pt idx="4">
                    <c:v>1.641924531632874E-2</c:v>
                  </c:pt>
                  <c:pt idx="5">
                    <c:v>0.15282774245582534</c:v>
                  </c:pt>
                  <c:pt idx="6">
                    <c:v>2.2404239026630062E-2</c:v>
                  </c:pt>
                  <c:pt idx="7">
                    <c:v>2.2275045879530501E-2</c:v>
                  </c:pt>
                  <c:pt idx="8">
                    <c:v>0.15553092203315994</c:v>
                  </c:pt>
                  <c:pt idx="9">
                    <c:v>1.6862460107534675E-2</c:v>
                  </c:pt>
                  <c:pt idx="10">
                    <c:v>1.9719124672967752E-2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RRB_PA_HC!$AG$440:$AG$450</c:f>
              <c:numCache>
                <c:formatCode>0.00%</c:formatCode>
                <c:ptCount val="11"/>
                <c:pt idx="0">
                  <c:v>0.27405031476649833</c:v>
                </c:pt>
                <c:pt idx="1">
                  <c:v>0.34119252220121121</c:v>
                </c:pt>
                <c:pt idx="2">
                  <c:v>0.49429111712186136</c:v>
                </c:pt>
                <c:pt idx="3">
                  <c:v>0.59561481197788257</c:v>
                </c:pt>
                <c:pt idx="4">
                  <c:v>0.62821648275366826</c:v>
                </c:pt>
                <c:pt idx="5">
                  <c:v>0.44581947004332528</c:v>
                </c:pt>
                <c:pt idx="6">
                  <c:v>0.62871915168633463</c:v>
                </c:pt>
                <c:pt idx="7">
                  <c:v>0.70222849893482064</c:v>
                </c:pt>
                <c:pt idx="8">
                  <c:v>0.48584149172989927</c:v>
                </c:pt>
                <c:pt idx="9">
                  <c:v>0.67838762955693332</c:v>
                </c:pt>
                <c:pt idx="10">
                  <c:v>0.69248629628743097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DE-4FCC-8471-18FE87681292}"/>
            </c:ext>
          </c:extLst>
        </c:ser>
        <c:ser>
          <c:idx val="5"/>
          <c:order val="2"/>
          <c:tx>
            <c:strRef>
              <c:f>RRB_PA_HC!$I$5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RRB_PA_HC!$AH$440:$AH$450</c:f>
              <c:numCache>
                <c:formatCode>0.00%</c:formatCode>
                <c:ptCount val="11"/>
                <c:pt idx="0">
                  <c:v>0.34193455729228994</c:v>
                </c:pt>
                <c:pt idx="1">
                  <c:v>4.8351963999329339E-3</c:v>
                </c:pt>
                <c:pt idx="2">
                  <c:v>4.5240203939966644E-3</c:v>
                </c:pt>
                <c:pt idx="3">
                  <c:v>4.5240203939965282E-3</c:v>
                </c:pt>
                <c:pt idx="4">
                  <c:v>4.5240203939966644E-3</c:v>
                </c:pt>
                <c:pt idx="5">
                  <c:v>0.23637408143236696</c:v>
                </c:pt>
                <c:pt idx="6">
                  <c:v>4.5240203939968006E-3</c:v>
                </c:pt>
                <c:pt idx="7">
                  <c:v>4.5240203939966644E-3</c:v>
                </c:pt>
                <c:pt idx="8">
                  <c:v>0.22770902649783373</c:v>
                </c:pt>
                <c:pt idx="9">
                  <c:v>4.4761471623142035E-3</c:v>
                </c:pt>
                <c:pt idx="10">
                  <c:v>4.4522105464728364E-3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DE-4FCC-8471-18FE87681292}"/>
            </c:ext>
          </c:extLst>
        </c:ser>
        <c:ser>
          <c:idx val="1"/>
          <c:order val="3"/>
          <c:tx>
            <c:strRef>
              <c:f>RRB_PA_HC!$K$3</c:f>
              <c:strCache>
                <c:ptCount val="1"/>
                <c:pt idx="0">
                  <c:v>Not Agriculture-Grass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RRB_PA_HC!$AD$440:$AD$450</c:f>
              <c:numCache>
                <c:formatCode>0.00%</c:formatCode>
                <c:ptCount val="11"/>
                <c:pt idx="0">
                  <c:v>0.37697776288388352</c:v>
                </c:pt>
                <c:pt idx="1">
                  <c:v>0.63166335543480867</c:v>
                </c:pt>
                <c:pt idx="2">
                  <c:v>0.47566842999736691</c:v>
                </c:pt>
                <c:pt idx="3">
                  <c:v>0.38959235943222353</c:v>
                </c:pt>
                <c:pt idx="4">
                  <c:v>0.35790028005840546</c:v>
                </c:pt>
                <c:pt idx="5">
                  <c:v>0.3105536539244082</c:v>
                </c:pt>
                <c:pt idx="6">
                  <c:v>0.35509969600497882</c:v>
                </c:pt>
                <c:pt idx="7">
                  <c:v>0.28068075735452525</c:v>
                </c:pt>
                <c:pt idx="8">
                  <c:v>0.27989084903176392</c:v>
                </c:pt>
                <c:pt idx="9">
                  <c:v>0.30863872465710801</c:v>
                </c:pt>
                <c:pt idx="10">
                  <c:v>0.2921703329583264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DE-4FCC-8471-18FE87681292}"/>
            </c:ext>
          </c:extLst>
        </c:ser>
        <c:ser>
          <c:idx val="3"/>
          <c:order val="4"/>
          <c:tx>
            <c:strRef>
              <c:f>RRB_PA_HC!$K$4</c:f>
              <c:strCache>
                <c:ptCount val="1"/>
                <c:pt idx="0">
                  <c:v>Not Agriculture-Grass (HC)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RRB_PA_HC!$AK$440:$AK$450</c:f>
                <c:numCache>
                  <c:formatCode>General</c:formatCode>
                  <c:ptCount val="11"/>
                  <c:pt idx="0">
                    <c:v>0.21219739853877839</c:v>
                  </c:pt>
                  <c:pt idx="1">
                    <c:v>3.6995797245550445E-2</c:v>
                  </c:pt>
                  <c:pt idx="2">
                    <c:v>2.6546754497063764E-2</c:v>
                  </c:pt>
                  <c:pt idx="3">
                    <c:v>1.0979182582825878E-2</c:v>
                  </c:pt>
                  <c:pt idx="4">
                    <c:v>9.216870249652627E-3</c:v>
                  </c:pt>
                  <c:pt idx="5">
                    <c:v>0.10475418061189125</c:v>
                  </c:pt>
                  <c:pt idx="6">
                    <c:v>1.2423537022392144E-2</c:v>
                  </c:pt>
                  <c:pt idx="7">
                    <c:v>8.746808250732525E-3</c:v>
                  </c:pt>
                  <c:pt idx="8">
                    <c:v>8.8407130005042966E-2</c:v>
                  </c:pt>
                  <c:pt idx="9">
                    <c:v>7.5768246663838893E-3</c:v>
                  </c:pt>
                  <c:pt idx="10">
                    <c:v>8.1909693979324242E-3</c:v>
                  </c:pt>
                </c:numCache>
              </c:numRef>
            </c:plus>
            <c:minus>
              <c:numRef>
                <c:f>RRB_PA_HC!$AK$440:$AK$450</c:f>
                <c:numCache>
                  <c:formatCode>General</c:formatCode>
                  <c:ptCount val="11"/>
                  <c:pt idx="0">
                    <c:v>0.21219739853877839</c:v>
                  </c:pt>
                  <c:pt idx="1">
                    <c:v>3.6995797245550445E-2</c:v>
                  </c:pt>
                  <c:pt idx="2">
                    <c:v>2.6546754497063764E-2</c:v>
                  </c:pt>
                  <c:pt idx="3">
                    <c:v>1.0979182582825878E-2</c:v>
                  </c:pt>
                  <c:pt idx="4">
                    <c:v>9.216870249652627E-3</c:v>
                  </c:pt>
                  <c:pt idx="5">
                    <c:v>0.10475418061189125</c:v>
                  </c:pt>
                  <c:pt idx="6">
                    <c:v>1.2423537022392144E-2</c:v>
                  </c:pt>
                  <c:pt idx="7">
                    <c:v>8.746808250732525E-3</c:v>
                  </c:pt>
                  <c:pt idx="8">
                    <c:v>8.8407130005042966E-2</c:v>
                  </c:pt>
                  <c:pt idx="9">
                    <c:v>7.5768246663838893E-3</c:v>
                  </c:pt>
                  <c:pt idx="10">
                    <c:v>8.1909693979324242E-3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val>
            <c:numRef>
              <c:f>RRB_PA_HC!$AF$440:$AF$450</c:f>
              <c:numCache>
                <c:formatCode>0.00%</c:formatCode>
                <c:ptCount val="11"/>
                <c:pt idx="0">
                  <c:v>0.35553055509012138</c:v>
                </c:pt>
                <c:pt idx="1">
                  <c:v>0.60052181822533934</c:v>
                </c:pt>
                <c:pt idx="2">
                  <c:v>0.45015199751059198</c:v>
                </c:pt>
                <c:pt idx="3">
                  <c:v>0.37633147425616975</c:v>
                </c:pt>
                <c:pt idx="4">
                  <c:v>0.34614740168035046</c:v>
                </c:pt>
                <c:pt idx="5">
                  <c:v>0.29659860688895806</c:v>
                </c:pt>
                <c:pt idx="6">
                  <c:v>0.33645307226464327</c:v>
                </c:pt>
                <c:pt idx="7">
                  <c:v>0.26674964693491637</c:v>
                </c:pt>
                <c:pt idx="8">
                  <c:v>0.27022045623189794</c:v>
                </c:pt>
                <c:pt idx="9">
                  <c:v>0.29717308566914807</c:v>
                </c:pt>
                <c:pt idx="10">
                  <c:v>0.27960360964166886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DE-4FCC-8471-18FE87681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2.0000000000000004E-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3486126260820186"/>
          <c:w val="0.93372244240575686"/>
          <c:h val="0.12558181086779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ACB_R PA Mode Binary Px count Area (kHa)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873490008575117E-2"/>
          <c:y val="0.26802307656170216"/>
          <c:w val="0.91933437284244868"/>
          <c:h val="0.6385270144306809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RRB_PA_HC!$F$3</c:f>
              <c:strCache>
                <c:ptCount val="1"/>
                <c:pt idx="0">
                  <c:v>Agriculture-Grass</c:v>
                </c:pt>
              </c:strCache>
            </c:strRef>
          </c:tx>
          <c:spPr>
            <a:solidFill>
              <a:srgbClr val="B1EE2D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RRB_PA_HC!$AE$453:$AE$463</c:f>
              <c:numCache>
                <c:formatCode>0.00</c:formatCode>
                <c:ptCount val="11"/>
                <c:pt idx="0">
                  <c:v>117.43</c:v>
                </c:pt>
                <c:pt idx="1">
                  <c:v>151.86000000000001</c:v>
                </c:pt>
                <c:pt idx="2">
                  <c:v>217.16</c:v>
                </c:pt>
                <c:pt idx="3">
                  <c:v>253.12</c:v>
                </c:pt>
                <c:pt idx="4">
                  <c:v>266.36</c:v>
                </c:pt>
                <c:pt idx="5">
                  <c:v>189.28</c:v>
                </c:pt>
                <c:pt idx="6">
                  <c:v>267.52999999999997</c:v>
                </c:pt>
                <c:pt idx="7">
                  <c:v>298.62</c:v>
                </c:pt>
                <c:pt idx="8">
                  <c:v>205.71</c:v>
                </c:pt>
                <c:pt idx="9">
                  <c:v>286.95999999999998</c:v>
                </c:pt>
                <c:pt idx="10">
                  <c:v>293.85000000000002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2-4497-A6CE-602C4F6E1246}"/>
            </c:ext>
          </c:extLst>
        </c:ser>
        <c:ser>
          <c:idx val="0"/>
          <c:order val="1"/>
          <c:tx>
            <c:strRef>
              <c:f>RRB_PA_HC!$L$4</c:f>
              <c:strCache>
                <c:ptCount val="1"/>
                <c:pt idx="0">
                  <c:v>Agriculture-Grass (HC)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RRB_PA_HC!$AL$453:$AL$463</c:f>
                <c:numCache>
                  <c:formatCode>General</c:formatCode>
                  <c:ptCount val="11"/>
                  <c:pt idx="0">
                    <c:v>66.100292812454512</c:v>
                  </c:pt>
                  <c:pt idx="1">
                    <c:v>8.8942657847264019</c:v>
                  </c:pt>
                  <c:pt idx="2">
                    <c:v>12.119562373761648</c:v>
                  </c:pt>
                  <c:pt idx="3">
                    <c:v>7.1332268923727487</c:v>
                  </c:pt>
                  <c:pt idx="4">
                    <c:v>6.8594681158026578</c:v>
                  </c:pt>
                  <c:pt idx="5">
                    <c:v>63.846845965770143</c:v>
                  </c:pt>
                  <c:pt idx="6">
                    <c:v>9.3598189381552412</c:v>
                  </c:pt>
                  <c:pt idx="7">
                    <c:v>9.3058459170914567</c:v>
                  </c:pt>
                  <c:pt idx="8">
                    <c:v>64.976153297793218</c:v>
                  </c:pt>
                  <c:pt idx="9">
                    <c:v>7.0446299591247605</c:v>
                  </c:pt>
                  <c:pt idx="10">
                    <c:v>8.2380587146257369</c:v>
                  </c:pt>
                </c:numCache>
              </c:numRef>
            </c:plus>
            <c:minus>
              <c:numRef>
                <c:f>RRB_PA_HC!$AL$453:$AL$463</c:f>
                <c:numCache>
                  <c:formatCode>General</c:formatCode>
                  <c:ptCount val="11"/>
                  <c:pt idx="0">
                    <c:v>66.100292812454512</c:v>
                  </c:pt>
                  <c:pt idx="1">
                    <c:v>8.8942657847264019</c:v>
                  </c:pt>
                  <c:pt idx="2">
                    <c:v>12.119562373761648</c:v>
                  </c:pt>
                  <c:pt idx="3">
                    <c:v>7.1332268923727487</c:v>
                  </c:pt>
                  <c:pt idx="4">
                    <c:v>6.8594681158026578</c:v>
                  </c:pt>
                  <c:pt idx="5">
                    <c:v>63.846845965770143</c:v>
                  </c:pt>
                  <c:pt idx="6">
                    <c:v>9.3598189381552412</c:v>
                  </c:pt>
                  <c:pt idx="7">
                    <c:v>9.3058459170914567</c:v>
                  </c:pt>
                  <c:pt idx="8">
                    <c:v>64.976153297793218</c:v>
                  </c:pt>
                  <c:pt idx="9">
                    <c:v>7.0446299591247605</c:v>
                  </c:pt>
                  <c:pt idx="10">
                    <c:v>8.2380587146257369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RRB_PA_HC!$AG$453:$AG$463</c:f>
              <c:numCache>
                <c:formatCode>0.00</c:formatCode>
                <c:ptCount val="11"/>
                <c:pt idx="0">
                  <c:v>114.49</c:v>
                </c:pt>
                <c:pt idx="1">
                  <c:v>142.54</c:v>
                </c:pt>
                <c:pt idx="2">
                  <c:v>206.5</c:v>
                </c:pt>
                <c:pt idx="3">
                  <c:v>248.83</c:v>
                </c:pt>
                <c:pt idx="4">
                  <c:v>262.45</c:v>
                </c:pt>
                <c:pt idx="5">
                  <c:v>186.25</c:v>
                </c:pt>
                <c:pt idx="6">
                  <c:v>262.66000000000003</c:v>
                </c:pt>
                <c:pt idx="7">
                  <c:v>293.37</c:v>
                </c:pt>
                <c:pt idx="8">
                  <c:v>202.97</c:v>
                </c:pt>
                <c:pt idx="9">
                  <c:v>283.41000000000003</c:v>
                </c:pt>
                <c:pt idx="10">
                  <c:v>289.3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92-4497-A6CE-602C4F6E1246}"/>
            </c:ext>
          </c:extLst>
        </c:ser>
        <c:ser>
          <c:idx val="5"/>
          <c:order val="2"/>
          <c:tx>
            <c:strRef>
              <c:f>RRB_PA_HC!$I$5</c:f>
              <c:strCache>
                <c:ptCount val="1"/>
                <c:pt idx="0">
                  <c:v>N.D.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RRB_PA_HC!$AH$453:$AH$463</c:f>
              <c:numCache>
                <c:formatCode>0.00</c:formatCode>
                <c:ptCount val="11"/>
                <c:pt idx="0">
                  <c:v>142.84999999999997</c:v>
                </c:pt>
                <c:pt idx="1">
                  <c:v>2.0199999999999818</c:v>
                </c:pt>
                <c:pt idx="2">
                  <c:v>1.8899999999999864</c:v>
                </c:pt>
                <c:pt idx="3">
                  <c:v>1.8899999999999295</c:v>
                </c:pt>
                <c:pt idx="4">
                  <c:v>1.8899999999999864</c:v>
                </c:pt>
                <c:pt idx="5">
                  <c:v>98.749999999999943</c:v>
                </c:pt>
                <c:pt idx="6">
                  <c:v>1.8900000000000432</c:v>
                </c:pt>
                <c:pt idx="7">
                  <c:v>1.8899999999999864</c:v>
                </c:pt>
                <c:pt idx="8">
                  <c:v>95.13</c:v>
                </c:pt>
                <c:pt idx="9">
                  <c:v>1.8700000000000045</c:v>
                </c:pt>
                <c:pt idx="10">
                  <c:v>1.8599999999999568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92-4497-A6CE-602C4F6E1246}"/>
            </c:ext>
          </c:extLst>
        </c:ser>
        <c:ser>
          <c:idx val="1"/>
          <c:order val="3"/>
          <c:tx>
            <c:strRef>
              <c:f>RRB_PA_HC!$K$3</c:f>
              <c:strCache>
                <c:ptCount val="1"/>
                <c:pt idx="0">
                  <c:v>Not Agriculture-Grass</c:v>
                </c:pt>
              </c:strCache>
            </c:strRef>
          </c:tx>
          <c:spPr>
            <a:solidFill>
              <a:schemeClr val="tx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RRB_PA_HC!$AD$453:$AD$463</c:f>
              <c:numCache>
                <c:formatCode>0.00</c:formatCode>
                <c:ptCount val="11"/>
                <c:pt idx="0">
                  <c:v>157.49</c:v>
                </c:pt>
                <c:pt idx="1">
                  <c:v>263.89</c:v>
                </c:pt>
                <c:pt idx="2">
                  <c:v>198.71999999999997</c:v>
                </c:pt>
                <c:pt idx="3">
                  <c:v>162.76000000000002</c:v>
                </c:pt>
                <c:pt idx="4">
                  <c:v>149.52000000000004</c:v>
                </c:pt>
                <c:pt idx="5">
                  <c:v>129.74</c:v>
                </c:pt>
                <c:pt idx="6">
                  <c:v>148.35</c:v>
                </c:pt>
                <c:pt idx="7">
                  <c:v>117.26</c:v>
                </c:pt>
                <c:pt idx="8">
                  <c:v>116.93</c:v>
                </c:pt>
                <c:pt idx="9">
                  <c:v>128.94</c:v>
                </c:pt>
                <c:pt idx="10">
                  <c:v>122.06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92-4497-A6CE-602C4F6E1246}"/>
            </c:ext>
          </c:extLst>
        </c:ser>
        <c:ser>
          <c:idx val="3"/>
          <c:order val="4"/>
          <c:tx>
            <c:strRef>
              <c:f>RRB_PA_HC!$K$4</c:f>
              <c:strCache>
                <c:ptCount val="1"/>
                <c:pt idx="0">
                  <c:v>Not Agriculture-Grass (HC)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RRB_PA_HC!$AK$453:$AK$463</c:f>
                <c:numCache>
                  <c:formatCode>General</c:formatCode>
                  <c:ptCount val="11"/>
                  <c:pt idx="0">
                    <c:v>88.649707187545445</c:v>
                  </c:pt>
                  <c:pt idx="1">
                    <c:v>15.455734215273608</c:v>
                  </c:pt>
                  <c:pt idx="2">
                    <c:v>11.090437626238328</c:v>
                  </c:pt>
                  <c:pt idx="3">
                    <c:v>4.5867731076271667</c:v>
                  </c:pt>
                  <c:pt idx="4">
                    <c:v>3.8505318841973777</c:v>
                  </c:pt>
                  <c:pt idx="5">
                    <c:v>43.763154034229807</c:v>
                  </c:pt>
                  <c:pt idx="6">
                    <c:v>5.1901810618447657</c:v>
                  </c:pt>
                  <c:pt idx="7">
                    <c:v>3.6541540829085268</c:v>
                  </c:pt>
                  <c:pt idx="8">
                    <c:v>36.9338467022068</c:v>
                  </c:pt>
                  <c:pt idx="9">
                    <c:v>3.1653700408751972</c:v>
                  </c:pt>
                  <c:pt idx="10">
                    <c:v>3.421941285374229</c:v>
                  </c:pt>
                </c:numCache>
              </c:numRef>
            </c:plus>
            <c:minus>
              <c:numRef>
                <c:f>RRB_PA_HC!$AK$453:$AK$463</c:f>
                <c:numCache>
                  <c:formatCode>General</c:formatCode>
                  <c:ptCount val="11"/>
                  <c:pt idx="0">
                    <c:v>88.649707187545445</c:v>
                  </c:pt>
                  <c:pt idx="1">
                    <c:v>15.455734215273608</c:v>
                  </c:pt>
                  <c:pt idx="2">
                    <c:v>11.090437626238328</c:v>
                  </c:pt>
                  <c:pt idx="3">
                    <c:v>4.5867731076271667</c:v>
                  </c:pt>
                  <c:pt idx="4">
                    <c:v>3.8505318841973777</c:v>
                  </c:pt>
                  <c:pt idx="5">
                    <c:v>43.763154034229807</c:v>
                  </c:pt>
                  <c:pt idx="6">
                    <c:v>5.1901810618447657</c:v>
                  </c:pt>
                  <c:pt idx="7">
                    <c:v>3.6541540829085268</c:v>
                  </c:pt>
                  <c:pt idx="8">
                    <c:v>36.9338467022068</c:v>
                  </c:pt>
                  <c:pt idx="9">
                    <c:v>3.1653700408751972</c:v>
                  </c:pt>
                  <c:pt idx="10">
                    <c:v>3.421941285374229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cat>
            <c:strRef>
              <c:f>RRB_PA_HC!$C$280:$C$290</c:f>
              <c:strCache>
                <c:ptCount val="11"/>
                <c:pt idx="0">
                  <c:v>1977</c:v>
                </c:pt>
                <c:pt idx="1">
                  <c:v>1988</c:v>
                </c:pt>
                <c:pt idx="2">
                  <c:v>1988T</c:v>
                </c:pt>
                <c:pt idx="3">
                  <c:v>1991T</c:v>
                </c:pt>
                <c:pt idx="4">
                  <c:v>2001T</c:v>
                </c:pt>
                <c:pt idx="5">
                  <c:v>2007E</c:v>
                </c:pt>
                <c:pt idx="6">
                  <c:v>2011E</c:v>
                </c:pt>
                <c:pt idx="7">
                  <c:v>15O</c:v>
                </c:pt>
                <c:pt idx="8">
                  <c:v> 2019O</c:v>
                </c:pt>
                <c:pt idx="9">
                  <c:v> 2019M</c:v>
                </c:pt>
                <c:pt idx="10">
                  <c:v>2024M</c:v>
                </c:pt>
              </c:strCache>
            </c:strRef>
          </c:cat>
          <c:val>
            <c:numRef>
              <c:f>RRB_PA_HC!$AF$453:$AF$463</c:f>
              <c:numCache>
                <c:formatCode>0.00</c:formatCode>
                <c:ptCount val="11"/>
                <c:pt idx="0">
                  <c:v>148.53</c:v>
                </c:pt>
                <c:pt idx="1">
                  <c:v>250.88</c:v>
                </c:pt>
                <c:pt idx="2">
                  <c:v>188.06</c:v>
                </c:pt>
                <c:pt idx="3">
                  <c:v>157.22000000000003</c:v>
                </c:pt>
                <c:pt idx="4">
                  <c:v>144.61000000000001</c:v>
                </c:pt>
                <c:pt idx="5">
                  <c:v>123.91</c:v>
                </c:pt>
                <c:pt idx="6">
                  <c:v>140.56</c:v>
                </c:pt>
                <c:pt idx="7">
                  <c:v>111.44000000000001</c:v>
                </c:pt>
                <c:pt idx="8">
                  <c:v>112.89</c:v>
                </c:pt>
                <c:pt idx="9">
                  <c:v>124.14999999999999</c:v>
                </c:pt>
                <c:pt idx="10">
                  <c:v>116.81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92-4497-A6CE-602C4F6E1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3486126260820186"/>
          <c:w val="0.93372244240575686"/>
          <c:h val="0.12558181086779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RRB PA Binary HC Time Step Px Change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434987630287783E-2"/>
          <c:y val="0.26802307656170216"/>
          <c:w val="0.9137728585683830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RRB_PA_Change!$C$42</c:f>
              <c:strCache>
                <c:ptCount val="1"/>
                <c:pt idx="0">
                  <c:v>Stable O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(RRB_PA_Change!$D$17,RRB_PA_Change!$F$42,RRB_PA_Change!$D$61)</c:f>
              <c:numCache>
                <c:formatCode>0.00%</c:formatCode>
                <c:ptCount val="3"/>
                <c:pt idx="0">
                  <c:v>0.53959230003292136</c:v>
                </c:pt>
                <c:pt idx="1">
                  <c:v>0.64057731575641408</c:v>
                </c:pt>
                <c:pt idx="2">
                  <c:v>0.75313571080891661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E-45DA-9D6B-280CEEF651AC}"/>
            </c:ext>
          </c:extLst>
        </c:ser>
        <c:ser>
          <c:idx val="6"/>
          <c:order val="1"/>
          <c:tx>
            <c:strRef>
              <c:f>RRB_PA_Change!$C$43</c:f>
              <c:strCache>
                <c:ptCount val="1"/>
                <c:pt idx="0">
                  <c:v>Stepped Gain</c:v>
                </c:pt>
              </c:strCache>
            </c:strRef>
          </c:tx>
          <c:spPr>
            <a:solidFill>
              <a:srgbClr val="912F4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(RRB_PA_Change!$E$17,RRB_PA_Change!$F$43,RRB_PA_Change!$E$61)</c:f>
              <c:numCache>
                <c:formatCode>0.00%</c:formatCode>
                <c:ptCount val="3"/>
                <c:pt idx="0">
                  <c:v>4.8722832288803301E-2</c:v>
                </c:pt>
                <c:pt idx="1">
                  <c:v>5.7657250075234444E-2</c:v>
                </c:pt>
                <c:pt idx="2">
                  <c:v>2.1633991020340564E-2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0E-45DA-9D6B-280CEEF651AC}"/>
            </c:ext>
          </c:extLst>
        </c:ser>
        <c:ser>
          <c:idx val="8"/>
          <c:order val="2"/>
          <c:tx>
            <c:strRef>
              <c:f>RRB_PA_Change!$C$44</c:f>
              <c:strCache>
                <c:ptCount val="1"/>
                <c:pt idx="0">
                  <c:v>Cyclical</c:v>
                </c:pt>
              </c:strCache>
            </c:strRef>
          </c:tx>
          <c:spPr>
            <a:solidFill>
              <a:srgbClr val="725AC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(RRB_PA_Change!$F$16,RRB_PA_Change!$F$44,RRB_PA_Change!$F$60)</c:f>
              <c:numCache>
                <c:formatCode>0.00%</c:formatCode>
                <c:ptCount val="3"/>
                <c:pt idx="1">
                  <c:v>1.1239318224507643E-2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0E-45DA-9D6B-280CEEF651AC}"/>
            </c:ext>
          </c:extLst>
        </c:ser>
        <c:ser>
          <c:idx val="9"/>
          <c:order val="3"/>
          <c:tx>
            <c:strRef>
              <c:f>RRB_PA_Change!$C$45</c:f>
              <c:strCache>
                <c:ptCount val="1"/>
                <c:pt idx="0">
                  <c:v>Stepped Loss</c:v>
                </c:pt>
              </c:strCache>
            </c:strRef>
          </c:tx>
          <c:spPr>
            <a:solidFill>
              <a:srgbClr val="FFC1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(RRB_PA_Change!$D$18,RRB_PA_Change!$F$45,RRB_PA_Change!$D$62)</c:f>
              <c:numCache>
                <c:formatCode>0.00%</c:formatCode>
                <c:ptCount val="3"/>
                <c:pt idx="0">
                  <c:v>4.0134997849001958E-2</c:v>
                </c:pt>
                <c:pt idx="1">
                  <c:v>2.9536737632771114E-2</c:v>
                </c:pt>
                <c:pt idx="2">
                  <c:v>1.6525724118848197E-2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0E-45DA-9D6B-280CEEF651AC}"/>
            </c:ext>
          </c:extLst>
        </c:ser>
        <c:ser>
          <c:idx val="10"/>
          <c:order val="4"/>
          <c:tx>
            <c:strRef>
              <c:f>RRB_PA_Change!$C$46</c:f>
              <c:strCache>
                <c:ptCount val="1"/>
                <c:pt idx="0">
                  <c:v>Stable A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(RRB_PA_Change!$E$18,RRB_PA_Change!$F$46,RRB_PA_Change!$E$62)</c:f>
              <c:numCache>
                <c:formatCode>0.00%</c:formatCode>
                <c:ptCount val="3"/>
                <c:pt idx="0">
                  <c:v>3.6319349489718634E-2</c:v>
                </c:pt>
                <c:pt idx="1">
                  <c:v>8.7175406316461285E-2</c:v>
                </c:pt>
                <c:pt idx="2">
                  <c:v>0.13496189804875192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0E-45DA-9D6B-280CEEF651AC}"/>
            </c:ext>
          </c:extLst>
        </c:ser>
        <c:ser>
          <c:idx val="5"/>
          <c:order val="5"/>
          <c:tx>
            <c:strRef>
              <c:f>RRB_PA_Change!$D$11</c:f>
              <c:strCache>
                <c:ptCount val="1"/>
                <c:pt idx="0">
                  <c:v>ND/LC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(RRB_PA_Change!$H$11,RRB_PA_Change!$H$41,RRB_PA_Change!$H$55)</c:f>
              <c:numCache>
                <c:formatCode>0.00%</c:formatCode>
                <c:ptCount val="3"/>
                <c:pt idx="0">
                  <c:v>0.33523052033955475</c:v>
                </c:pt>
                <c:pt idx="1">
                  <c:v>0.1738139719946114</c:v>
                </c:pt>
                <c:pt idx="2">
                  <c:v>7.374267600314266E-2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0E-45DA-9D6B-280CEEF6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1.0000000000000002E-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ACB_B PA Binary HC Time Step Px Change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434987630287783E-2"/>
          <c:y val="0.26802307656170216"/>
          <c:w val="0.9137728585683830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RRB_PA_Change!$C$42</c:f>
              <c:strCache>
                <c:ptCount val="1"/>
                <c:pt idx="0">
                  <c:v>Stable O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(RRB_PA_Change!$L$17,RRB_PA_Change!$N$42,RRB_PA_Change!$L$61)</c:f>
              <c:numCache>
                <c:formatCode>0.00%</c:formatCode>
                <c:ptCount val="3"/>
                <c:pt idx="0">
                  <c:v>0</c:v>
                </c:pt>
                <c:pt idx="1">
                  <c:v>8.4316021678150263E-2</c:v>
                </c:pt>
                <c:pt idx="2">
                  <c:v>0.14778452572237807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4-40A1-A1B5-E8C3E6D6D99C}"/>
            </c:ext>
          </c:extLst>
        </c:ser>
        <c:ser>
          <c:idx val="6"/>
          <c:order val="1"/>
          <c:tx>
            <c:strRef>
              <c:f>RRB_PA_Change!$C$43</c:f>
              <c:strCache>
                <c:ptCount val="1"/>
                <c:pt idx="0">
                  <c:v>Stepped Gain</c:v>
                </c:pt>
              </c:strCache>
            </c:strRef>
          </c:tx>
          <c:spPr>
            <a:solidFill>
              <a:srgbClr val="912F4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(RRB_PA_Change!$M$17,RRB_PA_Change!$N$43,RRB_PA_Change!$M$61)</c:f>
              <c:numCache>
                <c:formatCode>0.00%</c:formatCode>
                <c:ptCount val="3"/>
                <c:pt idx="0">
                  <c:v>0</c:v>
                </c:pt>
                <c:pt idx="1">
                  <c:v>9.1512568425066054E-2</c:v>
                </c:pt>
                <c:pt idx="2">
                  <c:v>4.6849042729921839E-2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B4-40A1-A1B5-E8C3E6D6D99C}"/>
            </c:ext>
          </c:extLst>
        </c:ser>
        <c:ser>
          <c:idx val="8"/>
          <c:order val="2"/>
          <c:tx>
            <c:strRef>
              <c:f>RRB_PA_Change!$C$44</c:f>
              <c:strCache>
                <c:ptCount val="1"/>
                <c:pt idx="0">
                  <c:v>Cyclical</c:v>
                </c:pt>
              </c:strCache>
            </c:strRef>
          </c:tx>
          <c:spPr>
            <a:solidFill>
              <a:srgbClr val="725AC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(RRB_PA_Change!$O$16,RRB_PA_Change!$N$44,RRB_PA_Change!$O$60)</c:f>
              <c:numCache>
                <c:formatCode>0.00%</c:formatCode>
                <c:ptCount val="3"/>
                <c:pt idx="1">
                  <c:v>1.6040741850268256E-2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B4-40A1-A1B5-E8C3E6D6D99C}"/>
            </c:ext>
          </c:extLst>
        </c:ser>
        <c:ser>
          <c:idx val="9"/>
          <c:order val="3"/>
          <c:tx>
            <c:strRef>
              <c:f>RRB_PA_Change!$C$45</c:f>
              <c:strCache>
                <c:ptCount val="1"/>
                <c:pt idx="0">
                  <c:v>Stepped Loss</c:v>
                </c:pt>
              </c:strCache>
            </c:strRef>
          </c:tx>
          <c:spPr>
            <a:solidFill>
              <a:srgbClr val="FFC1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(RRB_PA_Change!$L$18,RRB_PA_Change!$N$45,RRB_PA_Change!$L$62)</c:f>
              <c:numCache>
                <c:formatCode>0.00%</c:formatCode>
                <c:ptCount val="3"/>
                <c:pt idx="0">
                  <c:v>0</c:v>
                </c:pt>
                <c:pt idx="1">
                  <c:v>4.2273754731882676E-2</c:v>
                </c:pt>
                <c:pt idx="2">
                  <c:v>2.2127508919088209E-2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B4-40A1-A1B5-E8C3E6D6D99C}"/>
            </c:ext>
          </c:extLst>
        </c:ser>
        <c:ser>
          <c:idx val="10"/>
          <c:order val="4"/>
          <c:tx>
            <c:strRef>
              <c:f>RRB_PA_Change!$C$46</c:f>
              <c:strCache>
                <c:ptCount val="1"/>
                <c:pt idx="0">
                  <c:v>Stable A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(RRB_PA_Change!$M$18,RRB_PA_Change!$N$46,RRB_PA_Change!$M$62)</c:f>
              <c:numCache>
                <c:formatCode>0.00%</c:formatCode>
                <c:ptCount val="3"/>
                <c:pt idx="0">
                  <c:v>0</c:v>
                </c:pt>
                <c:pt idx="1">
                  <c:v>0.6892004139546285</c:v>
                </c:pt>
                <c:pt idx="2">
                  <c:v>0.72399847490400071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B4-40A1-A1B5-E8C3E6D6D99C}"/>
            </c:ext>
          </c:extLst>
        </c:ser>
        <c:ser>
          <c:idx val="5"/>
          <c:order val="5"/>
          <c:tx>
            <c:strRef>
              <c:f>RRB_PA_Change!$D$11</c:f>
              <c:strCache>
                <c:ptCount val="1"/>
                <c:pt idx="0">
                  <c:v>ND/LC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(RRB_PA_Change!$P$11,RRB_PA_Change!$P$41,RRB_PA_Change!$P$55)</c:f>
              <c:numCache>
                <c:formatCode>0.00%</c:formatCode>
                <c:ptCount val="3"/>
                <c:pt idx="0">
                  <c:v>1</c:v>
                </c:pt>
                <c:pt idx="1">
                  <c:v>7.6656499360004307E-2</c:v>
                </c:pt>
                <c:pt idx="2">
                  <c:v>5.9240447724611234E-2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B4-40A1-A1B5-E8C3E6D6D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75000000000000011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1.0000000000000002E-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160" b="0" i="0" u="none" strike="noStrike" kern="1200" cap="none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ACB_R PA Binary HC Time Step Px Change (%)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160" b="0" i="0" u="none" strike="noStrike" kern="1200" cap="none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434987630287783E-2"/>
          <c:y val="0.26802307656170216"/>
          <c:w val="0.91377285856838308"/>
          <c:h val="0.638527014430680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RRB_PA_Change!$C$42</c:f>
              <c:strCache>
                <c:ptCount val="1"/>
                <c:pt idx="0">
                  <c:v>Stable O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(RRB_PA_Change!$T$17,RRB_PA_Change!$V$42,RRB_PA_Change!$T$61)</c:f>
              <c:numCache>
                <c:formatCode>0.00%</c:formatCode>
                <c:ptCount val="3"/>
                <c:pt idx="0">
                  <c:v>0.20662086794169041</c:v>
                </c:pt>
                <c:pt idx="1">
                  <c:v>0.23223304689183044</c:v>
                </c:pt>
                <c:pt idx="2">
                  <c:v>0.24946741029753214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37-4BF5-A519-B2CC87455659}"/>
            </c:ext>
          </c:extLst>
        </c:ser>
        <c:ser>
          <c:idx val="6"/>
          <c:order val="1"/>
          <c:tx>
            <c:strRef>
              <c:f>RRB_PA_Change!$C$43</c:f>
              <c:strCache>
                <c:ptCount val="1"/>
                <c:pt idx="0">
                  <c:v>Stepped Gain</c:v>
                </c:pt>
              </c:strCache>
            </c:strRef>
          </c:tx>
          <c:spPr>
            <a:solidFill>
              <a:srgbClr val="912F4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(RRB_PA_Change!$U$17,RRB_PA_Change!$V$43,RRB_PA_Change!$U$61)</c:f>
              <c:numCache>
                <c:formatCode>0.00%</c:formatCode>
                <c:ptCount val="3"/>
                <c:pt idx="0">
                  <c:v>0.11027598918064964</c:v>
                </c:pt>
                <c:pt idx="1">
                  <c:v>0.10027048375900616</c:v>
                </c:pt>
                <c:pt idx="2">
                  <c:v>3.7006008090576158E-2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37-4BF5-A519-B2CC87455659}"/>
            </c:ext>
          </c:extLst>
        </c:ser>
        <c:ser>
          <c:idx val="8"/>
          <c:order val="2"/>
          <c:tx>
            <c:strRef>
              <c:f>RRB_PA_Change!$C$44</c:f>
              <c:strCache>
                <c:ptCount val="1"/>
                <c:pt idx="0">
                  <c:v>Cyclical</c:v>
                </c:pt>
              </c:strCache>
            </c:strRef>
          </c:tx>
          <c:spPr>
            <a:solidFill>
              <a:srgbClr val="725AC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(RRB_PA_Change!$W$16,RRB_PA_Change!$V$44,RRB_PA_Change!$W$60)</c:f>
              <c:numCache>
                <c:formatCode>0.00%</c:formatCode>
                <c:ptCount val="3"/>
                <c:pt idx="1">
                  <c:v>1.508006797998899E-2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37-4BF5-A519-B2CC87455659}"/>
            </c:ext>
          </c:extLst>
        </c:ser>
        <c:ser>
          <c:idx val="9"/>
          <c:order val="3"/>
          <c:tx>
            <c:strRef>
              <c:f>RRB_PA_Change!$C$45</c:f>
              <c:strCache>
                <c:ptCount val="1"/>
                <c:pt idx="0">
                  <c:v>Stepped Loss</c:v>
                </c:pt>
              </c:strCache>
            </c:strRef>
          </c:tx>
          <c:spPr>
            <a:solidFill>
              <a:srgbClr val="FFC1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(RRB_PA_Change!$T$18,RRB_PA_Change!$V$45,RRB_PA_Change!$T$62)</c:f>
              <c:numCache>
                <c:formatCode>0.00%</c:formatCode>
                <c:ptCount val="3"/>
                <c:pt idx="0">
                  <c:v>9.4142710103645541E-2</c:v>
                </c:pt>
                <c:pt idx="1">
                  <c:v>1.4625272279005194E-2</c:v>
                </c:pt>
                <c:pt idx="2">
                  <c:v>2.3649376451157337E-2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37-4BF5-A519-B2CC87455659}"/>
            </c:ext>
          </c:extLst>
        </c:ser>
        <c:ser>
          <c:idx val="10"/>
          <c:order val="4"/>
          <c:tx>
            <c:strRef>
              <c:f>RRB_PA_Change!$C$46</c:f>
              <c:strCache>
                <c:ptCount val="1"/>
                <c:pt idx="0">
                  <c:v>Stable A</c:v>
                </c:pt>
              </c:strCache>
            </c:strRef>
          </c:tx>
          <c:spPr>
            <a:solidFill>
              <a:srgbClr val="B1EE2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(RRB_PA_Change!$U$18,RRB_PA_Change!$V$46,RRB_PA_Change!$U$62)</c:f>
              <c:numCache>
                <c:formatCode>0.00%</c:formatCode>
                <c:ptCount val="3"/>
                <c:pt idx="0">
                  <c:v>0.17409100701342844</c:v>
                </c:pt>
                <c:pt idx="1">
                  <c:v>0.32364698278957316</c:v>
                </c:pt>
                <c:pt idx="2">
                  <c:v>0.64355985350791112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37-4BF5-A519-B2CC87455659}"/>
            </c:ext>
          </c:extLst>
        </c:ser>
        <c:ser>
          <c:idx val="5"/>
          <c:order val="5"/>
          <c:tx>
            <c:strRef>
              <c:f>RRB_PA_Change!$D$11</c:f>
              <c:strCache>
                <c:ptCount val="1"/>
                <c:pt idx="0">
                  <c:v>ND/LC</c:v>
                </c:pt>
              </c:strCache>
            </c:strRef>
          </c:tx>
          <c:spPr>
            <a:pattFill prst="dkUpDiag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(RRB_PA_Change!$A$7,RRB_PA_Change!$A$23,RRB_PA_Change!$A$51)</c:f>
              <c:strCache>
                <c:ptCount val="3"/>
                <c:pt idx="0">
                  <c:v>MSS 77-88</c:v>
                </c:pt>
                <c:pt idx="1">
                  <c:v>TEO 88-19</c:v>
                </c:pt>
                <c:pt idx="2">
                  <c:v>MSI 19-24</c:v>
                </c:pt>
              </c:strCache>
            </c:strRef>
          </c:cat>
          <c:val>
            <c:numRef>
              <c:f>(RRB_PA_Change!$X$11,RRB_PA_Change!$X$41,RRB_PA_Change!$X$55)</c:f>
              <c:numCache>
                <c:formatCode>0.00%</c:formatCode>
                <c:ptCount val="3"/>
                <c:pt idx="0">
                  <c:v>0.414869425760586</c:v>
                </c:pt>
                <c:pt idx="1">
                  <c:v>0.31414414630059606</c:v>
                </c:pt>
                <c:pt idx="2">
                  <c:v>4.6317351652823247E-2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37-4BF5-A519-B2CC87455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54706720"/>
        <c:axId val="654710592"/>
      </c:barChart>
      <c:catAx>
        <c:axId val="6547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10592"/>
        <c:crosses val="autoZero"/>
        <c:auto val="1"/>
        <c:lblAlgn val="ctr"/>
        <c:lblOffset val="100"/>
        <c:noMultiLvlLbl val="0"/>
      </c:catAx>
      <c:valAx>
        <c:axId val="654710592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60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prstDash val="solid"/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06720"/>
        <c:crosses val="autoZero"/>
        <c:crossBetween val="between"/>
        <c:majorUnit val="0.1"/>
        <c:minorUnit val="1.0000000000000002E-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6078451225664278E-2"/>
          <c:y val="0.11856789570998896"/>
          <c:w val="0.93274514616440962"/>
          <c:h val="0.12441375870285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Mean Spectral Signatures RRB Sample Areas</a:t>
            </a:r>
            <a:r>
              <a:rPr lang="en-GB" baseline="0"/>
              <a:t> </a:t>
            </a:r>
            <a:r>
              <a:rPr lang="en-GB"/>
              <a:t>MSS (TOA)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Spectral!$F$4</c:f>
              <c:strCache>
                <c:ptCount val="1"/>
                <c:pt idx="0">
                  <c:v>W_77_MSS</c:v>
                </c:pt>
              </c:strCache>
            </c:strRef>
          </c:tx>
          <c:spPr>
            <a:ln w="28575" cap="rnd">
              <a:solidFill>
                <a:srgbClr val="1F9DFF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Spectral!$F$6:$F$9</c:f>
              <c:numCache>
                <c:formatCode>0.0000</c:formatCode>
                <c:ptCount val="4"/>
                <c:pt idx="0">
                  <c:v>1.0934669123596599E-2</c:v>
                </c:pt>
                <c:pt idx="1">
                  <c:v>2.3737617947397E-2</c:v>
                </c:pt>
                <c:pt idx="2">
                  <c:v>2.0504098842601699E-2</c:v>
                </c:pt>
                <c:pt idx="3">
                  <c:v>1.8231736266761899E-2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00-4E7C-BB9B-A4754A4BF299}"/>
            </c:ext>
          </c:extLst>
        </c:ser>
        <c:ser>
          <c:idx val="1"/>
          <c:order val="1"/>
          <c:tx>
            <c:strRef>
              <c:f>Spectral!$G$4</c:f>
              <c:strCache>
                <c:ptCount val="1"/>
                <c:pt idx="0">
                  <c:v>B_77_MSS</c:v>
                </c:pt>
              </c:strCache>
            </c:strRef>
          </c:tx>
          <c:spPr>
            <a:ln w="28575" cap="rnd">
              <a:solidFill>
                <a:srgbClr val="CACDDE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Spectral!$G$6:$G$9</c:f>
              <c:numCache>
                <c:formatCode>0.0000</c:formatCode>
                <c:ptCount val="4"/>
                <c:pt idx="0">
                  <c:v>6.7726821967329903E-2</c:v>
                </c:pt>
                <c:pt idx="1">
                  <c:v>8.6818923141337101E-2</c:v>
                </c:pt>
                <c:pt idx="2">
                  <c:v>0.122006028882583</c:v>
                </c:pt>
                <c:pt idx="3">
                  <c:v>0.14094933698197301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00-4E7C-BB9B-A4754A4BF299}"/>
            </c:ext>
          </c:extLst>
        </c:ser>
        <c:ser>
          <c:idx val="2"/>
          <c:order val="2"/>
          <c:tx>
            <c:strRef>
              <c:f>Spectral!$H$4</c:f>
              <c:strCache>
                <c:ptCount val="1"/>
                <c:pt idx="0">
                  <c:v>A_77_MSS</c:v>
                </c:pt>
              </c:strCache>
            </c:strRef>
          </c:tx>
          <c:spPr>
            <a:ln w="28575" cap="rnd">
              <a:solidFill>
                <a:srgbClr val="B1EE2D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Spectral!$H$6:$H$9</c:f>
              <c:numCache>
                <c:formatCode>0.0000</c:formatCode>
                <c:ptCount val="4"/>
                <c:pt idx="0">
                  <c:v>4.5383234373533497E-2</c:v>
                </c:pt>
                <c:pt idx="1">
                  <c:v>6.0051984581916198E-2</c:v>
                </c:pt>
                <c:pt idx="2">
                  <c:v>0.13392864786226899</c:v>
                </c:pt>
                <c:pt idx="3">
                  <c:v>0.191573296221145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00-4E7C-BB9B-A4754A4BF299}"/>
            </c:ext>
          </c:extLst>
        </c:ser>
        <c:ser>
          <c:idx val="3"/>
          <c:order val="3"/>
          <c:tx>
            <c:strRef>
              <c:f>Spectral!$I$4</c:f>
              <c:strCache>
                <c:ptCount val="1"/>
                <c:pt idx="0">
                  <c:v>F_77_MSS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Spectral!$I$6:$I$9</c:f>
              <c:numCache>
                <c:formatCode>0.0000</c:formatCode>
                <c:ptCount val="4"/>
                <c:pt idx="0">
                  <c:v>2.4184574273370101E-2</c:v>
                </c:pt>
                <c:pt idx="1">
                  <c:v>3.4761348786188202E-2</c:v>
                </c:pt>
                <c:pt idx="2">
                  <c:v>6.9768595303245196E-2</c:v>
                </c:pt>
                <c:pt idx="3">
                  <c:v>9.3742023004867503E-2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00-4E7C-BB9B-A4754A4BF299}"/>
            </c:ext>
          </c:extLst>
        </c:ser>
        <c:ser>
          <c:idx val="4"/>
          <c:order val="4"/>
          <c:tx>
            <c:strRef>
              <c:f>Spectral!$J$4</c:f>
              <c:strCache>
                <c:ptCount val="1"/>
                <c:pt idx="0">
                  <c:v>S_77_MSS</c:v>
                </c:pt>
              </c:strCache>
            </c:strRef>
          </c:tx>
          <c:spPr>
            <a:ln w="28575" cap="rnd">
              <a:solidFill>
                <a:srgbClr val="AD8D0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Spectral!$J$6:$J$9</c:f>
              <c:numCache>
                <c:formatCode>0.0000</c:formatCode>
                <c:ptCount val="4"/>
                <c:pt idx="0">
                  <c:v>3.4549935251757098E-2</c:v>
                </c:pt>
                <c:pt idx="1">
                  <c:v>5.0239804965506098E-2</c:v>
                </c:pt>
                <c:pt idx="2">
                  <c:v>8.2815970042829298E-2</c:v>
                </c:pt>
                <c:pt idx="3">
                  <c:v>0.11071807401004299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00-4E7C-BB9B-A4754A4BF299}"/>
            </c:ext>
          </c:extLst>
        </c:ser>
        <c:ser>
          <c:idx val="5"/>
          <c:order val="5"/>
          <c:tx>
            <c:strRef>
              <c:f>Spectral!$F$12</c:f>
              <c:strCache>
                <c:ptCount val="1"/>
                <c:pt idx="0">
                  <c:v>W_88_MSS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Spectral!$F$14:$F$17</c:f>
              <c:numCache>
                <c:formatCode>0.0000</c:formatCode>
                <c:ptCount val="4"/>
                <c:pt idx="0">
                  <c:v>4.5516703861260097E-2</c:v>
                </c:pt>
                <c:pt idx="1">
                  <c:v>3.6904639503236102E-2</c:v>
                </c:pt>
                <c:pt idx="2">
                  <c:v>3.5843539320683702E-2</c:v>
                </c:pt>
                <c:pt idx="3">
                  <c:v>3.1208125739890399E-2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00-4E7C-BB9B-A4754A4BF299}"/>
            </c:ext>
          </c:extLst>
        </c:ser>
        <c:ser>
          <c:idx val="6"/>
          <c:order val="6"/>
          <c:tx>
            <c:strRef>
              <c:f>Spectral!$G$12</c:f>
              <c:strCache>
                <c:ptCount val="1"/>
                <c:pt idx="0">
                  <c:v>B_88_MSS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Spectral!$G$14:$G$17</c:f>
              <c:numCache>
                <c:formatCode>0.0000</c:formatCode>
                <c:ptCount val="4"/>
                <c:pt idx="0">
                  <c:v>9.0716215831412594E-2</c:v>
                </c:pt>
                <c:pt idx="1">
                  <c:v>9.3840972393809605E-2</c:v>
                </c:pt>
                <c:pt idx="2">
                  <c:v>0.135030930207441</c:v>
                </c:pt>
                <c:pt idx="3">
                  <c:v>0.163814705775436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0-4E7C-BB9B-A4754A4BF299}"/>
            </c:ext>
          </c:extLst>
        </c:ser>
        <c:ser>
          <c:idx val="7"/>
          <c:order val="7"/>
          <c:tx>
            <c:strRef>
              <c:f>Spectral!$H$12</c:f>
              <c:strCache>
                <c:ptCount val="1"/>
                <c:pt idx="0">
                  <c:v>A_88_MSS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Spectral!$H$14:$H$17</c:f>
              <c:numCache>
                <c:formatCode>0.0000</c:formatCode>
                <c:ptCount val="4"/>
                <c:pt idx="0">
                  <c:v>7.9937750486295395E-2</c:v>
                </c:pt>
                <c:pt idx="1">
                  <c:v>8.3755101290105494E-2</c:v>
                </c:pt>
                <c:pt idx="2">
                  <c:v>0.13747219478946299</c:v>
                </c:pt>
                <c:pt idx="3">
                  <c:v>0.183774212228796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00-4E7C-BB9B-A4754A4BF299}"/>
            </c:ext>
          </c:extLst>
        </c:ser>
        <c:ser>
          <c:idx val="8"/>
          <c:order val="8"/>
          <c:tx>
            <c:strRef>
              <c:f>Spectral!$I$12</c:f>
              <c:strCache>
                <c:ptCount val="1"/>
                <c:pt idx="0">
                  <c:v>F_88_MSS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149721"/>
                </a:solidFill>
                <a:prstDash val="sysDot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Spectral!$I$14:$I$17</c:f>
              <c:numCache>
                <c:formatCode>0.0000</c:formatCode>
                <c:ptCount val="4"/>
                <c:pt idx="0">
                  <c:v>5.3096658910701297E-2</c:v>
                </c:pt>
                <c:pt idx="1">
                  <c:v>4.41327776183243E-2</c:v>
                </c:pt>
                <c:pt idx="2">
                  <c:v>9.4581520775312594E-2</c:v>
                </c:pt>
                <c:pt idx="3">
                  <c:v>0.127178976087193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00-4E7C-BB9B-A4754A4BF299}"/>
            </c:ext>
          </c:extLst>
        </c:ser>
        <c:ser>
          <c:idx val="9"/>
          <c:order val="9"/>
          <c:tx>
            <c:strRef>
              <c:f>Spectral!$J$12</c:f>
              <c:strCache>
                <c:ptCount val="1"/>
                <c:pt idx="0">
                  <c:v>S_88_MSS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Spectral!$J$14:$J$17</c:f>
              <c:numCache>
                <c:formatCode>0.0000</c:formatCode>
                <c:ptCount val="4"/>
                <c:pt idx="0">
                  <c:v>5.8845793612450598E-2</c:v>
                </c:pt>
                <c:pt idx="1">
                  <c:v>5.8082558794768098E-2</c:v>
                </c:pt>
                <c:pt idx="2">
                  <c:v>0.10397937127113201</c:v>
                </c:pt>
                <c:pt idx="3">
                  <c:v>0.14101177568725701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300-4E7C-BB9B-A4754A4BF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ax val="1"/>
          <c:min val="0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2</a:t>
            </a:r>
            <a:r>
              <a:rPr lang="en-GB" baseline="0"/>
              <a:t> - Agriculture </a:t>
            </a:r>
            <a:r>
              <a:rPr lang="en-GB"/>
              <a:t>Mean Spectral Signatures RRB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Spectral!$H$4</c:f>
              <c:strCache>
                <c:ptCount val="1"/>
                <c:pt idx="0">
                  <c:v>A_77_MSS</c:v>
                </c:pt>
              </c:strCache>
            </c:strRef>
          </c:tx>
          <c:spPr>
            <a:ln w="19050" cap="rnd">
              <a:solidFill>
                <a:srgbClr val="B1EE2D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Spectral!$H$6:$H$9</c:f>
              <c:numCache>
                <c:formatCode>0.0000</c:formatCode>
                <c:ptCount val="4"/>
                <c:pt idx="0">
                  <c:v>4.5383234373533497E-2</c:v>
                </c:pt>
                <c:pt idx="1">
                  <c:v>6.0051984581916198E-2</c:v>
                </c:pt>
                <c:pt idx="2">
                  <c:v>0.13392864786226899</c:v>
                </c:pt>
                <c:pt idx="3">
                  <c:v>0.191573296221145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36-4CAE-920B-238FBA6B2383}"/>
            </c:ext>
          </c:extLst>
        </c:ser>
        <c:ser>
          <c:idx val="7"/>
          <c:order val="1"/>
          <c:tx>
            <c:strRef>
              <c:f>Spectral!$H$12</c:f>
              <c:strCache>
                <c:ptCount val="1"/>
                <c:pt idx="0">
                  <c:v>A_88_MSS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Spectral!$H$14:$H$17</c:f>
              <c:numCache>
                <c:formatCode>0.0000</c:formatCode>
                <c:ptCount val="4"/>
                <c:pt idx="0">
                  <c:v>7.9937750486295395E-2</c:v>
                </c:pt>
                <c:pt idx="1">
                  <c:v>8.3755101290105494E-2</c:v>
                </c:pt>
                <c:pt idx="2">
                  <c:v>0.13747219478946299</c:v>
                </c:pt>
                <c:pt idx="3">
                  <c:v>0.183774212228796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6-4CAE-920B-238FBA6B2383}"/>
            </c:ext>
          </c:extLst>
        </c:ser>
        <c:ser>
          <c:idx val="2"/>
          <c:order val="2"/>
          <c:tx>
            <c:strRef>
              <c:f>Spectral!$H$20</c:f>
              <c:strCache>
                <c:ptCount val="1"/>
                <c:pt idx="0">
                  <c:v>A_88_TM</c:v>
                </c:pt>
              </c:strCache>
            </c:strRef>
          </c:tx>
          <c:spPr>
            <a:ln w="19050" cap="rnd">
              <a:solidFill>
                <a:srgbClr val="B1EE2D"/>
              </a:solidFill>
              <a:prstDash val="lgDash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Spectral!$H$22:$H$27</c:f>
              <c:numCache>
                <c:formatCode>0.0000</c:formatCode>
                <c:ptCount val="6"/>
                <c:pt idx="0">
                  <c:v>5.9236934513740798E-2</c:v>
                </c:pt>
                <c:pt idx="1">
                  <c:v>8.8298411634571805E-2</c:v>
                </c:pt>
                <c:pt idx="2">
                  <c:v>0.103691100070414</c:v>
                </c:pt>
                <c:pt idx="3">
                  <c:v>0.247788642814292</c:v>
                </c:pt>
                <c:pt idx="4">
                  <c:v>0.32663986107093401</c:v>
                </c:pt>
                <c:pt idx="5">
                  <c:v>0.21559444401407499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36-4CAE-920B-238FBA6B2383}"/>
            </c:ext>
          </c:extLst>
        </c:ser>
        <c:ser>
          <c:idx val="6"/>
          <c:order val="3"/>
          <c:tx>
            <c:strRef>
              <c:f>Spectral!$H$30</c:f>
              <c:strCache>
                <c:ptCount val="1"/>
                <c:pt idx="0">
                  <c:v>A_91_TM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Spectral!$H$32:$H$37</c:f>
              <c:numCache>
                <c:formatCode>0.0000</c:formatCode>
                <c:ptCount val="6"/>
                <c:pt idx="0">
                  <c:v>4.55443472209551E-2</c:v>
                </c:pt>
                <c:pt idx="1">
                  <c:v>7.6066601630509004E-2</c:v>
                </c:pt>
                <c:pt idx="2">
                  <c:v>8.2629567549864696E-2</c:v>
                </c:pt>
                <c:pt idx="3">
                  <c:v>0.25392379386643799</c:v>
                </c:pt>
                <c:pt idx="4">
                  <c:v>0.27935168584395298</c:v>
                </c:pt>
                <c:pt idx="5">
                  <c:v>0.17246668390231401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36-4CAE-920B-238FBA6B2383}"/>
            </c:ext>
          </c:extLst>
        </c:ser>
        <c:ser>
          <c:idx val="8"/>
          <c:order val="4"/>
          <c:tx>
            <c:strRef>
              <c:f>Spectral!$H$40</c:f>
              <c:strCache>
                <c:ptCount val="1"/>
                <c:pt idx="0">
                  <c:v>A_01_TM</c:v>
                </c:pt>
              </c:strCache>
            </c:strRef>
          </c:tx>
          <c:spPr>
            <a:ln w="28575" cap="rnd" cmpd="dbl">
              <a:solidFill>
                <a:srgbClr val="B1EE2D"/>
              </a:solidFill>
              <a:round/>
            </a:ln>
            <a:effectLst/>
          </c:spPr>
          <c:marker>
            <c:symbol val="diamond"/>
            <c:size val="8"/>
            <c:spPr>
              <a:noFill/>
              <a:ln w="9525" cmpd="dbl">
                <a:solidFill>
                  <a:srgbClr val="B1EE2D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Spectral!$H$42:$H$47</c:f>
              <c:numCache>
                <c:formatCode>0.0000</c:formatCode>
                <c:ptCount val="6"/>
                <c:pt idx="0">
                  <c:v>4.5686339394591401E-2</c:v>
                </c:pt>
                <c:pt idx="1">
                  <c:v>7.9551108555158498E-2</c:v>
                </c:pt>
                <c:pt idx="2">
                  <c:v>9.2655274999287093E-2</c:v>
                </c:pt>
                <c:pt idx="3">
                  <c:v>0.29154801142810999</c:v>
                </c:pt>
                <c:pt idx="4">
                  <c:v>0.29413394197189002</c:v>
                </c:pt>
                <c:pt idx="5">
                  <c:v>0.17056433915131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36-4CAE-920B-238FBA6B2383}"/>
            </c:ext>
          </c:extLst>
        </c:ser>
        <c:ser>
          <c:idx val="9"/>
          <c:order val="5"/>
          <c:tx>
            <c:strRef>
              <c:f>Spectral!$H$50</c:f>
              <c:strCache>
                <c:ptCount val="1"/>
                <c:pt idx="0">
                  <c:v>A_07_ETM</c:v>
                </c:pt>
              </c:strCache>
            </c:strRef>
          </c:tx>
          <c:spPr>
            <a:ln w="19050" cap="rnd">
              <a:solidFill>
                <a:srgbClr val="B1EE2D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Spectral!$H$52:$H$57</c:f>
              <c:numCache>
                <c:formatCode>0.0000</c:formatCode>
                <c:ptCount val="6"/>
                <c:pt idx="0">
                  <c:v>4.8559689918365297E-2</c:v>
                </c:pt>
                <c:pt idx="1">
                  <c:v>7.8304492751791799E-2</c:v>
                </c:pt>
                <c:pt idx="2">
                  <c:v>9.4197641529728898E-2</c:v>
                </c:pt>
                <c:pt idx="3">
                  <c:v>0.28963036230275202</c:v>
                </c:pt>
                <c:pt idx="4">
                  <c:v>0.286085204063665</c:v>
                </c:pt>
                <c:pt idx="5">
                  <c:v>0.178873987421722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36-4CAE-920B-238FBA6B2383}"/>
            </c:ext>
          </c:extLst>
        </c:ser>
        <c:ser>
          <c:idx val="4"/>
          <c:order val="6"/>
          <c:tx>
            <c:strRef>
              <c:f>Spectral!$H$60</c:f>
              <c:strCache>
                <c:ptCount val="1"/>
                <c:pt idx="0">
                  <c:v>A_11_ETM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Spectral!$H$62:$H$67</c:f>
              <c:numCache>
                <c:formatCode>0.0000</c:formatCode>
                <c:ptCount val="6"/>
                <c:pt idx="0">
                  <c:v>3.7212032504395302E-2</c:v>
                </c:pt>
                <c:pt idx="1">
                  <c:v>6.3250759705508405E-2</c:v>
                </c:pt>
                <c:pt idx="2">
                  <c:v>6.2181220545725398E-2</c:v>
                </c:pt>
                <c:pt idx="3">
                  <c:v>0.35232630438293</c:v>
                </c:pt>
                <c:pt idx="4">
                  <c:v>0.220234279590625</c:v>
                </c:pt>
                <c:pt idx="5">
                  <c:v>0.12028060244538701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F36-4CAE-920B-238FBA6B2383}"/>
            </c:ext>
          </c:extLst>
        </c:ser>
        <c:ser>
          <c:idx val="3"/>
          <c:order val="7"/>
          <c:tx>
            <c:strRef>
              <c:f>Spectral!$H$70</c:f>
              <c:strCache>
                <c:ptCount val="1"/>
                <c:pt idx="0">
                  <c:v>A_15_OLI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solid"/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Spectral!$H$72:$H$77</c:f>
              <c:numCache>
                <c:formatCode>0.0000</c:formatCode>
                <c:ptCount val="6"/>
                <c:pt idx="0">
                  <c:v>1.46322680138148E-2</c:v>
                </c:pt>
                <c:pt idx="1">
                  <c:v>5.5317175456264703E-2</c:v>
                </c:pt>
                <c:pt idx="2">
                  <c:v>5.3127037623618603E-2</c:v>
                </c:pt>
                <c:pt idx="3">
                  <c:v>0.36558636066919398</c:v>
                </c:pt>
                <c:pt idx="4">
                  <c:v>0.21712094358569101</c:v>
                </c:pt>
                <c:pt idx="5">
                  <c:v>0.119894501350223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36-4CAE-920B-238FBA6B2383}"/>
            </c:ext>
          </c:extLst>
        </c:ser>
        <c:ser>
          <c:idx val="5"/>
          <c:order val="8"/>
          <c:tx>
            <c:strRef>
              <c:f>Spectral!$H$80</c:f>
              <c:strCache>
                <c:ptCount val="1"/>
                <c:pt idx="0">
                  <c:v>A_19_OLI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Spectral!$H$82:$H$87</c:f>
              <c:numCache>
                <c:formatCode>0.0000</c:formatCode>
                <c:ptCount val="6"/>
                <c:pt idx="0">
                  <c:v>2.0803717873473401E-2</c:v>
                </c:pt>
                <c:pt idx="1">
                  <c:v>5.9960905440304697E-2</c:v>
                </c:pt>
                <c:pt idx="2">
                  <c:v>6.78388260165914E-2</c:v>
                </c:pt>
                <c:pt idx="3">
                  <c:v>0.32908436611765801</c:v>
                </c:pt>
                <c:pt idx="4">
                  <c:v>0.24877990025095001</c:v>
                </c:pt>
                <c:pt idx="5">
                  <c:v>0.14746157827475101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F36-4CAE-920B-238FBA6B2383}"/>
            </c:ext>
          </c:extLst>
        </c:ser>
        <c:ser>
          <c:idx val="0"/>
          <c:order val="9"/>
          <c:tx>
            <c:strRef>
              <c:f>Spectral!$H$90</c:f>
              <c:strCache>
                <c:ptCount val="1"/>
                <c:pt idx="0">
                  <c:v>A_19_MSI</c:v>
                </c:pt>
              </c:strCache>
            </c:strRef>
          </c:tx>
          <c:spPr>
            <a:ln w="12700" cap="rnd">
              <a:solidFill>
                <a:srgbClr val="B1EE2D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Spectral!$H$92:$H$101</c:f>
              <c:numCache>
                <c:formatCode>0.0000</c:formatCode>
                <c:ptCount val="10"/>
                <c:pt idx="0">
                  <c:v>3.4068362338901197E-2</c:v>
                </c:pt>
                <c:pt idx="1">
                  <c:v>6.6175570121273397E-2</c:v>
                </c:pt>
                <c:pt idx="2">
                  <c:v>6.7284396864825402E-2</c:v>
                </c:pt>
                <c:pt idx="3">
                  <c:v>0.118740400849226</c:v>
                </c:pt>
                <c:pt idx="4">
                  <c:v>0.238873995392894</c:v>
                </c:pt>
                <c:pt idx="5">
                  <c:v>0.28551296261765802</c:v>
                </c:pt>
                <c:pt idx="6">
                  <c:v>0.30143012627552301</c:v>
                </c:pt>
                <c:pt idx="7">
                  <c:v>0.32407260193304199</c:v>
                </c:pt>
                <c:pt idx="8">
                  <c:v>0.240247674586133</c:v>
                </c:pt>
                <c:pt idx="9">
                  <c:v>0.141012421142931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36-4CAE-920B-238FBA6B2383}"/>
            </c:ext>
          </c:extLst>
        </c:ser>
        <c:ser>
          <c:idx val="10"/>
          <c:order val="10"/>
          <c:tx>
            <c:strRef>
              <c:f>Spectral!$H$104</c:f>
              <c:strCache>
                <c:ptCount val="1"/>
                <c:pt idx="0">
                  <c:v>A_24_MSI</c:v>
                </c:pt>
              </c:strCache>
            </c:strRef>
          </c:tx>
          <c:spPr>
            <a:ln w="28575" cap="rnd" cmpd="dbl">
              <a:solidFill>
                <a:srgbClr val="B1EE2D"/>
              </a:solidFill>
              <a:prstDash val="solid"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9525" cmpd="dbl">
                <a:solidFill>
                  <a:srgbClr val="B1EE2D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Spectral!$H$106:$H$115</c:f>
              <c:numCache>
                <c:formatCode>0.0000</c:formatCode>
                <c:ptCount val="10"/>
                <c:pt idx="0">
                  <c:v>4.8302454948440203E-2</c:v>
                </c:pt>
                <c:pt idx="1">
                  <c:v>7.4627675337144303E-2</c:v>
                </c:pt>
                <c:pt idx="2">
                  <c:v>8.6699601562116896E-2</c:v>
                </c:pt>
                <c:pt idx="3">
                  <c:v>0.128255058356083</c:v>
                </c:pt>
                <c:pt idx="4">
                  <c:v>0.21059681314934101</c:v>
                </c:pt>
                <c:pt idx="5">
                  <c:v>0.24629213200394001</c:v>
                </c:pt>
                <c:pt idx="6">
                  <c:v>0.26402510290490599</c:v>
                </c:pt>
                <c:pt idx="7">
                  <c:v>0.28261854481957299</c:v>
                </c:pt>
                <c:pt idx="8">
                  <c:v>0.27875968070468399</c:v>
                </c:pt>
                <c:pt idx="9">
                  <c:v>0.183363534120073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36-4CAE-920B-238FBA6B2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Reflectance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1</a:t>
            </a:r>
            <a:r>
              <a:rPr lang="en-GB" baseline="0"/>
              <a:t> - Bare-Rock-Built </a:t>
            </a:r>
            <a:r>
              <a:rPr lang="en-GB"/>
              <a:t>Mean Spectral Signatures RRB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Spectral!$G$4</c:f>
              <c:strCache>
                <c:ptCount val="1"/>
                <c:pt idx="0">
                  <c:v>B_77_MSS</c:v>
                </c:pt>
              </c:strCache>
            </c:strRef>
          </c:tx>
          <c:spPr>
            <a:ln w="28575" cap="rnd">
              <a:solidFill>
                <a:srgbClr val="CACDDE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Spectral!$G$6:$G$9</c:f>
              <c:numCache>
                <c:formatCode>0.0000</c:formatCode>
                <c:ptCount val="4"/>
                <c:pt idx="0">
                  <c:v>6.7726821967329903E-2</c:v>
                </c:pt>
                <c:pt idx="1">
                  <c:v>8.6818923141337101E-2</c:v>
                </c:pt>
                <c:pt idx="2">
                  <c:v>0.122006028882583</c:v>
                </c:pt>
                <c:pt idx="3">
                  <c:v>0.14094933698197301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A6-4A17-90D3-75CCBD56DEBD}"/>
            </c:ext>
          </c:extLst>
        </c:ser>
        <c:ser>
          <c:idx val="7"/>
          <c:order val="1"/>
          <c:tx>
            <c:strRef>
              <c:f>Spectral!$G$12</c:f>
              <c:strCache>
                <c:ptCount val="1"/>
                <c:pt idx="0">
                  <c:v>B_88_MSS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Spectral!$G$14:$G$17</c:f>
              <c:numCache>
                <c:formatCode>0.0000</c:formatCode>
                <c:ptCount val="4"/>
                <c:pt idx="0">
                  <c:v>9.0716215831412594E-2</c:v>
                </c:pt>
                <c:pt idx="1">
                  <c:v>9.3840972393809605E-2</c:v>
                </c:pt>
                <c:pt idx="2">
                  <c:v>0.135030930207441</c:v>
                </c:pt>
                <c:pt idx="3">
                  <c:v>0.163814705775436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A6-4A17-90D3-75CCBD56DEBD}"/>
            </c:ext>
          </c:extLst>
        </c:ser>
        <c:ser>
          <c:idx val="2"/>
          <c:order val="2"/>
          <c:tx>
            <c:strRef>
              <c:f>Spectral!$G$20</c:f>
              <c:strCache>
                <c:ptCount val="1"/>
                <c:pt idx="0">
                  <c:v>B_88_TM</c:v>
                </c:pt>
              </c:strCache>
            </c:strRef>
          </c:tx>
          <c:spPr>
            <a:ln w="28575" cap="rnd">
              <a:solidFill>
                <a:srgbClr val="CACDDE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Spectral!$G$22:$G$27</c:f>
              <c:numCache>
                <c:formatCode>0.0000</c:formatCode>
                <c:ptCount val="6"/>
                <c:pt idx="0">
                  <c:v>8.0326287299411894E-2</c:v>
                </c:pt>
                <c:pt idx="1">
                  <c:v>0.112063761101153</c:v>
                </c:pt>
                <c:pt idx="2">
                  <c:v>0.12765322173747901</c:v>
                </c:pt>
                <c:pt idx="3">
                  <c:v>0.222629393782103</c:v>
                </c:pt>
                <c:pt idx="4">
                  <c:v>0.27612975483000102</c:v>
                </c:pt>
                <c:pt idx="5">
                  <c:v>0.22165161785992199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A6-4A17-90D3-75CCBD56DEBD}"/>
            </c:ext>
          </c:extLst>
        </c:ser>
        <c:ser>
          <c:idx val="6"/>
          <c:order val="3"/>
          <c:tx>
            <c:strRef>
              <c:f>Spectral!$G$30</c:f>
              <c:strCache>
                <c:ptCount val="1"/>
                <c:pt idx="0">
                  <c:v>B_91_TM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Spectral!$G$32:$G$37</c:f>
              <c:numCache>
                <c:formatCode>0.0000</c:formatCode>
                <c:ptCount val="6"/>
                <c:pt idx="0">
                  <c:v>6.8586616523867994E-2</c:v>
                </c:pt>
                <c:pt idx="1">
                  <c:v>0.102277925333354</c:v>
                </c:pt>
                <c:pt idx="2">
                  <c:v>0.114013993777463</c:v>
                </c:pt>
                <c:pt idx="3">
                  <c:v>0.215847864773032</c:v>
                </c:pt>
                <c:pt idx="4">
                  <c:v>0.25060515303830599</c:v>
                </c:pt>
                <c:pt idx="5">
                  <c:v>0.19547415169082499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A6-4A17-90D3-75CCBD56DEBD}"/>
            </c:ext>
          </c:extLst>
        </c:ser>
        <c:ser>
          <c:idx val="8"/>
          <c:order val="4"/>
          <c:tx>
            <c:strRef>
              <c:f>Spectral!$G$40</c:f>
              <c:strCache>
                <c:ptCount val="1"/>
                <c:pt idx="0">
                  <c:v>B_01_TM</c:v>
                </c:pt>
              </c:strCache>
            </c:strRef>
          </c:tx>
          <c:spPr>
            <a:ln w="28575" cap="rnd" cmpd="dbl">
              <a:solidFill>
                <a:srgbClr val="CACDDE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CACDDE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Spectral!$G$42:$G$47</c:f>
              <c:numCache>
                <c:formatCode>0.0000</c:formatCode>
                <c:ptCount val="6"/>
                <c:pt idx="0">
                  <c:v>6.9534696073872193E-2</c:v>
                </c:pt>
                <c:pt idx="1">
                  <c:v>0.10221485397429</c:v>
                </c:pt>
                <c:pt idx="2">
                  <c:v>0.11714371483259101</c:v>
                </c:pt>
                <c:pt idx="3">
                  <c:v>0.20893505331163201</c:v>
                </c:pt>
                <c:pt idx="4">
                  <c:v>0.24724096849465199</c:v>
                </c:pt>
                <c:pt idx="5">
                  <c:v>0.19082494000365299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A6-4A17-90D3-75CCBD56DEBD}"/>
            </c:ext>
          </c:extLst>
        </c:ser>
        <c:ser>
          <c:idx val="9"/>
          <c:order val="5"/>
          <c:tx>
            <c:strRef>
              <c:f>Spectral!$G$50</c:f>
              <c:strCache>
                <c:ptCount val="1"/>
                <c:pt idx="0">
                  <c:v>B_07_ETM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Spectral!$G$52:$G$57</c:f>
              <c:numCache>
                <c:formatCode>0.0000</c:formatCode>
                <c:ptCount val="6"/>
                <c:pt idx="0">
                  <c:v>7.1499456733661398E-2</c:v>
                </c:pt>
                <c:pt idx="1">
                  <c:v>9.6139393513691496E-2</c:v>
                </c:pt>
                <c:pt idx="2">
                  <c:v>0.112677263050183</c:v>
                </c:pt>
                <c:pt idx="3">
                  <c:v>0.202875616316608</c:v>
                </c:pt>
                <c:pt idx="4">
                  <c:v>0.22936080617424201</c:v>
                </c:pt>
                <c:pt idx="5">
                  <c:v>0.19080834089427501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A6-4A17-90D3-75CCBD56DEBD}"/>
            </c:ext>
          </c:extLst>
        </c:ser>
        <c:ser>
          <c:idx val="4"/>
          <c:order val="6"/>
          <c:tx>
            <c:strRef>
              <c:f>Spectral!$G$60</c:f>
              <c:strCache>
                <c:ptCount val="1"/>
                <c:pt idx="0">
                  <c:v>B_11_ETM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Spectral!$G$62:$G$67</c:f>
              <c:numCache>
                <c:formatCode>0.0000</c:formatCode>
                <c:ptCount val="6"/>
                <c:pt idx="0">
                  <c:v>6.5075801025520699E-2</c:v>
                </c:pt>
                <c:pt idx="1">
                  <c:v>8.4544982312095299E-2</c:v>
                </c:pt>
                <c:pt idx="2">
                  <c:v>0.101606380994182</c:v>
                </c:pt>
                <c:pt idx="3">
                  <c:v>0.207494348893285</c:v>
                </c:pt>
                <c:pt idx="4">
                  <c:v>0.21807079857784101</c:v>
                </c:pt>
                <c:pt idx="5">
                  <c:v>0.17894448617257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A6-4A17-90D3-75CCBD56DEBD}"/>
            </c:ext>
          </c:extLst>
        </c:ser>
        <c:ser>
          <c:idx val="3"/>
          <c:order val="7"/>
          <c:tx>
            <c:strRef>
              <c:f>Spectral!$G$70</c:f>
              <c:strCache>
                <c:ptCount val="1"/>
                <c:pt idx="0">
                  <c:v>B_15_OLI</c:v>
                </c:pt>
              </c:strCache>
            </c:strRef>
          </c:tx>
          <c:spPr>
            <a:ln w="28575" cap="rnd">
              <a:solidFill>
                <a:srgbClr val="CACDDE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Spectral!$G$72:$G$77</c:f>
              <c:numCache>
                <c:formatCode>0.0000</c:formatCode>
                <c:ptCount val="6"/>
                <c:pt idx="0">
                  <c:v>5.0845426131834001E-2</c:v>
                </c:pt>
                <c:pt idx="1">
                  <c:v>8.8124445099813806E-2</c:v>
                </c:pt>
                <c:pt idx="2">
                  <c:v>0.107061006665449</c:v>
                </c:pt>
                <c:pt idx="3">
                  <c:v>0.20592010084009901</c:v>
                </c:pt>
                <c:pt idx="4">
                  <c:v>0.22944608153985499</c:v>
                </c:pt>
                <c:pt idx="5">
                  <c:v>0.18584619032663499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6-4A17-90D3-75CCBD56DEBD}"/>
            </c:ext>
          </c:extLst>
        </c:ser>
        <c:ser>
          <c:idx val="5"/>
          <c:order val="8"/>
          <c:tx>
            <c:strRef>
              <c:f>Spectral!$G$80</c:f>
              <c:strCache>
                <c:ptCount val="1"/>
                <c:pt idx="0">
                  <c:v>B_19_OLI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Spectral!$G$82:$G$87</c:f>
              <c:numCache>
                <c:formatCode>0.0000</c:formatCode>
                <c:ptCount val="6"/>
                <c:pt idx="0">
                  <c:v>4.97235465951745E-2</c:v>
                </c:pt>
                <c:pt idx="1">
                  <c:v>8.4250922957554597E-2</c:v>
                </c:pt>
                <c:pt idx="2">
                  <c:v>0.102990446534747</c:v>
                </c:pt>
                <c:pt idx="3">
                  <c:v>0.20063130123484901</c:v>
                </c:pt>
                <c:pt idx="4">
                  <c:v>0.220066065080565</c:v>
                </c:pt>
                <c:pt idx="5">
                  <c:v>0.17586362423468099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A6-4A17-90D3-75CCBD56DEBD}"/>
            </c:ext>
          </c:extLst>
        </c:ser>
        <c:ser>
          <c:idx val="0"/>
          <c:order val="9"/>
          <c:tx>
            <c:strRef>
              <c:f>Spectral!$G$90</c:f>
              <c:strCache>
                <c:ptCount val="1"/>
                <c:pt idx="0">
                  <c:v>B_19_MSI</c:v>
                </c:pt>
              </c:strCache>
            </c:strRef>
          </c:tx>
          <c:spPr>
            <a:ln w="12700" cap="rnd">
              <a:solidFill>
                <a:srgbClr val="CACDDE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Spectral!$G$92:$G$101</c:f>
              <c:numCache>
                <c:formatCode>0.0000</c:formatCode>
                <c:ptCount val="10"/>
                <c:pt idx="0">
                  <c:v>7.4062072276795801E-2</c:v>
                </c:pt>
                <c:pt idx="1">
                  <c:v>9.8386752113271206E-2</c:v>
                </c:pt>
                <c:pt idx="2">
                  <c:v>0.11315093889595799</c:v>
                </c:pt>
                <c:pt idx="3">
                  <c:v>0.137074345745517</c:v>
                </c:pt>
                <c:pt idx="4">
                  <c:v>0.174391742168476</c:v>
                </c:pt>
                <c:pt idx="5">
                  <c:v>0.189767463007777</c:v>
                </c:pt>
                <c:pt idx="6">
                  <c:v>0.192438677819673</c:v>
                </c:pt>
                <c:pt idx="7">
                  <c:v>0.20425947108597201</c:v>
                </c:pt>
                <c:pt idx="8">
                  <c:v>0.22400255917190801</c:v>
                </c:pt>
                <c:pt idx="9">
                  <c:v>0.17935435738401501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A6-4A17-90D3-75CCBD56DEBD}"/>
            </c:ext>
          </c:extLst>
        </c:ser>
        <c:ser>
          <c:idx val="10"/>
          <c:order val="10"/>
          <c:tx>
            <c:strRef>
              <c:f>Spectral!$G$104</c:f>
              <c:strCache>
                <c:ptCount val="1"/>
                <c:pt idx="0">
                  <c:v>B_24_MSI</c:v>
                </c:pt>
              </c:strCache>
            </c:strRef>
          </c:tx>
          <c:spPr>
            <a:ln w="28575" cap="rnd" cmpd="dbl">
              <a:solidFill>
                <a:srgbClr val="CACDDE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9525" cmpd="dbl">
                <a:solidFill>
                  <a:srgbClr val="CACDDE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Spectral!$G$106:$G$115</c:f>
              <c:numCache>
                <c:formatCode>0.0000</c:formatCode>
                <c:ptCount val="10"/>
                <c:pt idx="0">
                  <c:v>8.3059130141396695E-2</c:v>
                </c:pt>
                <c:pt idx="1">
                  <c:v>9.9951319124780003E-2</c:v>
                </c:pt>
                <c:pt idx="2">
                  <c:v>0.11552063235526699</c:v>
                </c:pt>
                <c:pt idx="3">
                  <c:v>0.136278662212301</c:v>
                </c:pt>
                <c:pt idx="4">
                  <c:v>0.16807478310155599</c:v>
                </c:pt>
                <c:pt idx="5">
                  <c:v>0.18238066975019601</c:v>
                </c:pt>
                <c:pt idx="6">
                  <c:v>0.18618526826314299</c:v>
                </c:pt>
                <c:pt idx="7">
                  <c:v>0.196120697866491</c:v>
                </c:pt>
                <c:pt idx="8">
                  <c:v>0.22920213766258199</c:v>
                </c:pt>
                <c:pt idx="9">
                  <c:v>0.19473793555014801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A6-4A17-90D3-75CCBD56D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Reflectance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0</a:t>
            </a:r>
            <a:r>
              <a:rPr lang="en-GB" baseline="0"/>
              <a:t> Water </a:t>
            </a:r>
            <a:r>
              <a:rPr lang="en-GB"/>
              <a:t>Mean Spectral Signatures RRB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Spectral!$F$4</c:f>
              <c:strCache>
                <c:ptCount val="1"/>
                <c:pt idx="0">
                  <c:v>W_77_MSS</c:v>
                </c:pt>
              </c:strCache>
            </c:strRef>
          </c:tx>
          <c:spPr>
            <a:ln w="28575" cap="rnd">
              <a:solidFill>
                <a:srgbClr val="1F9DFF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Spectral!$F$6:$F$9</c:f>
              <c:numCache>
                <c:formatCode>0.0000</c:formatCode>
                <c:ptCount val="4"/>
                <c:pt idx="0">
                  <c:v>1.0934669123596599E-2</c:v>
                </c:pt>
                <c:pt idx="1">
                  <c:v>2.3737617947397E-2</c:v>
                </c:pt>
                <c:pt idx="2">
                  <c:v>2.0504098842601699E-2</c:v>
                </c:pt>
                <c:pt idx="3">
                  <c:v>1.8231736266761899E-2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CA-4166-8FAB-D4BD34D0E78A}"/>
            </c:ext>
          </c:extLst>
        </c:ser>
        <c:ser>
          <c:idx val="7"/>
          <c:order val="1"/>
          <c:tx>
            <c:strRef>
              <c:f>Spectral!$F$12</c:f>
              <c:strCache>
                <c:ptCount val="1"/>
                <c:pt idx="0">
                  <c:v>W_88_MSS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Spectral!$F$14:$F$17</c:f>
              <c:numCache>
                <c:formatCode>0.0000</c:formatCode>
                <c:ptCount val="4"/>
                <c:pt idx="0">
                  <c:v>4.5516703861260097E-2</c:v>
                </c:pt>
                <c:pt idx="1">
                  <c:v>3.6904639503236102E-2</c:v>
                </c:pt>
                <c:pt idx="2">
                  <c:v>3.5843539320683702E-2</c:v>
                </c:pt>
                <c:pt idx="3">
                  <c:v>3.1208125739890399E-2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CA-4166-8FAB-D4BD34D0E78A}"/>
            </c:ext>
          </c:extLst>
        </c:ser>
        <c:ser>
          <c:idx val="2"/>
          <c:order val="2"/>
          <c:tx>
            <c:strRef>
              <c:f>Spectral!$F$20</c:f>
              <c:strCache>
                <c:ptCount val="1"/>
                <c:pt idx="0">
                  <c:v>W_88_TM</c:v>
                </c:pt>
              </c:strCache>
            </c:strRef>
          </c:tx>
          <c:spPr>
            <a:ln w="28575" cap="rnd">
              <a:solidFill>
                <a:srgbClr val="1F9DFF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Spectral!$F$22:$F$27</c:f>
              <c:numCache>
                <c:formatCode>0.0000</c:formatCode>
                <c:ptCount val="6"/>
                <c:pt idx="0">
                  <c:v>2.9775517017157999E-2</c:v>
                </c:pt>
                <c:pt idx="1">
                  <c:v>3.2908244555145599E-2</c:v>
                </c:pt>
                <c:pt idx="2">
                  <c:v>3.1710563538075401E-2</c:v>
                </c:pt>
                <c:pt idx="3">
                  <c:v>3.2134913386170201E-2</c:v>
                </c:pt>
                <c:pt idx="4">
                  <c:v>2.2868531927432701E-2</c:v>
                </c:pt>
                <c:pt idx="5">
                  <c:v>1.77742274591258E-2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CA-4166-8FAB-D4BD34D0E78A}"/>
            </c:ext>
          </c:extLst>
        </c:ser>
        <c:ser>
          <c:idx val="6"/>
          <c:order val="3"/>
          <c:tx>
            <c:strRef>
              <c:f>Spectral!$F$30</c:f>
              <c:strCache>
                <c:ptCount val="1"/>
                <c:pt idx="0">
                  <c:v>W_91_TM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Spectral!$F$32:$F$37</c:f>
              <c:numCache>
                <c:formatCode>0.0000</c:formatCode>
                <c:ptCount val="6"/>
                <c:pt idx="0">
                  <c:v>2.04684477787642E-2</c:v>
                </c:pt>
                <c:pt idx="1">
                  <c:v>2.69348116243649E-2</c:v>
                </c:pt>
                <c:pt idx="2">
                  <c:v>2.5588723150675799E-2</c:v>
                </c:pt>
                <c:pt idx="3">
                  <c:v>3.03876493794389E-2</c:v>
                </c:pt>
                <c:pt idx="4">
                  <c:v>1.93553247457697E-2</c:v>
                </c:pt>
                <c:pt idx="5">
                  <c:v>1.44276871455762E-2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CA-4166-8FAB-D4BD34D0E78A}"/>
            </c:ext>
          </c:extLst>
        </c:ser>
        <c:ser>
          <c:idx val="8"/>
          <c:order val="4"/>
          <c:tx>
            <c:strRef>
              <c:f>Spectral!$F$40</c:f>
              <c:strCache>
                <c:ptCount val="1"/>
                <c:pt idx="0">
                  <c:v>W_01_TM</c:v>
                </c:pt>
              </c:strCache>
            </c:strRef>
          </c:tx>
          <c:spPr>
            <a:ln w="28575" cap="rnd" cmpd="dbl">
              <a:solidFill>
                <a:srgbClr val="1F9DFF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1F9DFF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Spectral!$F$42:$F$47</c:f>
              <c:numCache>
                <c:formatCode>0.0000</c:formatCode>
                <c:ptCount val="6"/>
                <c:pt idx="0">
                  <c:v>1.5243268011715499E-2</c:v>
                </c:pt>
                <c:pt idx="1">
                  <c:v>2.0353505091201499E-2</c:v>
                </c:pt>
                <c:pt idx="2">
                  <c:v>1.9584051510172E-2</c:v>
                </c:pt>
                <c:pt idx="3">
                  <c:v>2.4278325730334699E-2</c:v>
                </c:pt>
                <c:pt idx="4">
                  <c:v>1.2023789937227899E-2</c:v>
                </c:pt>
                <c:pt idx="5">
                  <c:v>8.9062645671618996E-3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CA-4166-8FAB-D4BD34D0E78A}"/>
            </c:ext>
          </c:extLst>
        </c:ser>
        <c:ser>
          <c:idx val="9"/>
          <c:order val="5"/>
          <c:tx>
            <c:strRef>
              <c:f>Spectral!$F$50</c:f>
              <c:strCache>
                <c:ptCount val="1"/>
                <c:pt idx="0">
                  <c:v>W_07_ETM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Spectral!$F$52:$F$57</c:f>
              <c:numCache>
                <c:formatCode>0.0000</c:formatCode>
                <c:ptCount val="6"/>
                <c:pt idx="0">
                  <c:v>2.2995212826076899E-2</c:v>
                </c:pt>
                <c:pt idx="1">
                  <c:v>2.58863234053625E-2</c:v>
                </c:pt>
                <c:pt idx="2">
                  <c:v>2.50634338794333E-2</c:v>
                </c:pt>
                <c:pt idx="3">
                  <c:v>2.9709413960418499E-2</c:v>
                </c:pt>
                <c:pt idx="4">
                  <c:v>2.3631700616677201E-2</c:v>
                </c:pt>
                <c:pt idx="5">
                  <c:v>2.0326791997339499E-2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CA-4166-8FAB-D4BD34D0E78A}"/>
            </c:ext>
          </c:extLst>
        </c:ser>
        <c:ser>
          <c:idx val="4"/>
          <c:order val="6"/>
          <c:tx>
            <c:strRef>
              <c:f>Spectral!$F$60</c:f>
              <c:strCache>
                <c:ptCount val="1"/>
                <c:pt idx="0">
                  <c:v>W_11_ETM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Spectral!$F$62:$F$67</c:f>
              <c:numCache>
                <c:formatCode>0.0000</c:formatCode>
                <c:ptCount val="6"/>
                <c:pt idx="0">
                  <c:v>1.8039955994117202E-2</c:v>
                </c:pt>
                <c:pt idx="1">
                  <c:v>1.71762339024817E-2</c:v>
                </c:pt>
                <c:pt idx="2">
                  <c:v>1.6553232832040101E-2</c:v>
                </c:pt>
                <c:pt idx="3">
                  <c:v>2.16063347095512E-2</c:v>
                </c:pt>
                <c:pt idx="4">
                  <c:v>1.60233463160976E-2</c:v>
                </c:pt>
                <c:pt idx="5">
                  <c:v>1.48123582825073E-2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CA-4166-8FAB-D4BD34D0E78A}"/>
            </c:ext>
          </c:extLst>
        </c:ser>
        <c:ser>
          <c:idx val="3"/>
          <c:order val="7"/>
          <c:tx>
            <c:strRef>
              <c:f>Spectral!$F$70</c:f>
              <c:strCache>
                <c:ptCount val="1"/>
                <c:pt idx="0">
                  <c:v>W_15_OLI</c:v>
                </c:pt>
              </c:strCache>
            </c:strRef>
          </c:tx>
          <c:spPr>
            <a:ln w="28575" cap="rnd">
              <a:solidFill>
                <a:srgbClr val="1F9DFF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Spectral!$F$72:$F$77</c:f>
              <c:numCache>
                <c:formatCode>0.0000</c:formatCode>
                <c:ptCount val="6"/>
                <c:pt idx="0">
                  <c:v>1E-3</c:v>
                </c:pt>
                <c:pt idx="1">
                  <c:v>9.8688589306202903E-3</c:v>
                </c:pt>
                <c:pt idx="2">
                  <c:v>1.4149853578904701E-2</c:v>
                </c:pt>
                <c:pt idx="3">
                  <c:v>1.4025791316592E-2</c:v>
                </c:pt>
                <c:pt idx="4">
                  <c:v>1.34434786850495E-2</c:v>
                </c:pt>
                <c:pt idx="5">
                  <c:v>1.14887551989926E-2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CA-4166-8FAB-D4BD34D0E78A}"/>
            </c:ext>
          </c:extLst>
        </c:ser>
        <c:ser>
          <c:idx val="5"/>
          <c:order val="8"/>
          <c:tx>
            <c:strRef>
              <c:f>Spectral!$F$80</c:f>
              <c:strCache>
                <c:ptCount val="1"/>
                <c:pt idx="0">
                  <c:v>W_19_OLI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Spectral!$F$82:$F$87</c:f>
              <c:numCache>
                <c:formatCode>0.0000</c:formatCode>
                <c:ptCount val="6"/>
                <c:pt idx="0">
                  <c:v>1.4262003537352901E-2</c:v>
                </c:pt>
                <c:pt idx="1">
                  <c:v>2.6488744784328298E-2</c:v>
                </c:pt>
                <c:pt idx="2">
                  <c:v>3.1500239355469299E-2</c:v>
                </c:pt>
                <c:pt idx="3">
                  <c:v>3.2541331259895397E-2</c:v>
                </c:pt>
                <c:pt idx="4">
                  <c:v>3.0612660406943701E-2</c:v>
                </c:pt>
                <c:pt idx="5">
                  <c:v>2.6576040005858E-2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CA-4166-8FAB-D4BD34D0E78A}"/>
            </c:ext>
          </c:extLst>
        </c:ser>
        <c:ser>
          <c:idx val="0"/>
          <c:order val="9"/>
          <c:tx>
            <c:strRef>
              <c:f>Spectral!$F$90</c:f>
              <c:strCache>
                <c:ptCount val="1"/>
                <c:pt idx="0">
                  <c:v>W_19_MSI</c:v>
                </c:pt>
              </c:strCache>
            </c:strRef>
          </c:tx>
          <c:spPr>
            <a:ln w="12700" cap="rnd">
              <a:solidFill>
                <a:srgbClr val="1F9DFF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Spectral!$F$92:$F$101</c:f>
              <c:numCache>
                <c:formatCode>0.0000</c:formatCode>
                <c:ptCount val="10"/>
                <c:pt idx="0">
                  <c:v>2.9260571418102899E-2</c:v>
                </c:pt>
                <c:pt idx="1">
                  <c:v>3.2471114973711801E-2</c:v>
                </c:pt>
                <c:pt idx="2">
                  <c:v>3.3507418030701099E-2</c:v>
                </c:pt>
                <c:pt idx="3">
                  <c:v>3.6846879535108103E-2</c:v>
                </c:pt>
                <c:pt idx="4">
                  <c:v>3.2135749416857901E-2</c:v>
                </c:pt>
                <c:pt idx="5">
                  <c:v>3.1441931831989199E-2</c:v>
                </c:pt>
                <c:pt idx="6">
                  <c:v>3.0868597220281398E-2</c:v>
                </c:pt>
                <c:pt idx="7">
                  <c:v>2.8807812633988999E-2</c:v>
                </c:pt>
                <c:pt idx="8">
                  <c:v>2.9358090343763101E-2</c:v>
                </c:pt>
                <c:pt idx="9">
                  <c:v>2.52051921602592E-2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CA-4166-8FAB-D4BD34D0E78A}"/>
            </c:ext>
          </c:extLst>
        </c:ser>
        <c:ser>
          <c:idx val="10"/>
          <c:order val="10"/>
          <c:tx>
            <c:strRef>
              <c:f>Spectral!$F$104</c:f>
              <c:strCache>
                <c:ptCount val="1"/>
                <c:pt idx="0">
                  <c:v>W_24_MSI</c:v>
                </c:pt>
              </c:strCache>
            </c:strRef>
          </c:tx>
          <c:spPr>
            <a:ln w="28575" cap="rnd" cmpd="dbl">
              <a:solidFill>
                <a:srgbClr val="1F9DFF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15875" cmpd="dbl">
                <a:solidFill>
                  <a:srgbClr val="1F9DFF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Spectral!$F$106:$F$115</c:f>
              <c:numCache>
                <c:formatCode>0.0000</c:formatCode>
                <c:ptCount val="10"/>
                <c:pt idx="0">
                  <c:v>6.0593144521295002E-2</c:v>
                </c:pt>
                <c:pt idx="1">
                  <c:v>5.9340177827484498E-2</c:v>
                </c:pt>
                <c:pt idx="2">
                  <c:v>5.9107503267544201E-2</c:v>
                </c:pt>
                <c:pt idx="3">
                  <c:v>6.2222482612216898E-2</c:v>
                </c:pt>
                <c:pt idx="4">
                  <c:v>5.5225895781401899E-2</c:v>
                </c:pt>
                <c:pt idx="5">
                  <c:v>5.46937215805232E-2</c:v>
                </c:pt>
                <c:pt idx="6">
                  <c:v>5.3862917448341097E-2</c:v>
                </c:pt>
                <c:pt idx="7">
                  <c:v>5.1264796874487803E-2</c:v>
                </c:pt>
                <c:pt idx="8">
                  <c:v>4.8684197988867903E-2</c:v>
                </c:pt>
                <c:pt idx="9">
                  <c:v>4.4873679674554599E-2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CA-4166-8FAB-D4BD34D0E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Reflectance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5.000000000000001E-3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3 Forest Mean Spectral Signatures RRB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Spectral!$I$4</c:f>
              <c:strCache>
                <c:ptCount val="1"/>
                <c:pt idx="0">
                  <c:v>F_77_MSS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Spectral!$I$6:$I$9</c:f>
              <c:numCache>
                <c:formatCode>0.0000</c:formatCode>
                <c:ptCount val="4"/>
                <c:pt idx="0">
                  <c:v>2.4184574273370101E-2</c:v>
                </c:pt>
                <c:pt idx="1">
                  <c:v>3.4761348786188202E-2</c:v>
                </c:pt>
                <c:pt idx="2">
                  <c:v>6.9768595303245196E-2</c:v>
                </c:pt>
                <c:pt idx="3">
                  <c:v>9.3742023004867503E-2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EF-4D31-A661-A780A970A737}"/>
            </c:ext>
          </c:extLst>
        </c:ser>
        <c:ser>
          <c:idx val="7"/>
          <c:order val="1"/>
          <c:tx>
            <c:strRef>
              <c:f>Spectral!$I$12</c:f>
              <c:strCache>
                <c:ptCount val="1"/>
                <c:pt idx="0">
                  <c:v>F_88_MSS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Spectral!$I$14:$I$17</c:f>
              <c:numCache>
                <c:formatCode>0.0000</c:formatCode>
                <c:ptCount val="4"/>
                <c:pt idx="0">
                  <c:v>5.3096658910701297E-2</c:v>
                </c:pt>
                <c:pt idx="1">
                  <c:v>4.41327776183243E-2</c:v>
                </c:pt>
                <c:pt idx="2">
                  <c:v>9.4581520775312594E-2</c:v>
                </c:pt>
                <c:pt idx="3">
                  <c:v>0.127178976087193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EF-4D31-A661-A780A970A737}"/>
            </c:ext>
          </c:extLst>
        </c:ser>
        <c:ser>
          <c:idx val="2"/>
          <c:order val="2"/>
          <c:tx>
            <c:strRef>
              <c:f>Spectral!$I$20</c:f>
              <c:strCache>
                <c:ptCount val="1"/>
                <c:pt idx="0">
                  <c:v>F_88_TM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Spectral!$I$22:$I$27</c:f>
              <c:numCache>
                <c:formatCode>0.0000</c:formatCode>
                <c:ptCount val="6"/>
                <c:pt idx="0">
                  <c:v>2.9189194651464599E-2</c:v>
                </c:pt>
                <c:pt idx="1">
                  <c:v>4.2769506238455997E-2</c:v>
                </c:pt>
                <c:pt idx="2">
                  <c:v>4.1181979944309499E-2</c:v>
                </c:pt>
                <c:pt idx="3">
                  <c:v>0.17026426187065999</c:v>
                </c:pt>
                <c:pt idx="4">
                  <c:v>0.12667773768174301</c:v>
                </c:pt>
                <c:pt idx="5">
                  <c:v>6.9356869970081197E-2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EF-4D31-A661-A780A970A737}"/>
            </c:ext>
          </c:extLst>
        </c:ser>
        <c:ser>
          <c:idx val="6"/>
          <c:order val="3"/>
          <c:tx>
            <c:strRef>
              <c:f>Spectral!$I$30</c:f>
              <c:strCache>
                <c:ptCount val="1"/>
                <c:pt idx="0">
                  <c:v>F_91_TM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Spectral!$I$32:$I$37</c:f>
              <c:numCache>
                <c:formatCode>0.0000</c:formatCode>
                <c:ptCount val="6"/>
                <c:pt idx="0">
                  <c:v>2.4825601735697402E-2</c:v>
                </c:pt>
                <c:pt idx="1">
                  <c:v>4.02647629940402E-2</c:v>
                </c:pt>
                <c:pt idx="2">
                  <c:v>3.8200469382575999E-2</c:v>
                </c:pt>
                <c:pt idx="3">
                  <c:v>0.161059686998</c:v>
                </c:pt>
                <c:pt idx="4">
                  <c:v>0.11302797050718701</c:v>
                </c:pt>
                <c:pt idx="5">
                  <c:v>6.0860740057872197E-2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EF-4D31-A661-A780A970A737}"/>
            </c:ext>
          </c:extLst>
        </c:ser>
        <c:ser>
          <c:idx val="8"/>
          <c:order val="4"/>
          <c:tx>
            <c:strRef>
              <c:f>Spectral!$I$40</c:f>
              <c:strCache>
                <c:ptCount val="1"/>
                <c:pt idx="0">
                  <c:v>F_01_TM</c:v>
                </c:pt>
              </c:strCache>
            </c:strRef>
          </c:tx>
          <c:spPr>
            <a:ln w="28575" cap="rnd" cmpd="dbl">
              <a:solidFill>
                <a:srgbClr val="149721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1F9DFF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Spectral!$I$42:$I$47</c:f>
              <c:numCache>
                <c:formatCode>0.0000</c:formatCode>
                <c:ptCount val="6"/>
                <c:pt idx="0">
                  <c:v>1.9936361817828901E-2</c:v>
                </c:pt>
                <c:pt idx="1">
                  <c:v>3.3413748267158802E-2</c:v>
                </c:pt>
                <c:pt idx="2">
                  <c:v>3.2054441326678798E-2</c:v>
                </c:pt>
                <c:pt idx="3">
                  <c:v>0.15045445416834799</c:v>
                </c:pt>
                <c:pt idx="4">
                  <c:v>9.7337227356456696E-2</c:v>
                </c:pt>
                <c:pt idx="5">
                  <c:v>4.9033387161407697E-2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6EF-4D31-A661-A780A970A737}"/>
            </c:ext>
          </c:extLst>
        </c:ser>
        <c:ser>
          <c:idx val="9"/>
          <c:order val="5"/>
          <c:tx>
            <c:strRef>
              <c:f>Spectral!$I$50</c:f>
              <c:strCache>
                <c:ptCount val="1"/>
                <c:pt idx="0">
                  <c:v>F_07_ETM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149721"/>
                </a:solidFill>
                <a:prstDash val="solid"/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Spectral!$I$52:$I$57</c:f>
              <c:numCache>
                <c:formatCode>0.0000</c:formatCode>
                <c:ptCount val="6"/>
                <c:pt idx="0">
                  <c:v>2.3985307589778002E-2</c:v>
                </c:pt>
                <c:pt idx="1">
                  <c:v>3.5638389513311698E-2</c:v>
                </c:pt>
                <c:pt idx="2">
                  <c:v>3.3907196103553597E-2</c:v>
                </c:pt>
                <c:pt idx="3">
                  <c:v>0.165932815024734</c:v>
                </c:pt>
                <c:pt idx="4">
                  <c:v>0.10469879212659799</c:v>
                </c:pt>
                <c:pt idx="5">
                  <c:v>5.76834419128422E-2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6EF-4D31-A661-A780A970A737}"/>
            </c:ext>
          </c:extLst>
        </c:ser>
        <c:ser>
          <c:idx val="4"/>
          <c:order val="6"/>
          <c:tx>
            <c:strRef>
              <c:f>Spectral!$I$60</c:f>
              <c:strCache>
                <c:ptCount val="1"/>
                <c:pt idx="0">
                  <c:v>F_11_ETM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Spectral!$I$62:$I$67</c:f>
              <c:numCache>
                <c:formatCode>0.0000</c:formatCode>
                <c:ptCount val="6"/>
                <c:pt idx="0">
                  <c:v>1.9789595322922099E-2</c:v>
                </c:pt>
                <c:pt idx="1">
                  <c:v>2.78096462842784E-2</c:v>
                </c:pt>
                <c:pt idx="2">
                  <c:v>2.6873949745245901E-2</c:v>
                </c:pt>
                <c:pt idx="3">
                  <c:v>0.15227645082549501</c:v>
                </c:pt>
                <c:pt idx="4">
                  <c:v>9.2583889722114399E-2</c:v>
                </c:pt>
                <c:pt idx="5">
                  <c:v>4.9487078398720998E-2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EF-4D31-A661-A780A970A737}"/>
            </c:ext>
          </c:extLst>
        </c:ser>
        <c:ser>
          <c:idx val="3"/>
          <c:order val="7"/>
          <c:tx>
            <c:strRef>
              <c:f>Spectral!$I$70</c:f>
              <c:strCache>
                <c:ptCount val="1"/>
                <c:pt idx="0">
                  <c:v>F_15_OLI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Spectral!$I$72:$I$77</c:f>
              <c:numCache>
                <c:formatCode>0.0000</c:formatCode>
                <c:ptCount val="6"/>
                <c:pt idx="0">
                  <c:v>1E-3</c:v>
                </c:pt>
                <c:pt idx="1">
                  <c:v>1.8254847580278E-2</c:v>
                </c:pt>
                <c:pt idx="2">
                  <c:v>1.8258951249258502E-2</c:v>
                </c:pt>
                <c:pt idx="3">
                  <c:v>0.15136901164219899</c:v>
                </c:pt>
                <c:pt idx="4">
                  <c:v>8.5050381246783602E-2</c:v>
                </c:pt>
                <c:pt idx="5">
                  <c:v>4.5367490147476798E-2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EF-4D31-A661-A780A970A737}"/>
            </c:ext>
          </c:extLst>
        </c:ser>
        <c:ser>
          <c:idx val="5"/>
          <c:order val="8"/>
          <c:tx>
            <c:strRef>
              <c:f>Spectral!$I$80</c:f>
              <c:strCache>
                <c:ptCount val="1"/>
                <c:pt idx="0">
                  <c:v>F_19_OLI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Spectral!$I$82:$I$87</c:f>
              <c:numCache>
                <c:formatCode>0.0000</c:formatCode>
                <c:ptCount val="6"/>
                <c:pt idx="0">
                  <c:v>1E-3</c:v>
                </c:pt>
                <c:pt idx="1">
                  <c:v>1.8006039737730201E-2</c:v>
                </c:pt>
                <c:pt idx="2">
                  <c:v>1.8409441326129199E-2</c:v>
                </c:pt>
                <c:pt idx="3">
                  <c:v>0.155511190764521</c:v>
                </c:pt>
                <c:pt idx="4">
                  <c:v>8.5744211676280505E-2</c:v>
                </c:pt>
                <c:pt idx="5">
                  <c:v>4.5253168123410403E-2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EF-4D31-A661-A780A970A737}"/>
            </c:ext>
          </c:extLst>
        </c:ser>
        <c:ser>
          <c:idx val="0"/>
          <c:order val="9"/>
          <c:tx>
            <c:strRef>
              <c:f>Spectral!$I$90</c:f>
              <c:strCache>
                <c:ptCount val="1"/>
                <c:pt idx="0">
                  <c:v>F_19_MSI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Spectral!$I$92:$I$101</c:f>
              <c:numCache>
                <c:formatCode>0.0000</c:formatCode>
                <c:ptCount val="10"/>
                <c:pt idx="0">
                  <c:v>1.20903444602008E-2</c:v>
                </c:pt>
                <c:pt idx="1">
                  <c:v>3.0840749549594999E-2</c:v>
                </c:pt>
                <c:pt idx="2">
                  <c:v>2.6105756548844401E-2</c:v>
                </c:pt>
                <c:pt idx="3">
                  <c:v>6.4781977163751905E-2</c:v>
                </c:pt>
                <c:pt idx="4">
                  <c:v>0.146528675905085</c:v>
                </c:pt>
                <c:pt idx="5">
                  <c:v>0.169167953861496</c:v>
                </c:pt>
                <c:pt idx="6">
                  <c:v>0.173468581510696</c:v>
                </c:pt>
                <c:pt idx="7">
                  <c:v>0.18697747720557401</c:v>
                </c:pt>
                <c:pt idx="8">
                  <c:v>0.110296151387313</c:v>
                </c:pt>
                <c:pt idx="9">
                  <c:v>5.96484024034604E-2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EF-4D31-A661-A780A970A737}"/>
            </c:ext>
          </c:extLst>
        </c:ser>
        <c:ser>
          <c:idx val="10"/>
          <c:order val="10"/>
          <c:tx>
            <c:strRef>
              <c:f>Spectral!$I$104</c:f>
              <c:strCache>
                <c:ptCount val="1"/>
                <c:pt idx="0">
                  <c:v>F_24_MSI</c:v>
                </c:pt>
              </c:strCache>
            </c:strRef>
          </c:tx>
          <c:spPr>
            <a:ln w="12700" cap="rnd">
              <a:solidFill>
                <a:srgbClr val="149721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15875" cmpd="dbl">
                <a:solidFill>
                  <a:srgbClr val="149721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Spectral!$I$106:$I$115</c:f>
              <c:numCache>
                <c:formatCode>0.0000</c:formatCode>
                <c:ptCount val="10"/>
                <c:pt idx="0">
                  <c:v>2.2411752263962401E-2</c:v>
                </c:pt>
                <c:pt idx="1">
                  <c:v>3.4923294038781298E-2</c:v>
                </c:pt>
                <c:pt idx="2">
                  <c:v>2.7480570390183999E-2</c:v>
                </c:pt>
                <c:pt idx="3">
                  <c:v>6.3005674955059904E-2</c:v>
                </c:pt>
                <c:pt idx="4">
                  <c:v>0.150498276790969</c:v>
                </c:pt>
                <c:pt idx="5">
                  <c:v>0.17639942733250799</c:v>
                </c:pt>
                <c:pt idx="6">
                  <c:v>0.183244166179064</c:v>
                </c:pt>
                <c:pt idx="7">
                  <c:v>0.19406982565960901</c:v>
                </c:pt>
                <c:pt idx="8">
                  <c:v>0.11118841244012501</c:v>
                </c:pt>
                <c:pt idx="9">
                  <c:v>6.2248027136378697E-2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EF-4D31-A661-A780A970A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Reflectance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5.000000000000001E-3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4 Shrubland-Wetland</a:t>
            </a:r>
            <a:r>
              <a:rPr lang="en-GB" baseline="0"/>
              <a:t> </a:t>
            </a:r>
            <a:r>
              <a:rPr lang="en-GB"/>
              <a:t>Mean Spectral Signatures RRB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Spectral!$J$4</c:f>
              <c:strCache>
                <c:ptCount val="1"/>
                <c:pt idx="0">
                  <c:v>S_77_MSS</c:v>
                </c:pt>
              </c:strCache>
            </c:strRef>
          </c:tx>
          <c:spPr>
            <a:ln w="28575" cap="rnd">
              <a:solidFill>
                <a:srgbClr val="AD8D06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Spectral!$J$6:$J$9</c:f>
              <c:numCache>
                <c:formatCode>0.0000</c:formatCode>
                <c:ptCount val="4"/>
                <c:pt idx="0">
                  <c:v>3.4549935251757098E-2</c:v>
                </c:pt>
                <c:pt idx="1">
                  <c:v>5.0239804965506098E-2</c:v>
                </c:pt>
                <c:pt idx="2">
                  <c:v>8.2815970042829298E-2</c:v>
                </c:pt>
                <c:pt idx="3">
                  <c:v>0.11071807401004299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8A-4F9F-8F7A-423C02ED0974}"/>
            </c:ext>
          </c:extLst>
        </c:ser>
        <c:ser>
          <c:idx val="7"/>
          <c:order val="1"/>
          <c:tx>
            <c:strRef>
              <c:f>Spectral!$J$12</c:f>
              <c:strCache>
                <c:ptCount val="1"/>
                <c:pt idx="0">
                  <c:v>S_88_MSS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Spectral!$J$14:$J$17</c:f>
              <c:numCache>
                <c:formatCode>0.0000</c:formatCode>
                <c:ptCount val="4"/>
                <c:pt idx="0">
                  <c:v>5.8845793612450598E-2</c:v>
                </c:pt>
                <c:pt idx="1">
                  <c:v>5.8082558794768098E-2</c:v>
                </c:pt>
                <c:pt idx="2">
                  <c:v>0.10397937127113201</c:v>
                </c:pt>
                <c:pt idx="3">
                  <c:v>0.14101177568725701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8A-4F9F-8F7A-423C02ED0974}"/>
            </c:ext>
          </c:extLst>
        </c:ser>
        <c:ser>
          <c:idx val="2"/>
          <c:order val="2"/>
          <c:tx>
            <c:strRef>
              <c:f>Spectral!$J$20</c:f>
              <c:strCache>
                <c:ptCount val="1"/>
                <c:pt idx="0">
                  <c:v>S_88_TM</c:v>
                </c:pt>
              </c:strCache>
            </c:strRef>
          </c:tx>
          <c:spPr>
            <a:ln w="28575" cap="rnd">
              <a:solidFill>
                <a:srgbClr val="AD8D06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Spectral!$J$22:$J$27</c:f>
              <c:numCache>
                <c:formatCode>0.0000</c:formatCode>
                <c:ptCount val="6"/>
                <c:pt idx="0">
                  <c:v>4.05876728689658E-2</c:v>
                </c:pt>
                <c:pt idx="1">
                  <c:v>5.9511555349907597E-2</c:v>
                </c:pt>
                <c:pt idx="2">
                  <c:v>6.7886372946279805E-2</c:v>
                </c:pt>
                <c:pt idx="3">
                  <c:v>0.18137092865705801</c:v>
                </c:pt>
                <c:pt idx="4">
                  <c:v>0.20181927420524801</c:v>
                </c:pt>
                <c:pt idx="5">
                  <c:v>0.11602556583491699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8A-4F9F-8F7A-423C02ED0974}"/>
            </c:ext>
          </c:extLst>
        </c:ser>
        <c:ser>
          <c:idx val="6"/>
          <c:order val="3"/>
          <c:tx>
            <c:strRef>
              <c:f>Spectral!$J$30</c:f>
              <c:strCache>
                <c:ptCount val="1"/>
                <c:pt idx="0">
                  <c:v>S_91_TM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Spectral!$J$32:$J$37</c:f>
              <c:numCache>
                <c:formatCode>0.0000</c:formatCode>
                <c:ptCount val="6"/>
                <c:pt idx="0">
                  <c:v>3.6449584470606602E-2</c:v>
                </c:pt>
                <c:pt idx="1">
                  <c:v>5.8293344245053502E-2</c:v>
                </c:pt>
                <c:pt idx="2">
                  <c:v>6.5357018945874201E-2</c:v>
                </c:pt>
                <c:pt idx="3">
                  <c:v>0.17849773470754099</c:v>
                </c:pt>
                <c:pt idx="4">
                  <c:v>0.189197299366623</c:v>
                </c:pt>
                <c:pt idx="5">
                  <c:v>0.109293592523709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8A-4F9F-8F7A-423C02ED0974}"/>
            </c:ext>
          </c:extLst>
        </c:ser>
        <c:ser>
          <c:idx val="8"/>
          <c:order val="4"/>
          <c:tx>
            <c:strRef>
              <c:f>Spectral!$J$40</c:f>
              <c:strCache>
                <c:ptCount val="1"/>
                <c:pt idx="0">
                  <c:v>S_01_TM</c:v>
                </c:pt>
              </c:strCache>
            </c:strRef>
          </c:tx>
          <c:spPr>
            <a:ln w="28575" cap="rnd" cmpd="dbl">
              <a:solidFill>
                <a:srgbClr val="AD8D06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AD8D06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Spectral!$J$42:$J$47</c:f>
              <c:numCache>
                <c:formatCode>0.0000</c:formatCode>
                <c:ptCount val="6"/>
                <c:pt idx="0">
                  <c:v>3.2291846375052502E-2</c:v>
                </c:pt>
                <c:pt idx="1">
                  <c:v>5.2159751030620698E-2</c:v>
                </c:pt>
                <c:pt idx="2">
                  <c:v>6.09104678478583E-2</c:v>
                </c:pt>
                <c:pt idx="3">
                  <c:v>0.16332733133239399</c:v>
                </c:pt>
                <c:pt idx="4">
                  <c:v>0.18160069983348301</c:v>
                </c:pt>
                <c:pt idx="5">
                  <c:v>0.101521109741685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68A-4F9F-8F7A-423C02ED0974}"/>
            </c:ext>
          </c:extLst>
        </c:ser>
        <c:ser>
          <c:idx val="9"/>
          <c:order val="5"/>
          <c:tx>
            <c:strRef>
              <c:f>Spectral!$J$50</c:f>
              <c:strCache>
                <c:ptCount val="1"/>
                <c:pt idx="0">
                  <c:v>S_07_ETM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AD8D06"/>
                </a:solidFill>
                <a:prstDash val="solid"/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Spectral!$J$52:$J$57</c:f>
              <c:numCache>
                <c:formatCode>0.0000</c:formatCode>
                <c:ptCount val="6"/>
                <c:pt idx="0">
                  <c:v>3.6024073621583698E-2</c:v>
                </c:pt>
                <c:pt idx="1">
                  <c:v>5.2444853099885801E-2</c:v>
                </c:pt>
                <c:pt idx="2">
                  <c:v>6.2689917840981005E-2</c:v>
                </c:pt>
                <c:pt idx="3">
                  <c:v>0.165121446859152</c:v>
                </c:pt>
                <c:pt idx="4">
                  <c:v>0.17980618175770999</c:v>
                </c:pt>
                <c:pt idx="5">
                  <c:v>0.109237261677885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68A-4F9F-8F7A-423C02ED0974}"/>
            </c:ext>
          </c:extLst>
        </c:ser>
        <c:ser>
          <c:idx val="4"/>
          <c:order val="6"/>
          <c:tx>
            <c:strRef>
              <c:f>Spectral!$J$60</c:f>
              <c:strCache>
                <c:ptCount val="1"/>
                <c:pt idx="0">
                  <c:v>S_11_ETM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Spectral!$J$62:$J$67</c:f>
              <c:numCache>
                <c:formatCode>0.0000</c:formatCode>
                <c:ptCount val="6"/>
                <c:pt idx="0">
                  <c:v>3.34875870748296E-2</c:v>
                </c:pt>
                <c:pt idx="1">
                  <c:v>4.47086878259201E-2</c:v>
                </c:pt>
                <c:pt idx="2">
                  <c:v>5.6456652199771598E-2</c:v>
                </c:pt>
                <c:pt idx="3">
                  <c:v>0.17159187730144301</c:v>
                </c:pt>
                <c:pt idx="4">
                  <c:v>0.15855259466913499</c:v>
                </c:pt>
                <c:pt idx="5">
                  <c:v>9.3684966592045393E-2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8A-4F9F-8F7A-423C02ED0974}"/>
            </c:ext>
          </c:extLst>
        </c:ser>
        <c:ser>
          <c:idx val="3"/>
          <c:order val="7"/>
          <c:tx>
            <c:strRef>
              <c:f>Spectral!$J$70</c:f>
              <c:strCache>
                <c:ptCount val="1"/>
                <c:pt idx="0">
                  <c:v>S_15_OLI</c:v>
                </c:pt>
              </c:strCache>
            </c:strRef>
          </c:tx>
          <c:spPr>
            <a:ln w="28575" cap="rnd" cmpd="dbl">
              <a:solidFill>
                <a:srgbClr val="AD8D06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Spectral!$J$72:$J$77</c:f>
              <c:numCache>
                <c:formatCode>0.0000</c:formatCode>
                <c:ptCount val="6"/>
                <c:pt idx="0">
                  <c:v>1.0002441289827999E-2</c:v>
                </c:pt>
                <c:pt idx="1">
                  <c:v>3.7023768439534997E-2</c:v>
                </c:pt>
                <c:pt idx="2">
                  <c:v>4.9455065003229201E-2</c:v>
                </c:pt>
                <c:pt idx="3">
                  <c:v>0.166336484141174</c:v>
                </c:pt>
                <c:pt idx="4">
                  <c:v>0.16393905655274399</c:v>
                </c:pt>
                <c:pt idx="5">
                  <c:v>9.9556079761848604E-2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A-4F9F-8F7A-423C02ED0974}"/>
            </c:ext>
          </c:extLst>
        </c:ser>
        <c:ser>
          <c:idx val="5"/>
          <c:order val="8"/>
          <c:tx>
            <c:strRef>
              <c:f>Spectral!$J$80</c:f>
              <c:strCache>
                <c:ptCount val="1"/>
                <c:pt idx="0">
                  <c:v>S_19_OLI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Spectral!$J$82:$J$87</c:f>
              <c:numCache>
                <c:formatCode>0.0000</c:formatCode>
                <c:ptCount val="6"/>
                <c:pt idx="0">
                  <c:v>1.1037878352065499E-2</c:v>
                </c:pt>
                <c:pt idx="1">
                  <c:v>3.8013952716845302E-2</c:v>
                </c:pt>
                <c:pt idx="2">
                  <c:v>4.9496664800646802E-2</c:v>
                </c:pt>
                <c:pt idx="3">
                  <c:v>0.175185793385222</c:v>
                </c:pt>
                <c:pt idx="4">
                  <c:v>0.16491907691191199</c:v>
                </c:pt>
                <c:pt idx="5">
                  <c:v>0.10170743319483901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8A-4F9F-8F7A-423C02ED0974}"/>
            </c:ext>
          </c:extLst>
        </c:ser>
        <c:ser>
          <c:idx val="0"/>
          <c:order val="9"/>
          <c:tx>
            <c:strRef>
              <c:f>Spectral!$J$90</c:f>
              <c:strCache>
                <c:ptCount val="1"/>
                <c:pt idx="0">
                  <c:v>S_19_MSI</c:v>
                </c:pt>
              </c:strCache>
            </c:strRef>
          </c:tx>
          <c:spPr>
            <a:ln w="22225" cap="rnd">
              <a:solidFill>
                <a:srgbClr val="AD8D06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Spectral!$J$92:$J$101</c:f>
              <c:numCache>
                <c:formatCode>0.0000</c:formatCode>
                <c:ptCount val="10"/>
                <c:pt idx="0">
                  <c:v>2.71660921993979E-2</c:v>
                </c:pt>
                <c:pt idx="1">
                  <c:v>4.6820931610213501E-2</c:v>
                </c:pt>
                <c:pt idx="2">
                  <c:v>5.4065665970543499E-2</c:v>
                </c:pt>
                <c:pt idx="3">
                  <c:v>8.4244883432694206E-2</c:v>
                </c:pt>
                <c:pt idx="4">
                  <c:v>0.13608730683134099</c:v>
                </c:pt>
                <c:pt idx="5">
                  <c:v>0.15591035373120901</c:v>
                </c:pt>
                <c:pt idx="6">
                  <c:v>0.162766500050126</c:v>
                </c:pt>
                <c:pt idx="7">
                  <c:v>0.17663598514784401</c:v>
                </c:pt>
                <c:pt idx="8">
                  <c:v>0.16749980145256299</c:v>
                </c:pt>
                <c:pt idx="9">
                  <c:v>0.101991549148737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8A-4F9F-8F7A-423C02ED0974}"/>
            </c:ext>
          </c:extLst>
        </c:ser>
        <c:ser>
          <c:idx val="10"/>
          <c:order val="10"/>
          <c:tx>
            <c:strRef>
              <c:f>Spectral!$J$104</c:f>
              <c:strCache>
                <c:ptCount val="1"/>
                <c:pt idx="0">
                  <c:v>S_24_MSI</c:v>
                </c:pt>
              </c:strCache>
            </c:strRef>
          </c:tx>
          <c:spPr>
            <a:ln w="12700" cap="rnd">
              <a:solidFill>
                <a:srgbClr val="AD8D06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15875" cmpd="dbl">
                <a:solidFill>
                  <a:srgbClr val="AD8D06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Spectral!$J$106:$J$115</c:f>
              <c:numCache>
                <c:formatCode>0.0000</c:formatCode>
                <c:ptCount val="10"/>
                <c:pt idx="0">
                  <c:v>3.4683724785757902E-2</c:v>
                </c:pt>
                <c:pt idx="1">
                  <c:v>4.8243597065821799E-2</c:v>
                </c:pt>
                <c:pt idx="2">
                  <c:v>5.42478839539592E-2</c:v>
                </c:pt>
                <c:pt idx="3">
                  <c:v>8.0871565973451701E-2</c:v>
                </c:pt>
                <c:pt idx="4">
                  <c:v>0.13127066064654799</c:v>
                </c:pt>
                <c:pt idx="5">
                  <c:v>0.15121320723589801</c:v>
                </c:pt>
                <c:pt idx="6">
                  <c:v>0.15889673323926601</c:v>
                </c:pt>
                <c:pt idx="7">
                  <c:v>0.170828386160368</c:v>
                </c:pt>
                <c:pt idx="8">
                  <c:v>0.16944985345177799</c:v>
                </c:pt>
                <c:pt idx="9">
                  <c:v>0.108738136851013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8A-4F9F-8F7A-423C02ED0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Reflectance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5.000000000000001E-3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0</a:t>
            </a:r>
            <a:r>
              <a:rPr lang="en-GB" baseline="0"/>
              <a:t> Water CV</a:t>
            </a:r>
            <a:r>
              <a:rPr lang="en-GB"/>
              <a:t> Spectral Signatures RRB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Spectral!$R$4</c:f>
              <c:strCache>
                <c:ptCount val="1"/>
                <c:pt idx="0">
                  <c:v>W_77_MSS</c:v>
                </c:pt>
              </c:strCache>
            </c:strRef>
          </c:tx>
          <c:spPr>
            <a:ln w="28575" cap="rnd">
              <a:solidFill>
                <a:srgbClr val="1F9DFF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Spectral!$R$6:$R$9</c:f>
              <c:numCache>
                <c:formatCode>0.00%</c:formatCode>
                <c:ptCount val="4"/>
                <c:pt idx="0">
                  <c:v>0.8460475522619203</c:v>
                </c:pt>
                <c:pt idx="1">
                  <c:v>9.3492033267835117E-2</c:v>
                </c:pt>
                <c:pt idx="2">
                  <c:v>0.17672206209889166</c:v>
                </c:pt>
                <c:pt idx="3">
                  <c:v>0.22964187396355276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B7-4AE7-B86E-1CB30BAF1874}"/>
            </c:ext>
          </c:extLst>
        </c:ser>
        <c:ser>
          <c:idx val="7"/>
          <c:order val="1"/>
          <c:tx>
            <c:strRef>
              <c:f>Spectral!$R$12</c:f>
              <c:strCache>
                <c:ptCount val="1"/>
                <c:pt idx="0">
                  <c:v>W_88_MSS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Spectral!$R$14:$R$17</c:f>
              <c:numCache>
                <c:formatCode>0.00%</c:formatCode>
                <c:ptCount val="4"/>
                <c:pt idx="0">
                  <c:v>7.1315889331905039E-2</c:v>
                </c:pt>
                <c:pt idx="1">
                  <c:v>0.11046581804886595</c:v>
                </c:pt>
                <c:pt idx="2">
                  <c:v>0.17931516696201058</c:v>
                </c:pt>
                <c:pt idx="3">
                  <c:v>0.3295492508305633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B7-4AE7-B86E-1CB30BAF1874}"/>
            </c:ext>
          </c:extLst>
        </c:ser>
        <c:ser>
          <c:idx val="2"/>
          <c:order val="2"/>
          <c:tx>
            <c:strRef>
              <c:f>Spectral!$R$20</c:f>
              <c:strCache>
                <c:ptCount val="1"/>
                <c:pt idx="0">
                  <c:v>W_88_TM</c:v>
                </c:pt>
              </c:strCache>
            </c:strRef>
          </c:tx>
          <c:spPr>
            <a:ln w="28575" cap="rnd">
              <a:solidFill>
                <a:srgbClr val="1F9DFF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Spectral!$R$22:$R$27</c:f>
              <c:numCache>
                <c:formatCode>0.00%</c:formatCode>
                <c:ptCount val="6"/>
                <c:pt idx="0">
                  <c:v>0.14310384522404007</c:v>
                </c:pt>
                <c:pt idx="1">
                  <c:v>0.14129635653592848</c:v>
                </c:pt>
                <c:pt idx="2">
                  <c:v>0.15775252067901505</c:v>
                </c:pt>
                <c:pt idx="3">
                  <c:v>0.20836519656421881</c:v>
                </c:pt>
                <c:pt idx="4">
                  <c:v>0.38833209509481287</c:v>
                </c:pt>
                <c:pt idx="5">
                  <c:v>0.42384459592381601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B7-4AE7-B86E-1CB30BAF1874}"/>
            </c:ext>
          </c:extLst>
        </c:ser>
        <c:ser>
          <c:idx val="6"/>
          <c:order val="3"/>
          <c:tx>
            <c:strRef>
              <c:f>Spectral!$R$30</c:f>
              <c:strCache>
                <c:ptCount val="1"/>
                <c:pt idx="0">
                  <c:v>W_91_TM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Spectral!$R$32:$R$37</c:f>
              <c:numCache>
                <c:formatCode>0.00%</c:formatCode>
                <c:ptCount val="6"/>
                <c:pt idx="0">
                  <c:v>0.23963767781381048</c:v>
                </c:pt>
                <c:pt idx="1">
                  <c:v>0.21612998603322378</c:v>
                </c:pt>
                <c:pt idx="2">
                  <c:v>0.23624059479523887</c:v>
                </c:pt>
                <c:pt idx="3">
                  <c:v>0.23213983903311455</c:v>
                </c:pt>
                <c:pt idx="4">
                  <c:v>0.52135104763011908</c:v>
                </c:pt>
                <c:pt idx="5">
                  <c:v>0.57919269450034494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B7-4AE7-B86E-1CB30BAF1874}"/>
            </c:ext>
          </c:extLst>
        </c:ser>
        <c:ser>
          <c:idx val="8"/>
          <c:order val="4"/>
          <c:tx>
            <c:strRef>
              <c:f>Spectral!$R$40</c:f>
              <c:strCache>
                <c:ptCount val="1"/>
                <c:pt idx="0">
                  <c:v>W_01_TM</c:v>
                </c:pt>
              </c:strCache>
            </c:strRef>
          </c:tx>
          <c:spPr>
            <a:ln w="28575" cap="rnd" cmpd="dbl">
              <a:solidFill>
                <a:srgbClr val="1F9DFF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1F9DFF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Spectral!$R$42:$R$47</c:f>
              <c:numCache>
                <c:formatCode>0.00%</c:formatCode>
                <c:ptCount val="6"/>
                <c:pt idx="0">
                  <c:v>0.24677377694890901</c:v>
                </c:pt>
                <c:pt idx="1">
                  <c:v>0.19464283528743975</c:v>
                </c:pt>
                <c:pt idx="2">
                  <c:v>0.21335702974772572</c:v>
                </c:pt>
                <c:pt idx="3">
                  <c:v>0.17782441711917801</c:v>
                </c:pt>
                <c:pt idx="4">
                  <c:v>0.41280749788142951</c:v>
                </c:pt>
                <c:pt idx="5">
                  <c:v>0.52829333199908968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B7-4AE7-B86E-1CB30BAF1874}"/>
            </c:ext>
          </c:extLst>
        </c:ser>
        <c:ser>
          <c:idx val="9"/>
          <c:order val="5"/>
          <c:tx>
            <c:strRef>
              <c:f>Spectral!$R$50</c:f>
              <c:strCache>
                <c:ptCount val="1"/>
                <c:pt idx="0">
                  <c:v>W_07_ETM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Spectral!$R$52:$R$57</c:f>
              <c:numCache>
                <c:formatCode>0.00%</c:formatCode>
                <c:ptCount val="6"/>
                <c:pt idx="0">
                  <c:v>0.26635393207775254</c:v>
                </c:pt>
                <c:pt idx="1">
                  <c:v>0.25473846826857166</c:v>
                </c:pt>
                <c:pt idx="2">
                  <c:v>0.29043302341950356</c:v>
                </c:pt>
                <c:pt idx="3">
                  <c:v>0.29506492327357287</c:v>
                </c:pt>
                <c:pt idx="4">
                  <c:v>0.31783517228239677</c:v>
                </c:pt>
                <c:pt idx="5">
                  <c:v>0.28869072968581672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FB7-4AE7-B86E-1CB30BAF1874}"/>
            </c:ext>
          </c:extLst>
        </c:ser>
        <c:ser>
          <c:idx val="4"/>
          <c:order val="6"/>
          <c:tx>
            <c:strRef>
              <c:f>Spectral!$R$60</c:f>
              <c:strCache>
                <c:ptCount val="1"/>
                <c:pt idx="0">
                  <c:v>W_11_ETM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Spectral!$R$62:$R$67</c:f>
              <c:numCache>
                <c:formatCode>0.00%</c:formatCode>
                <c:ptCount val="6"/>
                <c:pt idx="0">
                  <c:v>0.58667560580694289</c:v>
                </c:pt>
                <c:pt idx="1">
                  <c:v>0.52937114454747725</c:v>
                </c:pt>
                <c:pt idx="2">
                  <c:v>0.59615980243670219</c:v>
                </c:pt>
                <c:pt idx="3">
                  <c:v>0.49181616064056738</c:v>
                </c:pt>
                <c:pt idx="4">
                  <c:v>0.73971734377600173</c:v>
                </c:pt>
                <c:pt idx="5">
                  <c:v>0.80114414623240471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B7-4AE7-B86E-1CB30BAF1874}"/>
            </c:ext>
          </c:extLst>
        </c:ser>
        <c:ser>
          <c:idx val="3"/>
          <c:order val="7"/>
          <c:tx>
            <c:strRef>
              <c:f>Spectral!$R$70</c:f>
              <c:strCache>
                <c:ptCount val="1"/>
                <c:pt idx="0">
                  <c:v>W_15_OLI</c:v>
                </c:pt>
              </c:strCache>
            </c:strRef>
          </c:tx>
          <c:spPr>
            <a:ln w="28575" cap="rnd">
              <a:solidFill>
                <a:srgbClr val="1F9DFF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Spectral!$R$72:$R$77</c:f>
              <c:numCache>
                <c:formatCode>0.00%</c:formatCode>
                <c:ptCount val="6"/>
                <c:pt idx="0">
                  <c:v>6.1856430263131301</c:v>
                </c:pt>
                <c:pt idx="1">
                  <c:v>0.63949168021117009</c:v>
                </c:pt>
                <c:pt idx="2">
                  <c:v>0.47751757865869837</c:v>
                </c:pt>
                <c:pt idx="3">
                  <c:v>0.43828557970433907</c:v>
                </c:pt>
                <c:pt idx="4">
                  <c:v>0.43590613694604841</c:v>
                </c:pt>
                <c:pt idx="5">
                  <c:v>0.44914937388089993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B7-4AE7-B86E-1CB30BAF1874}"/>
            </c:ext>
          </c:extLst>
        </c:ser>
        <c:ser>
          <c:idx val="5"/>
          <c:order val="8"/>
          <c:tx>
            <c:strRef>
              <c:f>Spectral!$R$80</c:f>
              <c:strCache>
                <c:ptCount val="1"/>
                <c:pt idx="0">
                  <c:v>W_19_OLI</c:v>
                </c:pt>
              </c:strCache>
            </c:strRef>
          </c:tx>
          <c:spPr>
            <a:ln w="28575" cap="rnd">
              <a:solidFill>
                <a:srgbClr val="1F9DFF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Spectral!$R$82:$R$87</c:f>
              <c:numCache>
                <c:formatCode>0.00%</c:formatCode>
                <c:ptCount val="6"/>
                <c:pt idx="0">
                  <c:v>0.92435240811412334</c:v>
                </c:pt>
                <c:pt idx="1">
                  <c:v>0.51372595110505803</c:v>
                </c:pt>
                <c:pt idx="2">
                  <c:v>0.44869248484308</c:v>
                </c:pt>
                <c:pt idx="3">
                  <c:v>0.41389830036015235</c:v>
                </c:pt>
                <c:pt idx="4">
                  <c:v>0.41318146066873013</c:v>
                </c:pt>
                <c:pt idx="5">
                  <c:v>0.42088137325849434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B7-4AE7-B86E-1CB30BAF1874}"/>
            </c:ext>
          </c:extLst>
        </c:ser>
        <c:ser>
          <c:idx val="0"/>
          <c:order val="9"/>
          <c:tx>
            <c:strRef>
              <c:f>Spectral!$R$90</c:f>
              <c:strCache>
                <c:ptCount val="1"/>
                <c:pt idx="0">
                  <c:v>W_19_MSI</c:v>
                </c:pt>
              </c:strCache>
            </c:strRef>
          </c:tx>
          <c:spPr>
            <a:ln w="12700" cap="rnd">
              <a:solidFill>
                <a:srgbClr val="1F9DFF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Spectral!$R$92:$R$101</c:f>
              <c:numCache>
                <c:formatCode>0.00%</c:formatCode>
                <c:ptCount val="10"/>
                <c:pt idx="0">
                  <c:v>0.50806987791030844</c:v>
                </c:pt>
                <c:pt idx="1">
                  <c:v>0.4495006708801827</c:v>
                </c:pt>
                <c:pt idx="2">
                  <c:v>0.42908468567404773</c:v>
                </c:pt>
                <c:pt idx="3">
                  <c:v>0.39653886187698395</c:v>
                </c:pt>
                <c:pt idx="4">
                  <c:v>0.41722520200701335</c:v>
                </c:pt>
                <c:pt idx="5">
                  <c:v>0.40418162980582684</c:v>
                </c:pt>
                <c:pt idx="6">
                  <c:v>0.42781511988793941</c:v>
                </c:pt>
                <c:pt idx="7">
                  <c:v>0.43015758616491329</c:v>
                </c:pt>
                <c:pt idx="8">
                  <c:v>0.38218239638492474</c:v>
                </c:pt>
                <c:pt idx="9">
                  <c:v>0.39156792105812005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B7-4AE7-B86E-1CB30BAF1874}"/>
            </c:ext>
          </c:extLst>
        </c:ser>
        <c:ser>
          <c:idx val="10"/>
          <c:order val="10"/>
          <c:tx>
            <c:strRef>
              <c:f>Spectral!$R$104</c:f>
              <c:strCache>
                <c:ptCount val="1"/>
                <c:pt idx="0">
                  <c:v>W_24_MSI</c:v>
                </c:pt>
              </c:strCache>
            </c:strRef>
          </c:tx>
          <c:spPr>
            <a:ln w="28575" cap="rnd" cmpd="dbl">
              <a:solidFill>
                <a:srgbClr val="1F9DFF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15875" cmpd="dbl">
                <a:solidFill>
                  <a:srgbClr val="1F9DFF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Spectral!$R$106:$R$115</c:f>
              <c:numCache>
                <c:formatCode>0.00%</c:formatCode>
                <c:ptCount val="10"/>
                <c:pt idx="0">
                  <c:v>0.29898923161578655</c:v>
                </c:pt>
                <c:pt idx="1">
                  <c:v>0.2934259203204348</c:v>
                </c:pt>
                <c:pt idx="2">
                  <c:v>0.31170582970282318</c:v>
                </c:pt>
                <c:pt idx="3">
                  <c:v>0.30596577714469153</c:v>
                </c:pt>
                <c:pt idx="4">
                  <c:v>0.31883356389844564</c:v>
                </c:pt>
                <c:pt idx="5">
                  <c:v>0.30648572706623539</c:v>
                </c:pt>
                <c:pt idx="6">
                  <c:v>0.31218336438903904</c:v>
                </c:pt>
                <c:pt idx="7">
                  <c:v>0.31571978661546407</c:v>
                </c:pt>
                <c:pt idx="8">
                  <c:v>0.30536166709937412</c:v>
                </c:pt>
                <c:pt idx="9">
                  <c:v>0.31107236762402307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B7-4AE7-B86E-1CB30BAF1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Coefficient of Variation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1</a:t>
            </a:r>
            <a:r>
              <a:rPr lang="en-GB" baseline="0"/>
              <a:t> - Bare-Rock-Built </a:t>
            </a:r>
            <a:r>
              <a:rPr lang="en-GB"/>
              <a:t>CV Spectral Signatures RRB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Spectral!$S$4</c:f>
              <c:strCache>
                <c:ptCount val="1"/>
                <c:pt idx="0">
                  <c:v>B_77_MSS</c:v>
                </c:pt>
              </c:strCache>
            </c:strRef>
          </c:tx>
          <c:spPr>
            <a:ln w="28575" cap="rnd">
              <a:solidFill>
                <a:srgbClr val="CACDDE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Spectral!$S$6:$S$9</c:f>
              <c:numCache>
                <c:formatCode>0.00%</c:formatCode>
                <c:ptCount val="4"/>
                <c:pt idx="0">
                  <c:v>0.33048472284119529</c:v>
                </c:pt>
                <c:pt idx="1">
                  <c:v>0.41520641518535339</c:v>
                </c:pt>
                <c:pt idx="2">
                  <c:v>0.25449039499404003</c:v>
                </c:pt>
                <c:pt idx="3">
                  <c:v>0.20617816450340218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74-46AD-8034-2BD381D63A9F}"/>
            </c:ext>
          </c:extLst>
        </c:ser>
        <c:ser>
          <c:idx val="7"/>
          <c:order val="1"/>
          <c:tx>
            <c:strRef>
              <c:f>Spectral!$S$12</c:f>
              <c:strCache>
                <c:ptCount val="1"/>
                <c:pt idx="0">
                  <c:v>B_88_MSS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Spectral!$S$14:$S$17</c:f>
              <c:numCache>
                <c:formatCode>0.00%</c:formatCode>
                <c:ptCount val="4"/>
                <c:pt idx="0">
                  <c:v>0.16859290098785468</c:v>
                </c:pt>
                <c:pt idx="1">
                  <c:v>0.21311016766190752</c:v>
                </c:pt>
                <c:pt idx="2">
                  <c:v>0.13171516287057325</c:v>
                </c:pt>
                <c:pt idx="3">
                  <c:v>0.14211838955874678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74-46AD-8034-2BD381D63A9F}"/>
            </c:ext>
          </c:extLst>
        </c:ser>
        <c:ser>
          <c:idx val="2"/>
          <c:order val="2"/>
          <c:tx>
            <c:strRef>
              <c:f>Spectral!$S$20</c:f>
              <c:strCache>
                <c:ptCount val="1"/>
                <c:pt idx="0">
                  <c:v>B_88_TM</c:v>
                </c:pt>
              </c:strCache>
            </c:strRef>
          </c:tx>
          <c:spPr>
            <a:ln w="28575" cap="rnd">
              <a:solidFill>
                <a:srgbClr val="CACDDE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Spectral!$S$22:$S$27</c:f>
              <c:numCache>
                <c:formatCode>0.00%</c:formatCode>
                <c:ptCount val="6"/>
                <c:pt idx="0">
                  <c:v>0.24627946599041853</c:v>
                </c:pt>
                <c:pt idx="1">
                  <c:v>0.25435345322085423</c:v>
                </c:pt>
                <c:pt idx="2">
                  <c:v>0.27820440569526789</c:v>
                </c:pt>
                <c:pt idx="3">
                  <c:v>0.18239305695532954</c:v>
                </c:pt>
                <c:pt idx="4">
                  <c:v>0.21436996859644111</c:v>
                </c:pt>
                <c:pt idx="5">
                  <c:v>0.2551406915538848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74-46AD-8034-2BD381D63A9F}"/>
            </c:ext>
          </c:extLst>
        </c:ser>
        <c:ser>
          <c:idx val="6"/>
          <c:order val="3"/>
          <c:tx>
            <c:strRef>
              <c:f>Spectral!$S$30</c:f>
              <c:strCache>
                <c:ptCount val="1"/>
                <c:pt idx="0">
                  <c:v>B_91_TM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Spectral!$S$32:$S$37</c:f>
              <c:numCache>
                <c:formatCode>0.00%</c:formatCode>
                <c:ptCount val="6"/>
                <c:pt idx="0">
                  <c:v>0.29490047947547487</c:v>
                </c:pt>
                <c:pt idx="1">
                  <c:v>0.28082683672546593</c:v>
                </c:pt>
                <c:pt idx="2">
                  <c:v>0.30786620411672733</c:v>
                </c:pt>
                <c:pt idx="3">
                  <c:v>0.19045519738852379</c:v>
                </c:pt>
                <c:pt idx="4">
                  <c:v>0.21536902481504749</c:v>
                </c:pt>
                <c:pt idx="5">
                  <c:v>0.2530462141683017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74-46AD-8034-2BD381D63A9F}"/>
            </c:ext>
          </c:extLst>
        </c:ser>
        <c:ser>
          <c:idx val="8"/>
          <c:order val="4"/>
          <c:tx>
            <c:strRef>
              <c:f>Spectral!$S$40</c:f>
              <c:strCache>
                <c:ptCount val="1"/>
                <c:pt idx="0">
                  <c:v>B_01_TM</c:v>
                </c:pt>
              </c:strCache>
            </c:strRef>
          </c:tx>
          <c:spPr>
            <a:ln w="28575" cap="rnd" cmpd="dbl">
              <a:solidFill>
                <a:srgbClr val="CACDDE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CACDDE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Spectral!$S$42:$S$47</c:f>
              <c:numCache>
                <c:formatCode>0.00%</c:formatCode>
                <c:ptCount val="6"/>
                <c:pt idx="0">
                  <c:v>0.33347718835203521</c:v>
                </c:pt>
                <c:pt idx="1">
                  <c:v>0.32620960475516453</c:v>
                </c:pt>
                <c:pt idx="2">
                  <c:v>0.3547935255710119</c:v>
                </c:pt>
                <c:pt idx="3">
                  <c:v>0.2333699277322363</c:v>
                </c:pt>
                <c:pt idx="4">
                  <c:v>0.24706451942811816</c:v>
                </c:pt>
                <c:pt idx="5">
                  <c:v>0.27736212001409827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74-46AD-8034-2BD381D63A9F}"/>
            </c:ext>
          </c:extLst>
        </c:ser>
        <c:ser>
          <c:idx val="9"/>
          <c:order val="5"/>
          <c:tx>
            <c:strRef>
              <c:f>Spectral!$S$50</c:f>
              <c:strCache>
                <c:ptCount val="1"/>
                <c:pt idx="0">
                  <c:v>B_07_ETM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Spectral!$S$52:$S$57</c:f>
              <c:numCache>
                <c:formatCode>0.00%</c:formatCode>
                <c:ptCount val="6"/>
                <c:pt idx="0">
                  <c:v>0.35007099426823363</c:v>
                </c:pt>
                <c:pt idx="1">
                  <c:v>0.31120865109247425</c:v>
                </c:pt>
                <c:pt idx="2">
                  <c:v>0.3239060717678936</c:v>
                </c:pt>
                <c:pt idx="3">
                  <c:v>0.21409089704736478</c:v>
                </c:pt>
                <c:pt idx="4">
                  <c:v>0.19587534387096631</c:v>
                </c:pt>
                <c:pt idx="5">
                  <c:v>0.26211074983545113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74-46AD-8034-2BD381D63A9F}"/>
            </c:ext>
          </c:extLst>
        </c:ser>
        <c:ser>
          <c:idx val="4"/>
          <c:order val="6"/>
          <c:tx>
            <c:strRef>
              <c:f>Spectral!$S$60</c:f>
              <c:strCache>
                <c:ptCount val="1"/>
                <c:pt idx="0">
                  <c:v>B_11_ETM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Spectral!$S$62:$S$67</c:f>
              <c:numCache>
                <c:formatCode>0.00%</c:formatCode>
                <c:ptCount val="6"/>
                <c:pt idx="0">
                  <c:v>0.36722722375485634</c:v>
                </c:pt>
                <c:pt idx="1">
                  <c:v>0.36883582523335062</c:v>
                </c:pt>
                <c:pt idx="2">
                  <c:v>0.4025368952006691</c:v>
                </c:pt>
                <c:pt idx="3">
                  <c:v>0.2385703891578678</c:v>
                </c:pt>
                <c:pt idx="4">
                  <c:v>0.25810395963762167</c:v>
                </c:pt>
                <c:pt idx="5">
                  <c:v>0.3073388794883416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74-46AD-8034-2BD381D63A9F}"/>
            </c:ext>
          </c:extLst>
        </c:ser>
        <c:ser>
          <c:idx val="3"/>
          <c:order val="7"/>
          <c:tx>
            <c:strRef>
              <c:f>Spectral!$S$70</c:f>
              <c:strCache>
                <c:ptCount val="1"/>
                <c:pt idx="0">
                  <c:v>B_15_OLI</c:v>
                </c:pt>
              </c:strCache>
            </c:strRef>
          </c:tx>
          <c:spPr>
            <a:ln w="28575" cap="rnd">
              <a:solidFill>
                <a:srgbClr val="CACDDE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Spectral!$S$72:$S$77</c:f>
              <c:numCache>
                <c:formatCode>0.00%</c:formatCode>
                <c:ptCount val="6"/>
                <c:pt idx="0">
                  <c:v>0.73244690147488178</c:v>
                </c:pt>
                <c:pt idx="1">
                  <c:v>0.46491811781081466</c:v>
                </c:pt>
                <c:pt idx="2">
                  <c:v>0.48056834891177719</c:v>
                </c:pt>
                <c:pt idx="3">
                  <c:v>0.28970794669654709</c:v>
                </c:pt>
                <c:pt idx="4">
                  <c:v>0.27762766258714799</c:v>
                </c:pt>
                <c:pt idx="5">
                  <c:v>0.30236627871851929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74-46AD-8034-2BD381D63A9F}"/>
            </c:ext>
          </c:extLst>
        </c:ser>
        <c:ser>
          <c:idx val="5"/>
          <c:order val="8"/>
          <c:tx>
            <c:strRef>
              <c:f>Spectral!$S$80</c:f>
              <c:strCache>
                <c:ptCount val="1"/>
                <c:pt idx="0">
                  <c:v>B_19_OLI</c:v>
                </c:pt>
              </c:strCache>
            </c:strRef>
          </c:tx>
          <c:spPr>
            <a:ln w="28575" cap="rnd">
              <a:solidFill>
                <a:srgbClr val="CACDDE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CACDDE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Spectral!$S$82:$S$87</c:f>
              <c:numCache>
                <c:formatCode>0.00%</c:formatCode>
                <c:ptCount val="6"/>
                <c:pt idx="0">
                  <c:v>0.63061874212327107</c:v>
                </c:pt>
                <c:pt idx="1">
                  <c:v>0.49540861601709241</c:v>
                </c:pt>
                <c:pt idx="2">
                  <c:v>0.50618726894229471</c:v>
                </c:pt>
                <c:pt idx="3">
                  <c:v>0.28718815937579573</c:v>
                </c:pt>
                <c:pt idx="4">
                  <c:v>0.30485983977433945</c:v>
                </c:pt>
                <c:pt idx="5">
                  <c:v>0.3339229056294919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74-46AD-8034-2BD381D63A9F}"/>
            </c:ext>
          </c:extLst>
        </c:ser>
        <c:ser>
          <c:idx val="0"/>
          <c:order val="9"/>
          <c:tx>
            <c:strRef>
              <c:f>Spectral!$S$90</c:f>
              <c:strCache>
                <c:ptCount val="1"/>
                <c:pt idx="0">
                  <c:v>B_19_MSI</c:v>
                </c:pt>
              </c:strCache>
            </c:strRef>
          </c:tx>
          <c:spPr>
            <a:ln w="12700" cap="rnd">
              <a:solidFill>
                <a:srgbClr val="CACDDE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Spectral!$S$92:$S$101</c:f>
              <c:numCache>
                <c:formatCode>0.00%</c:formatCode>
                <c:ptCount val="10"/>
                <c:pt idx="0">
                  <c:v>0.60331386653235075</c:v>
                </c:pt>
                <c:pt idx="1">
                  <c:v>0.54667527985804565</c:v>
                </c:pt>
                <c:pt idx="2">
                  <c:v>0.57166790422243141</c:v>
                </c:pt>
                <c:pt idx="3">
                  <c:v>0.43130463242084116</c:v>
                </c:pt>
                <c:pt idx="4">
                  <c:v>0.32493605054281971</c:v>
                </c:pt>
                <c:pt idx="5">
                  <c:v>0.3207659410416363</c:v>
                </c:pt>
                <c:pt idx="6">
                  <c:v>0.34254358425737241</c:v>
                </c:pt>
                <c:pt idx="7">
                  <c:v>0.30135548530916328</c:v>
                </c:pt>
                <c:pt idx="8">
                  <c:v>0.30144384986324863</c:v>
                </c:pt>
                <c:pt idx="9">
                  <c:v>0.3342416212038356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74-46AD-8034-2BD381D63A9F}"/>
            </c:ext>
          </c:extLst>
        </c:ser>
        <c:ser>
          <c:idx val="10"/>
          <c:order val="10"/>
          <c:tx>
            <c:strRef>
              <c:f>Spectral!$S$104</c:f>
              <c:strCache>
                <c:ptCount val="1"/>
                <c:pt idx="0">
                  <c:v>B_24_MSI</c:v>
                </c:pt>
              </c:strCache>
            </c:strRef>
          </c:tx>
          <c:spPr>
            <a:ln w="28575" cap="rnd" cmpd="dbl">
              <a:solidFill>
                <a:srgbClr val="CACDDE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9525" cmpd="dbl">
                <a:solidFill>
                  <a:srgbClr val="CACDDE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Spectral!$S$106:$S$115</c:f>
              <c:numCache>
                <c:formatCode>0.00%</c:formatCode>
                <c:ptCount val="10"/>
                <c:pt idx="0">
                  <c:v>0.51791433425343636</c:v>
                </c:pt>
                <c:pt idx="1">
                  <c:v>0.45778329808501672</c:v>
                </c:pt>
                <c:pt idx="2">
                  <c:v>0.46932013268929873</c:v>
                </c:pt>
                <c:pt idx="3">
                  <c:v>0.34841420321578015</c:v>
                </c:pt>
                <c:pt idx="4">
                  <c:v>0.25818403395443185</c:v>
                </c:pt>
                <c:pt idx="5">
                  <c:v>0.2529082375255069</c:v>
                </c:pt>
                <c:pt idx="6">
                  <c:v>0.27628227721825743</c:v>
                </c:pt>
                <c:pt idx="7">
                  <c:v>0.2362431909147279</c:v>
                </c:pt>
                <c:pt idx="8">
                  <c:v>0.2766743363713165</c:v>
                </c:pt>
                <c:pt idx="9">
                  <c:v>0.33676989639947502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74-46AD-8034-2BD381D63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Coefficient of Variation </a:t>
                </a:r>
                <a:r>
                  <a:rPr lang="en-GB" sz="1000"/>
                  <a:t>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2</a:t>
            </a:r>
            <a:r>
              <a:rPr lang="en-GB" baseline="0"/>
              <a:t> - Agriculture </a:t>
            </a:r>
            <a:r>
              <a:rPr lang="en-GB"/>
              <a:t>CV Spectral Signatures RRB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Spectral!$T$4</c:f>
              <c:strCache>
                <c:ptCount val="1"/>
                <c:pt idx="0">
                  <c:v>A_77_MSS</c:v>
                </c:pt>
              </c:strCache>
            </c:strRef>
          </c:tx>
          <c:spPr>
            <a:ln w="28575" cap="rnd">
              <a:solidFill>
                <a:srgbClr val="B1EE2D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Spectral!$T$6:$T$9</c:f>
              <c:numCache>
                <c:formatCode>0.00%</c:formatCode>
                <c:ptCount val="4"/>
                <c:pt idx="0">
                  <c:v>0.15193751037297409</c:v>
                </c:pt>
                <c:pt idx="1">
                  <c:v>0.16448099742584546</c:v>
                </c:pt>
                <c:pt idx="2">
                  <c:v>0.10665362490329561</c:v>
                </c:pt>
                <c:pt idx="3">
                  <c:v>0.12442088984906353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CA-4F86-B67B-454B466737FF}"/>
            </c:ext>
          </c:extLst>
        </c:ser>
        <c:ser>
          <c:idx val="7"/>
          <c:order val="1"/>
          <c:tx>
            <c:strRef>
              <c:f>Spectral!$T$12</c:f>
              <c:strCache>
                <c:ptCount val="1"/>
                <c:pt idx="0">
                  <c:v>A_88_MSS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Spectral!$T$14:$T$17</c:f>
              <c:numCache>
                <c:formatCode>0.00%</c:formatCode>
                <c:ptCount val="4"/>
                <c:pt idx="0">
                  <c:v>0.10969900988436247</c:v>
                </c:pt>
                <c:pt idx="1">
                  <c:v>0.1540128200771716</c:v>
                </c:pt>
                <c:pt idx="2">
                  <c:v>0.13440239917775287</c:v>
                </c:pt>
                <c:pt idx="3">
                  <c:v>0.14227247169571391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CA-4F86-B67B-454B466737FF}"/>
            </c:ext>
          </c:extLst>
        </c:ser>
        <c:ser>
          <c:idx val="2"/>
          <c:order val="2"/>
          <c:tx>
            <c:strRef>
              <c:f>Spectral!$T$20</c:f>
              <c:strCache>
                <c:ptCount val="1"/>
                <c:pt idx="0">
                  <c:v>A_88_TM</c:v>
                </c:pt>
              </c:strCache>
            </c:strRef>
          </c:tx>
          <c:spPr>
            <a:ln w="28575" cap="rnd">
              <a:solidFill>
                <a:srgbClr val="B1EE2D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Spectral!$T$22:$T$27</c:f>
              <c:numCache>
                <c:formatCode>0.00%</c:formatCode>
                <c:ptCount val="6"/>
                <c:pt idx="0">
                  <c:v>0.15261335559324901</c:v>
                </c:pt>
                <c:pt idx="1">
                  <c:v>0.16006049075448284</c:v>
                </c:pt>
                <c:pt idx="2">
                  <c:v>0.19865227819785591</c:v>
                </c:pt>
                <c:pt idx="3">
                  <c:v>0.18369884818553103</c:v>
                </c:pt>
                <c:pt idx="4">
                  <c:v>0.13278864896176609</c:v>
                </c:pt>
                <c:pt idx="5">
                  <c:v>0.19136893605012467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CA-4F86-B67B-454B466737FF}"/>
            </c:ext>
          </c:extLst>
        </c:ser>
        <c:ser>
          <c:idx val="6"/>
          <c:order val="3"/>
          <c:tx>
            <c:strRef>
              <c:f>Spectral!$T$30</c:f>
              <c:strCache>
                <c:ptCount val="1"/>
                <c:pt idx="0">
                  <c:v>A_91_TM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Spectral!$T$32:$T$37</c:f>
              <c:numCache>
                <c:formatCode>0.00%</c:formatCode>
                <c:ptCount val="6"/>
                <c:pt idx="0">
                  <c:v>0.18817224094257259</c:v>
                </c:pt>
                <c:pt idx="1">
                  <c:v>0.17787593475696675</c:v>
                </c:pt>
                <c:pt idx="2">
                  <c:v>0.22323568356705628</c:v>
                </c:pt>
                <c:pt idx="3">
                  <c:v>0.18627754752921896</c:v>
                </c:pt>
                <c:pt idx="4">
                  <c:v>0.14950622908540384</c:v>
                </c:pt>
                <c:pt idx="5">
                  <c:v>0.22563633758711921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CA-4F86-B67B-454B466737FF}"/>
            </c:ext>
          </c:extLst>
        </c:ser>
        <c:ser>
          <c:idx val="8"/>
          <c:order val="4"/>
          <c:tx>
            <c:strRef>
              <c:f>Spectral!$T$40</c:f>
              <c:strCache>
                <c:ptCount val="1"/>
                <c:pt idx="0">
                  <c:v>A_01_TM</c:v>
                </c:pt>
              </c:strCache>
            </c:strRef>
          </c:tx>
          <c:spPr>
            <a:ln w="28575" cap="rnd" cmpd="dbl">
              <a:solidFill>
                <a:srgbClr val="B1EE2D"/>
              </a:solidFill>
              <a:round/>
            </a:ln>
            <a:effectLst/>
          </c:spPr>
          <c:marker>
            <c:symbol val="diamond"/>
            <c:size val="8"/>
            <c:spPr>
              <a:noFill/>
              <a:ln w="9525" cmpd="dbl">
                <a:solidFill>
                  <a:srgbClr val="B1EE2D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Spectral!$T$42:$T$47</c:f>
              <c:numCache>
                <c:formatCode>0.00%</c:formatCode>
                <c:ptCount val="6"/>
                <c:pt idx="0">
                  <c:v>0.23599073673118531</c:v>
                </c:pt>
                <c:pt idx="1">
                  <c:v>0.22141025847971363</c:v>
                </c:pt>
                <c:pt idx="2">
                  <c:v>0.28422665554055965</c:v>
                </c:pt>
                <c:pt idx="3">
                  <c:v>0.2052028851625923</c:v>
                </c:pt>
                <c:pt idx="4">
                  <c:v>0.177056469968256</c:v>
                </c:pt>
                <c:pt idx="5">
                  <c:v>0.25609576758557334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CA-4F86-B67B-454B466737FF}"/>
            </c:ext>
          </c:extLst>
        </c:ser>
        <c:ser>
          <c:idx val="9"/>
          <c:order val="5"/>
          <c:tx>
            <c:strRef>
              <c:f>Spectral!$T$50</c:f>
              <c:strCache>
                <c:ptCount val="1"/>
                <c:pt idx="0">
                  <c:v>A_07_ETM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Spectral!$T$52:$T$57</c:f>
              <c:numCache>
                <c:formatCode>0.00%</c:formatCode>
                <c:ptCount val="6"/>
                <c:pt idx="0">
                  <c:v>0.2028965020169928</c:v>
                </c:pt>
                <c:pt idx="1">
                  <c:v>0.20179759902752856</c:v>
                </c:pt>
                <c:pt idx="2">
                  <c:v>0.26530343722376659</c:v>
                </c:pt>
                <c:pt idx="3">
                  <c:v>0.20194905637166422</c:v>
                </c:pt>
                <c:pt idx="4">
                  <c:v>0.16727933829441266</c:v>
                </c:pt>
                <c:pt idx="5">
                  <c:v>0.24632072044911668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CA-4F86-B67B-454B466737FF}"/>
            </c:ext>
          </c:extLst>
        </c:ser>
        <c:ser>
          <c:idx val="4"/>
          <c:order val="6"/>
          <c:tx>
            <c:strRef>
              <c:f>Spectral!$T$60</c:f>
              <c:strCache>
                <c:ptCount val="1"/>
                <c:pt idx="0">
                  <c:v>A_11_ETM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Spectral!$T$62:$T$67</c:f>
              <c:numCache>
                <c:formatCode>0.00%</c:formatCode>
                <c:ptCount val="6"/>
                <c:pt idx="0">
                  <c:v>0.23927574311694558</c:v>
                </c:pt>
                <c:pt idx="1">
                  <c:v>0.18128338302363692</c:v>
                </c:pt>
                <c:pt idx="2">
                  <c:v>0.28194598424304018</c:v>
                </c:pt>
                <c:pt idx="3">
                  <c:v>0.18847811645991372</c:v>
                </c:pt>
                <c:pt idx="4">
                  <c:v>0.18053878816086155</c:v>
                </c:pt>
                <c:pt idx="5">
                  <c:v>0.30395321483974519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CA-4F86-B67B-454B466737FF}"/>
            </c:ext>
          </c:extLst>
        </c:ser>
        <c:ser>
          <c:idx val="3"/>
          <c:order val="7"/>
          <c:tx>
            <c:strRef>
              <c:f>Spectral!$T$70</c:f>
              <c:strCache>
                <c:ptCount val="1"/>
                <c:pt idx="0">
                  <c:v>A_15_OLI</c:v>
                </c:pt>
              </c:strCache>
            </c:strRef>
          </c:tx>
          <c:spPr>
            <a:ln w="28575" cap="rnd">
              <a:solidFill>
                <a:srgbClr val="B1EE2D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Spectral!$T$72:$T$77</c:f>
              <c:numCache>
                <c:formatCode>0.00%</c:formatCode>
                <c:ptCount val="6"/>
                <c:pt idx="0">
                  <c:v>0.72533348181170298</c:v>
                </c:pt>
                <c:pt idx="1">
                  <c:v>0.25760276092683604</c:v>
                </c:pt>
                <c:pt idx="2">
                  <c:v>0.38614138853631624</c:v>
                </c:pt>
                <c:pt idx="3">
                  <c:v>0.22172984288542252</c:v>
                </c:pt>
                <c:pt idx="4">
                  <c:v>0.19937629564189943</c:v>
                </c:pt>
                <c:pt idx="5">
                  <c:v>0.32448673159657077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CA-4F86-B67B-454B466737FF}"/>
            </c:ext>
          </c:extLst>
        </c:ser>
        <c:ser>
          <c:idx val="5"/>
          <c:order val="8"/>
          <c:tx>
            <c:strRef>
              <c:f>Spectral!$T$80</c:f>
              <c:strCache>
                <c:ptCount val="1"/>
                <c:pt idx="0">
                  <c:v>A_19_OLI</c:v>
                </c:pt>
              </c:strCache>
            </c:strRef>
          </c:tx>
          <c:spPr>
            <a:ln w="28575" cap="rnd">
              <a:solidFill>
                <a:srgbClr val="B1EE2D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B1EE2D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Spectral!$T$82:$T$87</c:f>
              <c:numCache>
                <c:formatCode>0.00%</c:formatCode>
                <c:ptCount val="6"/>
                <c:pt idx="0">
                  <c:v>0.63812061123667085</c:v>
                </c:pt>
                <c:pt idx="1">
                  <c:v>0.3121765850574868</c:v>
                </c:pt>
                <c:pt idx="2">
                  <c:v>0.41140547188409343</c:v>
                </c:pt>
                <c:pt idx="3">
                  <c:v>0.23150734305431303</c:v>
                </c:pt>
                <c:pt idx="4">
                  <c:v>0.23114200337395269</c:v>
                </c:pt>
                <c:pt idx="5">
                  <c:v>0.3225842928735127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CA-4F86-B67B-454B466737FF}"/>
            </c:ext>
          </c:extLst>
        </c:ser>
        <c:ser>
          <c:idx val="0"/>
          <c:order val="9"/>
          <c:tx>
            <c:strRef>
              <c:f>Spectral!$T$90</c:f>
              <c:strCache>
                <c:ptCount val="1"/>
                <c:pt idx="0">
                  <c:v>A_19_MSI</c:v>
                </c:pt>
              </c:strCache>
            </c:strRef>
          </c:tx>
          <c:spPr>
            <a:ln w="12700" cap="rnd">
              <a:solidFill>
                <a:srgbClr val="B1EE2D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Spectral!$T$92:$T$101</c:f>
              <c:numCache>
                <c:formatCode>0.00%</c:formatCode>
                <c:ptCount val="10"/>
                <c:pt idx="0">
                  <c:v>0.48972040983605453</c:v>
                </c:pt>
                <c:pt idx="1">
                  <c:v>0.31704146633484992</c:v>
                </c:pt>
                <c:pt idx="2">
                  <c:v>0.46163643683233602</c:v>
                </c:pt>
                <c:pt idx="3">
                  <c:v>0.24552295824236836</c:v>
                </c:pt>
                <c:pt idx="4">
                  <c:v>0.22063862931920239</c:v>
                </c:pt>
                <c:pt idx="5">
                  <c:v>0.24081272299722381</c:v>
                </c:pt>
                <c:pt idx="6">
                  <c:v>0.24664918769298583</c:v>
                </c:pt>
                <c:pt idx="7">
                  <c:v>0.22268164962718145</c:v>
                </c:pt>
                <c:pt idx="8">
                  <c:v>0.2010234121094327</c:v>
                </c:pt>
                <c:pt idx="9">
                  <c:v>0.29796816396594389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CA-4F86-B67B-454B466737FF}"/>
            </c:ext>
          </c:extLst>
        </c:ser>
        <c:ser>
          <c:idx val="10"/>
          <c:order val="10"/>
          <c:tx>
            <c:strRef>
              <c:f>Spectral!$T$104</c:f>
              <c:strCache>
                <c:ptCount val="1"/>
                <c:pt idx="0">
                  <c:v>A_24_MSI</c:v>
                </c:pt>
              </c:strCache>
            </c:strRef>
          </c:tx>
          <c:spPr>
            <a:ln w="28575" cap="rnd" cmpd="dbl">
              <a:solidFill>
                <a:srgbClr val="B1EE2D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9525" cmpd="dbl">
                <a:solidFill>
                  <a:srgbClr val="B1EE2D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Spectral!$T$106:$T$115</c:f>
              <c:numCache>
                <c:formatCode>0.00%</c:formatCode>
                <c:ptCount val="10"/>
                <c:pt idx="0">
                  <c:v>0.39128271871049947</c:v>
                </c:pt>
                <c:pt idx="1">
                  <c:v>0.31887224960638183</c:v>
                </c:pt>
                <c:pt idx="2">
                  <c:v>0.39836547155530783</c:v>
                </c:pt>
                <c:pt idx="3">
                  <c:v>0.27081571308069446</c:v>
                </c:pt>
                <c:pt idx="4">
                  <c:v>0.22801914218408945</c:v>
                </c:pt>
                <c:pt idx="5">
                  <c:v>0.23552350486454937</c:v>
                </c:pt>
                <c:pt idx="6">
                  <c:v>0.24080071277690401</c:v>
                </c:pt>
                <c:pt idx="7">
                  <c:v>0.21867067855638772</c:v>
                </c:pt>
                <c:pt idx="8">
                  <c:v>0.19562115366948371</c:v>
                </c:pt>
                <c:pt idx="9">
                  <c:v>0.26244514694712429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CA-4F86-B67B-454B46673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Coefficient of Variation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3 Forest CV Spectral Signatures RRB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Spectral!$U$4</c:f>
              <c:strCache>
                <c:ptCount val="1"/>
                <c:pt idx="0">
                  <c:v>F_77_MSS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Spectral!$U$6:$U$9</c:f>
              <c:numCache>
                <c:formatCode>0.00%</c:formatCode>
                <c:ptCount val="4"/>
                <c:pt idx="0">
                  <c:v>0.28701752175336276</c:v>
                </c:pt>
                <c:pt idx="1">
                  <c:v>0.20111319971143138</c:v>
                </c:pt>
                <c:pt idx="2">
                  <c:v>0.2937858468695787</c:v>
                </c:pt>
                <c:pt idx="3">
                  <c:v>0.33156691379767533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4-445E-A805-BD1DACBB559A}"/>
            </c:ext>
          </c:extLst>
        </c:ser>
        <c:ser>
          <c:idx val="7"/>
          <c:order val="1"/>
          <c:tx>
            <c:strRef>
              <c:f>Spectral!$U$12</c:f>
              <c:strCache>
                <c:ptCount val="1"/>
                <c:pt idx="0">
                  <c:v>F_88_MSS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Spectral!$U$14:$U$17</c:f>
              <c:numCache>
                <c:formatCode>0.00%</c:formatCode>
                <c:ptCount val="4"/>
                <c:pt idx="0">
                  <c:v>0.15877287526958431</c:v>
                </c:pt>
                <c:pt idx="1">
                  <c:v>0.18513931985526655</c:v>
                </c:pt>
                <c:pt idx="2">
                  <c:v>0.1890744266819207</c:v>
                </c:pt>
                <c:pt idx="3">
                  <c:v>0.20742158854903023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84-445E-A805-BD1DACBB559A}"/>
            </c:ext>
          </c:extLst>
        </c:ser>
        <c:ser>
          <c:idx val="2"/>
          <c:order val="2"/>
          <c:tx>
            <c:strRef>
              <c:f>Spectral!$U$20</c:f>
              <c:strCache>
                <c:ptCount val="1"/>
                <c:pt idx="0">
                  <c:v>F_88_TM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Spectral!$U$22:$U$27</c:f>
              <c:numCache>
                <c:formatCode>0.00%</c:formatCode>
                <c:ptCount val="6"/>
                <c:pt idx="0">
                  <c:v>0.2619600120126851</c:v>
                </c:pt>
                <c:pt idx="1">
                  <c:v>0.24446368087476084</c:v>
                </c:pt>
                <c:pt idx="2">
                  <c:v>0.29262370224506834</c:v>
                </c:pt>
                <c:pt idx="3">
                  <c:v>0.24572339142515809</c:v>
                </c:pt>
                <c:pt idx="4">
                  <c:v>0.35410325106742857</c:v>
                </c:pt>
                <c:pt idx="5">
                  <c:v>0.42736568563577287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84-445E-A805-BD1DACBB559A}"/>
            </c:ext>
          </c:extLst>
        </c:ser>
        <c:ser>
          <c:idx val="6"/>
          <c:order val="3"/>
          <c:tx>
            <c:strRef>
              <c:f>Spectral!$U$30</c:f>
              <c:strCache>
                <c:ptCount val="1"/>
                <c:pt idx="0">
                  <c:v>F_91_TM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Spectral!$U$32:$U$37</c:f>
              <c:numCache>
                <c:formatCode>0.00%</c:formatCode>
                <c:ptCount val="6"/>
                <c:pt idx="0">
                  <c:v>0.26773132705921232</c:v>
                </c:pt>
                <c:pt idx="1">
                  <c:v>0.2192618312622408</c:v>
                </c:pt>
                <c:pt idx="2">
                  <c:v>0.26847625229567806</c:v>
                </c:pt>
                <c:pt idx="3">
                  <c:v>0.22789157267433086</c:v>
                </c:pt>
                <c:pt idx="4">
                  <c:v>0.30010116078386517</c:v>
                </c:pt>
                <c:pt idx="5">
                  <c:v>0.37376610574660996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84-445E-A805-BD1DACBB559A}"/>
            </c:ext>
          </c:extLst>
        </c:ser>
        <c:ser>
          <c:idx val="8"/>
          <c:order val="4"/>
          <c:tx>
            <c:strRef>
              <c:f>Spectral!$U$40</c:f>
              <c:strCache>
                <c:ptCount val="1"/>
                <c:pt idx="0">
                  <c:v>F_01_TM</c:v>
                </c:pt>
              </c:strCache>
            </c:strRef>
          </c:tx>
          <c:spPr>
            <a:ln w="28575" cap="rnd" cmpd="dbl">
              <a:solidFill>
                <a:srgbClr val="149721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1F9DFF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Spectral!$U$42:$U$47</c:f>
              <c:numCache>
                <c:formatCode>0.00%</c:formatCode>
                <c:ptCount val="6"/>
                <c:pt idx="0">
                  <c:v>0.25430609558872835</c:v>
                </c:pt>
                <c:pt idx="1">
                  <c:v>0.25327048931924878</c:v>
                </c:pt>
                <c:pt idx="2">
                  <c:v>0.30759159365144872</c:v>
                </c:pt>
                <c:pt idx="3">
                  <c:v>0.28986349626521568</c:v>
                </c:pt>
                <c:pt idx="4">
                  <c:v>0.35958988508466733</c:v>
                </c:pt>
                <c:pt idx="5">
                  <c:v>0.41504467792496963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84-445E-A805-BD1DACBB559A}"/>
            </c:ext>
          </c:extLst>
        </c:ser>
        <c:ser>
          <c:idx val="9"/>
          <c:order val="5"/>
          <c:tx>
            <c:strRef>
              <c:f>Spectral!$U$50</c:f>
              <c:strCache>
                <c:ptCount val="1"/>
                <c:pt idx="0">
                  <c:v>F_07_ETM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149721"/>
                </a:solidFill>
                <a:prstDash val="solid"/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Spectral!$U$52:$U$57</c:f>
              <c:numCache>
                <c:formatCode>0.00%</c:formatCode>
                <c:ptCount val="6"/>
                <c:pt idx="0">
                  <c:v>0.33352309322232093</c:v>
                </c:pt>
                <c:pt idx="1">
                  <c:v>0.28729545015148367</c:v>
                </c:pt>
                <c:pt idx="2">
                  <c:v>0.33723269152907964</c:v>
                </c:pt>
                <c:pt idx="3">
                  <c:v>0.25602604266804341</c:v>
                </c:pt>
                <c:pt idx="4">
                  <c:v>0.29839747192123744</c:v>
                </c:pt>
                <c:pt idx="5">
                  <c:v>0.35128947866026128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084-445E-A805-BD1DACBB559A}"/>
            </c:ext>
          </c:extLst>
        </c:ser>
        <c:ser>
          <c:idx val="4"/>
          <c:order val="6"/>
          <c:tx>
            <c:strRef>
              <c:f>Spectral!$U$60</c:f>
              <c:strCache>
                <c:ptCount val="1"/>
                <c:pt idx="0">
                  <c:v>F_11_ETM</c:v>
                </c:pt>
              </c:strCache>
            </c:strRef>
          </c:tx>
          <c:spPr>
            <a:ln w="28575" cap="rnd">
              <a:solidFill>
                <a:srgbClr val="149721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Spectral!$U$62:$U$67</c:f>
              <c:numCache>
                <c:formatCode>0.00%</c:formatCode>
                <c:ptCount val="6"/>
                <c:pt idx="0">
                  <c:v>0.29387609209155291</c:v>
                </c:pt>
                <c:pt idx="1">
                  <c:v>0.27910697513970389</c:v>
                </c:pt>
                <c:pt idx="2">
                  <c:v>0.33426634058423493</c:v>
                </c:pt>
                <c:pt idx="3">
                  <c:v>0.27981687073773698</c:v>
                </c:pt>
                <c:pt idx="4">
                  <c:v>0.31247341298584624</c:v>
                </c:pt>
                <c:pt idx="5">
                  <c:v>0.35195749697430417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84-445E-A805-BD1DACBB559A}"/>
            </c:ext>
          </c:extLst>
        </c:ser>
        <c:ser>
          <c:idx val="3"/>
          <c:order val="7"/>
          <c:tx>
            <c:strRef>
              <c:f>Spectral!$U$70</c:f>
              <c:strCache>
                <c:ptCount val="1"/>
                <c:pt idx="0">
                  <c:v>F_15_OLI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Spectral!$U$72:$U$77</c:f>
              <c:numCache>
                <c:formatCode>0.00%</c:formatCode>
                <c:ptCount val="6"/>
                <c:pt idx="0">
                  <c:v>7.9244605985450205</c:v>
                </c:pt>
                <c:pt idx="1">
                  <c:v>0.59093852931485935</c:v>
                </c:pt>
                <c:pt idx="2">
                  <c:v>0.60841747502942922</c:v>
                </c:pt>
                <c:pt idx="3">
                  <c:v>0.3223600999936973</c:v>
                </c:pt>
                <c:pt idx="4">
                  <c:v>0.36279286225590651</c:v>
                </c:pt>
                <c:pt idx="5">
                  <c:v>0.43475341231581155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84-445E-A805-BD1DACBB559A}"/>
            </c:ext>
          </c:extLst>
        </c:ser>
        <c:ser>
          <c:idx val="5"/>
          <c:order val="8"/>
          <c:tx>
            <c:strRef>
              <c:f>Spectral!$U$80</c:f>
              <c:strCache>
                <c:ptCount val="1"/>
                <c:pt idx="0">
                  <c:v>F_19_OLI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149721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Spectral!$U$82:$U$87</c:f>
              <c:numCache>
                <c:formatCode>0.00%</c:formatCode>
                <c:ptCount val="6"/>
                <c:pt idx="0">
                  <c:v>4.7366470791512301</c:v>
                </c:pt>
                <c:pt idx="1">
                  <c:v>0.43733111348265546</c:v>
                </c:pt>
                <c:pt idx="2">
                  <c:v>0.43760999021597147</c:v>
                </c:pt>
                <c:pt idx="3">
                  <c:v>0.30618075036595105</c:v>
                </c:pt>
                <c:pt idx="4">
                  <c:v>0.33727714125840452</c:v>
                </c:pt>
                <c:pt idx="5">
                  <c:v>0.37650872451562523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84-445E-A805-BD1DACBB559A}"/>
            </c:ext>
          </c:extLst>
        </c:ser>
        <c:ser>
          <c:idx val="0"/>
          <c:order val="9"/>
          <c:tx>
            <c:strRef>
              <c:f>Spectral!$U$90</c:f>
              <c:strCache>
                <c:ptCount val="1"/>
                <c:pt idx="0">
                  <c:v>F_19_MSI</c:v>
                </c:pt>
              </c:strCache>
            </c:strRef>
          </c:tx>
          <c:spPr>
            <a:ln w="28575" cap="rnd">
              <a:solidFill>
                <a:srgbClr val="149721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Spectral!$U$92:$U$101</c:f>
              <c:numCache>
                <c:formatCode>0.00%</c:formatCode>
                <c:ptCount val="10"/>
                <c:pt idx="0">
                  <c:v>0.51484352012461854</c:v>
                </c:pt>
                <c:pt idx="1">
                  <c:v>0.29559797930709886</c:v>
                </c:pt>
                <c:pt idx="2">
                  <c:v>0.38664415626276905</c:v>
                </c:pt>
                <c:pt idx="3">
                  <c:v>0.22226783847076353</c:v>
                </c:pt>
                <c:pt idx="4">
                  <c:v>0.2020027099116837</c:v>
                </c:pt>
                <c:pt idx="5">
                  <c:v>0.20768073230301828</c:v>
                </c:pt>
                <c:pt idx="6">
                  <c:v>0.22317838895615333</c:v>
                </c:pt>
                <c:pt idx="7">
                  <c:v>0.20693437468125037</c:v>
                </c:pt>
                <c:pt idx="8">
                  <c:v>0.25502554374228975</c:v>
                </c:pt>
                <c:pt idx="9">
                  <c:v>0.32064084647426461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84-445E-A805-BD1DACBB559A}"/>
            </c:ext>
          </c:extLst>
        </c:ser>
        <c:ser>
          <c:idx val="10"/>
          <c:order val="10"/>
          <c:tx>
            <c:strRef>
              <c:f>Spectral!$U$104</c:f>
              <c:strCache>
                <c:ptCount val="1"/>
                <c:pt idx="0">
                  <c:v>F_24_MSI</c:v>
                </c:pt>
              </c:strCache>
            </c:strRef>
          </c:tx>
          <c:spPr>
            <a:ln w="12700" cap="rnd">
              <a:solidFill>
                <a:srgbClr val="149721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15875" cmpd="dbl">
                <a:solidFill>
                  <a:srgbClr val="149721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Spectral!$U$106:$U$115</c:f>
              <c:numCache>
                <c:formatCode>0.00%</c:formatCode>
                <c:ptCount val="10"/>
                <c:pt idx="0">
                  <c:v>0.27075434534727105</c:v>
                </c:pt>
                <c:pt idx="1">
                  <c:v>0.23739863684050228</c:v>
                </c:pt>
                <c:pt idx="2">
                  <c:v>0.33668111928456085</c:v>
                </c:pt>
                <c:pt idx="3">
                  <c:v>0.20646540907222685</c:v>
                </c:pt>
                <c:pt idx="4">
                  <c:v>0.20182760081424603</c:v>
                </c:pt>
                <c:pt idx="5">
                  <c:v>0.21239360674273125</c:v>
                </c:pt>
                <c:pt idx="6">
                  <c:v>0.22205941281626371</c:v>
                </c:pt>
                <c:pt idx="7">
                  <c:v>0.20695681106217687</c:v>
                </c:pt>
                <c:pt idx="8">
                  <c:v>0.2338975604092694</c:v>
                </c:pt>
                <c:pt idx="9">
                  <c:v>0.28532268037842012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84-445E-A805-BD1DACBB5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Coefficient of Variation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Class 4 Shrubland-Wetland</a:t>
            </a:r>
            <a:r>
              <a:rPr lang="en-GB" baseline="0"/>
              <a:t> </a:t>
            </a:r>
            <a:r>
              <a:rPr lang="en-GB"/>
              <a:t>Mean Spectral Signatures RRB Sample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244489765714957E-2"/>
          <c:y val="0.10039536109646813"/>
          <c:w val="0.7169654464247377"/>
          <c:h val="0.79266330177362521"/>
        </c:manualLayout>
      </c:layout>
      <c:scatterChart>
        <c:scatterStyle val="lineMarker"/>
        <c:varyColors val="0"/>
        <c:ser>
          <c:idx val="1"/>
          <c:order val="0"/>
          <c:tx>
            <c:strRef>
              <c:f>Spectral!$V$4</c:f>
              <c:strCache>
                <c:ptCount val="1"/>
                <c:pt idx="0">
                  <c:v>S_77_MSS</c:v>
                </c:pt>
              </c:strCache>
            </c:strRef>
          </c:tx>
          <c:spPr>
            <a:ln w="28575" cap="rnd">
              <a:solidFill>
                <a:srgbClr val="AD8D06"/>
              </a:solidFill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Spectral!$D$6:$D$9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Spectral!$V$6:$V$9</c:f>
              <c:numCache>
                <c:formatCode>0.00%</c:formatCode>
                <c:ptCount val="4"/>
                <c:pt idx="0">
                  <c:v>9.3052214515040754E-2</c:v>
                </c:pt>
                <c:pt idx="1">
                  <c:v>8.1104112864159347E-2</c:v>
                </c:pt>
                <c:pt idx="2">
                  <c:v>7.537272218798656E-2</c:v>
                </c:pt>
                <c:pt idx="3">
                  <c:v>8.9211115741585092E-2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86-4F7C-A4E9-40CBC89C06FA}"/>
            </c:ext>
          </c:extLst>
        </c:ser>
        <c:ser>
          <c:idx val="7"/>
          <c:order val="1"/>
          <c:tx>
            <c:strRef>
              <c:f>Spectral!$V$12</c:f>
              <c:strCache>
                <c:ptCount val="1"/>
                <c:pt idx="0">
                  <c:v>S_88_MSS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dash"/>
              <a:round/>
            </a:ln>
            <a:effectLst/>
          </c:spPr>
          <c:marker>
            <c:symbol val="circle"/>
            <c:size val="10"/>
            <c:spPr>
              <a:noFill/>
              <a:ln w="1587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Spectral!$D$14:$D$17</c:f>
              <c:numCache>
                <c:formatCode>General</c:formatCode>
                <c:ptCount val="4"/>
                <c:pt idx="0">
                  <c:v>0.55000000000000004</c:v>
                </c:pt>
                <c:pt idx="1">
                  <c:v>0.65</c:v>
                </c:pt>
                <c:pt idx="2">
                  <c:v>0.75</c:v>
                </c:pt>
                <c:pt idx="3">
                  <c:v>0.95</c:v>
                </c:pt>
              </c:numCache>
            </c:numRef>
          </c:xVal>
          <c:yVal>
            <c:numRef>
              <c:f>Spectral!$V$14:$V$17</c:f>
              <c:numCache>
                <c:formatCode>0.00%</c:formatCode>
                <c:ptCount val="4"/>
                <c:pt idx="0">
                  <c:v>6.8858573519322369E-2</c:v>
                </c:pt>
                <c:pt idx="1">
                  <c:v>8.5554878424342493E-2</c:v>
                </c:pt>
                <c:pt idx="2">
                  <c:v>8.8897648871598123E-2</c:v>
                </c:pt>
                <c:pt idx="3">
                  <c:v>9.44324363776851E-2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86-4F7C-A4E9-40CBC89C06FA}"/>
            </c:ext>
          </c:extLst>
        </c:ser>
        <c:ser>
          <c:idx val="2"/>
          <c:order val="2"/>
          <c:tx>
            <c:strRef>
              <c:f>Spectral!$V$20</c:f>
              <c:strCache>
                <c:ptCount val="1"/>
                <c:pt idx="0">
                  <c:v>S_88_TM</c:v>
                </c:pt>
              </c:strCache>
            </c:strRef>
          </c:tx>
          <c:spPr>
            <a:ln w="28575" cap="rnd">
              <a:solidFill>
                <a:srgbClr val="AD8D06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Spectral!$D$22:$D$27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 formatCode="0.00">
                  <c:v>0.83499999999999996</c:v>
                </c:pt>
                <c:pt idx="4">
                  <c:v>1.65</c:v>
                </c:pt>
                <c:pt idx="5" formatCode="0.00">
                  <c:v>2.2149999999999999</c:v>
                </c:pt>
              </c:numCache>
            </c:numRef>
          </c:xVal>
          <c:yVal>
            <c:numRef>
              <c:f>Spectral!$V$22:$V$27</c:f>
              <c:numCache>
                <c:formatCode>0.00%</c:formatCode>
                <c:ptCount val="6"/>
                <c:pt idx="0">
                  <c:v>0.11250642933714036</c:v>
                </c:pt>
                <c:pt idx="1">
                  <c:v>0.10061336799607551</c:v>
                </c:pt>
                <c:pt idx="2">
                  <c:v>0.11701169799255297</c:v>
                </c:pt>
                <c:pt idx="3">
                  <c:v>0.10307984823702375</c:v>
                </c:pt>
                <c:pt idx="4">
                  <c:v>9.0003067889210864E-2</c:v>
                </c:pt>
                <c:pt idx="5">
                  <c:v>0.10320571937273042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86-4F7C-A4E9-40CBC89C06FA}"/>
            </c:ext>
          </c:extLst>
        </c:ser>
        <c:ser>
          <c:idx val="6"/>
          <c:order val="3"/>
          <c:tx>
            <c:strRef>
              <c:f>Spectral!$V$30</c:f>
              <c:strCache>
                <c:ptCount val="1"/>
                <c:pt idx="0">
                  <c:v>S_91_TM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sysDot"/>
              <a:round/>
            </a:ln>
            <a:effectLst/>
          </c:spPr>
          <c:marker>
            <c:symbol val="diamond"/>
            <c:size val="10"/>
            <c:spPr>
              <a:noFill/>
              <a:ln w="1587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Spectral!$D$32:$D$37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Spectral!$V$32:$V$37</c:f>
              <c:numCache>
                <c:formatCode>0.00%</c:formatCode>
                <c:ptCount val="6"/>
                <c:pt idx="0">
                  <c:v>0.1261002195821756</c:v>
                </c:pt>
                <c:pt idx="1">
                  <c:v>9.6059947354232303E-2</c:v>
                </c:pt>
                <c:pt idx="2">
                  <c:v>0.10671567731919568</c:v>
                </c:pt>
                <c:pt idx="3">
                  <c:v>9.416684932441044E-2</c:v>
                </c:pt>
                <c:pt idx="4">
                  <c:v>9.4180578146199304E-2</c:v>
                </c:pt>
                <c:pt idx="5">
                  <c:v>0.12299237975339107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86-4F7C-A4E9-40CBC89C06FA}"/>
            </c:ext>
          </c:extLst>
        </c:ser>
        <c:ser>
          <c:idx val="8"/>
          <c:order val="4"/>
          <c:tx>
            <c:strRef>
              <c:f>Spectral!$V$40</c:f>
              <c:strCache>
                <c:ptCount val="1"/>
                <c:pt idx="0">
                  <c:v>S_01_TM</c:v>
                </c:pt>
              </c:strCache>
            </c:strRef>
          </c:tx>
          <c:spPr>
            <a:ln w="28575" cap="rnd" cmpd="dbl">
              <a:solidFill>
                <a:srgbClr val="AD8D06"/>
              </a:solidFill>
              <a:round/>
            </a:ln>
            <a:effectLst/>
          </c:spPr>
          <c:marker>
            <c:symbol val="diamond"/>
            <c:size val="10"/>
            <c:spPr>
              <a:noFill/>
              <a:ln w="9525" cmpd="dbl">
                <a:solidFill>
                  <a:srgbClr val="AD8D06"/>
                </a:solidFill>
                <a:prstDash val="sysDot"/>
              </a:ln>
              <a:effectLst/>
            </c:spPr>
          </c:marker>
          <c:xVal>
            <c:numRef>
              <c:f>Spectral!$D$42:$D$47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Spectral!$V$42:$V$47</c:f>
              <c:numCache>
                <c:formatCode>0.00%</c:formatCode>
                <c:ptCount val="6"/>
                <c:pt idx="0">
                  <c:v>0.11660522552498326</c:v>
                </c:pt>
                <c:pt idx="1">
                  <c:v>9.9042750306593333E-2</c:v>
                </c:pt>
                <c:pt idx="2">
                  <c:v>0.10944839961433617</c:v>
                </c:pt>
                <c:pt idx="3">
                  <c:v>8.9382745225634108E-2</c:v>
                </c:pt>
                <c:pt idx="4">
                  <c:v>0.10074223756456718</c:v>
                </c:pt>
                <c:pt idx="5">
                  <c:v>0.11086515366058086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86-4F7C-A4E9-40CBC89C06FA}"/>
            </c:ext>
          </c:extLst>
        </c:ser>
        <c:ser>
          <c:idx val="9"/>
          <c:order val="5"/>
          <c:tx>
            <c:strRef>
              <c:f>Spectral!$V$50</c:f>
              <c:strCache>
                <c:ptCount val="1"/>
                <c:pt idx="0">
                  <c:v>S_07_ETM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dashDot"/>
              <a:round/>
            </a:ln>
            <a:effectLst/>
          </c:spPr>
          <c:marker>
            <c:symbol val="triangle"/>
            <c:size val="10"/>
            <c:spPr>
              <a:noFill/>
              <a:ln w="9525">
                <a:solidFill>
                  <a:srgbClr val="AD8D06"/>
                </a:solidFill>
                <a:prstDash val="solid"/>
              </a:ln>
              <a:effectLst/>
            </c:spPr>
          </c:marker>
          <c:xVal>
            <c:numRef>
              <c:f>Spectral!$D$52:$D$57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Spectral!$V$52:$V$57</c:f>
              <c:numCache>
                <c:formatCode>0.00%</c:formatCode>
                <c:ptCount val="6"/>
                <c:pt idx="0">
                  <c:v>0.12247249870532384</c:v>
                </c:pt>
                <c:pt idx="1">
                  <c:v>0.10856007370988151</c:v>
                </c:pt>
                <c:pt idx="2">
                  <c:v>0.11755459168193509</c:v>
                </c:pt>
                <c:pt idx="3">
                  <c:v>0.10623952350442836</c:v>
                </c:pt>
                <c:pt idx="4">
                  <c:v>0.11985890844136891</c:v>
                </c:pt>
                <c:pt idx="5">
                  <c:v>0.12440163473691544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786-4F7C-A4E9-40CBC89C06FA}"/>
            </c:ext>
          </c:extLst>
        </c:ser>
        <c:ser>
          <c:idx val="4"/>
          <c:order val="6"/>
          <c:tx>
            <c:strRef>
              <c:f>Spectral!$V$60</c:f>
              <c:strCache>
                <c:ptCount val="1"/>
                <c:pt idx="0">
                  <c:v>S_11_ETM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lgDash"/>
              <a:round/>
            </a:ln>
            <a:effectLst/>
          </c:spPr>
          <c:marker>
            <c:symbol val="triangle"/>
            <c:size val="10"/>
            <c:spPr>
              <a:noFill/>
              <a:ln w="1587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Spectral!$D$62:$D$67</c:f>
              <c:numCache>
                <c:formatCode>General</c:formatCode>
                <c:ptCount val="6"/>
                <c:pt idx="0">
                  <c:v>0.48499999999999999</c:v>
                </c:pt>
                <c:pt idx="1">
                  <c:v>0.56000000000000005</c:v>
                </c:pt>
                <c:pt idx="2">
                  <c:v>0.65999999999999992</c:v>
                </c:pt>
                <c:pt idx="3">
                  <c:v>0.83499999999999996</c:v>
                </c:pt>
                <c:pt idx="4">
                  <c:v>1.65</c:v>
                </c:pt>
                <c:pt idx="5">
                  <c:v>2.2149999999999999</c:v>
                </c:pt>
              </c:numCache>
            </c:numRef>
          </c:xVal>
          <c:yVal>
            <c:numRef>
              <c:f>Spectral!$V$62:$V$67</c:f>
              <c:numCache>
                <c:formatCode>0.00%</c:formatCode>
                <c:ptCount val="6"/>
                <c:pt idx="0">
                  <c:v>0.20358521652563261</c:v>
                </c:pt>
                <c:pt idx="1">
                  <c:v>0.19964262968493079</c:v>
                </c:pt>
                <c:pt idx="2">
                  <c:v>0.15964937468151191</c:v>
                </c:pt>
                <c:pt idx="3">
                  <c:v>9.883194669435956E-2</c:v>
                </c:pt>
                <c:pt idx="4">
                  <c:v>9.4471732848800685E-2</c:v>
                </c:pt>
                <c:pt idx="5">
                  <c:v>0.11947314866320892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86-4F7C-A4E9-40CBC89C06FA}"/>
            </c:ext>
          </c:extLst>
        </c:ser>
        <c:ser>
          <c:idx val="3"/>
          <c:order val="7"/>
          <c:tx>
            <c:strRef>
              <c:f>Spectral!$V$70</c:f>
              <c:strCache>
                <c:ptCount val="1"/>
                <c:pt idx="0">
                  <c:v>S_15_OLI</c:v>
                </c:pt>
              </c:strCache>
            </c:strRef>
          </c:tx>
          <c:spPr>
            <a:ln w="28575" cap="rnd">
              <a:solidFill>
                <a:srgbClr val="AD8D06"/>
              </a:solidFill>
              <a:round/>
            </a:ln>
            <a:effectLst/>
          </c:spPr>
          <c:marker>
            <c:symbol val="square"/>
            <c:size val="8"/>
            <c:spPr>
              <a:noFill/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Spectral!$D$72:$D$77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Spectral!$V$72:$V$77</c:f>
              <c:numCache>
                <c:formatCode>0.00%</c:formatCode>
                <c:ptCount val="6"/>
                <c:pt idx="0">
                  <c:v>0.35593167919075791</c:v>
                </c:pt>
                <c:pt idx="1">
                  <c:v>0.1397864215178751</c:v>
                </c:pt>
                <c:pt idx="2">
                  <c:v>0.14646427789748689</c:v>
                </c:pt>
                <c:pt idx="3">
                  <c:v>8.6828508534229756E-2</c:v>
                </c:pt>
                <c:pt idx="4">
                  <c:v>9.9560491079841495E-2</c:v>
                </c:pt>
                <c:pt idx="5">
                  <c:v>0.11050077811263777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86-4F7C-A4E9-40CBC89C06FA}"/>
            </c:ext>
          </c:extLst>
        </c:ser>
        <c:ser>
          <c:idx val="5"/>
          <c:order val="8"/>
          <c:tx>
            <c:strRef>
              <c:f>Spectral!$V$80</c:f>
              <c:strCache>
                <c:ptCount val="1"/>
                <c:pt idx="0">
                  <c:v>S_19_OLI</c:v>
                </c:pt>
              </c:strCache>
            </c:strRef>
          </c:tx>
          <c:spPr>
            <a:ln w="28575" cap="rnd">
              <a:solidFill>
                <a:srgbClr val="AD8D06"/>
              </a:solidFill>
              <a:prstDash val="lgDashDot"/>
              <a:round/>
            </a:ln>
            <a:effectLst/>
          </c:spPr>
          <c:marker>
            <c:symbol val="square"/>
            <c:size val="10"/>
            <c:spPr>
              <a:noFill/>
              <a:ln w="9525">
                <a:solidFill>
                  <a:srgbClr val="AD8D06"/>
                </a:solidFill>
                <a:prstDash val="sysDash"/>
              </a:ln>
              <a:effectLst/>
            </c:spPr>
          </c:marker>
          <c:xVal>
            <c:numRef>
              <c:f>Spectral!$D$82:$D$87</c:f>
              <c:numCache>
                <c:formatCode>General</c:formatCode>
                <c:ptCount val="6"/>
                <c:pt idx="0">
                  <c:v>0.48199999999999998</c:v>
                </c:pt>
                <c:pt idx="1">
                  <c:v>0.56100000000000005</c:v>
                </c:pt>
                <c:pt idx="2">
                  <c:v>0.65500000000000003</c:v>
                </c:pt>
                <c:pt idx="3">
                  <c:v>0.86399999999999999</c:v>
                </c:pt>
                <c:pt idx="4">
                  <c:v>1.6140000000000001</c:v>
                </c:pt>
                <c:pt idx="5">
                  <c:v>2.202</c:v>
                </c:pt>
              </c:numCache>
            </c:numRef>
          </c:xVal>
          <c:yVal>
            <c:numRef>
              <c:f>Spectral!$V$82:$V$87</c:f>
              <c:numCache>
                <c:formatCode>0.00%</c:formatCode>
                <c:ptCount val="6"/>
                <c:pt idx="0">
                  <c:v>0.37241181950402941</c:v>
                </c:pt>
                <c:pt idx="1">
                  <c:v>0.14847550985658026</c:v>
                </c:pt>
                <c:pt idx="2">
                  <c:v>0.14904405667205861</c:v>
                </c:pt>
                <c:pt idx="3">
                  <c:v>9.9943822438138805E-2</c:v>
                </c:pt>
                <c:pt idx="4">
                  <c:v>0.10898234736609361</c:v>
                </c:pt>
                <c:pt idx="5">
                  <c:v>0.12727106109635991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86-4F7C-A4E9-40CBC89C06FA}"/>
            </c:ext>
          </c:extLst>
        </c:ser>
        <c:ser>
          <c:idx val="0"/>
          <c:order val="9"/>
          <c:tx>
            <c:strRef>
              <c:f>Spectral!$V$90</c:f>
              <c:strCache>
                <c:ptCount val="1"/>
                <c:pt idx="0">
                  <c:v>S_19_MSI</c:v>
                </c:pt>
              </c:strCache>
            </c:strRef>
          </c:tx>
          <c:spPr>
            <a:ln w="25400" cap="rnd">
              <a:solidFill>
                <a:srgbClr val="AD8D06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Spectral!$D$92:$D$101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Spectral!$V$92:$V$101</c:f>
              <c:numCache>
                <c:formatCode>0.00%</c:formatCode>
                <c:ptCount val="10"/>
                <c:pt idx="0">
                  <c:v>0.17255711312139613</c:v>
                </c:pt>
                <c:pt idx="1">
                  <c:v>0.12476689879487154</c:v>
                </c:pt>
                <c:pt idx="2">
                  <c:v>0.14254081516864203</c:v>
                </c:pt>
                <c:pt idx="3">
                  <c:v>9.9655064145451194E-2</c:v>
                </c:pt>
                <c:pt idx="4">
                  <c:v>9.0647424139089661E-2</c:v>
                </c:pt>
                <c:pt idx="5">
                  <c:v>9.5764737578383011E-2</c:v>
                </c:pt>
                <c:pt idx="6">
                  <c:v>0.1062303132003551</c:v>
                </c:pt>
                <c:pt idx="7">
                  <c:v>0.10121751311489614</c:v>
                </c:pt>
                <c:pt idx="8">
                  <c:v>9.8215652164279479E-2</c:v>
                </c:pt>
                <c:pt idx="9">
                  <c:v>0.11105092970925776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86-4F7C-A4E9-40CBC89C06FA}"/>
            </c:ext>
          </c:extLst>
        </c:ser>
        <c:ser>
          <c:idx val="10"/>
          <c:order val="10"/>
          <c:tx>
            <c:strRef>
              <c:f>Spectral!$V$104</c:f>
              <c:strCache>
                <c:ptCount val="1"/>
                <c:pt idx="0">
                  <c:v>S_24_MSI</c:v>
                </c:pt>
              </c:strCache>
            </c:strRef>
          </c:tx>
          <c:spPr>
            <a:ln w="12700" cap="rnd">
              <a:solidFill>
                <a:srgbClr val="AD8D06"/>
              </a:solidFill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15875" cmpd="dbl">
                <a:solidFill>
                  <a:srgbClr val="AD8D06"/>
                </a:solidFill>
              </a:ln>
              <a:effectLst/>
            </c:spPr>
          </c:marker>
          <c:xVal>
            <c:numRef>
              <c:f>Spectral!$D$106:$D$115</c:f>
              <c:numCache>
                <c:formatCode>0.000</c:formatCode>
                <c:ptCount val="10"/>
                <c:pt idx="0">
                  <c:v>0.49</c:v>
                </c:pt>
                <c:pt idx="1">
                  <c:v>0.56000000000000005</c:v>
                </c:pt>
                <c:pt idx="2" formatCode="General">
                  <c:v>0.66500000000000004</c:v>
                </c:pt>
                <c:pt idx="3" formatCode="General">
                  <c:v>0.70499999999999996</c:v>
                </c:pt>
                <c:pt idx="4" formatCode="General">
                  <c:v>0.74</c:v>
                </c:pt>
                <c:pt idx="5" formatCode="General">
                  <c:v>0.78300000000000003</c:v>
                </c:pt>
                <c:pt idx="6" formatCode="General">
                  <c:v>0.84199999999999997</c:v>
                </c:pt>
                <c:pt idx="7" formatCode="General">
                  <c:v>0.86499999999999999</c:v>
                </c:pt>
                <c:pt idx="8">
                  <c:v>1.61</c:v>
                </c:pt>
                <c:pt idx="9">
                  <c:v>2.19</c:v>
                </c:pt>
              </c:numCache>
            </c:numRef>
          </c:xVal>
          <c:yVal>
            <c:numRef>
              <c:f>Spectral!$V$106:$V$115</c:f>
              <c:numCache>
                <c:formatCode>0.00%</c:formatCode>
                <c:ptCount val="10"/>
                <c:pt idx="0">
                  <c:v>0.12183144608480273</c:v>
                </c:pt>
                <c:pt idx="1">
                  <c:v>0.11291820231214478</c:v>
                </c:pt>
                <c:pt idx="2">
                  <c:v>0.13798091487743028</c:v>
                </c:pt>
                <c:pt idx="3">
                  <c:v>0.10340965879239325</c:v>
                </c:pt>
                <c:pt idx="4">
                  <c:v>9.4854822301744385E-2</c:v>
                </c:pt>
                <c:pt idx="5">
                  <c:v>9.9450164722763953E-2</c:v>
                </c:pt>
                <c:pt idx="6">
                  <c:v>0.10742953982151768</c:v>
                </c:pt>
                <c:pt idx="7">
                  <c:v>0.1027276224574713</c:v>
                </c:pt>
                <c:pt idx="8">
                  <c:v>9.6440984657381115E-2</c:v>
                </c:pt>
                <c:pt idx="9">
                  <c:v>0.10503529666153279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86-4F7C-A4E9-40CBC89C0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85184"/>
        <c:axId val="713885536"/>
      </c:scatterChart>
      <c:valAx>
        <c:axId val="713885184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Wavelenght (</a:t>
                </a:r>
                <a:r>
                  <a:rPr lang="el-GR"/>
                  <a:t>μ</a:t>
                </a:r>
                <a:r>
                  <a:rPr lang="es-CO"/>
                  <a:t>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536"/>
        <c:crosses val="autoZero"/>
        <c:crossBetween val="midCat"/>
      </c:valAx>
      <c:valAx>
        <c:axId val="71388553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Coefficient of Variation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85184"/>
        <c:crosses val="autoZero"/>
        <c:crossBetween val="midCat"/>
        <c:minorUnit val="1.0000000000000002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268464056573888"/>
          <c:y val="5.3109551342982501E-2"/>
          <c:w val="0.13849802664540944"/>
          <c:h val="0.88626841386524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RRB Mode Classification</a:t>
            </a:r>
            <a:endParaRPr lang="en-US" sz="2000"/>
          </a:p>
        </c:rich>
      </c:tx>
      <c:layout>
        <c:manualLayout>
          <c:xMode val="edge"/>
          <c:yMode val="edge"/>
          <c:x val="0.32620683426469255"/>
          <c:y val="1.0282884262081189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95803004567238"/>
          <c:y val="8.196151821393248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RRB_all!$D$4</c:f>
              <c:strCache>
                <c:ptCount val="1"/>
                <c:pt idx="0">
                  <c:v>W_77_MSS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RRB_all!$D$9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RRB_all!$D$9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RRB_all!$D$11</c:f>
                <c:numCache>
                  <c:formatCode>General</c:formatCode>
                  <c:ptCount val="1"/>
                  <c:pt idx="0">
                    <c:v>0.86956521739130099</c:v>
                  </c:pt>
                </c:numCache>
              </c:numRef>
            </c:plus>
            <c:minus>
              <c:numRef>
                <c:f>RRB_all!$D$11</c:f>
                <c:numCache>
                  <c:formatCode>General</c:formatCode>
                  <c:ptCount val="1"/>
                  <c:pt idx="0">
                    <c:v>0.86956521739130099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RRB_all!$D$8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RRB_all!$D$10</c:f>
              <c:numCache>
                <c:formatCode>0.00</c:formatCode>
                <c:ptCount val="1"/>
                <c:pt idx="0">
                  <c:v>99.130434782608702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08-4740-B84E-1BB67743B2CD}"/>
            </c:ext>
          </c:extLst>
        </c:ser>
        <c:ser>
          <c:idx val="1"/>
          <c:order val="1"/>
          <c:tx>
            <c:strRef>
              <c:f>RRB_all!$D$52</c:f>
              <c:strCache>
                <c:ptCount val="1"/>
                <c:pt idx="0">
                  <c:v>W_88_MSS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noFill/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xVal>
            <c:numRef>
              <c:f>RRB_all!$D$56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RRB_all!$D$58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08-4740-B84E-1BB67743B2CD}"/>
            </c:ext>
          </c:extLst>
        </c:ser>
        <c:ser>
          <c:idx val="8"/>
          <c:order val="2"/>
          <c:tx>
            <c:strRef>
              <c:f>RRB_all!$D$100</c:f>
              <c:strCache>
                <c:ptCount val="1"/>
                <c:pt idx="0">
                  <c:v>W_88_TM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9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xVal>
            <c:numRef>
              <c:f>RRB_all!$D$104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RRB_all!$D$106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08-4740-B84E-1BB67743B2CD}"/>
            </c:ext>
          </c:extLst>
        </c:ser>
        <c:ser>
          <c:idx val="15"/>
          <c:order val="3"/>
          <c:tx>
            <c:strRef>
              <c:f>RRB_all!$D$148</c:f>
              <c:strCache>
                <c:ptCount val="1"/>
                <c:pt idx="0">
                  <c:v>W_91_TM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9"/>
            <c:spPr>
              <a:noFill/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xVal>
            <c:numRef>
              <c:f>RRB_all!$D$152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RRB_all!$D$154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08-4740-B84E-1BB67743B2CD}"/>
            </c:ext>
          </c:extLst>
        </c:ser>
        <c:ser>
          <c:idx val="20"/>
          <c:order val="4"/>
          <c:tx>
            <c:strRef>
              <c:f>RRB_all!$D$196</c:f>
              <c:strCache>
                <c:ptCount val="1"/>
                <c:pt idx="0">
                  <c:v>W_01_TM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1F9DFF"/>
                </a:solidFill>
              </a:ln>
              <a:effectLst/>
            </c:spPr>
          </c:marker>
          <c:xVal>
            <c:numRef>
              <c:f>RRB_all!$D$200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RRB_all!$D$202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08-4740-B84E-1BB67743B2CD}"/>
            </c:ext>
          </c:extLst>
        </c:ser>
        <c:ser>
          <c:idx val="25"/>
          <c:order val="5"/>
          <c:tx>
            <c:strRef>
              <c:f>RRB_all!$D$244</c:f>
              <c:strCache>
                <c:ptCount val="1"/>
                <c:pt idx="0">
                  <c:v>W_07_ETM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 cmpd="sng">
                <a:solidFill>
                  <a:srgbClr val="1F9DFF"/>
                </a:solidFill>
                <a:prstDash val="solid"/>
              </a:ln>
              <a:effectLst/>
            </c:spPr>
          </c:marker>
          <c:xVal>
            <c:numRef>
              <c:f>RRB_all!$D$248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RRB_all!$D$250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08-4740-B84E-1BB67743B2CD}"/>
            </c:ext>
          </c:extLst>
        </c:ser>
        <c:ser>
          <c:idx val="30"/>
          <c:order val="6"/>
          <c:tx>
            <c:strRef>
              <c:f>RRB_all!$D$292</c:f>
              <c:strCache>
                <c:ptCount val="1"/>
                <c:pt idx="0">
                  <c:v>W_11_ETM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1F9DFF">
                  <a:alpha val="20000"/>
                </a:srgbClr>
              </a:solidFill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RRB_all!$D$297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RRB_all!$D$297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RRB_all!$D$299</c:f>
                <c:numCache>
                  <c:formatCode>General</c:formatCode>
                  <c:ptCount val="1"/>
                  <c:pt idx="0">
                    <c:v>1.210317190862304</c:v>
                  </c:pt>
                </c:numCache>
              </c:numRef>
            </c:plus>
            <c:minus>
              <c:numRef>
                <c:f>RRB_all!$D$299</c:f>
                <c:numCache>
                  <c:formatCode>General</c:formatCode>
                  <c:ptCount val="1"/>
                  <c:pt idx="0">
                    <c:v>1.210317190862304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RRB_all!$D$296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RRB_all!$D$298</c:f>
              <c:numCache>
                <c:formatCode>0.00</c:formatCode>
                <c:ptCount val="1"/>
                <c:pt idx="0">
                  <c:v>92.904656319290467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08-4740-B84E-1BB67743B2CD}"/>
            </c:ext>
          </c:extLst>
        </c:ser>
        <c:ser>
          <c:idx val="35"/>
          <c:order val="7"/>
          <c:tx>
            <c:strRef>
              <c:f>RRB_all!$D$340</c:f>
              <c:strCache>
                <c:ptCount val="1"/>
                <c:pt idx="0">
                  <c:v>W_15_OLI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RRB_all!$D$345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RRB_all!$D$345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RRB_all!$D$347</c:f>
                <c:numCache>
                  <c:formatCode>General</c:formatCode>
                  <c:ptCount val="1"/>
                  <c:pt idx="0">
                    <c:v>1.8681504541587082</c:v>
                  </c:pt>
                </c:numCache>
              </c:numRef>
            </c:plus>
            <c:minus>
              <c:numRef>
                <c:f>RRB_all!$D$347</c:f>
                <c:numCache>
                  <c:formatCode>General</c:formatCode>
                  <c:ptCount val="1"/>
                  <c:pt idx="0">
                    <c:v>1.8681504541587082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RRB_all!$D$344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RRB_all!$D$346</c:f>
              <c:numCache>
                <c:formatCode>0.00</c:formatCode>
                <c:ptCount val="1"/>
                <c:pt idx="0">
                  <c:v>80.487804878048792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08-4740-B84E-1BB67743B2CD}"/>
            </c:ext>
          </c:extLst>
        </c:ser>
        <c:ser>
          <c:idx val="40"/>
          <c:order val="8"/>
          <c:tx>
            <c:strRef>
              <c:f>RRB_all!$D$388</c:f>
              <c:strCache>
                <c:ptCount val="1"/>
                <c:pt idx="0">
                  <c:v>W_19_OLI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F9DFF"/>
                </a:solidFill>
                <a:prstDash val="sysDash"/>
              </a:ln>
              <a:effectLst/>
            </c:spPr>
          </c:marker>
          <c:xVal>
            <c:numRef>
              <c:f>RRB_all!$D$392</c:f>
              <c:numCache>
                <c:formatCode>0.00</c:formatCode>
                <c:ptCount val="1"/>
                <c:pt idx="0">
                  <c:v>18.637662454662976</c:v>
                </c:pt>
              </c:numCache>
            </c:numRef>
          </c:xVal>
          <c:yVal>
            <c:numRef>
              <c:f>RRB_all!$D$394</c:f>
              <c:numCache>
                <c:formatCode>0.00</c:formatCode>
                <c:ptCount val="1"/>
                <c:pt idx="0">
                  <c:v>9.0909090909090917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08-4740-B84E-1BB67743B2CD}"/>
            </c:ext>
          </c:extLst>
        </c:ser>
        <c:ser>
          <c:idx val="44"/>
          <c:order val="9"/>
          <c:tx>
            <c:strRef>
              <c:f>RRB_all!$D$436</c:f>
              <c:strCache>
                <c:ptCount val="1"/>
                <c:pt idx="0">
                  <c:v>W_19_MSI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19050">
                <a:solidFill>
                  <a:srgbClr val="1F9DFF"/>
                </a:solidFill>
              </a:ln>
              <a:effectLst/>
            </c:spPr>
          </c:marker>
          <c:xVal>
            <c:numRef>
              <c:f>RRB_all!$D$440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RRB_all!$D$442</c:f>
              <c:numCache>
                <c:formatCode>0.00</c:formatCode>
                <c:ptCount val="1"/>
                <c:pt idx="0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08-4740-B84E-1BB67743B2CD}"/>
            </c:ext>
          </c:extLst>
        </c:ser>
        <c:ser>
          <c:idx val="49"/>
          <c:order val="10"/>
          <c:tx>
            <c:strRef>
              <c:f>RRB_all!$D$484</c:f>
              <c:strCache>
                <c:ptCount val="1"/>
                <c:pt idx="0">
                  <c:v>W_24_MSI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31750" cmpd="dbl">
                <a:solidFill>
                  <a:srgbClr val="1F9DFF"/>
                </a:solidFill>
                <a:prstDash val="solid"/>
              </a:ln>
              <a:effectLst/>
            </c:spPr>
          </c:marker>
          <c:xVal>
            <c:numRef>
              <c:f>RRB_all!$D$488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RRB_all!$D$490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08-4740-B84E-1BB67743B2CD}"/>
            </c:ext>
          </c:extLst>
        </c:ser>
        <c:ser>
          <c:idx val="9"/>
          <c:order val="11"/>
          <c:tx>
            <c:strRef>
              <c:f>RRB_all!$E$4</c:f>
              <c:strCache>
                <c:ptCount val="1"/>
                <c:pt idx="0">
                  <c:v>B_77_MSS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RRB_all!$E$9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RRB_all!$E$11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RRB_all!$E$11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RRB_all!$E$10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708-4740-B84E-1BB67743B2CD}"/>
            </c:ext>
          </c:extLst>
        </c:ser>
        <c:ser>
          <c:idx val="2"/>
          <c:order val="12"/>
          <c:tx>
            <c:strRef>
              <c:f>RRB_all!$E$52</c:f>
              <c:strCache>
                <c:ptCount val="1"/>
                <c:pt idx="0">
                  <c:v>B_88_MSS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chemeClr val="accent3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RRB_all!$E$59</c:f>
                <c:numCache>
                  <c:formatCode>General</c:formatCode>
                  <c:ptCount val="1"/>
                  <c:pt idx="0">
                    <c:v>13.093073414159543</c:v>
                  </c:pt>
                </c:numCache>
              </c:numRef>
            </c:plus>
            <c:minus>
              <c:numRef>
                <c:f>RRB_all!$E$59</c:f>
                <c:numCache>
                  <c:formatCode>General</c:formatCode>
                  <c:ptCount val="1"/>
                  <c:pt idx="0">
                    <c:v>13.093073414159543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RRB_all!$E$57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RRB_all!$E$57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xVal>
            <c:numRef>
              <c:f>RRB_all!$E$56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RRB_all!$E$58</c:f>
              <c:numCache>
                <c:formatCode>0.00</c:formatCode>
                <c:ptCount val="1"/>
                <c:pt idx="0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708-4740-B84E-1BB67743B2CD}"/>
            </c:ext>
          </c:extLst>
        </c:ser>
        <c:ser>
          <c:idx val="11"/>
          <c:order val="13"/>
          <c:tx>
            <c:strRef>
              <c:f>RRB_all!$E$100</c:f>
              <c:strCache>
                <c:ptCount val="1"/>
                <c:pt idx="0">
                  <c:v>B_88_TM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RRB_all!$E$105</c:f>
                <c:numCache>
                  <c:formatCode>General</c:formatCode>
                  <c:ptCount val="1"/>
                  <c:pt idx="0">
                    <c:v>4.63870055752753</c:v>
                  </c:pt>
                </c:numCache>
              </c:numRef>
            </c:plus>
            <c:minus>
              <c:numRef>
                <c:f>RRB_all!$E$105</c:f>
                <c:numCache>
                  <c:formatCode>General</c:formatCode>
                  <c:ptCount val="1"/>
                  <c:pt idx="0">
                    <c:v>4.63870055752753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RRB_all!$E$107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RRB_all!$E$107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RRB_all!$E$104</c:f>
              <c:numCache>
                <c:formatCode>0.00</c:formatCode>
                <c:ptCount val="1"/>
                <c:pt idx="0">
                  <c:v>86.862366905392705</c:v>
                </c:pt>
              </c:numCache>
            </c:numRef>
          </c:xVal>
          <c:yVal>
            <c:numRef>
              <c:f>RRB_all!$E$106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708-4740-B84E-1BB67743B2CD}"/>
            </c:ext>
          </c:extLst>
        </c:ser>
        <c:ser>
          <c:idx val="16"/>
          <c:order val="14"/>
          <c:tx>
            <c:strRef>
              <c:f>RRB_all!$E$148</c:f>
              <c:strCache>
                <c:ptCount val="1"/>
                <c:pt idx="0">
                  <c:v>B_91_TM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CACDDE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RRB_all!$E$153</c:f>
                <c:numCache>
                  <c:formatCode>General</c:formatCode>
                  <c:ptCount val="1"/>
                  <c:pt idx="0">
                    <c:v>6.6894426134528588</c:v>
                  </c:pt>
                </c:numCache>
              </c:numRef>
            </c:plus>
            <c:minus>
              <c:numRef>
                <c:f>RRB_all!$E$153</c:f>
                <c:numCache>
                  <c:formatCode>General</c:formatCode>
                  <c:ptCount val="1"/>
                  <c:pt idx="0">
                    <c:v>6.6894426134528588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RRB_all!$E$155</c:f>
                <c:numCache>
                  <c:formatCode>General</c:formatCode>
                  <c:ptCount val="1"/>
                  <c:pt idx="0">
                    <c:v>2.4588241692166193</c:v>
                  </c:pt>
                </c:numCache>
              </c:numRef>
            </c:plus>
            <c:minus>
              <c:numRef>
                <c:f>RRB_all!$E$155</c:f>
                <c:numCache>
                  <c:formatCode>General</c:formatCode>
                  <c:ptCount val="1"/>
                  <c:pt idx="0">
                    <c:v>2.4588241692166193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xVal>
            <c:numRef>
              <c:f>RRB_all!$E$152</c:f>
              <c:numCache>
                <c:formatCode>0.00</c:formatCode>
                <c:ptCount val="1"/>
                <c:pt idx="0">
                  <c:v>63.114883321545143</c:v>
                </c:pt>
              </c:numCache>
            </c:numRef>
          </c:xVal>
          <c:yVal>
            <c:numRef>
              <c:f>RRB_all!$E$154</c:f>
              <c:numCache>
                <c:formatCode>0.00</c:formatCode>
                <c:ptCount val="1"/>
                <c:pt idx="0">
                  <c:v>96.491228070175424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708-4740-B84E-1BB67743B2CD}"/>
            </c:ext>
          </c:extLst>
        </c:ser>
        <c:ser>
          <c:idx val="21"/>
          <c:order val="15"/>
          <c:tx>
            <c:strRef>
              <c:f>RRB_all!$E$196</c:f>
              <c:strCache>
                <c:ptCount val="1"/>
                <c:pt idx="0">
                  <c:v>B_01_TM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RRB_all!$E$201</c:f>
                <c:numCache>
                  <c:formatCode>General</c:formatCode>
                  <c:ptCount val="1"/>
                  <c:pt idx="0">
                    <c:v>1.2643538569128034</c:v>
                  </c:pt>
                </c:numCache>
              </c:numRef>
            </c:plus>
            <c:minus>
              <c:numRef>
                <c:f>RRB_all!$E$201</c:f>
                <c:numCache>
                  <c:formatCode>General</c:formatCode>
                  <c:ptCount val="1"/>
                  <c:pt idx="0">
                    <c:v>1.2643538569128034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RRB_all!$E$203</c:f>
                <c:numCache>
                  <c:formatCode>General</c:formatCode>
                  <c:ptCount val="1"/>
                  <c:pt idx="0">
                    <c:v>3.4134933513474275</c:v>
                  </c:pt>
                </c:numCache>
              </c:numRef>
            </c:plus>
            <c:minus>
              <c:numRef>
                <c:f>RRB_all!$E$203</c:f>
                <c:numCache>
                  <c:formatCode>General</c:formatCode>
                  <c:ptCount val="1"/>
                  <c:pt idx="0">
                    <c:v>3.4134933513474275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RRB_all!$E$200</c:f>
              <c:numCache>
                <c:formatCode>0.00</c:formatCode>
                <c:ptCount val="1"/>
                <c:pt idx="0">
                  <c:v>98.79866685319314</c:v>
                </c:pt>
              </c:numCache>
            </c:numRef>
          </c:xVal>
          <c:yVal>
            <c:numRef>
              <c:f>RRB_all!$E$202</c:f>
              <c:numCache>
                <c:formatCode>0.00</c:formatCode>
                <c:ptCount val="1"/>
                <c:pt idx="0">
                  <c:v>92.982456140350877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708-4740-B84E-1BB67743B2CD}"/>
            </c:ext>
          </c:extLst>
        </c:ser>
        <c:ser>
          <c:idx val="26"/>
          <c:order val="16"/>
          <c:tx>
            <c:strRef>
              <c:f>RRB_all!$E$244</c:f>
              <c:strCache>
                <c:ptCount val="1"/>
                <c:pt idx="0">
                  <c:v>B_07_ETM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RRB_all!$E$249</c:f>
                <c:numCache>
                  <c:formatCode>General</c:formatCode>
                  <c:ptCount val="1"/>
                  <c:pt idx="0">
                    <c:v>0.92125569640840632</c:v>
                  </c:pt>
                </c:numCache>
              </c:numRef>
            </c:plus>
            <c:minus>
              <c:numRef>
                <c:f>RRB_all!$E$249</c:f>
                <c:numCache>
                  <c:formatCode>General</c:formatCode>
                  <c:ptCount val="1"/>
                  <c:pt idx="0">
                    <c:v>0.92125569640840632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RRB_all!$E$251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RRB_all!$E$251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RRB_all!$E$248</c:f>
              <c:numCache>
                <c:formatCode>0.00</c:formatCode>
                <c:ptCount val="1"/>
                <c:pt idx="0">
                  <c:v>98.678872714950131</c:v>
                </c:pt>
              </c:numCache>
            </c:numRef>
          </c:xVal>
          <c:yVal>
            <c:numRef>
              <c:f>RRB_all!$E$250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708-4740-B84E-1BB67743B2CD}"/>
            </c:ext>
          </c:extLst>
        </c:ser>
        <c:ser>
          <c:idx val="31"/>
          <c:order val="17"/>
          <c:tx>
            <c:strRef>
              <c:f>RRB_all!$E$292</c:f>
              <c:strCache>
                <c:ptCount val="1"/>
                <c:pt idx="0">
                  <c:v>B_11_ETM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CACDDE">
                  <a:alpha val="20000"/>
                </a:srgbClr>
              </a:solidFill>
              <a:ln w="19050">
                <a:solidFill>
                  <a:srgbClr val="CACDDE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RRB_all!$E$297</c:f>
                <c:numCache>
                  <c:formatCode>General</c:formatCode>
                  <c:ptCount val="1"/>
                  <c:pt idx="0">
                    <c:v>1.7687365199545697</c:v>
                  </c:pt>
                </c:numCache>
              </c:numRef>
            </c:plus>
            <c:minus>
              <c:numRef>
                <c:f>RRB_all!$E$297</c:f>
                <c:numCache>
                  <c:formatCode>General</c:formatCode>
                  <c:ptCount val="1"/>
                  <c:pt idx="0">
                    <c:v>1.7687365199545697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RRB_all!$E$299</c:f>
                <c:numCache>
                  <c:formatCode>General</c:formatCode>
                  <c:ptCount val="1"/>
                  <c:pt idx="0">
                    <c:v>1.7543859649122773</c:v>
                  </c:pt>
                </c:numCache>
              </c:numRef>
            </c:plus>
            <c:minus>
              <c:numRef>
                <c:f>RRB_all!$E$299</c:f>
                <c:numCache>
                  <c:formatCode>General</c:formatCode>
                  <c:ptCount val="1"/>
                  <c:pt idx="0">
                    <c:v>1.7543859649122773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RRB_all!$E$296</c:f>
              <c:numCache>
                <c:formatCode>0.00</c:formatCode>
                <c:ptCount val="1"/>
                <c:pt idx="0">
                  <c:v>94.127731408382431</c:v>
                </c:pt>
              </c:numCache>
            </c:numRef>
          </c:xVal>
          <c:yVal>
            <c:numRef>
              <c:f>RRB_all!$E$298</c:f>
              <c:numCache>
                <c:formatCode>0.00</c:formatCode>
                <c:ptCount val="1"/>
                <c:pt idx="0">
                  <c:v>98.245614035087726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708-4740-B84E-1BB67743B2CD}"/>
            </c:ext>
          </c:extLst>
        </c:ser>
        <c:ser>
          <c:idx val="36"/>
          <c:order val="18"/>
          <c:tx>
            <c:strRef>
              <c:f>RRB_all!$E$340</c:f>
              <c:strCache>
                <c:ptCount val="1"/>
                <c:pt idx="0">
                  <c:v>B_15_OLI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RRB_all!$E$345</c:f>
                <c:numCache>
                  <c:formatCode>General</c:formatCode>
                  <c:ptCount val="1"/>
                  <c:pt idx="0">
                    <c:v>7.4391633015745233</c:v>
                  </c:pt>
                </c:numCache>
              </c:numRef>
            </c:plus>
            <c:minus>
              <c:numRef>
                <c:f>RRB_all!$E$345</c:f>
                <c:numCache>
                  <c:formatCode>General</c:formatCode>
                  <c:ptCount val="1"/>
                  <c:pt idx="0">
                    <c:v>7.4391633015745233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RRB_all!$E$347</c:f>
                <c:numCache>
                  <c:formatCode>General</c:formatCode>
                  <c:ptCount val="1"/>
                  <c:pt idx="0">
                    <c:v>2.4588241692166148</c:v>
                  </c:pt>
                </c:numCache>
              </c:numRef>
            </c:plus>
            <c:minus>
              <c:numRef>
                <c:f>RRB_all!$E$347</c:f>
                <c:numCache>
                  <c:formatCode>General</c:formatCode>
                  <c:ptCount val="1"/>
                  <c:pt idx="0">
                    <c:v>2.4588241692166148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RRB_all!$E$344</c:f>
              <c:numCache>
                <c:formatCode>0.00</c:formatCode>
                <c:ptCount val="1"/>
                <c:pt idx="0">
                  <c:v>88.851367868735252</c:v>
                </c:pt>
              </c:numCache>
            </c:numRef>
          </c:xVal>
          <c:yVal>
            <c:numRef>
              <c:f>RRB_all!$E$346</c:f>
              <c:numCache>
                <c:formatCode>0.00</c:formatCode>
                <c:ptCount val="1"/>
                <c:pt idx="0">
                  <c:v>96.491228070175438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708-4740-B84E-1BB67743B2CD}"/>
            </c:ext>
          </c:extLst>
        </c:ser>
        <c:ser>
          <c:idx val="41"/>
          <c:order val="19"/>
          <c:tx>
            <c:strRef>
              <c:f>RRB_all!$E$388</c:f>
              <c:strCache>
                <c:ptCount val="1"/>
                <c:pt idx="0">
                  <c:v>B_19_OLI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CACDDE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RRB_all!$E$393</c:f>
                <c:numCache>
                  <c:formatCode>General</c:formatCode>
                  <c:ptCount val="1"/>
                  <c:pt idx="0">
                    <c:v>8.5099752129247985</c:v>
                  </c:pt>
                </c:numCache>
              </c:numRef>
            </c:plus>
            <c:minus>
              <c:numRef>
                <c:f>RRB_all!$E$393</c:f>
                <c:numCache>
                  <c:formatCode>General</c:formatCode>
                  <c:ptCount val="1"/>
                  <c:pt idx="0">
                    <c:v>8.5099752129247985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RRB_all!$E$395</c:f>
                <c:numCache>
                  <c:formatCode>General</c:formatCode>
                  <c:ptCount val="1"/>
                  <c:pt idx="0">
                    <c:v>2.4588241692166148</c:v>
                  </c:pt>
                </c:numCache>
              </c:numRef>
            </c:plus>
            <c:minus>
              <c:numRef>
                <c:f>RRB_all!$E$395</c:f>
                <c:numCache>
                  <c:formatCode>General</c:formatCode>
                  <c:ptCount val="1"/>
                  <c:pt idx="0">
                    <c:v>2.4588241692166148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RRB_all!$E$392</c:f>
              <c:numCache>
                <c:formatCode>0.00</c:formatCode>
                <c:ptCount val="1"/>
                <c:pt idx="0">
                  <c:v>83.321823538797602</c:v>
                </c:pt>
              </c:numCache>
            </c:numRef>
          </c:xVal>
          <c:yVal>
            <c:numRef>
              <c:f>RRB_all!$E$394</c:f>
              <c:numCache>
                <c:formatCode>0.00</c:formatCode>
                <c:ptCount val="1"/>
                <c:pt idx="0">
                  <c:v>96.491228070175438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708-4740-B84E-1BB67743B2CD}"/>
            </c:ext>
          </c:extLst>
        </c:ser>
        <c:ser>
          <c:idx val="45"/>
          <c:order val="20"/>
          <c:tx>
            <c:strRef>
              <c:f>RRB_all!$E$436</c:f>
              <c:strCache>
                <c:ptCount val="1"/>
                <c:pt idx="0">
                  <c:v>B_19_MSI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RRB_all!$E$441</c:f>
                <c:numCache>
                  <c:formatCode>General</c:formatCode>
                  <c:ptCount val="1"/>
                  <c:pt idx="0">
                    <c:v>4.9991847269285401</c:v>
                  </c:pt>
                </c:numCache>
              </c:numRef>
            </c:plus>
            <c:minus>
              <c:numRef>
                <c:f>RRB_all!$E$441</c:f>
                <c:numCache>
                  <c:formatCode>General</c:formatCode>
                  <c:ptCount val="1"/>
                  <c:pt idx="0">
                    <c:v>4.9991847269285401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RRB_all!$E$443</c:f>
                <c:numCache>
                  <c:formatCode>General</c:formatCode>
                  <c:ptCount val="1"/>
                  <c:pt idx="0">
                    <c:v>4.166666666666667</c:v>
                  </c:pt>
                </c:numCache>
              </c:numRef>
            </c:plus>
            <c:minus>
              <c:numRef>
                <c:f>RRB_all!$E$443</c:f>
                <c:numCache>
                  <c:formatCode>General</c:formatCode>
                  <c:ptCount val="1"/>
                  <c:pt idx="0">
                    <c:v>4.166666666666667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RRB_all!$E$440</c:f>
              <c:numCache>
                <c:formatCode>0.00</c:formatCode>
                <c:ptCount val="1"/>
                <c:pt idx="0">
                  <c:v>88.155748523560035</c:v>
                </c:pt>
              </c:numCache>
            </c:numRef>
          </c:xVal>
          <c:yVal>
            <c:numRef>
              <c:f>RRB_all!$E$442</c:f>
              <c:numCache>
                <c:formatCode>0.00</c:formatCode>
                <c:ptCount val="1"/>
                <c:pt idx="0">
                  <c:v>87.5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708-4740-B84E-1BB67743B2CD}"/>
            </c:ext>
          </c:extLst>
        </c:ser>
        <c:ser>
          <c:idx val="50"/>
          <c:order val="21"/>
          <c:tx>
            <c:strRef>
              <c:f>RRB_all!$E$484</c:f>
              <c:strCache>
                <c:ptCount val="1"/>
                <c:pt idx="0">
                  <c:v>B_24_MSI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31750" cmpd="dbl">
                <a:solidFill>
                  <a:srgbClr val="CACDDE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RRB_all!$E$489</c:f>
                <c:numCache>
                  <c:formatCode>General</c:formatCode>
                  <c:ptCount val="1"/>
                  <c:pt idx="0">
                    <c:v>0.82454163313495754</c:v>
                  </c:pt>
                </c:numCache>
              </c:numRef>
            </c:plus>
            <c:minus>
              <c:numRef>
                <c:f>RRB_all!$E$489</c:f>
                <c:numCache>
                  <c:formatCode>General</c:formatCode>
                  <c:ptCount val="1"/>
                  <c:pt idx="0">
                    <c:v>0.82454163313495754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RRB_all!$E$491</c:f>
                <c:numCache>
                  <c:formatCode>General</c:formatCode>
                  <c:ptCount val="1"/>
                  <c:pt idx="0">
                    <c:v>4.3797805514170944</c:v>
                  </c:pt>
                </c:numCache>
              </c:numRef>
            </c:plus>
            <c:minus>
              <c:numRef>
                <c:f>RRB_all!$E$491</c:f>
                <c:numCache>
                  <c:formatCode>General</c:formatCode>
                  <c:ptCount val="1"/>
                  <c:pt idx="0">
                    <c:v>4.3797805514170944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RRB_all!$E$488</c:f>
              <c:numCache>
                <c:formatCode>0.00</c:formatCode>
                <c:ptCount val="1"/>
                <c:pt idx="0">
                  <c:v>99.259886526930188</c:v>
                </c:pt>
              </c:numCache>
            </c:numRef>
          </c:xVal>
          <c:yVal>
            <c:numRef>
              <c:f>RRB_all!$E$490</c:f>
              <c:numCache>
                <c:formatCode>0.00</c:formatCode>
                <c:ptCount val="1"/>
                <c:pt idx="0">
                  <c:v>85.9375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708-4740-B84E-1BB67743B2CD}"/>
            </c:ext>
          </c:extLst>
        </c:ser>
        <c:ser>
          <c:idx val="7"/>
          <c:order val="22"/>
          <c:tx>
            <c:strRef>
              <c:f>RRB_all!$F$4</c:f>
              <c:strCache>
                <c:ptCount val="1"/>
                <c:pt idx="0">
                  <c:v>A_77_MSS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RRB_all!$F$9</c:f>
                <c:numCache>
                  <c:formatCode>General</c:formatCode>
                  <c:ptCount val="1"/>
                  <c:pt idx="0">
                    <c:v>0.79631186619877692</c:v>
                  </c:pt>
                </c:numCache>
              </c:numRef>
            </c:plus>
            <c:minus>
              <c:numRef>
                <c:f>RRB_all!$F$9</c:f>
                <c:numCache>
                  <c:formatCode>General</c:formatCode>
                  <c:ptCount val="1"/>
                  <c:pt idx="0">
                    <c:v>0.79631186619877692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RRB_all!$F$11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RRB_all!$F$11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RRB_all!$F$8</c:f>
              <c:numCache>
                <c:formatCode>0.00</c:formatCode>
                <c:ptCount val="1"/>
                <c:pt idx="0">
                  <c:v>98.85075688832292</c:v>
                </c:pt>
              </c:numCache>
            </c:numRef>
          </c:xVal>
          <c:yVal>
            <c:numRef>
              <c:f>RRB_all!$F$10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708-4740-B84E-1BB67743B2CD}"/>
            </c:ext>
          </c:extLst>
        </c:ser>
        <c:ser>
          <c:idx val="3"/>
          <c:order val="23"/>
          <c:tx>
            <c:strRef>
              <c:f>RRB_all!$F$52</c:f>
              <c:strCache>
                <c:ptCount val="1"/>
                <c:pt idx="0">
                  <c:v>A_88_MSS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B1EE2D">
                    <a:alpha val="96000"/>
                  </a:srgbClr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RRB_all!$F$57</c:f>
                <c:numCache>
                  <c:formatCode>General</c:formatCode>
                  <c:ptCount val="1"/>
                  <c:pt idx="0">
                    <c:v>0.79812800929093619</c:v>
                  </c:pt>
                </c:numCache>
              </c:numRef>
            </c:plus>
            <c:minus>
              <c:numRef>
                <c:f>RRB_all!$F$57</c:f>
                <c:numCache>
                  <c:formatCode>General</c:formatCode>
                  <c:ptCount val="1"/>
                  <c:pt idx="0">
                    <c:v>0.79812800929093619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RRB_all!$F$59</c:f>
                <c:numCache>
                  <c:formatCode>General</c:formatCode>
                  <c:ptCount val="1"/>
                  <c:pt idx="0">
                    <c:v>0.99238711073977215</c:v>
                  </c:pt>
                </c:numCache>
              </c:numRef>
            </c:plus>
            <c:minus>
              <c:numRef>
                <c:f>RRB_all!$F$59</c:f>
                <c:numCache>
                  <c:formatCode>General</c:formatCode>
                  <c:ptCount val="1"/>
                  <c:pt idx="0">
                    <c:v>0.99238711073977215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xVal>
            <c:numRef>
              <c:f>RRB_all!$F$56</c:f>
              <c:numCache>
                <c:formatCode>0.00</c:formatCode>
                <c:ptCount val="1"/>
                <c:pt idx="0">
                  <c:v>96.535242971760297</c:v>
                </c:pt>
              </c:numCache>
            </c:numRef>
          </c:xVal>
          <c:yVal>
            <c:numRef>
              <c:f>RRB_all!$F$58</c:f>
              <c:numCache>
                <c:formatCode>0.00</c:formatCode>
                <c:ptCount val="1"/>
                <c:pt idx="0">
                  <c:v>98.591549295774641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708-4740-B84E-1BB67743B2CD}"/>
            </c:ext>
          </c:extLst>
        </c:ser>
        <c:ser>
          <c:idx val="12"/>
          <c:order val="24"/>
          <c:tx>
            <c:strRef>
              <c:f>RRB_all!$F$100</c:f>
              <c:strCache>
                <c:ptCount val="1"/>
                <c:pt idx="0">
                  <c:v>A_88_TM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B1EE2D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RRB_all!$F$105</c:f>
                <c:numCache>
                  <c:formatCode>General</c:formatCode>
                  <c:ptCount val="1"/>
                  <c:pt idx="0">
                    <c:v>0.40381620908914762</c:v>
                  </c:pt>
                </c:numCache>
              </c:numRef>
            </c:plus>
            <c:minus>
              <c:numRef>
                <c:f>RRB_all!$F$105</c:f>
                <c:numCache>
                  <c:formatCode>General</c:formatCode>
                  <c:ptCount val="1"/>
                  <c:pt idx="0">
                    <c:v>0.40381620908914762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RRB_all!$F$107</c:f>
                <c:numCache>
                  <c:formatCode>General</c:formatCode>
                  <c:ptCount val="1"/>
                  <c:pt idx="0">
                    <c:v>0.2346941488143626</c:v>
                  </c:pt>
                </c:numCache>
              </c:numRef>
            </c:plus>
            <c:minus>
              <c:numRef>
                <c:f>RRB_all!$F$107</c:f>
                <c:numCache>
                  <c:formatCode>General</c:formatCode>
                  <c:ptCount val="1"/>
                  <c:pt idx="0">
                    <c:v>0.2346941488143626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RRB_all!$F$104</c:f>
              <c:numCache>
                <c:formatCode>0.00</c:formatCode>
                <c:ptCount val="1"/>
                <c:pt idx="0">
                  <c:v>97.979806597933575</c:v>
                </c:pt>
              </c:numCache>
            </c:numRef>
          </c:xVal>
          <c:yVal>
            <c:numRef>
              <c:f>RRB_all!$F$106</c:f>
              <c:numCache>
                <c:formatCode>0.00</c:formatCode>
                <c:ptCount val="1"/>
                <c:pt idx="0">
                  <c:v>99.592944369063773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708-4740-B84E-1BB67743B2CD}"/>
            </c:ext>
          </c:extLst>
        </c:ser>
        <c:ser>
          <c:idx val="17"/>
          <c:order val="25"/>
          <c:tx>
            <c:strRef>
              <c:f>RRB_all!$F$148</c:f>
              <c:strCache>
                <c:ptCount val="1"/>
                <c:pt idx="0">
                  <c:v>A_91_TM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B1EE2D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RRB_all!$F$153</c:f>
                <c:numCache>
                  <c:formatCode>General</c:formatCode>
                  <c:ptCount val="1"/>
                  <c:pt idx="0">
                    <c:v>0.30927443114784831</c:v>
                  </c:pt>
                </c:numCache>
              </c:numRef>
            </c:plus>
            <c:minus>
              <c:numRef>
                <c:f>RRB_all!$F$153</c:f>
                <c:numCache>
                  <c:formatCode>General</c:formatCode>
                  <c:ptCount val="1"/>
                  <c:pt idx="0">
                    <c:v>0.30927443114784831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RRB_all!$F$155</c:f>
                <c:numCache>
                  <c:formatCode>General</c:formatCode>
                  <c:ptCount val="1"/>
                  <c:pt idx="0">
                    <c:v>0.65425039084076997</c:v>
                  </c:pt>
                </c:numCache>
              </c:numRef>
            </c:plus>
            <c:minus>
              <c:numRef>
                <c:f>RRB_all!$F$155</c:f>
                <c:numCache>
                  <c:formatCode>General</c:formatCode>
                  <c:ptCount val="1"/>
                  <c:pt idx="0">
                    <c:v>0.65425039084076997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xVal>
            <c:numRef>
              <c:f>RRB_all!$F$152</c:f>
              <c:numCache>
                <c:formatCode>0.00</c:formatCode>
                <c:ptCount val="1"/>
                <c:pt idx="0">
                  <c:v>98.837452385037693</c:v>
                </c:pt>
              </c:numCache>
            </c:numRef>
          </c:xVal>
          <c:yVal>
            <c:numRef>
              <c:f>RRB_all!$F$154</c:f>
              <c:numCache>
                <c:formatCode>0.00</c:formatCode>
                <c:ptCount val="1"/>
                <c:pt idx="0">
                  <c:v>96.743554952510181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708-4740-B84E-1BB67743B2CD}"/>
            </c:ext>
          </c:extLst>
        </c:ser>
        <c:ser>
          <c:idx val="22"/>
          <c:order val="26"/>
          <c:tx>
            <c:strRef>
              <c:f>RRB_all!$F$196</c:f>
              <c:strCache>
                <c:ptCount val="1"/>
                <c:pt idx="0">
                  <c:v>A_01_TM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RRB_all!$F$201</c:f>
                <c:numCache>
                  <c:formatCode>General</c:formatCode>
                  <c:ptCount val="1"/>
                  <c:pt idx="0">
                    <c:v>0.18810922406212408</c:v>
                  </c:pt>
                </c:numCache>
              </c:numRef>
            </c:plus>
            <c:minus>
              <c:numRef>
                <c:f>RRB_all!$F$201</c:f>
                <c:numCache>
                  <c:formatCode>General</c:formatCode>
                  <c:ptCount val="1"/>
                  <c:pt idx="0">
                    <c:v>0.18810922406212408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RRB_all!$F$203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plus>
            <c:minus>
              <c:numRef>
                <c:f>RRB_all!$F$203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RRB_all!$F$200</c:f>
              <c:numCache>
                <c:formatCode>0.00</c:formatCode>
                <c:ptCount val="1"/>
                <c:pt idx="0">
                  <c:v>99.241698575565096</c:v>
                </c:pt>
              </c:numCache>
            </c:numRef>
          </c:xVal>
          <c:yVal>
            <c:numRef>
              <c:f>RRB_all!$F$202</c:f>
              <c:numCache>
                <c:formatCode>0.00</c:formatCode>
                <c:ptCount val="1"/>
                <c:pt idx="0">
                  <c:v>99.864314789687924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0708-4740-B84E-1BB67743B2CD}"/>
            </c:ext>
          </c:extLst>
        </c:ser>
        <c:ser>
          <c:idx val="27"/>
          <c:order val="27"/>
          <c:tx>
            <c:strRef>
              <c:f>RRB_all!$F$244</c:f>
              <c:strCache>
                <c:ptCount val="1"/>
                <c:pt idx="0">
                  <c:v>A_07_ETM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RRB_all!$F$249</c:f>
                <c:numCache>
                  <c:formatCode>General</c:formatCode>
                  <c:ptCount val="1"/>
                  <c:pt idx="0">
                    <c:v>0.39845690455752458</c:v>
                  </c:pt>
                </c:numCache>
              </c:numRef>
            </c:plus>
            <c:minus>
              <c:numRef>
                <c:f>RRB_all!$F$249</c:f>
                <c:numCache>
                  <c:formatCode>General</c:formatCode>
                  <c:ptCount val="1"/>
                  <c:pt idx="0">
                    <c:v>0.39845690455752458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RRB_all!$F$251</c:f>
                <c:numCache>
                  <c:formatCode>General</c:formatCode>
                  <c:ptCount val="1"/>
                  <c:pt idx="0">
                    <c:v>0.31056016230667621</c:v>
                  </c:pt>
                </c:numCache>
              </c:numRef>
            </c:plus>
            <c:minus>
              <c:numRef>
                <c:f>RRB_all!$F$251</c:f>
                <c:numCache>
                  <c:formatCode>General</c:formatCode>
                  <c:ptCount val="1"/>
                  <c:pt idx="0">
                    <c:v>0.31056016230667621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RRB_all!$F$248</c:f>
              <c:numCache>
                <c:formatCode>0.00</c:formatCode>
                <c:ptCount val="1"/>
                <c:pt idx="0">
                  <c:v>97.652499104338204</c:v>
                </c:pt>
              </c:numCache>
            </c:numRef>
          </c:xVal>
          <c:yVal>
            <c:numRef>
              <c:f>RRB_all!$F$250</c:f>
              <c:numCache>
                <c:formatCode>0.00</c:formatCode>
                <c:ptCount val="1"/>
                <c:pt idx="0">
                  <c:v>99.30362116991644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708-4740-B84E-1BB67743B2CD}"/>
            </c:ext>
          </c:extLst>
        </c:ser>
        <c:ser>
          <c:idx val="32"/>
          <c:order val="28"/>
          <c:tx>
            <c:strRef>
              <c:f>RRB_all!$F$292</c:f>
              <c:strCache>
                <c:ptCount val="1"/>
                <c:pt idx="0">
                  <c:v>A_11_ETM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B1EE2D">
                  <a:alpha val="20000"/>
                </a:srgbClr>
              </a:solidFill>
              <a:ln w="19050">
                <a:solidFill>
                  <a:srgbClr val="B1EE2D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RRB_all!$F$297</c:f>
                <c:numCache>
                  <c:formatCode>General</c:formatCode>
                  <c:ptCount val="1"/>
                  <c:pt idx="0">
                    <c:v>0.18970017384731178</c:v>
                  </c:pt>
                </c:numCache>
              </c:numRef>
            </c:plus>
            <c:minus>
              <c:numRef>
                <c:f>RRB_all!$F$297</c:f>
                <c:numCache>
                  <c:formatCode>General</c:formatCode>
                  <c:ptCount val="1"/>
                  <c:pt idx="0">
                    <c:v>0.18970017384731178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RRB_all!$F$299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plus>
            <c:minus>
              <c:numRef>
                <c:f>RRB_all!$F$299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RRB_all!$F$296</c:f>
              <c:numCache>
                <c:formatCode>0.00</c:formatCode>
                <c:ptCount val="1"/>
                <c:pt idx="0">
                  <c:v>99.488763222465778</c:v>
                </c:pt>
              </c:numCache>
            </c:numRef>
          </c:xVal>
          <c:yVal>
            <c:numRef>
              <c:f>RRB_all!$F$298</c:f>
              <c:numCache>
                <c:formatCode>0.00</c:formatCode>
                <c:ptCount val="1"/>
                <c:pt idx="0">
                  <c:v>99.864314789687924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708-4740-B84E-1BB67743B2CD}"/>
            </c:ext>
          </c:extLst>
        </c:ser>
        <c:ser>
          <c:idx val="37"/>
          <c:order val="29"/>
          <c:tx>
            <c:strRef>
              <c:f>RRB_all!$F$340</c:f>
              <c:strCache>
                <c:ptCount val="1"/>
                <c:pt idx="0">
                  <c:v>A_15_OLI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RRB_all!$F$345</c:f>
                <c:numCache>
                  <c:formatCode>General</c:formatCode>
                  <c:ptCount val="1"/>
                  <c:pt idx="0">
                    <c:v>0.16397476248663884</c:v>
                  </c:pt>
                </c:numCache>
              </c:numRef>
            </c:plus>
            <c:minus>
              <c:numRef>
                <c:f>RRB_all!$F$345</c:f>
                <c:numCache>
                  <c:formatCode>General</c:formatCode>
                  <c:ptCount val="1"/>
                  <c:pt idx="0">
                    <c:v>0.16397476248663884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RRB_all!$F$347</c:f>
                <c:numCache>
                  <c:formatCode>General</c:formatCode>
                  <c:ptCount val="1"/>
                  <c:pt idx="0">
                    <c:v>0.19175746172356631</c:v>
                  </c:pt>
                </c:numCache>
              </c:numRef>
            </c:plus>
            <c:minus>
              <c:numRef>
                <c:f>RRB_all!$F$347</c:f>
                <c:numCache>
                  <c:formatCode>General</c:formatCode>
                  <c:ptCount val="1"/>
                  <c:pt idx="0">
                    <c:v>0.19175746172356631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RRB_all!$F$344</c:f>
              <c:numCache>
                <c:formatCode>0.00</c:formatCode>
                <c:ptCount val="1"/>
                <c:pt idx="0">
                  <c:v>99.683049426169603</c:v>
                </c:pt>
              </c:numCache>
            </c:numRef>
          </c:xVal>
          <c:yVal>
            <c:numRef>
              <c:f>RRB_all!$F$346</c:f>
              <c:numCache>
                <c:formatCode>0.00</c:formatCode>
                <c:ptCount val="1"/>
                <c:pt idx="0">
                  <c:v>99.728629579375848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708-4740-B84E-1BB67743B2CD}"/>
            </c:ext>
          </c:extLst>
        </c:ser>
        <c:ser>
          <c:idx val="54"/>
          <c:order val="30"/>
          <c:tx>
            <c:strRef>
              <c:f>RRB_all!$F$388</c:f>
              <c:strCache>
                <c:ptCount val="1"/>
                <c:pt idx="0">
                  <c:v>A_19_OLI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B1EE2D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RRB_all!$F$393</c:f>
                <c:numCache>
                  <c:formatCode>General</c:formatCode>
                  <c:ptCount val="1"/>
                  <c:pt idx="0">
                    <c:v>0.16419115828813854</c:v>
                  </c:pt>
                </c:numCache>
              </c:numRef>
            </c:plus>
            <c:minus>
              <c:numRef>
                <c:f>RRB_all!$F$393</c:f>
                <c:numCache>
                  <c:formatCode>General</c:formatCode>
                  <c:ptCount val="1"/>
                  <c:pt idx="0">
                    <c:v>0.16419115828813854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RRB_all!$F$395</c:f>
                <c:numCache>
                  <c:formatCode>General</c:formatCode>
                  <c:ptCount val="1"/>
                  <c:pt idx="0">
                    <c:v>0.15151515151514658</c:v>
                  </c:pt>
                </c:numCache>
              </c:numRef>
            </c:plus>
            <c:minus>
              <c:numRef>
                <c:f>RRB_all!$F$395</c:f>
                <c:numCache>
                  <c:formatCode>General</c:formatCode>
                  <c:ptCount val="1"/>
                  <c:pt idx="0">
                    <c:v>0.15151515151514658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RRB_all!$F$392</c:f>
              <c:numCache>
                <c:formatCode>0.00</c:formatCode>
                <c:ptCount val="1"/>
                <c:pt idx="0">
                  <c:v>99.242574535516596</c:v>
                </c:pt>
              </c:numCache>
            </c:numRef>
          </c:xVal>
          <c:yVal>
            <c:numRef>
              <c:f>RRB_all!$F$394</c:f>
              <c:numCache>
                <c:formatCode>0.00</c:formatCode>
                <c:ptCount val="1"/>
                <c:pt idx="0">
                  <c:v>99.848484848484858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0708-4740-B84E-1BB67743B2CD}"/>
            </c:ext>
          </c:extLst>
        </c:ser>
        <c:ser>
          <c:idx val="46"/>
          <c:order val="31"/>
          <c:tx>
            <c:strRef>
              <c:f>RRB_all!$F$436</c:f>
              <c:strCache>
                <c:ptCount val="1"/>
                <c:pt idx="0">
                  <c:v>A_19_MSI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RRB_all!$F$441</c:f>
                <c:numCache>
                  <c:formatCode>General</c:formatCode>
                  <c:ptCount val="1"/>
                  <c:pt idx="0">
                    <c:v>0.66097185068799191</c:v>
                  </c:pt>
                </c:numCache>
              </c:numRef>
            </c:plus>
            <c:minus>
              <c:numRef>
                <c:f>RRB_all!$F$441</c:f>
                <c:numCache>
                  <c:formatCode>General</c:formatCode>
                  <c:ptCount val="1"/>
                  <c:pt idx="0">
                    <c:v>0.66097185068799191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RRB_all!$F$443</c:f>
                <c:numCache>
                  <c:formatCode>General</c:formatCode>
                  <c:ptCount val="1"/>
                  <c:pt idx="0">
                    <c:v>0.560706749365393</c:v>
                  </c:pt>
                </c:numCache>
              </c:numRef>
            </c:plus>
            <c:minus>
              <c:numRef>
                <c:f>RRB_all!$F$443</c:f>
                <c:numCache>
                  <c:formatCode>General</c:formatCode>
                  <c:ptCount val="1"/>
                  <c:pt idx="0">
                    <c:v>0.560706749365393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RRB_all!$F$440</c:f>
              <c:numCache>
                <c:formatCode>0.00</c:formatCode>
                <c:ptCount val="1"/>
                <c:pt idx="0">
                  <c:v>94.78796383219894</c:v>
                </c:pt>
              </c:numCache>
            </c:numRef>
          </c:xVal>
          <c:yVal>
            <c:numRef>
              <c:f>RRB_all!$F$442</c:f>
              <c:numCache>
                <c:formatCode>0.00</c:formatCode>
                <c:ptCount val="1"/>
                <c:pt idx="0">
                  <c:v>97.593582887700549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0708-4740-B84E-1BB67743B2CD}"/>
            </c:ext>
          </c:extLst>
        </c:ser>
        <c:ser>
          <c:idx val="51"/>
          <c:order val="32"/>
          <c:tx>
            <c:strRef>
              <c:f>RRB_all!$F$484</c:f>
              <c:strCache>
                <c:ptCount val="1"/>
                <c:pt idx="0">
                  <c:v>A_24_MSI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31750" cmpd="dbl">
                <a:solidFill>
                  <a:srgbClr val="B1EE2D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RRB_all!$F$489</c:f>
                <c:numCache>
                  <c:formatCode>General</c:formatCode>
                  <c:ptCount val="1"/>
                  <c:pt idx="0">
                    <c:v>0.50939438123577674</c:v>
                  </c:pt>
                </c:numCache>
              </c:numRef>
            </c:plus>
            <c:minus>
              <c:numRef>
                <c:f>RRB_all!$F$489</c:f>
                <c:numCache>
                  <c:formatCode>General</c:formatCode>
                  <c:ptCount val="1"/>
                  <c:pt idx="0">
                    <c:v>0.50939438123577674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RRB_all!$F$491</c:f>
                <c:numCache>
                  <c:formatCode>General</c:formatCode>
                  <c:ptCount val="1"/>
                  <c:pt idx="0">
                    <c:v>0.47813820512740118</c:v>
                  </c:pt>
                </c:numCache>
              </c:numRef>
            </c:plus>
            <c:minus>
              <c:numRef>
                <c:f>RRB_all!$F$491</c:f>
                <c:numCache>
                  <c:formatCode>General</c:formatCode>
                  <c:ptCount val="1"/>
                  <c:pt idx="0">
                    <c:v>0.47813820512740118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RRB_all!$F$488</c:f>
              <c:numCache>
                <c:formatCode>0.00</c:formatCode>
                <c:ptCount val="1"/>
                <c:pt idx="0">
                  <c:v>96.34502163171301</c:v>
                </c:pt>
              </c:numCache>
            </c:numRef>
          </c:xVal>
          <c:yVal>
            <c:numRef>
              <c:f>RRB_all!$F$490</c:f>
              <c:numCache>
                <c:formatCode>0.00</c:formatCode>
                <c:ptCount val="1"/>
                <c:pt idx="0">
                  <c:v>98.262032085561501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0708-4740-B84E-1BB67743B2CD}"/>
            </c:ext>
          </c:extLst>
        </c:ser>
        <c:ser>
          <c:idx val="0"/>
          <c:order val="33"/>
          <c:tx>
            <c:strRef>
              <c:f>RRB_all!$G$4</c:f>
              <c:strCache>
                <c:ptCount val="1"/>
                <c:pt idx="0">
                  <c:v>F_77_MSS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RRB_all!$G$9</c:f>
                <c:numCache>
                  <c:formatCode>General</c:formatCode>
                  <c:ptCount val="1"/>
                  <c:pt idx="0">
                    <c:v>0.91866069291988228</c:v>
                  </c:pt>
                </c:numCache>
              </c:numRef>
            </c:plus>
            <c:minus>
              <c:numRef>
                <c:f>RRB_all!$G$9</c:f>
                <c:numCache>
                  <c:formatCode>General</c:formatCode>
                  <c:ptCount val="1"/>
                  <c:pt idx="0">
                    <c:v>0.91866069291988228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RRB_all!$G$11</c:f>
                <c:numCache>
                  <c:formatCode>General</c:formatCode>
                  <c:ptCount val="1"/>
                  <c:pt idx="0">
                    <c:v>1.5309531175003726</c:v>
                  </c:pt>
                </c:numCache>
              </c:numRef>
            </c:plus>
            <c:minus>
              <c:numRef>
                <c:f>RRB_all!$G$11</c:f>
                <c:numCache>
                  <c:formatCode>General</c:formatCode>
                  <c:ptCount val="1"/>
                  <c:pt idx="0">
                    <c:v>1.5309531175003726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RRB_all!$G$8</c:f>
              <c:numCache>
                <c:formatCode>0.00</c:formatCode>
                <c:ptCount val="1"/>
                <c:pt idx="0">
                  <c:v>95.489219231114959</c:v>
                </c:pt>
              </c:numCache>
            </c:numRef>
          </c:xVal>
          <c:yVal>
            <c:numRef>
              <c:f>RRB_all!$G$10</c:f>
              <c:numCache>
                <c:formatCode>0.00</c:formatCode>
                <c:ptCount val="1"/>
                <c:pt idx="0">
                  <c:v>96.527777777777786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0708-4740-B84E-1BB67743B2CD}"/>
            </c:ext>
          </c:extLst>
        </c:ser>
        <c:ser>
          <c:idx val="4"/>
          <c:order val="34"/>
          <c:tx>
            <c:strRef>
              <c:f>RRB_all!$G$52</c:f>
              <c:strCache>
                <c:ptCount val="1"/>
                <c:pt idx="0">
                  <c:v>F_88_MSS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RRB_all!$G$57</c:f>
                <c:numCache>
                  <c:formatCode>General</c:formatCode>
                  <c:ptCount val="1"/>
                  <c:pt idx="0">
                    <c:v>2.0011076673482431</c:v>
                  </c:pt>
                </c:numCache>
              </c:numRef>
            </c:plus>
            <c:minus>
              <c:numRef>
                <c:f>RRB_all!$G$57</c:f>
                <c:numCache>
                  <c:formatCode>General</c:formatCode>
                  <c:ptCount val="1"/>
                  <c:pt idx="0">
                    <c:v>2.0011076673482431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RRB_all!$G$59</c:f>
                <c:numCache>
                  <c:formatCode>General</c:formatCode>
                  <c:ptCount val="1"/>
                  <c:pt idx="0">
                    <c:v>2.7656104929294361</c:v>
                  </c:pt>
                </c:numCache>
              </c:numRef>
            </c:plus>
            <c:minus>
              <c:numRef>
                <c:f>RRB_all!$G$59</c:f>
                <c:numCache>
                  <c:formatCode>General</c:formatCode>
                  <c:ptCount val="1"/>
                  <c:pt idx="0">
                    <c:v>2.7656104929294361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prstDash val="solid"/>
                <a:round/>
              </a:ln>
              <a:effectLst/>
            </c:spPr>
          </c:errBars>
          <c:xVal>
            <c:numRef>
              <c:f>RRB_all!$G$56</c:f>
              <c:numCache>
                <c:formatCode>0.00</c:formatCode>
                <c:ptCount val="1"/>
                <c:pt idx="0">
                  <c:v>94.406392232822043</c:v>
                </c:pt>
              </c:numCache>
            </c:numRef>
          </c:xVal>
          <c:yVal>
            <c:numRef>
              <c:f>RRB_all!$G$58</c:f>
              <c:numCache>
                <c:formatCode>0.00</c:formatCode>
                <c:ptCount val="1"/>
                <c:pt idx="0">
                  <c:v>87.5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0708-4740-B84E-1BB67743B2CD}"/>
            </c:ext>
          </c:extLst>
        </c:ser>
        <c:ser>
          <c:idx val="13"/>
          <c:order val="35"/>
          <c:tx>
            <c:strRef>
              <c:f>RRB_all!$G$100</c:f>
              <c:strCache>
                <c:ptCount val="1"/>
                <c:pt idx="0">
                  <c:v>F_88_TM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 cmpd="sng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RRB_all!$G$105</c:f>
                <c:numCache>
                  <c:formatCode>General</c:formatCode>
                  <c:ptCount val="1"/>
                  <c:pt idx="0">
                    <c:v>0.46913011862175175</c:v>
                  </c:pt>
                </c:numCache>
              </c:numRef>
            </c:plus>
            <c:minus>
              <c:numRef>
                <c:f>RRB_all!$G$105</c:f>
                <c:numCache>
                  <c:formatCode>General</c:formatCode>
                  <c:ptCount val="1"/>
                  <c:pt idx="0">
                    <c:v>0.46913011862175175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RRB_all!$G$107</c:f>
                <c:numCache>
                  <c:formatCode>General</c:formatCode>
                  <c:ptCount val="1"/>
                  <c:pt idx="0">
                    <c:v>1.1412484385858428</c:v>
                  </c:pt>
                </c:numCache>
              </c:numRef>
            </c:plus>
            <c:minus>
              <c:numRef>
                <c:f>RRB_all!$G$107</c:f>
                <c:numCache>
                  <c:formatCode>General</c:formatCode>
                  <c:ptCount val="1"/>
                  <c:pt idx="0">
                    <c:v>1.1412484385858428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RRB_all!$G$104</c:f>
              <c:numCache>
                <c:formatCode>0.00</c:formatCode>
                <c:ptCount val="1"/>
                <c:pt idx="0">
                  <c:v>98.030132383145911</c:v>
                </c:pt>
              </c:numCache>
            </c:numRef>
          </c:xVal>
          <c:yVal>
            <c:numRef>
              <c:f>RRB_all!$G$106</c:f>
              <c:numCache>
                <c:formatCode>0.00</c:formatCode>
                <c:ptCount val="1"/>
                <c:pt idx="0">
                  <c:v>91.75257731958763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0708-4740-B84E-1BB67743B2CD}"/>
            </c:ext>
          </c:extLst>
        </c:ser>
        <c:ser>
          <c:idx val="18"/>
          <c:order val="36"/>
          <c:tx>
            <c:strRef>
              <c:f>RRB_all!$G$148</c:f>
              <c:strCache>
                <c:ptCount val="1"/>
                <c:pt idx="0">
                  <c:v>F_91_TM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RRB_all!$G$153</c:f>
                <c:numCache>
                  <c:formatCode>General</c:formatCode>
                  <c:ptCount val="1"/>
                  <c:pt idx="0">
                    <c:v>1.004030974787786</c:v>
                  </c:pt>
                </c:numCache>
              </c:numRef>
            </c:plus>
            <c:minus>
              <c:numRef>
                <c:f>RRB_all!$G$153</c:f>
                <c:numCache>
                  <c:formatCode>General</c:formatCode>
                  <c:ptCount val="1"/>
                  <c:pt idx="0">
                    <c:v>1.004030974787786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RRB_all!$G$155</c:f>
                <c:numCache>
                  <c:formatCode>General</c:formatCode>
                  <c:ptCount val="1"/>
                  <c:pt idx="0">
                    <c:v>0.93163457010175987</c:v>
                  </c:pt>
                </c:numCache>
              </c:numRef>
            </c:plus>
            <c:minus>
              <c:numRef>
                <c:f>RRB_all!$G$155</c:f>
                <c:numCache>
                  <c:formatCode>General</c:formatCode>
                  <c:ptCount val="1"/>
                  <c:pt idx="0">
                    <c:v>0.93163457010175987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prstDash val="sysDash"/>
                <a:round/>
              </a:ln>
              <a:effectLst/>
            </c:spPr>
          </c:errBars>
          <c:xVal>
            <c:numRef>
              <c:f>RRB_all!$G$152</c:f>
              <c:numCache>
                <c:formatCode>0.00</c:formatCode>
                <c:ptCount val="1"/>
                <c:pt idx="0">
                  <c:v>95.141137497865557</c:v>
                </c:pt>
              </c:numCache>
            </c:numRef>
          </c:xVal>
          <c:yVal>
            <c:numRef>
              <c:f>RRB_all!$G$154</c:f>
              <c:numCache>
                <c:formatCode>0.00</c:formatCode>
                <c:ptCount val="1"/>
                <c:pt idx="0">
                  <c:v>94.673539518900341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0708-4740-B84E-1BB67743B2CD}"/>
            </c:ext>
          </c:extLst>
        </c:ser>
        <c:ser>
          <c:idx val="23"/>
          <c:order val="37"/>
          <c:tx>
            <c:strRef>
              <c:f>RRB_all!$G$196</c:f>
              <c:strCache>
                <c:ptCount val="1"/>
                <c:pt idx="0">
                  <c:v>F_01_TM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RRB_all!$G$201</c:f>
                <c:numCache>
                  <c:formatCode>General</c:formatCode>
                  <c:ptCount val="1"/>
                  <c:pt idx="0">
                    <c:v>0.2842764990664271</c:v>
                  </c:pt>
                </c:numCache>
              </c:numRef>
            </c:plus>
            <c:minus>
              <c:numRef>
                <c:f>RRB_all!$G$201</c:f>
                <c:numCache>
                  <c:formatCode>General</c:formatCode>
                  <c:ptCount val="1"/>
                  <c:pt idx="0">
                    <c:v>0.2842764990664271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RRB_all!$G$203</c:f>
                <c:numCache>
                  <c:formatCode>General</c:formatCode>
                  <c:ptCount val="1"/>
                  <c:pt idx="0">
                    <c:v>0.65739456332296642</c:v>
                  </c:pt>
                </c:numCache>
              </c:numRef>
            </c:plus>
            <c:minus>
              <c:numRef>
                <c:f>RRB_all!$G$203</c:f>
                <c:numCache>
                  <c:formatCode>General</c:formatCode>
                  <c:ptCount val="1"/>
                  <c:pt idx="0">
                    <c:v>0.65739456332296642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RRB_all!$G$200</c:f>
              <c:numCache>
                <c:formatCode>0.00</c:formatCode>
                <c:ptCount val="1"/>
                <c:pt idx="0">
                  <c:v>99.221205550886538</c:v>
                </c:pt>
              </c:numCache>
            </c:numRef>
          </c:xVal>
          <c:yVal>
            <c:numRef>
              <c:f>RRB_all!$G$202</c:f>
              <c:numCache>
                <c:formatCode>0.00</c:formatCode>
                <c:ptCount val="1"/>
                <c:pt idx="0">
                  <c:v>97.422680412371136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0708-4740-B84E-1BB67743B2CD}"/>
            </c:ext>
          </c:extLst>
        </c:ser>
        <c:ser>
          <c:idx val="28"/>
          <c:order val="38"/>
          <c:tx>
            <c:strRef>
              <c:f>RRB_all!$G$244</c:f>
              <c:strCache>
                <c:ptCount val="1"/>
                <c:pt idx="0">
                  <c:v>F_07_ETM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RRB_all!$G$249</c:f>
                <c:numCache>
                  <c:formatCode>General</c:formatCode>
                  <c:ptCount val="1"/>
                  <c:pt idx="0">
                    <c:v>0.60295328303488727</c:v>
                  </c:pt>
                </c:numCache>
              </c:numRef>
            </c:plus>
            <c:minus>
              <c:numRef>
                <c:f>RRB_all!$G$249</c:f>
                <c:numCache>
                  <c:formatCode>General</c:formatCode>
                  <c:ptCount val="1"/>
                  <c:pt idx="0">
                    <c:v>0.60295328303488727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RRB_all!$G$251</c:f>
                <c:numCache>
                  <c:formatCode>General</c:formatCode>
                  <c:ptCount val="1"/>
                  <c:pt idx="0">
                    <c:v>0.91779382641286622</c:v>
                  </c:pt>
                </c:numCache>
              </c:numRef>
            </c:plus>
            <c:minus>
              <c:numRef>
                <c:f>RRB_all!$G$251</c:f>
                <c:numCache>
                  <c:formatCode>General</c:formatCode>
                  <c:ptCount val="1"/>
                  <c:pt idx="0">
                    <c:v>0.91779382641286622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RRB_all!$G$248</c:f>
              <c:numCache>
                <c:formatCode>0.00</c:formatCode>
                <c:ptCount val="1"/>
                <c:pt idx="0">
                  <c:v>98.33232169578622</c:v>
                </c:pt>
              </c:numCache>
            </c:numRef>
          </c:xVal>
          <c:yVal>
            <c:numRef>
              <c:f>RRB_all!$G$250</c:f>
              <c:numCache>
                <c:formatCode>0.00</c:formatCode>
                <c:ptCount val="1"/>
                <c:pt idx="0">
                  <c:v>96.508728179551113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0708-4740-B84E-1BB67743B2CD}"/>
            </c:ext>
          </c:extLst>
        </c:ser>
        <c:ser>
          <c:idx val="33"/>
          <c:order val="39"/>
          <c:tx>
            <c:strRef>
              <c:f>RRB_all!$G$292</c:f>
              <c:strCache>
                <c:ptCount val="1"/>
                <c:pt idx="0">
                  <c:v>F_11_ETM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149721">
                  <a:alpha val="20000"/>
                </a:srgbClr>
              </a:solidFill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RRB_all!$G$297</c:f>
                <c:numCache>
                  <c:formatCode>General</c:formatCode>
                  <c:ptCount val="1"/>
                  <c:pt idx="0">
                    <c:v>0.28380854209175477</c:v>
                  </c:pt>
                </c:numCache>
              </c:numRef>
            </c:plus>
            <c:minus>
              <c:numRef>
                <c:f>RRB_all!$G$297</c:f>
                <c:numCache>
                  <c:formatCode>General</c:formatCode>
                  <c:ptCount val="1"/>
                  <c:pt idx="0">
                    <c:v>0.28380854209175477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RRB_all!$G$299</c:f>
                <c:numCache>
                  <c:formatCode>General</c:formatCode>
                  <c:ptCount val="1"/>
                  <c:pt idx="0">
                    <c:v>0.58954505375429189</c:v>
                  </c:pt>
                </c:numCache>
              </c:numRef>
            </c:plus>
            <c:minus>
              <c:numRef>
                <c:f>RRB_all!$G$299</c:f>
                <c:numCache>
                  <c:formatCode>General</c:formatCode>
                  <c:ptCount val="1"/>
                  <c:pt idx="0">
                    <c:v>0.58954505375429189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RRB_all!$G$296</c:f>
              <c:numCache>
                <c:formatCode>0.00</c:formatCode>
                <c:ptCount val="1"/>
                <c:pt idx="0">
                  <c:v>98.90995720008668</c:v>
                </c:pt>
              </c:numCache>
            </c:numRef>
          </c:xVal>
          <c:yVal>
            <c:numRef>
              <c:f>RRB_all!$G$298</c:f>
              <c:numCache>
                <c:formatCode>0.00</c:formatCode>
                <c:ptCount val="1"/>
                <c:pt idx="0">
                  <c:v>97.9381443298969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0708-4740-B84E-1BB67743B2CD}"/>
            </c:ext>
          </c:extLst>
        </c:ser>
        <c:ser>
          <c:idx val="38"/>
          <c:order val="40"/>
          <c:tx>
            <c:strRef>
              <c:f>RRB_all!$G$340</c:f>
              <c:strCache>
                <c:ptCount val="1"/>
                <c:pt idx="0">
                  <c:v>F_15_OLI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RRB_all!$G$345</c:f>
                <c:numCache>
                  <c:formatCode>General</c:formatCode>
                  <c:ptCount val="1"/>
                  <c:pt idx="0">
                    <c:v>0.41095659350023561</c:v>
                  </c:pt>
                </c:numCache>
              </c:numRef>
            </c:plus>
            <c:minus>
              <c:numRef>
                <c:f>RRB_all!$G$345</c:f>
                <c:numCache>
                  <c:formatCode>General</c:formatCode>
                  <c:ptCount val="1"/>
                  <c:pt idx="0">
                    <c:v>0.41095659350023561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RRB_all!$G$347</c:f>
                <c:numCache>
                  <c:formatCode>General</c:formatCode>
                  <c:ptCount val="1"/>
                  <c:pt idx="0">
                    <c:v>0.64197928239881541</c:v>
                  </c:pt>
                </c:numCache>
              </c:numRef>
            </c:plus>
            <c:minus>
              <c:numRef>
                <c:f>RRB_all!$G$347</c:f>
                <c:numCache>
                  <c:formatCode>General</c:formatCode>
                  <c:ptCount val="1"/>
                  <c:pt idx="0">
                    <c:v>0.64197928239881541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RRB_all!$G$344</c:f>
              <c:numCache>
                <c:formatCode>0.00</c:formatCode>
                <c:ptCount val="1"/>
                <c:pt idx="0">
                  <c:v>98.553814253377908</c:v>
                </c:pt>
              </c:numCache>
            </c:numRef>
          </c:xVal>
          <c:yVal>
            <c:numRef>
              <c:f>RRB_all!$G$346</c:f>
              <c:numCache>
                <c:formatCode>0.00</c:formatCode>
                <c:ptCount val="1"/>
                <c:pt idx="0">
                  <c:v>97.752808988764045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0708-4740-B84E-1BB67743B2CD}"/>
            </c:ext>
          </c:extLst>
        </c:ser>
        <c:ser>
          <c:idx val="42"/>
          <c:order val="41"/>
          <c:tx>
            <c:strRef>
              <c:f>RRB_all!$G$388</c:f>
              <c:strCache>
                <c:ptCount val="1"/>
                <c:pt idx="0">
                  <c:v>F_19_OLI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49721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RRB_all!$G$393</c:f>
                <c:numCache>
                  <c:formatCode>General</c:formatCode>
                  <c:ptCount val="1"/>
                  <c:pt idx="0">
                    <c:v>0.32214844962137273</c:v>
                  </c:pt>
                </c:numCache>
              </c:numRef>
            </c:plus>
            <c:minus>
              <c:numRef>
                <c:f>RRB_all!$G$393</c:f>
                <c:numCache>
                  <c:formatCode>General</c:formatCode>
                  <c:ptCount val="1"/>
                  <c:pt idx="0">
                    <c:v>0.32214844962137273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RRB_all!$G$395</c:f>
                <c:numCache>
                  <c:formatCode>General</c:formatCode>
                  <c:ptCount val="1"/>
                  <c:pt idx="0">
                    <c:v>0.56494132717154499</c:v>
                  </c:pt>
                </c:numCache>
              </c:numRef>
            </c:plus>
            <c:minus>
              <c:numRef>
                <c:f>RRB_all!$G$395</c:f>
                <c:numCache>
                  <c:formatCode>General</c:formatCode>
                  <c:ptCount val="1"/>
                  <c:pt idx="0">
                    <c:v>0.56494132717154499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RRB_all!$G$392</c:f>
              <c:numCache>
                <c:formatCode>0.00</c:formatCode>
                <c:ptCount val="1"/>
                <c:pt idx="0">
                  <c:v>98.526760953433183</c:v>
                </c:pt>
              </c:numCache>
            </c:numRef>
          </c:xVal>
          <c:yVal>
            <c:numRef>
              <c:f>RRB_all!$G$394</c:f>
              <c:numCache>
                <c:formatCode>0.00</c:formatCode>
                <c:ptCount val="1"/>
                <c:pt idx="0">
                  <c:v>98.109965635738845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0708-4740-B84E-1BB67743B2CD}"/>
            </c:ext>
          </c:extLst>
        </c:ser>
        <c:ser>
          <c:idx val="47"/>
          <c:order val="42"/>
          <c:tx>
            <c:strRef>
              <c:f>RRB_all!$G$436</c:f>
              <c:strCache>
                <c:ptCount val="1"/>
                <c:pt idx="0">
                  <c:v>F_19_MSI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RRB_all!$G$441</c:f>
                <c:numCache>
                  <c:formatCode>General</c:formatCode>
                  <c:ptCount val="1"/>
                  <c:pt idx="0">
                    <c:v>1.1697443872659721</c:v>
                  </c:pt>
                </c:numCache>
              </c:numRef>
            </c:plus>
            <c:minus>
              <c:numRef>
                <c:f>RRB_all!$G$441</c:f>
                <c:numCache>
                  <c:formatCode>General</c:formatCode>
                  <c:ptCount val="1"/>
                  <c:pt idx="0">
                    <c:v>1.1697443872659721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RRB_all!$G$443</c:f>
                <c:numCache>
                  <c:formatCode>General</c:formatCode>
                  <c:ptCount val="1"/>
                  <c:pt idx="0">
                    <c:v>1.2598091084793046</c:v>
                  </c:pt>
                </c:numCache>
              </c:numRef>
            </c:plus>
            <c:minus>
              <c:numRef>
                <c:f>RRB_all!$G$443</c:f>
                <c:numCache>
                  <c:formatCode>General</c:formatCode>
                  <c:ptCount val="1"/>
                  <c:pt idx="0">
                    <c:v>1.2598091084793046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RRB_all!$G$440</c:f>
              <c:numCache>
                <c:formatCode>0.00</c:formatCode>
                <c:ptCount val="1"/>
                <c:pt idx="0">
                  <c:v>94.967308963684715</c:v>
                </c:pt>
              </c:numCache>
            </c:numRef>
          </c:xVal>
          <c:yVal>
            <c:numRef>
              <c:f>RRB_all!$G$442</c:f>
              <c:numCache>
                <c:formatCode>0.00</c:formatCode>
                <c:ptCount val="1"/>
                <c:pt idx="0">
                  <c:v>88.996763754045304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0708-4740-B84E-1BB67743B2CD}"/>
            </c:ext>
          </c:extLst>
        </c:ser>
        <c:ser>
          <c:idx val="52"/>
          <c:order val="43"/>
          <c:tx>
            <c:strRef>
              <c:f>RRB_all!$G$484</c:f>
              <c:strCache>
                <c:ptCount val="1"/>
                <c:pt idx="0">
                  <c:v>F_24_MSI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31750" cmpd="dbl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RRB_all!$G$489</c:f>
                <c:numCache>
                  <c:formatCode>General</c:formatCode>
                  <c:ptCount val="1"/>
                  <c:pt idx="0">
                    <c:v>0.9298679744581192</c:v>
                  </c:pt>
                </c:numCache>
              </c:numRef>
            </c:plus>
            <c:minus>
              <c:numRef>
                <c:f>RRB_all!$G$489</c:f>
                <c:numCache>
                  <c:formatCode>General</c:formatCode>
                  <c:ptCount val="1"/>
                  <c:pt idx="0">
                    <c:v>0.9298679744581192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RRB_all!$G$491</c:f>
                <c:numCache>
                  <c:formatCode>General</c:formatCode>
                  <c:ptCount val="1"/>
                  <c:pt idx="0">
                    <c:v>1.1077596969605779</c:v>
                  </c:pt>
                </c:numCache>
              </c:numRef>
            </c:plus>
            <c:minus>
              <c:numRef>
                <c:f>RRB_all!$G$491</c:f>
                <c:numCache>
                  <c:formatCode>General</c:formatCode>
                  <c:ptCount val="1"/>
                  <c:pt idx="0">
                    <c:v>1.1077596969605779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RRB_all!$G$488</c:f>
              <c:numCache>
                <c:formatCode>0.00</c:formatCode>
                <c:ptCount val="1"/>
                <c:pt idx="0">
                  <c:v>96.526158691542264</c:v>
                </c:pt>
              </c:numCache>
            </c:numRef>
          </c:xVal>
          <c:yVal>
            <c:numRef>
              <c:f>RRB_all!$G$490</c:f>
              <c:numCache>
                <c:formatCode>0.00</c:formatCode>
                <c:ptCount val="1"/>
                <c:pt idx="0">
                  <c:v>91.747572815533985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0708-4740-B84E-1BB67743B2CD}"/>
            </c:ext>
          </c:extLst>
        </c:ser>
        <c:ser>
          <c:idx val="6"/>
          <c:order val="44"/>
          <c:tx>
            <c:strRef>
              <c:f>RRB_all!$H$4</c:f>
              <c:strCache>
                <c:ptCount val="1"/>
                <c:pt idx="0">
                  <c:v>S_77_MSS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RRB_all!$H$9</c:f>
                <c:numCache>
                  <c:formatCode>General</c:formatCode>
                  <c:ptCount val="1"/>
                  <c:pt idx="0">
                    <c:v>5.7194625793975327</c:v>
                  </c:pt>
                </c:numCache>
              </c:numRef>
            </c:plus>
            <c:minus>
              <c:numRef>
                <c:f>RRB_all!$H$9</c:f>
                <c:numCache>
                  <c:formatCode>General</c:formatCode>
                  <c:ptCount val="1"/>
                  <c:pt idx="0">
                    <c:v>5.7194625793975327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RRB_all!$H$11</c:f>
                <c:numCache>
                  <c:formatCode>General</c:formatCode>
                  <c:ptCount val="1"/>
                  <c:pt idx="0">
                    <c:v>2.4663140269083059</c:v>
                  </c:pt>
                </c:numCache>
              </c:numRef>
            </c:plus>
            <c:minus>
              <c:numRef>
                <c:f>RRB_all!$H$11</c:f>
                <c:numCache>
                  <c:formatCode>General</c:formatCode>
                  <c:ptCount val="1"/>
                  <c:pt idx="0">
                    <c:v>2.4663140269083059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RRB_all!$H$8</c:f>
              <c:numCache>
                <c:formatCode>0.00</c:formatCode>
                <c:ptCount val="1"/>
                <c:pt idx="0">
                  <c:v>88.887724830540648</c:v>
                </c:pt>
              </c:numCache>
            </c:numRef>
          </c:xVal>
          <c:yVal>
            <c:numRef>
              <c:f>RRB_all!$H$10</c:f>
              <c:numCache>
                <c:formatCode>0.00</c:formatCode>
                <c:ptCount val="1"/>
                <c:pt idx="0">
                  <c:v>81.967213114754102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0708-4740-B84E-1BB67743B2CD}"/>
            </c:ext>
          </c:extLst>
        </c:ser>
        <c:ser>
          <c:idx val="5"/>
          <c:order val="45"/>
          <c:tx>
            <c:strRef>
              <c:f>RRB_all!$H$52</c:f>
              <c:strCache>
                <c:ptCount val="1"/>
                <c:pt idx="0">
                  <c:v>S_88_MSS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RRB_all!$H$57</c:f>
                <c:numCache>
                  <c:formatCode>General</c:formatCode>
                  <c:ptCount val="1"/>
                  <c:pt idx="0">
                    <c:v>5.6724398178334381</c:v>
                  </c:pt>
                </c:numCache>
              </c:numRef>
            </c:plus>
            <c:minus>
              <c:numRef>
                <c:f>RRB_all!$H$57</c:f>
                <c:numCache>
                  <c:formatCode>General</c:formatCode>
                  <c:ptCount val="1"/>
                  <c:pt idx="0">
                    <c:v>5.6724398178334381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RRB_all!$H$59</c:f>
                <c:numCache>
                  <c:formatCode>General</c:formatCode>
                  <c:ptCount val="1"/>
                  <c:pt idx="0">
                    <c:v>2.1654589556924106</c:v>
                  </c:pt>
                </c:numCache>
              </c:numRef>
            </c:plus>
            <c:minus>
              <c:numRef>
                <c:f>RRB_all!$H$59</c:f>
                <c:numCache>
                  <c:formatCode>General</c:formatCode>
                  <c:ptCount val="1"/>
                  <c:pt idx="0">
                    <c:v>2.1654589556924106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olid"/>
                <a:round/>
              </a:ln>
              <a:effectLst/>
            </c:spPr>
          </c:errBars>
          <c:xVal>
            <c:numRef>
              <c:f>RRB_all!$H$56</c:f>
              <c:numCache>
                <c:formatCode>0.00</c:formatCode>
                <c:ptCount val="1"/>
                <c:pt idx="0">
                  <c:v>80.953707553194945</c:v>
                </c:pt>
              </c:numCache>
            </c:numRef>
          </c:xVal>
          <c:yVal>
            <c:numRef>
              <c:f>RRB_all!$H$58</c:f>
              <c:numCache>
                <c:formatCode>0.00</c:formatCode>
                <c:ptCount val="1"/>
                <c:pt idx="0">
                  <c:v>86.885245901639351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0708-4740-B84E-1BB67743B2CD}"/>
            </c:ext>
          </c:extLst>
        </c:ser>
        <c:ser>
          <c:idx val="14"/>
          <c:order val="46"/>
          <c:tx>
            <c:strRef>
              <c:f>RRB_all!$H$100</c:f>
              <c:strCache>
                <c:ptCount val="1"/>
                <c:pt idx="0">
                  <c:v>S_88_TM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RRB_all!$H$105</c:f>
                <c:numCache>
                  <c:formatCode>General</c:formatCode>
                  <c:ptCount val="1"/>
                  <c:pt idx="0">
                    <c:v>2.9303966484371626</c:v>
                  </c:pt>
                </c:numCache>
              </c:numRef>
            </c:plus>
            <c:minus>
              <c:numRef>
                <c:f>RRB_all!$H$105</c:f>
                <c:numCache>
                  <c:formatCode>General</c:formatCode>
                  <c:ptCount val="1"/>
                  <c:pt idx="0">
                    <c:v>2.9303966484371626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RRB_all!$H$107</c:f>
                <c:numCache>
                  <c:formatCode>General</c:formatCode>
                  <c:ptCount val="1"/>
                  <c:pt idx="0">
                    <c:v>0.82110790463033556</c:v>
                  </c:pt>
                </c:numCache>
              </c:numRef>
            </c:plus>
            <c:minus>
              <c:numRef>
                <c:f>RRB_all!$H$107</c:f>
                <c:numCache>
                  <c:formatCode>General</c:formatCode>
                  <c:ptCount val="1"/>
                  <c:pt idx="0">
                    <c:v>0.82110790463033556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RRB_all!$H$104</c:f>
              <c:numCache>
                <c:formatCode>0.00</c:formatCode>
                <c:ptCount val="1"/>
                <c:pt idx="0">
                  <c:v>84.161696822879136</c:v>
                </c:pt>
              </c:numCache>
            </c:numRef>
          </c:xVal>
          <c:yVal>
            <c:numRef>
              <c:f>RRB_all!$H$106</c:f>
              <c:numCache>
                <c:formatCode>0.00</c:formatCode>
                <c:ptCount val="1"/>
                <c:pt idx="0">
                  <c:v>92.666005946481661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0708-4740-B84E-1BB67743B2CD}"/>
            </c:ext>
          </c:extLst>
        </c:ser>
        <c:ser>
          <c:idx val="19"/>
          <c:order val="47"/>
          <c:tx>
            <c:strRef>
              <c:f>RRB_all!$H$148</c:f>
              <c:strCache>
                <c:ptCount val="1"/>
                <c:pt idx="0">
                  <c:v>S_91_TM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RRB_all!$H$155</c:f>
                <c:numCache>
                  <c:formatCode>General</c:formatCode>
                  <c:ptCount val="1"/>
                  <c:pt idx="0">
                    <c:v>1.1143227601931236</c:v>
                  </c:pt>
                </c:numCache>
              </c:numRef>
            </c:plus>
            <c:minus>
              <c:numRef>
                <c:f>RRB_all!$H$155</c:f>
                <c:numCache>
                  <c:formatCode>General</c:formatCode>
                  <c:ptCount val="1"/>
                  <c:pt idx="0">
                    <c:v>1.1143227601931236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RRB_all!$H$153</c:f>
                <c:numCache>
                  <c:formatCode>General</c:formatCode>
                  <c:ptCount val="1"/>
                  <c:pt idx="0">
                    <c:v>3.5781376817224078</c:v>
                  </c:pt>
                </c:numCache>
              </c:numRef>
            </c:plus>
            <c:minus>
              <c:numRef>
                <c:f>RRB_all!$H$153</c:f>
                <c:numCache>
                  <c:formatCode>General</c:formatCode>
                  <c:ptCount val="1"/>
                  <c:pt idx="0">
                    <c:v>3.5781376817224078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ysDot"/>
                <a:round/>
              </a:ln>
              <a:effectLst/>
            </c:spPr>
          </c:errBars>
          <c:xVal>
            <c:numRef>
              <c:f>RRB_all!$H$152</c:f>
              <c:numCache>
                <c:formatCode>0.00</c:formatCode>
                <c:ptCount val="1"/>
                <c:pt idx="0">
                  <c:v>79.940659900565663</c:v>
                </c:pt>
              </c:numCache>
            </c:numRef>
          </c:xVal>
          <c:yVal>
            <c:numRef>
              <c:f>RRB_all!$H$154</c:f>
              <c:numCache>
                <c:formatCode>0.00</c:formatCode>
                <c:ptCount val="1"/>
                <c:pt idx="0">
                  <c:v>85.332011892963337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0708-4740-B84E-1BB67743B2CD}"/>
            </c:ext>
          </c:extLst>
        </c:ser>
        <c:ser>
          <c:idx val="24"/>
          <c:order val="48"/>
          <c:tx>
            <c:strRef>
              <c:f>RRB_all!$H$196</c:f>
              <c:strCache>
                <c:ptCount val="1"/>
                <c:pt idx="0">
                  <c:v>S_01_TM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RRB_all!$H$201</c:f>
                <c:numCache>
                  <c:formatCode>General</c:formatCode>
                  <c:ptCount val="1"/>
                  <c:pt idx="0">
                    <c:v>2.6995655729967534</c:v>
                  </c:pt>
                </c:numCache>
              </c:numRef>
            </c:plus>
            <c:minus>
              <c:numRef>
                <c:f>RRB_all!$H$201</c:f>
                <c:numCache>
                  <c:formatCode>General</c:formatCode>
                  <c:ptCount val="1"/>
                  <c:pt idx="0">
                    <c:v>2.6995655729967534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RRB_all!$H$203</c:f>
                <c:numCache>
                  <c:formatCode>General</c:formatCode>
                  <c:ptCount val="1"/>
                  <c:pt idx="0">
                    <c:v>0.76206920214220453</c:v>
                  </c:pt>
                </c:numCache>
              </c:numRef>
            </c:plus>
            <c:minus>
              <c:numRef>
                <c:f>RRB_all!$H$203</c:f>
                <c:numCache>
                  <c:formatCode>General</c:formatCode>
                  <c:ptCount val="1"/>
                  <c:pt idx="0">
                    <c:v>0.76206920214220453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RRB_all!$H$200</c:f>
              <c:numCache>
                <c:formatCode>0.00</c:formatCode>
                <c:ptCount val="1"/>
                <c:pt idx="0">
                  <c:v>90.354643132775649</c:v>
                </c:pt>
              </c:numCache>
            </c:numRef>
          </c:xVal>
          <c:yVal>
            <c:numRef>
              <c:f>RRB_all!$H$202</c:f>
              <c:numCache>
                <c:formatCode>0.00</c:formatCode>
                <c:ptCount val="1"/>
                <c:pt idx="0">
                  <c:v>93.756194251734399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0708-4740-B84E-1BB67743B2CD}"/>
            </c:ext>
          </c:extLst>
        </c:ser>
        <c:ser>
          <c:idx val="29"/>
          <c:order val="49"/>
          <c:tx>
            <c:strRef>
              <c:f>RRB_all!$H$244</c:f>
              <c:strCache>
                <c:ptCount val="1"/>
                <c:pt idx="0">
                  <c:v>S_07_ETM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RRB_all!$H$249</c:f>
                <c:numCache>
                  <c:formatCode>General</c:formatCode>
                  <c:ptCount val="1"/>
                  <c:pt idx="0">
                    <c:v>5.0351383233538822</c:v>
                  </c:pt>
                </c:numCache>
              </c:numRef>
            </c:plus>
            <c:minus>
              <c:numRef>
                <c:f>RRB_all!$H$249</c:f>
                <c:numCache>
                  <c:formatCode>General</c:formatCode>
                  <c:ptCount val="1"/>
                  <c:pt idx="0">
                    <c:v>5.0351383233538822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RRB_all!$H$251</c:f>
                <c:numCache>
                  <c:formatCode>General</c:formatCode>
                  <c:ptCount val="1"/>
                  <c:pt idx="0">
                    <c:v>1.4612713412832194</c:v>
                  </c:pt>
                </c:numCache>
              </c:numRef>
            </c:plus>
            <c:minus>
              <c:numRef>
                <c:f>RRB_all!$H$251</c:f>
                <c:numCache>
                  <c:formatCode>General</c:formatCode>
                  <c:ptCount val="1"/>
                  <c:pt idx="0">
                    <c:v>1.4612713412832194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RRB_all!$H$250</c:f>
              <c:numCache>
                <c:formatCode>0.00</c:formatCode>
                <c:ptCount val="1"/>
                <c:pt idx="0">
                  <c:v>78.364779874213838</c:v>
                </c:pt>
              </c:numCache>
            </c:numRef>
          </c:xVal>
          <c:yVal>
            <c:numRef>
              <c:f>RRB_all!$H$250</c:f>
              <c:numCache>
                <c:formatCode>0.00</c:formatCode>
                <c:ptCount val="1"/>
                <c:pt idx="0">
                  <c:v>78.364779874213838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0708-4740-B84E-1BB67743B2CD}"/>
            </c:ext>
          </c:extLst>
        </c:ser>
        <c:ser>
          <c:idx val="34"/>
          <c:order val="50"/>
          <c:tx>
            <c:strRef>
              <c:f>RRB_all!$H$292</c:f>
              <c:strCache>
                <c:ptCount val="1"/>
                <c:pt idx="0">
                  <c:v>S_11_ETM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AD8D06">
                  <a:alpha val="20000"/>
                </a:srgbClr>
              </a:solidFill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RRB_all!$H$297</c:f>
                <c:numCache>
                  <c:formatCode>General</c:formatCode>
                  <c:ptCount val="1"/>
                  <c:pt idx="0">
                    <c:v>2.5581030678838119</c:v>
                  </c:pt>
                </c:numCache>
              </c:numRef>
            </c:plus>
            <c:minus>
              <c:numRef>
                <c:f>RRB_all!$H$297</c:f>
                <c:numCache>
                  <c:formatCode>General</c:formatCode>
                  <c:ptCount val="1"/>
                  <c:pt idx="0">
                    <c:v>2.5581030678838119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RRB_all!$H$299</c:f>
                <c:numCache>
                  <c:formatCode>General</c:formatCode>
                  <c:ptCount val="1"/>
                  <c:pt idx="0">
                    <c:v>0.79499983748395853</c:v>
                  </c:pt>
                </c:numCache>
              </c:numRef>
            </c:plus>
            <c:minus>
              <c:numRef>
                <c:f>RRB_all!$H$299</c:f>
                <c:numCache>
                  <c:formatCode>General</c:formatCode>
                  <c:ptCount val="1"/>
                  <c:pt idx="0">
                    <c:v>0.79499983748395853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RRB_all!$H$296</c:f>
              <c:numCache>
                <c:formatCode>0.00</c:formatCode>
                <c:ptCount val="1"/>
                <c:pt idx="0">
                  <c:v>92.339324212818269</c:v>
                </c:pt>
              </c:numCache>
            </c:numRef>
          </c:xVal>
          <c:yVal>
            <c:numRef>
              <c:f>RRB_all!$H$298</c:f>
              <c:numCache>
                <c:formatCode>0.00</c:formatCode>
                <c:ptCount val="1"/>
                <c:pt idx="0">
                  <c:v>93.161546085232899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0708-4740-B84E-1BB67743B2CD}"/>
            </c:ext>
          </c:extLst>
        </c:ser>
        <c:ser>
          <c:idx val="39"/>
          <c:order val="51"/>
          <c:tx>
            <c:strRef>
              <c:f>RRB_all!$H$340</c:f>
              <c:strCache>
                <c:ptCount val="1"/>
                <c:pt idx="0">
                  <c:v>S_15_OLI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RRB_all!$H$345</c:f>
                <c:numCache>
                  <c:formatCode>General</c:formatCode>
                  <c:ptCount val="1"/>
                  <c:pt idx="0">
                    <c:v>2.5070381910901651</c:v>
                  </c:pt>
                </c:numCache>
              </c:numRef>
            </c:plus>
            <c:minus>
              <c:numRef>
                <c:f>RRB_all!$H$345</c:f>
                <c:numCache>
                  <c:formatCode>General</c:formatCode>
                  <c:ptCount val="1"/>
                  <c:pt idx="0">
                    <c:v>2.5070381910901651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RRB_all!$H$347</c:f>
                <c:numCache>
                  <c:formatCode>General</c:formatCode>
                  <c:ptCount val="1"/>
                  <c:pt idx="0">
                    <c:v>0.62188226937477109</c:v>
                  </c:pt>
                </c:numCache>
              </c:numRef>
            </c:plus>
            <c:minus>
              <c:numRef>
                <c:f>RRB_all!$H$347</c:f>
                <c:numCache>
                  <c:formatCode>General</c:formatCode>
                  <c:ptCount val="1"/>
                  <c:pt idx="0">
                    <c:v>0.62188226937477109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RRB_all!$H$344</c:f>
              <c:numCache>
                <c:formatCode>0.00</c:formatCode>
                <c:ptCount val="1"/>
                <c:pt idx="0">
                  <c:v>92.925992601530254</c:v>
                </c:pt>
              </c:numCache>
            </c:numRef>
          </c:xVal>
          <c:yVal>
            <c:numRef>
              <c:f>RRB_all!$H$346</c:f>
              <c:numCache>
                <c:formatCode>0.00</c:formatCode>
                <c:ptCount val="1"/>
                <c:pt idx="0">
                  <c:v>95.936570862239847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0708-4740-B84E-1BB67743B2CD}"/>
            </c:ext>
          </c:extLst>
        </c:ser>
        <c:ser>
          <c:idx val="43"/>
          <c:order val="52"/>
          <c:tx>
            <c:strRef>
              <c:f>RRB_all!$H$388</c:f>
              <c:strCache>
                <c:ptCount val="1"/>
                <c:pt idx="0">
                  <c:v>S_19_OLI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AD8D06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RRB_all!$H$393</c:f>
                <c:numCache>
                  <c:formatCode>General</c:formatCode>
                  <c:ptCount val="1"/>
                  <c:pt idx="0">
                    <c:v>1.564061153625018</c:v>
                  </c:pt>
                </c:numCache>
              </c:numRef>
            </c:plus>
            <c:minus>
              <c:numRef>
                <c:f>RRB_all!$H$393</c:f>
                <c:numCache>
                  <c:formatCode>General</c:formatCode>
                  <c:ptCount val="1"/>
                  <c:pt idx="0">
                    <c:v>1.564061153625018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RRB_all!$H$395</c:f>
                <c:numCache>
                  <c:formatCode>General</c:formatCode>
                  <c:ptCount val="1"/>
                  <c:pt idx="0">
                    <c:v>0.76206920214220453</c:v>
                  </c:pt>
                </c:numCache>
              </c:numRef>
            </c:plus>
            <c:minus>
              <c:numRef>
                <c:f>RRB_all!$H$395</c:f>
                <c:numCache>
                  <c:formatCode>General</c:formatCode>
                  <c:ptCount val="1"/>
                  <c:pt idx="0">
                    <c:v>0.76206920214220453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RRB_all!$H$392</c:f>
              <c:numCache>
                <c:formatCode>0.00</c:formatCode>
                <c:ptCount val="1"/>
                <c:pt idx="0">
                  <c:v>97.236513416049533</c:v>
                </c:pt>
              </c:numCache>
            </c:numRef>
          </c:xVal>
          <c:yVal>
            <c:numRef>
              <c:f>RRB_all!$H$394</c:f>
              <c:numCache>
                <c:formatCode>0.00</c:formatCode>
                <c:ptCount val="1"/>
                <c:pt idx="0">
                  <c:v>93.756194251734399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0708-4740-B84E-1BB67743B2CD}"/>
            </c:ext>
          </c:extLst>
        </c:ser>
        <c:ser>
          <c:idx val="48"/>
          <c:order val="53"/>
          <c:tx>
            <c:strRef>
              <c:f>RRB_all!$H$436</c:f>
              <c:strCache>
                <c:ptCount val="1"/>
                <c:pt idx="0">
                  <c:v>S_19_MSI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RRB_all!$H$441</c:f>
                <c:numCache>
                  <c:formatCode>General</c:formatCode>
                  <c:ptCount val="1"/>
                  <c:pt idx="0">
                    <c:v>3.1915079009809917</c:v>
                  </c:pt>
                </c:numCache>
              </c:numRef>
            </c:plus>
            <c:minus>
              <c:numRef>
                <c:f>RRB_all!$H$441</c:f>
                <c:numCache>
                  <c:formatCode>General</c:formatCode>
                  <c:ptCount val="1"/>
                  <c:pt idx="0">
                    <c:v>3.1915079009809917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RRB_all!$H$443</c:f>
                <c:numCache>
                  <c:formatCode>General</c:formatCode>
                  <c:ptCount val="1"/>
                  <c:pt idx="0">
                    <c:v>0.76475687800248704</c:v>
                  </c:pt>
                </c:numCache>
              </c:numRef>
            </c:plus>
            <c:minus>
              <c:numRef>
                <c:f>RRB_all!$H$443</c:f>
                <c:numCache>
                  <c:formatCode>General</c:formatCode>
                  <c:ptCount val="1"/>
                  <c:pt idx="0">
                    <c:v>0.76475687800248704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RRB_all!$H$440</c:f>
              <c:numCache>
                <c:formatCode>0.00</c:formatCode>
                <c:ptCount val="1"/>
                <c:pt idx="0">
                  <c:v>87.536535633885691</c:v>
                </c:pt>
              </c:numCache>
            </c:numRef>
          </c:xVal>
          <c:yVal>
            <c:numRef>
              <c:f>RRB_all!$H$442</c:f>
              <c:numCache>
                <c:formatCode>0.00</c:formatCode>
                <c:ptCount val="1"/>
                <c:pt idx="0">
                  <c:v>93.682132280355361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0708-4740-B84E-1BB67743B2CD}"/>
            </c:ext>
          </c:extLst>
        </c:ser>
        <c:ser>
          <c:idx val="53"/>
          <c:order val="54"/>
          <c:tx>
            <c:strRef>
              <c:f>RRB_all!$H$484</c:f>
              <c:strCache>
                <c:ptCount val="1"/>
                <c:pt idx="0">
                  <c:v>S_24_MSI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31750" cmpd="dbl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RRB_all!$H$489</c:f>
                <c:numCache>
                  <c:formatCode>General</c:formatCode>
                  <c:ptCount val="1"/>
                  <c:pt idx="0">
                    <c:v>2.8731306112532264</c:v>
                  </c:pt>
                </c:numCache>
              </c:numRef>
            </c:plus>
            <c:minus>
              <c:numRef>
                <c:f>RRB_all!$H$489</c:f>
                <c:numCache>
                  <c:formatCode>General</c:formatCode>
                  <c:ptCount val="1"/>
                  <c:pt idx="0">
                    <c:v>2.8731306112532264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RRB_all!$H$491</c:f>
                <c:numCache>
                  <c:formatCode>General</c:formatCode>
                  <c:ptCount val="1"/>
                  <c:pt idx="0">
                    <c:v>0.6936871730384524</c:v>
                  </c:pt>
                </c:numCache>
              </c:numRef>
            </c:plus>
            <c:minus>
              <c:numRef>
                <c:f>RRB_all!$H$491</c:f>
                <c:numCache>
                  <c:formatCode>General</c:formatCode>
                  <c:ptCount val="1"/>
                  <c:pt idx="0">
                    <c:v>0.6936871730384524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RRB_all!$H$488</c:f>
              <c:numCache>
                <c:formatCode>0.00</c:formatCode>
                <c:ptCount val="1"/>
                <c:pt idx="0">
                  <c:v>89.309432789444642</c:v>
                </c:pt>
              </c:numCache>
            </c:numRef>
          </c:xVal>
          <c:yVal>
            <c:numRef>
              <c:f>RRB_all!$H$490</c:f>
              <c:numCache>
                <c:formatCode>0.00</c:formatCode>
                <c:ptCount val="1"/>
                <c:pt idx="0">
                  <c:v>94.866732477788744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0708-4740-B84E-1BB67743B2CD}"/>
            </c:ext>
          </c:extLst>
        </c:ser>
        <c:ser>
          <c:idx val="55"/>
          <c:order val="55"/>
          <c:tx>
            <c:strRef>
              <c:f>Cumulative!$F$19</c:f>
              <c:strCache>
                <c:ptCount val="1"/>
                <c:pt idx="0">
                  <c:v>W_All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002060"/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Cumulative!$C$19</c:f>
              <c:numCache>
                <c:formatCode>0.00</c:formatCode>
                <c:ptCount val="1"/>
                <c:pt idx="0">
                  <c:v>99.941469124963419</c:v>
                </c:pt>
              </c:numCache>
            </c:numRef>
          </c:xVal>
          <c:yVal>
            <c:numRef>
              <c:f>Cumulative!$D$19</c:f>
              <c:numCache>
                <c:formatCode>0.00</c:formatCode>
                <c:ptCount val="1"/>
                <c:pt idx="0">
                  <c:v>81.698564593301441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6B-408E-8785-B59440E207DB}"/>
            </c:ext>
          </c:extLst>
        </c:ser>
        <c:ser>
          <c:idx val="56"/>
          <c:order val="56"/>
          <c:tx>
            <c:strRef>
              <c:f>Cumulative!$F$20</c:f>
              <c:strCache>
                <c:ptCount val="1"/>
                <c:pt idx="0">
                  <c:v>B_All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ysClr val="windowText" lastClr="000000">
                  <a:lumMod val="85000"/>
                  <a:lumOff val="15000"/>
                </a:sys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Cumulative!$C$20</c:f>
              <c:numCache>
                <c:formatCode>0.00</c:formatCode>
                <c:ptCount val="1"/>
                <c:pt idx="0">
                  <c:v>60.760998810939363</c:v>
                </c:pt>
              </c:numCache>
            </c:numRef>
          </c:xVal>
          <c:yVal>
            <c:numRef>
              <c:f>Cumulative!$D$20</c:f>
              <c:numCache>
                <c:formatCode>0.00</c:formatCode>
                <c:ptCount val="1"/>
                <c:pt idx="0">
                  <c:v>93.248175182481745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6B-408E-8785-B59440E207DB}"/>
            </c:ext>
          </c:extLst>
        </c:ser>
        <c:ser>
          <c:idx val="57"/>
          <c:order val="57"/>
          <c:tx>
            <c:strRef>
              <c:f>Cumulative!$F$21</c:f>
              <c:strCache>
                <c:ptCount val="1"/>
                <c:pt idx="0">
                  <c:v>A_All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Cumulative!$C$21</c:f>
              <c:numCache>
                <c:formatCode>0.00</c:formatCode>
                <c:ptCount val="1"/>
                <c:pt idx="0">
                  <c:v>88.867136517880454</c:v>
                </c:pt>
              </c:numCache>
            </c:numRef>
          </c:xVal>
          <c:yVal>
            <c:numRef>
              <c:f>Cumulative!$D$21</c:f>
              <c:numCache>
                <c:formatCode>0.00</c:formatCode>
                <c:ptCount val="1"/>
                <c:pt idx="0">
                  <c:v>98.982410234045645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36B-408E-8785-B59440E207DB}"/>
            </c:ext>
          </c:extLst>
        </c:ser>
        <c:ser>
          <c:idx val="58"/>
          <c:order val="58"/>
          <c:tx>
            <c:strRef>
              <c:f>Cumulative!$F$22</c:f>
              <c:strCache>
                <c:ptCount val="1"/>
                <c:pt idx="0">
                  <c:v>F_All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Cumulative!$C$22</c:f>
              <c:numCache>
                <c:formatCode>0.00</c:formatCode>
                <c:ptCount val="1"/>
                <c:pt idx="0">
                  <c:v>88.509749303621163</c:v>
                </c:pt>
              </c:numCache>
            </c:numRef>
          </c:xVal>
          <c:yVal>
            <c:numRef>
              <c:f>Cumulative!$D$22</c:f>
              <c:numCache>
                <c:formatCode>0.00</c:formatCode>
                <c:ptCount val="1"/>
                <c:pt idx="0">
                  <c:v>94.691748929037061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6B-408E-8785-B59440E207DB}"/>
            </c:ext>
          </c:extLst>
        </c:ser>
        <c:ser>
          <c:idx val="59"/>
          <c:order val="59"/>
          <c:tx>
            <c:strRef>
              <c:f>Cumulative!$F$23</c:f>
              <c:strCache>
                <c:ptCount val="1"/>
                <c:pt idx="0">
                  <c:v>S_All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E97132">
                  <a:lumMod val="5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Cumulative!$C$23</c:f>
              <c:numCache>
                <c:formatCode>0.00</c:formatCode>
                <c:ptCount val="1"/>
                <c:pt idx="0">
                  <c:v>98.455331412103746</c:v>
                </c:pt>
              </c:numCache>
            </c:numRef>
          </c:xVal>
          <c:yVal>
            <c:numRef>
              <c:f>Cumulative!$D$23</c:f>
              <c:numCache>
                <c:formatCode>0.00</c:formatCode>
                <c:ptCount val="1"/>
                <c:pt idx="0">
                  <c:v>91.2207625760974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6B-408E-8785-B59440E20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063203891628551"/>
          <c:y val="6.5182617644988478E-2"/>
          <c:w val="0.33598335293171228"/>
          <c:h val="0.921077531171079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Mode Classification Cumulative Results</a:t>
            </a:r>
            <a:endParaRPr lang="en-US" sz="2000"/>
          </a:p>
        </c:rich>
      </c:tx>
      <c:layout>
        <c:manualLayout>
          <c:xMode val="edge"/>
          <c:yMode val="edge"/>
          <c:x val="0.32620683426469255"/>
          <c:y val="1.0282884262081189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95803004567238"/>
          <c:y val="8.196151821393248E-2"/>
          <c:w val="0.51982492264896873"/>
          <c:h val="0.77113989819133355"/>
        </c:manualLayout>
      </c:layout>
      <c:scatterChart>
        <c:scatterStyle val="lineMarker"/>
        <c:varyColors val="0"/>
        <c:ser>
          <c:idx val="60"/>
          <c:order val="0"/>
          <c:tx>
            <c:strRef>
              <c:f>Cumulative!$F$43</c:f>
              <c:strCache>
                <c:ptCount val="1"/>
                <c:pt idx="0">
                  <c:v>W_MSS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Cumulative!$C$43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Cumulative!$D$43</c:f>
              <c:numCache>
                <c:formatCode>0.00</c:formatCode>
                <c:ptCount val="1"/>
                <c:pt idx="0">
                  <c:v>99.565217391304344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C259-4B13-8B42-A73D317F7491}"/>
            </c:ext>
          </c:extLst>
        </c:ser>
        <c:ser>
          <c:idx val="65"/>
          <c:order val="1"/>
          <c:tx>
            <c:strRef>
              <c:f>Cumulative!$F$67</c:f>
              <c:strCache>
                <c:ptCount val="1"/>
                <c:pt idx="0">
                  <c:v>W_TM/ETM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Cumulative!$C$67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Cumulative!$D$67</c:f>
              <c:numCache>
                <c:formatCode>0.00</c:formatCode>
                <c:ptCount val="1"/>
                <c:pt idx="0">
                  <c:v>98.510242085661076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C259-4B13-8B42-A73D317F7491}"/>
            </c:ext>
          </c:extLst>
        </c:ser>
        <c:ser>
          <c:idx val="4"/>
          <c:order val="2"/>
          <c:tx>
            <c:strRef>
              <c:f>Cumulative!$F$91</c:f>
              <c:strCache>
                <c:ptCount val="1"/>
                <c:pt idx="0">
                  <c:v>W_OLI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Cumulative!$C$91</c:f>
              <c:numCache>
                <c:formatCode>0.00</c:formatCode>
                <c:ptCount val="1"/>
                <c:pt idx="0">
                  <c:v>99.50738916256158</c:v>
                </c:pt>
              </c:numCache>
            </c:numRef>
          </c:xVal>
          <c:yVal>
            <c:numRef>
              <c:f>Cumulative!$D$91</c:f>
              <c:numCache>
                <c:formatCode>0.00</c:formatCode>
                <c:ptCount val="1"/>
                <c:pt idx="0">
                  <c:v>44.789356984478935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C259-4B13-8B42-A73D317F7491}"/>
            </c:ext>
          </c:extLst>
        </c:ser>
        <c:ser>
          <c:idx val="9"/>
          <c:order val="3"/>
          <c:tx>
            <c:strRef>
              <c:f>Cumulative!$F$115</c:f>
              <c:strCache>
                <c:ptCount val="1"/>
                <c:pt idx="0">
                  <c:v>W_MSI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8"/>
            <c:spPr>
              <a:solidFill>
                <a:srgbClr val="1F9DFF">
                  <a:alpha val="20000"/>
                </a:srgbClr>
              </a:solidFill>
              <a:ln w="25400">
                <a:solidFill>
                  <a:srgbClr val="1F9DFF"/>
                </a:solidFill>
              </a:ln>
              <a:effectLst/>
            </c:spPr>
          </c:marker>
          <c:xVal>
            <c:numRef>
              <c:f>Cumulative!$C$115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Cumulative!$D$115</c:f>
              <c:numCache>
                <c:formatCode>0.00</c:formatCode>
                <c:ptCount val="1"/>
                <c:pt idx="0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C259-4B13-8B42-A73D317F7491}"/>
            </c:ext>
          </c:extLst>
        </c:ser>
        <c:ser>
          <c:idx val="61"/>
          <c:order val="4"/>
          <c:tx>
            <c:strRef>
              <c:f>Cumulative!$F$44</c:f>
              <c:strCache>
                <c:ptCount val="1"/>
                <c:pt idx="0">
                  <c:v>B_MSS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Cumulative!$C$44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Cumulative!$D$44</c:f>
              <c:numCache>
                <c:formatCode>0.00</c:formatCode>
                <c:ptCount val="1"/>
                <c:pt idx="0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C259-4B13-8B42-A73D317F7491}"/>
            </c:ext>
          </c:extLst>
        </c:ser>
        <c:ser>
          <c:idx val="0"/>
          <c:order val="5"/>
          <c:tx>
            <c:strRef>
              <c:f>Cumulative!$F$68</c:f>
              <c:strCache>
                <c:ptCount val="1"/>
                <c:pt idx="0">
                  <c:v>B_TM/ETM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Cumulative!$C$68</c:f>
              <c:numCache>
                <c:formatCode>0.00</c:formatCode>
                <c:ptCount val="1"/>
                <c:pt idx="0">
                  <c:v>70.97625329815304</c:v>
                </c:pt>
              </c:numCache>
            </c:numRef>
          </c:xVal>
          <c:yVal>
            <c:numRef>
              <c:f>Cumulative!$D$68</c:f>
              <c:numCache>
                <c:formatCode>0.00</c:formatCode>
                <c:ptCount val="1"/>
                <c:pt idx="0">
                  <c:v>97.463768115942031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C259-4B13-8B42-A73D317F7491}"/>
            </c:ext>
          </c:extLst>
        </c:ser>
        <c:ser>
          <c:idx val="5"/>
          <c:order val="6"/>
          <c:tx>
            <c:strRef>
              <c:f>Cumulative!$F$92</c:f>
              <c:strCache>
                <c:ptCount val="1"/>
                <c:pt idx="0">
                  <c:v>B_OLI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Cumulative!$C$92</c:f>
              <c:numCache>
                <c:formatCode>0.00</c:formatCode>
                <c:ptCount val="1"/>
                <c:pt idx="0">
                  <c:v>94.827586206896555</c:v>
                </c:pt>
              </c:numCache>
            </c:numRef>
          </c:xVal>
          <c:yVal>
            <c:numRef>
              <c:f>Cumulative!$D$92</c:f>
              <c:numCache>
                <c:formatCode>0.00</c:formatCode>
                <c:ptCount val="1"/>
                <c:pt idx="0">
                  <c:v>96.491228070175438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C259-4B13-8B42-A73D317F7491}"/>
            </c:ext>
          </c:extLst>
        </c:ser>
        <c:ser>
          <c:idx val="10"/>
          <c:order val="7"/>
          <c:tx>
            <c:strRef>
              <c:f>Cumulative!$F$116</c:f>
              <c:strCache>
                <c:ptCount val="1"/>
                <c:pt idx="0">
                  <c:v>B_MSI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8"/>
            <c:spPr>
              <a:solidFill>
                <a:srgbClr val="CACDDE">
                  <a:alpha val="20000"/>
                </a:srgbClr>
              </a:solidFill>
              <a:ln w="25400">
                <a:solidFill>
                  <a:srgbClr val="CACDDE"/>
                </a:solidFill>
              </a:ln>
              <a:effectLst/>
            </c:spPr>
          </c:marker>
          <c:xVal>
            <c:numRef>
              <c:f>Cumulative!$C$116</c:f>
              <c:numCache>
                <c:formatCode>0.00</c:formatCode>
                <c:ptCount val="1"/>
                <c:pt idx="0">
                  <c:v>34.153846153846153</c:v>
                </c:pt>
              </c:numCache>
            </c:numRef>
          </c:xVal>
          <c:yVal>
            <c:numRef>
              <c:f>Cumulative!$D$116</c:f>
              <c:numCache>
                <c:formatCode>0.00</c:formatCode>
                <c:ptCount val="1"/>
                <c:pt idx="0">
                  <c:v>86.71875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C259-4B13-8B42-A73D317F7491}"/>
            </c:ext>
          </c:extLst>
        </c:ser>
        <c:ser>
          <c:idx val="62"/>
          <c:order val="8"/>
          <c:tx>
            <c:strRef>
              <c:f>Cumulative!$F$45</c:f>
              <c:strCache>
                <c:ptCount val="1"/>
                <c:pt idx="0">
                  <c:v>A_MSS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Cumulative!$C$45</c:f>
              <c:numCache>
                <c:formatCode>0.00</c:formatCode>
                <c:ptCount val="1"/>
                <c:pt idx="0">
                  <c:v>91.642651296829968</c:v>
                </c:pt>
              </c:numCache>
            </c:numRef>
          </c:xVal>
          <c:yVal>
            <c:numRef>
              <c:f>Cumulative!$D$45</c:f>
              <c:numCache>
                <c:formatCode>0.00</c:formatCode>
                <c:ptCount val="1"/>
                <c:pt idx="0">
                  <c:v>99.375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C259-4B13-8B42-A73D317F7491}"/>
            </c:ext>
          </c:extLst>
        </c:ser>
        <c:ser>
          <c:idx val="1"/>
          <c:order val="9"/>
          <c:tx>
            <c:strRef>
              <c:f>Cumulative!$F$69</c:f>
              <c:strCache>
                <c:ptCount val="1"/>
                <c:pt idx="0">
                  <c:v>A_TM/ETM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Cumulative!$C$69</c:f>
              <c:numCache>
                <c:formatCode>0.00</c:formatCode>
                <c:ptCount val="1"/>
                <c:pt idx="0">
                  <c:v>93.032786885245898</c:v>
                </c:pt>
              </c:numCache>
            </c:numRef>
          </c:xVal>
          <c:yVal>
            <c:numRef>
              <c:f>Cumulative!$D$69</c:f>
              <c:numCache>
                <c:formatCode>0.00</c:formatCode>
                <c:ptCount val="1"/>
                <c:pt idx="0">
                  <c:v>99.072558647026739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C259-4B13-8B42-A73D317F7491}"/>
            </c:ext>
          </c:extLst>
        </c:ser>
        <c:ser>
          <c:idx val="11"/>
          <c:order val="10"/>
          <c:tx>
            <c:strRef>
              <c:f>Cumulative!$F$117</c:f>
              <c:strCache>
                <c:ptCount val="1"/>
                <c:pt idx="0">
                  <c:v>A_MSI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8"/>
            <c:spPr>
              <a:solidFill>
                <a:srgbClr val="B1EE2D">
                  <a:alpha val="20000"/>
                </a:srgbClr>
              </a:solidFill>
              <a:ln w="25400">
                <a:solidFill>
                  <a:srgbClr val="B1EE2D"/>
                </a:solidFill>
              </a:ln>
              <a:effectLst/>
            </c:spPr>
          </c:marker>
          <c:xVal>
            <c:numRef>
              <c:f>Cumulative!$C$117</c:f>
              <c:numCache>
                <c:formatCode>0.00</c:formatCode>
                <c:ptCount val="1"/>
                <c:pt idx="0">
                  <c:v>91.734502191609266</c:v>
                </c:pt>
              </c:numCache>
            </c:numRef>
          </c:xVal>
          <c:yVal>
            <c:numRef>
              <c:f>Cumulative!$D$117</c:f>
              <c:numCache>
                <c:formatCode>0.00</c:formatCode>
                <c:ptCount val="1"/>
                <c:pt idx="0">
                  <c:v>97.927807486631011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C259-4B13-8B42-A73D317F7491}"/>
            </c:ext>
          </c:extLst>
        </c:ser>
        <c:ser>
          <c:idx val="6"/>
          <c:order val="11"/>
          <c:tx>
            <c:strRef>
              <c:f>Cumulative!$F$93</c:f>
              <c:strCache>
                <c:ptCount val="1"/>
                <c:pt idx="0">
                  <c:v>A_OLI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Cumulative!$C$93</c:f>
              <c:numCache>
                <c:formatCode>0.00</c:formatCode>
                <c:ptCount val="1"/>
                <c:pt idx="0">
                  <c:v>76.846747519294382</c:v>
                </c:pt>
              </c:numCache>
            </c:numRef>
          </c:xVal>
          <c:yVal>
            <c:numRef>
              <c:f>Cumulative!$D$93</c:f>
              <c:numCache>
                <c:formatCode>0.00</c:formatCode>
                <c:ptCount val="1"/>
                <c:pt idx="0">
                  <c:v>99.785254115962772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C259-4B13-8B42-A73D317F7491}"/>
            </c:ext>
          </c:extLst>
        </c:ser>
        <c:ser>
          <c:idx val="63"/>
          <c:order val="12"/>
          <c:tx>
            <c:strRef>
              <c:f>Cumulative!$F$46</c:f>
              <c:strCache>
                <c:ptCount val="1"/>
                <c:pt idx="0">
                  <c:v>F_MSS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Cumulative!$C$46</c:f>
              <c:numCache>
                <c:formatCode>0.00</c:formatCode>
                <c:ptCount val="1"/>
                <c:pt idx="0">
                  <c:v>80.792682926829272</c:v>
                </c:pt>
              </c:numCache>
            </c:numRef>
          </c:xVal>
          <c:yVal>
            <c:numRef>
              <c:f>Cumulative!$D$46</c:f>
              <c:numCache>
                <c:formatCode>0.00</c:formatCode>
                <c:ptCount val="1"/>
                <c:pt idx="0">
                  <c:v>92.013888888888886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C259-4B13-8B42-A73D317F7491}"/>
            </c:ext>
          </c:extLst>
        </c:ser>
        <c:ser>
          <c:idx val="2"/>
          <c:order val="13"/>
          <c:tx>
            <c:strRef>
              <c:f>Cumulative!$F$70</c:f>
              <c:strCache>
                <c:ptCount val="1"/>
                <c:pt idx="0">
                  <c:v>F_TM/ETM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Cumulative!$C$70</c:f>
              <c:numCache>
                <c:formatCode>0.00</c:formatCode>
                <c:ptCount val="1"/>
                <c:pt idx="0">
                  <c:v>91.001046389954652</c:v>
                </c:pt>
              </c:numCache>
            </c:numRef>
          </c:xVal>
          <c:yVal>
            <c:numRef>
              <c:f>Cumulative!$D$70</c:f>
              <c:numCache>
                <c:formatCode>0.00</c:formatCode>
                <c:ptCount val="1"/>
                <c:pt idx="0">
                  <c:v>95.60278490289484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C259-4B13-8B42-A73D317F7491}"/>
            </c:ext>
          </c:extLst>
        </c:ser>
        <c:ser>
          <c:idx val="7"/>
          <c:order val="14"/>
          <c:tx>
            <c:strRef>
              <c:f>Cumulative!$F$94</c:f>
              <c:strCache>
                <c:ptCount val="1"/>
                <c:pt idx="0">
                  <c:v>F_OLI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Cumulative!$C$94</c:f>
              <c:numCache>
                <c:formatCode>0.00</c:formatCode>
                <c:ptCount val="1"/>
                <c:pt idx="0">
                  <c:v>84.926184926184916</c:v>
                </c:pt>
              </c:numCache>
            </c:numRef>
          </c:xVal>
          <c:yVal>
            <c:numRef>
              <c:f>Cumulative!$D$94</c:f>
              <c:numCache>
                <c:formatCode>0.00</c:formatCode>
                <c:ptCount val="1"/>
                <c:pt idx="0">
                  <c:v>97.939068100358426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C259-4B13-8B42-A73D317F7491}"/>
            </c:ext>
          </c:extLst>
        </c:ser>
        <c:ser>
          <c:idx val="12"/>
          <c:order val="15"/>
          <c:tx>
            <c:strRef>
              <c:f>Cumulative!$F$118</c:f>
              <c:strCache>
                <c:ptCount val="1"/>
                <c:pt idx="0">
                  <c:v>F_MSI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8"/>
            <c:spPr>
              <a:solidFill>
                <a:srgbClr val="149721">
                  <a:alpha val="20000"/>
                </a:srgbClr>
              </a:solidFill>
              <a:ln w="25400">
                <a:solidFill>
                  <a:srgbClr val="149721"/>
                </a:solidFill>
              </a:ln>
              <a:effectLst/>
            </c:spPr>
          </c:marker>
          <c:xVal>
            <c:numRef>
              <c:f>Cumulative!$C$118</c:f>
              <c:numCache>
                <c:formatCode>0.00</c:formatCode>
                <c:ptCount val="1"/>
                <c:pt idx="0">
                  <c:v>88.510301109350237</c:v>
                </c:pt>
              </c:numCache>
            </c:numRef>
          </c:xVal>
          <c:yVal>
            <c:numRef>
              <c:f>Cumulative!$D$118</c:f>
              <c:numCache>
                <c:formatCode>0.00</c:formatCode>
                <c:ptCount val="1"/>
                <c:pt idx="0">
                  <c:v>90.372168284789637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C259-4B13-8B42-A73D317F7491}"/>
            </c:ext>
          </c:extLst>
        </c:ser>
        <c:ser>
          <c:idx val="64"/>
          <c:order val="16"/>
          <c:tx>
            <c:strRef>
              <c:f>Cumulative!$F$47</c:f>
              <c:strCache>
                <c:ptCount val="1"/>
                <c:pt idx="0">
                  <c:v>S_MSS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Cumulative!$C$47</c:f>
              <c:numCache>
                <c:formatCode>0.00</c:formatCode>
                <c:ptCount val="1"/>
                <c:pt idx="0">
                  <c:v>95.591647331786547</c:v>
                </c:pt>
              </c:numCache>
            </c:numRef>
          </c:xVal>
          <c:yVal>
            <c:numRef>
              <c:f>Cumulative!$D$47</c:f>
              <c:numCache>
                <c:formatCode>0.00</c:formatCode>
                <c:ptCount val="1"/>
                <c:pt idx="0">
                  <c:v>84.426229508196727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C259-4B13-8B42-A73D317F7491}"/>
            </c:ext>
          </c:extLst>
        </c:ser>
        <c:ser>
          <c:idx val="3"/>
          <c:order val="17"/>
          <c:tx>
            <c:strRef>
              <c:f>Cumulative!$F$71</c:f>
              <c:strCache>
                <c:ptCount val="1"/>
                <c:pt idx="0">
                  <c:v>S_TM/ETM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Cumulative!$C$71</c:f>
              <c:numCache>
                <c:formatCode>0.00</c:formatCode>
                <c:ptCount val="1"/>
                <c:pt idx="0">
                  <c:v>98.197992700729927</c:v>
                </c:pt>
              </c:numCache>
            </c:numRef>
          </c:xVal>
          <c:yVal>
            <c:numRef>
              <c:f>Cumulative!$D$71</c:f>
              <c:numCache>
                <c:formatCode>0.00</c:formatCode>
                <c:ptCount val="1"/>
                <c:pt idx="0">
                  <c:v>89.111985096253363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C259-4B13-8B42-A73D317F7491}"/>
            </c:ext>
          </c:extLst>
        </c:ser>
        <c:ser>
          <c:idx val="8"/>
          <c:order val="18"/>
          <c:tx>
            <c:strRef>
              <c:f>Cumulative!$F$95</c:f>
              <c:strCache>
                <c:ptCount val="1"/>
                <c:pt idx="0">
                  <c:v>S_OLI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Cumulative!$C$95</c:f>
              <c:numCache>
                <c:formatCode>0.00</c:formatCode>
                <c:ptCount val="1"/>
                <c:pt idx="0">
                  <c:v>99.480249480249483</c:v>
                </c:pt>
              </c:numCache>
            </c:numRef>
          </c:xVal>
          <c:yVal>
            <c:numRef>
              <c:f>Cumulative!$D$95</c:f>
              <c:numCache>
                <c:formatCode>0.00</c:formatCode>
                <c:ptCount val="1"/>
                <c:pt idx="0">
                  <c:v>94.846382556987123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C259-4B13-8B42-A73D317F7491}"/>
            </c:ext>
          </c:extLst>
        </c:ser>
        <c:ser>
          <c:idx val="13"/>
          <c:order val="19"/>
          <c:tx>
            <c:strRef>
              <c:f>Cumulative!$F$119</c:f>
              <c:strCache>
                <c:ptCount val="1"/>
                <c:pt idx="0">
                  <c:v>S_MSI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8"/>
            <c:spPr>
              <a:solidFill>
                <a:srgbClr val="AD8D06">
                  <a:alpha val="20000"/>
                </a:srgbClr>
              </a:solidFill>
              <a:ln w="25400">
                <a:solidFill>
                  <a:srgbClr val="AD8D06"/>
                </a:solidFill>
              </a:ln>
              <a:effectLst/>
            </c:spPr>
          </c:marker>
          <c:xVal>
            <c:numRef>
              <c:f>Cumulative!$C$119</c:f>
              <c:numCache>
                <c:formatCode>0.00</c:formatCode>
                <c:ptCount val="1"/>
                <c:pt idx="0">
                  <c:v>98.65702479338843</c:v>
                </c:pt>
              </c:numCache>
            </c:numRef>
          </c:xVal>
          <c:yVal>
            <c:numRef>
              <c:f>Cumulative!$D$119</c:f>
              <c:numCache>
                <c:formatCode>0.00</c:formatCode>
                <c:ptCount val="1"/>
                <c:pt idx="0">
                  <c:v>94.274432379072053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C259-4B13-8B42-A73D317F7491}"/>
            </c:ext>
          </c:extLst>
        </c:ser>
        <c:ser>
          <c:idx val="14"/>
          <c:order val="20"/>
          <c:tx>
            <c:strRef>
              <c:f>Cumulative!$S$49</c:f>
              <c:strCache>
                <c:ptCount val="1"/>
                <c:pt idx="0">
                  <c:v>W_JAN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25400">
                <a:solidFill>
                  <a:srgbClr val="1F9DFF"/>
                </a:solidFill>
              </a:ln>
              <a:effectLst/>
            </c:spPr>
          </c:marker>
          <c:xVal>
            <c:numRef>
              <c:f>Cumulative!$P$49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Cumulative!$Q$49</c:f>
              <c:numCache>
                <c:formatCode>0.00</c:formatCode>
                <c:ptCount val="1"/>
                <c:pt idx="0">
                  <c:v>99.9015748031496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2F-4651-A486-029B3EDEA083}"/>
            </c:ext>
          </c:extLst>
        </c:ser>
        <c:ser>
          <c:idx val="19"/>
          <c:order val="21"/>
          <c:tx>
            <c:strRef>
              <c:f>Cumulative!$S$73</c:f>
              <c:strCache>
                <c:ptCount val="1"/>
                <c:pt idx="0">
                  <c:v>W_JAN-FEB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38100" cmpd="dbl">
                <a:solidFill>
                  <a:srgbClr val="1F9DFF"/>
                </a:solidFill>
                <a:prstDash val="solid"/>
                <a:round/>
                <a:headEnd type="none"/>
              </a:ln>
              <a:effectLst/>
            </c:spPr>
          </c:marker>
          <c:xVal>
            <c:numRef>
              <c:f>Cumulative!$P$73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Cumulative!$Q$73</c:f>
              <c:numCache>
                <c:formatCode>0.00</c:formatCode>
                <c:ptCount val="1"/>
                <c:pt idx="0">
                  <c:v>95.974842767295598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2F-4651-A486-029B3EDEA083}"/>
            </c:ext>
          </c:extLst>
        </c:ser>
        <c:ser>
          <c:idx val="24"/>
          <c:order val="22"/>
          <c:tx>
            <c:strRef>
              <c:f>Cumulative!$S$97</c:f>
              <c:strCache>
                <c:ptCount val="1"/>
                <c:pt idx="0">
                  <c:v>W_DEC-FEB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50800" cmpd="tri">
                <a:solidFill>
                  <a:srgbClr val="1F9DFF"/>
                </a:solidFill>
                <a:prstDash val="solid"/>
                <a:round/>
                <a:tailEnd type="oval"/>
              </a:ln>
              <a:effectLst/>
            </c:spPr>
          </c:marker>
          <c:xVal>
            <c:numRef>
              <c:f>Cumulative!$P$97</c:f>
              <c:numCache>
                <c:formatCode>0.00</c:formatCode>
                <c:ptCount val="1"/>
                <c:pt idx="0">
                  <c:v>99.678456591639872</c:v>
                </c:pt>
              </c:numCache>
            </c:numRef>
          </c:xVal>
          <c:yVal>
            <c:numRef>
              <c:f>Cumulative!$Q$97</c:f>
              <c:numCache>
                <c:formatCode>0.00</c:formatCode>
                <c:ptCount val="1"/>
                <c:pt idx="0">
                  <c:v>45.857988165680474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2F-4651-A486-029B3EDEA083}"/>
            </c:ext>
          </c:extLst>
        </c:ser>
        <c:ser>
          <c:idx val="29"/>
          <c:order val="23"/>
          <c:tx>
            <c:strRef>
              <c:f>Cumulative!$S$121</c:f>
              <c:strCache>
                <c:ptCount val="1"/>
                <c:pt idx="0">
                  <c:v>W_MAR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solidFill>
                <a:srgbClr val="1F9DFF"/>
              </a:solidFill>
              <a:ln w="38100">
                <a:solidFill>
                  <a:srgbClr val="1F9DFF"/>
                </a:solidFill>
              </a:ln>
              <a:effectLst/>
            </c:spPr>
          </c:marker>
          <c:xVal>
            <c:numRef>
              <c:f>Cumulative!$P$121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Cumulative!$Q$121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32F-4651-A486-029B3EDEA083}"/>
            </c:ext>
          </c:extLst>
        </c:ser>
        <c:ser>
          <c:idx val="34"/>
          <c:order val="24"/>
          <c:tx>
            <c:strRef>
              <c:f>Cumulative!$S$145</c:f>
              <c:strCache>
                <c:ptCount val="1"/>
                <c:pt idx="0">
                  <c:v>W_MAR-APR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50800" cmpd="dbl">
                <a:solidFill>
                  <a:srgbClr val="1F9DFF"/>
                </a:solidFill>
              </a:ln>
              <a:effectLst/>
            </c:spPr>
          </c:marker>
          <c:xVal>
            <c:numRef>
              <c:f>Cumulative!$P$145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Cumulative!$Q$145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32F-4651-A486-029B3EDEA083}"/>
            </c:ext>
          </c:extLst>
        </c:ser>
        <c:ser>
          <c:idx val="39"/>
          <c:order val="25"/>
          <c:tx>
            <c:strRef>
              <c:f>Cumulative!$S$169</c:f>
              <c:strCache>
                <c:ptCount val="1"/>
                <c:pt idx="0">
                  <c:v>W_DEC-APR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38100" cmpd="thinThick">
                <a:solidFill>
                  <a:srgbClr val="1F9DFF"/>
                </a:solidFill>
                <a:prstDash val="solid"/>
              </a:ln>
              <a:effectLst/>
            </c:spPr>
          </c:marker>
          <c:xVal>
            <c:numRef>
              <c:f>Cumulative!$P$169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Cumulative!$Q$169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32F-4651-A486-029B3EDEA083}"/>
            </c:ext>
          </c:extLst>
        </c:ser>
        <c:ser>
          <c:idx val="15"/>
          <c:order val="26"/>
          <c:tx>
            <c:strRef>
              <c:f>Cumulative!$S$50</c:f>
              <c:strCache>
                <c:ptCount val="1"/>
                <c:pt idx="0">
                  <c:v>B_JAN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25400">
                <a:solidFill>
                  <a:srgbClr val="CACDDE"/>
                </a:solidFill>
              </a:ln>
              <a:effectLst/>
            </c:spPr>
          </c:marker>
          <c:xVal>
            <c:numRef>
              <c:f>Cumulative!$P$50</c:f>
              <c:numCache>
                <c:formatCode>0.00</c:formatCode>
                <c:ptCount val="1"/>
                <c:pt idx="0">
                  <c:v>98.4</c:v>
                </c:pt>
              </c:numCache>
            </c:numRef>
          </c:xVal>
          <c:yVal>
            <c:numRef>
              <c:f>Cumulative!$Q$50</c:f>
              <c:numCache>
                <c:formatCode>0.00</c:formatCode>
                <c:ptCount val="1"/>
                <c:pt idx="0">
                  <c:v>90.441176470588232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2F-4651-A486-029B3EDEA083}"/>
            </c:ext>
          </c:extLst>
        </c:ser>
        <c:ser>
          <c:idx val="20"/>
          <c:order val="27"/>
          <c:tx>
            <c:strRef>
              <c:f>Cumulative!$S$74</c:f>
              <c:strCache>
                <c:ptCount val="1"/>
                <c:pt idx="0">
                  <c:v>B_JAN-FEB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38100" cmpd="dbl">
                <a:solidFill>
                  <a:srgbClr val="CACDDE"/>
                </a:solidFill>
                <a:prstDash val="solid"/>
              </a:ln>
              <a:effectLst/>
            </c:spPr>
          </c:marker>
          <c:xVal>
            <c:numRef>
              <c:f>Cumulative!$P$74</c:f>
              <c:numCache>
                <c:formatCode>0.00</c:formatCode>
                <c:ptCount val="1"/>
                <c:pt idx="0">
                  <c:v>86.666666666666671</c:v>
                </c:pt>
              </c:numCache>
            </c:numRef>
          </c:xVal>
          <c:yVal>
            <c:numRef>
              <c:f>Cumulative!$Q$74</c:f>
              <c:numCache>
                <c:formatCode>0.00</c:formatCode>
                <c:ptCount val="1"/>
                <c:pt idx="0">
                  <c:v>99.047619047619051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2F-4651-A486-029B3EDEA083}"/>
            </c:ext>
          </c:extLst>
        </c:ser>
        <c:ser>
          <c:idx val="25"/>
          <c:order val="28"/>
          <c:tx>
            <c:strRef>
              <c:f>Cumulative!$S$98</c:f>
              <c:strCache>
                <c:ptCount val="1"/>
                <c:pt idx="0">
                  <c:v>B_DEC-FEB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50800" cmpd="tri">
                <a:solidFill>
                  <a:srgbClr val="CACDDE"/>
                </a:solidFill>
              </a:ln>
              <a:effectLst/>
            </c:spPr>
          </c:marker>
          <c:xVal>
            <c:numRef>
              <c:f>Cumulative!$P$98</c:f>
              <c:numCache>
                <c:formatCode>0.00</c:formatCode>
                <c:ptCount val="1"/>
                <c:pt idx="0">
                  <c:v>43.116883116883116</c:v>
                </c:pt>
              </c:numCache>
            </c:numRef>
          </c:xVal>
          <c:yVal>
            <c:numRef>
              <c:f>Cumulative!$Q$98</c:f>
              <c:numCache>
                <c:formatCode>0.00</c:formatCode>
                <c:ptCount val="1"/>
                <c:pt idx="0">
                  <c:v>93.258426966292134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32F-4651-A486-029B3EDEA083}"/>
            </c:ext>
          </c:extLst>
        </c:ser>
        <c:ser>
          <c:idx val="30"/>
          <c:order val="29"/>
          <c:tx>
            <c:strRef>
              <c:f>Cumulative!$S$122</c:f>
              <c:strCache>
                <c:ptCount val="1"/>
                <c:pt idx="0">
                  <c:v>B_MAR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38100">
                <a:solidFill>
                  <a:srgbClr val="CACDDE"/>
                </a:solidFill>
              </a:ln>
              <a:effectLst/>
            </c:spPr>
          </c:marker>
          <c:xVal>
            <c:numRef>
              <c:f>Cumulative!$P$122</c:f>
              <c:numCache>
                <c:formatCode>0.00</c:formatCode>
                <c:ptCount val="1"/>
                <c:pt idx="0">
                  <c:v>38.732394366197184</c:v>
                </c:pt>
              </c:numCache>
            </c:numRef>
          </c:xVal>
          <c:yVal>
            <c:numRef>
              <c:f>Cumulative!$Q$122</c:f>
              <c:numCache>
                <c:formatCode>0.00</c:formatCode>
                <c:ptCount val="1"/>
                <c:pt idx="0">
                  <c:v>96.491228070175438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32F-4651-A486-029B3EDEA083}"/>
            </c:ext>
          </c:extLst>
        </c:ser>
        <c:ser>
          <c:idx val="35"/>
          <c:order val="30"/>
          <c:tx>
            <c:strRef>
              <c:f>Cumulative!$S$146</c:f>
              <c:strCache>
                <c:ptCount val="1"/>
                <c:pt idx="0">
                  <c:v>B_MAR-APR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50800" cmpd="dbl">
                <a:solidFill>
                  <a:srgbClr val="CACDDE"/>
                </a:solidFill>
              </a:ln>
              <a:effectLst/>
            </c:spPr>
          </c:marker>
          <c:xVal>
            <c:numRef>
              <c:f>Cumulative!$P$146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Cumulative!$Q$146</c:f>
              <c:numCache>
                <c:formatCode>0.00</c:formatCode>
                <c:ptCount val="1"/>
                <c:pt idx="0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32F-4651-A486-029B3EDEA083}"/>
            </c:ext>
          </c:extLst>
        </c:ser>
        <c:ser>
          <c:idx val="40"/>
          <c:order val="31"/>
          <c:tx>
            <c:strRef>
              <c:f>Cumulative!$S$170</c:f>
              <c:strCache>
                <c:ptCount val="1"/>
                <c:pt idx="0">
                  <c:v>B_DEC-APR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solidFill>
                <a:schemeClr val="accent5">
                  <a:lumMod val="70000"/>
                  <a:lumOff val="30000"/>
                </a:schemeClr>
              </a:solidFill>
              <a:ln w="38100" cmpd="thinThick">
                <a:solidFill>
                  <a:srgbClr val="CACDDE"/>
                </a:solidFill>
                <a:prstDash val="solid"/>
                <a:headEnd type="none"/>
              </a:ln>
              <a:effectLst/>
            </c:spPr>
          </c:marker>
          <c:xVal>
            <c:numRef>
              <c:f>Cumulative!$P$170</c:f>
              <c:numCache>
                <c:formatCode>0.00</c:formatCode>
                <c:ptCount val="1"/>
                <c:pt idx="0">
                  <c:v>90.476190476190482</c:v>
                </c:pt>
              </c:numCache>
            </c:numRef>
          </c:xVal>
          <c:yVal>
            <c:numRef>
              <c:f>Cumulative!$Q$170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032F-4651-A486-029B3EDEA083}"/>
            </c:ext>
          </c:extLst>
        </c:ser>
        <c:ser>
          <c:idx val="16"/>
          <c:order val="32"/>
          <c:tx>
            <c:strRef>
              <c:f>Cumulative!$S$51</c:f>
              <c:strCache>
                <c:ptCount val="1"/>
                <c:pt idx="0">
                  <c:v>A_JAN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25400">
                <a:solidFill>
                  <a:srgbClr val="B1EE2D"/>
                </a:solidFill>
              </a:ln>
              <a:effectLst/>
            </c:spPr>
          </c:marker>
          <c:xVal>
            <c:numRef>
              <c:f>Cumulative!$P$51</c:f>
              <c:numCache>
                <c:formatCode>0.00</c:formatCode>
                <c:ptCount val="1"/>
                <c:pt idx="0">
                  <c:v>93.799772468714451</c:v>
                </c:pt>
              </c:numCache>
            </c:numRef>
          </c:xVal>
          <c:yVal>
            <c:numRef>
              <c:f>Cumulative!$Q$51</c:f>
              <c:numCache>
                <c:formatCode>0.00</c:formatCode>
                <c:ptCount val="1"/>
                <c:pt idx="0">
                  <c:v>99.158147925435955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2F-4651-A486-029B3EDEA083}"/>
            </c:ext>
          </c:extLst>
        </c:ser>
        <c:ser>
          <c:idx val="21"/>
          <c:order val="33"/>
          <c:tx>
            <c:strRef>
              <c:f>Cumulative!$S$75</c:f>
              <c:strCache>
                <c:ptCount val="1"/>
                <c:pt idx="0">
                  <c:v>A_JAN-FEB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38100" cmpd="dbl">
                <a:solidFill>
                  <a:srgbClr val="B1EE2D"/>
                </a:solidFill>
              </a:ln>
              <a:effectLst/>
            </c:spPr>
          </c:marker>
          <c:xVal>
            <c:numRef>
              <c:f>Cumulative!$P$75</c:f>
              <c:numCache>
                <c:formatCode>0.00</c:formatCode>
                <c:ptCount val="1"/>
                <c:pt idx="0">
                  <c:v>89.389265885256023</c:v>
                </c:pt>
              </c:numCache>
            </c:numRef>
          </c:xVal>
          <c:yVal>
            <c:numRef>
              <c:f>Cumulative!$Q$75</c:f>
              <c:numCache>
                <c:formatCode>0.00</c:formatCode>
                <c:ptCount val="1"/>
                <c:pt idx="0">
                  <c:v>99.587628865979383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F-4651-A486-029B3EDEA083}"/>
            </c:ext>
          </c:extLst>
        </c:ser>
        <c:ser>
          <c:idx val="26"/>
          <c:order val="34"/>
          <c:tx>
            <c:strRef>
              <c:f>Cumulative!$S$99</c:f>
              <c:strCache>
                <c:ptCount val="1"/>
                <c:pt idx="0">
                  <c:v>A_DEC-FEB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50800" cmpd="tri">
                <a:solidFill>
                  <a:srgbClr val="B1EE2D"/>
                </a:solidFill>
              </a:ln>
              <a:effectLst/>
            </c:spPr>
          </c:marker>
          <c:xVal>
            <c:numRef>
              <c:f>Cumulative!$P$99</c:f>
              <c:numCache>
                <c:formatCode>0.00</c:formatCode>
                <c:ptCount val="1"/>
                <c:pt idx="0">
                  <c:v>81.254781943381786</c:v>
                </c:pt>
              </c:numCache>
            </c:numRef>
          </c:xVal>
          <c:yVal>
            <c:numRef>
              <c:f>Cumulative!$Q$99</c:f>
              <c:numCache>
                <c:formatCode>0.00</c:formatCode>
                <c:ptCount val="1"/>
                <c:pt idx="0">
                  <c:v>99.020979020979013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32F-4651-A486-029B3EDEA083}"/>
            </c:ext>
          </c:extLst>
        </c:ser>
        <c:ser>
          <c:idx val="31"/>
          <c:order val="35"/>
          <c:tx>
            <c:strRef>
              <c:f>Cumulative!$S$123</c:f>
              <c:strCache>
                <c:ptCount val="1"/>
                <c:pt idx="0">
                  <c:v>A_MAR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38100">
                <a:solidFill>
                  <a:srgbClr val="B1EE2D"/>
                </a:solidFill>
              </a:ln>
              <a:effectLst/>
            </c:spPr>
          </c:marker>
          <c:xVal>
            <c:numRef>
              <c:f>Cumulative!$P$123</c:f>
              <c:numCache>
                <c:formatCode>0.00</c:formatCode>
                <c:ptCount val="1"/>
                <c:pt idx="0">
                  <c:v>97.138964577656679</c:v>
                </c:pt>
              </c:numCache>
            </c:numRef>
          </c:xVal>
          <c:yVal>
            <c:numRef>
              <c:f>Cumulative!$Q$123</c:f>
              <c:numCache>
                <c:formatCode>0.00</c:formatCode>
                <c:ptCount val="1"/>
                <c:pt idx="0">
                  <c:v>96.743554952510181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32F-4651-A486-029B3EDEA083}"/>
            </c:ext>
          </c:extLst>
        </c:ser>
        <c:ser>
          <c:idx val="36"/>
          <c:order val="36"/>
          <c:tx>
            <c:strRef>
              <c:f>Cumulative!$S$147</c:f>
              <c:strCache>
                <c:ptCount val="1"/>
                <c:pt idx="0">
                  <c:v>A_MAR-APR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50800" cmpd="dbl">
                <a:solidFill>
                  <a:srgbClr val="B1EE2D"/>
                </a:solidFill>
              </a:ln>
              <a:effectLst/>
            </c:spPr>
          </c:marker>
          <c:xVal>
            <c:numRef>
              <c:f>Cumulative!$P$147</c:f>
              <c:numCache>
                <c:formatCode>0.00</c:formatCode>
                <c:ptCount val="1"/>
                <c:pt idx="0">
                  <c:v>84.848484848484844</c:v>
                </c:pt>
              </c:numCache>
            </c:numRef>
          </c:xVal>
          <c:yVal>
            <c:numRef>
              <c:f>Cumulative!$Q$147</c:f>
              <c:numCache>
                <c:formatCode>0.00</c:formatCode>
                <c:ptCount val="1"/>
                <c:pt idx="0">
                  <c:v>98.591549295774655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32F-4651-A486-029B3EDEA083}"/>
            </c:ext>
          </c:extLst>
        </c:ser>
        <c:ser>
          <c:idx val="41"/>
          <c:order val="37"/>
          <c:tx>
            <c:strRef>
              <c:f>Cumulative!$S$171</c:f>
              <c:strCache>
                <c:ptCount val="1"/>
                <c:pt idx="0">
                  <c:v>A_DEC-APR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38100" cmpd="thinThick">
                <a:solidFill>
                  <a:srgbClr val="B1EE2D"/>
                </a:solidFill>
              </a:ln>
              <a:effectLst/>
            </c:spPr>
          </c:marker>
          <c:xVal>
            <c:numRef>
              <c:f>Cumulative!$P$171</c:f>
              <c:numCache>
                <c:formatCode>0.00</c:formatCode>
                <c:ptCount val="1"/>
                <c:pt idx="0">
                  <c:v>95.324675324675326</c:v>
                </c:pt>
              </c:numCache>
            </c:numRef>
          </c:xVal>
          <c:yVal>
            <c:numRef>
              <c:f>Cumulative!$Q$171</c:f>
              <c:numCache>
                <c:formatCode>0.00</c:formatCode>
                <c:ptCount val="1"/>
                <c:pt idx="0">
                  <c:v>99.592944369063773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32F-4651-A486-029B3EDEA083}"/>
            </c:ext>
          </c:extLst>
        </c:ser>
        <c:ser>
          <c:idx val="17"/>
          <c:order val="38"/>
          <c:tx>
            <c:strRef>
              <c:f>Cumulative!$S$52</c:f>
              <c:strCache>
                <c:ptCount val="1"/>
                <c:pt idx="0">
                  <c:v>F_JAN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25400">
                <a:solidFill>
                  <a:srgbClr val="149721"/>
                </a:solidFill>
              </a:ln>
              <a:effectLst/>
            </c:spPr>
          </c:marker>
          <c:xVal>
            <c:numRef>
              <c:f>Cumulative!$P$52</c:f>
              <c:numCache>
                <c:formatCode>0.00</c:formatCode>
                <c:ptCount val="1"/>
                <c:pt idx="0">
                  <c:v>91.451149425287355</c:v>
                </c:pt>
              </c:numCache>
            </c:numRef>
          </c:xVal>
          <c:yVal>
            <c:numRef>
              <c:f>Cumulative!$Q$52</c:f>
              <c:numCache>
                <c:formatCode>0.00</c:formatCode>
                <c:ptCount val="1"/>
                <c:pt idx="0">
                  <c:v>94.717261904761912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2F-4651-A486-029B3EDEA083}"/>
            </c:ext>
          </c:extLst>
        </c:ser>
        <c:ser>
          <c:idx val="22"/>
          <c:order val="39"/>
          <c:tx>
            <c:strRef>
              <c:f>Cumulative!$S$76</c:f>
              <c:strCache>
                <c:ptCount val="1"/>
                <c:pt idx="0">
                  <c:v>F_JAN-FEB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38100" cmpd="dbl">
                <a:solidFill>
                  <a:srgbClr val="149721"/>
                </a:solidFill>
              </a:ln>
              <a:effectLst/>
            </c:spPr>
          </c:marker>
          <c:xVal>
            <c:numRef>
              <c:f>Cumulative!$P$76</c:f>
              <c:numCache>
                <c:formatCode>0.00</c:formatCode>
                <c:ptCount val="1"/>
                <c:pt idx="0">
                  <c:v>90.112994350282477</c:v>
                </c:pt>
              </c:numCache>
            </c:numRef>
          </c:xVal>
          <c:yVal>
            <c:numRef>
              <c:f>Cumulative!$Q$76</c:f>
              <c:numCache>
                <c:formatCode>0.00</c:formatCode>
                <c:ptCount val="1"/>
                <c:pt idx="0">
                  <c:v>97.355035605289928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2F-4651-A486-029B3EDEA083}"/>
            </c:ext>
          </c:extLst>
        </c:ser>
        <c:ser>
          <c:idx val="27"/>
          <c:order val="40"/>
          <c:tx>
            <c:strRef>
              <c:f>Cumulative!$S$100</c:f>
              <c:strCache>
                <c:ptCount val="1"/>
                <c:pt idx="0">
                  <c:v>F_DEC-FEB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50800" cmpd="tri">
                <a:solidFill>
                  <a:srgbClr val="149721"/>
                </a:solidFill>
              </a:ln>
              <a:effectLst/>
            </c:spPr>
          </c:marker>
          <c:xVal>
            <c:numRef>
              <c:f>Cumulative!$P$100</c:f>
              <c:numCache>
                <c:formatCode>0.00</c:formatCode>
                <c:ptCount val="1"/>
                <c:pt idx="0">
                  <c:v>84.997413347128813</c:v>
                </c:pt>
              </c:numCache>
            </c:numRef>
          </c:xVal>
          <c:yVal>
            <c:numRef>
              <c:f>Cumulative!$Q$100</c:f>
              <c:numCache>
                <c:formatCode>0.00</c:formatCode>
                <c:ptCount val="1"/>
                <c:pt idx="0">
                  <c:v>94.752018454440602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32F-4651-A486-029B3EDEA083}"/>
            </c:ext>
          </c:extLst>
        </c:ser>
        <c:ser>
          <c:idx val="32"/>
          <c:order val="41"/>
          <c:tx>
            <c:strRef>
              <c:f>Cumulative!$S$124</c:f>
              <c:strCache>
                <c:ptCount val="1"/>
                <c:pt idx="0">
                  <c:v>F_MAR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38100">
                <a:solidFill>
                  <a:srgbClr val="149721"/>
                </a:solidFill>
              </a:ln>
              <a:effectLst/>
            </c:spPr>
          </c:marker>
          <c:xVal>
            <c:numRef>
              <c:f>Cumulative!$P$124</c:f>
              <c:numCache>
                <c:formatCode>0.00</c:formatCode>
                <c:ptCount val="1"/>
                <c:pt idx="0">
                  <c:v>89.303079416531602</c:v>
                </c:pt>
              </c:numCache>
            </c:numRef>
          </c:xVal>
          <c:yVal>
            <c:numRef>
              <c:f>Cumulative!$Q$124</c:f>
              <c:numCache>
                <c:formatCode>0.00</c:formatCode>
                <c:ptCount val="1"/>
                <c:pt idx="0">
                  <c:v>94.673539518900341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32F-4651-A486-029B3EDEA083}"/>
            </c:ext>
          </c:extLst>
        </c:ser>
        <c:ser>
          <c:idx val="37"/>
          <c:order val="42"/>
          <c:tx>
            <c:strRef>
              <c:f>Cumulative!$S$148</c:f>
              <c:strCache>
                <c:ptCount val="1"/>
                <c:pt idx="0">
                  <c:v>F_MAR-APR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50800" cmpd="dbl">
                <a:solidFill>
                  <a:srgbClr val="149721"/>
                </a:solidFill>
              </a:ln>
              <a:effectLst/>
            </c:spPr>
          </c:marker>
          <c:xVal>
            <c:numRef>
              <c:f>Cumulative!$P$148</c:f>
              <c:numCache>
                <c:formatCode>0.00</c:formatCode>
                <c:ptCount val="1"/>
                <c:pt idx="0">
                  <c:v>85.714285714285708</c:v>
                </c:pt>
              </c:numCache>
            </c:numRef>
          </c:xVal>
          <c:yVal>
            <c:numRef>
              <c:f>Cumulative!$Q$148</c:f>
              <c:numCache>
                <c:formatCode>0.00</c:formatCode>
                <c:ptCount val="1"/>
                <c:pt idx="0">
                  <c:v>87.5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32F-4651-A486-029B3EDEA083}"/>
            </c:ext>
          </c:extLst>
        </c:ser>
        <c:ser>
          <c:idx val="42"/>
          <c:order val="43"/>
          <c:tx>
            <c:strRef>
              <c:f>Cumulative!$S$172</c:f>
              <c:strCache>
                <c:ptCount val="1"/>
                <c:pt idx="0">
                  <c:v>F_DEC-APR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solidFill>
                <a:schemeClr val="accent1">
                  <a:lumMod val="70000"/>
                </a:schemeClr>
              </a:solidFill>
              <a:ln w="38100" cmpd="thinThick">
                <a:solidFill>
                  <a:srgbClr val="149721"/>
                </a:solidFill>
              </a:ln>
              <a:effectLst/>
            </c:spPr>
          </c:marker>
          <c:xVal>
            <c:numRef>
              <c:f>Cumulative!$P$172</c:f>
              <c:numCache>
                <c:formatCode>0.00</c:formatCode>
                <c:ptCount val="1"/>
                <c:pt idx="0">
                  <c:v>90.050590219224276</c:v>
                </c:pt>
              </c:numCache>
            </c:numRef>
          </c:xVal>
          <c:yVal>
            <c:numRef>
              <c:f>Cumulative!$Q$172</c:f>
              <c:numCache>
                <c:formatCode>0.00</c:formatCode>
                <c:ptCount val="1"/>
                <c:pt idx="0">
                  <c:v>91.75257731958763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32F-4651-A486-029B3EDEA083}"/>
            </c:ext>
          </c:extLst>
        </c:ser>
        <c:ser>
          <c:idx val="18"/>
          <c:order val="44"/>
          <c:tx>
            <c:strRef>
              <c:f>Cumulative!$S$53</c:f>
              <c:strCache>
                <c:ptCount val="1"/>
                <c:pt idx="0">
                  <c:v>S_JAN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25400">
                <a:solidFill>
                  <a:srgbClr val="AD8D06"/>
                </a:solidFill>
              </a:ln>
              <a:effectLst/>
            </c:spPr>
          </c:marker>
          <c:xVal>
            <c:numRef>
              <c:f>Cumulative!$P$53</c:f>
              <c:numCache>
                <c:formatCode>0.00</c:formatCode>
                <c:ptCount val="1"/>
                <c:pt idx="0">
                  <c:v>98.688524590163937</c:v>
                </c:pt>
              </c:numCache>
            </c:numRef>
          </c:xVal>
          <c:yVal>
            <c:numRef>
              <c:f>Cumulative!$Q$53</c:f>
              <c:numCache>
                <c:formatCode>0.00</c:formatCode>
                <c:ptCount val="1"/>
                <c:pt idx="0">
                  <c:v>92.983230361871136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2F-4651-A486-029B3EDEA083}"/>
            </c:ext>
          </c:extLst>
        </c:ser>
        <c:ser>
          <c:idx val="23"/>
          <c:order val="45"/>
          <c:tx>
            <c:strRef>
              <c:f>Cumulative!$S$77</c:f>
              <c:strCache>
                <c:ptCount val="1"/>
                <c:pt idx="0">
                  <c:v>S_JAN-FEB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38100" cmpd="dbl">
                <a:solidFill>
                  <a:srgbClr val="AD8D06"/>
                </a:solidFill>
              </a:ln>
              <a:effectLst/>
            </c:spPr>
          </c:marker>
          <c:xVal>
            <c:numRef>
              <c:f>Cumulative!$P$77</c:f>
              <c:numCache>
                <c:formatCode>0.00</c:formatCode>
                <c:ptCount val="1"/>
                <c:pt idx="0">
                  <c:v>99.175126903553306</c:v>
                </c:pt>
              </c:numCache>
            </c:numRef>
          </c:xVal>
          <c:yVal>
            <c:numRef>
              <c:f>Cumulative!$Q$77</c:f>
              <c:numCache>
                <c:formatCode>0.00</c:formatCode>
                <c:ptCount val="1"/>
                <c:pt idx="0">
                  <c:v>86.64079822616408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2F-4651-A486-029B3EDEA083}"/>
            </c:ext>
          </c:extLst>
        </c:ser>
        <c:ser>
          <c:idx val="28"/>
          <c:order val="46"/>
          <c:tx>
            <c:strRef>
              <c:f>Cumulative!$S$101</c:f>
              <c:strCache>
                <c:ptCount val="1"/>
                <c:pt idx="0">
                  <c:v>S_DEC-FEB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noFill/>
              <a:ln w="50800" cmpd="tri">
                <a:solidFill>
                  <a:srgbClr val="AD8D06"/>
                </a:solidFill>
              </a:ln>
              <a:effectLst/>
            </c:spPr>
          </c:marker>
          <c:xVal>
            <c:numRef>
              <c:f>Cumulative!$P$101</c:f>
              <c:numCache>
                <c:formatCode>0.00</c:formatCode>
                <c:ptCount val="1"/>
                <c:pt idx="0">
                  <c:v>99.203049203049204</c:v>
                </c:pt>
              </c:numCache>
            </c:numRef>
          </c:xVal>
          <c:yVal>
            <c:numRef>
              <c:f>Cumulative!$Q$101</c:f>
              <c:numCache>
                <c:formatCode>0.00</c:formatCode>
                <c:ptCount val="1"/>
                <c:pt idx="0">
                  <c:v>94.457274826789842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32F-4651-A486-029B3EDEA083}"/>
            </c:ext>
          </c:extLst>
        </c:ser>
        <c:ser>
          <c:idx val="33"/>
          <c:order val="47"/>
          <c:tx>
            <c:strRef>
              <c:f>Cumulative!$S$125</c:f>
              <c:strCache>
                <c:ptCount val="1"/>
                <c:pt idx="0">
                  <c:v>S_MAR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38100">
                <a:solidFill>
                  <a:srgbClr val="AD8D06"/>
                </a:solidFill>
              </a:ln>
              <a:effectLst/>
            </c:spPr>
          </c:marker>
          <c:xVal>
            <c:numRef>
              <c:f>Cumulative!$P$125</c:f>
              <c:numCache>
                <c:formatCode>0.00</c:formatCode>
                <c:ptCount val="1"/>
                <c:pt idx="0">
                  <c:v>96.524663677130036</c:v>
                </c:pt>
              </c:numCache>
            </c:numRef>
          </c:xVal>
          <c:yVal>
            <c:numRef>
              <c:f>Cumulative!$Q$125</c:f>
              <c:numCache>
                <c:formatCode>0.00</c:formatCode>
                <c:ptCount val="1"/>
                <c:pt idx="0">
                  <c:v>85.332011892963337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32F-4651-A486-029B3EDEA083}"/>
            </c:ext>
          </c:extLst>
        </c:ser>
        <c:ser>
          <c:idx val="38"/>
          <c:order val="48"/>
          <c:tx>
            <c:strRef>
              <c:f>Cumulative!$S$149</c:f>
              <c:strCache>
                <c:ptCount val="1"/>
                <c:pt idx="0">
                  <c:v>S_MAR-APR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ot"/>
            <c:size val="8"/>
            <c:spPr>
              <a:noFill/>
              <a:ln w="50800" cmpd="dbl">
                <a:solidFill>
                  <a:srgbClr val="AD8D06"/>
                </a:solidFill>
              </a:ln>
              <a:effectLst/>
            </c:spPr>
          </c:marker>
          <c:xVal>
            <c:numRef>
              <c:f>Cumulative!$P$149</c:f>
              <c:numCache>
                <c:formatCode>0.00</c:formatCode>
                <c:ptCount val="1"/>
                <c:pt idx="0">
                  <c:v>93.392070484581495</c:v>
                </c:pt>
              </c:numCache>
            </c:numRef>
          </c:xVal>
          <c:yVal>
            <c:numRef>
              <c:f>Cumulative!$Q$149</c:f>
              <c:numCache>
                <c:formatCode>0.00</c:formatCode>
                <c:ptCount val="1"/>
                <c:pt idx="0">
                  <c:v>86.885245901639337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32F-4651-A486-029B3EDEA083}"/>
            </c:ext>
          </c:extLst>
        </c:ser>
        <c:ser>
          <c:idx val="43"/>
          <c:order val="49"/>
          <c:tx>
            <c:strRef>
              <c:f>Cumulative!$S$173</c:f>
              <c:strCache>
                <c:ptCount val="1"/>
                <c:pt idx="0">
                  <c:v>S_DEC-APR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8"/>
            <c:spPr>
              <a:solidFill>
                <a:schemeClr val="accent2">
                  <a:lumMod val="70000"/>
                </a:schemeClr>
              </a:solidFill>
              <a:ln w="38100" cmpd="thinThick">
                <a:solidFill>
                  <a:srgbClr val="AD8D06"/>
                </a:solidFill>
              </a:ln>
              <a:effectLst/>
            </c:spPr>
          </c:marker>
          <c:xVal>
            <c:numRef>
              <c:f>Cumulative!$P$173</c:f>
              <c:numCache>
                <c:formatCode>0.00</c:formatCode>
                <c:ptCount val="1"/>
                <c:pt idx="0">
                  <c:v>97.497393117831081</c:v>
                </c:pt>
              </c:numCache>
            </c:numRef>
          </c:xVal>
          <c:yVal>
            <c:numRef>
              <c:f>Cumulative!$Q$173</c:f>
              <c:numCache>
                <c:formatCode>0.00</c:formatCode>
                <c:ptCount val="1"/>
                <c:pt idx="0">
                  <c:v>92.666005946481661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032F-4651-A486-029B3EDEA083}"/>
            </c:ext>
          </c:extLst>
        </c:ser>
        <c:ser>
          <c:idx val="55"/>
          <c:order val="50"/>
          <c:tx>
            <c:strRef>
              <c:f>Cumulative!$F$19</c:f>
              <c:strCache>
                <c:ptCount val="1"/>
                <c:pt idx="0">
                  <c:v>W_All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002060"/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Cumulative!$C$19</c:f>
              <c:numCache>
                <c:formatCode>0.00</c:formatCode>
                <c:ptCount val="1"/>
                <c:pt idx="0">
                  <c:v>99.941469124963419</c:v>
                </c:pt>
              </c:numCache>
            </c:numRef>
          </c:xVal>
          <c:yVal>
            <c:numRef>
              <c:f>Cumulative!$D$19</c:f>
              <c:numCache>
                <c:formatCode>0.00</c:formatCode>
                <c:ptCount val="1"/>
                <c:pt idx="0">
                  <c:v>81.698564593301441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C259-4B13-8B42-A73D317F7491}"/>
            </c:ext>
          </c:extLst>
        </c:ser>
        <c:ser>
          <c:idx val="56"/>
          <c:order val="51"/>
          <c:tx>
            <c:strRef>
              <c:f>Cumulative!$F$20</c:f>
              <c:strCache>
                <c:ptCount val="1"/>
                <c:pt idx="0">
                  <c:v>B_All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ysClr val="windowText" lastClr="000000">
                  <a:lumMod val="85000"/>
                  <a:lumOff val="15000"/>
                </a:sys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Cumulative!$C$20</c:f>
              <c:numCache>
                <c:formatCode>0.00</c:formatCode>
                <c:ptCount val="1"/>
                <c:pt idx="0">
                  <c:v>60.760998810939363</c:v>
                </c:pt>
              </c:numCache>
            </c:numRef>
          </c:xVal>
          <c:yVal>
            <c:numRef>
              <c:f>Cumulative!$D$20</c:f>
              <c:numCache>
                <c:formatCode>0.00</c:formatCode>
                <c:ptCount val="1"/>
                <c:pt idx="0">
                  <c:v>93.248175182481745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C259-4B13-8B42-A73D317F7491}"/>
            </c:ext>
          </c:extLst>
        </c:ser>
        <c:ser>
          <c:idx val="57"/>
          <c:order val="52"/>
          <c:tx>
            <c:strRef>
              <c:f>Cumulative!$F$21</c:f>
              <c:strCache>
                <c:ptCount val="1"/>
                <c:pt idx="0">
                  <c:v>A_All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Cumulative!$C$21</c:f>
              <c:numCache>
                <c:formatCode>0.00</c:formatCode>
                <c:ptCount val="1"/>
                <c:pt idx="0">
                  <c:v>88.867136517880454</c:v>
                </c:pt>
              </c:numCache>
            </c:numRef>
          </c:xVal>
          <c:yVal>
            <c:numRef>
              <c:f>Cumulative!$D$21</c:f>
              <c:numCache>
                <c:formatCode>0.00</c:formatCode>
                <c:ptCount val="1"/>
                <c:pt idx="0">
                  <c:v>98.982410234045645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C259-4B13-8B42-A73D317F7491}"/>
            </c:ext>
          </c:extLst>
        </c:ser>
        <c:ser>
          <c:idx val="58"/>
          <c:order val="53"/>
          <c:tx>
            <c:strRef>
              <c:f>Cumulative!$F$22</c:f>
              <c:strCache>
                <c:ptCount val="1"/>
                <c:pt idx="0">
                  <c:v>F_All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Cumulative!$C$22</c:f>
              <c:numCache>
                <c:formatCode>0.00</c:formatCode>
                <c:ptCount val="1"/>
                <c:pt idx="0">
                  <c:v>88.509749303621163</c:v>
                </c:pt>
              </c:numCache>
            </c:numRef>
          </c:xVal>
          <c:yVal>
            <c:numRef>
              <c:f>Cumulative!$D$22</c:f>
              <c:numCache>
                <c:formatCode>0.00</c:formatCode>
                <c:ptCount val="1"/>
                <c:pt idx="0">
                  <c:v>94.691748929037061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C259-4B13-8B42-A73D317F7491}"/>
            </c:ext>
          </c:extLst>
        </c:ser>
        <c:ser>
          <c:idx val="59"/>
          <c:order val="54"/>
          <c:tx>
            <c:strRef>
              <c:f>Cumulative!$F$23</c:f>
              <c:strCache>
                <c:ptCount val="1"/>
                <c:pt idx="0">
                  <c:v>S_All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E97132">
                  <a:lumMod val="5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Cumulative!$C$23</c:f>
              <c:numCache>
                <c:formatCode>0.00</c:formatCode>
                <c:ptCount val="1"/>
                <c:pt idx="0">
                  <c:v>98.455331412103746</c:v>
                </c:pt>
              </c:numCache>
            </c:numRef>
          </c:xVal>
          <c:yVal>
            <c:numRef>
              <c:f>Cumulative!$D$23</c:f>
              <c:numCache>
                <c:formatCode>0.00</c:formatCode>
                <c:ptCount val="1"/>
                <c:pt idx="0">
                  <c:v>91.2207625760974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C259-4B13-8B42-A73D317F7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40"/>
        </c:scaling>
        <c:delete val="0"/>
        <c:axPos val="b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01"/>
          <c:min val="40"/>
        </c:scaling>
        <c:delete val="0"/>
        <c:axPos val="l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  <c:majorUnit val="5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290578971746182"/>
          <c:y val="7.16451449494208E-2"/>
          <c:w val="0.33411801760074106"/>
          <c:h val="0.838436184786712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Mode Classification</a:t>
            </a:r>
            <a:endParaRPr lang="en-US" sz="2000"/>
          </a:p>
        </c:rich>
      </c:tx>
      <c:layout>
        <c:manualLayout>
          <c:xMode val="edge"/>
          <c:yMode val="edge"/>
          <c:x val="0.32620683426469255"/>
          <c:y val="1.0282884262081189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95803004567238"/>
          <c:y val="8.196151821393248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Spectral!$R$4</c:f>
              <c:strCache>
                <c:ptCount val="1"/>
                <c:pt idx="0">
                  <c:v>W_77_MSS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Spectral!$R$11</c:f>
                <c:numCache>
                  <c:formatCode>General</c:formatCode>
                  <c:ptCount val="1"/>
                  <c:pt idx="0">
                    <c:v>17.215284539335634</c:v>
                  </c:pt>
                </c:numCache>
              </c:numRef>
            </c:plus>
            <c:minus>
              <c:numRef>
                <c:f>Spectral!$R$11</c:f>
                <c:numCache>
                  <c:formatCode>General</c:formatCode>
                  <c:ptCount val="1"/>
                  <c:pt idx="0">
                    <c:v>17.215284539335634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RRB_all!$D$8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Spectral!$R$10</c:f>
              <c:numCache>
                <c:formatCode>0.00</c:formatCode>
                <c:ptCount val="1"/>
                <c:pt idx="0">
                  <c:v>20.31819680312222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1B-4FE1-92CA-2AF6503B4504}"/>
            </c:ext>
          </c:extLst>
        </c:ser>
        <c:ser>
          <c:idx val="1"/>
          <c:order val="1"/>
          <c:tx>
            <c:strRef>
              <c:f>Spectral!$R$12</c:f>
              <c:strCache>
                <c:ptCount val="1"/>
                <c:pt idx="0">
                  <c:v>W_88_MSS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noFill/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Spectral!$R$19</c:f>
                <c:numCache>
                  <c:formatCode>General</c:formatCode>
                  <c:ptCount val="1"/>
                  <c:pt idx="0">
                    <c:v>5.6860408970687466</c:v>
                  </c:pt>
                </c:numCache>
              </c:numRef>
            </c:plus>
            <c:minus>
              <c:numRef>
                <c:f>Spectral!$R$19</c:f>
                <c:numCache>
                  <c:formatCode>General</c:formatCode>
                  <c:ptCount val="1"/>
                  <c:pt idx="0">
                    <c:v>5.6860408970687466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RRB_all!$D$56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Spectral!$R$18</c:f>
              <c:numCache>
                <c:formatCode>0.00</c:formatCode>
                <c:ptCount val="1"/>
                <c:pt idx="0">
                  <c:v>14.489049250543825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1B-4FE1-92CA-2AF6503B4504}"/>
            </c:ext>
          </c:extLst>
        </c:ser>
        <c:ser>
          <c:idx val="8"/>
          <c:order val="2"/>
          <c:tx>
            <c:strRef>
              <c:f>Spectral!$R$20</c:f>
              <c:strCache>
                <c:ptCount val="1"/>
                <c:pt idx="0">
                  <c:v>W_88_TM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9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Spectral!$R$29</c:f>
                <c:numCache>
                  <c:formatCode>General</c:formatCode>
                  <c:ptCount val="1"/>
                  <c:pt idx="0">
                    <c:v>5.2476054121473057</c:v>
                  </c:pt>
                </c:numCache>
              </c:numRef>
            </c:plus>
            <c:minus>
              <c:numRef>
                <c:f>Spectral!$R$29</c:f>
                <c:numCache>
                  <c:formatCode>General</c:formatCode>
                  <c:ptCount val="1"/>
                  <c:pt idx="0">
                    <c:v>5.2476054121473057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RRB_all!$D$104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Spectral!$R$28</c:f>
              <c:numCache>
                <c:formatCode>0.00</c:formatCode>
                <c:ptCount val="1"/>
                <c:pt idx="0">
                  <c:v>18.305885862161691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1B-4FE1-92CA-2AF6503B4504}"/>
            </c:ext>
          </c:extLst>
        </c:ser>
        <c:ser>
          <c:idx val="15"/>
          <c:order val="3"/>
          <c:tx>
            <c:strRef>
              <c:f>Spectral!$R$30</c:f>
              <c:strCache>
                <c:ptCount val="1"/>
                <c:pt idx="0">
                  <c:v>W_91_TM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9"/>
            <c:spPr>
              <a:noFill/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Spectral!$R$39</c:f>
                <c:numCache>
                  <c:formatCode>General</c:formatCode>
                  <c:ptCount val="1"/>
                  <c:pt idx="0">
                    <c:v>6.779343515851938</c:v>
                  </c:pt>
                </c:numCache>
              </c:numRef>
            </c:plus>
            <c:minus>
              <c:numRef>
                <c:f>Spectral!$R$39</c:f>
                <c:numCache>
                  <c:formatCode>General</c:formatCode>
                  <c:ptCount val="1"/>
                  <c:pt idx="0">
                    <c:v>6.779343515851938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RRB_all!$D$152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Spectral!$R$38</c:f>
              <c:numCache>
                <c:formatCode>0.00</c:formatCode>
                <c:ptCount val="1"/>
                <c:pt idx="0">
                  <c:v>23.793913630452469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1B-4FE1-92CA-2AF6503B4504}"/>
            </c:ext>
          </c:extLst>
        </c:ser>
        <c:ser>
          <c:idx val="20"/>
          <c:order val="4"/>
          <c:tx>
            <c:strRef>
              <c:f>Spectral!$R$40</c:f>
              <c:strCache>
                <c:ptCount val="1"/>
                <c:pt idx="0">
                  <c:v>W_01_TM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1F9DFF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Spectral!$R$49</c:f>
                <c:numCache>
                  <c:formatCode>General</c:formatCode>
                  <c:ptCount val="1"/>
                  <c:pt idx="0">
                    <c:v>5.8050301730393903</c:v>
                  </c:pt>
                </c:numCache>
              </c:numRef>
            </c:plus>
            <c:minus>
              <c:numRef>
                <c:f>Spectral!$R$49</c:f>
                <c:numCache>
                  <c:formatCode>General</c:formatCode>
                  <c:ptCount val="1"/>
                  <c:pt idx="0">
                    <c:v>5.8050301730393903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RRB_all!$D$200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Spectral!$R$48</c:f>
              <c:numCache>
                <c:formatCode>0.00</c:formatCode>
                <c:ptCount val="1"/>
                <c:pt idx="0">
                  <c:v>23.006540334831737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1B-4FE1-92CA-2AF6503B4504}"/>
            </c:ext>
          </c:extLst>
        </c:ser>
        <c:ser>
          <c:idx val="25"/>
          <c:order val="5"/>
          <c:tx>
            <c:strRef>
              <c:f>Spectral!$R$50</c:f>
              <c:strCache>
                <c:ptCount val="1"/>
                <c:pt idx="0">
                  <c:v>W_07_ETM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 cmpd="sng">
                <a:solidFill>
                  <a:srgbClr val="1F9DFF"/>
                </a:solidFill>
                <a:prstDash val="solid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Spectral!$R$59</c:f>
                <c:numCache>
                  <c:formatCode>General</c:formatCode>
                  <c:ptCount val="1"/>
                  <c:pt idx="0">
                    <c:v>0.91001979809757072</c:v>
                  </c:pt>
                </c:numCache>
              </c:numRef>
            </c:plus>
            <c:minus>
              <c:numRef>
                <c:f>Spectral!$R$59</c:f>
                <c:numCache>
                  <c:formatCode>General</c:formatCode>
                  <c:ptCount val="1"/>
                  <c:pt idx="0">
                    <c:v>0.91001979809757072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RRB_all!$D$248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Spectral!$R$58</c:f>
              <c:numCache>
                <c:formatCode>0.00</c:formatCode>
                <c:ptCount val="1"/>
                <c:pt idx="0">
                  <c:v>28.956187655266014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1B-4FE1-92CA-2AF6503B4504}"/>
            </c:ext>
          </c:extLst>
        </c:ser>
        <c:ser>
          <c:idx val="30"/>
          <c:order val="6"/>
          <c:tx>
            <c:strRef>
              <c:f>Spectral!$R$60</c:f>
              <c:strCache>
                <c:ptCount val="1"/>
                <c:pt idx="0">
                  <c:v>W_11_ETM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1F9DFF">
                  <a:alpha val="20000"/>
                </a:srgbClr>
              </a:solidFill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Spectral!$R$69</c:f>
                <c:numCache>
                  <c:formatCode>General</c:formatCode>
                  <c:ptCount val="1"/>
                  <c:pt idx="0">
                    <c:v>4.9452265390191181</c:v>
                  </c:pt>
                </c:numCache>
              </c:numRef>
            </c:plus>
            <c:minus>
              <c:numRef>
                <c:f>Spectral!$R$69</c:f>
                <c:numCache>
                  <c:formatCode>General</c:formatCode>
                  <c:ptCount val="1"/>
                  <c:pt idx="0">
                    <c:v>4.9452265390191181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RRB_all!$D$296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Spectral!$R$68</c:f>
              <c:numCache>
                <c:formatCode>0.00</c:formatCode>
                <c:ptCount val="1"/>
                <c:pt idx="0">
                  <c:v>59.141770412182247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1B-4FE1-92CA-2AF6503B4504}"/>
            </c:ext>
          </c:extLst>
        </c:ser>
        <c:ser>
          <c:idx val="35"/>
          <c:order val="7"/>
          <c:tx>
            <c:strRef>
              <c:f>Spectral!$R$70</c:f>
              <c:strCache>
                <c:ptCount val="1"/>
                <c:pt idx="0">
                  <c:v>W_15_OLI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Spectral!$R$79</c:f>
                <c:numCache>
                  <c:formatCode>General</c:formatCode>
                  <c:ptCount val="1"/>
                  <c:pt idx="0">
                    <c:v>3.5210232345928705</c:v>
                  </c:pt>
                </c:numCache>
              </c:numRef>
            </c:plus>
            <c:minus>
              <c:numRef>
                <c:f>Spectral!$R$79</c:f>
                <c:numCache>
                  <c:formatCode>General</c:formatCode>
                  <c:ptCount val="1"/>
                  <c:pt idx="0">
                    <c:v>3.5210232345928705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RRB_all!$D$344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Spectral!$R$78</c:f>
              <c:numCache>
                <c:formatCode>0.00</c:formatCode>
                <c:ptCount val="1"/>
                <c:pt idx="0">
                  <c:v>46.333347626979915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1B-4FE1-92CA-2AF6503B4504}"/>
            </c:ext>
          </c:extLst>
        </c:ser>
        <c:ser>
          <c:idx val="40"/>
          <c:order val="8"/>
          <c:tx>
            <c:strRef>
              <c:f>Spectral!$R$80</c:f>
              <c:strCache>
                <c:ptCount val="1"/>
                <c:pt idx="0">
                  <c:v>W_19_OLI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F9DFF"/>
                </a:solidFill>
                <a:prstDash val="sysDash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Spectral!$R$89</c:f>
                <c:numCache>
                  <c:formatCode>General</c:formatCode>
                  <c:ptCount val="1"/>
                  <c:pt idx="0">
                    <c:v>1.7387235173960349</c:v>
                  </c:pt>
                </c:numCache>
              </c:numRef>
            </c:plus>
            <c:minus>
              <c:numRef>
                <c:f>Spectral!$R$89</c:f>
                <c:numCache>
                  <c:formatCode>General</c:formatCode>
                  <c:ptCount val="1"/>
                  <c:pt idx="0">
                    <c:v>1.7387235173960349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RRB_all!$D$392</c:f>
              <c:numCache>
                <c:formatCode>0.00</c:formatCode>
                <c:ptCount val="1"/>
                <c:pt idx="0">
                  <c:v>18.637662454662976</c:v>
                </c:pt>
              </c:numCache>
            </c:numRef>
          </c:xVal>
          <c:yVal>
            <c:numRef>
              <c:f>Spectral!$R$88</c:f>
              <c:numCache>
                <c:formatCode>0.00</c:formatCode>
                <c:ptCount val="1"/>
                <c:pt idx="0">
                  <c:v>43.478692905078717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1B-4FE1-92CA-2AF6503B4504}"/>
            </c:ext>
          </c:extLst>
        </c:ser>
        <c:ser>
          <c:idx val="44"/>
          <c:order val="9"/>
          <c:tx>
            <c:strRef>
              <c:f>Spectral!$R$90</c:f>
              <c:strCache>
                <c:ptCount val="1"/>
                <c:pt idx="0">
                  <c:v>W_19_MSI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Spectral!$R$103</c:f>
                <c:numCache>
                  <c:formatCode>General</c:formatCode>
                  <c:ptCount val="1"/>
                  <c:pt idx="0">
                    <c:v>1.1444714354087204</c:v>
                  </c:pt>
                </c:numCache>
              </c:numRef>
            </c:plus>
            <c:minus>
              <c:numRef>
                <c:f>Spectral!$R$103</c:f>
                <c:numCache>
                  <c:formatCode>General</c:formatCode>
                  <c:ptCount val="1"/>
                  <c:pt idx="0">
                    <c:v>1.1444714354087204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RRB_all!$D$440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Spectral!$R$102</c:f>
              <c:numCache>
                <c:formatCode>0.00</c:formatCode>
                <c:ptCount val="1"/>
                <c:pt idx="0">
                  <c:v>42.252016094747638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1B-4FE1-92CA-2AF6503B4504}"/>
            </c:ext>
          </c:extLst>
        </c:ser>
        <c:ser>
          <c:idx val="49"/>
          <c:order val="10"/>
          <c:tx>
            <c:strRef>
              <c:f>Spectral!$R$104</c:f>
              <c:strCache>
                <c:ptCount val="1"/>
                <c:pt idx="0">
                  <c:v>W_24_MSI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31750" cmpd="dbl">
                <a:solidFill>
                  <a:srgbClr val="1F9DFF"/>
                </a:solidFill>
                <a:prstDash val="solid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Spectral!$R$117</c:f>
                <c:numCache>
                  <c:formatCode>General</c:formatCode>
                  <c:ptCount val="1"/>
                  <c:pt idx="0">
                    <c:v>0.24143492441849154</c:v>
                  </c:pt>
                </c:numCache>
              </c:numRef>
            </c:plus>
            <c:minus>
              <c:numRef>
                <c:f>Spectral!$R$117</c:f>
                <c:numCache>
                  <c:formatCode>General</c:formatCode>
                  <c:ptCount val="1"/>
                  <c:pt idx="0">
                    <c:v>0.24143492441849154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RRB_all!$D$488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Spectral!$R$116</c:f>
              <c:numCache>
                <c:formatCode>0.00</c:formatCode>
                <c:ptCount val="1"/>
                <c:pt idx="0">
                  <c:v>30.877904734512924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1B-4FE1-92CA-2AF6503B4504}"/>
            </c:ext>
          </c:extLst>
        </c:ser>
        <c:ser>
          <c:idx val="9"/>
          <c:order val="11"/>
          <c:tx>
            <c:strRef>
              <c:f>Spectral!$S$4</c:f>
              <c:strCache>
                <c:ptCount val="1"/>
                <c:pt idx="0">
                  <c:v>B_77_MSS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RRB_all!$E$9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Spectral!$S$11</c:f>
                <c:numCache>
                  <c:formatCode>General</c:formatCode>
                  <c:ptCount val="1"/>
                  <c:pt idx="0">
                    <c:v>4.5703196416447405</c:v>
                  </c:pt>
                </c:numCache>
              </c:numRef>
            </c:plus>
            <c:minus>
              <c:numRef>
                <c:f>Spectral!$S$11</c:f>
                <c:numCache>
                  <c:formatCode>General</c:formatCode>
                  <c:ptCount val="1"/>
                  <c:pt idx="0">
                    <c:v>4.5703196416447405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RRB_all!$E$8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Spectral!$S$10</c:f>
              <c:numCache>
                <c:formatCode>0.00</c:formatCode>
                <c:ptCount val="1"/>
                <c:pt idx="0">
                  <c:v>29.248755891761768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61B-4FE1-92CA-2AF6503B4504}"/>
            </c:ext>
          </c:extLst>
        </c:ser>
        <c:ser>
          <c:idx val="2"/>
          <c:order val="12"/>
          <c:tx>
            <c:strRef>
              <c:f>Spectral!$S$12</c:f>
              <c:strCache>
                <c:ptCount val="1"/>
                <c:pt idx="0">
                  <c:v>B_88_MSS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chemeClr val="accent3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Spectral!$S$19</c:f>
                <c:numCache>
                  <c:formatCode>General</c:formatCode>
                  <c:ptCount val="1"/>
                  <c:pt idx="0">
                    <c:v>1.8152055005873697</c:v>
                  </c:pt>
                </c:numCache>
              </c:numRef>
            </c:plus>
            <c:minus>
              <c:numRef>
                <c:f>Spectral!$S$19</c:f>
                <c:numCache>
                  <c:formatCode>General</c:formatCode>
                  <c:ptCount val="1"/>
                  <c:pt idx="0">
                    <c:v>1.8152055005873697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RRB_all!$E$57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RRB_all!$E$57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xVal>
            <c:numRef>
              <c:f>RRB_all!$E$56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Spectral!$S$18</c:f>
              <c:numCache>
                <c:formatCode>0.00</c:formatCode>
                <c:ptCount val="1"/>
                <c:pt idx="0">
                  <c:v>15.535564527330074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61B-4FE1-92CA-2AF6503B4504}"/>
            </c:ext>
          </c:extLst>
        </c:ser>
        <c:ser>
          <c:idx val="11"/>
          <c:order val="13"/>
          <c:tx>
            <c:strRef>
              <c:f>Spectral!$S$20</c:f>
              <c:strCache>
                <c:ptCount val="1"/>
                <c:pt idx="0">
                  <c:v>B_88_TM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RRB_all!$E$105</c:f>
                <c:numCache>
                  <c:formatCode>General</c:formatCode>
                  <c:ptCount val="1"/>
                  <c:pt idx="0">
                    <c:v>4.63870055752753</c:v>
                  </c:pt>
                </c:numCache>
              </c:numRef>
            </c:plus>
            <c:minus>
              <c:numRef>
                <c:f>RRB_all!$E$105</c:f>
                <c:numCache>
                  <c:formatCode>General</c:formatCode>
                  <c:ptCount val="1"/>
                  <c:pt idx="0">
                    <c:v>4.63870055752753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Spectral!$S$29</c:f>
                <c:numCache>
                  <c:formatCode>General</c:formatCode>
                  <c:ptCount val="1"/>
                  <c:pt idx="0">
                    <c:v>1.4018369869499341</c:v>
                  </c:pt>
                </c:numCache>
              </c:numRef>
            </c:plus>
            <c:minus>
              <c:numRef>
                <c:f>Spectral!$S$29</c:f>
                <c:numCache>
                  <c:formatCode>General</c:formatCode>
                  <c:ptCount val="1"/>
                  <c:pt idx="0">
                    <c:v>1.4018369869499341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RRB_all!$E$104</c:f>
              <c:numCache>
                <c:formatCode>0.00</c:formatCode>
                <c:ptCount val="1"/>
                <c:pt idx="0">
                  <c:v>86.862366905392705</c:v>
                </c:pt>
              </c:numCache>
            </c:numRef>
          </c:xVal>
          <c:yVal>
            <c:numRef>
              <c:f>Spectral!$S$28</c:f>
              <c:numCache>
                <c:formatCode>0.00</c:formatCode>
                <c:ptCount val="1"/>
                <c:pt idx="0">
                  <c:v>25.031645960563637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61B-4FE1-92CA-2AF6503B4504}"/>
            </c:ext>
          </c:extLst>
        </c:ser>
        <c:ser>
          <c:idx val="16"/>
          <c:order val="14"/>
          <c:tx>
            <c:strRef>
              <c:f>Spectral!$S$30</c:f>
              <c:strCache>
                <c:ptCount val="1"/>
                <c:pt idx="0">
                  <c:v>B_91_TM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CACDDE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RRB_all!$E$153</c:f>
                <c:numCache>
                  <c:formatCode>General</c:formatCode>
                  <c:ptCount val="1"/>
                  <c:pt idx="0">
                    <c:v>6.6894426134528588</c:v>
                  </c:pt>
                </c:numCache>
              </c:numRef>
            </c:plus>
            <c:minus>
              <c:numRef>
                <c:f>RRB_all!$E$153</c:f>
                <c:numCache>
                  <c:formatCode>General</c:formatCode>
                  <c:ptCount val="1"/>
                  <c:pt idx="0">
                    <c:v>6.6894426134528588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Spectral!$S$39</c:f>
                <c:numCache>
                  <c:formatCode>General</c:formatCode>
                  <c:ptCount val="1"/>
                  <c:pt idx="0">
                    <c:v>1.8945958768686111</c:v>
                  </c:pt>
                </c:numCache>
              </c:numRef>
            </c:plus>
            <c:minus>
              <c:numRef>
                <c:f>Spectral!$S$39</c:f>
                <c:numCache>
                  <c:formatCode>General</c:formatCode>
                  <c:ptCount val="1"/>
                  <c:pt idx="0">
                    <c:v>1.8945958768686111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xVal>
            <c:numRef>
              <c:f>RRB_all!$E$152</c:f>
              <c:numCache>
                <c:formatCode>0.00</c:formatCode>
                <c:ptCount val="1"/>
                <c:pt idx="0">
                  <c:v>63.114883321545143</c:v>
                </c:pt>
              </c:numCache>
            </c:numRef>
          </c:xVal>
          <c:yVal>
            <c:numRef>
              <c:f>Spectral!$S$38</c:f>
              <c:numCache>
                <c:formatCode>0.00</c:formatCode>
                <c:ptCount val="1"/>
                <c:pt idx="0">
                  <c:v>26.693652544688383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61B-4FE1-92CA-2AF6503B4504}"/>
            </c:ext>
          </c:extLst>
        </c:ser>
        <c:ser>
          <c:idx val="21"/>
          <c:order val="15"/>
          <c:tx>
            <c:strRef>
              <c:f>Spectral!$S$40</c:f>
              <c:strCache>
                <c:ptCount val="1"/>
                <c:pt idx="0">
                  <c:v>B_01_TM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RRB_all!$E$201</c:f>
                <c:numCache>
                  <c:formatCode>General</c:formatCode>
                  <c:ptCount val="1"/>
                  <c:pt idx="0">
                    <c:v>1.2643538569128034</c:v>
                  </c:pt>
                </c:numCache>
              </c:numRef>
            </c:plus>
            <c:minus>
              <c:numRef>
                <c:f>RRB_all!$E$201</c:f>
                <c:numCache>
                  <c:formatCode>General</c:formatCode>
                  <c:ptCount val="1"/>
                  <c:pt idx="0">
                    <c:v>1.2643538569128034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Spectral!$S$49</c:f>
                <c:numCache>
                  <c:formatCode>General</c:formatCode>
                  <c:ptCount val="1"/>
                  <c:pt idx="0">
                    <c:v>2.0360178481194269</c:v>
                  </c:pt>
                </c:numCache>
              </c:numRef>
            </c:plus>
            <c:minus>
              <c:numRef>
                <c:f>Spectral!$S$49</c:f>
                <c:numCache>
                  <c:formatCode>General</c:formatCode>
                  <c:ptCount val="1"/>
                  <c:pt idx="0">
                    <c:v>2.0360178481194269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RRB_all!$E$200</c:f>
              <c:numCache>
                <c:formatCode>0.00</c:formatCode>
                <c:ptCount val="1"/>
                <c:pt idx="0">
                  <c:v>98.79866685319314</c:v>
                </c:pt>
              </c:numCache>
            </c:numRef>
          </c:xVal>
          <c:yVal>
            <c:numRef>
              <c:f>Spectral!$S$48</c:f>
              <c:numCache>
                <c:formatCode>0.00</c:formatCode>
                <c:ptCount val="1"/>
                <c:pt idx="0">
                  <c:v>30.17858623846314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61B-4FE1-92CA-2AF6503B4504}"/>
            </c:ext>
          </c:extLst>
        </c:ser>
        <c:ser>
          <c:idx val="26"/>
          <c:order val="16"/>
          <c:tx>
            <c:strRef>
              <c:f>Spectral!$S$50</c:f>
              <c:strCache>
                <c:ptCount val="1"/>
                <c:pt idx="0">
                  <c:v>B_07_ETM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RRB_all!$E$249</c:f>
                <c:numCache>
                  <c:formatCode>General</c:formatCode>
                  <c:ptCount val="1"/>
                  <c:pt idx="0">
                    <c:v>0.92125569640840632</c:v>
                  </c:pt>
                </c:numCache>
              </c:numRef>
            </c:plus>
            <c:minus>
              <c:numRef>
                <c:f>RRB_all!$E$249</c:f>
                <c:numCache>
                  <c:formatCode>General</c:formatCode>
                  <c:ptCount val="1"/>
                  <c:pt idx="0">
                    <c:v>0.92125569640840632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Spectral!$S$59</c:f>
                <c:numCache>
                  <c:formatCode>General</c:formatCode>
                  <c:ptCount val="1"/>
                  <c:pt idx="0">
                    <c:v>2.5473185964633065</c:v>
                  </c:pt>
                </c:numCache>
              </c:numRef>
            </c:plus>
            <c:minus>
              <c:numRef>
                <c:f>Spectral!$S$59</c:f>
                <c:numCache>
                  <c:formatCode>General</c:formatCode>
                  <c:ptCount val="1"/>
                  <c:pt idx="0">
                    <c:v>2.5473185964633065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RRB_all!$E$248</c:f>
              <c:numCache>
                <c:formatCode>0.00</c:formatCode>
                <c:ptCount val="1"/>
                <c:pt idx="0">
                  <c:v>98.678872714950131</c:v>
                </c:pt>
              </c:numCache>
            </c:numRef>
          </c:xVal>
          <c:yVal>
            <c:numRef>
              <c:f>Spectral!$S$58</c:f>
              <c:numCache>
                <c:formatCode>0.00</c:formatCode>
                <c:ptCount val="1"/>
                <c:pt idx="0">
                  <c:v>28.665970046396271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61B-4FE1-92CA-2AF6503B4504}"/>
            </c:ext>
          </c:extLst>
        </c:ser>
        <c:ser>
          <c:idx val="31"/>
          <c:order val="17"/>
          <c:tx>
            <c:strRef>
              <c:f>Spectral!$S$60</c:f>
              <c:strCache>
                <c:ptCount val="1"/>
                <c:pt idx="0">
                  <c:v>B_11_ETM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CACDDE">
                  <a:alpha val="20000"/>
                </a:srgbClr>
              </a:solidFill>
              <a:ln w="19050">
                <a:solidFill>
                  <a:srgbClr val="CACDDE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RRB_all!$E$297</c:f>
                <c:numCache>
                  <c:formatCode>General</c:formatCode>
                  <c:ptCount val="1"/>
                  <c:pt idx="0">
                    <c:v>1.7687365199545697</c:v>
                  </c:pt>
                </c:numCache>
              </c:numRef>
            </c:plus>
            <c:minus>
              <c:numRef>
                <c:f>RRB_all!$E$297</c:f>
                <c:numCache>
                  <c:formatCode>General</c:formatCode>
                  <c:ptCount val="1"/>
                  <c:pt idx="0">
                    <c:v>1.7687365199545697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Spectral!$S$69</c:f>
                <c:numCache>
                  <c:formatCode>General</c:formatCode>
                  <c:ptCount val="1"/>
                  <c:pt idx="0">
                    <c:v>2.7058373280754564</c:v>
                  </c:pt>
                </c:numCache>
              </c:numRef>
            </c:plus>
            <c:minus>
              <c:numRef>
                <c:f>Spectral!$S$69</c:f>
                <c:numCache>
                  <c:formatCode>General</c:formatCode>
                  <c:ptCount val="1"/>
                  <c:pt idx="0">
                    <c:v>2.7058373280754564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RRB_all!$E$296</c:f>
              <c:numCache>
                <c:formatCode>0.00</c:formatCode>
                <c:ptCount val="1"/>
                <c:pt idx="0">
                  <c:v>94.127731408382431</c:v>
                </c:pt>
              </c:numCache>
            </c:numRef>
          </c:xVal>
          <c:yVal>
            <c:numRef>
              <c:f>Spectral!$S$68</c:f>
              <c:numCache>
                <c:formatCode>0.00</c:formatCode>
                <c:ptCount val="1"/>
                <c:pt idx="0">
                  <c:v>33.728305162159899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61B-4FE1-92CA-2AF6503B4504}"/>
            </c:ext>
          </c:extLst>
        </c:ser>
        <c:ser>
          <c:idx val="36"/>
          <c:order val="18"/>
          <c:tx>
            <c:strRef>
              <c:f>Spectral!$S$70</c:f>
              <c:strCache>
                <c:ptCount val="1"/>
                <c:pt idx="0">
                  <c:v>B_15_OLI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RRB_all!$E$345</c:f>
                <c:numCache>
                  <c:formatCode>General</c:formatCode>
                  <c:ptCount val="1"/>
                  <c:pt idx="0">
                    <c:v>7.4391633015745233</c:v>
                  </c:pt>
                </c:numCache>
              </c:numRef>
            </c:plus>
            <c:minus>
              <c:numRef>
                <c:f>RRB_all!$E$345</c:f>
                <c:numCache>
                  <c:formatCode>General</c:formatCode>
                  <c:ptCount val="1"/>
                  <c:pt idx="0">
                    <c:v>7.4391633015745233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Spectral!$S$79</c:f>
                <c:numCache>
                  <c:formatCode>General</c:formatCode>
                  <c:ptCount val="1"/>
                  <c:pt idx="0">
                    <c:v>7.170902729586512</c:v>
                  </c:pt>
                </c:numCache>
              </c:numRef>
            </c:plus>
            <c:minus>
              <c:numRef>
                <c:f>Spectral!$S$79</c:f>
                <c:numCache>
                  <c:formatCode>General</c:formatCode>
                  <c:ptCount val="1"/>
                  <c:pt idx="0">
                    <c:v>7.170902729586512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RRB_all!$E$344</c:f>
              <c:numCache>
                <c:formatCode>0.00</c:formatCode>
                <c:ptCount val="1"/>
                <c:pt idx="0">
                  <c:v>88.851367868735252</c:v>
                </c:pt>
              </c:numCache>
            </c:numRef>
          </c:xVal>
          <c:yVal>
            <c:numRef>
              <c:f>Spectral!$S$78</c:f>
              <c:numCache>
                <c:formatCode>0.00</c:formatCode>
                <c:ptCount val="1"/>
                <c:pt idx="0">
                  <c:v>38.364219826466694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C61B-4FE1-92CA-2AF6503B4504}"/>
            </c:ext>
          </c:extLst>
        </c:ser>
        <c:ser>
          <c:idx val="41"/>
          <c:order val="19"/>
          <c:tx>
            <c:strRef>
              <c:f>Spectral!$S$80</c:f>
              <c:strCache>
                <c:ptCount val="1"/>
                <c:pt idx="0">
                  <c:v>B_19_OLI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CACDDE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RRB_all!$E$393</c:f>
                <c:numCache>
                  <c:formatCode>General</c:formatCode>
                  <c:ptCount val="1"/>
                  <c:pt idx="0">
                    <c:v>8.5099752129247985</c:v>
                  </c:pt>
                </c:numCache>
              </c:numRef>
            </c:plus>
            <c:minus>
              <c:numRef>
                <c:f>RRB_all!$E$393</c:f>
                <c:numCache>
                  <c:formatCode>General</c:formatCode>
                  <c:ptCount val="1"/>
                  <c:pt idx="0">
                    <c:v>8.5099752129247985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Spectral!$S$89</c:f>
                <c:numCache>
                  <c:formatCode>General</c:formatCode>
                  <c:ptCount val="1"/>
                  <c:pt idx="0">
                    <c:v>5.643209619801163</c:v>
                  </c:pt>
                </c:numCache>
              </c:numRef>
            </c:plus>
            <c:minus>
              <c:numRef>
                <c:f>Spectral!$S$89</c:f>
                <c:numCache>
                  <c:formatCode>General</c:formatCode>
                  <c:ptCount val="1"/>
                  <c:pt idx="0">
                    <c:v>5.643209619801163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RRB_all!$E$392</c:f>
              <c:numCache>
                <c:formatCode>0.00</c:formatCode>
                <c:ptCount val="1"/>
                <c:pt idx="0">
                  <c:v>83.321823538797602</c:v>
                </c:pt>
              </c:numCache>
            </c:numRef>
          </c:xVal>
          <c:yVal>
            <c:numRef>
              <c:f>Spectral!$S$88</c:f>
              <c:numCache>
                <c:formatCode>0.00</c:formatCode>
                <c:ptCount val="1"/>
                <c:pt idx="0">
                  <c:v>41.466576082329212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C61B-4FE1-92CA-2AF6503B4504}"/>
            </c:ext>
          </c:extLst>
        </c:ser>
        <c:ser>
          <c:idx val="45"/>
          <c:order val="20"/>
          <c:tx>
            <c:strRef>
              <c:f>Spectral!$S$90</c:f>
              <c:strCache>
                <c:ptCount val="1"/>
                <c:pt idx="0">
                  <c:v>B_19_MSI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RRB_all!$E$441</c:f>
                <c:numCache>
                  <c:formatCode>General</c:formatCode>
                  <c:ptCount val="1"/>
                  <c:pt idx="0">
                    <c:v>4.9991847269285401</c:v>
                  </c:pt>
                </c:numCache>
              </c:numRef>
            </c:plus>
            <c:minus>
              <c:numRef>
                <c:f>RRB_all!$E$441</c:f>
                <c:numCache>
                  <c:formatCode>General</c:formatCode>
                  <c:ptCount val="1"/>
                  <c:pt idx="0">
                    <c:v>4.9991847269285401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Spectral!$S$103</c:f>
                <c:numCache>
                  <c:formatCode>General</c:formatCode>
                  <c:ptCount val="1"/>
                  <c:pt idx="0">
                    <c:v>3.8249158129482441</c:v>
                  </c:pt>
                </c:numCache>
              </c:numRef>
            </c:plus>
            <c:minus>
              <c:numRef>
                <c:f>Spectral!$S$103</c:f>
                <c:numCache>
                  <c:formatCode>General</c:formatCode>
                  <c:ptCount val="1"/>
                  <c:pt idx="0">
                    <c:v>3.8249158129482441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RRB_all!$E$440</c:f>
              <c:numCache>
                <c:formatCode>0.00</c:formatCode>
                <c:ptCount val="1"/>
                <c:pt idx="0">
                  <c:v>88.155748523560035</c:v>
                </c:pt>
              </c:numCache>
            </c:numRef>
          </c:xVal>
          <c:yVal>
            <c:numRef>
              <c:f>Spectral!$S$102</c:f>
              <c:numCache>
                <c:formatCode>0.00</c:formatCode>
                <c:ptCount val="1"/>
                <c:pt idx="0">
                  <c:v>33.839260273060404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61B-4FE1-92CA-2AF6503B4504}"/>
            </c:ext>
          </c:extLst>
        </c:ser>
        <c:ser>
          <c:idx val="50"/>
          <c:order val="21"/>
          <c:tx>
            <c:strRef>
              <c:f>Spectral!$S$104</c:f>
              <c:strCache>
                <c:ptCount val="1"/>
                <c:pt idx="0">
                  <c:v>B_24_MSI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31750" cmpd="dbl">
                <a:solidFill>
                  <a:srgbClr val="CACDDE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RRB_all!$E$489</c:f>
                <c:numCache>
                  <c:formatCode>General</c:formatCode>
                  <c:ptCount val="1"/>
                  <c:pt idx="0">
                    <c:v>0.82454163313495754</c:v>
                  </c:pt>
                </c:numCache>
              </c:numRef>
            </c:plus>
            <c:minus>
              <c:numRef>
                <c:f>RRB_all!$E$489</c:f>
                <c:numCache>
                  <c:formatCode>General</c:formatCode>
                  <c:ptCount val="1"/>
                  <c:pt idx="0">
                    <c:v>0.82454163313495754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Spectral!$S$117</c:f>
                <c:numCache>
                  <c:formatCode>General</c:formatCode>
                  <c:ptCount val="1"/>
                  <c:pt idx="0">
                    <c:v>3.2549577125752656</c:v>
                  </c:pt>
                </c:numCache>
              </c:numRef>
            </c:plus>
            <c:minus>
              <c:numRef>
                <c:f>Spectral!$S$117</c:f>
                <c:numCache>
                  <c:formatCode>General</c:formatCode>
                  <c:ptCount val="1"/>
                  <c:pt idx="0">
                    <c:v>3.2549577125752656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RRB_all!$E$488</c:f>
              <c:numCache>
                <c:formatCode>0.00</c:formatCode>
                <c:ptCount val="1"/>
                <c:pt idx="0">
                  <c:v>99.259886526930188</c:v>
                </c:pt>
              </c:numCache>
            </c:numRef>
          </c:xVal>
          <c:yVal>
            <c:numRef>
              <c:f>Spectral!$S$116</c:f>
              <c:numCache>
                <c:formatCode>0.00</c:formatCode>
                <c:ptCount val="1"/>
                <c:pt idx="0">
                  <c:v>30.672211638539576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61B-4FE1-92CA-2AF6503B4504}"/>
            </c:ext>
          </c:extLst>
        </c:ser>
        <c:ser>
          <c:idx val="7"/>
          <c:order val="22"/>
          <c:tx>
            <c:strRef>
              <c:f>Spectral!$T$4</c:f>
              <c:strCache>
                <c:ptCount val="1"/>
                <c:pt idx="0">
                  <c:v>A_77_MSS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RRB_all!$F$9</c:f>
                <c:numCache>
                  <c:formatCode>General</c:formatCode>
                  <c:ptCount val="1"/>
                  <c:pt idx="0">
                    <c:v>0.79631186619877692</c:v>
                  </c:pt>
                </c:numCache>
              </c:numRef>
            </c:plus>
            <c:minus>
              <c:numRef>
                <c:f>RRB_all!$F$9</c:f>
                <c:numCache>
                  <c:formatCode>General</c:formatCode>
                  <c:ptCount val="1"/>
                  <c:pt idx="0">
                    <c:v>0.79631186619877692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Spectral!$T$11</c:f>
                <c:numCache>
                  <c:formatCode>General</c:formatCode>
                  <c:ptCount val="1"/>
                  <c:pt idx="0">
                    <c:v>1.3093912939568166</c:v>
                  </c:pt>
                </c:numCache>
              </c:numRef>
            </c:plus>
            <c:minus>
              <c:numRef>
                <c:f>Spectral!$T$11</c:f>
                <c:numCache>
                  <c:formatCode>General</c:formatCode>
                  <c:ptCount val="1"/>
                  <c:pt idx="0">
                    <c:v>1.3093912939568166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RRB_all!$F$8</c:f>
              <c:numCache>
                <c:formatCode>0.00</c:formatCode>
                <c:ptCount val="1"/>
                <c:pt idx="0">
                  <c:v>98.85075688832292</c:v>
                </c:pt>
              </c:numCache>
            </c:numRef>
          </c:xVal>
          <c:yVal>
            <c:numRef>
              <c:f>Spectral!$T$10</c:f>
              <c:numCache>
                <c:formatCode>0.00</c:formatCode>
                <c:ptCount val="1"/>
                <c:pt idx="0">
                  <c:v>13.817920011101881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61B-4FE1-92CA-2AF6503B4504}"/>
            </c:ext>
          </c:extLst>
        </c:ser>
        <c:ser>
          <c:idx val="3"/>
          <c:order val="23"/>
          <c:tx>
            <c:strRef>
              <c:f>Spectral!$T$12</c:f>
              <c:strCache>
                <c:ptCount val="1"/>
                <c:pt idx="0">
                  <c:v>A_88_MSS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B1EE2D">
                    <a:alpha val="96000"/>
                  </a:srgbClr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RRB_all!$F$57</c:f>
                <c:numCache>
                  <c:formatCode>General</c:formatCode>
                  <c:ptCount val="1"/>
                  <c:pt idx="0">
                    <c:v>0.79812800929093619</c:v>
                  </c:pt>
                </c:numCache>
              </c:numRef>
            </c:plus>
            <c:minus>
              <c:numRef>
                <c:f>RRB_all!$F$57</c:f>
                <c:numCache>
                  <c:formatCode>General</c:formatCode>
                  <c:ptCount val="1"/>
                  <c:pt idx="0">
                    <c:v>0.79812800929093619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Spectral!$T$19</c:f>
                <c:numCache>
                  <c:formatCode>General</c:formatCode>
                  <c:ptCount val="1"/>
                  <c:pt idx="0">
                    <c:v>0.93756600436194282</c:v>
                  </c:pt>
                </c:numCache>
              </c:numRef>
            </c:plus>
            <c:minus>
              <c:numRef>
                <c:f>Spectral!$T$19</c:f>
                <c:numCache>
                  <c:formatCode>General</c:formatCode>
                  <c:ptCount val="1"/>
                  <c:pt idx="0">
                    <c:v>0.93756600436194282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xVal>
            <c:numRef>
              <c:f>RRB_all!$F$56</c:f>
              <c:numCache>
                <c:formatCode>0.00</c:formatCode>
                <c:ptCount val="1"/>
                <c:pt idx="0">
                  <c:v>96.535242971760297</c:v>
                </c:pt>
              </c:numCache>
            </c:numRef>
          </c:xVal>
          <c:yVal>
            <c:numRef>
              <c:f>Spectral!$T$18</c:f>
              <c:numCache>
                <c:formatCode>0.00</c:formatCode>
                <c:ptCount val="1"/>
                <c:pt idx="0">
                  <c:v>13.833743543673338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61B-4FE1-92CA-2AF6503B4504}"/>
            </c:ext>
          </c:extLst>
        </c:ser>
        <c:ser>
          <c:idx val="12"/>
          <c:order val="24"/>
          <c:tx>
            <c:strRef>
              <c:f>Spectral!$T$20</c:f>
              <c:strCache>
                <c:ptCount val="1"/>
                <c:pt idx="0">
                  <c:v>A_88_TM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B1EE2D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RRB_all!$F$105</c:f>
                <c:numCache>
                  <c:formatCode>General</c:formatCode>
                  <c:ptCount val="1"/>
                  <c:pt idx="0">
                    <c:v>0.40381620908914762</c:v>
                  </c:pt>
                </c:numCache>
              </c:numRef>
            </c:plus>
            <c:minus>
              <c:numRef>
                <c:f>RRB_all!$F$105</c:f>
                <c:numCache>
                  <c:formatCode>General</c:formatCode>
                  <c:ptCount val="1"/>
                  <c:pt idx="0">
                    <c:v>0.40381620908914762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Spectral!$T$29</c:f>
                <c:numCache>
                  <c:formatCode>General</c:formatCode>
                  <c:ptCount val="1"/>
                  <c:pt idx="0">
                    <c:v>1.0409779761792113</c:v>
                  </c:pt>
                </c:numCache>
              </c:numRef>
            </c:plus>
            <c:minus>
              <c:numRef>
                <c:f>Spectral!$T$29</c:f>
                <c:numCache>
                  <c:formatCode>General</c:formatCode>
                  <c:ptCount val="1"/>
                  <c:pt idx="0">
                    <c:v>1.0409779761792113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RRB_all!$F$104</c:f>
              <c:numCache>
                <c:formatCode>0.00</c:formatCode>
                <c:ptCount val="1"/>
                <c:pt idx="0">
                  <c:v>97.979806597933575</c:v>
                </c:pt>
              </c:numCache>
            </c:numRef>
          </c:xVal>
          <c:yVal>
            <c:numRef>
              <c:f>Spectral!$T$28</c:f>
              <c:numCache>
                <c:formatCode>0.00</c:formatCode>
                <c:ptCount val="1"/>
                <c:pt idx="0">
                  <c:v>17.187966947000692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61B-4FE1-92CA-2AF6503B4504}"/>
            </c:ext>
          </c:extLst>
        </c:ser>
        <c:ser>
          <c:idx val="17"/>
          <c:order val="25"/>
          <c:tx>
            <c:strRef>
              <c:f>Spectral!$T$30</c:f>
              <c:strCache>
                <c:ptCount val="1"/>
                <c:pt idx="0">
                  <c:v>A_91_TM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B1EE2D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RRB_all!$F$153</c:f>
                <c:numCache>
                  <c:formatCode>General</c:formatCode>
                  <c:ptCount val="1"/>
                  <c:pt idx="0">
                    <c:v>0.30927443114784831</c:v>
                  </c:pt>
                </c:numCache>
              </c:numRef>
            </c:plus>
            <c:minus>
              <c:numRef>
                <c:f>RRB_all!$F$153</c:f>
                <c:numCache>
                  <c:formatCode>General</c:formatCode>
                  <c:ptCount val="1"/>
                  <c:pt idx="0">
                    <c:v>0.30927443114784831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Spectral!$T$39</c:f>
                <c:numCache>
                  <c:formatCode>General</c:formatCode>
                  <c:ptCount val="1"/>
                  <c:pt idx="0">
                    <c:v>1.1774830747443013</c:v>
                  </c:pt>
                </c:numCache>
              </c:numRef>
            </c:plus>
            <c:minus>
              <c:numRef>
                <c:f>Spectral!$T$39</c:f>
                <c:numCache>
                  <c:formatCode>General</c:formatCode>
                  <c:ptCount val="1"/>
                  <c:pt idx="0">
                    <c:v>1.1774830747443013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xVal>
            <c:numRef>
              <c:f>RRB_all!$F$152</c:f>
              <c:numCache>
                <c:formatCode>0.00</c:formatCode>
                <c:ptCount val="1"/>
                <c:pt idx="0">
                  <c:v>98.837452385037693</c:v>
                </c:pt>
              </c:numCache>
            </c:numRef>
          </c:xVal>
          <c:yVal>
            <c:numRef>
              <c:f>Spectral!$T$38</c:f>
              <c:numCache>
                <c:formatCode>0.00</c:formatCode>
                <c:ptCount val="1"/>
                <c:pt idx="0">
                  <c:v>18.722489423589579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61B-4FE1-92CA-2AF6503B4504}"/>
            </c:ext>
          </c:extLst>
        </c:ser>
        <c:ser>
          <c:idx val="22"/>
          <c:order val="26"/>
          <c:tx>
            <c:strRef>
              <c:f>Spectral!$T$40</c:f>
              <c:strCache>
                <c:ptCount val="1"/>
                <c:pt idx="0">
                  <c:v>A_01_TM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RRB_all!$F$201</c:f>
                <c:numCache>
                  <c:formatCode>General</c:formatCode>
                  <c:ptCount val="1"/>
                  <c:pt idx="0">
                    <c:v>0.18810922406212408</c:v>
                  </c:pt>
                </c:numCache>
              </c:numRef>
            </c:plus>
            <c:minus>
              <c:numRef>
                <c:f>RRB_all!$F$201</c:f>
                <c:numCache>
                  <c:formatCode>General</c:formatCode>
                  <c:ptCount val="1"/>
                  <c:pt idx="0">
                    <c:v>0.18810922406212408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Spectral!$T$49</c:f>
                <c:numCache>
                  <c:formatCode>General</c:formatCode>
                  <c:ptCount val="1"/>
                  <c:pt idx="0">
                    <c:v>1.5437083133357004</c:v>
                  </c:pt>
                </c:numCache>
              </c:numRef>
            </c:plus>
            <c:minus>
              <c:numRef>
                <c:f>Spectral!$T$49</c:f>
                <c:numCache>
                  <c:formatCode>General</c:formatCode>
                  <c:ptCount val="1"/>
                  <c:pt idx="0">
                    <c:v>1.5437083133357004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RRB_all!$F$200</c:f>
              <c:numCache>
                <c:formatCode>0.00</c:formatCode>
                <c:ptCount val="1"/>
                <c:pt idx="0">
                  <c:v>99.241698575565096</c:v>
                </c:pt>
              </c:numCache>
            </c:numRef>
          </c:xVal>
          <c:yVal>
            <c:numRef>
              <c:f>Spectral!$T$48</c:f>
              <c:numCache>
                <c:formatCode>0.00</c:formatCode>
                <c:ptCount val="1"/>
                <c:pt idx="0">
                  <c:v>22.870049760544948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61B-4FE1-92CA-2AF6503B4504}"/>
            </c:ext>
          </c:extLst>
        </c:ser>
        <c:ser>
          <c:idx val="27"/>
          <c:order val="27"/>
          <c:tx>
            <c:strRef>
              <c:f>Spectral!$T$50</c:f>
              <c:strCache>
                <c:ptCount val="1"/>
                <c:pt idx="0">
                  <c:v>A_07_ETM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RRB_all!$F$249</c:f>
                <c:numCache>
                  <c:formatCode>General</c:formatCode>
                  <c:ptCount val="1"/>
                  <c:pt idx="0">
                    <c:v>0.39845690455752458</c:v>
                  </c:pt>
                </c:numCache>
              </c:numRef>
            </c:plus>
            <c:minus>
              <c:numRef>
                <c:f>RRB_all!$F$249</c:f>
                <c:numCache>
                  <c:formatCode>General</c:formatCode>
                  <c:ptCount val="1"/>
                  <c:pt idx="0">
                    <c:v>0.39845690455752458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Spectral!$T$59</c:f>
                <c:numCache>
                  <c:formatCode>General</c:formatCode>
                  <c:ptCount val="1"/>
                  <c:pt idx="0">
                    <c:v>1.4464329321204514</c:v>
                  </c:pt>
                </c:numCache>
              </c:numRef>
            </c:plus>
            <c:minus>
              <c:numRef>
                <c:f>Spectral!$T$59</c:f>
                <c:numCache>
                  <c:formatCode>General</c:formatCode>
                  <c:ptCount val="1"/>
                  <c:pt idx="0">
                    <c:v>1.4464329321204514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RRB_all!$F$248</c:f>
              <c:numCache>
                <c:formatCode>0.00</c:formatCode>
                <c:ptCount val="1"/>
                <c:pt idx="0">
                  <c:v>97.652499104338204</c:v>
                </c:pt>
              </c:numCache>
            </c:numRef>
          </c:xVal>
          <c:yVal>
            <c:numRef>
              <c:f>Spectral!$T$58</c:f>
              <c:numCache>
                <c:formatCode>0.00</c:formatCode>
                <c:ptCount val="1"/>
                <c:pt idx="0">
                  <c:v>20.242277919432851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C61B-4FE1-92CA-2AF6503B4504}"/>
            </c:ext>
          </c:extLst>
        </c:ser>
        <c:ser>
          <c:idx val="32"/>
          <c:order val="28"/>
          <c:tx>
            <c:strRef>
              <c:f>Spectral!$T$60</c:f>
              <c:strCache>
                <c:ptCount val="1"/>
                <c:pt idx="0">
                  <c:v>A_11_ETM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B1EE2D">
                  <a:alpha val="20000"/>
                </a:srgbClr>
              </a:solidFill>
              <a:ln w="19050">
                <a:solidFill>
                  <a:srgbClr val="B1EE2D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RRB_all!$F$297</c:f>
                <c:numCache>
                  <c:formatCode>General</c:formatCode>
                  <c:ptCount val="1"/>
                  <c:pt idx="0">
                    <c:v>0.18970017384731178</c:v>
                  </c:pt>
                </c:numCache>
              </c:numRef>
            </c:plus>
            <c:minus>
              <c:numRef>
                <c:f>RRB_all!$F$297</c:f>
                <c:numCache>
                  <c:formatCode>General</c:formatCode>
                  <c:ptCount val="1"/>
                  <c:pt idx="0">
                    <c:v>0.18970017384731178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Spectral!$T$69</c:f>
                <c:numCache>
                  <c:formatCode>General</c:formatCode>
                  <c:ptCount val="1"/>
                  <c:pt idx="0">
                    <c:v>2.2206513665982173</c:v>
                  </c:pt>
                </c:numCache>
              </c:numRef>
            </c:plus>
            <c:minus>
              <c:numRef>
                <c:f>Spectral!$T$69</c:f>
                <c:numCache>
                  <c:formatCode>General</c:formatCode>
                  <c:ptCount val="1"/>
                  <c:pt idx="0">
                    <c:v>2.2206513665982173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RRB_all!$F$296</c:f>
              <c:numCache>
                <c:formatCode>0.00</c:formatCode>
                <c:ptCount val="1"/>
                <c:pt idx="0">
                  <c:v>99.488763222465778</c:v>
                </c:pt>
              </c:numCache>
            </c:numRef>
          </c:xVal>
          <c:yVal>
            <c:numRef>
              <c:f>Spectral!$T$68</c:f>
              <c:numCache>
                <c:formatCode>0.00</c:formatCode>
                <c:ptCount val="1"/>
                <c:pt idx="0">
                  <c:v>21.387692978842963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C61B-4FE1-92CA-2AF6503B4504}"/>
            </c:ext>
          </c:extLst>
        </c:ser>
        <c:ser>
          <c:idx val="37"/>
          <c:order val="29"/>
          <c:tx>
            <c:strRef>
              <c:f>Spectral!$T$70</c:f>
              <c:strCache>
                <c:ptCount val="1"/>
                <c:pt idx="0">
                  <c:v>A_15_OLI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RRB_all!$F$345</c:f>
                <c:numCache>
                  <c:formatCode>General</c:formatCode>
                  <c:ptCount val="1"/>
                  <c:pt idx="0">
                    <c:v>0.16397476248663884</c:v>
                  </c:pt>
                </c:numCache>
              </c:numRef>
            </c:plus>
            <c:minus>
              <c:numRef>
                <c:f>RRB_all!$F$345</c:f>
                <c:numCache>
                  <c:formatCode>General</c:formatCode>
                  <c:ptCount val="1"/>
                  <c:pt idx="0">
                    <c:v>0.16397476248663884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Spectral!$T$79</c:f>
                <c:numCache>
                  <c:formatCode>General</c:formatCode>
                  <c:ptCount val="1"/>
                  <c:pt idx="0">
                    <c:v>7.9681545773591935</c:v>
                  </c:pt>
                </c:numCache>
              </c:numRef>
            </c:plus>
            <c:minus>
              <c:numRef>
                <c:f>Spectral!$T$79</c:f>
                <c:numCache>
                  <c:formatCode>General</c:formatCode>
                  <c:ptCount val="1"/>
                  <c:pt idx="0">
                    <c:v>7.9681545773591935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RRB_all!$F$344</c:f>
              <c:numCache>
                <c:formatCode>0.00</c:formatCode>
                <c:ptCount val="1"/>
                <c:pt idx="0">
                  <c:v>99.683049426169603</c:v>
                </c:pt>
              </c:numCache>
            </c:numRef>
          </c:xVal>
          <c:yVal>
            <c:numRef>
              <c:f>Spectral!$T$78</c:f>
              <c:numCache>
                <c:formatCode>0.00</c:formatCode>
                <c:ptCount val="1"/>
                <c:pt idx="0">
                  <c:v>29.10447462617034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C61B-4FE1-92CA-2AF6503B4504}"/>
            </c:ext>
          </c:extLst>
        </c:ser>
        <c:ser>
          <c:idx val="54"/>
          <c:order val="30"/>
          <c:tx>
            <c:strRef>
              <c:f>Spectral!$T$80</c:f>
              <c:strCache>
                <c:ptCount val="1"/>
                <c:pt idx="0">
                  <c:v>A_19_OLI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B1EE2D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RRB_all!$F$393</c:f>
                <c:numCache>
                  <c:formatCode>General</c:formatCode>
                  <c:ptCount val="1"/>
                  <c:pt idx="0">
                    <c:v>0.16419115828813854</c:v>
                  </c:pt>
                </c:numCache>
              </c:numRef>
            </c:plus>
            <c:minus>
              <c:numRef>
                <c:f>RRB_all!$F$393</c:f>
                <c:numCache>
                  <c:formatCode>General</c:formatCode>
                  <c:ptCount val="1"/>
                  <c:pt idx="0">
                    <c:v>0.16419115828813854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Spectral!$T$89</c:f>
                <c:numCache>
                  <c:formatCode>General</c:formatCode>
                  <c:ptCount val="1"/>
                  <c:pt idx="0">
                    <c:v>6.2387742901565613</c:v>
                  </c:pt>
                </c:numCache>
              </c:numRef>
            </c:plus>
            <c:minus>
              <c:numRef>
                <c:f>Spectral!$T$89</c:f>
                <c:numCache>
                  <c:formatCode>General</c:formatCode>
                  <c:ptCount val="1"/>
                  <c:pt idx="0">
                    <c:v>6.2387742901565613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RRB_all!$F$392</c:f>
              <c:numCache>
                <c:formatCode>0.00</c:formatCode>
                <c:ptCount val="1"/>
                <c:pt idx="0">
                  <c:v>99.242574535516596</c:v>
                </c:pt>
              </c:numCache>
            </c:numRef>
          </c:xVal>
          <c:yVal>
            <c:numRef>
              <c:f>Spectral!$T$88</c:f>
              <c:numCache>
                <c:formatCode>0.00</c:formatCode>
                <c:ptCount val="1"/>
                <c:pt idx="0">
                  <c:v>31.738043896549971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C61B-4FE1-92CA-2AF6503B4504}"/>
            </c:ext>
          </c:extLst>
        </c:ser>
        <c:ser>
          <c:idx val="46"/>
          <c:order val="31"/>
          <c:tx>
            <c:strRef>
              <c:f>Spectral!$T$90</c:f>
              <c:strCache>
                <c:ptCount val="1"/>
                <c:pt idx="0">
                  <c:v>A_19_MSI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RRB_all!$F$441</c:f>
                <c:numCache>
                  <c:formatCode>General</c:formatCode>
                  <c:ptCount val="1"/>
                  <c:pt idx="0">
                    <c:v>0.66097185068799191</c:v>
                  </c:pt>
                </c:numCache>
              </c:numRef>
            </c:plus>
            <c:minus>
              <c:numRef>
                <c:f>RRB_all!$F$441</c:f>
                <c:numCache>
                  <c:formatCode>General</c:formatCode>
                  <c:ptCount val="1"/>
                  <c:pt idx="0">
                    <c:v>0.66097185068799191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Spectral!$T$103</c:f>
                <c:numCache>
                  <c:formatCode>General</c:formatCode>
                  <c:ptCount val="1"/>
                  <c:pt idx="0">
                    <c:v>3.2229661474599731</c:v>
                  </c:pt>
                </c:numCache>
              </c:numRef>
            </c:plus>
            <c:minus>
              <c:numRef>
                <c:f>Spectral!$T$103</c:f>
                <c:numCache>
                  <c:formatCode>General</c:formatCode>
                  <c:ptCount val="1"/>
                  <c:pt idx="0">
                    <c:v>3.2229661474599731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RRB_all!$F$440</c:f>
              <c:numCache>
                <c:formatCode>0.00</c:formatCode>
                <c:ptCount val="1"/>
                <c:pt idx="0">
                  <c:v>94.78796383219894</c:v>
                </c:pt>
              </c:numCache>
            </c:numRef>
          </c:xVal>
          <c:yVal>
            <c:numRef>
              <c:f>Spectral!$T$102</c:f>
              <c:numCache>
                <c:formatCode>0.00</c:formatCode>
                <c:ptCount val="1"/>
                <c:pt idx="0">
                  <c:v>24.608607296767708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C61B-4FE1-92CA-2AF6503B4504}"/>
            </c:ext>
          </c:extLst>
        </c:ser>
        <c:ser>
          <c:idx val="51"/>
          <c:order val="32"/>
          <c:tx>
            <c:strRef>
              <c:f>Spectral!$T$104</c:f>
              <c:strCache>
                <c:ptCount val="1"/>
                <c:pt idx="0">
                  <c:v>A_24_MSI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31750" cmpd="dbl">
                <a:solidFill>
                  <a:srgbClr val="B1EE2D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RRB_all!$F$489</c:f>
                <c:numCache>
                  <c:formatCode>General</c:formatCode>
                  <c:ptCount val="1"/>
                  <c:pt idx="0">
                    <c:v>0.50939438123577674</c:v>
                  </c:pt>
                </c:numCache>
              </c:numRef>
            </c:plus>
            <c:minus>
              <c:numRef>
                <c:f>RRB_all!$F$489</c:f>
                <c:numCache>
                  <c:formatCode>General</c:formatCode>
                  <c:ptCount val="1"/>
                  <c:pt idx="0">
                    <c:v>0.50939438123577674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Spectral!$T$117</c:f>
                <c:numCache>
                  <c:formatCode>General</c:formatCode>
                  <c:ptCount val="1"/>
                  <c:pt idx="0">
                    <c:v>2.241996788702366</c:v>
                  </c:pt>
                </c:numCache>
              </c:numRef>
            </c:plus>
            <c:minus>
              <c:numRef>
                <c:f>Spectral!$T$117</c:f>
                <c:numCache>
                  <c:formatCode>General</c:formatCode>
                  <c:ptCount val="1"/>
                  <c:pt idx="0">
                    <c:v>2.241996788702366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RRB_all!$F$488</c:f>
              <c:numCache>
                <c:formatCode>0.00</c:formatCode>
                <c:ptCount val="1"/>
                <c:pt idx="0">
                  <c:v>96.34502163171301</c:v>
                </c:pt>
              </c:numCache>
            </c:numRef>
          </c:xVal>
          <c:yVal>
            <c:numRef>
              <c:f>Spectral!$T$116</c:f>
              <c:numCache>
                <c:formatCode>0.00</c:formatCode>
                <c:ptCount val="1"/>
                <c:pt idx="0">
                  <c:v>25.162292986201418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C61B-4FE1-92CA-2AF6503B4504}"/>
            </c:ext>
          </c:extLst>
        </c:ser>
        <c:ser>
          <c:idx val="0"/>
          <c:order val="33"/>
          <c:tx>
            <c:strRef>
              <c:f>Spectral!$U$4</c:f>
              <c:strCache>
                <c:ptCount val="1"/>
                <c:pt idx="0">
                  <c:v>F_77_MSS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RRB_all!$G$9</c:f>
                <c:numCache>
                  <c:formatCode>General</c:formatCode>
                  <c:ptCount val="1"/>
                  <c:pt idx="0">
                    <c:v>0.91866069291988228</c:v>
                  </c:pt>
                </c:numCache>
              </c:numRef>
            </c:plus>
            <c:minus>
              <c:numRef>
                <c:f>RRB_all!$G$9</c:f>
                <c:numCache>
                  <c:formatCode>General</c:formatCode>
                  <c:ptCount val="1"/>
                  <c:pt idx="0">
                    <c:v>0.91866069291988228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Spectral!$U$11</c:f>
                <c:numCache>
                  <c:formatCode>General</c:formatCode>
                  <c:ptCount val="1"/>
                  <c:pt idx="0">
                    <c:v>2.7554420081865585</c:v>
                  </c:pt>
                </c:numCache>
              </c:numRef>
            </c:plus>
            <c:minus>
              <c:numRef>
                <c:f>Spectral!$U$11</c:f>
                <c:numCache>
                  <c:formatCode>General</c:formatCode>
                  <c:ptCount val="1"/>
                  <c:pt idx="0">
                    <c:v>2.7554420081865585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RRB_all!$G$8</c:f>
              <c:numCache>
                <c:formatCode>0.00</c:formatCode>
                <c:ptCount val="1"/>
                <c:pt idx="0">
                  <c:v>95.489219231114959</c:v>
                </c:pt>
              </c:numCache>
            </c:numRef>
          </c:xVal>
          <c:yVal>
            <c:numRef>
              <c:f>Spectral!$U$10</c:f>
              <c:numCache>
                <c:formatCode>0.00</c:formatCode>
                <c:ptCount val="1"/>
                <c:pt idx="0">
                  <c:v>29.040168431147073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C61B-4FE1-92CA-2AF6503B4504}"/>
            </c:ext>
          </c:extLst>
        </c:ser>
        <c:ser>
          <c:idx val="4"/>
          <c:order val="34"/>
          <c:tx>
            <c:strRef>
              <c:f>Spectral!$U$12</c:f>
              <c:strCache>
                <c:ptCount val="1"/>
                <c:pt idx="0">
                  <c:v>F_88_MSS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RRB_all!$G$57</c:f>
                <c:numCache>
                  <c:formatCode>General</c:formatCode>
                  <c:ptCount val="1"/>
                  <c:pt idx="0">
                    <c:v>2.0011076673482431</c:v>
                  </c:pt>
                </c:numCache>
              </c:numRef>
            </c:plus>
            <c:minus>
              <c:numRef>
                <c:f>RRB_all!$G$57</c:f>
                <c:numCache>
                  <c:formatCode>General</c:formatCode>
                  <c:ptCount val="1"/>
                  <c:pt idx="0">
                    <c:v>2.0011076673482431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Spectral!$U$19</c:f>
                <c:numCache>
                  <c:formatCode>General</c:formatCode>
                  <c:ptCount val="1"/>
                  <c:pt idx="0">
                    <c:v>1.0029823895810097</c:v>
                  </c:pt>
                </c:numCache>
              </c:numRef>
            </c:plus>
            <c:minus>
              <c:numRef>
                <c:f>Spectral!$U$19</c:f>
                <c:numCache>
                  <c:formatCode>General</c:formatCode>
                  <c:ptCount val="1"/>
                  <c:pt idx="0">
                    <c:v>1.0029823895810097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prstDash val="solid"/>
                <a:round/>
              </a:ln>
              <a:effectLst/>
            </c:spPr>
          </c:errBars>
          <c:xVal>
            <c:numRef>
              <c:f>RRB_all!$G$56</c:f>
              <c:numCache>
                <c:formatCode>0.00</c:formatCode>
                <c:ptCount val="1"/>
                <c:pt idx="0">
                  <c:v>94.406392232822043</c:v>
                </c:pt>
              </c:numCache>
            </c:numRef>
          </c:xVal>
          <c:yVal>
            <c:numRef>
              <c:f>Spectral!$U$18</c:f>
              <c:numCache>
                <c:formatCode>0.00</c:formatCode>
                <c:ptCount val="1"/>
                <c:pt idx="0">
                  <c:v>18.710687326859361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C61B-4FE1-92CA-2AF6503B4504}"/>
            </c:ext>
          </c:extLst>
        </c:ser>
        <c:ser>
          <c:idx val="13"/>
          <c:order val="35"/>
          <c:tx>
            <c:strRef>
              <c:f>Spectral!$U$20</c:f>
              <c:strCache>
                <c:ptCount val="1"/>
                <c:pt idx="0">
                  <c:v>F_88_TM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 cmpd="sng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RRB_all!$G$105</c:f>
                <c:numCache>
                  <c:formatCode>General</c:formatCode>
                  <c:ptCount val="1"/>
                  <c:pt idx="0">
                    <c:v>0.46913011862175175</c:v>
                  </c:pt>
                </c:numCache>
              </c:numRef>
            </c:plus>
            <c:minus>
              <c:numRef>
                <c:f>RRB_all!$G$105</c:f>
                <c:numCache>
                  <c:formatCode>General</c:formatCode>
                  <c:ptCount val="1"/>
                  <c:pt idx="0">
                    <c:v>0.46913011862175175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Spectral!$U$29</c:f>
                <c:numCache>
                  <c:formatCode>General</c:formatCode>
                  <c:ptCount val="1"/>
                  <c:pt idx="0">
                    <c:v>2.975797329703568</c:v>
                  </c:pt>
                </c:numCache>
              </c:numRef>
            </c:plus>
            <c:minus>
              <c:numRef>
                <c:f>Spectral!$U$29</c:f>
                <c:numCache>
                  <c:formatCode>General</c:formatCode>
                  <c:ptCount val="1"/>
                  <c:pt idx="0">
                    <c:v>2.975797329703568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RRB_all!$G$104</c:f>
              <c:numCache>
                <c:formatCode>0.00</c:formatCode>
                <c:ptCount val="1"/>
                <c:pt idx="0">
                  <c:v>98.030132383145911</c:v>
                </c:pt>
              </c:numCache>
            </c:numRef>
          </c:xVal>
          <c:yVal>
            <c:numRef>
              <c:f>Spectral!$U$28</c:f>
              <c:numCache>
                <c:formatCode>0.00</c:formatCode>
                <c:ptCount val="1"/>
                <c:pt idx="0">
                  <c:v>27.72918571288767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C61B-4FE1-92CA-2AF6503B4504}"/>
            </c:ext>
          </c:extLst>
        </c:ser>
        <c:ser>
          <c:idx val="18"/>
          <c:order val="36"/>
          <c:tx>
            <c:strRef>
              <c:f>Spectral!$U$30</c:f>
              <c:strCache>
                <c:ptCount val="1"/>
                <c:pt idx="0">
                  <c:v>F_91_TM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RRB_all!$G$153</c:f>
                <c:numCache>
                  <c:formatCode>General</c:formatCode>
                  <c:ptCount val="1"/>
                  <c:pt idx="0">
                    <c:v>1.004030974787786</c:v>
                  </c:pt>
                </c:numCache>
              </c:numRef>
            </c:plus>
            <c:minus>
              <c:numRef>
                <c:f>RRB_all!$G$153</c:f>
                <c:numCache>
                  <c:formatCode>General</c:formatCode>
                  <c:ptCount val="1"/>
                  <c:pt idx="0">
                    <c:v>1.004030974787786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Spectral!$U$39</c:f>
                <c:numCache>
                  <c:formatCode>General</c:formatCode>
                  <c:ptCount val="1"/>
                  <c:pt idx="0">
                    <c:v>2.2947363141352484</c:v>
                  </c:pt>
                </c:numCache>
              </c:numRef>
            </c:plus>
            <c:minus>
              <c:numRef>
                <c:f>Spectral!$U$39</c:f>
                <c:numCache>
                  <c:formatCode>General</c:formatCode>
                  <c:ptCount val="1"/>
                  <c:pt idx="0">
                    <c:v>2.2947363141352484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prstDash val="sysDash"/>
                <a:round/>
              </a:ln>
              <a:effectLst/>
            </c:spPr>
          </c:errBars>
          <c:xVal>
            <c:numRef>
              <c:f>RRB_all!$G$152</c:f>
              <c:numCache>
                <c:formatCode>0.00</c:formatCode>
                <c:ptCount val="1"/>
                <c:pt idx="0">
                  <c:v>95.141137497865557</c:v>
                </c:pt>
              </c:numCache>
            </c:numRef>
          </c:xVal>
          <c:yVal>
            <c:numRef>
              <c:f>Spectral!$U$38</c:f>
              <c:numCache>
                <c:formatCode>0.00</c:formatCode>
                <c:ptCount val="1"/>
                <c:pt idx="0">
                  <c:v>26.810378967744519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C61B-4FE1-92CA-2AF6503B4504}"/>
            </c:ext>
          </c:extLst>
        </c:ser>
        <c:ser>
          <c:idx val="23"/>
          <c:order val="37"/>
          <c:tx>
            <c:strRef>
              <c:f>Spectral!$U$40</c:f>
              <c:strCache>
                <c:ptCount val="1"/>
                <c:pt idx="0">
                  <c:v>F_01_TM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RRB_all!$G$201</c:f>
                <c:numCache>
                  <c:formatCode>General</c:formatCode>
                  <c:ptCount val="1"/>
                  <c:pt idx="0">
                    <c:v>0.2842764990664271</c:v>
                  </c:pt>
                </c:numCache>
              </c:numRef>
            </c:plus>
            <c:minus>
              <c:numRef>
                <c:f>RRB_all!$G$201</c:f>
                <c:numCache>
                  <c:formatCode>General</c:formatCode>
                  <c:ptCount val="1"/>
                  <c:pt idx="0">
                    <c:v>0.2842764990664271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Spectral!$U$49</c:f>
                <c:numCache>
                  <c:formatCode>General</c:formatCode>
                  <c:ptCount val="1"/>
                  <c:pt idx="0">
                    <c:v>2.5923225420307339</c:v>
                  </c:pt>
                </c:numCache>
              </c:numRef>
            </c:plus>
            <c:minus>
              <c:numRef>
                <c:f>Spectral!$U$49</c:f>
                <c:numCache>
                  <c:formatCode>General</c:formatCode>
                  <c:ptCount val="1"/>
                  <c:pt idx="0">
                    <c:v>2.5923225420307339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RRB_all!$G$200</c:f>
              <c:numCache>
                <c:formatCode>0.00</c:formatCode>
                <c:ptCount val="1"/>
                <c:pt idx="0">
                  <c:v>99.221205550886538</c:v>
                </c:pt>
              </c:numCache>
            </c:numRef>
          </c:xVal>
          <c:yVal>
            <c:numRef>
              <c:f>Spectral!$U$48</c:f>
              <c:numCache>
                <c:formatCode>0.00</c:formatCode>
                <c:ptCount val="1"/>
                <c:pt idx="0">
                  <c:v>29.87275449583322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C61B-4FE1-92CA-2AF6503B4504}"/>
            </c:ext>
          </c:extLst>
        </c:ser>
        <c:ser>
          <c:idx val="28"/>
          <c:order val="38"/>
          <c:tx>
            <c:strRef>
              <c:f>Spectral!$U$50</c:f>
              <c:strCache>
                <c:ptCount val="1"/>
                <c:pt idx="0">
                  <c:v>F_07_ETM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RRB_all!$G$249</c:f>
                <c:numCache>
                  <c:formatCode>General</c:formatCode>
                  <c:ptCount val="1"/>
                  <c:pt idx="0">
                    <c:v>0.60295328303488727</c:v>
                  </c:pt>
                </c:numCache>
              </c:numRef>
            </c:plus>
            <c:minus>
              <c:numRef>
                <c:f>RRB_all!$G$249</c:f>
                <c:numCache>
                  <c:formatCode>General</c:formatCode>
                  <c:ptCount val="1"/>
                  <c:pt idx="0">
                    <c:v>0.60295328303488727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Spectral!$U$59</c:f>
                <c:numCache>
                  <c:formatCode>General</c:formatCode>
                  <c:ptCount val="1"/>
                  <c:pt idx="0">
                    <c:v>1.4788191452961938</c:v>
                  </c:pt>
                </c:numCache>
              </c:numRef>
            </c:plus>
            <c:minus>
              <c:numRef>
                <c:f>Spectral!$U$59</c:f>
                <c:numCache>
                  <c:formatCode>General</c:formatCode>
                  <c:ptCount val="1"/>
                  <c:pt idx="0">
                    <c:v>1.4788191452961938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RRB_all!$G$248</c:f>
              <c:numCache>
                <c:formatCode>0.00</c:formatCode>
                <c:ptCount val="1"/>
                <c:pt idx="0">
                  <c:v>98.33232169578622</c:v>
                </c:pt>
              </c:numCache>
            </c:numRef>
          </c:xVal>
          <c:yVal>
            <c:numRef>
              <c:f>Spectral!$U$58</c:f>
              <c:numCache>
                <c:formatCode>0.00</c:formatCode>
                <c:ptCount val="1"/>
                <c:pt idx="0">
                  <c:v>31.59602825717792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C61B-4FE1-92CA-2AF6503B4504}"/>
            </c:ext>
          </c:extLst>
        </c:ser>
        <c:ser>
          <c:idx val="33"/>
          <c:order val="39"/>
          <c:tx>
            <c:strRef>
              <c:f>Spectral!$U$60</c:f>
              <c:strCache>
                <c:ptCount val="1"/>
                <c:pt idx="0">
                  <c:v>F_11_ETM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149721">
                  <a:alpha val="20000"/>
                </a:srgbClr>
              </a:solidFill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RRB_all!$G$297</c:f>
                <c:numCache>
                  <c:formatCode>General</c:formatCode>
                  <c:ptCount val="1"/>
                  <c:pt idx="0">
                    <c:v>0.28380854209175477</c:v>
                  </c:pt>
                </c:numCache>
              </c:numRef>
            </c:plus>
            <c:minus>
              <c:numRef>
                <c:f>RRB_all!$G$297</c:f>
                <c:numCache>
                  <c:formatCode>General</c:formatCode>
                  <c:ptCount val="1"/>
                  <c:pt idx="0">
                    <c:v>0.28380854209175477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Spectral!$U$69</c:f>
                <c:numCache>
                  <c:formatCode>General</c:formatCode>
                  <c:ptCount val="1"/>
                  <c:pt idx="0">
                    <c:v>1.2204829179408159</c:v>
                  </c:pt>
                </c:numCache>
              </c:numRef>
            </c:plus>
            <c:minus>
              <c:numRef>
                <c:f>Spectral!$U$69</c:f>
                <c:numCache>
                  <c:formatCode>General</c:formatCode>
                  <c:ptCount val="1"/>
                  <c:pt idx="0">
                    <c:v>1.2204829179408159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RRB_all!$G$296</c:f>
              <c:numCache>
                <c:formatCode>0.00</c:formatCode>
                <c:ptCount val="1"/>
                <c:pt idx="0">
                  <c:v>98.90995720008668</c:v>
                </c:pt>
              </c:numCache>
            </c:numRef>
          </c:xVal>
          <c:yVal>
            <c:numRef>
              <c:f>Spectral!$U$68</c:f>
              <c:numCache>
                <c:formatCode>0.00</c:formatCode>
                <c:ptCount val="1"/>
                <c:pt idx="0">
                  <c:v>30.317475253869958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C61B-4FE1-92CA-2AF6503B4504}"/>
            </c:ext>
          </c:extLst>
        </c:ser>
        <c:ser>
          <c:idx val="38"/>
          <c:order val="40"/>
          <c:tx>
            <c:strRef>
              <c:f>Spectral!$U$70</c:f>
              <c:strCache>
                <c:ptCount val="1"/>
                <c:pt idx="0">
                  <c:v>F_15_OLI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RRB_all!$G$345</c:f>
                <c:numCache>
                  <c:formatCode>General</c:formatCode>
                  <c:ptCount val="1"/>
                  <c:pt idx="0">
                    <c:v>0.41095659350023561</c:v>
                  </c:pt>
                </c:numCache>
              </c:numRef>
            </c:plus>
            <c:minus>
              <c:numRef>
                <c:f>RRB_all!$G$345</c:f>
                <c:numCache>
                  <c:formatCode>General</c:formatCode>
                  <c:ptCount val="1"/>
                  <c:pt idx="0">
                    <c:v>0.41095659350023561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Spectral!$U$79</c:f>
                <c:numCache>
                  <c:formatCode>General</c:formatCode>
                  <c:ptCount val="1"/>
                  <c:pt idx="0">
                    <c:v>5.8365142592491406</c:v>
                  </c:pt>
                </c:numCache>
              </c:numRef>
            </c:plus>
            <c:minus>
              <c:numRef>
                <c:f>Spectral!$U$79</c:f>
                <c:numCache>
                  <c:formatCode>General</c:formatCode>
                  <c:ptCount val="1"/>
                  <c:pt idx="0">
                    <c:v>5.8365142592491406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RRB_all!$G$344</c:f>
              <c:numCache>
                <c:formatCode>0.00</c:formatCode>
                <c:ptCount val="1"/>
                <c:pt idx="0">
                  <c:v>98.553814253377908</c:v>
                </c:pt>
              </c:numCache>
            </c:numRef>
          </c:xVal>
          <c:yVal>
            <c:numRef>
              <c:f>Spectral!$U$78</c:f>
              <c:numCache>
                <c:formatCode>0.00</c:formatCode>
                <c:ptCount val="1"/>
                <c:pt idx="0">
                  <c:v>51.284597081533548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C61B-4FE1-92CA-2AF6503B4504}"/>
            </c:ext>
          </c:extLst>
        </c:ser>
        <c:ser>
          <c:idx val="42"/>
          <c:order val="41"/>
          <c:tx>
            <c:strRef>
              <c:f>Spectral!$U$80</c:f>
              <c:strCache>
                <c:ptCount val="1"/>
                <c:pt idx="0">
                  <c:v>F_19_OLI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49721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RRB_all!$G$393</c:f>
                <c:numCache>
                  <c:formatCode>General</c:formatCode>
                  <c:ptCount val="1"/>
                  <c:pt idx="0">
                    <c:v>0.32214844962137273</c:v>
                  </c:pt>
                </c:numCache>
              </c:numRef>
            </c:plus>
            <c:minus>
              <c:numRef>
                <c:f>RRB_all!$G$393</c:f>
                <c:numCache>
                  <c:formatCode>General</c:formatCode>
                  <c:ptCount val="1"/>
                  <c:pt idx="0">
                    <c:v>0.32214844962137273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Spectral!$U$89</c:f>
                <c:numCache>
                  <c:formatCode>General</c:formatCode>
                  <c:ptCount val="1"/>
                  <c:pt idx="0">
                    <c:v>2.6350801280504781</c:v>
                  </c:pt>
                </c:numCache>
              </c:numRef>
            </c:plus>
            <c:minus>
              <c:numRef>
                <c:f>Spectral!$U$89</c:f>
                <c:numCache>
                  <c:formatCode>General</c:formatCode>
                  <c:ptCount val="1"/>
                  <c:pt idx="0">
                    <c:v>2.6350801280504781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RRB_all!$G$392</c:f>
              <c:numCache>
                <c:formatCode>0.00</c:formatCode>
                <c:ptCount val="1"/>
                <c:pt idx="0">
                  <c:v>98.526760953433183</c:v>
                </c:pt>
              </c:numCache>
            </c:numRef>
          </c:xVal>
          <c:yVal>
            <c:numRef>
              <c:f>Spectral!$U$88</c:f>
              <c:numCache>
                <c:formatCode>0.00</c:formatCode>
                <c:ptCount val="1"/>
                <c:pt idx="0">
                  <c:v>40.691991899914036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C61B-4FE1-92CA-2AF6503B4504}"/>
            </c:ext>
          </c:extLst>
        </c:ser>
        <c:ser>
          <c:idx val="47"/>
          <c:order val="42"/>
          <c:tx>
            <c:strRef>
              <c:f>Spectral!$U$90</c:f>
              <c:strCache>
                <c:ptCount val="1"/>
                <c:pt idx="0">
                  <c:v>F_19_MSI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RRB_all!$G$441</c:f>
                <c:numCache>
                  <c:formatCode>General</c:formatCode>
                  <c:ptCount val="1"/>
                  <c:pt idx="0">
                    <c:v>1.1697443872659721</c:v>
                  </c:pt>
                </c:numCache>
              </c:numRef>
            </c:plus>
            <c:minus>
              <c:numRef>
                <c:f>RRB_all!$G$441</c:f>
                <c:numCache>
                  <c:formatCode>General</c:formatCode>
                  <c:ptCount val="1"/>
                  <c:pt idx="0">
                    <c:v>1.1697443872659721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Spectral!$U$103</c:f>
                <c:numCache>
                  <c:formatCode>General</c:formatCode>
                  <c:ptCount val="1"/>
                  <c:pt idx="0">
                    <c:v>3.1995811379096515</c:v>
                  </c:pt>
                </c:numCache>
              </c:numRef>
            </c:plus>
            <c:minus>
              <c:numRef>
                <c:f>Spectral!$U$103</c:f>
                <c:numCache>
                  <c:formatCode>General</c:formatCode>
                  <c:ptCount val="1"/>
                  <c:pt idx="0">
                    <c:v>3.1995811379096515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RRB_all!$G$440</c:f>
              <c:numCache>
                <c:formatCode>0.00</c:formatCode>
                <c:ptCount val="1"/>
                <c:pt idx="0">
                  <c:v>94.967308963684715</c:v>
                </c:pt>
              </c:numCache>
            </c:numRef>
          </c:xVal>
          <c:yVal>
            <c:numRef>
              <c:f>Spectral!$U$102</c:f>
              <c:numCache>
                <c:formatCode>0.00</c:formatCode>
                <c:ptCount val="1"/>
                <c:pt idx="0">
                  <c:v>23.910196634922155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C61B-4FE1-92CA-2AF6503B4504}"/>
            </c:ext>
          </c:extLst>
        </c:ser>
        <c:ser>
          <c:idx val="52"/>
          <c:order val="43"/>
          <c:tx>
            <c:strRef>
              <c:f>Spectral!$U$104</c:f>
              <c:strCache>
                <c:ptCount val="1"/>
                <c:pt idx="0">
                  <c:v>F_24_MSI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31750" cmpd="dbl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RRB_all!$G$489</c:f>
                <c:numCache>
                  <c:formatCode>General</c:formatCode>
                  <c:ptCount val="1"/>
                  <c:pt idx="0">
                    <c:v>0.9298679744581192</c:v>
                  </c:pt>
                </c:numCache>
              </c:numRef>
            </c:plus>
            <c:minus>
              <c:numRef>
                <c:f>RRB_all!$G$489</c:f>
                <c:numCache>
                  <c:formatCode>General</c:formatCode>
                  <c:ptCount val="1"/>
                  <c:pt idx="0">
                    <c:v>0.9298679744581192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Spectral!$U$117</c:f>
                <c:numCache>
                  <c:formatCode>General</c:formatCode>
                  <c:ptCount val="1"/>
                  <c:pt idx="0">
                    <c:v>1.3796064492237268</c:v>
                  </c:pt>
                </c:numCache>
              </c:numRef>
            </c:plus>
            <c:minus>
              <c:numRef>
                <c:f>Spectral!$U$117</c:f>
                <c:numCache>
                  <c:formatCode>General</c:formatCode>
                  <c:ptCount val="1"/>
                  <c:pt idx="0">
                    <c:v>1.3796064492237268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RRB_all!$G$488</c:f>
              <c:numCache>
                <c:formatCode>0.00</c:formatCode>
                <c:ptCount val="1"/>
                <c:pt idx="0">
                  <c:v>96.526158691542264</c:v>
                </c:pt>
              </c:numCache>
            </c:numRef>
          </c:xVal>
          <c:yVal>
            <c:numRef>
              <c:f>Spectral!$U$116</c:f>
              <c:numCache>
                <c:formatCode>0.00</c:formatCode>
                <c:ptCount val="1"/>
                <c:pt idx="0">
                  <c:v>22.797848661276653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C61B-4FE1-92CA-2AF6503B4504}"/>
            </c:ext>
          </c:extLst>
        </c:ser>
        <c:ser>
          <c:idx val="6"/>
          <c:order val="44"/>
          <c:tx>
            <c:strRef>
              <c:f>Spectral!$V$4</c:f>
              <c:strCache>
                <c:ptCount val="1"/>
                <c:pt idx="0">
                  <c:v>S_77_MSS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RRB_all!$H$9</c:f>
                <c:numCache>
                  <c:formatCode>General</c:formatCode>
                  <c:ptCount val="1"/>
                  <c:pt idx="0">
                    <c:v>5.7194625793975327</c:v>
                  </c:pt>
                </c:numCache>
              </c:numRef>
            </c:plus>
            <c:minus>
              <c:numRef>
                <c:f>RRB_all!$H$9</c:f>
                <c:numCache>
                  <c:formatCode>General</c:formatCode>
                  <c:ptCount val="1"/>
                  <c:pt idx="0">
                    <c:v>5.7194625793975327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Spectral!$V$11</c:f>
                <c:numCache>
                  <c:formatCode>General</c:formatCode>
                  <c:ptCount val="1"/>
                  <c:pt idx="0">
                    <c:v>0.39795024099319271</c:v>
                  </c:pt>
                </c:numCache>
              </c:numRef>
            </c:plus>
            <c:minus>
              <c:numRef>
                <c:f>Spectral!$V$11</c:f>
                <c:numCache>
                  <c:formatCode>General</c:formatCode>
                  <c:ptCount val="1"/>
                  <c:pt idx="0">
                    <c:v>0.39795024099319271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RRB_all!$H$8</c:f>
              <c:numCache>
                <c:formatCode>0.00</c:formatCode>
                <c:ptCount val="1"/>
                <c:pt idx="0">
                  <c:v>88.887724830540648</c:v>
                </c:pt>
              </c:numCache>
            </c:numRef>
          </c:xVal>
          <c:yVal>
            <c:numRef>
              <c:f>Spectral!$V$10</c:f>
              <c:numCache>
                <c:formatCode>0.00</c:formatCode>
                <c:ptCount val="1"/>
                <c:pt idx="0">
                  <c:v>8.5157614302872222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C61B-4FE1-92CA-2AF6503B4504}"/>
            </c:ext>
          </c:extLst>
        </c:ser>
        <c:ser>
          <c:idx val="5"/>
          <c:order val="45"/>
          <c:tx>
            <c:strRef>
              <c:f>Spectral!$V$12</c:f>
              <c:strCache>
                <c:ptCount val="1"/>
                <c:pt idx="0">
                  <c:v>S_88_MSS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RRB_all!$H$57</c:f>
                <c:numCache>
                  <c:formatCode>General</c:formatCode>
                  <c:ptCount val="1"/>
                  <c:pt idx="0">
                    <c:v>5.6724398178334381</c:v>
                  </c:pt>
                </c:numCache>
              </c:numRef>
            </c:plus>
            <c:minus>
              <c:numRef>
                <c:f>RRB_all!$H$57</c:f>
                <c:numCache>
                  <c:formatCode>General</c:formatCode>
                  <c:ptCount val="1"/>
                  <c:pt idx="0">
                    <c:v>5.6724398178334381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Spectral!$V$19</c:f>
                <c:numCache>
                  <c:formatCode>General</c:formatCode>
                  <c:ptCount val="1"/>
                  <c:pt idx="0">
                    <c:v>0.55056270876741065</c:v>
                  </c:pt>
                </c:numCache>
              </c:numRef>
            </c:plus>
            <c:minus>
              <c:numRef>
                <c:f>Spectral!$V$19</c:f>
                <c:numCache>
                  <c:formatCode>General</c:formatCode>
                  <c:ptCount val="1"/>
                  <c:pt idx="0">
                    <c:v>0.55056270876741065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olid"/>
                <a:round/>
              </a:ln>
              <a:effectLst/>
            </c:spPr>
          </c:errBars>
          <c:xVal>
            <c:numRef>
              <c:f>RRB_all!$H$56</c:f>
              <c:numCache>
                <c:formatCode>0.00</c:formatCode>
                <c:ptCount val="1"/>
                <c:pt idx="0">
                  <c:v>80.953707553194945</c:v>
                </c:pt>
              </c:numCache>
            </c:numRef>
          </c:xVal>
          <c:yVal>
            <c:numRef>
              <c:f>Spectral!$V$18</c:f>
              <c:numCache>
                <c:formatCode>0.00</c:formatCode>
                <c:ptCount val="1"/>
                <c:pt idx="0">
                  <c:v>8.7226263647970317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C61B-4FE1-92CA-2AF6503B4504}"/>
            </c:ext>
          </c:extLst>
        </c:ser>
        <c:ser>
          <c:idx val="14"/>
          <c:order val="46"/>
          <c:tx>
            <c:strRef>
              <c:f>Spectral!$V$20</c:f>
              <c:strCache>
                <c:ptCount val="1"/>
                <c:pt idx="0">
                  <c:v>S_88_TM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RRB_all!$H$105</c:f>
                <c:numCache>
                  <c:formatCode>General</c:formatCode>
                  <c:ptCount val="1"/>
                  <c:pt idx="0">
                    <c:v>2.9303966484371626</c:v>
                  </c:pt>
                </c:numCache>
              </c:numRef>
            </c:plus>
            <c:minus>
              <c:numRef>
                <c:f>RRB_all!$H$105</c:f>
                <c:numCache>
                  <c:formatCode>General</c:formatCode>
                  <c:ptCount val="1"/>
                  <c:pt idx="0">
                    <c:v>2.9303966484371626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Spectral!$V$29</c:f>
                <c:numCache>
                  <c:formatCode>General</c:formatCode>
                  <c:ptCount val="1"/>
                  <c:pt idx="0">
                    <c:v>0.38710394742734916</c:v>
                  </c:pt>
                </c:numCache>
              </c:numRef>
            </c:plus>
            <c:minus>
              <c:numRef>
                <c:f>Spectral!$V$29</c:f>
                <c:numCache>
                  <c:formatCode>General</c:formatCode>
                  <c:ptCount val="1"/>
                  <c:pt idx="0">
                    <c:v>0.38710394742734916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RRB_all!$H$104</c:f>
              <c:numCache>
                <c:formatCode>0.00</c:formatCode>
                <c:ptCount val="1"/>
                <c:pt idx="0">
                  <c:v>84.161696822879136</c:v>
                </c:pt>
              </c:numCache>
            </c:numRef>
          </c:xVal>
          <c:yVal>
            <c:numRef>
              <c:f>Spectral!$V$28</c:f>
              <c:numCache>
                <c:formatCode>0.00</c:formatCode>
                <c:ptCount val="1"/>
                <c:pt idx="0">
                  <c:v>10.314278380487709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C61B-4FE1-92CA-2AF6503B4504}"/>
            </c:ext>
          </c:extLst>
        </c:ser>
        <c:ser>
          <c:idx val="19"/>
          <c:order val="47"/>
          <c:tx>
            <c:strRef>
              <c:f>Spectral!$V$30</c:f>
              <c:strCache>
                <c:ptCount val="1"/>
                <c:pt idx="0">
                  <c:v>S_91_TM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Spectral!$V$39</c:f>
                <c:numCache>
                  <c:formatCode>General</c:formatCode>
                  <c:ptCount val="1"/>
                  <c:pt idx="0">
                    <c:v>0.59689107675541553</c:v>
                  </c:pt>
                </c:numCache>
              </c:numRef>
            </c:plus>
            <c:minus>
              <c:numRef>
                <c:f>Spectral!$V$39</c:f>
                <c:numCache>
                  <c:formatCode>General</c:formatCode>
                  <c:ptCount val="1"/>
                  <c:pt idx="0">
                    <c:v>0.59689107675541553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RRB_all!$H$153</c:f>
                <c:numCache>
                  <c:formatCode>General</c:formatCode>
                  <c:ptCount val="1"/>
                  <c:pt idx="0">
                    <c:v>3.5781376817224078</c:v>
                  </c:pt>
                </c:numCache>
              </c:numRef>
            </c:plus>
            <c:minus>
              <c:numRef>
                <c:f>RRB_all!$H$153</c:f>
                <c:numCache>
                  <c:formatCode>General</c:formatCode>
                  <c:ptCount val="1"/>
                  <c:pt idx="0">
                    <c:v>3.5781376817224078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ysDot"/>
                <a:round/>
              </a:ln>
              <a:effectLst/>
            </c:spPr>
          </c:errBars>
          <c:xVal>
            <c:numRef>
              <c:f>RRB_all!$H$152</c:f>
              <c:numCache>
                <c:formatCode>0.00</c:formatCode>
                <c:ptCount val="1"/>
                <c:pt idx="0">
                  <c:v>79.940659900565663</c:v>
                </c:pt>
              </c:numCache>
            </c:numRef>
          </c:xVal>
          <c:yVal>
            <c:numRef>
              <c:f>Spectral!$V$38</c:f>
              <c:numCache>
                <c:formatCode>0.00</c:formatCode>
                <c:ptCount val="1"/>
                <c:pt idx="0">
                  <c:v>10.138781233671398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C61B-4FE1-92CA-2AF6503B4504}"/>
            </c:ext>
          </c:extLst>
        </c:ser>
        <c:ser>
          <c:idx val="24"/>
          <c:order val="48"/>
          <c:tx>
            <c:strRef>
              <c:f>Spectral!$V$40</c:f>
              <c:strCache>
                <c:ptCount val="1"/>
                <c:pt idx="0">
                  <c:v>S_01_TM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RRB_all!$H$201</c:f>
                <c:numCache>
                  <c:formatCode>General</c:formatCode>
                  <c:ptCount val="1"/>
                  <c:pt idx="0">
                    <c:v>2.6995655729967534</c:v>
                  </c:pt>
                </c:numCache>
              </c:numRef>
            </c:plus>
            <c:minus>
              <c:numRef>
                <c:f>RRB_all!$H$201</c:f>
                <c:numCache>
                  <c:formatCode>General</c:formatCode>
                  <c:ptCount val="1"/>
                  <c:pt idx="0">
                    <c:v>2.6995655729967534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Spectral!$V$49</c:f>
                <c:numCache>
                  <c:formatCode>General</c:formatCode>
                  <c:ptCount val="1"/>
                  <c:pt idx="0">
                    <c:v>0.40159390465768613</c:v>
                  </c:pt>
                </c:numCache>
              </c:numRef>
            </c:plus>
            <c:minus>
              <c:numRef>
                <c:f>Spectral!$V$49</c:f>
                <c:numCache>
                  <c:formatCode>General</c:formatCode>
                  <c:ptCount val="1"/>
                  <c:pt idx="0">
                    <c:v>0.40159390465768613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RRB_all!$H$200</c:f>
              <c:numCache>
                <c:formatCode>0.00</c:formatCode>
                <c:ptCount val="1"/>
                <c:pt idx="0">
                  <c:v>90.354643132775649</c:v>
                </c:pt>
              </c:numCache>
            </c:numRef>
          </c:xVal>
          <c:yVal>
            <c:numRef>
              <c:f>Spectral!$V$48</c:f>
              <c:numCache>
                <c:formatCode>0.00</c:formatCode>
                <c:ptCount val="1"/>
                <c:pt idx="0">
                  <c:v>10.509531858945168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C61B-4FE1-92CA-2AF6503B4504}"/>
            </c:ext>
          </c:extLst>
        </c:ser>
        <c:ser>
          <c:idx val="29"/>
          <c:order val="49"/>
          <c:tx>
            <c:strRef>
              <c:f>Spectral!$V$50</c:f>
              <c:strCache>
                <c:ptCount val="1"/>
                <c:pt idx="0">
                  <c:v>S_07_ETM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RRB_all!$H$249</c:f>
                <c:numCache>
                  <c:formatCode>General</c:formatCode>
                  <c:ptCount val="1"/>
                  <c:pt idx="0">
                    <c:v>5.0351383233538822</c:v>
                  </c:pt>
                </c:numCache>
              </c:numRef>
            </c:plus>
            <c:minus>
              <c:numRef>
                <c:f>RRB_all!$H$249</c:f>
                <c:numCache>
                  <c:formatCode>General</c:formatCode>
                  <c:ptCount val="1"/>
                  <c:pt idx="0">
                    <c:v>5.0351383233538822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Spectral!$V$59</c:f>
                <c:numCache>
                  <c:formatCode>General</c:formatCode>
                  <c:ptCount val="1"/>
                  <c:pt idx="0">
                    <c:v>0.30486037298028223</c:v>
                  </c:pt>
                </c:numCache>
              </c:numRef>
            </c:plus>
            <c:minus>
              <c:numRef>
                <c:f>Spectral!$V$59</c:f>
                <c:numCache>
                  <c:formatCode>General</c:formatCode>
                  <c:ptCount val="1"/>
                  <c:pt idx="0">
                    <c:v>0.30486037298028223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RRB_all!$H$248</c:f>
              <c:numCache>
                <c:formatCode>0.00</c:formatCode>
                <c:ptCount val="1"/>
                <c:pt idx="0">
                  <c:v>88.162409392304568</c:v>
                </c:pt>
              </c:numCache>
            </c:numRef>
          </c:xVal>
          <c:yVal>
            <c:numRef>
              <c:f>Spectral!$V$58</c:f>
              <c:numCache>
                <c:formatCode>0.00</c:formatCode>
                <c:ptCount val="1"/>
                <c:pt idx="0">
                  <c:v>11.8706750061652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C61B-4FE1-92CA-2AF6503B4504}"/>
            </c:ext>
          </c:extLst>
        </c:ser>
        <c:ser>
          <c:idx val="34"/>
          <c:order val="50"/>
          <c:tx>
            <c:strRef>
              <c:f>Spectral!$V$60</c:f>
              <c:strCache>
                <c:ptCount val="1"/>
                <c:pt idx="0">
                  <c:v>S_11_ETM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AD8D06">
                  <a:alpha val="20000"/>
                </a:srgbClr>
              </a:solidFill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RRB_all!$H$297</c:f>
                <c:numCache>
                  <c:formatCode>General</c:formatCode>
                  <c:ptCount val="1"/>
                  <c:pt idx="0">
                    <c:v>2.5581030678838119</c:v>
                  </c:pt>
                </c:numCache>
              </c:numRef>
            </c:plus>
            <c:minus>
              <c:numRef>
                <c:f>RRB_all!$H$297</c:f>
                <c:numCache>
                  <c:formatCode>General</c:formatCode>
                  <c:ptCount val="1"/>
                  <c:pt idx="0">
                    <c:v>2.5581030678838119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Spectral!$V$69</c:f>
                <c:numCache>
                  <c:formatCode>General</c:formatCode>
                  <c:ptCount val="1"/>
                  <c:pt idx="0">
                    <c:v>1.9969590025923425</c:v>
                  </c:pt>
                </c:numCache>
              </c:numRef>
            </c:plus>
            <c:minus>
              <c:numRef>
                <c:f>Spectral!$V$69</c:f>
                <c:numCache>
                  <c:formatCode>General</c:formatCode>
                  <c:ptCount val="1"/>
                  <c:pt idx="0">
                    <c:v>1.9969590025923425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RRB_all!$H$296</c:f>
              <c:numCache>
                <c:formatCode>0.00</c:formatCode>
                <c:ptCount val="1"/>
                <c:pt idx="0">
                  <c:v>92.339324212818269</c:v>
                </c:pt>
              </c:numCache>
            </c:numRef>
          </c:xVal>
          <c:yVal>
            <c:numRef>
              <c:f>Spectral!$V$68</c:f>
              <c:numCache>
                <c:formatCode>0.00</c:formatCode>
                <c:ptCount val="1"/>
                <c:pt idx="0">
                  <c:v>13.956126167236041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C61B-4FE1-92CA-2AF6503B4504}"/>
            </c:ext>
          </c:extLst>
        </c:ser>
        <c:ser>
          <c:idx val="39"/>
          <c:order val="51"/>
          <c:tx>
            <c:strRef>
              <c:f>Spectral!$V$70</c:f>
              <c:strCache>
                <c:ptCount val="1"/>
                <c:pt idx="0">
                  <c:v>S_15_OLI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RRB_all!$H$345</c:f>
                <c:numCache>
                  <c:formatCode>General</c:formatCode>
                  <c:ptCount val="1"/>
                  <c:pt idx="0">
                    <c:v>2.5070381910901651</c:v>
                  </c:pt>
                </c:numCache>
              </c:numRef>
            </c:plus>
            <c:minus>
              <c:numRef>
                <c:f>RRB_all!$H$345</c:f>
                <c:numCache>
                  <c:formatCode>General</c:formatCode>
                  <c:ptCount val="1"/>
                  <c:pt idx="0">
                    <c:v>2.5070381910901651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Spectral!$V$79</c:f>
                <c:numCache>
                  <c:formatCode>General</c:formatCode>
                  <c:ptCount val="1"/>
                  <c:pt idx="0">
                    <c:v>4.097365252381211</c:v>
                  </c:pt>
                </c:numCache>
              </c:numRef>
            </c:plus>
            <c:minus>
              <c:numRef>
                <c:f>Spectral!$V$79</c:f>
                <c:numCache>
                  <c:formatCode>General</c:formatCode>
                  <c:ptCount val="1"/>
                  <c:pt idx="0">
                    <c:v>4.097365252381211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RRB_all!$H$344</c:f>
              <c:numCache>
                <c:formatCode>0.00</c:formatCode>
                <c:ptCount val="1"/>
                <c:pt idx="0">
                  <c:v>92.925992601530254</c:v>
                </c:pt>
              </c:numCache>
            </c:numRef>
          </c:xVal>
          <c:yVal>
            <c:numRef>
              <c:f>Spectral!$V$78</c:f>
              <c:numCache>
                <c:formatCode>0.00</c:formatCode>
                <c:ptCount val="1"/>
                <c:pt idx="0">
                  <c:v>12.514359981525644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C61B-4FE1-92CA-2AF6503B4504}"/>
            </c:ext>
          </c:extLst>
        </c:ser>
        <c:ser>
          <c:idx val="43"/>
          <c:order val="52"/>
          <c:tx>
            <c:strRef>
              <c:f>Spectral!$V$80</c:f>
              <c:strCache>
                <c:ptCount val="1"/>
                <c:pt idx="0">
                  <c:v>S_19_OLI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AD8D06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RRB_all!$H$393</c:f>
                <c:numCache>
                  <c:formatCode>General</c:formatCode>
                  <c:ptCount val="1"/>
                  <c:pt idx="0">
                    <c:v>1.564061153625018</c:v>
                  </c:pt>
                </c:numCache>
              </c:numRef>
            </c:plus>
            <c:minus>
              <c:numRef>
                <c:f>RRB_all!$H$393</c:f>
                <c:numCache>
                  <c:formatCode>General</c:formatCode>
                  <c:ptCount val="1"/>
                  <c:pt idx="0">
                    <c:v>1.564061153625018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Spectral!$V$89</c:f>
                <c:numCache>
                  <c:formatCode>General</c:formatCode>
                  <c:ptCount val="1"/>
                  <c:pt idx="0">
                    <c:v>4.1752331219397361</c:v>
                  </c:pt>
                </c:numCache>
              </c:numRef>
            </c:plus>
            <c:minus>
              <c:numRef>
                <c:f>Spectral!$V$89</c:f>
                <c:numCache>
                  <c:formatCode>General</c:formatCode>
                  <c:ptCount val="1"/>
                  <c:pt idx="0">
                    <c:v>4.1752331219397361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RRB_all!$H$392</c:f>
              <c:numCache>
                <c:formatCode>0.00</c:formatCode>
                <c:ptCount val="1"/>
                <c:pt idx="0">
                  <c:v>97.236513416049533</c:v>
                </c:pt>
              </c:numCache>
            </c:numRef>
          </c:xVal>
          <c:yVal>
            <c:numRef>
              <c:f>Spectral!$V$88</c:f>
              <c:numCache>
                <c:formatCode>0.00</c:formatCode>
                <c:ptCount val="1"/>
                <c:pt idx="0">
                  <c:v>13.787328547647009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C61B-4FE1-92CA-2AF6503B4504}"/>
            </c:ext>
          </c:extLst>
        </c:ser>
        <c:ser>
          <c:idx val="48"/>
          <c:order val="53"/>
          <c:tx>
            <c:strRef>
              <c:f>Spectral!$V$90</c:f>
              <c:strCache>
                <c:ptCount val="1"/>
                <c:pt idx="0">
                  <c:v>S_19_MSI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RRB_all!$H$441</c:f>
                <c:numCache>
                  <c:formatCode>General</c:formatCode>
                  <c:ptCount val="1"/>
                  <c:pt idx="0">
                    <c:v>3.1915079009809917</c:v>
                  </c:pt>
                </c:numCache>
              </c:numRef>
            </c:plus>
            <c:minus>
              <c:numRef>
                <c:f>RRB_all!$H$441</c:f>
                <c:numCache>
                  <c:formatCode>General</c:formatCode>
                  <c:ptCount val="1"/>
                  <c:pt idx="0">
                    <c:v>3.1915079009809917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Spectral!$V$103</c:f>
                <c:numCache>
                  <c:formatCode>General</c:formatCode>
                  <c:ptCount val="1"/>
                  <c:pt idx="0">
                    <c:v>0.81130805201051714</c:v>
                  </c:pt>
                </c:numCache>
              </c:numRef>
            </c:plus>
            <c:minus>
              <c:numRef>
                <c:f>Spectral!$V$103</c:f>
                <c:numCache>
                  <c:formatCode>General</c:formatCode>
                  <c:ptCount val="1"/>
                  <c:pt idx="0">
                    <c:v>0.81130805201051714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RRB_all!$H$440</c:f>
              <c:numCache>
                <c:formatCode>0.00</c:formatCode>
                <c:ptCount val="1"/>
                <c:pt idx="0">
                  <c:v>87.536535633885691</c:v>
                </c:pt>
              </c:numCache>
            </c:numRef>
          </c:xVal>
          <c:yVal>
            <c:numRef>
              <c:f>Spectral!$V$102</c:f>
              <c:numCache>
                <c:formatCode>0.00</c:formatCode>
                <c:ptCount val="1"/>
                <c:pt idx="0">
                  <c:v>10.372391315762561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C61B-4FE1-92CA-2AF6503B4504}"/>
            </c:ext>
          </c:extLst>
        </c:ser>
        <c:ser>
          <c:idx val="53"/>
          <c:order val="54"/>
          <c:tx>
            <c:strRef>
              <c:f>Spectral!$V$104</c:f>
              <c:strCache>
                <c:ptCount val="1"/>
                <c:pt idx="0">
                  <c:v>S_24_MSI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31750" cmpd="dbl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RRB_all!$H$489</c:f>
                <c:numCache>
                  <c:formatCode>General</c:formatCode>
                  <c:ptCount val="1"/>
                  <c:pt idx="0">
                    <c:v>2.8731306112532264</c:v>
                  </c:pt>
                </c:numCache>
              </c:numRef>
            </c:plus>
            <c:minus>
              <c:numRef>
                <c:f>RRB_all!$H$489</c:f>
                <c:numCache>
                  <c:formatCode>General</c:formatCode>
                  <c:ptCount val="1"/>
                  <c:pt idx="0">
                    <c:v>2.8731306112532264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Spectral!$V$117</c:f>
                <c:numCache>
                  <c:formatCode>General</c:formatCode>
                  <c:ptCount val="1"/>
                  <c:pt idx="0">
                    <c:v>0.41518551351554761</c:v>
                  </c:pt>
                </c:numCache>
              </c:numRef>
            </c:plus>
            <c:minus>
              <c:numRef>
                <c:f>Spectral!$V$117</c:f>
                <c:numCache>
                  <c:formatCode>General</c:formatCode>
                  <c:ptCount val="1"/>
                  <c:pt idx="0">
                    <c:v>0.41518551351554761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RRB_all!$H$488</c:f>
              <c:numCache>
                <c:formatCode>0.00</c:formatCode>
                <c:ptCount val="1"/>
                <c:pt idx="0">
                  <c:v>89.309432789444642</c:v>
                </c:pt>
              </c:numCache>
            </c:numRef>
          </c:xVal>
          <c:yVal>
            <c:numRef>
              <c:f>Spectral!$V$116</c:f>
              <c:numCache>
                <c:formatCode>0.00</c:formatCode>
                <c:ptCount val="1"/>
                <c:pt idx="0">
                  <c:v>10.422247772696302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C61B-4FE1-92CA-2AF6503B4504}"/>
            </c:ext>
          </c:extLst>
        </c:ser>
        <c:ser>
          <c:idx val="55"/>
          <c:order val="55"/>
          <c:tx>
            <c:strRef>
              <c:f>Cumulative!$F$19</c:f>
              <c:strCache>
                <c:ptCount val="1"/>
                <c:pt idx="0">
                  <c:v>W_All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002060"/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Cumulative!$C$19</c:f>
              <c:numCache>
                <c:formatCode>0.00</c:formatCode>
                <c:ptCount val="1"/>
                <c:pt idx="0">
                  <c:v>99.941469124963419</c:v>
                </c:pt>
              </c:numCache>
            </c:numRef>
          </c:xVal>
          <c:yVal>
            <c:numRef>
              <c:f>Cumulative!$E$19</c:f>
              <c:numCache>
                <c:formatCode>0.00</c:formatCode>
                <c:ptCount val="1"/>
                <c:pt idx="0">
                  <c:v>35.586582360774401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7A-4D05-998A-32CBA048A294}"/>
            </c:ext>
          </c:extLst>
        </c:ser>
        <c:ser>
          <c:idx val="56"/>
          <c:order val="56"/>
          <c:tx>
            <c:strRef>
              <c:f>Cumulative!$F$20</c:f>
              <c:strCache>
                <c:ptCount val="1"/>
                <c:pt idx="0">
                  <c:v>B_All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ysClr val="windowText" lastClr="000000">
                  <a:lumMod val="85000"/>
                  <a:lumOff val="15000"/>
                </a:sys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Cumulative!$C$20</c:f>
              <c:numCache>
                <c:formatCode>0.00</c:formatCode>
                <c:ptCount val="1"/>
                <c:pt idx="0">
                  <c:v>60.760998810939363</c:v>
                </c:pt>
              </c:numCache>
            </c:numRef>
          </c:xVal>
          <c:yVal>
            <c:numRef>
              <c:f>Cumulative!$E$20</c:f>
              <c:numCache>
                <c:formatCode>0.00</c:formatCode>
                <c:ptCount val="1"/>
                <c:pt idx="0">
                  <c:v>30.190506429088394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7A-4D05-998A-32CBA048A294}"/>
            </c:ext>
          </c:extLst>
        </c:ser>
        <c:ser>
          <c:idx val="57"/>
          <c:order val="57"/>
          <c:tx>
            <c:strRef>
              <c:f>Cumulative!$F$21</c:f>
              <c:strCache>
                <c:ptCount val="1"/>
                <c:pt idx="0">
                  <c:v>A_All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Cumulative!$C$21</c:f>
              <c:numCache>
                <c:formatCode>0.00</c:formatCode>
                <c:ptCount val="1"/>
                <c:pt idx="0">
                  <c:v>88.867136517880454</c:v>
                </c:pt>
              </c:numCache>
            </c:numRef>
          </c:xVal>
          <c:yVal>
            <c:numRef>
              <c:f>Cumulative!$E$21</c:f>
              <c:numCache>
                <c:formatCode>0.00</c:formatCode>
                <c:ptCount val="1"/>
                <c:pt idx="0">
                  <c:v>22.295866659711887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7A-4D05-998A-32CBA048A294}"/>
            </c:ext>
          </c:extLst>
        </c:ser>
        <c:ser>
          <c:idx val="58"/>
          <c:order val="58"/>
          <c:tx>
            <c:strRef>
              <c:f>Cumulative!$F$22</c:f>
              <c:strCache>
                <c:ptCount val="1"/>
                <c:pt idx="0">
                  <c:v>F_All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Cumulative!$C$22</c:f>
              <c:numCache>
                <c:formatCode>0.00</c:formatCode>
                <c:ptCount val="1"/>
                <c:pt idx="0">
                  <c:v>88.509749303621163</c:v>
                </c:pt>
              </c:numCache>
            </c:numRef>
          </c:xVal>
          <c:yVal>
            <c:numRef>
              <c:f>Cumulative!$E$22</c:f>
              <c:numCache>
                <c:formatCode>0.00</c:formatCode>
                <c:ptCount val="1"/>
                <c:pt idx="0">
                  <c:v>29.124359925514199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7A-4D05-998A-32CBA048A294}"/>
            </c:ext>
          </c:extLst>
        </c:ser>
        <c:ser>
          <c:idx val="59"/>
          <c:order val="59"/>
          <c:tx>
            <c:strRef>
              <c:f>Cumulative!$F$23</c:f>
              <c:strCache>
                <c:ptCount val="1"/>
                <c:pt idx="0">
                  <c:v>S_All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E97132">
                  <a:lumMod val="5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Cumulative!$C$23</c:f>
              <c:numCache>
                <c:formatCode>0.00</c:formatCode>
                <c:ptCount val="1"/>
                <c:pt idx="0">
                  <c:v>98.455331412103746</c:v>
                </c:pt>
              </c:numCache>
            </c:numRef>
          </c:xVal>
          <c:yVal>
            <c:numRef>
              <c:f>Cumulative!$E$23</c:f>
              <c:numCache>
                <c:formatCode>0.00</c:formatCode>
                <c:ptCount val="1"/>
                <c:pt idx="0">
                  <c:v>10.623491835239173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7A-4D05-998A-32CBA048A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10"/>
          <c:min val="0"/>
        </c:scaling>
        <c:delete val="0"/>
        <c:axPos val="l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Sensor's</a:t>
                </a:r>
                <a:r>
                  <a:rPr lang="en-US" baseline="0"/>
                  <a:t> </a:t>
                </a:r>
                <a:r>
                  <a:rPr lang="en-US"/>
                  <a:t>Bands Median</a:t>
                </a:r>
                <a:r>
                  <a:rPr lang="en-US" baseline="0"/>
                  <a:t> </a:t>
                </a:r>
                <a:r>
                  <a:rPr lang="en-US"/>
                  <a:t>Coefficient of</a:t>
                </a:r>
                <a:r>
                  <a:rPr lang="en-US" baseline="0"/>
                  <a:t> Variation </a:t>
                </a: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  <c:majorUnit val="10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063203891628551"/>
          <c:y val="6.5182617644988478E-2"/>
          <c:w val="0.3345300986445483"/>
          <c:h val="0.877687627961838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Mode Classification Cumulative Results</a:t>
            </a:r>
            <a:endParaRPr lang="en-US" sz="2000"/>
          </a:p>
        </c:rich>
      </c:tx>
      <c:layout>
        <c:manualLayout>
          <c:xMode val="edge"/>
          <c:yMode val="edge"/>
          <c:x val="0.32620683426469255"/>
          <c:y val="1.0282884262081189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95803004567238"/>
          <c:y val="8.196151821393248E-2"/>
          <c:w val="0.51982492264896873"/>
          <c:h val="0.77113989819133355"/>
        </c:manualLayout>
      </c:layout>
      <c:scatterChart>
        <c:scatterStyle val="lineMarker"/>
        <c:varyColors val="0"/>
        <c:ser>
          <c:idx val="0"/>
          <c:order val="0"/>
          <c:tx>
            <c:strRef>
              <c:f>Cumulative!$F$43</c:f>
              <c:strCache>
                <c:ptCount val="1"/>
                <c:pt idx="0">
                  <c:v>W_MSS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8"/>
              <c:spPr>
                <a:solidFill>
                  <a:srgbClr val="1F9DFF"/>
                </a:solidFill>
                <a:ln w="9525">
                  <a:solidFill>
                    <a:srgbClr val="1F9DFF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B00E-44B3-BDD3-D884CEE0D9E8}"/>
              </c:ext>
            </c:extLst>
          </c:dPt>
          <c:xVal>
            <c:numRef>
              <c:f>Cumulative!$C$43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Cumulative!$E$43</c:f>
              <c:numCache>
                <c:formatCode>0.00</c:formatCode>
                <c:ptCount val="1"/>
                <c:pt idx="0">
                  <c:v>17.801861453045113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C583-46DA-8CF6-94FE3275DD31}"/>
            </c:ext>
          </c:extLst>
        </c:ser>
        <c:ser>
          <c:idx val="5"/>
          <c:order val="1"/>
          <c:tx>
            <c:strRef>
              <c:f>Cumulative!$F$67</c:f>
              <c:strCache>
                <c:ptCount val="1"/>
                <c:pt idx="0">
                  <c:v>W_TM/ETM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Cumulative!$C$67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Cumulative!$D$67</c:f>
              <c:numCache>
                <c:formatCode>0.00</c:formatCode>
                <c:ptCount val="1"/>
                <c:pt idx="0">
                  <c:v>98.510242085661076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C583-46DA-8CF6-94FE3275DD31}"/>
            </c:ext>
          </c:extLst>
        </c:ser>
        <c:ser>
          <c:idx val="10"/>
          <c:order val="2"/>
          <c:tx>
            <c:strRef>
              <c:f>Cumulative!$F$91</c:f>
              <c:strCache>
                <c:ptCount val="1"/>
                <c:pt idx="0">
                  <c:v>W_OLI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Cumulative!$C$91</c:f>
              <c:numCache>
                <c:formatCode>0.00</c:formatCode>
                <c:ptCount val="1"/>
                <c:pt idx="0">
                  <c:v>99.50738916256158</c:v>
                </c:pt>
              </c:numCache>
            </c:numRef>
          </c:xVal>
          <c:yVal>
            <c:numRef>
              <c:f>Cumulative!$E$91</c:f>
              <c:numCache>
                <c:formatCode>0.00</c:formatCode>
                <c:ptCount val="1"/>
                <c:pt idx="0">
                  <c:v>44.892092936198999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E-44B3-BDD3-D884CEE0D9E8}"/>
            </c:ext>
          </c:extLst>
        </c:ser>
        <c:ser>
          <c:idx val="15"/>
          <c:order val="3"/>
          <c:tx>
            <c:strRef>
              <c:f>Cumulative!$F$115</c:f>
              <c:strCache>
                <c:ptCount val="1"/>
                <c:pt idx="0">
                  <c:v>W_MSI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25400">
                <a:solidFill>
                  <a:srgbClr val="1F9DFF"/>
                </a:solidFill>
              </a:ln>
              <a:effectLst/>
            </c:spPr>
          </c:marker>
          <c:xVal>
            <c:numRef>
              <c:f>Cumulative!$C$115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Cumulative!$E$115</c:f>
              <c:numCache>
                <c:formatCode>0.00</c:formatCode>
                <c:ptCount val="1"/>
                <c:pt idx="0">
                  <c:v>35.050798014168514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0E-44B3-BDD3-D884CEE0D9E8}"/>
            </c:ext>
          </c:extLst>
        </c:ser>
        <c:ser>
          <c:idx val="1"/>
          <c:order val="4"/>
          <c:tx>
            <c:strRef>
              <c:f>Cumulative!$F$44</c:f>
              <c:strCache>
                <c:ptCount val="1"/>
                <c:pt idx="0">
                  <c:v>B_MSS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Cumulative!$C$44</c:f>
              <c:numCache>
                <c:formatCode>0.00</c:formatCode>
                <c:ptCount val="1"/>
                <c:pt idx="0">
                  <c:v>100</c:v>
                </c:pt>
              </c:numCache>
            </c:numRef>
          </c:xVal>
          <c:yVal>
            <c:numRef>
              <c:f>Cumulative!$E$44</c:f>
              <c:numCache>
                <c:formatCode>0.00</c:formatCode>
                <c:ptCount val="1"/>
                <c:pt idx="0">
                  <c:v>20.964416608265484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C583-46DA-8CF6-94FE3275DD31}"/>
            </c:ext>
          </c:extLst>
        </c:ser>
        <c:ser>
          <c:idx val="6"/>
          <c:order val="5"/>
          <c:tx>
            <c:strRef>
              <c:f>Cumulative!$F$68</c:f>
              <c:strCache>
                <c:ptCount val="1"/>
                <c:pt idx="0">
                  <c:v>B_TM/ETM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Cumulative!$C$68</c:f>
              <c:numCache>
                <c:formatCode>0.00</c:formatCode>
                <c:ptCount val="1"/>
                <c:pt idx="0">
                  <c:v>70.97625329815304</c:v>
                </c:pt>
              </c:numCache>
            </c:numRef>
          </c:xVal>
          <c:yVal>
            <c:numRef>
              <c:f>Cumulative!$E$68</c:f>
              <c:numCache>
                <c:formatCode>0.00</c:formatCode>
                <c:ptCount val="1"/>
                <c:pt idx="0">
                  <c:v>26.973643492477471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0E-44B3-BDD3-D884CEE0D9E8}"/>
            </c:ext>
          </c:extLst>
        </c:ser>
        <c:ser>
          <c:idx val="11"/>
          <c:order val="6"/>
          <c:tx>
            <c:strRef>
              <c:f>Cumulative!$F$92</c:f>
              <c:strCache>
                <c:ptCount val="1"/>
                <c:pt idx="0">
                  <c:v>B_OLI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Cumulative!$C$92</c:f>
              <c:numCache>
                <c:formatCode>0.00</c:formatCode>
                <c:ptCount val="1"/>
                <c:pt idx="0">
                  <c:v>94.827586206896555</c:v>
                </c:pt>
              </c:numCache>
            </c:numRef>
          </c:xVal>
          <c:yVal>
            <c:numRef>
              <c:f>Cumulative!$E$92</c:f>
              <c:numCache>
                <c:formatCode>0.00</c:formatCode>
                <c:ptCount val="1"/>
                <c:pt idx="0">
                  <c:v>39.942051172015326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E-44B3-BDD3-D884CEE0D9E8}"/>
            </c:ext>
          </c:extLst>
        </c:ser>
        <c:ser>
          <c:idx val="16"/>
          <c:order val="7"/>
          <c:tx>
            <c:strRef>
              <c:f>Cumulative!$F$116</c:f>
              <c:strCache>
                <c:ptCount val="1"/>
                <c:pt idx="0">
                  <c:v>B_MSI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25400">
                <a:solidFill>
                  <a:srgbClr val="CACDDE"/>
                </a:solidFill>
              </a:ln>
              <a:effectLst/>
            </c:spPr>
          </c:marker>
          <c:xVal>
            <c:numRef>
              <c:f>Cumulative!$C$116</c:f>
              <c:numCache>
                <c:formatCode>0.00</c:formatCode>
                <c:ptCount val="1"/>
                <c:pt idx="0">
                  <c:v>34.153846153846153</c:v>
                </c:pt>
              </c:numCache>
            </c:numRef>
          </c:xVal>
          <c:yVal>
            <c:numRef>
              <c:f>Cumulative!$E$116</c:f>
              <c:numCache>
                <c:formatCode>0.00</c:formatCode>
                <c:ptCount val="1"/>
                <c:pt idx="0">
                  <c:v>33.550575880165532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0E-44B3-BDD3-D884CEE0D9E8}"/>
            </c:ext>
          </c:extLst>
        </c:ser>
        <c:ser>
          <c:idx val="2"/>
          <c:order val="8"/>
          <c:tx>
            <c:strRef>
              <c:f>Cumulative!$F$45</c:f>
              <c:strCache>
                <c:ptCount val="1"/>
                <c:pt idx="0">
                  <c:v>A_MSS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Cumulative!$C$45</c:f>
              <c:numCache>
                <c:formatCode>0.00</c:formatCode>
                <c:ptCount val="1"/>
                <c:pt idx="0">
                  <c:v>91.642651296829968</c:v>
                </c:pt>
              </c:numCache>
            </c:numRef>
          </c:xVal>
          <c:yVal>
            <c:numRef>
              <c:f>Cumulative!$E$45</c:f>
              <c:numCache>
                <c:formatCode>0.00</c:formatCode>
                <c:ptCount val="1"/>
                <c:pt idx="0">
                  <c:v>13.833743543673338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C583-46DA-8CF6-94FE3275DD31}"/>
            </c:ext>
          </c:extLst>
        </c:ser>
        <c:ser>
          <c:idx val="7"/>
          <c:order val="9"/>
          <c:tx>
            <c:strRef>
              <c:f>Cumulative!$F$69</c:f>
              <c:strCache>
                <c:ptCount val="1"/>
                <c:pt idx="0">
                  <c:v>A_TM/ETM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Cumulative!$C$69</c:f>
              <c:numCache>
                <c:formatCode>0.00</c:formatCode>
                <c:ptCount val="1"/>
                <c:pt idx="0">
                  <c:v>93.032786885245898</c:v>
                </c:pt>
              </c:numCache>
            </c:numRef>
          </c:xVal>
          <c:yVal>
            <c:numRef>
              <c:f>Cumulative!$E$69</c:f>
              <c:numCache>
                <c:formatCode>0.00</c:formatCode>
                <c:ptCount val="1"/>
                <c:pt idx="0">
                  <c:v>20.022493861269226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E-44B3-BDD3-D884CEE0D9E8}"/>
            </c:ext>
          </c:extLst>
        </c:ser>
        <c:ser>
          <c:idx val="12"/>
          <c:order val="10"/>
          <c:tx>
            <c:strRef>
              <c:f>Cumulative!$F$93</c:f>
              <c:strCache>
                <c:ptCount val="1"/>
                <c:pt idx="0">
                  <c:v>A_OLI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Cumulative!$C$93</c:f>
              <c:numCache>
                <c:formatCode>0.00</c:formatCode>
                <c:ptCount val="1"/>
                <c:pt idx="0">
                  <c:v>76.846747519294382</c:v>
                </c:pt>
              </c:numCache>
            </c:numRef>
          </c:xVal>
          <c:yVal>
            <c:numRef>
              <c:f>Cumulative!$E$93</c:f>
              <c:numCache>
                <c:formatCode>0.00</c:formatCode>
                <c:ptCount val="1"/>
                <c:pt idx="0">
                  <c:v>31.738043896549971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0E-44B3-BDD3-D884CEE0D9E8}"/>
            </c:ext>
          </c:extLst>
        </c:ser>
        <c:ser>
          <c:idx val="17"/>
          <c:order val="11"/>
          <c:tx>
            <c:strRef>
              <c:f>Cumulative!$F$117</c:f>
              <c:strCache>
                <c:ptCount val="1"/>
                <c:pt idx="0">
                  <c:v>A_MSI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25400">
                <a:solidFill>
                  <a:srgbClr val="B1EE2D"/>
                </a:solidFill>
              </a:ln>
              <a:effectLst/>
            </c:spPr>
          </c:marker>
          <c:xVal>
            <c:numRef>
              <c:f>Cumulative!$C$117</c:f>
              <c:numCache>
                <c:formatCode>0.00</c:formatCode>
                <c:ptCount val="1"/>
                <c:pt idx="0">
                  <c:v>91.734502191609266</c:v>
                </c:pt>
              </c:numCache>
            </c:numRef>
          </c:xVal>
          <c:yVal>
            <c:numRef>
              <c:f>Cumulative!$E$117</c:f>
              <c:numCache>
                <c:formatCode>0.00</c:formatCode>
                <c:ptCount val="1"/>
                <c:pt idx="0">
                  <c:v>24.608607296767708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00E-44B3-BDD3-D884CEE0D9E8}"/>
            </c:ext>
          </c:extLst>
        </c:ser>
        <c:ser>
          <c:idx val="3"/>
          <c:order val="12"/>
          <c:tx>
            <c:strRef>
              <c:f>Cumulative!$F$46</c:f>
              <c:strCache>
                <c:ptCount val="1"/>
                <c:pt idx="0">
                  <c:v>F_MSS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Cumulative!$C$46</c:f>
              <c:numCache>
                <c:formatCode>0.00</c:formatCode>
                <c:ptCount val="1"/>
                <c:pt idx="0">
                  <c:v>80.792682926829272</c:v>
                </c:pt>
              </c:numCache>
            </c:numRef>
          </c:xVal>
          <c:yVal>
            <c:numRef>
              <c:f>Cumulative!$E$46</c:f>
              <c:numCache>
                <c:formatCode>0.00</c:formatCode>
                <c:ptCount val="1"/>
                <c:pt idx="0">
                  <c:v>20.426739413023082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C583-46DA-8CF6-94FE3275DD31}"/>
            </c:ext>
          </c:extLst>
        </c:ser>
        <c:ser>
          <c:idx val="8"/>
          <c:order val="13"/>
          <c:tx>
            <c:strRef>
              <c:f>Cumulative!$F$70</c:f>
              <c:strCache>
                <c:ptCount val="1"/>
                <c:pt idx="0">
                  <c:v>F_TM/ETM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Cumulative!$C$70</c:f>
              <c:numCache>
                <c:formatCode>0.00</c:formatCode>
                <c:ptCount val="1"/>
                <c:pt idx="0">
                  <c:v>91.001046389954652</c:v>
                </c:pt>
              </c:numCache>
            </c:numRef>
          </c:xVal>
          <c:yVal>
            <c:numRef>
              <c:f>Cumulative!$E$70</c:f>
              <c:numCache>
                <c:formatCode>0.00</c:formatCode>
                <c:ptCount val="1"/>
                <c:pt idx="0">
                  <c:v>29.324989716831062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E-44B3-BDD3-D884CEE0D9E8}"/>
            </c:ext>
          </c:extLst>
        </c:ser>
        <c:ser>
          <c:idx val="13"/>
          <c:order val="14"/>
          <c:tx>
            <c:strRef>
              <c:f>Cumulative!$F$94</c:f>
              <c:strCache>
                <c:ptCount val="1"/>
                <c:pt idx="0">
                  <c:v>F_OLI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Cumulative!$C$94</c:f>
              <c:numCache>
                <c:formatCode>0.00</c:formatCode>
                <c:ptCount val="1"/>
                <c:pt idx="0">
                  <c:v>84.926184926184916</c:v>
                </c:pt>
              </c:numCache>
            </c:numRef>
          </c:xVal>
          <c:yVal>
            <c:numRef>
              <c:f>Cumulative!$E$94</c:f>
              <c:numCache>
                <c:formatCode>0.00</c:formatCode>
                <c:ptCount val="1"/>
                <c:pt idx="0">
                  <c:v>43.604226289923353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0E-44B3-BDD3-D884CEE0D9E8}"/>
            </c:ext>
          </c:extLst>
        </c:ser>
        <c:ser>
          <c:idx val="18"/>
          <c:order val="15"/>
          <c:tx>
            <c:strRef>
              <c:f>Cumulative!$F$118</c:f>
              <c:strCache>
                <c:ptCount val="1"/>
                <c:pt idx="0">
                  <c:v>F_MSI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25400">
                <a:solidFill>
                  <a:srgbClr val="149721"/>
                </a:solidFill>
              </a:ln>
              <a:effectLst/>
            </c:spPr>
          </c:marker>
          <c:xVal>
            <c:numRef>
              <c:f>Cumulative!$C$118</c:f>
              <c:numCache>
                <c:formatCode>0.00</c:formatCode>
                <c:ptCount val="1"/>
                <c:pt idx="0">
                  <c:v>88.510301109350237</c:v>
                </c:pt>
              </c:numCache>
            </c:numRef>
          </c:xVal>
          <c:yVal>
            <c:numRef>
              <c:f>Cumulative!$E$118</c:f>
              <c:numCache>
                <c:formatCode>0.00</c:formatCode>
                <c:ptCount val="1"/>
                <c:pt idx="0">
                  <c:v>22.853797468271136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00E-44B3-BDD3-D884CEE0D9E8}"/>
            </c:ext>
          </c:extLst>
        </c:ser>
        <c:ser>
          <c:idx val="4"/>
          <c:order val="16"/>
          <c:tx>
            <c:strRef>
              <c:f>Cumulative!$F$47</c:f>
              <c:strCache>
                <c:ptCount val="1"/>
                <c:pt idx="0">
                  <c:v>S_MSS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Cumulative!$C$47</c:f>
              <c:numCache>
                <c:formatCode>0.00</c:formatCode>
                <c:ptCount val="1"/>
                <c:pt idx="0">
                  <c:v>95.591647331786547</c:v>
                </c:pt>
              </c:numCache>
            </c:numRef>
          </c:xVal>
          <c:yVal>
            <c:numRef>
              <c:f>Cumulative!$E$47</c:f>
              <c:numCache>
                <c:formatCode>0.00</c:formatCode>
                <c:ptCount val="1"/>
                <c:pt idx="0">
                  <c:v>8.7226263647970317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C583-46DA-8CF6-94FE3275DD31}"/>
            </c:ext>
          </c:extLst>
        </c:ser>
        <c:ser>
          <c:idx val="9"/>
          <c:order val="17"/>
          <c:tx>
            <c:strRef>
              <c:f>Cumulative!$F$71</c:f>
              <c:strCache>
                <c:ptCount val="1"/>
                <c:pt idx="0">
                  <c:v>S_TM/ETM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Cumulative!$C$71</c:f>
              <c:numCache>
                <c:formatCode>0.00</c:formatCode>
                <c:ptCount val="1"/>
                <c:pt idx="0">
                  <c:v>98.197992700729927</c:v>
                </c:pt>
              </c:numCache>
            </c:numRef>
          </c:xVal>
          <c:yVal>
            <c:numRef>
              <c:f>Cumulative!$E$71</c:f>
              <c:numCache>
                <c:formatCode>0.00</c:formatCode>
                <c:ptCount val="1"/>
                <c:pt idx="0">
                  <c:v>10.900423666210884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0E-44B3-BDD3-D884CEE0D9E8}"/>
            </c:ext>
          </c:extLst>
        </c:ser>
        <c:ser>
          <c:idx val="14"/>
          <c:order val="18"/>
          <c:tx>
            <c:strRef>
              <c:f>Cumulative!$F$95</c:f>
              <c:strCache>
                <c:ptCount val="1"/>
                <c:pt idx="0">
                  <c:v>S_OLI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Cumulative!$C$95</c:f>
              <c:numCache>
                <c:formatCode>0.00</c:formatCode>
                <c:ptCount val="1"/>
                <c:pt idx="0">
                  <c:v>99.480249480249483</c:v>
                </c:pt>
              </c:numCache>
            </c:numRef>
          </c:xVal>
          <c:yVal>
            <c:numRef>
              <c:f>Cumulative!$E$95</c:f>
              <c:numCache>
                <c:formatCode>0.00</c:formatCode>
                <c:ptCount val="1"/>
                <c:pt idx="0">
                  <c:v>13.352874130711751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0E-44B3-BDD3-D884CEE0D9E8}"/>
            </c:ext>
          </c:extLst>
        </c:ser>
        <c:ser>
          <c:idx val="19"/>
          <c:order val="19"/>
          <c:tx>
            <c:strRef>
              <c:f>Cumulative!$F$119</c:f>
              <c:strCache>
                <c:ptCount val="1"/>
                <c:pt idx="0">
                  <c:v>S_MSI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25400">
                <a:solidFill>
                  <a:srgbClr val="AD8D06"/>
                </a:solidFill>
              </a:ln>
              <a:effectLst/>
            </c:spPr>
          </c:marker>
          <c:xVal>
            <c:numRef>
              <c:f>Cumulative!$C$119</c:f>
              <c:numCache>
                <c:formatCode>0.00</c:formatCode>
                <c:ptCount val="1"/>
                <c:pt idx="0">
                  <c:v>98.65702479338843</c:v>
                </c:pt>
              </c:numCache>
            </c:numRef>
          </c:xVal>
          <c:yVal>
            <c:numRef>
              <c:f>Cumulative!$E$119</c:f>
              <c:numCache>
                <c:formatCode>0.00</c:formatCode>
                <c:ptCount val="1"/>
                <c:pt idx="0">
                  <c:v>10.422247772696302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00E-44B3-BDD3-D884CEE0D9E8}"/>
            </c:ext>
          </c:extLst>
        </c:ser>
        <c:ser>
          <c:idx val="58"/>
          <c:order val="20"/>
          <c:tx>
            <c:strRef>
              <c:f>Cumulative!$F$22</c:f>
              <c:strCache>
                <c:ptCount val="1"/>
                <c:pt idx="0">
                  <c:v>F_All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Cumulative!$C$22</c:f>
              <c:numCache>
                <c:formatCode>0.00</c:formatCode>
                <c:ptCount val="1"/>
                <c:pt idx="0">
                  <c:v>88.509749303621163</c:v>
                </c:pt>
              </c:numCache>
            </c:numRef>
          </c:xVal>
          <c:yVal>
            <c:numRef>
              <c:f>Cumulative!$E$22</c:f>
              <c:numCache>
                <c:formatCode>0.00</c:formatCode>
                <c:ptCount val="1"/>
                <c:pt idx="0">
                  <c:v>29.124359925514199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C583-46DA-8CF6-94FE3275DD31}"/>
            </c:ext>
          </c:extLst>
        </c:ser>
        <c:ser>
          <c:idx val="55"/>
          <c:order val="21"/>
          <c:tx>
            <c:strRef>
              <c:f>Cumulative!$F$19</c:f>
              <c:strCache>
                <c:ptCount val="1"/>
                <c:pt idx="0">
                  <c:v>W_All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002060"/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Cumulative!$C$19</c:f>
              <c:numCache>
                <c:formatCode>0.00</c:formatCode>
                <c:ptCount val="1"/>
                <c:pt idx="0">
                  <c:v>99.941469124963419</c:v>
                </c:pt>
              </c:numCache>
            </c:numRef>
          </c:xVal>
          <c:yVal>
            <c:numRef>
              <c:f>Cumulative!$E$19</c:f>
              <c:numCache>
                <c:formatCode>0.00</c:formatCode>
                <c:ptCount val="1"/>
                <c:pt idx="0">
                  <c:v>35.586582360774401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C583-46DA-8CF6-94FE3275DD31}"/>
            </c:ext>
          </c:extLst>
        </c:ser>
        <c:ser>
          <c:idx val="56"/>
          <c:order val="22"/>
          <c:tx>
            <c:strRef>
              <c:f>Cumulative!$F$20</c:f>
              <c:strCache>
                <c:ptCount val="1"/>
                <c:pt idx="0">
                  <c:v>B_All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ysClr val="windowText" lastClr="000000">
                  <a:lumMod val="85000"/>
                  <a:lumOff val="15000"/>
                </a:sys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Cumulative!$C$20</c:f>
              <c:numCache>
                <c:formatCode>0.00</c:formatCode>
                <c:ptCount val="1"/>
                <c:pt idx="0">
                  <c:v>60.760998810939363</c:v>
                </c:pt>
              </c:numCache>
            </c:numRef>
          </c:xVal>
          <c:yVal>
            <c:numRef>
              <c:f>Cumulative!$E$20</c:f>
              <c:numCache>
                <c:formatCode>0.00</c:formatCode>
                <c:ptCount val="1"/>
                <c:pt idx="0">
                  <c:v>30.190506429088394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C583-46DA-8CF6-94FE3275DD31}"/>
            </c:ext>
          </c:extLst>
        </c:ser>
        <c:ser>
          <c:idx val="57"/>
          <c:order val="23"/>
          <c:tx>
            <c:strRef>
              <c:f>Cumulative!$F$21</c:f>
              <c:strCache>
                <c:ptCount val="1"/>
                <c:pt idx="0">
                  <c:v>A_All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Cumulative!$C$21</c:f>
              <c:numCache>
                <c:formatCode>0.00</c:formatCode>
                <c:ptCount val="1"/>
                <c:pt idx="0">
                  <c:v>88.867136517880454</c:v>
                </c:pt>
              </c:numCache>
            </c:numRef>
          </c:xVal>
          <c:yVal>
            <c:numRef>
              <c:f>Cumulative!$E$21</c:f>
              <c:numCache>
                <c:formatCode>0.00</c:formatCode>
                <c:ptCount val="1"/>
                <c:pt idx="0">
                  <c:v>22.295866659711887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C583-46DA-8CF6-94FE3275DD31}"/>
            </c:ext>
          </c:extLst>
        </c:ser>
        <c:ser>
          <c:idx val="59"/>
          <c:order val="24"/>
          <c:tx>
            <c:strRef>
              <c:f>Cumulative!$F$23</c:f>
              <c:strCache>
                <c:ptCount val="1"/>
                <c:pt idx="0">
                  <c:v>S_All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E97132">
                  <a:lumMod val="5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Cumulative!$C$23</c:f>
              <c:numCache>
                <c:formatCode>0.00</c:formatCode>
                <c:ptCount val="1"/>
                <c:pt idx="0">
                  <c:v>98.455331412103746</c:v>
                </c:pt>
              </c:numCache>
            </c:numRef>
          </c:xVal>
          <c:yVal>
            <c:numRef>
              <c:f>Cumulative!$E$23</c:f>
              <c:numCache>
                <c:formatCode>0.00</c:formatCode>
                <c:ptCount val="1"/>
                <c:pt idx="0">
                  <c:v>10.623491835239173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C583-46DA-8CF6-94FE3275D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01"/>
          <c:min val="55"/>
        </c:scaling>
        <c:delete val="0"/>
        <c:axPos val="b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Producer's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5"/>
        <c:minorUnit val="1"/>
      </c:valAx>
      <c:valAx>
        <c:axId val="413405048"/>
        <c:scaling>
          <c:orientation val="minMax"/>
          <c:max val="110"/>
          <c:min val="0"/>
        </c:scaling>
        <c:delete val="0"/>
        <c:axPos val="l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Sensor's</a:t>
                </a:r>
                <a:r>
                  <a:rPr lang="en-US" baseline="0"/>
                  <a:t> </a:t>
                </a:r>
                <a:r>
                  <a:rPr lang="en-US"/>
                  <a:t>Bands Median</a:t>
                </a:r>
                <a:r>
                  <a:rPr lang="en-US" baseline="0"/>
                  <a:t> </a:t>
                </a:r>
                <a:r>
                  <a:rPr lang="en-US"/>
                  <a:t>Coefficient of</a:t>
                </a:r>
                <a:r>
                  <a:rPr lang="en-US" baseline="0"/>
                  <a:t> Variation </a:t>
                </a: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  <c:majorUnit val="10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983780636575365"/>
          <c:y val="6.8413897822877281E-2"/>
          <c:w val="0.24263751802151493"/>
          <c:h val="0.831747063170501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Mode Classification</a:t>
            </a:r>
            <a:endParaRPr lang="en-US" sz="2000"/>
          </a:p>
        </c:rich>
      </c:tx>
      <c:layout>
        <c:manualLayout>
          <c:xMode val="edge"/>
          <c:yMode val="edge"/>
          <c:x val="0.32620683426469255"/>
          <c:y val="1.0282884262081189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95803004567238"/>
          <c:y val="8.196151821393248E-2"/>
          <c:w val="0.51982492264896873"/>
          <c:h val="0.77113989819133355"/>
        </c:manualLayout>
      </c:layout>
      <c:scatterChart>
        <c:scatterStyle val="lineMarker"/>
        <c:varyColors val="0"/>
        <c:ser>
          <c:idx val="0"/>
          <c:order val="0"/>
          <c:tx>
            <c:strRef>
              <c:f>Cumulative!$F$43</c:f>
              <c:strCache>
                <c:ptCount val="1"/>
                <c:pt idx="0">
                  <c:v>W_MSS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Cumulative!$E$43</c:f>
              <c:numCache>
                <c:formatCode>0.00</c:formatCode>
                <c:ptCount val="1"/>
                <c:pt idx="0">
                  <c:v>17.801861453045113</c:v>
                </c:pt>
              </c:numCache>
            </c:numRef>
          </c:xVal>
          <c:yVal>
            <c:numRef>
              <c:f>Cumulative!$D$43</c:f>
              <c:numCache>
                <c:formatCode>0.00</c:formatCode>
                <c:ptCount val="1"/>
                <c:pt idx="0">
                  <c:v>99.565217391304344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12A9-4F31-807A-F07C221FF2AD}"/>
            </c:ext>
          </c:extLst>
        </c:ser>
        <c:ser>
          <c:idx val="5"/>
          <c:order val="1"/>
          <c:tx>
            <c:strRef>
              <c:f>Cumulative!$F$67</c:f>
              <c:strCache>
                <c:ptCount val="1"/>
                <c:pt idx="0">
                  <c:v>W_TM/ETM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Cumulative!$E$67</c:f>
              <c:numCache>
                <c:formatCode>0.00</c:formatCode>
                <c:ptCount val="1"/>
                <c:pt idx="0">
                  <c:v>28.956187655266014</c:v>
                </c:pt>
              </c:numCache>
            </c:numRef>
          </c:xVal>
          <c:yVal>
            <c:numRef>
              <c:f>Cumulative!$D$67</c:f>
              <c:numCache>
                <c:formatCode>0.00</c:formatCode>
                <c:ptCount val="1"/>
                <c:pt idx="0">
                  <c:v>98.510242085661076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12A9-4F31-807A-F07C221FF2AD}"/>
            </c:ext>
          </c:extLst>
        </c:ser>
        <c:ser>
          <c:idx val="10"/>
          <c:order val="2"/>
          <c:tx>
            <c:strRef>
              <c:f>Cumulative!$F$91</c:f>
              <c:strCache>
                <c:ptCount val="1"/>
                <c:pt idx="0">
                  <c:v>W_OLI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1F9DFF"/>
              </a:solidFill>
              <a:ln w="9525">
                <a:solidFill>
                  <a:srgbClr val="1F9DFF"/>
                </a:solidFill>
              </a:ln>
              <a:effectLst/>
            </c:spPr>
          </c:marker>
          <c:xVal>
            <c:numRef>
              <c:f>Cumulative!$E$91</c:f>
              <c:numCache>
                <c:formatCode>0.00</c:formatCode>
                <c:ptCount val="1"/>
                <c:pt idx="0">
                  <c:v>44.892092936198999</c:v>
                </c:pt>
              </c:numCache>
            </c:numRef>
          </c:xVal>
          <c:yVal>
            <c:numRef>
              <c:f>Cumulative!$D$91</c:f>
              <c:numCache>
                <c:formatCode>0.00</c:formatCode>
                <c:ptCount val="1"/>
                <c:pt idx="0">
                  <c:v>44.789356984478935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12A9-4F31-807A-F07C221FF2AD}"/>
            </c:ext>
          </c:extLst>
        </c:ser>
        <c:ser>
          <c:idx val="15"/>
          <c:order val="3"/>
          <c:tx>
            <c:strRef>
              <c:f>Cumulative!$F$115</c:f>
              <c:strCache>
                <c:ptCount val="1"/>
                <c:pt idx="0">
                  <c:v>W_MSI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25400">
                <a:solidFill>
                  <a:srgbClr val="1F9DFF"/>
                </a:solidFill>
              </a:ln>
              <a:effectLst/>
            </c:spPr>
          </c:marker>
          <c:xVal>
            <c:numRef>
              <c:f>Cumulative!$E$115</c:f>
              <c:numCache>
                <c:formatCode>0.00</c:formatCode>
                <c:ptCount val="1"/>
                <c:pt idx="0">
                  <c:v>35.050798014168514</c:v>
                </c:pt>
              </c:numCache>
            </c:numRef>
          </c:xVal>
          <c:yVal>
            <c:numRef>
              <c:f>Cumulative!$D$115</c:f>
              <c:numCache>
                <c:formatCode>0.00</c:formatCode>
                <c:ptCount val="1"/>
                <c:pt idx="0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12A9-4F31-807A-F07C221FF2AD}"/>
            </c:ext>
          </c:extLst>
        </c:ser>
        <c:ser>
          <c:idx val="1"/>
          <c:order val="4"/>
          <c:tx>
            <c:strRef>
              <c:f>Cumulative!$F$44</c:f>
              <c:strCache>
                <c:ptCount val="1"/>
                <c:pt idx="0">
                  <c:v>B_MSS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Cumulative!$E$44</c:f>
              <c:numCache>
                <c:formatCode>0.00</c:formatCode>
                <c:ptCount val="1"/>
                <c:pt idx="0">
                  <c:v>20.964416608265484</c:v>
                </c:pt>
              </c:numCache>
            </c:numRef>
          </c:xVal>
          <c:yVal>
            <c:numRef>
              <c:f>Cumulative!$D$44</c:f>
              <c:numCache>
                <c:formatCode>0.00</c:formatCode>
                <c:ptCount val="1"/>
                <c:pt idx="0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12A9-4F31-807A-F07C221FF2AD}"/>
            </c:ext>
          </c:extLst>
        </c:ser>
        <c:ser>
          <c:idx val="6"/>
          <c:order val="5"/>
          <c:tx>
            <c:strRef>
              <c:f>Cumulative!$F$68</c:f>
              <c:strCache>
                <c:ptCount val="1"/>
                <c:pt idx="0">
                  <c:v>B_TM/ETM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Cumulative!$E$68</c:f>
              <c:numCache>
                <c:formatCode>0.00</c:formatCode>
                <c:ptCount val="1"/>
                <c:pt idx="0">
                  <c:v>26.973643492477471</c:v>
                </c:pt>
              </c:numCache>
            </c:numRef>
          </c:xVal>
          <c:yVal>
            <c:numRef>
              <c:f>Cumulative!$D$68</c:f>
              <c:numCache>
                <c:formatCode>0.00</c:formatCode>
                <c:ptCount val="1"/>
                <c:pt idx="0">
                  <c:v>97.463768115942031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12A9-4F31-807A-F07C221FF2AD}"/>
            </c:ext>
          </c:extLst>
        </c:ser>
        <c:ser>
          <c:idx val="11"/>
          <c:order val="6"/>
          <c:tx>
            <c:strRef>
              <c:f>Cumulative!$F$92</c:f>
              <c:strCache>
                <c:ptCount val="1"/>
                <c:pt idx="0">
                  <c:v>B_OLI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CACDDE"/>
              </a:solidFill>
              <a:ln w="9525">
                <a:solidFill>
                  <a:srgbClr val="CACDDE"/>
                </a:solidFill>
              </a:ln>
              <a:effectLst/>
            </c:spPr>
          </c:marker>
          <c:xVal>
            <c:numRef>
              <c:f>Cumulative!$E$92</c:f>
              <c:numCache>
                <c:formatCode>0.00</c:formatCode>
                <c:ptCount val="1"/>
                <c:pt idx="0">
                  <c:v>39.942051172015326</c:v>
                </c:pt>
              </c:numCache>
            </c:numRef>
          </c:xVal>
          <c:yVal>
            <c:numRef>
              <c:f>Cumulative!$D$92</c:f>
              <c:numCache>
                <c:formatCode>0.00</c:formatCode>
                <c:ptCount val="1"/>
                <c:pt idx="0">
                  <c:v>96.491228070175438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12A9-4F31-807A-F07C221FF2AD}"/>
            </c:ext>
          </c:extLst>
        </c:ser>
        <c:ser>
          <c:idx val="16"/>
          <c:order val="7"/>
          <c:tx>
            <c:strRef>
              <c:f>Cumulative!$F$116</c:f>
              <c:strCache>
                <c:ptCount val="1"/>
                <c:pt idx="0">
                  <c:v>B_MSI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25400">
                <a:solidFill>
                  <a:srgbClr val="CACDDE"/>
                </a:solidFill>
              </a:ln>
              <a:effectLst/>
            </c:spPr>
          </c:marker>
          <c:xVal>
            <c:numRef>
              <c:f>Cumulative!$E$116</c:f>
              <c:numCache>
                <c:formatCode>0.00</c:formatCode>
                <c:ptCount val="1"/>
                <c:pt idx="0">
                  <c:v>33.550575880165532</c:v>
                </c:pt>
              </c:numCache>
            </c:numRef>
          </c:xVal>
          <c:yVal>
            <c:numRef>
              <c:f>Cumulative!$D$116</c:f>
              <c:numCache>
                <c:formatCode>0.00</c:formatCode>
                <c:ptCount val="1"/>
                <c:pt idx="0">
                  <c:v>86.71875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12A9-4F31-807A-F07C221FF2AD}"/>
            </c:ext>
          </c:extLst>
        </c:ser>
        <c:ser>
          <c:idx val="2"/>
          <c:order val="8"/>
          <c:tx>
            <c:strRef>
              <c:f>Cumulative!$F$45</c:f>
              <c:strCache>
                <c:ptCount val="1"/>
                <c:pt idx="0">
                  <c:v>A_MSS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Cumulative!$E$45</c:f>
              <c:numCache>
                <c:formatCode>0.00</c:formatCode>
                <c:ptCount val="1"/>
                <c:pt idx="0">
                  <c:v>13.833743543673338</c:v>
                </c:pt>
              </c:numCache>
            </c:numRef>
          </c:xVal>
          <c:yVal>
            <c:numRef>
              <c:f>Cumulative!$D$45</c:f>
              <c:numCache>
                <c:formatCode>0.00</c:formatCode>
                <c:ptCount val="1"/>
                <c:pt idx="0">
                  <c:v>99.375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12A9-4F31-807A-F07C221FF2AD}"/>
            </c:ext>
          </c:extLst>
        </c:ser>
        <c:ser>
          <c:idx val="7"/>
          <c:order val="9"/>
          <c:tx>
            <c:strRef>
              <c:f>Cumulative!$F$69</c:f>
              <c:strCache>
                <c:ptCount val="1"/>
                <c:pt idx="0">
                  <c:v>A_TM/ETM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Cumulative!$E$69</c:f>
              <c:numCache>
                <c:formatCode>0.00</c:formatCode>
                <c:ptCount val="1"/>
                <c:pt idx="0">
                  <c:v>20.022493861269226</c:v>
                </c:pt>
              </c:numCache>
            </c:numRef>
          </c:xVal>
          <c:yVal>
            <c:numRef>
              <c:f>Cumulative!$D$69</c:f>
              <c:numCache>
                <c:formatCode>0.00</c:formatCode>
                <c:ptCount val="1"/>
                <c:pt idx="0">
                  <c:v>99.072558647026739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12A9-4F31-807A-F07C221FF2AD}"/>
            </c:ext>
          </c:extLst>
        </c:ser>
        <c:ser>
          <c:idx val="12"/>
          <c:order val="10"/>
          <c:tx>
            <c:strRef>
              <c:f>Cumulative!$F$93</c:f>
              <c:strCache>
                <c:ptCount val="1"/>
                <c:pt idx="0">
                  <c:v>A_OLI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B1EE2D"/>
              </a:solidFill>
              <a:ln w="9525">
                <a:solidFill>
                  <a:srgbClr val="B1EE2D"/>
                </a:solidFill>
              </a:ln>
              <a:effectLst/>
            </c:spPr>
          </c:marker>
          <c:xVal>
            <c:numRef>
              <c:f>Cumulative!$E$93</c:f>
              <c:numCache>
                <c:formatCode>0.00</c:formatCode>
                <c:ptCount val="1"/>
                <c:pt idx="0">
                  <c:v>31.738043896549971</c:v>
                </c:pt>
              </c:numCache>
            </c:numRef>
          </c:xVal>
          <c:yVal>
            <c:numRef>
              <c:f>Cumulative!$D$93</c:f>
              <c:numCache>
                <c:formatCode>0.00</c:formatCode>
                <c:ptCount val="1"/>
                <c:pt idx="0">
                  <c:v>99.785254115962772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12A9-4F31-807A-F07C221FF2AD}"/>
            </c:ext>
          </c:extLst>
        </c:ser>
        <c:ser>
          <c:idx val="17"/>
          <c:order val="11"/>
          <c:tx>
            <c:strRef>
              <c:f>Cumulative!$F$117</c:f>
              <c:strCache>
                <c:ptCount val="1"/>
                <c:pt idx="0">
                  <c:v>A_MSI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25400">
                <a:solidFill>
                  <a:srgbClr val="B1EE2D"/>
                </a:solidFill>
              </a:ln>
              <a:effectLst/>
            </c:spPr>
          </c:marker>
          <c:xVal>
            <c:numRef>
              <c:f>Cumulative!$E$117</c:f>
              <c:numCache>
                <c:formatCode>0.00</c:formatCode>
                <c:ptCount val="1"/>
                <c:pt idx="0">
                  <c:v>24.608607296767708</c:v>
                </c:pt>
              </c:numCache>
            </c:numRef>
          </c:xVal>
          <c:yVal>
            <c:numRef>
              <c:f>Cumulative!$D$117</c:f>
              <c:numCache>
                <c:formatCode>0.00</c:formatCode>
                <c:ptCount val="1"/>
                <c:pt idx="0">
                  <c:v>97.927807486631011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12A9-4F31-807A-F07C221FF2AD}"/>
            </c:ext>
          </c:extLst>
        </c:ser>
        <c:ser>
          <c:idx val="3"/>
          <c:order val="12"/>
          <c:tx>
            <c:strRef>
              <c:f>Cumulative!$F$46</c:f>
              <c:strCache>
                <c:ptCount val="1"/>
                <c:pt idx="0">
                  <c:v>F_MSS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Cumulative!$E$46</c:f>
              <c:numCache>
                <c:formatCode>0.00</c:formatCode>
                <c:ptCount val="1"/>
                <c:pt idx="0">
                  <c:v>20.426739413023082</c:v>
                </c:pt>
              </c:numCache>
            </c:numRef>
          </c:xVal>
          <c:yVal>
            <c:numRef>
              <c:f>Cumulative!$D$46</c:f>
              <c:numCache>
                <c:formatCode>0.00</c:formatCode>
                <c:ptCount val="1"/>
                <c:pt idx="0">
                  <c:v>92.013888888888886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12A9-4F31-807A-F07C221FF2AD}"/>
            </c:ext>
          </c:extLst>
        </c:ser>
        <c:ser>
          <c:idx val="8"/>
          <c:order val="13"/>
          <c:tx>
            <c:strRef>
              <c:f>Cumulative!$F$70</c:f>
              <c:strCache>
                <c:ptCount val="1"/>
                <c:pt idx="0">
                  <c:v>F_TM/ETM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Cumulative!$E$70</c:f>
              <c:numCache>
                <c:formatCode>0.00</c:formatCode>
                <c:ptCount val="1"/>
                <c:pt idx="0">
                  <c:v>29.324989716831062</c:v>
                </c:pt>
              </c:numCache>
            </c:numRef>
          </c:xVal>
          <c:yVal>
            <c:numRef>
              <c:f>Cumulative!$D$70</c:f>
              <c:numCache>
                <c:formatCode>0.00</c:formatCode>
                <c:ptCount val="1"/>
                <c:pt idx="0">
                  <c:v>95.60278490289484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12A9-4F31-807A-F07C221FF2AD}"/>
            </c:ext>
          </c:extLst>
        </c:ser>
        <c:ser>
          <c:idx val="13"/>
          <c:order val="14"/>
          <c:tx>
            <c:strRef>
              <c:f>Cumulative!$F$94</c:f>
              <c:strCache>
                <c:ptCount val="1"/>
                <c:pt idx="0">
                  <c:v>F_OLI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149721"/>
              </a:solidFill>
              <a:ln w="9525">
                <a:solidFill>
                  <a:srgbClr val="149721"/>
                </a:solidFill>
              </a:ln>
              <a:effectLst/>
            </c:spPr>
          </c:marker>
          <c:xVal>
            <c:numRef>
              <c:f>Cumulative!$E$94</c:f>
              <c:numCache>
                <c:formatCode>0.00</c:formatCode>
                <c:ptCount val="1"/>
                <c:pt idx="0">
                  <c:v>43.604226289923353</c:v>
                </c:pt>
              </c:numCache>
            </c:numRef>
          </c:xVal>
          <c:yVal>
            <c:numRef>
              <c:f>Cumulative!$D$94</c:f>
              <c:numCache>
                <c:formatCode>0.00</c:formatCode>
                <c:ptCount val="1"/>
                <c:pt idx="0">
                  <c:v>97.939068100358426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12A9-4F31-807A-F07C221FF2AD}"/>
            </c:ext>
          </c:extLst>
        </c:ser>
        <c:ser>
          <c:idx val="18"/>
          <c:order val="15"/>
          <c:tx>
            <c:strRef>
              <c:f>Cumulative!$F$118</c:f>
              <c:strCache>
                <c:ptCount val="1"/>
                <c:pt idx="0">
                  <c:v>F_MSI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25400">
                <a:solidFill>
                  <a:srgbClr val="149721"/>
                </a:solidFill>
              </a:ln>
              <a:effectLst/>
            </c:spPr>
          </c:marker>
          <c:xVal>
            <c:numRef>
              <c:f>Cumulative!$E$118</c:f>
              <c:numCache>
                <c:formatCode>0.00</c:formatCode>
                <c:ptCount val="1"/>
                <c:pt idx="0">
                  <c:v>22.853797468271136</c:v>
                </c:pt>
              </c:numCache>
            </c:numRef>
          </c:xVal>
          <c:yVal>
            <c:numRef>
              <c:f>Cumulative!$D$118</c:f>
              <c:numCache>
                <c:formatCode>0.00</c:formatCode>
                <c:ptCount val="1"/>
                <c:pt idx="0">
                  <c:v>90.372168284789637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12A9-4F31-807A-F07C221FF2AD}"/>
            </c:ext>
          </c:extLst>
        </c:ser>
        <c:ser>
          <c:idx val="4"/>
          <c:order val="16"/>
          <c:tx>
            <c:strRef>
              <c:f>Cumulative!$F$47</c:f>
              <c:strCache>
                <c:ptCount val="1"/>
                <c:pt idx="0">
                  <c:v>S_MSS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Cumulative!$E$47</c:f>
              <c:numCache>
                <c:formatCode>0.00</c:formatCode>
                <c:ptCount val="1"/>
                <c:pt idx="0">
                  <c:v>8.7226263647970317</c:v>
                </c:pt>
              </c:numCache>
            </c:numRef>
          </c:xVal>
          <c:yVal>
            <c:numRef>
              <c:f>Cumulative!$D$47</c:f>
              <c:numCache>
                <c:formatCode>0.00</c:formatCode>
                <c:ptCount val="1"/>
                <c:pt idx="0">
                  <c:v>84.426229508196727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12A9-4F31-807A-F07C221FF2AD}"/>
            </c:ext>
          </c:extLst>
        </c:ser>
        <c:ser>
          <c:idx val="9"/>
          <c:order val="17"/>
          <c:tx>
            <c:strRef>
              <c:f>Cumulative!$F$71</c:f>
              <c:strCache>
                <c:ptCount val="1"/>
                <c:pt idx="0">
                  <c:v>S_TM/ETM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2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Cumulative!$E$71</c:f>
              <c:numCache>
                <c:formatCode>0.00</c:formatCode>
                <c:ptCount val="1"/>
                <c:pt idx="0">
                  <c:v>10.900423666210884</c:v>
                </c:pt>
              </c:numCache>
            </c:numRef>
          </c:xVal>
          <c:yVal>
            <c:numRef>
              <c:f>Cumulative!$D$71</c:f>
              <c:numCache>
                <c:formatCode>0.00</c:formatCode>
                <c:ptCount val="1"/>
                <c:pt idx="0">
                  <c:v>89.111985096253363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12A9-4F31-807A-F07C221FF2AD}"/>
            </c:ext>
          </c:extLst>
        </c:ser>
        <c:ser>
          <c:idx val="14"/>
          <c:order val="18"/>
          <c:tx>
            <c:strRef>
              <c:f>Cumulative!$F$95</c:f>
              <c:strCache>
                <c:ptCount val="1"/>
                <c:pt idx="0">
                  <c:v>S_OLI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AD8D06"/>
              </a:solidFill>
              <a:ln w="9525">
                <a:solidFill>
                  <a:srgbClr val="AD8D06"/>
                </a:solidFill>
              </a:ln>
              <a:effectLst/>
            </c:spPr>
          </c:marker>
          <c:xVal>
            <c:numRef>
              <c:f>Cumulative!$E$95</c:f>
              <c:numCache>
                <c:formatCode>0.00</c:formatCode>
                <c:ptCount val="1"/>
                <c:pt idx="0">
                  <c:v>13.352874130711751</c:v>
                </c:pt>
              </c:numCache>
            </c:numRef>
          </c:xVal>
          <c:yVal>
            <c:numRef>
              <c:f>Cumulative!$D$95</c:f>
              <c:numCache>
                <c:formatCode>0.00</c:formatCode>
                <c:ptCount val="1"/>
                <c:pt idx="0">
                  <c:v>94.846382556987123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12A9-4F31-807A-F07C221FF2AD}"/>
            </c:ext>
          </c:extLst>
        </c:ser>
        <c:ser>
          <c:idx val="19"/>
          <c:order val="19"/>
          <c:tx>
            <c:strRef>
              <c:f>Cumulative!$F$119</c:f>
              <c:strCache>
                <c:ptCount val="1"/>
                <c:pt idx="0">
                  <c:v>S_MSI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25400">
                <a:solidFill>
                  <a:srgbClr val="AD8D06"/>
                </a:solidFill>
              </a:ln>
              <a:effectLst/>
            </c:spPr>
          </c:marker>
          <c:xVal>
            <c:numRef>
              <c:f>Cumulative!$E$119</c:f>
              <c:numCache>
                <c:formatCode>0.00</c:formatCode>
                <c:ptCount val="1"/>
                <c:pt idx="0">
                  <c:v>10.422247772696302</c:v>
                </c:pt>
              </c:numCache>
            </c:numRef>
          </c:xVal>
          <c:yVal>
            <c:numRef>
              <c:f>Cumulative!$D$119</c:f>
              <c:numCache>
                <c:formatCode>0.00</c:formatCode>
                <c:ptCount val="1"/>
                <c:pt idx="0">
                  <c:v>94.274432379072053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12A9-4F31-807A-F07C221FF2AD}"/>
            </c:ext>
          </c:extLst>
        </c:ser>
        <c:ser>
          <c:idx val="55"/>
          <c:order val="20"/>
          <c:tx>
            <c:strRef>
              <c:f>Cumulative!$F$19</c:f>
              <c:strCache>
                <c:ptCount val="1"/>
                <c:pt idx="0">
                  <c:v>W_All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002060"/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Cumulative!$E$19</c:f>
              <c:numCache>
                <c:formatCode>0.00</c:formatCode>
                <c:ptCount val="1"/>
                <c:pt idx="0">
                  <c:v>35.586582360774401</c:v>
                </c:pt>
              </c:numCache>
            </c:numRef>
          </c:xVal>
          <c:yVal>
            <c:numRef>
              <c:f>Cumulative!$D$19</c:f>
              <c:numCache>
                <c:formatCode>0.00</c:formatCode>
                <c:ptCount val="1"/>
                <c:pt idx="0">
                  <c:v>81.698564593301441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12A9-4F31-807A-F07C221FF2AD}"/>
            </c:ext>
          </c:extLst>
        </c:ser>
        <c:ser>
          <c:idx val="56"/>
          <c:order val="21"/>
          <c:tx>
            <c:strRef>
              <c:f>Cumulative!$F$20</c:f>
              <c:strCache>
                <c:ptCount val="1"/>
                <c:pt idx="0">
                  <c:v>B_All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ysClr val="windowText" lastClr="000000">
                  <a:lumMod val="85000"/>
                  <a:lumOff val="15000"/>
                </a:sys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Cumulative!$E$20</c:f>
              <c:numCache>
                <c:formatCode>0.00</c:formatCode>
                <c:ptCount val="1"/>
                <c:pt idx="0">
                  <c:v>30.190506429088394</c:v>
                </c:pt>
              </c:numCache>
            </c:numRef>
          </c:xVal>
          <c:yVal>
            <c:numRef>
              <c:f>Cumulative!$D$20</c:f>
              <c:numCache>
                <c:formatCode>0.00</c:formatCode>
                <c:ptCount val="1"/>
                <c:pt idx="0">
                  <c:v>93.248175182481745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12A9-4F31-807A-F07C221FF2AD}"/>
            </c:ext>
          </c:extLst>
        </c:ser>
        <c:ser>
          <c:idx val="57"/>
          <c:order val="22"/>
          <c:tx>
            <c:strRef>
              <c:f>Cumulative!$F$21</c:f>
              <c:strCache>
                <c:ptCount val="1"/>
                <c:pt idx="0">
                  <c:v>A_All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Cumulative!$E$21</c:f>
              <c:numCache>
                <c:formatCode>0.00</c:formatCode>
                <c:ptCount val="1"/>
                <c:pt idx="0">
                  <c:v>22.295866659711887</c:v>
                </c:pt>
              </c:numCache>
            </c:numRef>
          </c:xVal>
          <c:yVal>
            <c:numRef>
              <c:f>Cumulative!$D$21</c:f>
              <c:numCache>
                <c:formatCode>0.00</c:formatCode>
                <c:ptCount val="1"/>
                <c:pt idx="0">
                  <c:v>98.982410234045645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12A9-4F31-807A-F07C221FF2AD}"/>
            </c:ext>
          </c:extLst>
        </c:ser>
        <c:ser>
          <c:idx val="59"/>
          <c:order val="23"/>
          <c:tx>
            <c:strRef>
              <c:f>Cumulative!$F$23</c:f>
              <c:strCache>
                <c:ptCount val="1"/>
                <c:pt idx="0">
                  <c:v>S_All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E97132">
                  <a:lumMod val="5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Cumulative!$E$23</c:f>
              <c:numCache>
                <c:formatCode>0.00</c:formatCode>
                <c:ptCount val="1"/>
                <c:pt idx="0">
                  <c:v>10.623491835239173</c:v>
                </c:pt>
              </c:numCache>
            </c:numRef>
          </c:xVal>
          <c:yVal>
            <c:numRef>
              <c:f>Cumulative!$D$23</c:f>
              <c:numCache>
                <c:formatCode>0.00</c:formatCode>
                <c:ptCount val="1"/>
                <c:pt idx="0">
                  <c:v>91.2207625760974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12A9-4F31-807A-F07C221FF2AD}"/>
            </c:ext>
          </c:extLst>
        </c:ser>
        <c:ser>
          <c:idx val="58"/>
          <c:order val="24"/>
          <c:tx>
            <c:strRef>
              <c:f>Cumulative!$F$22</c:f>
              <c:strCache>
                <c:ptCount val="1"/>
                <c:pt idx="0">
                  <c:v>F_All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Cumulative!$E$22</c:f>
              <c:numCache>
                <c:formatCode>0.00</c:formatCode>
                <c:ptCount val="1"/>
                <c:pt idx="0">
                  <c:v>29.124359925514199</c:v>
                </c:pt>
              </c:numCache>
            </c:numRef>
          </c:xVal>
          <c:yVal>
            <c:numRef>
              <c:f>Cumulative!$D$22</c:f>
              <c:numCache>
                <c:formatCode>0.00</c:formatCode>
                <c:ptCount val="1"/>
                <c:pt idx="0">
                  <c:v>94.691748929037061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12A9-4F31-807A-F07C221FF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10"/>
        </c:scaling>
        <c:delete val="0"/>
        <c:axPos val="b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Sensor's Bands Median Coefficient of Variation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10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063203891628551"/>
          <c:y val="6.5182617644988478E-2"/>
          <c:w val="0.27517130158559022"/>
          <c:h val="0.84394068651534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Scatter</a:t>
            </a:r>
            <a:r>
              <a:rPr lang="en-US" sz="2000" baseline="0"/>
              <a:t> Plot GUE Mode Classification</a:t>
            </a:r>
            <a:endParaRPr lang="en-US" sz="2000"/>
          </a:p>
        </c:rich>
      </c:tx>
      <c:layout>
        <c:manualLayout>
          <c:xMode val="edge"/>
          <c:yMode val="edge"/>
          <c:x val="0.32620683426469255"/>
          <c:y val="1.0282884262081189E-2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95803004567238"/>
          <c:y val="8.196151821393248E-2"/>
          <c:w val="0.51982492264896873"/>
          <c:h val="0.77113989819133355"/>
        </c:manualLayout>
      </c:layout>
      <c:scatterChart>
        <c:scatterStyle val="lineMarker"/>
        <c:varyColors val="0"/>
        <c:ser>
          <c:idx val="10"/>
          <c:order val="0"/>
          <c:tx>
            <c:strRef>
              <c:f>RRB_all!$D$4</c:f>
              <c:strCache>
                <c:ptCount val="1"/>
                <c:pt idx="0">
                  <c:v>W_77_MSS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Spectral!$R$11</c:f>
                <c:numCache>
                  <c:formatCode>General</c:formatCode>
                  <c:ptCount val="1"/>
                  <c:pt idx="0">
                    <c:v>17.215284539335634</c:v>
                  </c:pt>
                </c:numCache>
              </c:numRef>
            </c:plus>
            <c:minus>
              <c:numRef>
                <c:f>Spectral!$R$11</c:f>
                <c:numCache>
                  <c:formatCode>General</c:formatCode>
                  <c:ptCount val="1"/>
                  <c:pt idx="0">
                    <c:v>17.215284539335634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RRB_all!$D$11</c:f>
                <c:numCache>
                  <c:formatCode>General</c:formatCode>
                  <c:ptCount val="1"/>
                  <c:pt idx="0">
                    <c:v>0.86956521739130099</c:v>
                  </c:pt>
                </c:numCache>
              </c:numRef>
            </c:plus>
            <c:minus>
              <c:numRef>
                <c:f>RRB_all!$D$11</c:f>
                <c:numCache>
                  <c:formatCode>General</c:formatCode>
                  <c:ptCount val="1"/>
                  <c:pt idx="0">
                    <c:v>0.86956521739130099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Spectral!$R$10</c:f>
              <c:numCache>
                <c:formatCode>0.00</c:formatCode>
                <c:ptCount val="1"/>
                <c:pt idx="0">
                  <c:v>20.31819680312222</c:v>
                </c:pt>
              </c:numCache>
            </c:numRef>
          </c:xVal>
          <c:yVal>
            <c:numRef>
              <c:f>RRB_all!$D$10</c:f>
              <c:numCache>
                <c:formatCode>0.00</c:formatCode>
                <c:ptCount val="1"/>
                <c:pt idx="0">
                  <c:v>99.130434782608702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4B-406F-A9F0-A28503E6CF0F}"/>
            </c:ext>
          </c:extLst>
        </c:ser>
        <c:ser>
          <c:idx val="1"/>
          <c:order val="1"/>
          <c:tx>
            <c:strRef>
              <c:f>RRB_all!$D$52</c:f>
              <c:strCache>
                <c:ptCount val="1"/>
                <c:pt idx="0">
                  <c:v>W_88_MSS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noFill/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Spectral!$R$19</c:f>
                <c:numCache>
                  <c:formatCode>General</c:formatCode>
                  <c:ptCount val="1"/>
                  <c:pt idx="0">
                    <c:v>5.6860408970687466</c:v>
                  </c:pt>
                </c:numCache>
              </c:numRef>
            </c:plus>
            <c:minus>
              <c:numRef>
                <c:f>Spectral!$R$19</c:f>
                <c:numCache>
                  <c:formatCode>General</c:formatCode>
                  <c:ptCount val="1"/>
                  <c:pt idx="0">
                    <c:v>5.6860408970687466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Spectral!$R$18</c:f>
              <c:numCache>
                <c:formatCode>0.00</c:formatCode>
                <c:ptCount val="1"/>
                <c:pt idx="0">
                  <c:v>14.489049250543825</c:v>
                </c:pt>
              </c:numCache>
            </c:numRef>
          </c:xVal>
          <c:yVal>
            <c:numRef>
              <c:f>RRB_all!$D$58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4B-406F-A9F0-A28503E6CF0F}"/>
            </c:ext>
          </c:extLst>
        </c:ser>
        <c:ser>
          <c:idx val="8"/>
          <c:order val="2"/>
          <c:tx>
            <c:strRef>
              <c:f>RRB_all!$D$100</c:f>
              <c:strCache>
                <c:ptCount val="1"/>
                <c:pt idx="0">
                  <c:v>W_88_TM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9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Spectral!$R$29</c:f>
                <c:numCache>
                  <c:formatCode>General</c:formatCode>
                  <c:ptCount val="1"/>
                  <c:pt idx="0">
                    <c:v>5.2476054121473057</c:v>
                  </c:pt>
                </c:numCache>
              </c:numRef>
            </c:plus>
            <c:minus>
              <c:numRef>
                <c:f>Spectral!$R$29</c:f>
                <c:numCache>
                  <c:formatCode>General</c:formatCode>
                  <c:ptCount val="1"/>
                  <c:pt idx="0">
                    <c:v>5.2476054121473057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Spectral!$R$28</c:f>
              <c:numCache>
                <c:formatCode>0.00</c:formatCode>
                <c:ptCount val="1"/>
                <c:pt idx="0">
                  <c:v>18.305885862161691</c:v>
                </c:pt>
              </c:numCache>
            </c:numRef>
          </c:xVal>
          <c:yVal>
            <c:numRef>
              <c:f>RRB_all!$D$106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4B-406F-A9F0-A28503E6CF0F}"/>
            </c:ext>
          </c:extLst>
        </c:ser>
        <c:ser>
          <c:idx val="15"/>
          <c:order val="3"/>
          <c:tx>
            <c:strRef>
              <c:f>RRB_all!$D$148</c:f>
              <c:strCache>
                <c:ptCount val="1"/>
                <c:pt idx="0">
                  <c:v>W_91_TM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9"/>
            <c:spPr>
              <a:noFill/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Spectral!$R$39</c:f>
                <c:numCache>
                  <c:formatCode>General</c:formatCode>
                  <c:ptCount val="1"/>
                  <c:pt idx="0">
                    <c:v>6.779343515851938</c:v>
                  </c:pt>
                </c:numCache>
              </c:numRef>
            </c:plus>
            <c:minus>
              <c:numRef>
                <c:f>Spectral!$R$39</c:f>
                <c:numCache>
                  <c:formatCode>General</c:formatCode>
                  <c:ptCount val="1"/>
                  <c:pt idx="0">
                    <c:v>6.779343515851938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Spectral!$R$38</c:f>
              <c:numCache>
                <c:formatCode>0.00</c:formatCode>
                <c:ptCount val="1"/>
                <c:pt idx="0">
                  <c:v>23.793913630452469</c:v>
                </c:pt>
              </c:numCache>
            </c:numRef>
          </c:xVal>
          <c:yVal>
            <c:numRef>
              <c:f>RRB_all!$D$154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4B-406F-A9F0-A28503E6CF0F}"/>
            </c:ext>
          </c:extLst>
        </c:ser>
        <c:ser>
          <c:idx val="20"/>
          <c:order val="4"/>
          <c:tx>
            <c:strRef>
              <c:f>RRB_all!$D$196</c:f>
              <c:strCache>
                <c:ptCount val="1"/>
                <c:pt idx="0">
                  <c:v>W_01_TM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Spectral!$R$49</c:f>
                <c:numCache>
                  <c:formatCode>General</c:formatCode>
                  <c:ptCount val="1"/>
                  <c:pt idx="0">
                    <c:v>5.8050301730393903</c:v>
                  </c:pt>
                </c:numCache>
              </c:numRef>
            </c:plus>
            <c:minus>
              <c:numRef>
                <c:f>Spectral!$R$49</c:f>
                <c:numCache>
                  <c:formatCode>General</c:formatCode>
                  <c:ptCount val="1"/>
                  <c:pt idx="0">
                    <c:v>5.8050301730393903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Spectral!$R$48</c:f>
              <c:numCache>
                <c:formatCode>0.00</c:formatCode>
                <c:ptCount val="1"/>
                <c:pt idx="0">
                  <c:v>23.006540334831737</c:v>
                </c:pt>
              </c:numCache>
            </c:numRef>
          </c:xVal>
          <c:yVal>
            <c:numRef>
              <c:f>RRB_all!$D$202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4B-406F-A9F0-A28503E6CF0F}"/>
            </c:ext>
          </c:extLst>
        </c:ser>
        <c:ser>
          <c:idx val="25"/>
          <c:order val="5"/>
          <c:tx>
            <c:strRef>
              <c:f>RRB_all!$D$244</c:f>
              <c:strCache>
                <c:ptCount val="1"/>
                <c:pt idx="0">
                  <c:v>W_07_ETM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 cmpd="sng">
                <a:solidFill>
                  <a:srgbClr val="1F9DFF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Spectral!$R$59</c:f>
                <c:numCache>
                  <c:formatCode>General</c:formatCode>
                  <c:ptCount val="1"/>
                  <c:pt idx="0">
                    <c:v>0.91001979809757072</c:v>
                  </c:pt>
                </c:numCache>
              </c:numRef>
            </c:plus>
            <c:minus>
              <c:numRef>
                <c:f>Spectral!$R$59</c:f>
                <c:numCache>
                  <c:formatCode>General</c:formatCode>
                  <c:ptCount val="1"/>
                  <c:pt idx="0">
                    <c:v>0.91001979809757072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Spectral!$R$58</c:f>
              <c:numCache>
                <c:formatCode>0.00</c:formatCode>
                <c:ptCount val="1"/>
                <c:pt idx="0">
                  <c:v>28.956187655266014</c:v>
                </c:pt>
              </c:numCache>
            </c:numRef>
          </c:xVal>
          <c:yVal>
            <c:numRef>
              <c:f>RRB_all!$D$250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4B-406F-A9F0-A28503E6CF0F}"/>
            </c:ext>
          </c:extLst>
        </c:ser>
        <c:ser>
          <c:idx val="30"/>
          <c:order val="6"/>
          <c:tx>
            <c:strRef>
              <c:f>RRB_all!$D$292</c:f>
              <c:strCache>
                <c:ptCount val="1"/>
                <c:pt idx="0">
                  <c:v>W_11_ETM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1F9DFF">
                  <a:alpha val="20000"/>
                </a:srgbClr>
              </a:solidFill>
              <a:ln w="19050">
                <a:solidFill>
                  <a:srgbClr val="1F9DFF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Spectral!$R$69</c:f>
                <c:numCache>
                  <c:formatCode>General</c:formatCode>
                  <c:ptCount val="1"/>
                  <c:pt idx="0">
                    <c:v>4.9452265390191181</c:v>
                  </c:pt>
                </c:numCache>
              </c:numRef>
            </c:plus>
            <c:minus>
              <c:numRef>
                <c:f>Spectral!$R$69</c:f>
                <c:numCache>
                  <c:formatCode>General</c:formatCode>
                  <c:ptCount val="1"/>
                  <c:pt idx="0">
                    <c:v>4.9452265390191181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RRB_all!$D$299</c:f>
                <c:numCache>
                  <c:formatCode>General</c:formatCode>
                  <c:ptCount val="1"/>
                  <c:pt idx="0">
                    <c:v>1.210317190862304</c:v>
                  </c:pt>
                </c:numCache>
              </c:numRef>
            </c:plus>
            <c:minus>
              <c:numRef>
                <c:f>RRB_all!$D$299</c:f>
                <c:numCache>
                  <c:formatCode>General</c:formatCode>
                  <c:ptCount val="1"/>
                  <c:pt idx="0">
                    <c:v>1.210317190862304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Spectral!$R$68</c:f>
              <c:numCache>
                <c:formatCode>0.00</c:formatCode>
                <c:ptCount val="1"/>
                <c:pt idx="0">
                  <c:v>59.141770412182247</c:v>
                </c:pt>
              </c:numCache>
            </c:numRef>
          </c:xVal>
          <c:yVal>
            <c:numRef>
              <c:f>RRB_all!$D$298</c:f>
              <c:numCache>
                <c:formatCode>0.00</c:formatCode>
                <c:ptCount val="1"/>
                <c:pt idx="0">
                  <c:v>92.904656319290467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4B-406F-A9F0-A28503E6CF0F}"/>
            </c:ext>
          </c:extLst>
        </c:ser>
        <c:ser>
          <c:idx val="35"/>
          <c:order val="7"/>
          <c:tx>
            <c:strRef>
              <c:f>RRB_all!$D$340</c:f>
              <c:strCache>
                <c:ptCount val="1"/>
                <c:pt idx="0">
                  <c:v>W_15_OLI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Spectral!$R$79</c:f>
                <c:numCache>
                  <c:formatCode>General</c:formatCode>
                  <c:ptCount val="1"/>
                  <c:pt idx="0">
                    <c:v>3.5210232345928705</c:v>
                  </c:pt>
                </c:numCache>
              </c:numRef>
            </c:plus>
            <c:minus>
              <c:numRef>
                <c:f>Spectral!$R$79</c:f>
                <c:numCache>
                  <c:formatCode>General</c:formatCode>
                  <c:ptCount val="1"/>
                  <c:pt idx="0">
                    <c:v>3.5210232345928705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RRB_all!$D$347</c:f>
                <c:numCache>
                  <c:formatCode>General</c:formatCode>
                  <c:ptCount val="1"/>
                  <c:pt idx="0">
                    <c:v>1.8681504541587082</c:v>
                  </c:pt>
                </c:numCache>
              </c:numRef>
            </c:plus>
            <c:minus>
              <c:numRef>
                <c:f>RRB_all!$D$347</c:f>
                <c:numCache>
                  <c:formatCode>General</c:formatCode>
                  <c:ptCount val="1"/>
                  <c:pt idx="0">
                    <c:v>1.8681504541587082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Spectral!$R$78</c:f>
              <c:numCache>
                <c:formatCode>0.00</c:formatCode>
                <c:ptCount val="1"/>
                <c:pt idx="0">
                  <c:v>46.333347626979915</c:v>
                </c:pt>
              </c:numCache>
            </c:numRef>
          </c:xVal>
          <c:yVal>
            <c:numRef>
              <c:f>RRB_all!$D$346</c:f>
              <c:numCache>
                <c:formatCode>0.00</c:formatCode>
                <c:ptCount val="1"/>
                <c:pt idx="0">
                  <c:v>80.487804878048792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B-406F-A9F0-A28503E6CF0F}"/>
            </c:ext>
          </c:extLst>
        </c:ser>
        <c:ser>
          <c:idx val="40"/>
          <c:order val="8"/>
          <c:tx>
            <c:strRef>
              <c:f>RRB_all!$D$388</c:f>
              <c:strCache>
                <c:ptCount val="1"/>
                <c:pt idx="0">
                  <c:v>W_19_OLI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F9DFF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Spectral!$R$89</c:f>
                <c:numCache>
                  <c:formatCode>General</c:formatCode>
                  <c:ptCount val="1"/>
                  <c:pt idx="0">
                    <c:v>1.7387235173960349</c:v>
                  </c:pt>
                </c:numCache>
              </c:numRef>
            </c:plus>
            <c:minus>
              <c:numRef>
                <c:f>Spectral!$R$89</c:f>
                <c:numCache>
                  <c:formatCode>General</c:formatCode>
                  <c:ptCount val="1"/>
                  <c:pt idx="0">
                    <c:v>1.7387235173960349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Spectral!$R$88</c:f>
              <c:numCache>
                <c:formatCode>0.00</c:formatCode>
                <c:ptCount val="1"/>
                <c:pt idx="0">
                  <c:v>43.478692905078717</c:v>
                </c:pt>
              </c:numCache>
            </c:numRef>
          </c:xVal>
          <c:yVal>
            <c:numRef>
              <c:f>RRB_all!$D$394</c:f>
              <c:numCache>
                <c:formatCode>0.00</c:formatCode>
                <c:ptCount val="1"/>
                <c:pt idx="0">
                  <c:v>9.0909090909090917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4B-406F-A9F0-A28503E6CF0F}"/>
            </c:ext>
          </c:extLst>
        </c:ser>
        <c:ser>
          <c:idx val="44"/>
          <c:order val="9"/>
          <c:tx>
            <c:strRef>
              <c:f>RRB_all!$D$436</c:f>
              <c:strCache>
                <c:ptCount val="1"/>
                <c:pt idx="0">
                  <c:v>W_19_MSI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19050">
                <a:solidFill>
                  <a:srgbClr val="1F9DFF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Spectral!$R$103</c:f>
                <c:numCache>
                  <c:formatCode>General</c:formatCode>
                  <c:ptCount val="1"/>
                  <c:pt idx="0">
                    <c:v>1.1444714354087204</c:v>
                  </c:pt>
                </c:numCache>
              </c:numRef>
            </c:plus>
            <c:minus>
              <c:numRef>
                <c:f>Spectral!$R$103</c:f>
                <c:numCache>
                  <c:formatCode>General</c:formatCode>
                  <c:ptCount val="1"/>
                  <c:pt idx="0">
                    <c:v>1.1444714354087204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Spectral!$R$102</c:f>
              <c:numCache>
                <c:formatCode>0.00</c:formatCode>
                <c:ptCount val="1"/>
                <c:pt idx="0">
                  <c:v>42.252016094747638</c:v>
                </c:pt>
              </c:numCache>
            </c:numRef>
          </c:xVal>
          <c:yVal>
            <c:numRef>
              <c:f>RRB_all!$D$442</c:f>
              <c:numCache>
                <c:formatCode>0.00</c:formatCode>
                <c:ptCount val="1"/>
                <c:pt idx="0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4B-406F-A9F0-A28503E6CF0F}"/>
            </c:ext>
          </c:extLst>
        </c:ser>
        <c:ser>
          <c:idx val="49"/>
          <c:order val="10"/>
          <c:tx>
            <c:strRef>
              <c:f>RRB_all!$D$484</c:f>
              <c:strCache>
                <c:ptCount val="1"/>
                <c:pt idx="0">
                  <c:v>W_24_MSI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F9DFF">
                  <a:alpha val="20000"/>
                </a:srgbClr>
              </a:solidFill>
              <a:ln w="31750" cmpd="dbl">
                <a:solidFill>
                  <a:srgbClr val="1F9DFF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Spectral!$R$117</c:f>
                <c:numCache>
                  <c:formatCode>General</c:formatCode>
                  <c:ptCount val="1"/>
                  <c:pt idx="0">
                    <c:v>0.24143492441849154</c:v>
                  </c:pt>
                </c:numCache>
              </c:numRef>
            </c:plus>
            <c:minus>
              <c:numRef>
                <c:f>Spectral!$R$117</c:f>
                <c:numCache>
                  <c:formatCode>General</c:formatCode>
                  <c:ptCount val="1"/>
                  <c:pt idx="0">
                    <c:v>0.24143492441849154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F9DFF"/>
                </a:solidFill>
                <a:round/>
              </a:ln>
              <a:effectLst/>
            </c:spPr>
          </c:errBars>
          <c:xVal>
            <c:numRef>
              <c:f>Spectral!$R$116</c:f>
              <c:numCache>
                <c:formatCode>0.00</c:formatCode>
                <c:ptCount val="1"/>
                <c:pt idx="0">
                  <c:v>30.877904734512924</c:v>
                </c:pt>
              </c:numCache>
            </c:numRef>
          </c:xVal>
          <c:yVal>
            <c:numRef>
              <c:f>RRB_all!$D$490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4B-406F-A9F0-A28503E6CF0F}"/>
            </c:ext>
          </c:extLst>
        </c:ser>
        <c:ser>
          <c:idx val="9"/>
          <c:order val="11"/>
          <c:tx>
            <c:strRef>
              <c:f>RRB_all!$E$4</c:f>
              <c:strCache>
                <c:ptCount val="1"/>
                <c:pt idx="0">
                  <c:v>B_77_MSS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Spectral!$S$11</c:f>
                <c:numCache>
                  <c:formatCode>General</c:formatCode>
                  <c:ptCount val="1"/>
                  <c:pt idx="0">
                    <c:v>4.5703196416447405</c:v>
                  </c:pt>
                </c:numCache>
              </c:numRef>
            </c:plus>
            <c:minus>
              <c:numRef>
                <c:f>Spectral!$S$11</c:f>
                <c:numCache>
                  <c:formatCode>General</c:formatCode>
                  <c:ptCount val="1"/>
                  <c:pt idx="0">
                    <c:v>4.5703196416447405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RRB_all!$E$11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RRB_all!$E$11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Spectral!$S$10</c:f>
              <c:numCache>
                <c:formatCode>0.00</c:formatCode>
                <c:ptCount val="1"/>
                <c:pt idx="0">
                  <c:v>29.248755891761768</c:v>
                </c:pt>
              </c:numCache>
            </c:numRef>
          </c:xVal>
          <c:yVal>
            <c:numRef>
              <c:f>RRB_all!$E$10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74B-406F-A9F0-A28503E6CF0F}"/>
            </c:ext>
          </c:extLst>
        </c:ser>
        <c:ser>
          <c:idx val="2"/>
          <c:order val="12"/>
          <c:tx>
            <c:strRef>
              <c:f>RRB_all!$E$52</c:f>
              <c:strCache>
                <c:ptCount val="1"/>
                <c:pt idx="0">
                  <c:v>B_88_MSS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chemeClr val="accent3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RRB_all!$E$59</c:f>
                <c:numCache>
                  <c:formatCode>General</c:formatCode>
                  <c:ptCount val="1"/>
                  <c:pt idx="0">
                    <c:v>13.093073414159543</c:v>
                  </c:pt>
                </c:numCache>
              </c:numRef>
            </c:plus>
            <c:minus>
              <c:numRef>
                <c:f>RRB_all!$E$59</c:f>
                <c:numCache>
                  <c:formatCode>General</c:formatCode>
                  <c:ptCount val="1"/>
                  <c:pt idx="0">
                    <c:v>13.093073414159543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Spectral!$S$19</c:f>
                <c:numCache>
                  <c:formatCode>General</c:formatCode>
                  <c:ptCount val="1"/>
                  <c:pt idx="0">
                    <c:v>1.8152055005873697</c:v>
                  </c:pt>
                </c:numCache>
              </c:numRef>
            </c:plus>
            <c:minus>
              <c:numRef>
                <c:f>Spectral!$S$19</c:f>
                <c:numCache>
                  <c:formatCode>General</c:formatCode>
                  <c:ptCount val="1"/>
                  <c:pt idx="0">
                    <c:v>1.8152055005873697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xVal>
            <c:numRef>
              <c:f>Spectral!$S$18</c:f>
              <c:numCache>
                <c:formatCode>0.00</c:formatCode>
                <c:ptCount val="1"/>
                <c:pt idx="0">
                  <c:v>15.535564527330074</c:v>
                </c:pt>
              </c:numCache>
            </c:numRef>
          </c:xVal>
          <c:yVal>
            <c:numRef>
              <c:f>RRB_all!$E$58</c:f>
              <c:numCache>
                <c:formatCode>0.00</c:formatCode>
                <c:ptCount val="1"/>
                <c:pt idx="0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74B-406F-A9F0-A28503E6CF0F}"/>
            </c:ext>
          </c:extLst>
        </c:ser>
        <c:ser>
          <c:idx val="11"/>
          <c:order val="13"/>
          <c:tx>
            <c:strRef>
              <c:f>RRB_all!$E$100</c:f>
              <c:strCache>
                <c:ptCount val="1"/>
                <c:pt idx="0">
                  <c:v>B_88_TM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Spectral!$S$29</c:f>
                <c:numCache>
                  <c:formatCode>General</c:formatCode>
                  <c:ptCount val="1"/>
                  <c:pt idx="0">
                    <c:v>1.4018369869499341</c:v>
                  </c:pt>
                </c:numCache>
              </c:numRef>
            </c:plus>
            <c:minus>
              <c:numRef>
                <c:f>Spectral!$S$29</c:f>
                <c:numCache>
                  <c:formatCode>General</c:formatCode>
                  <c:ptCount val="1"/>
                  <c:pt idx="0">
                    <c:v>1.4018369869499341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RRB_all!$E$107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RRB_all!$E$107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Spectral!$S$28</c:f>
              <c:numCache>
                <c:formatCode>0.00</c:formatCode>
                <c:ptCount val="1"/>
                <c:pt idx="0">
                  <c:v>25.031645960563637</c:v>
                </c:pt>
              </c:numCache>
            </c:numRef>
          </c:xVal>
          <c:yVal>
            <c:numRef>
              <c:f>RRB_all!$E$106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74B-406F-A9F0-A28503E6CF0F}"/>
            </c:ext>
          </c:extLst>
        </c:ser>
        <c:ser>
          <c:idx val="16"/>
          <c:order val="14"/>
          <c:tx>
            <c:strRef>
              <c:f>RRB_all!$E$148</c:f>
              <c:strCache>
                <c:ptCount val="1"/>
                <c:pt idx="0">
                  <c:v>B_91_TM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CACDDE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Spectral!$S$39</c:f>
                <c:numCache>
                  <c:formatCode>General</c:formatCode>
                  <c:ptCount val="1"/>
                  <c:pt idx="0">
                    <c:v>1.8945958768686111</c:v>
                  </c:pt>
                </c:numCache>
              </c:numRef>
            </c:plus>
            <c:minus>
              <c:numRef>
                <c:f>Spectral!$S$39</c:f>
                <c:numCache>
                  <c:formatCode>General</c:formatCode>
                  <c:ptCount val="1"/>
                  <c:pt idx="0">
                    <c:v>1.8945958768686111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RRB_all!$E$155</c:f>
                <c:numCache>
                  <c:formatCode>General</c:formatCode>
                  <c:ptCount val="1"/>
                  <c:pt idx="0">
                    <c:v>2.4588241692166193</c:v>
                  </c:pt>
                </c:numCache>
              </c:numRef>
            </c:plus>
            <c:minus>
              <c:numRef>
                <c:f>RRB_all!$E$155</c:f>
                <c:numCache>
                  <c:formatCode>General</c:formatCode>
                  <c:ptCount val="1"/>
                  <c:pt idx="0">
                    <c:v>2.4588241692166193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prstDash val="solid"/>
                <a:round/>
              </a:ln>
              <a:effectLst/>
            </c:spPr>
          </c:errBars>
          <c:xVal>
            <c:numRef>
              <c:f>Spectral!$S$38</c:f>
              <c:numCache>
                <c:formatCode>0.00</c:formatCode>
                <c:ptCount val="1"/>
                <c:pt idx="0">
                  <c:v>26.693652544688383</c:v>
                </c:pt>
              </c:numCache>
            </c:numRef>
          </c:xVal>
          <c:yVal>
            <c:numRef>
              <c:f>RRB_all!$E$154</c:f>
              <c:numCache>
                <c:formatCode>0.00</c:formatCode>
                <c:ptCount val="1"/>
                <c:pt idx="0">
                  <c:v>96.491228070175424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74B-406F-A9F0-A28503E6CF0F}"/>
            </c:ext>
          </c:extLst>
        </c:ser>
        <c:ser>
          <c:idx val="21"/>
          <c:order val="15"/>
          <c:tx>
            <c:strRef>
              <c:f>RRB_all!$E$196</c:f>
              <c:strCache>
                <c:ptCount val="1"/>
                <c:pt idx="0">
                  <c:v>B_01_TM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Spectral!$S$39</c:f>
                <c:numCache>
                  <c:formatCode>General</c:formatCode>
                  <c:ptCount val="1"/>
                  <c:pt idx="0">
                    <c:v>1.8945958768686111</c:v>
                  </c:pt>
                </c:numCache>
              </c:numRef>
            </c:plus>
            <c:minus>
              <c:numRef>
                <c:f>Spectral!$S$39</c:f>
                <c:numCache>
                  <c:formatCode>General</c:formatCode>
                  <c:ptCount val="1"/>
                  <c:pt idx="0">
                    <c:v>1.8945958768686111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RRB_all!$E$203</c:f>
                <c:numCache>
                  <c:formatCode>General</c:formatCode>
                  <c:ptCount val="1"/>
                  <c:pt idx="0">
                    <c:v>3.4134933513474275</c:v>
                  </c:pt>
                </c:numCache>
              </c:numRef>
            </c:plus>
            <c:minus>
              <c:numRef>
                <c:f>RRB_all!$E$203</c:f>
                <c:numCache>
                  <c:formatCode>General</c:formatCode>
                  <c:ptCount val="1"/>
                  <c:pt idx="0">
                    <c:v>3.4134933513474275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Spectral!$S$48</c:f>
              <c:numCache>
                <c:formatCode>0.00</c:formatCode>
                <c:ptCount val="1"/>
                <c:pt idx="0">
                  <c:v>30.17858623846314</c:v>
                </c:pt>
              </c:numCache>
            </c:numRef>
          </c:xVal>
          <c:yVal>
            <c:numRef>
              <c:f>RRB_all!$E$202</c:f>
              <c:numCache>
                <c:formatCode>0.00</c:formatCode>
                <c:ptCount val="1"/>
                <c:pt idx="0">
                  <c:v>92.982456140350877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74B-406F-A9F0-A28503E6CF0F}"/>
            </c:ext>
          </c:extLst>
        </c:ser>
        <c:ser>
          <c:idx val="26"/>
          <c:order val="16"/>
          <c:tx>
            <c:strRef>
              <c:f>RRB_all!$E$244</c:f>
              <c:strCache>
                <c:ptCount val="1"/>
                <c:pt idx="0">
                  <c:v>B_07_ETM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Spectral!$S$59</c:f>
                <c:numCache>
                  <c:formatCode>General</c:formatCode>
                  <c:ptCount val="1"/>
                  <c:pt idx="0">
                    <c:v>2.5473185964633065</c:v>
                  </c:pt>
                </c:numCache>
              </c:numRef>
            </c:plus>
            <c:minus>
              <c:numRef>
                <c:f>Spectral!$S$59</c:f>
                <c:numCache>
                  <c:formatCode>General</c:formatCode>
                  <c:ptCount val="1"/>
                  <c:pt idx="0">
                    <c:v>2.5473185964633065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RRB_all!$E$251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RRB_all!$E$251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Spectral!$S$58</c:f>
              <c:numCache>
                <c:formatCode>0.00</c:formatCode>
                <c:ptCount val="1"/>
                <c:pt idx="0">
                  <c:v>28.665970046396271</c:v>
                </c:pt>
              </c:numCache>
            </c:numRef>
          </c:xVal>
          <c:yVal>
            <c:numRef>
              <c:f>RRB_all!$E$250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74B-406F-A9F0-A28503E6CF0F}"/>
            </c:ext>
          </c:extLst>
        </c:ser>
        <c:ser>
          <c:idx val="31"/>
          <c:order val="17"/>
          <c:tx>
            <c:strRef>
              <c:f>RRB_all!$E$292</c:f>
              <c:strCache>
                <c:ptCount val="1"/>
                <c:pt idx="0">
                  <c:v>B_11_ETM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CACDDE">
                  <a:alpha val="20000"/>
                </a:srgbClr>
              </a:solidFill>
              <a:ln w="19050">
                <a:solidFill>
                  <a:srgbClr val="CACDDE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Spectral!$S$69</c:f>
                <c:numCache>
                  <c:formatCode>General</c:formatCode>
                  <c:ptCount val="1"/>
                  <c:pt idx="0">
                    <c:v>2.7058373280754564</c:v>
                  </c:pt>
                </c:numCache>
              </c:numRef>
            </c:plus>
            <c:minus>
              <c:numRef>
                <c:f>Spectral!$S$69</c:f>
                <c:numCache>
                  <c:formatCode>General</c:formatCode>
                  <c:ptCount val="1"/>
                  <c:pt idx="0">
                    <c:v>2.7058373280754564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RRB_all!$E$299</c:f>
                <c:numCache>
                  <c:formatCode>General</c:formatCode>
                  <c:ptCount val="1"/>
                  <c:pt idx="0">
                    <c:v>1.7543859649122773</c:v>
                  </c:pt>
                </c:numCache>
              </c:numRef>
            </c:plus>
            <c:minus>
              <c:numRef>
                <c:f>RRB_all!$E$299</c:f>
                <c:numCache>
                  <c:formatCode>General</c:formatCode>
                  <c:ptCount val="1"/>
                  <c:pt idx="0">
                    <c:v>1.7543859649122773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Spectral!$S$68</c:f>
              <c:numCache>
                <c:formatCode>0.00</c:formatCode>
                <c:ptCount val="1"/>
                <c:pt idx="0">
                  <c:v>33.728305162159899</c:v>
                </c:pt>
              </c:numCache>
            </c:numRef>
          </c:xVal>
          <c:yVal>
            <c:numRef>
              <c:f>RRB_all!$E$298</c:f>
              <c:numCache>
                <c:formatCode>0.00</c:formatCode>
                <c:ptCount val="1"/>
                <c:pt idx="0">
                  <c:v>98.245614035087726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74B-406F-A9F0-A28503E6CF0F}"/>
            </c:ext>
          </c:extLst>
        </c:ser>
        <c:ser>
          <c:idx val="36"/>
          <c:order val="18"/>
          <c:tx>
            <c:strRef>
              <c:f>RRB_all!$E$340</c:f>
              <c:strCache>
                <c:ptCount val="1"/>
                <c:pt idx="0">
                  <c:v>B_15_OLI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Spectral!$S$79</c:f>
                <c:numCache>
                  <c:formatCode>General</c:formatCode>
                  <c:ptCount val="1"/>
                  <c:pt idx="0">
                    <c:v>7.170902729586512</c:v>
                  </c:pt>
                </c:numCache>
              </c:numRef>
            </c:plus>
            <c:minus>
              <c:numRef>
                <c:f>Spectral!$S$79</c:f>
                <c:numCache>
                  <c:formatCode>General</c:formatCode>
                  <c:ptCount val="1"/>
                  <c:pt idx="0">
                    <c:v>7.170902729586512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RRB_all!$E$347</c:f>
                <c:numCache>
                  <c:formatCode>General</c:formatCode>
                  <c:ptCount val="1"/>
                  <c:pt idx="0">
                    <c:v>2.4588241692166148</c:v>
                  </c:pt>
                </c:numCache>
              </c:numRef>
            </c:plus>
            <c:minus>
              <c:numRef>
                <c:f>RRB_all!$E$347</c:f>
                <c:numCache>
                  <c:formatCode>General</c:formatCode>
                  <c:ptCount val="1"/>
                  <c:pt idx="0">
                    <c:v>2.4588241692166148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Spectral!$S$78</c:f>
              <c:numCache>
                <c:formatCode>0.00</c:formatCode>
                <c:ptCount val="1"/>
                <c:pt idx="0">
                  <c:v>38.364219826466694</c:v>
                </c:pt>
              </c:numCache>
            </c:numRef>
          </c:xVal>
          <c:yVal>
            <c:numRef>
              <c:f>RRB_all!$E$346</c:f>
              <c:numCache>
                <c:formatCode>0.00</c:formatCode>
                <c:ptCount val="1"/>
                <c:pt idx="0">
                  <c:v>96.491228070175438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74B-406F-A9F0-A28503E6CF0F}"/>
            </c:ext>
          </c:extLst>
        </c:ser>
        <c:ser>
          <c:idx val="41"/>
          <c:order val="19"/>
          <c:tx>
            <c:strRef>
              <c:f>RRB_all!$E$388</c:f>
              <c:strCache>
                <c:ptCount val="1"/>
                <c:pt idx="0">
                  <c:v>B_19_OLI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CACDDE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Spectral!$S$89</c:f>
                <c:numCache>
                  <c:formatCode>General</c:formatCode>
                  <c:ptCount val="1"/>
                  <c:pt idx="0">
                    <c:v>5.643209619801163</c:v>
                  </c:pt>
                </c:numCache>
              </c:numRef>
            </c:plus>
            <c:minus>
              <c:numRef>
                <c:f>Spectral!$S$89</c:f>
                <c:numCache>
                  <c:formatCode>General</c:formatCode>
                  <c:ptCount val="1"/>
                  <c:pt idx="0">
                    <c:v>5.643209619801163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RRB_all!$E$395</c:f>
                <c:numCache>
                  <c:formatCode>General</c:formatCode>
                  <c:ptCount val="1"/>
                  <c:pt idx="0">
                    <c:v>2.4588241692166148</c:v>
                  </c:pt>
                </c:numCache>
              </c:numRef>
            </c:plus>
            <c:minus>
              <c:numRef>
                <c:f>RRB_all!$E$395</c:f>
                <c:numCache>
                  <c:formatCode>General</c:formatCode>
                  <c:ptCount val="1"/>
                  <c:pt idx="0">
                    <c:v>2.4588241692166148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Spectral!$S$88</c:f>
              <c:numCache>
                <c:formatCode>0.00</c:formatCode>
                <c:ptCount val="1"/>
                <c:pt idx="0">
                  <c:v>41.466576082329212</c:v>
                </c:pt>
              </c:numCache>
            </c:numRef>
          </c:xVal>
          <c:yVal>
            <c:numRef>
              <c:f>RRB_all!$E$394</c:f>
              <c:numCache>
                <c:formatCode>0.00</c:formatCode>
                <c:ptCount val="1"/>
                <c:pt idx="0">
                  <c:v>96.491228070175438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74B-406F-A9F0-A28503E6CF0F}"/>
            </c:ext>
          </c:extLst>
        </c:ser>
        <c:ser>
          <c:idx val="45"/>
          <c:order val="20"/>
          <c:tx>
            <c:strRef>
              <c:f>RRB_all!$E$436</c:f>
              <c:strCache>
                <c:ptCount val="1"/>
                <c:pt idx="0">
                  <c:v>B_19_MSI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19050">
                <a:solidFill>
                  <a:srgbClr val="CACDDE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Spectral!$S$103</c:f>
                <c:numCache>
                  <c:formatCode>General</c:formatCode>
                  <c:ptCount val="1"/>
                  <c:pt idx="0">
                    <c:v>3.8249158129482441</c:v>
                  </c:pt>
                </c:numCache>
              </c:numRef>
            </c:plus>
            <c:minus>
              <c:numRef>
                <c:f>Spectral!$S$103</c:f>
                <c:numCache>
                  <c:formatCode>General</c:formatCode>
                  <c:ptCount val="1"/>
                  <c:pt idx="0">
                    <c:v>3.8249158129482441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RRB_all!$E$443</c:f>
                <c:numCache>
                  <c:formatCode>General</c:formatCode>
                  <c:ptCount val="1"/>
                  <c:pt idx="0">
                    <c:v>4.166666666666667</c:v>
                  </c:pt>
                </c:numCache>
              </c:numRef>
            </c:plus>
            <c:minus>
              <c:numRef>
                <c:f>RRB_all!$E$443</c:f>
                <c:numCache>
                  <c:formatCode>General</c:formatCode>
                  <c:ptCount val="1"/>
                  <c:pt idx="0">
                    <c:v>4.166666666666667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Spectral!$S$102</c:f>
              <c:numCache>
                <c:formatCode>0.00</c:formatCode>
                <c:ptCount val="1"/>
                <c:pt idx="0">
                  <c:v>33.839260273060404</c:v>
                </c:pt>
              </c:numCache>
            </c:numRef>
          </c:xVal>
          <c:yVal>
            <c:numRef>
              <c:f>RRB_all!$E$442</c:f>
              <c:numCache>
                <c:formatCode>0.00</c:formatCode>
                <c:ptCount val="1"/>
                <c:pt idx="0">
                  <c:v>87.5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74B-406F-A9F0-A28503E6CF0F}"/>
            </c:ext>
          </c:extLst>
        </c:ser>
        <c:ser>
          <c:idx val="50"/>
          <c:order val="21"/>
          <c:tx>
            <c:strRef>
              <c:f>RRB_all!$E$484</c:f>
              <c:strCache>
                <c:ptCount val="1"/>
                <c:pt idx="0">
                  <c:v>B_24_MSI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ACDDE">
                  <a:alpha val="20000"/>
                </a:srgbClr>
              </a:solidFill>
              <a:ln w="31750" cmpd="dbl">
                <a:solidFill>
                  <a:srgbClr val="CACDDE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Spectral!$S$117</c:f>
                <c:numCache>
                  <c:formatCode>General</c:formatCode>
                  <c:ptCount val="1"/>
                  <c:pt idx="0">
                    <c:v>3.2549577125752656</c:v>
                  </c:pt>
                </c:numCache>
              </c:numRef>
            </c:plus>
            <c:minus>
              <c:numRef>
                <c:f>Spectral!$S$117</c:f>
                <c:numCache>
                  <c:formatCode>General</c:formatCode>
                  <c:ptCount val="1"/>
                  <c:pt idx="0">
                    <c:v>3.2549577125752656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RRB_all!$E$491</c:f>
                <c:numCache>
                  <c:formatCode>General</c:formatCode>
                  <c:ptCount val="1"/>
                  <c:pt idx="0">
                    <c:v>4.3797805514170944</c:v>
                  </c:pt>
                </c:numCache>
              </c:numRef>
            </c:plus>
            <c:minus>
              <c:numRef>
                <c:f>RRB_all!$E$491</c:f>
                <c:numCache>
                  <c:formatCode>General</c:formatCode>
                  <c:ptCount val="1"/>
                  <c:pt idx="0">
                    <c:v>4.3797805514170944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CACDDE"/>
                </a:solidFill>
                <a:round/>
              </a:ln>
              <a:effectLst/>
            </c:spPr>
          </c:errBars>
          <c:xVal>
            <c:numRef>
              <c:f>Spectral!$S$116</c:f>
              <c:numCache>
                <c:formatCode>0.00</c:formatCode>
                <c:ptCount val="1"/>
                <c:pt idx="0">
                  <c:v>30.672211638539576</c:v>
                </c:pt>
              </c:numCache>
            </c:numRef>
          </c:xVal>
          <c:yVal>
            <c:numRef>
              <c:f>RRB_all!$E$490</c:f>
              <c:numCache>
                <c:formatCode>0.00</c:formatCode>
                <c:ptCount val="1"/>
                <c:pt idx="0">
                  <c:v>85.9375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74B-406F-A9F0-A28503E6CF0F}"/>
            </c:ext>
          </c:extLst>
        </c:ser>
        <c:ser>
          <c:idx val="7"/>
          <c:order val="22"/>
          <c:tx>
            <c:strRef>
              <c:f>RRB_all!$F$4</c:f>
              <c:strCache>
                <c:ptCount val="1"/>
                <c:pt idx="0">
                  <c:v>A_77_MSS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Spectral!$T$11</c:f>
                <c:numCache>
                  <c:formatCode>General</c:formatCode>
                  <c:ptCount val="1"/>
                  <c:pt idx="0">
                    <c:v>1.3093912939568166</c:v>
                  </c:pt>
                </c:numCache>
              </c:numRef>
            </c:plus>
            <c:minus>
              <c:numRef>
                <c:f>Spectral!$T$11</c:f>
                <c:numCache>
                  <c:formatCode>General</c:formatCode>
                  <c:ptCount val="1"/>
                  <c:pt idx="0">
                    <c:v>1.3093912939568166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RRB_all!$F$11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RRB_all!$F$11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1587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Spectral!$T$10</c:f>
              <c:numCache>
                <c:formatCode>0.00</c:formatCode>
                <c:ptCount val="1"/>
                <c:pt idx="0">
                  <c:v>13.817920011101881</c:v>
                </c:pt>
              </c:numCache>
            </c:numRef>
          </c:xVal>
          <c:yVal>
            <c:numRef>
              <c:f>RRB_all!$F$10</c:f>
              <c:numCache>
                <c:formatCode>0.00</c:formatCode>
                <c:ptCount val="1"/>
                <c:pt idx="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74B-406F-A9F0-A28503E6CF0F}"/>
            </c:ext>
          </c:extLst>
        </c:ser>
        <c:ser>
          <c:idx val="3"/>
          <c:order val="23"/>
          <c:tx>
            <c:strRef>
              <c:f>RRB_all!$F$52</c:f>
              <c:strCache>
                <c:ptCount val="1"/>
                <c:pt idx="0">
                  <c:v>A_88_MSS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B1EE2D">
                    <a:alpha val="96000"/>
                  </a:srgbClr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Spectral!$T$19</c:f>
                <c:numCache>
                  <c:formatCode>General</c:formatCode>
                  <c:ptCount val="1"/>
                  <c:pt idx="0">
                    <c:v>0.93756600436194282</c:v>
                  </c:pt>
                </c:numCache>
              </c:numRef>
            </c:plus>
            <c:minus>
              <c:numRef>
                <c:f>Spectral!$T$19</c:f>
                <c:numCache>
                  <c:formatCode>General</c:formatCode>
                  <c:ptCount val="1"/>
                  <c:pt idx="0">
                    <c:v>0.93756600436194282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RRB_all!$F$59</c:f>
                <c:numCache>
                  <c:formatCode>General</c:formatCode>
                  <c:ptCount val="1"/>
                  <c:pt idx="0">
                    <c:v>0.99238711073977215</c:v>
                  </c:pt>
                </c:numCache>
              </c:numRef>
            </c:plus>
            <c:minus>
              <c:numRef>
                <c:f>RRB_all!$F$59</c:f>
                <c:numCache>
                  <c:formatCode>General</c:formatCode>
                  <c:ptCount val="1"/>
                  <c:pt idx="0">
                    <c:v>0.99238711073977215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xVal>
            <c:numRef>
              <c:f>Spectral!$T$18</c:f>
              <c:numCache>
                <c:formatCode>0.00</c:formatCode>
                <c:ptCount val="1"/>
                <c:pt idx="0">
                  <c:v>13.833743543673338</c:v>
                </c:pt>
              </c:numCache>
            </c:numRef>
          </c:xVal>
          <c:yVal>
            <c:numRef>
              <c:f>RRB_all!$F$58</c:f>
              <c:numCache>
                <c:formatCode>0.00</c:formatCode>
                <c:ptCount val="1"/>
                <c:pt idx="0">
                  <c:v>98.591549295774641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74B-406F-A9F0-A28503E6CF0F}"/>
            </c:ext>
          </c:extLst>
        </c:ser>
        <c:ser>
          <c:idx val="12"/>
          <c:order val="24"/>
          <c:tx>
            <c:strRef>
              <c:f>RRB_all!$F$100</c:f>
              <c:strCache>
                <c:ptCount val="1"/>
                <c:pt idx="0">
                  <c:v>A_88_TM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B1EE2D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Spectral!$T$29</c:f>
                <c:numCache>
                  <c:formatCode>General</c:formatCode>
                  <c:ptCount val="1"/>
                  <c:pt idx="0">
                    <c:v>1.0409779761792113</c:v>
                  </c:pt>
                </c:numCache>
              </c:numRef>
            </c:plus>
            <c:minus>
              <c:numRef>
                <c:f>Spectral!$T$29</c:f>
                <c:numCache>
                  <c:formatCode>General</c:formatCode>
                  <c:ptCount val="1"/>
                  <c:pt idx="0">
                    <c:v>1.0409779761792113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RRB_all!$F$107</c:f>
                <c:numCache>
                  <c:formatCode>General</c:formatCode>
                  <c:ptCount val="1"/>
                  <c:pt idx="0">
                    <c:v>0.2346941488143626</c:v>
                  </c:pt>
                </c:numCache>
              </c:numRef>
            </c:plus>
            <c:minus>
              <c:numRef>
                <c:f>RRB_all!$F$107</c:f>
                <c:numCache>
                  <c:formatCode>General</c:formatCode>
                  <c:ptCount val="1"/>
                  <c:pt idx="0">
                    <c:v>0.2346941488143626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Spectral!$T$28</c:f>
              <c:numCache>
                <c:formatCode>0.00</c:formatCode>
                <c:ptCount val="1"/>
                <c:pt idx="0">
                  <c:v>17.187966947000692</c:v>
                </c:pt>
              </c:numCache>
            </c:numRef>
          </c:xVal>
          <c:yVal>
            <c:numRef>
              <c:f>RRB_all!$F$106</c:f>
              <c:numCache>
                <c:formatCode>0.00</c:formatCode>
                <c:ptCount val="1"/>
                <c:pt idx="0">
                  <c:v>99.592944369063773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674B-406F-A9F0-A28503E6CF0F}"/>
            </c:ext>
          </c:extLst>
        </c:ser>
        <c:ser>
          <c:idx val="17"/>
          <c:order val="25"/>
          <c:tx>
            <c:strRef>
              <c:f>RRB_all!$F$148</c:f>
              <c:strCache>
                <c:ptCount val="1"/>
                <c:pt idx="0">
                  <c:v>A_91_TM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B1EE2D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Spectral!$T$39</c:f>
                <c:numCache>
                  <c:formatCode>General</c:formatCode>
                  <c:ptCount val="1"/>
                  <c:pt idx="0">
                    <c:v>1.1774830747443013</c:v>
                  </c:pt>
                </c:numCache>
              </c:numRef>
            </c:plus>
            <c:minus>
              <c:numRef>
                <c:f>Spectral!$T$39</c:f>
                <c:numCache>
                  <c:formatCode>General</c:formatCode>
                  <c:ptCount val="1"/>
                  <c:pt idx="0">
                    <c:v>1.1774830747443013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RRB_all!$F$155</c:f>
                <c:numCache>
                  <c:formatCode>General</c:formatCode>
                  <c:ptCount val="1"/>
                  <c:pt idx="0">
                    <c:v>0.65425039084076997</c:v>
                  </c:pt>
                </c:numCache>
              </c:numRef>
            </c:plus>
            <c:minus>
              <c:numRef>
                <c:f>RRB_all!$F$155</c:f>
                <c:numCache>
                  <c:formatCode>General</c:formatCode>
                  <c:ptCount val="1"/>
                  <c:pt idx="0">
                    <c:v>0.65425039084076997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prstDash val="sysDash"/>
                <a:round/>
              </a:ln>
              <a:effectLst/>
            </c:spPr>
          </c:errBars>
          <c:xVal>
            <c:numRef>
              <c:f>Spectral!$T$38</c:f>
              <c:numCache>
                <c:formatCode>0.00</c:formatCode>
                <c:ptCount val="1"/>
                <c:pt idx="0">
                  <c:v>18.722489423589579</c:v>
                </c:pt>
              </c:numCache>
            </c:numRef>
          </c:xVal>
          <c:yVal>
            <c:numRef>
              <c:f>RRB_all!$F$154</c:f>
              <c:numCache>
                <c:formatCode>0.00</c:formatCode>
                <c:ptCount val="1"/>
                <c:pt idx="0">
                  <c:v>96.743554952510181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74B-406F-A9F0-A28503E6CF0F}"/>
            </c:ext>
          </c:extLst>
        </c:ser>
        <c:ser>
          <c:idx val="22"/>
          <c:order val="26"/>
          <c:tx>
            <c:strRef>
              <c:f>RRB_all!$F$196</c:f>
              <c:strCache>
                <c:ptCount val="1"/>
                <c:pt idx="0">
                  <c:v>A_01_TM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Spectral!$T$49</c:f>
                <c:numCache>
                  <c:formatCode>General</c:formatCode>
                  <c:ptCount val="1"/>
                  <c:pt idx="0">
                    <c:v>1.5437083133357004</c:v>
                  </c:pt>
                </c:numCache>
              </c:numRef>
            </c:plus>
            <c:minus>
              <c:numRef>
                <c:f>Spectral!$T$49</c:f>
                <c:numCache>
                  <c:formatCode>General</c:formatCode>
                  <c:ptCount val="1"/>
                  <c:pt idx="0">
                    <c:v>1.5437083133357004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RRB_all!$F$203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plus>
            <c:minus>
              <c:numRef>
                <c:f>RRB_all!$F$203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Spectral!$T$48</c:f>
              <c:numCache>
                <c:formatCode>0.00</c:formatCode>
                <c:ptCount val="1"/>
                <c:pt idx="0">
                  <c:v>22.870049760544948</c:v>
                </c:pt>
              </c:numCache>
            </c:numRef>
          </c:xVal>
          <c:yVal>
            <c:numRef>
              <c:f>RRB_all!$F$202</c:f>
              <c:numCache>
                <c:formatCode>0.00</c:formatCode>
                <c:ptCount val="1"/>
                <c:pt idx="0">
                  <c:v>99.864314789687924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74B-406F-A9F0-A28503E6CF0F}"/>
            </c:ext>
          </c:extLst>
        </c:ser>
        <c:ser>
          <c:idx val="27"/>
          <c:order val="27"/>
          <c:tx>
            <c:strRef>
              <c:f>RRB_all!$F$244</c:f>
              <c:strCache>
                <c:ptCount val="1"/>
                <c:pt idx="0">
                  <c:v>A_07_ETM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Spectral!$T$59</c:f>
                <c:numCache>
                  <c:formatCode>General</c:formatCode>
                  <c:ptCount val="1"/>
                  <c:pt idx="0">
                    <c:v>1.4464329321204514</c:v>
                  </c:pt>
                </c:numCache>
              </c:numRef>
            </c:plus>
            <c:minus>
              <c:numRef>
                <c:f>Spectral!$T$59</c:f>
                <c:numCache>
                  <c:formatCode>General</c:formatCode>
                  <c:ptCount val="1"/>
                  <c:pt idx="0">
                    <c:v>1.4464329321204514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RRB_all!$F$251</c:f>
                <c:numCache>
                  <c:formatCode>General</c:formatCode>
                  <c:ptCount val="1"/>
                  <c:pt idx="0">
                    <c:v>0.31056016230667621</c:v>
                  </c:pt>
                </c:numCache>
              </c:numRef>
            </c:plus>
            <c:minus>
              <c:numRef>
                <c:f>RRB_all!$F$251</c:f>
                <c:numCache>
                  <c:formatCode>General</c:formatCode>
                  <c:ptCount val="1"/>
                  <c:pt idx="0">
                    <c:v>0.31056016230667621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Spectral!$T$58</c:f>
              <c:numCache>
                <c:formatCode>0.00</c:formatCode>
                <c:ptCount val="1"/>
                <c:pt idx="0">
                  <c:v>20.242277919432851</c:v>
                </c:pt>
              </c:numCache>
            </c:numRef>
          </c:xVal>
          <c:yVal>
            <c:numRef>
              <c:f>RRB_all!$F$250</c:f>
              <c:numCache>
                <c:formatCode>0.00</c:formatCode>
                <c:ptCount val="1"/>
                <c:pt idx="0">
                  <c:v>99.30362116991644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674B-406F-A9F0-A28503E6CF0F}"/>
            </c:ext>
          </c:extLst>
        </c:ser>
        <c:ser>
          <c:idx val="32"/>
          <c:order val="28"/>
          <c:tx>
            <c:strRef>
              <c:f>RRB_all!$F$292</c:f>
              <c:strCache>
                <c:ptCount val="1"/>
                <c:pt idx="0">
                  <c:v>A_11_ETM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B1EE2D">
                  <a:alpha val="20000"/>
                </a:srgbClr>
              </a:solidFill>
              <a:ln w="19050">
                <a:solidFill>
                  <a:srgbClr val="B1EE2D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Spectral!$T$69</c:f>
                <c:numCache>
                  <c:formatCode>General</c:formatCode>
                  <c:ptCount val="1"/>
                  <c:pt idx="0">
                    <c:v>2.2206513665982173</c:v>
                  </c:pt>
                </c:numCache>
              </c:numRef>
            </c:plus>
            <c:minus>
              <c:numRef>
                <c:f>Spectral!$T$69</c:f>
                <c:numCache>
                  <c:formatCode>General</c:formatCode>
                  <c:ptCount val="1"/>
                  <c:pt idx="0">
                    <c:v>2.2206513665982173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RRB_all!$F$299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plus>
            <c:minus>
              <c:numRef>
                <c:f>RRB_all!$F$299</c:f>
                <c:numCache>
                  <c:formatCode>General</c:formatCode>
                  <c:ptCount val="1"/>
                  <c:pt idx="0">
                    <c:v>0.13568521031207589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Spectral!$T$68</c:f>
              <c:numCache>
                <c:formatCode>0.00</c:formatCode>
                <c:ptCount val="1"/>
                <c:pt idx="0">
                  <c:v>21.387692978842963</c:v>
                </c:pt>
              </c:numCache>
            </c:numRef>
          </c:xVal>
          <c:yVal>
            <c:numRef>
              <c:f>RRB_all!$F$298</c:f>
              <c:numCache>
                <c:formatCode>0.00</c:formatCode>
                <c:ptCount val="1"/>
                <c:pt idx="0">
                  <c:v>99.864314789687924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674B-406F-A9F0-A28503E6CF0F}"/>
            </c:ext>
          </c:extLst>
        </c:ser>
        <c:ser>
          <c:idx val="37"/>
          <c:order val="29"/>
          <c:tx>
            <c:strRef>
              <c:f>RRB_all!$F$340</c:f>
              <c:strCache>
                <c:ptCount val="1"/>
                <c:pt idx="0">
                  <c:v>A_15_OLI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Spectral!$T$79</c:f>
                <c:numCache>
                  <c:formatCode>General</c:formatCode>
                  <c:ptCount val="1"/>
                  <c:pt idx="0">
                    <c:v>7.9681545773591935</c:v>
                  </c:pt>
                </c:numCache>
              </c:numRef>
            </c:plus>
            <c:minus>
              <c:numRef>
                <c:f>Spectral!$T$79</c:f>
                <c:numCache>
                  <c:formatCode>General</c:formatCode>
                  <c:ptCount val="1"/>
                  <c:pt idx="0">
                    <c:v>7.9681545773591935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RRB_all!$F$347</c:f>
                <c:numCache>
                  <c:formatCode>General</c:formatCode>
                  <c:ptCount val="1"/>
                  <c:pt idx="0">
                    <c:v>0.19175746172356631</c:v>
                  </c:pt>
                </c:numCache>
              </c:numRef>
            </c:plus>
            <c:minus>
              <c:numRef>
                <c:f>RRB_all!$F$347</c:f>
                <c:numCache>
                  <c:formatCode>General</c:formatCode>
                  <c:ptCount val="1"/>
                  <c:pt idx="0">
                    <c:v>0.19175746172356631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Spectral!$T$78</c:f>
              <c:numCache>
                <c:formatCode>0.00</c:formatCode>
                <c:ptCount val="1"/>
                <c:pt idx="0">
                  <c:v>29.10447462617034</c:v>
                </c:pt>
              </c:numCache>
            </c:numRef>
          </c:xVal>
          <c:yVal>
            <c:numRef>
              <c:f>RRB_all!$F$346</c:f>
              <c:numCache>
                <c:formatCode>0.00</c:formatCode>
                <c:ptCount val="1"/>
                <c:pt idx="0">
                  <c:v>99.728629579375848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674B-406F-A9F0-A28503E6CF0F}"/>
            </c:ext>
          </c:extLst>
        </c:ser>
        <c:ser>
          <c:idx val="54"/>
          <c:order val="30"/>
          <c:tx>
            <c:strRef>
              <c:f>RRB_all!$F$388</c:f>
              <c:strCache>
                <c:ptCount val="1"/>
                <c:pt idx="0">
                  <c:v>A_19_OLI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B1EE2D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Spectral!$T$89</c:f>
                <c:numCache>
                  <c:formatCode>General</c:formatCode>
                  <c:ptCount val="1"/>
                  <c:pt idx="0">
                    <c:v>6.2387742901565613</c:v>
                  </c:pt>
                </c:numCache>
              </c:numRef>
            </c:plus>
            <c:minus>
              <c:numRef>
                <c:f>Spectral!$T$89</c:f>
                <c:numCache>
                  <c:formatCode>General</c:formatCode>
                  <c:ptCount val="1"/>
                  <c:pt idx="0">
                    <c:v>6.2387742901565613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RRB_all!$F$395</c:f>
                <c:numCache>
                  <c:formatCode>General</c:formatCode>
                  <c:ptCount val="1"/>
                  <c:pt idx="0">
                    <c:v>0.15151515151514658</c:v>
                  </c:pt>
                </c:numCache>
              </c:numRef>
            </c:plus>
            <c:minus>
              <c:numRef>
                <c:f>RRB_all!$F$395</c:f>
                <c:numCache>
                  <c:formatCode>General</c:formatCode>
                  <c:ptCount val="1"/>
                  <c:pt idx="0">
                    <c:v>0.15151515151514658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Spectral!$T$88</c:f>
              <c:numCache>
                <c:formatCode>0.00</c:formatCode>
                <c:ptCount val="1"/>
                <c:pt idx="0">
                  <c:v>31.738043896549971</c:v>
                </c:pt>
              </c:numCache>
            </c:numRef>
          </c:xVal>
          <c:yVal>
            <c:numRef>
              <c:f>RRB_all!$F$394</c:f>
              <c:numCache>
                <c:formatCode>0.00</c:formatCode>
                <c:ptCount val="1"/>
                <c:pt idx="0">
                  <c:v>99.848484848484858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674B-406F-A9F0-A28503E6CF0F}"/>
            </c:ext>
          </c:extLst>
        </c:ser>
        <c:ser>
          <c:idx val="46"/>
          <c:order val="31"/>
          <c:tx>
            <c:strRef>
              <c:f>RRB_all!$F$436</c:f>
              <c:strCache>
                <c:ptCount val="1"/>
                <c:pt idx="0">
                  <c:v>A_19_MSI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9525">
                <a:solidFill>
                  <a:srgbClr val="B1EE2D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Spectral!$T$103</c:f>
                <c:numCache>
                  <c:formatCode>General</c:formatCode>
                  <c:ptCount val="1"/>
                  <c:pt idx="0">
                    <c:v>3.2229661474599731</c:v>
                  </c:pt>
                </c:numCache>
              </c:numRef>
            </c:plus>
            <c:minus>
              <c:numRef>
                <c:f>Spectral!$T$103</c:f>
                <c:numCache>
                  <c:formatCode>General</c:formatCode>
                  <c:ptCount val="1"/>
                  <c:pt idx="0">
                    <c:v>3.2229661474599731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RRB_all!$F$443</c:f>
                <c:numCache>
                  <c:formatCode>General</c:formatCode>
                  <c:ptCount val="1"/>
                  <c:pt idx="0">
                    <c:v>0.560706749365393</c:v>
                  </c:pt>
                </c:numCache>
              </c:numRef>
            </c:plus>
            <c:minus>
              <c:numRef>
                <c:f>RRB_all!$F$443</c:f>
                <c:numCache>
                  <c:formatCode>General</c:formatCode>
                  <c:ptCount val="1"/>
                  <c:pt idx="0">
                    <c:v>0.560706749365393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Spectral!$T$102</c:f>
              <c:numCache>
                <c:formatCode>0.00</c:formatCode>
                <c:ptCount val="1"/>
                <c:pt idx="0">
                  <c:v>24.608607296767708</c:v>
                </c:pt>
              </c:numCache>
            </c:numRef>
          </c:xVal>
          <c:yVal>
            <c:numRef>
              <c:f>RRB_all!$F$442</c:f>
              <c:numCache>
                <c:formatCode>0.00</c:formatCode>
                <c:ptCount val="1"/>
                <c:pt idx="0">
                  <c:v>97.593582887700549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674B-406F-A9F0-A28503E6CF0F}"/>
            </c:ext>
          </c:extLst>
        </c:ser>
        <c:ser>
          <c:idx val="51"/>
          <c:order val="32"/>
          <c:tx>
            <c:strRef>
              <c:f>RRB_all!$F$484</c:f>
              <c:strCache>
                <c:ptCount val="1"/>
                <c:pt idx="0">
                  <c:v>A_24_MSI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B1EE2D">
                  <a:alpha val="20000"/>
                </a:srgbClr>
              </a:solidFill>
              <a:ln w="31750" cmpd="dbl">
                <a:solidFill>
                  <a:srgbClr val="B1EE2D"/>
                </a:solidFill>
                <a:prstDash val="solid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Spectral!$T$117</c:f>
                <c:numCache>
                  <c:formatCode>General</c:formatCode>
                  <c:ptCount val="1"/>
                  <c:pt idx="0">
                    <c:v>2.241996788702366</c:v>
                  </c:pt>
                </c:numCache>
              </c:numRef>
            </c:plus>
            <c:minus>
              <c:numRef>
                <c:f>Spectral!$T$117</c:f>
                <c:numCache>
                  <c:formatCode>General</c:formatCode>
                  <c:ptCount val="1"/>
                  <c:pt idx="0">
                    <c:v>2.241996788702366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RRB_all!$F$491</c:f>
                <c:numCache>
                  <c:formatCode>General</c:formatCode>
                  <c:ptCount val="1"/>
                  <c:pt idx="0">
                    <c:v>0.47813820512740118</c:v>
                  </c:pt>
                </c:numCache>
              </c:numRef>
            </c:plus>
            <c:minus>
              <c:numRef>
                <c:f>RRB_all!$F$491</c:f>
                <c:numCache>
                  <c:formatCode>General</c:formatCode>
                  <c:ptCount val="1"/>
                  <c:pt idx="0">
                    <c:v>0.47813820512740118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B1EE2D"/>
                </a:solidFill>
                <a:round/>
              </a:ln>
              <a:effectLst/>
            </c:spPr>
          </c:errBars>
          <c:xVal>
            <c:numRef>
              <c:f>Spectral!$T$116</c:f>
              <c:numCache>
                <c:formatCode>0.00</c:formatCode>
                <c:ptCount val="1"/>
                <c:pt idx="0">
                  <c:v>25.162292986201418</c:v>
                </c:pt>
              </c:numCache>
            </c:numRef>
          </c:xVal>
          <c:yVal>
            <c:numRef>
              <c:f>RRB_all!$F$490</c:f>
              <c:numCache>
                <c:formatCode>0.00</c:formatCode>
                <c:ptCount val="1"/>
                <c:pt idx="0">
                  <c:v>98.262032085561501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674B-406F-A9F0-A28503E6CF0F}"/>
            </c:ext>
          </c:extLst>
        </c:ser>
        <c:ser>
          <c:idx val="0"/>
          <c:order val="33"/>
          <c:tx>
            <c:strRef>
              <c:f>RRB_all!$G$4</c:f>
              <c:strCache>
                <c:ptCount val="1"/>
                <c:pt idx="0">
                  <c:v>F_77_MSS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Spectral!$U$11</c:f>
                <c:numCache>
                  <c:formatCode>General</c:formatCode>
                  <c:ptCount val="1"/>
                  <c:pt idx="0">
                    <c:v>2.7554420081865585</c:v>
                  </c:pt>
                </c:numCache>
              </c:numRef>
            </c:plus>
            <c:minus>
              <c:numRef>
                <c:f>Spectral!$U$11</c:f>
                <c:numCache>
                  <c:formatCode>General</c:formatCode>
                  <c:ptCount val="1"/>
                  <c:pt idx="0">
                    <c:v>2.7554420081865585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RRB_all!$G$11</c:f>
                <c:numCache>
                  <c:formatCode>General</c:formatCode>
                  <c:ptCount val="1"/>
                  <c:pt idx="0">
                    <c:v>1.5309531175003726</c:v>
                  </c:pt>
                </c:numCache>
              </c:numRef>
            </c:plus>
            <c:minus>
              <c:numRef>
                <c:f>RRB_all!$G$11</c:f>
                <c:numCache>
                  <c:formatCode>General</c:formatCode>
                  <c:ptCount val="1"/>
                  <c:pt idx="0">
                    <c:v>1.5309531175003726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Spectral!$U$10</c:f>
              <c:numCache>
                <c:formatCode>0.00</c:formatCode>
                <c:ptCount val="1"/>
                <c:pt idx="0">
                  <c:v>29.040168431147073</c:v>
                </c:pt>
              </c:numCache>
            </c:numRef>
          </c:xVal>
          <c:yVal>
            <c:numRef>
              <c:f>RRB_all!$G$10</c:f>
              <c:numCache>
                <c:formatCode>0.00</c:formatCode>
                <c:ptCount val="1"/>
                <c:pt idx="0">
                  <c:v>96.527777777777786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674B-406F-A9F0-A28503E6CF0F}"/>
            </c:ext>
          </c:extLst>
        </c:ser>
        <c:ser>
          <c:idx val="4"/>
          <c:order val="34"/>
          <c:tx>
            <c:strRef>
              <c:f>RRB_all!$G$52</c:f>
              <c:strCache>
                <c:ptCount val="1"/>
                <c:pt idx="0">
                  <c:v>F_88_MSS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Spectral!$U$19</c:f>
                <c:numCache>
                  <c:formatCode>General</c:formatCode>
                  <c:ptCount val="1"/>
                  <c:pt idx="0">
                    <c:v>1.0029823895810097</c:v>
                  </c:pt>
                </c:numCache>
              </c:numRef>
            </c:plus>
            <c:minus>
              <c:numRef>
                <c:f>Spectral!$U$19</c:f>
                <c:numCache>
                  <c:formatCode>General</c:formatCode>
                  <c:ptCount val="1"/>
                  <c:pt idx="0">
                    <c:v>1.0029823895810097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RRB_all!$G$59</c:f>
                <c:numCache>
                  <c:formatCode>General</c:formatCode>
                  <c:ptCount val="1"/>
                  <c:pt idx="0">
                    <c:v>2.7656104929294361</c:v>
                  </c:pt>
                </c:numCache>
              </c:numRef>
            </c:plus>
            <c:minus>
              <c:numRef>
                <c:f>RRB_all!$G$59</c:f>
                <c:numCache>
                  <c:formatCode>General</c:formatCode>
                  <c:ptCount val="1"/>
                  <c:pt idx="0">
                    <c:v>2.7656104929294361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prstDash val="solid"/>
                <a:round/>
              </a:ln>
              <a:effectLst/>
            </c:spPr>
          </c:errBars>
          <c:xVal>
            <c:numRef>
              <c:f>Spectral!$U$18</c:f>
              <c:numCache>
                <c:formatCode>0.00</c:formatCode>
                <c:ptCount val="1"/>
                <c:pt idx="0">
                  <c:v>18.710687326859361</c:v>
                </c:pt>
              </c:numCache>
            </c:numRef>
          </c:xVal>
          <c:yVal>
            <c:numRef>
              <c:f>RRB_all!$G$58</c:f>
              <c:numCache>
                <c:formatCode>0.00</c:formatCode>
                <c:ptCount val="1"/>
                <c:pt idx="0">
                  <c:v>87.5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674B-406F-A9F0-A28503E6CF0F}"/>
            </c:ext>
          </c:extLst>
        </c:ser>
        <c:ser>
          <c:idx val="13"/>
          <c:order val="35"/>
          <c:tx>
            <c:strRef>
              <c:f>RRB_all!$G$100</c:f>
              <c:strCache>
                <c:ptCount val="1"/>
                <c:pt idx="0">
                  <c:v>F_88_TM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 cmpd="sng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Spectral!$U$29</c:f>
                <c:numCache>
                  <c:formatCode>General</c:formatCode>
                  <c:ptCount val="1"/>
                  <c:pt idx="0">
                    <c:v>2.975797329703568</c:v>
                  </c:pt>
                </c:numCache>
              </c:numRef>
            </c:plus>
            <c:minus>
              <c:numRef>
                <c:f>Spectral!$U$29</c:f>
                <c:numCache>
                  <c:formatCode>General</c:formatCode>
                  <c:ptCount val="1"/>
                  <c:pt idx="0">
                    <c:v>2.975797329703568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RRB_all!$G$107</c:f>
                <c:numCache>
                  <c:formatCode>General</c:formatCode>
                  <c:ptCount val="1"/>
                  <c:pt idx="0">
                    <c:v>1.1412484385858428</c:v>
                  </c:pt>
                </c:numCache>
              </c:numRef>
            </c:plus>
            <c:minus>
              <c:numRef>
                <c:f>RRB_all!$G$107</c:f>
                <c:numCache>
                  <c:formatCode>General</c:formatCode>
                  <c:ptCount val="1"/>
                  <c:pt idx="0">
                    <c:v>1.1412484385858428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Spectral!$U$28</c:f>
              <c:numCache>
                <c:formatCode>0.00</c:formatCode>
                <c:ptCount val="1"/>
                <c:pt idx="0">
                  <c:v>27.72918571288767</c:v>
                </c:pt>
              </c:numCache>
            </c:numRef>
          </c:xVal>
          <c:yVal>
            <c:numRef>
              <c:f>RRB_all!$G$106</c:f>
              <c:numCache>
                <c:formatCode>0.00</c:formatCode>
                <c:ptCount val="1"/>
                <c:pt idx="0">
                  <c:v>91.75257731958763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674B-406F-A9F0-A28503E6CF0F}"/>
            </c:ext>
          </c:extLst>
        </c:ser>
        <c:ser>
          <c:idx val="18"/>
          <c:order val="36"/>
          <c:tx>
            <c:strRef>
              <c:f>RRB_all!$G$148</c:f>
              <c:strCache>
                <c:ptCount val="1"/>
                <c:pt idx="0">
                  <c:v>F_91_TM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Spectral!$U$39</c:f>
                <c:numCache>
                  <c:formatCode>General</c:formatCode>
                  <c:ptCount val="1"/>
                  <c:pt idx="0">
                    <c:v>2.2947363141352484</c:v>
                  </c:pt>
                </c:numCache>
              </c:numRef>
            </c:plus>
            <c:minus>
              <c:numRef>
                <c:f>Spectral!$U$39</c:f>
                <c:numCache>
                  <c:formatCode>General</c:formatCode>
                  <c:ptCount val="1"/>
                  <c:pt idx="0">
                    <c:v>2.2947363141352484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prstDash val="sysDash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RRB_all!$G$155</c:f>
                <c:numCache>
                  <c:formatCode>General</c:formatCode>
                  <c:ptCount val="1"/>
                  <c:pt idx="0">
                    <c:v>0.93163457010175987</c:v>
                  </c:pt>
                </c:numCache>
              </c:numRef>
            </c:plus>
            <c:minus>
              <c:numRef>
                <c:f>RRB_all!$G$155</c:f>
                <c:numCache>
                  <c:formatCode>General</c:formatCode>
                  <c:ptCount val="1"/>
                  <c:pt idx="0">
                    <c:v>0.93163457010175987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prstDash val="sysDash"/>
                <a:round/>
              </a:ln>
              <a:effectLst/>
            </c:spPr>
          </c:errBars>
          <c:xVal>
            <c:numRef>
              <c:f>Spectral!$U$38</c:f>
              <c:numCache>
                <c:formatCode>0.00</c:formatCode>
                <c:ptCount val="1"/>
                <c:pt idx="0">
                  <c:v>26.810378967744519</c:v>
                </c:pt>
              </c:numCache>
            </c:numRef>
          </c:xVal>
          <c:yVal>
            <c:numRef>
              <c:f>RRB_all!$G$154</c:f>
              <c:numCache>
                <c:formatCode>0.00</c:formatCode>
                <c:ptCount val="1"/>
                <c:pt idx="0">
                  <c:v>94.673539518900341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674B-406F-A9F0-A28503E6CF0F}"/>
            </c:ext>
          </c:extLst>
        </c:ser>
        <c:ser>
          <c:idx val="23"/>
          <c:order val="37"/>
          <c:tx>
            <c:strRef>
              <c:f>RRB_all!$G$196</c:f>
              <c:strCache>
                <c:ptCount val="1"/>
                <c:pt idx="0">
                  <c:v>F_01_TM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Spectral!$U$49</c:f>
                <c:numCache>
                  <c:formatCode>General</c:formatCode>
                  <c:ptCount val="1"/>
                  <c:pt idx="0">
                    <c:v>2.5923225420307339</c:v>
                  </c:pt>
                </c:numCache>
              </c:numRef>
            </c:plus>
            <c:minus>
              <c:numRef>
                <c:f>Spectral!$U$49</c:f>
                <c:numCache>
                  <c:formatCode>General</c:formatCode>
                  <c:ptCount val="1"/>
                  <c:pt idx="0">
                    <c:v>2.5923225420307339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RRB_all!$G$203</c:f>
                <c:numCache>
                  <c:formatCode>General</c:formatCode>
                  <c:ptCount val="1"/>
                  <c:pt idx="0">
                    <c:v>0.65739456332296642</c:v>
                  </c:pt>
                </c:numCache>
              </c:numRef>
            </c:plus>
            <c:minus>
              <c:numRef>
                <c:f>RRB_all!$G$203</c:f>
                <c:numCache>
                  <c:formatCode>General</c:formatCode>
                  <c:ptCount val="1"/>
                  <c:pt idx="0">
                    <c:v>0.65739456332296642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Spectral!$U$48</c:f>
              <c:numCache>
                <c:formatCode>0.00</c:formatCode>
                <c:ptCount val="1"/>
                <c:pt idx="0">
                  <c:v>29.87275449583322</c:v>
                </c:pt>
              </c:numCache>
            </c:numRef>
          </c:xVal>
          <c:yVal>
            <c:numRef>
              <c:f>RRB_all!$G$202</c:f>
              <c:numCache>
                <c:formatCode>0.00</c:formatCode>
                <c:ptCount val="1"/>
                <c:pt idx="0">
                  <c:v>97.422680412371136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674B-406F-A9F0-A28503E6CF0F}"/>
            </c:ext>
          </c:extLst>
        </c:ser>
        <c:ser>
          <c:idx val="28"/>
          <c:order val="38"/>
          <c:tx>
            <c:strRef>
              <c:f>RRB_all!$G$244</c:f>
              <c:strCache>
                <c:ptCount val="1"/>
                <c:pt idx="0">
                  <c:v>F_07_ETM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Spectral!$U$59</c:f>
                <c:numCache>
                  <c:formatCode>General</c:formatCode>
                  <c:ptCount val="1"/>
                  <c:pt idx="0">
                    <c:v>1.4788191452961938</c:v>
                  </c:pt>
                </c:numCache>
              </c:numRef>
            </c:plus>
            <c:minus>
              <c:numRef>
                <c:f>Spectral!$U$59</c:f>
                <c:numCache>
                  <c:formatCode>General</c:formatCode>
                  <c:ptCount val="1"/>
                  <c:pt idx="0">
                    <c:v>1.4788191452961938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RRB_all!$G$251</c:f>
                <c:numCache>
                  <c:formatCode>General</c:formatCode>
                  <c:ptCount val="1"/>
                  <c:pt idx="0">
                    <c:v>0.91779382641286622</c:v>
                  </c:pt>
                </c:numCache>
              </c:numRef>
            </c:plus>
            <c:minus>
              <c:numRef>
                <c:f>RRB_all!$G$251</c:f>
                <c:numCache>
                  <c:formatCode>General</c:formatCode>
                  <c:ptCount val="1"/>
                  <c:pt idx="0">
                    <c:v>0.91779382641286622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Spectral!$U$58</c:f>
              <c:numCache>
                <c:formatCode>0.00</c:formatCode>
                <c:ptCount val="1"/>
                <c:pt idx="0">
                  <c:v>31.59602825717792</c:v>
                </c:pt>
              </c:numCache>
            </c:numRef>
          </c:xVal>
          <c:yVal>
            <c:numRef>
              <c:f>RRB_all!$G$250</c:f>
              <c:numCache>
                <c:formatCode>0.00</c:formatCode>
                <c:ptCount val="1"/>
                <c:pt idx="0">
                  <c:v>96.508728179551113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674B-406F-A9F0-A28503E6CF0F}"/>
            </c:ext>
          </c:extLst>
        </c:ser>
        <c:ser>
          <c:idx val="33"/>
          <c:order val="39"/>
          <c:tx>
            <c:strRef>
              <c:f>RRB_all!$G$292</c:f>
              <c:strCache>
                <c:ptCount val="1"/>
                <c:pt idx="0">
                  <c:v>F_11_ETM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149721">
                  <a:alpha val="20000"/>
                </a:srgbClr>
              </a:solidFill>
              <a:ln w="19050">
                <a:solidFill>
                  <a:srgbClr val="149721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Spectral!$U$69</c:f>
                <c:numCache>
                  <c:formatCode>General</c:formatCode>
                  <c:ptCount val="1"/>
                  <c:pt idx="0">
                    <c:v>1.2204829179408159</c:v>
                  </c:pt>
                </c:numCache>
              </c:numRef>
            </c:plus>
            <c:minus>
              <c:numRef>
                <c:f>Spectral!$U$69</c:f>
                <c:numCache>
                  <c:formatCode>General</c:formatCode>
                  <c:ptCount val="1"/>
                  <c:pt idx="0">
                    <c:v>1.2204829179408159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RRB_all!$G$299</c:f>
                <c:numCache>
                  <c:formatCode>General</c:formatCode>
                  <c:ptCount val="1"/>
                  <c:pt idx="0">
                    <c:v>0.58954505375429189</c:v>
                  </c:pt>
                </c:numCache>
              </c:numRef>
            </c:plus>
            <c:minus>
              <c:numRef>
                <c:f>RRB_all!$G$299</c:f>
                <c:numCache>
                  <c:formatCode>General</c:formatCode>
                  <c:ptCount val="1"/>
                  <c:pt idx="0">
                    <c:v>0.58954505375429189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Spectral!$U$68</c:f>
              <c:numCache>
                <c:formatCode>0.00</c:formatCode>
                <c:ptCount val="1"/>
                <c:pt idx="0">
                  <c:v>30.317475253869958</c:v>
                </c:pt>
              </c:numCache>
            </c:numRef>
          </c:xVal>
          <c:yVal>
            <c:numRef>
              <c:f>RRB_all!$G$298</c:f>
              <c:numCache>
                <c:formatCode>0.00</c:formatCode>
                <c:ptCount val="1"/>
                <c:pt idx="0">
                  <c:v>97.9381443298969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674B-406F-A9F0-A28503E6CF0F}"/>
            </c:ext>
          </c:extLst>
        </c:ser>
        <c:ser>
          <c:idx val="38"/>
          <c:order val="40"/>
          <c:tx>
            <c:strRef>
              <c:f>RRB_all!$G$340</c:f>
              <c:strCache>
                <c:ptCount val="1"/>
                <c:pt idx="0">
                  <c:v>F_15_OLI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Spectral!$U$79</c:f>
                <c:numCache>
                  <c:formatCode>General</c:formatCode>
                  <c:ptCount val="1"/>
                  <c:pt idx="0">
                    <c:v>5.8365142592491406</c:v>
                  </c:pt>
                </c:numCache>
              </c:numRef>
            </c:plus>
            <c:minus>
              <c:numRef>
                <c:f>Spectral!$U$79</c:f>
                <c:numCache>
                  <c:formatCode>General</c:formatCode>
                  <c:ptCount val="1"/>
                  <c:pt idx="0">
                    <c:v>5.8365142592491406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RRB_all!$G$347</c:f>
                <c:numCache>
                  <c:formatCode>General</c:formatCode>
                  <c:ptCount val="1"/>
                  <c:pt idx="0">
                    <c:v>0.64197928239881541</c:v>
                  </c:pt>
                </c:numCache>
              </c:numRef>
            </c:plus>
            <c:minus>
              <c:numRef>
                <c:f>RRB_all!$G$347</c:f>
                <c:numCache>
                  <c:formatCode>General</c:formatCode>
                  <c:ptCount val="1"/>
                  <c:pt idx="0">
                    <c:v>0.64197928239881541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Spectral!$U$78</c:f>
              <c:numCache>
                <c:formatCode>0.00</c:formatCode>
                <c:ptCount val="1"/>
                <c:pt idx="0">
                  <c:v>51.284597081533548</c:v>
                </c:pt>
              </c:numCache>
            </c:numRef>
          </c:xVal>
          <c:yVal>
            <c:numRef>
              <c:f>RRB_all!$G$346</c:f>
              <c:numCache>
                <c:formatCode>0.00</c:formatCode>
                <c:ptCount val="1"/>
                <c:pt idx="0">
                  <c:v>97.752808988764045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674B-406F-A9F0-A28503E6CF0F}"/>
            </c:ext>
          </c:extLst>
        </c:ser>
        <c:ser>
          <c:idx val="42"/>
          <c:order val="41"/>
          <c:tx>
            <c:strRef>
              <c:f>RRB_all!$G$388</c:f>
              <c:strCache>
                <c:ptCount val="1"/>
                <c:pt idx="0">
                  <c:v>F_19_OLI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149721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Spectral!$U$89</c:f>
                <c:numCache>
                  <c:formatCode>General</c:formatCode>
                  <c:ptCount val="1"/>
                  <c:pt idx="0">
                    <c:v>2.6350801280504781</c:v>
                  </c:pt>
                </c:numCache>
              </c:numRef>
            </c:plus>
            <c:minus>
              <c:numRef>
                <c:f>Spectral!$U$89</c:f>
                <c:numCache>
                  <c:formatCode>General</c:formatCode>
                  <c:ptCount val="1"/>
                  <c:pt idx="0">
                    <c:v>2.6350801280504781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RRB_all!$G$395</c:f>
                <c:numCache>
                  <c:formatCode>General</c:formatCode>
                  <c:ptCount val="1"/>
                  <c:pt idx="0">
                    <c:v>0.56494132717154499</c:v>
                  </c:pt>
                </c:numCache>
              </c:numRef>
            </c:plus>
            <c:minus>
              <c:numRef>
                <c:f>RRB_all!$G$395</c:f>
                <c:numCache>
                  <c:formatCode>General</c:formatCode>
                  <c:ptCount val="1"/>
                  <c:pt idx="0">
                    <c:v>0.56494132717154499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Spectral!$U$88</c:f>
              <c:numCache>
                <c:formatCode>0.00</c:formatCode>
                <c:ptCount val="1"/>
                <c:pt idx="0">
                  <c:v>40.691991899914036</c:v>
                </c:pt>
              </c:numCache>
            </c:numRef>
          </c:xVal>
          <c:yVal>
            <c:numRef>
              <c:f>RRB_all!$G$394</c:f>
              <c:numCache>
                <c:formatCode>0.00</c:formatCode>
                <c:ptCount val="1"/>
                <c:pt idx="0">
                  <c:v>98.109965635738845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674B-406F-A9F0-A28503E6CF0F}"/>
            </c:ext>
          </c:extLst>
        </c:ser>
        <c:ser>
          <c:idx val="47"/>
          <c:order val="42"/>
          <c:tx>
            <c:strRef>
              <c:f>RRB_all!$G$436</c:f>
              <c:strCache>
                <c:ptCount val="1"/>
                <c:pt idx="0">
                  <c:v>F_19_MSI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19050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Spectral!$U$103</c:f>
                <c:numCache>
                  <c:formatCode>General</c:formatCode>
                  <c:ptCount val="1"/>
                  <c:pt idx="0">
                    <c:v>3.1995811379096515</c:v>
                  </c:pt>
                </c:numCache>
              </c:numRef>
            </c:plus>
            <c:minus>
              <c:numRef>
                <c:f>Spectral!$U$103</c:f>
                <c:numCache>
                  <c:formatCode>General</c:formatCode>
                  <c:ptCount val="1"/>
                  <c:pt idx="0">
                    <c:v>3.1995811379096515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RRB_all!$G$443</c:f>
                <c:numCache>
                  <c:formatCode>General</c:formatCode>
                  <c:ptCount val="1"/>
                  <c:pt idx="0">
                    <c:v>1.2598091084793046</c:v>
                  </c:pt>
                </c:numCache>
              </c:numRef>
            </c:plus>
            <c:minus>
              <c:numRef>
                <c:f>RRB_all!$G$443</c:f>
                <c:numCache>
                  <c:formatCode>General</c:formatCode>
                  <c:ptCount val="1"/>
                  <c:pt idx="0">
                    <c:v>1.2598091084793046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Spectral!$U$102</c:f>
              <c:numCache>
                <c:formatCode>0.00</c:formatCode>
                <c:ptCount val="1"/>
                <c:pt idx="0">
                  <c:v>23.910196634922155</c:v>
                </c:pt>
              </c:numCache>
            </c:numRef>
          </c:xVal>
          <c:yVal>
            <c:numRef>
              <c:f>RRB_all!$G$442</c:f>
              <c:numCache>
                <c:formatCode>0.00</c:formatCode>
                <c:ptCount val="1"/>
                <c:pt idx="0">
                  <c:v>88.996763754045304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674B-406F-A9F0-A28503E6CF0F}"/>
            </c:ext>
          </c:extLst>
        </c:ser>
        <c:ser>
          <c:idx val="52"/>
          <c:order val="43"/>
          <c:tx>
            <c:strRef>
              <c:f>RRB_all!$G$484</c:f>
              <c:strCache>
                <c:ptCount val="1"/>
                <c:pt idx="0">
                  <c:v>F_24_MSI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149721">
                  <a:alpha val="20000"/>
                </a:srgbClr>
              </a:solidFill>
              <a:ln w="31750" cmpd="dbl">
                <a:solidFill>
                  <a:srgbClr val="14972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Spectral!$U$117</c:f>
                <c:numCache>
                  <c:formatCode>General</c:formatCode>
                  <c:ptCount val="1"/>
                  <c:pt idx="0">
                    <c:v>1.3796064492237268</c:v>
                  </c:pt>
                </c:numCache>
              </c:numRef>
            </c:plus>
            <c:minus>
              <c:numRef>
                <c:f>Spectral!$U$117</c:f>
                <c:numCache>
                  <c:formatCode>General</c:formatCode>
                  <c:ptCount val="1"/>
                  <c:pt idx="0">
                    <c:v>1.3796064492237268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RRB_all!$G$491</c:f>
                <c:numCache>
                  <c:formatCode>General</c:formatCode>
                  <c:ptCount val="1"/>
                  <c:pt idx="0">
                    <c:v>1.1077596969605779</c:v>
                  </c:pt>
                </c:numCache>
              </c:numRef>
            </c:plus>
            <c:minus>
              <c:numRef>
                <c:f>RRB_all!$G$491</c:f>
                <c:numCache>
                  <c:formatCode>General</c:formatCode>
                  <c:ptCount val="1"/>
                  <c:pt idx="0">
                    <c:v>1.1077596969605779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149721"/>
                </a:solidFill>
                <a:round/>
              </a:ln>
              <a:effectLst/>
            </c:spPr>
          </c:errBars>
          <c:xVal>
            <c:numRef>
              <c:f>Spectral!$U$116</c:f>
              <c:numCache>
                <c:formatCode>0.00</c:formatCode>
                <c:ptCount val="1"/>
                <c:pt idx="0">
                  <c:v>22.797848661276653</c:v>
                </c:pt>
              </c:numCache>
            </c:numRef>
          </c:xVal>
          <c:yVal>
            <c:numRef>
              <c:f>RRB_all!$G$490</c:f>
              <c:numCache>
                <c:formatCode>0.00</c:formatCode>
                <c:ptCount val="1"/>
                <c:pt idx="0">
                  <c:v>91.747572815533985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674B-406F-A9F0-A28503E6CF0F}"/>
            </c:ext>
          </c:extLst>
        </c:ser>
        <c:ser>
          <c:idx val="6"/>
          <c:order val="44"/>
          <c:tx>
            <c:strRef>
              <c:f>RRB_all!$H$4</c:f>
              <c:strCache>
                <c:ptCount val="1"/>
                <c:pt idx="0">
                  <c:v>S_77_MSS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Spectral!$V$11</c:f>
                <c:numCache>
                  <c:formatCode>General</c:formatCode>
                  <c:ptCount val="1"/>
                  <c:pt idx="0">
                    <c:v>0.39795024099319271</c:v>
                  </c:pt>
                </c:numCache>
              </c:numRef>
            </c:plus>
            <c:minus>
              <c:numRef>
                <c:f>Spectral!$V$11</c:f>
                <c:numCache>
                  <c:formatCode>General</c:formatCode>
                  <c:ptCount val="1"/>
                  <c:pt idx="0">
                    <c:v>0.39795024099319271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RRB_all!$H$11</c:f>
                <c:numCache>
                  <c:formatCode>General</c:formatCode>
                  <c:ptCount val="1"/>
                  <c:pt idx="0">
                    <c:v>2.4663140269083059</c:v>
                  </c:pt>
                </c:numCache>
              </c:numRef>
            </c:plus>
            <c:minus>
              <c:numRef>
                <c:f>RRB_all!$H$11</c:f>
                <c:numCache>
                  <c:formatCode>General</c:formatCode>
                  <c:ptCount val="1"/>
                  <c:pt idx="0">
                    <c:v>2.4663140269083059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Spectral!$V$10</c:f>
              <c:numCache>
                <c:formatCode>0.00</c:formatCode>
                <c:ptCount val="1"/>
                <c:pt idx="0">
                  <c:v>8.5157614302872222</c:v>
                </c:pt>
              </c:numCache>
            </c:numRef>
          </c:xVal>
          <c:yVal>
            <c:numRef>
              <c:f>RRB_all!$H$10</c:f>
              <c:numCache>
                <c:formatCode>0.00</c:formatCode>
                <c:ptCount val="1"/>
                <c:pt idx="0">
                  <c:v>81.967213114754102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674B-406F-A9F0-A28503E6CF0F}"/>
            </c:ext>
          </c:extLst>
        </c:ser>
        <c:ser>
          <c:idx val="5"/>
          <c:order val="45"/>
          <c:tx>
            <c:strRef>
              <c:f>RRB_all!$H$52</c:f>
              <c:strCache>
                <c:ptCount val="1"/>
                <c:pt idx="0">
                  <c:v>S_88_MSS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Spectral!$V$19</c:f>
                <c:numCache>
                  <c:formatCode>General</c:formatCode>
                  <c:ptCount val="1"/>
                  <c:pt idx="0">
                    <c:v>0.55056270876741065</c:v>
                  </c:pt>
                </c:numCache>
              </c:numRef>
            </c:plus>
            <c:minus>
              <c:numRef>
                <c:f>Spectral!$V$19</c:f>
                <c:numCache>
                  <c:formatCode>General</c:formatCode>
                  <c:ptCount val="1"/>
                  <c:pt idx="0">
                    <c:v>0.55056270876741065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olid"/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RRB_all!$H$59</c:f>
                <c:numCache>
                  <c:formatCode>General</c:formatCode>
                  <c:ptCount val="1"/>
                  <c:pt idx="0">
                    <c:v>2.1654589556924106</c:v>
                  </c:pt>
                </c:numCache>
              </c:numRef>
            </c:plus>
            <c:minus>
              <c:numRef>
                <c:f>RRB_all!$H$59</c:f>
                <c:numCache>
                  <c:formatCode>General</c:formatCode>
                  <c:ptCount val="1"/>
                  <c:pt idx="0">
                    <c:v>2.1654589556924106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olid"/>
                <a:round/>
              </a:ln>
              <a:effectLst/>
            </c:spPr>
          </c:errBars>
          <c:xVal>
            <c:numRef>
              <c:f>Spectral!$V$18</c:f>
              <c:numCache>
                <c:formatCode>0.00</c:formatCode>
                <c:ptCount val="1"/>
                <c:pt idx="0">
                  <c:v>8.7226263647970317</c:v>
                </c:pt>
              </c:numCache>
            </c:numRef>
          </c:xVal>
          <c:yVal>
            <c:numRef>
              <c:f>RRB_all!$H$58</c:f>
              <c:numCache>
                <c:formatCode>0.00</c:formatCode>
                <c:ptCount val="1"/>
                <c:pt idx="0">
                  <c:v>86.885245901639351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674B-406F-A9F0-A28503E6CF0F}"/>
            </c:ext>
          </c:extLst>
        </c:ser>
        <c:ser>
          <c:idx val="14"/>
          <c:order val="46"/>
          <c:tx>
            <c:strRef>
              <c:f>RRB_all!$H$100</c:f>
              <c:strCache>
                <c:ptCount val="1"/>
                <c:pt idx="0">
                  <c:v>S_88_TM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Spectral!$V$29</c:f>
                <c:numCache>
                  <c:formatCode>General</c:formatCode>
                  <c:ptCount val="1"/>
                  <c:pt idx="0">
                    <c:v>0.38710394742734916</c:v>
                  </c:pt>
                </c:numCache>
              </c:numRef>
            </c:plus>
            <c:minus>
              <c:numRef>
                <c:f>Spectral!$V$29</c:f>
                <c:numCache>
                  <c:formatCode>General</c:formatCode>
                  <c:ptCount val="1"/>
                  <c:pt idx="0">
                    <c:v>0.38710394742734916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RRB_all!$H$107</c:f>
                <c:numCache>
                  <c:formatCode>General</c:formatCode>
                  <c:ptCount val="1"/>
                  <c:pt idx="0">
                    <c:v>0.82110790463033556</c:v>
                  </c:pt>
                </c:numCache>
              </c:numRef>
            </c:plus>
            <c:minus>
              <c:numRef>
                <c:f>RRB_all!$H$107</c:f>
                <c:numCache>
                  <c:formatCode>General</c:formatCode>
                  <c:ptCount val="1"/>
                  <c:pt idx="0">
                    <c:v>0.82110790463033556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Spectral!$V$28</c:f>
              <c:numCache>
                <c:formatCode>0.00</c:formatCode>
                <c:ptCount val="1"/>
                <c:pt idx="0">
                  <c:v>10.314278380487709</c:v>
                </c:pt>
              </c:numCache>
            </c:numRef>
          </c:xVal>
          <c:yVal>
            <c:numRef>
              <c:f>RRB_all!$H$106</c:f>
              <c:numCache>
                <c:formatCode>0.00</c:formatCode>
                <c:ptCount val="1"/>
                <c:pt idx="0">
                  <c:v>92.666005946481661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674B-406F-A9F0-A28503E6CF0F}"/>
            </c:ext>
          </c:extLst>
        </c:ser>
        <c:ser>
          <c:idx val="19"/>
          <c:order val="47"/>
          <c:tx>
            <c:strRef>
              <c:f>RRB_all!$H$148</c:f>
              <c:strCache>
                <c:ptCount val="1"/>
                <c:pt idx="0">
                  <c:v>S_91_TM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RRB_all!$H$155</c:f>
                <c:numCache>
                  <c:formatCode>General</c:formatCode>
                  <c:ptCount val="1"/>
                  <c:pt idx="0">
                    <c:v>1.1143227601931236</c:v>
                  </c:pt>
                </c:numCache>
              </c:numRef>
            </c:plus>
            <c:minus>
              <c:numRef>
                <c:f>RRB_all!$H$155</c:f>
                <c:numCache>
                  <c:formatCode>General</c:formatCode>
                  <c:ptCount val="1"/>
                  <c:pt idx="0">
                    <c:v>1.1143227601931236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ysDot"/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Spectral!$V$39</c:f>
                <c:numCache>
                  <c:formatCode>General</c:formatCode>
                  <c:ptCount val="1"/>
                  <c:pt idx="0">
                    <c:v>0.59689107675541553</c:v>
                  </c:pt>
                </c:numCache>
              </c:numRef>
            </c:plus>
            <c:minus>
              <c:numRef>
                <c:f>Spectral!$V$39</c:f>
                <c:numCache>
                  <c:formatCode>General</c:formatCode>
                  <c:ptCount val="1"/>
                  <c:pt idx="0">
                    <c:v>0.59689107675541553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prstDash val="sysDot"/>
                <a:round/>
              </a:ln>
              <a:effectLst/>
            </c:spPr>
          </c:errBars>
          <c:xVal>
            <c:numRef>
              <c:f>Spectral!$V$38</c:f>
              <c:numCache>
                <c:formatCode>0.00</c:formatCode>
                <c:ptCount val="1"/>
                <c:pt idx="0">
                  <c:v>10.138781233671398</c:v>
                </c:pt>
              </c:numCache>
            </c:numRef>
          </c:xVal>
          <c:yVal>
            <c:numRef>
              <c:f>RRB_all!$H$154</c:f>
              <c:numCache>
                <c:formatCode>0.00</c:formatCode>
                <c:ptCount val="1"/>
                <c:pt idx="0">
                  <c:v>85.332011892963337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674B-406F-A9F0-A28503E6CF0F}"/>
            </c:ext>
          </c:extLst>
        </c:ser>
        <c:ser>
          <c:idx val="24"/>
          <c:order val="48"/>
          <c:tx>
            <c:strRef>
              <c:f>RRB_all!$H$196</c:f>
              <c:strCache>
                <c:ptCount val="1"/>
                <c:pt idx="0">
                  <c:v>S_01_TM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noFill/>
              <a:ln w="31750" cmpd="dbl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Spectral!$V$49</c:f>
                <c:numCache>
                  <c:formatCode>General</c:formatCode>
                  <c:ptCount val="1"/>
                  <c:pt idx="0">
                    <c:v>0.40159390465768613</c:v>
                  </c:pt>
                </c:numCache>
              </c:numRef>
            </c:plus>
            <c:minus>
              <c:numRef>
                <c:f>Spectral!$V$49</c:f>
                <c:numCache>
                  <c:formatCode>General</c:formatCode>
                  <c:ptCount val="1"/>
                  <c:pt idx="0">
                    <c:v>0.40159390465768613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RRB_all!$H$203</c:f>
                <c:numCache>
                  <c:formatCode>General</c:formatCode>
                  <c:ptCount val="1"/>
                  <c:pt idx="0">
                    <c:v>0.76206920214220453</c:v>
                  </c:pt>
                </c:numCache>
              </c:numRef>
            </c:plus>
            <c:minus>
              <c:numRef>
                <c:f>RRB_all!$H$203</c:f>
                <c:numCache>
                  <c:formatCode>General</c:formatCode>
                  <c:ptCount val="1"/>
                  <c:pt idx="0">
                    <c:v>0.76206920214220453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Spectral!$V$48</c:f>
              <c:numCache>
                <c:formatCode>0.00</c:formatCode>
                <c:ptCount val="1"/>
                <c:pt idx="0">
                  <c:v>10.509531858945168</c:v>
                </c:pt>
              </c:numCache>
            </c:numRef>
          </c:xVal>
          <c:yVal>
            <c:numRef>
              <c:f>RRB_all!$H$202</c:f>
              <c:numCache>
                <c:formatCode>0.00</c:formatCode>
                <c:ptCount val="1"/>
                <c:pt idx="0">
                  <c:v>93.756194251734399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674B-406F-A9F0-A28503E6CF0F}"/>
            </c:ext>
          </c:extLst>
        </c:ser>
        <c:ser>
          <c:idx val="29"/>
          <c:order val="49"/>
          <c:tx>
            <c:strRef>
              <c:f>RRB_all!$H$244</c:f>
              <c:strCache>
                <c:ptCount val="1"/>
                <c:pt idx="0">
                  <c:v>S_07_ETM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Spectral!$V$59</c:f>
                <c:numCache>
                  <c:formatCode>General</c:formatCode>
                  <c:ptCount val="1"/>
                  <c:pt idx="0">
                    <c:v>0.30486037298028223</c:v>
                  </c:pt>
                </c:numCache>
              </c:numRef>
            </c:plus>
            <c:minus>
              <c:numRef>
                <c:f>Spectral!$V$59</c:f>
                <c:numCache>
                  <c:formatCode>General</c:formatCode>
                  <c:ptCount val="1"/>
                  <c:pt idx="0">
                    <c:v>0.30486037298028223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RRB_all!$H$251</c:f>
                <c:numCache>
                  <c:formatCode>General</c:formatCode>
                  <c:ptCount val="1"/>
                  <c:pt idx="0">
                    <c:v>1.4612713412832194</c:v>
                  </c:pt>
                </c:numCache>
              </c:numRef>
            </c:plus>
            <c:minus>
              <c:numRef>
                <c:f>RRB_all!$H$251</c:f>
                <c:numCache>
                  <c:formatCode>General</c:formatCode>
                  <c:ptCount val="1"/>
                  <c:pt idx="0">
                    <c:v>1.4612713412832194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Spectral!$V$58</c:f>
              <c:numCache>
                <c:formatCode>0.00</c:formatCode>
                <c:ptCount val="1"/>
                <c:pt idx="0">
                  <c:v>11.8706750061652</c:v>
                </c:pt>
              </c:numCache>
            </c:numRef>
          </c:xVal>
          <c:yVal>
            <c:numRef>
              <c:f>RRB_all!$H$250</c:f>
              <c:numCache>
                <c:formatCode>0.00</c:formatCode>
                <c:ptCount val="1"/>
                <c:pt idx="0">
                  <c:v>78.364779874213838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674B-406F-A9F0-A28503E6CF0F}"/>
            </c:ext>
          </c:extLst>
        </c:ser>
        <c:ser>
          <c:idx val="34"/>
          <c:order val="50"/>
          <c:tx>
            <c:strRef>
              <c:f>RRB_all!$H$292</c:f>
              <c:strCache>
                <c:ptCount val="1"/>
                <c:pt idx="0">
                  <c:v>S_11_ETM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AD8D06">
                  <a:alpha val="20000"/>
                </a:srgbClr>
              </a:solidFill>
              <a:ln w="19050">
                <a:solidFill>
                  <a:srgbClr val="AD8D06"/>
                </a:solidFill>
                <a:prstDash val="sysDot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Spectral!$V$69</c:f>
                <c:numCache>
                  <c:formatCode>General</c:formatCode>
                  <c:ptCount val="1"/>
                  <c:pt idx="0">
                    <c:v>1.9969590025923425</c:v>
                  </c:pt>
                </c:numCache>
              </c:numRef>
            </c:plus>
            <c:minus>
              <c:numRef>
                <c:f>Spectral!$V$69</c:f>
                <c:numCache>
                  <c:formatCode>General</c:formatCode>
                  <c:ptCount val="1"/>
                  <c:pt idx="0">
                    <c:v>1.9969590025923425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RRB_all!$H$299</c:f>
                <c:numCache>
                  <c:formatCode>General</c:formatCode>
                  <c:ptCount val="1"/>
                  <c:pt idx="0">
                    <c:v>0.79499983748395853</c:v>
                  </c:pt>
                </c:numCache>
              </c:numRef>
            </c:plus>
            <c:minus>
              <c:numRef>
                <c:f>RRB_all!$H$299</c:f>
                <c:numCache>
                  <c:formatCode>General</c:formatCode>
                  <c:ptCount val="1"/>
                  <c:pt idx="0">
                    <c:v>0.79499983748395853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Spectral!$V$68</c:f>
              <c:numCache>
                <c:formatCode>0.00</c:formatCode>
                <c:ptCount val="1"/>
                <c:pt idx="0">
                  <c:v>13.956126167236041</c:v>
                </c:pt>
              </c:numCache>
            </c:numRef>
          </c:xVal>
          <c:yVal>
            <c:numRef>
              <c:f>RRB_all!$H$298</c:f>
              <c:numCache>
                <c:formatCode>0.00</c:formatCode>
                <c:ptCount val="1"/>
                <c:pt idx="0">
                  <c:v>93.161546085232899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674B-406F-A9F0-A28503E6CF0F}"/>
            </c:ext>
          </c:extLst>
        </c:ser>
        <c:ser>
          <c:idx val="39"/>
          <c:order val="51"/>
          <c:tx>
            <c:strRef>
              <c:f>RRB_all!$H$340</c:f>
              <c:strCache>
                <c:ptCount val="1"/>
                <c:pt idx="0">
                  <c:v>S_15_OLI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Spectral!$V$79</c:f>
                <c:numCache>
                  <c:formatCode>General</c:formatCode>
                  <c:ptCount val="1"/>
                  <c:pt idx="0">
                    <c:v>4.097365252381211</c:v>
                  </c:pt>
                </c:numCache>
              </c:numRef>
            </c:plus>
            <c:minus>
              <c:numRef>
                <c:f>Spectral!$V$79</c:f>
                <c:numCache>
                  <c:formatCode>General</c:formatCode>
                  <c:ptCount val="1"/>
                  <c:pt idx="0">
                    <c:v>4.097365252381211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RRB_all!$H$347</c:f>
                <c:numCache>
                  <c:formatCode>General</c:formatCode>
                  <c:ptCount val="1"/>
                  <c:pt idx="0">
                    <c:v>0.62188226937477109</c:v>
                  </c:pt>
                </c:numCache>
              </c:numRef>
            </c:plus>
            <c:minus>
              <c:numRef>
                <c:f>RRB_all!$H$347</c:f>
                <c:numCache>
                  <c:formatCode>General</c:formatCode>
                  <c:ptCount val="1"/>
                  <c:pt idx="0">
                    <c:v>0.62188226937477109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Spectral!$V$78</c:f>
              <c:numCache>
                <c:formatCode>0.00</c:formatCode>
                <c:ptCount val="1"/>
                <c:pt idx="0">
                  <c:v>12.514359981525644</c:v>
                </c:pt>
              </c:numCache>
            </c:numRef>
          </c:xVal>
          <c:yVal>
            <c:numRef>
              <c:f>RRB_all!$H$346</c:f>
              <c:numCache>
                <c:formatCode>0.00</c:formatCode>
                <c:ptCount val="1"/>
                <c:pt idx="0">
                  <c:v>95.936570862239847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674B-406F-A9F0-A28503E6CF0F}"/>
            </c:ext>
          </c:extLst>
        </c:ser>
        <c:ser>
          <c:idx val="43"/>
          <c:order val="52"/>
          <c:tx>
            <c:strRef>
              <c:f>RRB_all!$H$388</c:f>
              <c:strCache>
                <c:ptCount val="1"/>
                <c:pt idx="0">
                  <c:v>S_19_OLI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noFill/>
              <a:ln w="19050">
                <a:solidFill>
                  <a:srgbClr val="AD8D06"/>
                </a:solidFill>
                <a:prstDash val="sysDash"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Spectral!$V$89</c:f>
                <c:numCache>
                  <c:formatCode>General</c:formatCode>
                  <c:ptCount val="1"/>
                  <c:pt idx="0">
                    <c:v>4.1752331219397361</c:v>
                  </c:pt>
                </c:numCache>
              </c:numRef>
            </c:plus>
            <c:minus>
              <c:numRef>
                <c:f>Spectral!$V$89</c:f>
                <c:numCache>
                  <c:formatCode>General</c:formatCode>
                  <c:ptCount val="1"/>
                  <c:pt idx="0">
                    <c:v>4.1752331219397361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RRB_all!$H$395</c:f>
                <c:numCache>
                  <c:formatCode>General</c:formatCode>
                  <c:ptCount val="1"/>
                  <c:pt idx="0">
                    <c:v>0.76206920214220453</c:v>
                  </c:pt>
                </c:numCache>
              </c:numRef>
            </c:plus>
            <c:minus>
              <c:numRef>
                <c:f>RRB_all!$H$395</c:f>
                <c:numCache>
                  <c:formatCode>General</c:formatCode>
                  <c:ptCount val="1"/>
                  <c:pt idx="0">
                    <c:v>0.76206920214220453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Spectral!$V$88</c:f>
              <c:numCache>
                <c:formatCode>0.00</c:formatCode>
                <c:ptCount val="1"/>
                <c:pt idx="0">
                  <c:v>13.787328547647009</c:v>
                </c:pt>
              </c:numCache>
            </c:numRef>
          </c:xVal>
          <c:yVal>
            <c:numRef>
              <c:f>RRB_all!$H$394</c:f>
              <c:numCache>
                <c:formatCode>0.00</c:formatCode>
                <c:ptCount val="1"/>
                <c:pt idx="0">
                  <c:v>93.756194251734399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674B-406F-A9F0-A28503E6CF0F}"/>
            </c:ext>
          </c:extLst>
        </c:ser>
        <c:ser>
          <c:idx val="48"/>
          <c:order val="53"/>
          <c:tx>
            <c:strRef>
              <c:f>RRB_all!$H$436</c:f>
              <c:strCache>
                <c:ptCount val="1"/>
                <c:pt idx="0">
                  <c:v>S_19_MSI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19050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Spectral!$V$103</c:f>
                <c:numCache>
                  <c:formatCode>General</c:formatCode>
                  <c:ptCount val="1"/>
                  <c:pt idx="0">
                    <c:v>0.81130805201051714</c:v>
                  </c:pt>
                </c:numCache>
              </c:numRef>
            </c:plus>
            <c:minus>
              <c:numRef>
                <c:f>Spectral!$V$103</c:f>
                <c:numCache>
                  <c:formatCode>General</c:formatCode>
                  <c:ptCount val="1"/>
                  <c:pt idx="0">
                    <c:v>0.81130805201051714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RRB_all!$H$443</c:f>
                <c:numCache>
                  <c:formatCode>General</c:formatCode>
                  <c:ptCount val="1"/>
                  <c:pt idx="0">
                    <c:v>0.76475687800248704</c:v>
                  </c:pt>
                </c:numCache>
              </c:numRef>
            </c:plus>
            <c:minus>
              <c:numRef>
                <c:f>RRB_all!$H$443</c:f>
                <c:numCache>
                  <c:formatCode>General</c:formatCode>
                  <c:ptCount val="1"/>
                  <c:pt idx="0">
                    <c:v>0.76475687800248704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Spectral!$V$102</c:f>
              <c:numCache>
                <c:formatCode>0.00</c:formatCode>
                <c:ptCount val="1"/>
                <c:pt idx="0">
                  <c:v>10.372391315762561</c:v>
                </c:pt>
              </c:numCache>
            </c:numRef>
          </c:xVal>
          <c:yVal>
            <c:numRef>
              <c:f>RRB_all!$H$442</c:f>
              <c:numCache>
                <c:formatCode>0.00</c:formatCode>
                <c:ptCount val="1"/>
                <c:pt idx="0">
                  <c:v>93.682132280355361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674B-406F-A9F0-A28503E6CF0F}"/>
            </c:ext>
          </c:extLst>
        </c:ser>
        <c:ser>
          <c:idx val="53"/>
          <c:order val="54"/>
          <c:tx>
            <c:strRef>
              <c:f>RRB_all!$H$484</c:f>
              <c:strCache>
                <c:ptCount val="1"/>
                <c:pt idx="0">
                  <c:v>S_24_MSI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AD8D06">
                  <a:alpha val="20000"/>
                </a:srgbClr>
              </a:solidFill>
              <a:ln w="31750" cmpd="dbl">
                <a:solidFill>
                  <a:srgbClr val="AD8D06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Spectral!$V$117</c:f>
                <c:numCache>
                  <c:formatCode>General</c:formatCode>
                  <c:ptCount val="1"/>
                  <c:pt idx="0">
                    <c:v>0.41518551351554761</c:v>
                  </c:pt>
                </c:numCache>
              </c:numRef>
            </c:plus>
            <c:minus>
              <c:numRef>
                <c:f>Spectral!$V$117</c:f>
                <c:numCache>
                  <c:formatCode>General</c:formatCode>
                  <c:ptCount val="1"/>
                  <c:pt idx="0">
                    <c:v>0.41518551351554761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RRB_all!$H$491</c:f>
                <c:numCache>
                  <c:formatCode>General</c:formatCode>
                  <c:ptCount val="1"/>
                  <c:pt idx="0">
                    <c:v>0.6936871730384524</c:v>
                  </c:pt>
                </c:numCache>
              </c:numRef>
            </c:plus>
            <c:minus>
              <c:numRef>
                <c:f>RRB_all!$H$491</c:f>
                <c:numCache>
                  <c:formatCode>General</c:formatCode>
                  <c:ptCount val="1"/>
                  <c:pt idx="0">
                    <c:v>0.6936871730384524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AD8D06"/>
                </a:solidFill>
                <a:round/>
              </a:ln>
              <a:effectLst/>
            </c:spPr>
          </c:errBars>
          <c:xVal>
            <c:numRef>
              <c:f>Spectral!$V$116</c:f>
              <c:numCache>
                <c:formatCode>0.00</c:formatCode>
                <c:ptCount val="1"/>
                <c:pt idx="0">
                  <c:v>10.422247772696302</c:v>
                </c:pt>
              </c:numCache>
            </c:numRef>
          </c:xVal>
          <c:yVal>
            <c:numRef>
              <c:f>RRB_all!$H$490</c:f>
              <c:numCache>
                <c:formatCode>0.00</c:formatCode>
                <c:ptCount val="1"/>
                <c:pt idx="0">
                  <c:v>94.866732477788744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674B-406F-A9F0-A28503E6CF0F}"/>
            </c:ext>
          </c:extLst>
        </c:ser>
        <c:ser>
          <c:idx val="55"/>
          <c:order val="55"/>
          <c:tx>
            <c:strRef>
              <c:f>Cumulative!$F$19</c:f>
              <c:strCache>
                <c:ptCount val="1"/>
                <c:pt idx="0">
                  <c:v>W_All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002060"/>
              </a:solidFill>
              <a:ln w="15875">
                <a:solidFill>
                  <a:srgbClr val="1F9DFF"/>
                </a:solidFill>
              </a:ln>
              <a:effectLst/>
            </c:spPr>
          </c:marker>
          <c:xVal>
            <c:numRef>
              <c:f>Cumulative!$E$19</c:f>
              <c:numCache>
                <c:formatCode>0.00</c:formatCode>
                <c:ptCount val="1"/>
                <c:pt idx="0">
                  <c:v>35.586582360774401</c:v>
                </c:pt>
              </c:numCache>
            </c:numRef>
          </c:xVal>
          <c:yVal>
            <c:numRef>
              <c:f>Cumulative!$D$19</c:f>
              <c:numCache>
                <c:formatCode>0.00</c:formatCode>
                <c:ptCount val="1"/>
                <c:pt idx="0">
                  <c:v>81.698564593301441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01-40E8-87ED-BF9CAD1D29F3}"/>
            </c:ext>
          </c:extLst>
        </c:ser>
        <c:ser>
          <c:idx val="56"/>
          <c:order val="56"/>
          <c:tx>
            <c:strRef>
              <c:f>Cumulative!$F$20</c:f>
              <c:strCache>
                <c:ptCount val="1"/>
                <c:pt idx="0">
                  <c:v>B_All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ysClr val="windowText" lastClr="000000">
                  <a:lumMod val="85000"/>
                  <a:lumOff val="15000"/>
                </a:sysClr>
              </a:solidFill>
              <a:ln w="15875">
                <a:solidFill>
                  <a:srgbClr val="CACDDE"/>
                </a:solidFill>
              </a:ln>
              <a:effectLst/>
            </c:spPr>
          </c:marker>
          <c:xVal>
            <c:numRef>
              <c:f>Cumulative!$E$20</c:f>
              <c:numCache>
                <c:formatCode>0.00</c:formatCode>
                <c:ptCount val="1"/>
                <c:pt idx="0">
                  <c:v>30.190506429088394</c:v>
                </c:pt>
              </c:numCache>
            </c:numRef>
          </c:xVal>
          <c:yVal>
            <c:numRef>
              <c:f>Cumulative!$D$20</c:f>
              <c:numCache>
                <c:formatCode>0.00</c:formatCode>
                <c:ptCount val="1"/>
                <c:pt idx="0">
                  <c:v>93.248175182481745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01-40E8-87ED-BF9CAD1D29F3}"/>
            </c:ext>
          </c:extLst>
        </c:ser>
        <c:ser>
          <c:idx val="57"/>
          <c:order val="57"/>
          <c:tx>
            <c:strRef>
              <c:f>Cumulative!$F$21</c:f>
              <c:strCache>
                <c:ptCount val="1"/>
                <c:pt idx="0">
                  <c:v>A_All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B1EE2D"/>
                </a:solidFill>
              </a:ln>
              <a:effectLst/>
            </c:spPr>
          </c:marker>
          <c:xVal>
            <c:numRef>
              <c:f>Cumulative!$E$21</c:f>
              <c:numCache>
                <c:formatCode>0.00</c:formatCode>
                <c:ptCount val="1"/>
                <c:pt idx="0">
                  <c:v>22.295866659711887</c:v>
                </c:pt>
              </c:numCache>
            </c:numRef>
          </c:xVal>
          <c:yVal>
            <c:numRef>
              <c:f>Cumulative!$D$21</c:f>
              <c:numCache>
                <c:formatCode>0.00</c:formatCode>
                <c:ptCount val="1"/>
                <c:pt idx="0">
                  <c:v>98.982410234045645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01-40E8-87ED-BF9CAD1D29F3}"/>
            </c:ext>
          </c:extLst>
        </c:ser>
        <c:ser>
          <c:idx val="58"/>
          <c:order val="58"/>
          <c:tx>
            <c:strRef>
              <c:f>Cumulative!$F$22</c:f>
              <c:strCache>
                <c:ptCount val="1"/>
                <c:pt idx="0">
                  <c:v>F_All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196B24">
                  <a:lumMod val="50000"/>
                </a:srgbClr>
              </a:solidFill>
              <a:ln w="15875">
                <a:solidFill>
                  <a:srgbClr val="149721"/>
                </a:solidFill>
              </a:ln>
              <a:effectLst/>
            </c:spPr>
          </c:marker>
          <c:xVal>
            <c:numRef>
              <c:f>Cumulative!$E$22</c:f>
              <c:numCache>
                <c:formatCode>0.00</c:formatCode>
                <c:ptCount val="1"/>
                <c:pt idx="0">
                  <c:v>29.124359925514199</c:v>
                </c:pt>
              </c:numCache>
            </c:numRef>
          </c:xVal>
          <c:yVal>
            <c:numRef>
              <c:f>Cumulative!$D$22</c:f>
              <c:numCache>
                <c:formatCode>0.00</c:formatCode>
                <c:ptCount val="1"/>
                <c:pt idx="0">
                  <c:v>94.691748929037061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01-40E8-87ED-BF9CAD1D29F3}"/>
            </c:ext>
          </c:extLst>
        </c:ser>
        <c:ser>
          <c:idx val="59"/>
          <c:order val="59"/>
          <c:tx>
            <c:strRef>
              <c:f>Cumulative!$F$23</c:f>
              <c:strCache>
                <c:ptCount val="1"/>
                <c:pt idx="0">
                  <c:v>S_All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solidFill>
                <a:srgbClr val="E97132">
                  <a:lumMod val="50000"/>
                </a:srgbClr>
              </a:solidFill>
              <a:ln w="15875">
                <a:solidFill>
                  <a:srgbClr val="AD8D06"/>
                </a:solidFill>
              </a:ln>
              <a:effectLst/>
            </c:spPr>
          </c:marker>
          <c:xVal>
            <c:numRef>
              <c:f>Cumulative!$E$23</c:f>
              <c:numCache>
                <c:formatCode>0.00</c:formatCode>
                <c:ptCount val="1"/>
                <c:pt idx="0">
                  <c:v>10.623491835239173</c:v>
                </c:pt>
              </c:numCache>
            </c:numRef>
          </c:xVal>
          <c:yVal>
            <c:numRef>
              <c:f>Cumulative!$D$23</c:f>
              <c:numCache>
                <c:formatCode>0.00</c:formatCode>
                <c:ptCount val="1"/>
                <c:pt idx="0">
                  <c:v>91.2207625760974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501-40E8-87ED-BF9CAD1D2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4720"/>
        <c:axId val="413405048"/>
      </c:scatterChart>
      <c:valAx>
        <c:axId val="413404720"/>
        <c:scaling>
          <c:orientation val="minMax"/>
          <c:max val="110"/>
        </c:scaling>
        <c:delete val="0"/>
        <c:axPos val="b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Sensor's Bands Median Coefficient of Variation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5048"/>
        <c:crosses val="autoZero"/>
        <c:crossBetween val="midCat"/>
        <c:majorUnit val="10"/>
        <c:minorUnit val="1"/>
      </c:valAx>
      <c:valAx>
        <c:axId val="413405048"/>
        <c:scaling>
          <c:orientation val="minMax"/>
          <c:max val="101"/>
          <c:min val="55"/>
        </c:scaling>
        <c:delete val="0"/>
        <c:axPos val="l"/>
        <c:majorGridlines>
          <c:spPr>
            <a:ln w="6350" cap="flat" cmpd="sng" algn="ctr">
              <a:solidFill>
                <a:sysClr val="windowText" lastClr="000000">
                  <a:alpha val="60000"/>
                </a:sysClr>
              </a:solidFill>
              <a:prstDash val="lgDash"/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75000"/>
                  <a:alpha val="10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 User's 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04720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063203891628551"/>
          <c:y val="6.5182617644988478E-2"/>
          <c:w val="0.33441357493354568"/>
          <c:h val="0.8794844049073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_xlchart.v1.26</cx:f>
      </cx:strDim>
      <cx:numDim type="val">
        <cx:f>_xlchart.v1.3</cx:f>
      </cx:numDim>
    </cx:data>
    <cx:data id="1">
      <cx:numDim type="val">
        <cx:f>_xlchart.v1.5</cx:f>
      </cx:numDim>
    </cx:data>
    <cx:data id="2">
      <cx:numDim type="val">
        <cx:f>_xlchart.v1.6</cx:f>
      </cx:numDim>
    </cx:data>
    <cx:data id="3">
      <cx:numDim type="val">
        <cx:f>_xlchart.v1.7</cx:f>
      </cx:numDim>
    </cx:data>
    <cx:data id="4">
      <cx:numDim type="val">
        <cx:f>_xlchart.v1.8</cx:f>
      </cx:numDim>
    </cx:data>
    <cx:data id="5">
      <cx:numDim type="val">
        <cx:f>_xlchart.v1.9</cx:f>
      </cx:numDim>
    </cx:data>
    <cx:data id="6">
      <cx:numDim type="val">
        <cx:f>_xlchart.v1.10</cx:f>
      </cx:numDim>
    </cx:data>
    <cx:data id="7">
      <cx:numDim type="val">
        <cx:f>_xlchart.v1.11</cx:f>
      </cx:numDim>
    </cx:data>
    <cx:data id="8">
      <cx:numDim type="val">
        <cx:f>_xlchart.v1.12</cx:f>
      </cx:numDim>
    </cx:data>
    <cx:data id="9">
      <cx:numDim type="val">
        <cx:f>_xlchart.v1.0</cx:f>
      </cx:numDim>
    </cx:data>
    <cx:data id="10">
      <cx:numDim type="val">
        <cx:f>_xlchart.v1.1</cx:f>
      </cx:numDim>
    </cx:data>
    <cx:data id="11">
      <cx:numDim type="val">
        <cx:f>_xlchart.v1.2</cx:f>
      </cx:numDim>
    </cx:data>
    <cx:data id="12">
      <cx:numDim type="val">
        <cx:f>_xlchart.v1.4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RRB 1977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_xlchart.v1.18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_xlchart.v1.19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_xlchart.v1.20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_xlchart.v1.21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_xlchart.v1.22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_xlchart.v1.23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>
          <cx:tx>
            <cx:txData>
              <cx:f>_xlchart.v1.24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>
          <cx:tx>
            <cx:txData>
              <cx:f>_xlchart.v1.25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>
          <cx:tx>
            <cx:txData>
              <cx:f>_xlchart.v1.13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>
          <cx:tx>
            <cx:txData>
              <cx:f>_xlchart.v1.14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>
          <cx:tx>
            <cx:txData>
              <cx:f>_xlchart.v1.15</cx:f>
              <cx:v>OA_100</cx:v>
            </cx:txData>
          </cx:tx>
          <cx:dataId val="10"/>
          <cx:layoutPr>
            <cx:statistics quartileMethod="exclusive"/>
          </cx:layoutPr>
        </cx:series>
        <cx:series layoutId="boxWhisker" uniqueId="{0000000F-CC7C-4F33-8FE2-34C9BAE9EEF0}">
          <cx:tx>
            <cx:txData>
              <cx:f>_xlchart.v1.16</cx:f>
              <cx:v>OA_150</cx:v>
            </cx:txData>
          </cx:tx>
          <cx:dataId val="11"/>
          <cx:layoutPr>
            <cx:statistics quartileMethod="exclusive"/>
          </cx:layoutPr>
        </cx:series>
        <cx:series layoutId="boxWhisker" uniqueId="{00000010-CC7C-4F33-8FE2-34C9BAE9EEF0}">
          <cx:tx>
            <cx:txData>
              <cx:f>_xlchart.v1.17</cx:f>
              <cx:v>OA_200</cx:v>
            </cx:txData>
          </cx:tx>
          <cx:dataId val="12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in="0.90500000000000003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_xlchart.v1.55</cx:f>
      </cx:strDim>
      <cx:numDim type="val">
        <cx:f>_xlchart.v1.32</cx:f>
      </cx:numDim>
    </cx:data>
    <cx:data id="1">
      <cx:numDim type="val">
        <cx:f>_xlchart.v1.34</cx:f>
      </cx:numDim>
    </cx:data>
    <cx:data id="2">
      <cx:numDim type="val">
        <cx:f>_xlchart.v1.35</cx:f>
      </cx:numDim>
    </cx:data>
    <cx:data id="3">
      <cx:numDim type="val">
        <cx:f>_xlchart.v1.36</cx:f>
      </cx:numDim>
    </cx:data>
    <cx:data id="4">
      <cx:numDim type="val">
        <cx:f>_xlchart.v1.37</cx:f>
      </cx:numDim>
    </cx:data>
    <cx:data id="5">
      <cx:numDim type="val">
        <cx:f>_xlchart.v1.38</cx:f>
      </cx:numDim>
    </cx:data>
    <cx:data id="6">
      <cx:numDim type="val">
        <cx:f>_xlchart.v1.39</cx:f>
      </cx:numDim>
    </cx:data>
    <cx:data id="7">
      <cx:numDim type="val">
        <cx:f>_xlchart.v1.40</cx:f>
      </cx:numDim>
    </cx:data>
    <cx:data id="8">
      <cx:numDim type="val">
        <cx:f>_xlchart.v1.41</cx:f>
      </cx:numDim>
    </cx:data>
    <cx:data id="9">
      <cx:numDim type="val">
        <cx:f>_xlchart.v1.29</cx:f>
      </cx:numDim>
    </cx:data>
    <cx:data id="10">
      <cx:numDim type="val">
        <cx:f>_xlchart.v1.30</cx:f>
      </cx:numDim>
    </cx:data>
    <cx:data id="11">
      <cx:numDim type="val">
        <cx:f>_xlchart.v1.31</cx:f>
      </cx:numDim>
    </cx:data>
    <cx:data id="12">
      <cx:numDim type="val">
        <cx:f>_xlchart.v1.33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RRB 1977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_xlchart.v1.47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_xlchart.v1.48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_xlchart.v1.49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_xlchart.v1.50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_xlchart.v1.51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_xlchart.v1.52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>
          <cx:tx>
            <cx:txData>
              <cx:f>_xlchart.v1.53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>
          <cx:tx>
            <cx:txData>
              <cx:f>_xlchart.v1.54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>
          <cx:tx>
            <cx:txData>
              <cx:f>_xlchart.v1.42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>
          <cx:tx>
            <cx:txData>
              <cx:f>_xlchart.v1.43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>
          <cx:tx>
            <cx:txData>
              <cx:f>_xlchart.v1.44</cx:f>
              <cx:v>Ô_100</cx:v>
            </cx:txData>
          </cx:tx>
          <cx:dataId val="10"/>
          <cx:layoutPr>
            <cx:statistics quartileMethod="exclusive"/>
          </cx:layoutPr>
        </cx:series>
        <cx:series layoutId="boxWhisker" uniqueId="{00000009-6C94-49BB-88D9-CCD3B605BB11}">
          <cx:tx>
            <cx:txData>
              <cx:f>_xlchart.v1.45</cx:f>
              <cx:v>Ô_150</cx:v>
            </cx:txData>
          </cx:tx>
          <cx:dataId val="11"/>
          <cx:layoutPr>
            <cx:statistics quartileMethod="exclusive"/>
          </cx:layoutPr>
        </cx:series>
        <cx:series layoutId="boxWhisker" uniqueId="{0000000A-6C94-49BB-88D9-CCD3B605BB11}">
          <cx:tx>
            <cx:txData>
              <cx:f>_xlchart.v1.46</cx:f>
              <cx:v>Ô_200</cx:v>
            </cx:txData>
          </cx:tx>
          <cx:dataId val="12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in="0.94000000000000006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RRB 1977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_xlchart.v1.28</cx:f>
              <cx:v>OA_200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RRB 1977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_xlchart.v1.62</cx:f>
              <cx:v>Ô_200</cx:v>
            </cx:txData>
          </cx:tx>
          <cx:dataId val="0"/>
          <cx:layoutPr>
            <cx:binning intervalClosed="r">
              <cx:binCount val="10"/>
            </cx:binning>
          </cx:layoutPr>
        </cx:series>
        <cx:series layoutId="clusteredColumn" hidden="1" uniqueId="{00000000-B768-450C-8392-A145049BC1CD}" formatIdx="0">
          <cx:tx>
            <cx:txData>
              <cx:f>_xlchart.v1.63</cx:f>
              <cx:v>Ô_20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1977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_xlchart.v1.57</cx:f>
              <cx:v>Ô_20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1977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_xlchart.v1.59</cx:f>
              <cx:v>OA_50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_xlchart.v1.96</cx:f>
      </cx:strDim>
      <cx:numDim type="val">
        <cx:f>_xlchart.v1.73</cx:f>
      </cx:numDim>
    </cx:data>
    <cx:data id="1">
      <cx:numDim type="val">
        <cx:f>_xlchart.v1.75</cx:f>
      </cx:numDim>
    </cx:data>
    <cx:data id="2">
      <cx:numDim type="val">
        <cx:f>_xlchart.v1.76</cx:f>
      </cx:numDim>
    </cx:data>
    <cx:data id="3">
      <cx:numDim type="val">
        <cx:f>_xlchart.v1.77</cx:f>
      </cx:numDim>
    </cx:data>
    <cx:data id="4">
      <cx:numDim type="val">
        <cx:f>_xlchart.v1.78</cx:f>
      </cx:numDim>
    </cx:data>
    <cx:data id="5">
      <cx:numDim type="val">
        <cx:f>_xlchart.v1.79</cx:f>
      </cx:numDim>
    </cx:data>
    <cx:data id="6">
      <cx:numDim type="val">
        <cx:f>_xlchart.v1.80</cx:f>
      </cx:numDim>
    </cx:data>
    <cx:data id="7">
      <cx:numDim type="val">
        <cx:f>_xlchart.v1.81</cx:f>
      </cx:numDim>
    </cx:data>
    <cx:data id="8">
      <cx:numDim type="val">
        <cx:f>_xlchart.v1.82</cx:f>
      </cx:numDim>
    </cx:data>
    <cx:data id="9">
      <cx:numDim type="val">
        <cx:f>_xlchart.v1.70</cx:f>
      </cx:numDim>
    </cx:data>
    <cx:data id="10">
      <cx:numDim type="val">
        <cx:f>_xlchart.v1.71</cx:f>
      </cx:numDim>
    </cx:data>
    <cx:data id="11">
      <cx:numDim type="val">
        <cx:f>_xlchart.v1.72</cx:f>
      </cx:numDim>
    </cx:data>
    <cx:data id="12">
      <cx:numDim type="val">
        <cx:f>_xlchart.v1.74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_xlchart.v1.88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_xlchart.v1.89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_xlchart.v1.90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_xlchart.v1.91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_xlchart.v1.92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_xlchart.v1.93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>
          <cx:tx>
            <cx:txData>
              <cx:f>_xlchart.v1.94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>
          <cx:tx>
            <cx:txData>
              <cx:f>_xlchart.v1.95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>
          <cx:tx>
            <cx:txData>
              <cx:f>_xlchart.v1.83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>
          <cx:tx>
            <cx:txData>
              <cx:f>_xlchart.v1.84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>
          <cx:tx>
            <cx:txData>
              <cx:f>_xlchart.v1.85</cx:f>
              <cx:v>OA_100</cx:v>
            </cx:txData>
          </cx:tx>
          <cx:dataId val="10"/>
          <cx:layoutPr>
            <cx:statistics quartileMethod="exclusive"/>
          </cx:layoutPr>
        </cx:series>
        <cx:series layoutId="boxWhisker" uniqueId="{0000000F-CC7C-4F33-8FE2-34C9BAE9EEF0}">
          <cx:tx>
            <cx:txData>
              <cx:f>_xlchart.v1.86</cx:f>
              <cx:v>OA_150</cx:v>
            </cx:txData>
          </cx:tx>
          <cx:dataId val="11"/>
          <cx:layoutPr>
            <cx:statistics quartileMethod="exclusive"/>
          </cx:layoutPr>
        </cx:series>
        <cx:series layoutId="boxWhisker" uniqueId="{00000010-CC7C-4F33-8FE2-34C9BAE9EEF0}">
          <cx:tx>
            <cx:txData>
              <cx:f>_xlchart.v1.87</cx:f>
              <cx:v>OA_200</cx:v>
            </cx:txData>
          </cx:tx>
          <cx:dataId val="12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in="0.87000000000000011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_xlchart.v1.123</cx:f>
      </cx:strDim>
      <cx:numDim type="val">
        <cx:f>_xlchart.v1.100</cx:f>
      </cx:numDim>
    </cx:data>
    <cx:data id="1">
      <cx:numDim type="val">
        <cx:f>_xlchart.v1.102</cx:f>
      </cx:numDim>
    </cx:data>
    <cx:data id="2">
      <cx:numDim type="val">
        <cx:f>_xlchart.v1.103</cx:f>
      </cx:numDim>
    </cx:data>
    <cx:data id="3">
      <cx:numDim type="val">
        <cx:f>_xlchart.v1.104</cx:f>
      </cx:numDim>
    </cx:data>
    <cx:data id="4">
      <cx:numDim type="val">
        <cx:f>_xlchart.v1.105</cx:f>
      </cx:numDim>
    </cx:data>
    <cx:data id="5">
      <cx:numDim type="val">
        <cx:f>_xlchart.v1.106</cx:f>
      </cx:numDim>
    </cx:data>
    <cx:data id="6">
      <cx:numDim type="val">
        <cx:f>_xlchart.v1.107</cx:f>
      </cx:numDim>
    </cx:data>
    <cx:data id="7">
      <cx:numDim type="val">
        <cx:f>_xlchart.v1.108</cx:f>
      </cx:numDim>
    </cx:data>
    <cx:data id="8">
      <cx:numDim type="val">
        <cx:f>_xlchart.v1.109</cx:f>
      </cx:numDim>
    </cx:data>
    <cx:data id="9">
      <cx:numDim type="val">
        <cx:f>_xlchart.v1.97</cx:f>
      </cx:numDim>
    </cx:data>
    <cx:data id="10">
      <cx:numDim type="val">
        <cx:f>_xlchart.v1.98</cx:f>
      </cx:numDim>
    </cx:data>
    <cx:data id="11">
      <cx:numDim type="val">
        <cx:f>_xlchart.v1.99</cx:f>
      </cx:numDim>
    </cx:data>
    <cx:data id="12">
      <cx:numDim type="val">
        <cx:f>_xlchart.v1.101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_xlchart.v1.115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_xlchart.v1.116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_xlchart.v1.117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_xlchart.v1.118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_xlchart.v1.119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_xlchart.v1.120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>
          <cx:tx>
            <cx:txData>
              <cx:f>_xlchart.v1.121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>
          <cx:tx>
            <cx:txData>
              <cx:f>_xlchart.v1.122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>
          <cx:tx>
            <cx:txData>
              <cx:f>_xlchart.v1.110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>
          <cx:tx>
            <cx:txData>
              <cx:f>_xlchart.v1.111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>
          <cx:tx>
            <cx:txData>
              <cx:f>_xlchart.v1.112</cx:f>
              <cx:v>Ô_100</cx:v>
            </cx:txData>
          </cx:tx>
          <cx:dataId val="10"/>
          <cx:layoutPr>
            <cx:statistics quartileMethod="exclusive"/>
          </cx:layoutPr>
        </cx:series>
        <cx:series layoutId="boxWhisker" uniqueId="{00000009-6C94-49BB-88D9-CCD3B605BB11}">
          <cx:tx>
            <cx:txData>
              <cx:f>_xlchart.v1.113</cx:f>
              <cx:v>Ô_150</cx:v>
            </cx:txData>
          </cx:tx>
          <cx:dataId val="11"/>
          <cx:layoutPr>
            <cx:statistics quartileMethod="exclusive"/>
          </cx:layoutPr>
        </cx:series>
        <cx:series layoutId="boxWhisker" uniqueId="{0000000A-6C94-49BB-88D9-CCD3B605BB11}">
          <cx:tx>
            <cx:txData>
              <cx:f>_xlchart.v1.114</cx:f>
              <cx:v>Ô_200</cx:v>
            </cx:txData>
          </cx:tx>
          <cx:dataId val="12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in="0.91000000000000003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_xlchart.v1.69</cx:f>
              <cx:v>OA_200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_xlchart.v1.124</cx:f>
      </cx:numDim>
    </cx:data>
    <cx:data id="1">
      <cx:numDim type="val">
        <cx:f>_xlchart.v1.125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_xlchart.v1.126</cx:f>
              <cx:v>Ô_200</cx:v>
            </cx:txData>
          </cx:tx>
          <cx:dataId val="0"/>
          <cx:layoutPr>
            <cx:binning intervalClosed="r">
              <cx:binCount val="10"/>
            </cx:binning>
          </cx:layoutPr>
        </cx:series>
        <cx:series layoutId="clusteredColumn" hidden="1" uniqueId="{00000000-B768-450C-8392-A145049BC1CD}" formatIdx="0">
          <cx:tx>
            <cx:txData>
              <cx:f>_xlchart.v1.127</cx:f>
              <cx:v>Ô_20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_xlchart.v1.129</cx:f>
              <cx:v>Ô_20</cx:v>
            </cx:txData>
          </cx:tx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_xlchart.v1.131</cx:f>
              <cx:v>OA_50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_xlchart.v1.162</cx:f>
      </cx:strDim>
      <cx:numDim type="val">
        <cx:f>_xlchart.v1.142</cx:f>
      </cx:numDim>
    </cx:data>
    <cx:data id="1">
      <cx:numDim type="val">
        <cx:f>_xlchart.v1.143</cx:f>
      </cx:numDim>
    </cx:data>
    <cx:data id="2">
      <cx:numDim type="val">
        <cx:f>_xlchart.v1.144</cx:f>
      </cx:numDim>
    </cx:data>
    <cx:data id="3">
      <cx:numDim type="val">
        <cx:f>_xlchart.v1.145</cx:f>
      </cx:numDim>
    </cx:data>
    <cx:data id="4">
      <cx:numDim type="val">
        <cx:f>_xlchart.v1.146</cx:f>
      </cx:numDim>
    </cx:data>
    <cx:data id="5">
      <cx:numDim type="val">
        <cx:f>_xlchart.v1.147</cx:f>
      </cx:numDim>
    </cx:data>
    <cx:data id="6">
      <cx:numDim type="val">
        <cx:f>_xlchart.v1.148</cx:f>
      </cx:numDim>
    </cx:data>
    <cx:data id="7">
      <cx:numDim type="val">
        <cx:f>_xlchart.v1.149</cx:f>
      </cx:numDim>
    </cx:data>
    <cx:data id="8">
      <cx:numDim type="val">
        <cx:f>_xlchart.v1.150</cx:f>
      </cx:numDim>
    </cx:data>
    <cx:data id="9">
      <cx:numDim type="val">
        <cx:f>_xlchart.v1.140</cx:f>
      </cx:numDim>
    </cx:data>
    <cx:data id="10">
      <cx:numDim type="val">
        <cx:f>_xlchart.v1.141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_xlchart.v1.154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_xlchart.v1.155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_xlchart.v1.156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_xlchart.v1.157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_xlchart.v1.158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_xlchart.v1.159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_xlchart.v1.160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_xlchart.v1.161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_xlchart.v1.151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_xlchart.v1.152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_xlchart.v1.153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in="0.93000000000000005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_xlchart.v1.185</cx:f>
      </cx:strDim>
      <cx:numDim type="val">
        <cx:f>_xlchart.v1.165</cx:f>
      </cx:numDim>
    </cx:data>
    <cx:data id="1">
      <cx:numDim type="val">
        <cx:f>_xlchart.v1.166</cx:f>
      </cx:numDim>
    </cx:data>
    <cx:data id="2">
      <cx:numDim type="val">
        <cx:f>_xlchart.v1.167</cx:f>
      </cx:numDim>
    </cx:data>
    <cx:data id="3">
      <cx:numDim type="val">
        <cx:f>_xlchart.v1.168</cx:f>
      </cx:numDim>
    </cx:data>
    <cx:data id="4">
      <cx:numDim type="val">
        <cx:f>_xlchart.v1.169</cx:f>
      </cx:numDim>
    </cx:data>
    <cx:data id="5">
      <cx:numDim type="val">
        <cx:f>_xlchart.v1.170</cx:f>
      </cx:numDim>
    </cx:data>
    <cx:data id="6">
      <cx:numDim type="val">
        <cx:f>_xlchart.v1.171</cx:f>
      </cx:numDim>
    </cx:data>
    <cx:data id="7">
      <cx:numDim type="val">
        <cx:f>_xlchart.v1.172</cx:f>
      </cx:numDim>
    </cx:data>
    <cx:data id="8">
      <cx:numDim type="val">
        <cx:f>_xlchart.v1.173</cx:f>
      </cx:numDim>
    </cx:data>
    <cx:data id="9">
      <cx:numDim type="val">
        <cx:f>_xlchart.v1.163</cx:f>
      </cx:numDim>
    </cx:data>
    <cx:data id="10">
      <cx:numDim type="val">
        <cx:f>_xlchart.v1.164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_xlchart.v1.177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_xlchart.v1.178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_xlchart.v1.179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_xlchart.v1.180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_xlchart.v1.181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_xlchart.v1.182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_xlchart.v1.183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_xlchart.v1.184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_xlchart.v1.174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_xlchart.v1.175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_xlchart.v1.176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in="0.95000000000000007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_xlchart.v1.137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_xlchart.v1.139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_xlchart.v1.133</cx:f>
              <cx:v>Ô_20</cx:v>
            </cx:txData>
          </cx:tx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_xlchart.v1.135</cx:f>
              <cx:v>OA_20</cx:v>
            </cx:txData>
          </cx:tx>
          <cx:dataId val="0"/>
          <cx:layoutPr>
            <cx:binning intervalClosed="r">
              <cx:binCount val="6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_xlchart.v1.208</cx:f>
      </cx:strDim>
      <cx:numDim type="val">
        <cx:f>_xlchart.v1.188</cx:f>
      </cx:numDim>
    </cx:data>
    <cx:data id="1">
      <cx:numDim type="val">
        <cx:f>_xlchart.v1.189</cx:f>
      </cx:numDim>
    </cx:data>
    <cx:data id="2">
      <cx:numDim type="val">
        <cx:f>_xlchart.v1.190</cx:f>
      </cx:numDim>
    </cx:data>
    <cx:data id="3">
      <cx:numDim type="val">
        <cx:f>_xlchart.v1.191</cx:f>
      </cx:numDim>
    </cx:data>
    <cx:data id="4">
      <cx:numDim type="val">
        <cx:f>_xlchart.v1.192</cx:f>
      </cx:numDim>
    </cx:data>
    <cx:data id="5">
      <cx:numDim type="val">
        <cx:f>_xlchart.v1.193</cx:f>
      </cx:numDim>
    </cx:data>
    <cx:data id="6">
      <cx:numDim type="val">
        <cx:f>_xlchart.v1.194</cx:f>
      </cx:numDim>
    </cx:data>
    <cx:data id="7">
      <cx:numDim type="val">
        <cx:f>_xlchart.v1.195</cx:f>
      </cx:numDim>
    </cx:data>
    <cx:data id="8">
      <cx:numDim type="val">
        <cx:f>_xlchart.v1.196</cx:f>
      </cx:numDim>
    </cx:data>
    <cx:data id="9">
      <cx:numDim type="val">
        <cx:f>_xlchart.v1.186</cx:f>
      </cx:numDim>
    </cx:data>
    <cx:data id="10">
      <cx:numDim type="val">
        <cx:f>_xlchart.v1.187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_xlchart.v1.200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_xlchart.v1.201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_xlchart.v1.202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_xlchart.v1.203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_xlchart.v1.204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_xlchart.v1.205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_xlchart.v1.206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_xlchart.v1.207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_xlchart.v1.197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_xlchart.v1.198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_xlchart.v1.199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ax="0.93500000000000005" min="0.90500000000000003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_xlchart.v1.231</cx:f>
      </cx:strDim>
      <cx:numDim type="val">
        <cx:f>_xlchart.v1.211</cx:f>
      </cx:numDim>
    </cx:data>
    <cx:data id="1">
      <cx:numDim type="val">
        <cx:f>_xlchart.v1.212</cx:f>
      </cx:numDim>
    </cx:data>
    <cx:data id="2">
      <cx:numDim type="val">
        <cx:f>_xlchart.v1.213</cx:f>
      </cx:numDim>
    </cx:data>
    <cx:data id="3">
      <cx:numDim type="val">
        <cx:f>_xlchart.v1.214</cx:f>
      </cx:numDim>
    </cx:data>
    <cx:data id="4">
      <cx:numDim type="val">
        <cx:f>_xlchart.v1.215</cx:f>
      </cx:numDim>
    </cx:data>
    <cx:data id="5">
      <cx:numDim type="val">
        <cx:f>_xlchart.v1.216</cx:f>
      </cx:numDim>
    </cx:data>
    <cx:data id="6">
      <cx:numDim type="val">
        <cx:f>_xlchart.v1.217</cx:f>
      </cx:numDim>
    </cx:data>
    <cx:data id="7">
      <cx:numDim type="val">
        <cx:f>_xlchart.v1.218</cx:f>
      </cx:numDim>
    </cx:data>
    <cx:data id="8">
      <cx:numDim type="val">
        <cx:f>_xlchart.v1.219</cx:f>
      </cx:numDim>
    </cx:data>
    <cx:data id="9">
      <cx:numDim type="val">
        <cx:f>_xlchart.v1.209</cx:f>
      </cx:numDim>
    </cx:data>
    <cx:data id="10">
      <cx:numDim type="val">
        <cx:f>_xlchart.v1.210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_xlchart.v1.223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_xlchart.v1.224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_xlchart.v1.225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_xlchart.v1.226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_xlchart.v1.227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_xlchart.v1.228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_xlchart.v1.229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_xlchart.v1.230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_xlchart.v1.220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_xlchart.v1.221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_xlchart.v1.222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 min="0.93000000000000005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_xlchart.v1.233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_xlchart.v1.239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_xlchart.v1.237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_xlchart.v1.235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_xlchart.v1.293</cx:f>
      </cx:strDim>
      <cx:numDim type="val">
        <cx:f>_xlchart.v1.273</cx:f>
      </cx:numDim>
    </cx:data>
    <cx:data id="1">
      <cx:numDim type="val">
        <cx:f>_xlchart.v1.274</cx:f>
      </cx:numDim>
    </cx:data>
    <cx:data id="2">
      <cx:numDim type="val">
        <cx:f>_xlchart.v1.275</cx:f>
      </cx:numDim>
    </cx:data>
    <cx:data id="3">
      <cx:numDim type="val">
        <cx:f>_xlchart.v1.276</cx:f>
      </cx:numDim>
    </cx:data>
    <cx:data id="4">
      <cx:numDim type="val">
        <cx:f>_xlchart.v1.277</cx:f>
      </cx:numDim>
    </cx:data>
    <cx:data id="5">
      <cx:numDim type="val">
        <cx:f>_xlchart.v1.278</cx:f>
      </cx:numDim>
    </cx:data>
    <cx:data id="6">
      <cx:numDim type="val">
        <cx:f>_xlchart.v1.279</cx:f>
      </cx:numDim>
    </cx:data>
    <cx:data id="7">
      <cx:numDim type="val">
        <cx:f>_xlchart.v1.280</cx:f>
      </cx:numDim>
    </cx:data>
    <cx:data id="8">
      <cx:numDim type="val">
        <cx:f>_xlchart.v1.281</cx:f>
      </cx:numDim>
    </cx:data>
    <cx:data id="9">
      <cx:numDim type="val">
        <cx:f>_xlchart.v1.271</cx:f>
      </cx:numDim>
    </cx:data>
    <cx:data id="10">
      <cx:numDim type="val">
        <cx:f>_xlchart.v1.272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_xlchart.v1.285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_xlchart.v1.286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_xlchart.v1.287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_xlchart.v1.288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_xlchart.v1.289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_xlchart.v1.290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_xlchart.v1.291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_xlchart.v1.292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_xlchart.v1.282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_xlchart.v1.283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_xlchart.v1.284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_xlchart.v1.268</cx:f>
      </cx:strDim>
      <cx:numDim type="val">
        <cx:f>_xlchart.v1.248</cx:f>
      </cx:numDim>
    </cx:data>
    <cx:data id="1">
      <cx:numDim type="val">
        <cx:f>_xlchart.v1.249</cx:f>
      </cx:numDim>
    </cx:data>
    <cx:data id="2">
      <cx:numDim type="val">
        <cx:f>_xlchart.v1.250</cx:f>
      </cx:numDim>
    </cx:data>
    <cx:data id="3">
      <cx:numDim type="val">
        <cx:f>_xlchart.v1.251</cx:f>
      </cx:numDim>
    </cx:data>
    <cx:data id="4">
      <cx:numDim type="val">
        <cx:f>_xlchart.v1.252</cx:f>
      </cx:numDim>
    </cx:data>
    <cx:data id="5">
      <cx:numDim type="val">
        <cx:f>_xlchart.v1.253</cx:f>
      </cx:numDim>
    </cx:data>
    <cx:data id="6">
      <cx:numDim type="val">
        <cx:f>_xlchart.v1.254</cx:f>
      </cx:numDim>
    </cx:data>
    <cx:data id="7">
      <cx:numDim type="val">
        <cx:f>_xlchart.v1.255</cx:f>
      </cx:numDim>
    </cx:data>
    <cx:data id="8">
      <cx:numDim type="val">
        <cx:f>_xlchart.v1.256</cx:f>
      </cx:numDim>
    </cx:data>
    <cx:data id="9">
      <cx:numDim type="val">
        <cx:f>_xlchart.v1.246</cx:f>
      </cx:numDim>
    </cx:data>
    <cx:data id="10">
      <cx:numDim type="val">
        <cx:f>_xlchart.v1.247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_xlchart.v1.260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_xlchart.v1.261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_xlchart.v1.262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_xlchart.v1.263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_xlchart.v1.264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_xlchart.v1.265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_xlchart.v1.266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_xlchart.v1.267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_xlchart.v1.257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_xlchart.v1.258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_xlchart.v1.259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2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_xlchart.v1.243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_xlchart.v1.241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2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_xlchart.v1.270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_xlchart.v1.245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_xlchart.v1.347</cx:f>
      </cx:strDim>
      <cx:numDim type="val">
        <cx:f>_xlchart.v1.327</cx:f>
      </cx:numDim>
    </cx:data>
    <cx:data id="1">
      <cx:numDim type="val">
        <cx:f>_xlchart.v1.328</cx:f>
      </cx:numDim>
    </cx:data>
    <cx:data id="2">
      <cx:numDim type="val">
        <cx:f>_xlchart.v1.329</cx:f>
      </cx:numDim>
    </cx:data>
    <cx:data id="3">
      <cx:numDim type="val">
        <cx:f>_xlchart.v1.330</cx:f>
      </cx:numDim>
    </cx:data>
    <cx:data id="4">
      <cx:numDim type="val">
        <cx:f>_xlchart.v1.331</cx:f>
      </cx:numDim>
    </cx:data>
    <cx:data id="5">
      <cx:numDim type="val">
        <cx:f>_xlchart.v1.332</cx:f>
      </cx:numDim>
    </cx:data>
    <cx:data id="6">
      <cx:numDim type="val">
        <cx:f>_xlchart.v1.333</cx:f>
      </cx:numDim>
    </cx:data>
    <cx:data id="7">
      <cx:numDim type="val">
        <cx:f>_xlchart.v1.334</cx:f>
      </cx:numDim>
    </cx:data>
    <cx:data id="8">
      <cx:numDim type="val">
        <cx:f>_xlchart.v1.335</cx:f>
      </cx:numDim>
    </cx:data>
    <cx:data id="9">
      <cx:numDim type="val">
        <cx:f>_xlchart.v1.325</cx:f>
      </cx:numDim>
    </cx:data>
    <cx:data id="10">
      <cx:numDim type="val">
        <cx:f>_xlchart.v1.326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_xlchart.v1.339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_xlchart.v1.340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_xlchart.v1.341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_xlchart.v1.342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_xlchart.v1.343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_xlchart.v1.344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_xlchart.v1.345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_xlchart.v1.346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_xlchart.v1.336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_xlchart.v1.337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_xlchart.v1.338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_xlchart.v1.324</cx:f>
      </cx:strDim>
      <cx:numDim type="val">
        <cx:f>_xlchart.v1.304</cx:f>
      </cx:numDim>
    </cx:data>
    <cx:data id="1">
      <cx:numDim type="val">
        <cx:f>_xlchart.v1.305</cx:f>
      </cx:numDim>
    </cx:data>
    <cx:data id="2">
      <cx:numDim type="val">
        <cx:f>_xlchart.v1.306</cx:f>
      </cx:numDim>
    </cx:data>
    <cx:data id="3">
      <cx:numDim type="val">
        <cx:f>_xlchart.v1.307</cx:f>
      </cx:numDim>
    </cx:data>
    <cx:data id="4">
      <cx:numDim type="val">
        <cx:f>_xlchart.v1.308</cx:f>
      </cx:numDim>
    </cx:data>
    <cx:data id="5">
      <cx:numDim type="val">
        <cx:f>_xlchart.v1.309</cx:f>
      </cx:numDim>
    </cx:data>
    <cx:data id="6">
      <cx:numDim type="val">
        <cx:f>_xlchart.v1.310</cx:f>
      </cx:numDim>
    </cx:data>
    <cx:data id="7">
      <cx:numDim type="val">
        <cx:f>_xlchart.v1.311</cx:f>
      </cx:numDim>
    </cx:data>
    <cx:data id="8">
      <cx:numDim type="val">
        <cx:f>_xlchart.v1.312</cx:f>
      </cx:numDim>
    </cx:data>
    <cx:data id="9">
      <cx:numDim type="val">
        <cx:f>_xlchart.v1.302</cx:f>
      </cx:numDim>
    </cx:data>
    <cx:data id="10">
      <cx:numDim type="val">
        <cx:f>_xlchart.v1.303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_xlchart.v1.316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_xlchart.v1.317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_xlchart.v1.318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_xlchart.v1.319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_xlchart.v1.320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_xlchart.v1.321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_xlchart.v1.322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_xlchart.v1.323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_xlchart.v1.313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_xlchart.v1.314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_xlchart.v1.315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3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_xlchart.v1.299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_xlchart.v1.295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_xlchart.v1.300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_xlchart.v1.301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_xlchart.v1.297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_xlchart.v1.393</cx:f>
      </cx:strDim>
      <cx:numDim type="val">
        <cx:f>_xlchart.v1.373</cx:f>
      </cx:numDim>
    </cx:data>
    <cx:data id="1">
      <cx:numDim type="val">
        <cx:f>_xlchart.v1.374</cx:f>
      </cx:numDim>
    </cx:data>
    <cx:data id="2">
      <cx:numDim type="val">
        <cx:f>_xlchart.v1.375</cx:f>
      </cx:numDim>
    </cx:data>
    <cx:data id="3">
      <cx:numDim type="val">
        <cx:f>_xlchart.v1.376</cx:f>
      </cx:numDim>
    </cx:data>
    <cx:data id="4">
      <cx:numDim type="val">
        <cx:f>_xlchart.v1.377</cx:f>
      </cx:numDim>
    </cx:data>
    <cx:data id="5">
      <cx:numDim type="val">
        <cx:f>_xlchart.v1.378</cx:f>
      </cx:numDim>
    </cx:data>
    <cx:data id="6">
      <cx:numDim type="val">
        <cx:f>_xlchart.v1.379</cx:f>
      </cx:numDim>
    </cx:data>
    <cx:data id="7">
      <cx:numDim type="val">
        <cx:f>_xlchart.v1.380</cx:f>
      </cx:numDim>
    </cx:data>
    <cx:data id="8">
      <cx:numDim type="val">
        <cx:f>_xlchart.v1.381</cx:f>
      </cx:numDim>
    </cx:data>
    <cx:data id="9">
      <cx:numDim type="val">
        <cx:f>_xlchart.v1.371</cx:f>
      </cx:numDim>
    </cx:data>
    <cx:data id="10">
      <cx:numDim type="val">
        <cx:f>_xlchart.v1.372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_xlchart.v1.385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_xlchart.v1.386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_xlchart.v1.387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_xlchart.v1.388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_xlchart.v1.389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_xlchart.v1.390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_xlchart.v1.391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_xlchart.v1.392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_xlchart.v1.382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_xlchart.v1.383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_xlchart.v1.384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3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_xlchart.v1.370</cx:f>
      </cx:strDim>
      <cx:numDim type="val">
        <cx:f>_xlchart.v1.350</cx:f>
      </cx:numDim>
    </cx:data>
    <cx:data id="1">
      <cx:numDim type="val">
        <cx:f>_xlchart.v1.351</cx:f>
      </cx:numDim>
    </cx:data>
    <cx:data id="2">
      <cx:numDim type="val">
        <cx:f>_xlchart.v1.352</cx:f>
      </cx:numDim>
    </cx:data>
    <cx:data id="3">
      <cx:numDim type="val">
        <cx:f>_xlchart.v1.353</cx:f>
      </cx:numDim>
    </cx:data>
    <cx:data id="4">
      <cx:numDim type="val">
        <cx:f>_xlchart.v1.354</cx:f>
      </cx:numDim>
    </cx:data>
    <cx:data id="5">
      <cx:numDim type="val">
        <cx:f>_xlchart.v1.355</cx:f>
      </cx:numDim>
    </cx:data>
    <cx:data id="6">
      <cx:numDim type="val">
        <cx:f>_xlchart.v1.356</cx:f>
      </cx:numDim>
    </cx:data>
    <cx:data id="7">
      <cx:numDim type="val">
        <cx:f>_xlchart.v1.357</cx:f>
      </cx:numDim>
    </cx:data>
    <cx:data id="8">
      <cx:numDim type="val">
        <cx:f>_xlchart.v1.358</cx:f>
      </cx:numDim>
    </cx:data>
    <cx:data id="9">
      <cx:numDim type="val">
        <cx:f>_xlchart.v1.348</cx:f>
      </cx:numDim>
    </cx:data>
    <cx:data id="10">
      <cx:numDim type="val">
        <cx:f>_xlchart.v1.349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_xlchart.v1.362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_xlchart.v1.363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_xlchart.v1.364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_xlchart.v1.365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_xlchart.v1.366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_xlchart.v1.367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_xlchart.v1.368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_xlchart.v1.369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_xlchart.v1.359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_xlchart.v1.360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_xlchart.v1.361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3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_xlchart.v1.395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_xlchart.v1.397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_xlchart.v1.399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_xlchart.v1.401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_xlchart.v1.449</cx:f>
      </cx:strDim>
      <cx:numDim type="val">
        <cx:f>_xlchart.v1.429</cx:f>
      </cx:numDim>
    </cx:data>
    <cx:data id="1">
      <cx:numDim type="val">
        <cx:f>_xlchart.v1.430</cx:f>
      </cx:numDim>
    </cx:data>
    <cx:data id="2">
      <cx:numDim type="val">
        <cx:f>_xlchart.v1.431</cx:f>
      </cx:numDim>
    </cx:data>
    <cx:data id="3">
      <cx:numDim type="val">
        <cx:f>_xlchart.v1.432</cx:f>
      </cx:numDim>
    </cx:data>
    <cx:data id="4">
      <cx:numDim type="val">
        <cx:f>_xlchart.v1.433</cx:f>
      </cx:numDim>
    </cx:data>
    <cx:data id="5">
      <cx:numDim type="val">
        <cx:f>_xlchart.v1.434</cx:f>
      </cx:numDim>
    </cx:data>
    <cx:data id="6">
      <cx:numDim type="val">
        <cx:f>_xlchart.v1.435</cx:f>
      </cx:numDim>
    </cx:data>
    <cx:data id="7">
      <cx:numDim type="val">
        <cx:f>_xlchart.v1.436</cx:f>
      </cx:numDim>
    </cx:data>
    <cx:data id="8">
      <cx:numDim type="val">
        <cx:f>_xlchart.v1.437</cx:f>
      </cx:numDim>
    </cx:data>
    <cx:data id="9">
      <cx:numDim type="val">
        <cx:f>_xlchart.v1.427</cx:f>
      </cx:numDim>
    </cx:data>
    <cx:data id="10">
      <cx:numDim type="val">
        <cx:f>_xlchart.v1.428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_xlchart.v1.441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_xlchart.v1.442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_xlchart.v1.443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_xlchart.v1.444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_xlchart.v1.445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_xlchart.v1.446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_xlchart.v1.447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_xlchart.v1.448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_xlchart.v1.438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_xlchart.v1.439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_xlchart.v1.440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_xlchart.v1.426</cx:f>
      </cx:strDim>
      <cx:numDim type="val">
        <cx:f>_xlchart.v1.406</cx:f>
      </cx:numDim>
    </cx:data>
    <cx:data id="1">
      <cx:numDim type="val">
        <cx:f>_xlchart.v1.407</cx:f>
      </cx:numDim>
    </cx:data>
    <cx:data id="2">
      <cx:numDim type="val">
        <cx:f>_xlchart.v1.408</cx:f>
      </cx:numDim>
    </cx:data>
    <cx:data id="3">
      <cx:numDim type="val">
        <cx:f>_xlchart.v1.409</cx:f>
      </cx:numDim>
    </cx:data>
    <cx:data id="4">
      <cx:numDim type="val">
        <cx:f>_xlchart.v1.410</cx:f>
      </cx:numDim>
    </cx:data>
    <cx:data id="5">
      <cx:numDim type="val">
        <cx:f>_xlchart.v1.411</cx:f>
      </cx:numDim>
    </cx:data>
    <cx:data id="6">
      <cx:numDim type="val">
        <cx:f>_xlchart.v1.412</cx:f>
      </cx:numDim>
    </cx:data>
    <cx:data id="7">
      <cx:numDim type="val">
        <cx:f>_xlchart.v1.413</cx:f>
      </cx:numDim>
    </cx:data>
    <cx:data id="8">
      <cx:numDim type="val">
        <cx:f>_xlchart.v1.414</cx:f>
      </cx:numDim>
    </cx:data>
    <cx:data id="9">
      <cx:numDim type="val">
        <cx:f>_xlchart.v1.404</cx:f>
      </cx:numDim>
    </cx:data>
    <cx:data id="10">
      <cx:numDim type="val">
        <cx:f>_xlchart.v1.405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_xlchart.v1.418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_xlchart.v1.419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_xlchart.v1.420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_xlchart.v1.421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_xlchart.v1.422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_xlchart.v1.423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_xlchart.v1.424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_xlchart.v1.425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_xlchart.v1.415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_xlchart.v1.416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_xlchart.v1.417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4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_xlchart.v1.451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_xlchart.v1.453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_xlchart.v1.403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_xlchart.v1.455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4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_xlchart.v1.505</cx:f>
      </cx:strDim>
      <cx:numDim type="val">
        <cx:f>_xlchart.v1.485</cx:f>
      </cx:numDim>
    </cx:data>
    <cx:data id="1">
      <cx:numDim type="val">
        <cx:f>_xlchart.v1.486</cx:f>
      </cx:numDim>
    </cx:data>
    <cx:data id="2">
      <cx:numDim type="val">
        <cx:f>_xlchart.v1.487</cx:f>
      </cx:numDim>
    </cx:data>
    <cx:data id="3">
      <cx:numDim type="val">
        <cx:f>_xlchart.v1.488</cx:f>
      </cx:numDim>
    </cx:data>
    <cx:data id="4">
      <cx:numDim type="val">
        <cx:f>_xlchart.v1.489</cx:f>
      </cx:numDim>
    </cx:data>
    <cx:data id="5">
      <cx:numDim type="val">
        <cx:f>_xlchart.v1.490</cx:f>
      </cx:numDim>
    </cx:data>
    <cx:data id="6">
      <cx:numDim type="val">
        <cx:f>_xlchart.v1.491</cx:f>
      </cx:numDim>
    </cx:data>
    <cx:data id="7">
      <cx:numDim type="val">
        <cx:f>_xlchart.v1.492</cx:f>
      </cx:numDim>
    </cx:data>
    <cx:data id="8">
      <cx:numDim type="val">
        <cx:f>_xlchart.v1.493</cx:f>
      </cx:numDim>
    </cx:data>
    <cx:data id="9">
      <cx:numDim type="val">
        <cx:f>_xlchart.v1.483</cx:f>
      </cx:numDim>
    </cx:data>
    <cx:data id="10">
      <cx:numDim type="val">
        <cx:f>_xlchart.v1.484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_xlchart.v1.497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_xlchart.v1.498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_xlchart.v1.499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_xlchart.v1.500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_xlchart.v1.501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_xlchart.v1.502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_xlchart.v1.503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_xlchart.v1.504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_xlchart.v1.494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_xlchart.v1.495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_xlchart.v1.496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_xlchart.v1.478</cx:f>
      </cx:strDim>
      <cx:numDim type="val">
        <cx:f>_xlchart.v1.458</cx:f>
      </cx:numDim>
    </cx:data>
    <cx:data id="1">
      <cx:numDim type="val">
        <cx:f>_xlchart.v1.459</cx:f>
      </cx:numDim>
    </cx:data>
    <cx:data id="2">
      <cx:numDim type="val">
        <cx:f>_xlchart.v1.460</cx:f>
      </cx:numDim>
    </cx:data>
    <cx:data id="3">
      <cx:numDim type="val">
        <cx:f>_xlchart.v1.461</cx:f>
      </cx:numDim>
    </cx:data>
    <cx:data id="4">
      <cx:numDim type="val">
        <cx:f>_xlchart.v1.462</cx:f>
      </cx:numDim>
    </cx:data>
    <cx:data id="5">
      <cx:numDim type="val">
        <cx:f>_xlchart.v1.463</cx:f>
      </cx:numDim>
    </cx:data>
    <cx:data id="6">
      <cx:numDim type="val">
        <cx:f>_xlchart.v1.464</cx:f>
      </cx:numDim>
    </cx:data>
    <cx:data id="7">
      <cx:numDim type="val">
        <cx:f>_xlchart.v1.465</cx:f>
      </cx:numDim>
    </cx:data>
    <cx:data id="8">
      <cx:numDim type="val">
        <cx:f>_xlchart.v1.466</cx:f>
      </cx:numDim>
    </cx:data>
    <cx:data id="9">
      <cx:numDim type="val">
        <cx:f>_xlchart.v1.456</cx:f>
      </cx:numDim>
    </cx:data>
    <cx:data id="10">
      <cx:numDim type="val">
        <cx:f>_xlchart.v1.457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_xlchart.v1.470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_xlchart.v1.471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_xlchart.v1.472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_xlchart.v1.473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_xlchart.v1.474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_xlchart.v1.475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_xlchart.v1.476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_xlchart.v1.477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_xlchart.v1.467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_xlchart.v1.468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_xlchart.v1.469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5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_xlchart.v1.480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_xlchart.v1.481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_xlchart.v1.482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_xlchart.v1.508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_xlchart.v1.509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_xlchart.v1.506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_xlchart.v1.507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_xlchart.v1.540</cx:f>
      </cx:strDim>
      <cx:numDim type="val">
        <cx:f>_xlchart.v1.520</cx:f>
      </cx:numDim>
    </cx:data>
    <cx:data id="1">
      <cx:numDim type="val">
        <cx:f>_xlchart.v1.521</cx:f>
      </cx:numDim>
    </cx:data>
    <cx:data id="2">
      <cx:numDim type="val">
        <cx:f>_xlchart.v1.522</cx:f>
      </cx:numDim>
    </cx:data>
    <cx:data id="3">
      <cx:numDim type="val">
        <cx:f>_xlchart.v1.523</cx:f>
      </cx:numDim>
    </cx:data>
    <cx:data id="4">
      <cx:numDim type="val">
        <cx:f>_xlchart.v1.524</cx:f>
      </cx:numDim>
    </cx:data>
    <cx:data id="5">
      <cx:numDim type="val">
        <cx:f>_xlchart.v1.525</cx:f>
      </cx:numDim>
    </cx:data>
    <cx:data id="6">
      <cx:numDim type="val">
        <cx:f>_xlchart.v1.526</cx:f>
      </cx:numDim>
    </cx:data>
    <cx:data id="7">
      <cx:numDim type="val">
        <cx:f>_xlchart.v1.527</cx:f>
      </cx:numDim>
    </cx:data>
    <cx:data id="8">
      <cx:numDim type="val">
        <cx:f>_xlchart.v1.528</cx:f>
      </cx:numDim>
    </cx:data>
    <cx:data id="9">
      <cx:numDim type="val">
        <cx:f>_xlchart.v1.518</cx:f>
      </cx:numDim>
    </cx:data>
    <cx:data id="10">
      <cx:numDim type="val">
        <cx:f>_xlchart.v1.519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_xlchart.v1.532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_xlchart.v1.533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_xlchart.v1.534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_xlchart.v1.535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_xlchart.v1.536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_xlchart.v1.537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_xlchart.v1.538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_xlchart.v1.539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_xlchart.v1.529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_xlchart.v1.530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_xlchart.v1.531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_xlchart.v1.563</cx:f>
      </cx:strDim>
      <cx:numDim type="val">
        <cx:f>_xlchart.v1.543</cx:f>
      </cx:numDim>
    </cx:data>
    <cx:data id="1">
      <cx:numDim type="val">
        <cx:f>_xlchart.v1.544</cx:f>
      </cx:numDim>
    </cx:data>
    <cx:data id="2">
      <cx:numDim type="val">
        <cx:f>_xlchart.v1.545</cx:f>
      </cx:numDim>
    </cx:data>
    <cx:data id="3">
      <cx:numDim type="val">
        <cx:f>_xlchart.v1.546</cx:f>
      </cx:numDim>
    </cx:data>
    <cx:data id="4">
      <cx:numDim type="val">
        <cx:f>_xlchart.v1.547</cx:f>
      </cx:numDim>
    </cx:data>
    <cx:data id="5">
      <cx:numDim type="val">
        <cx:f>_xlchart.v1.548</cx:f>
      </cx:numDim>
    </cx:data>
    <cx:data id="6">
      <cx:numDim type="val">
        <cx:f>_xlchart.v1.549</cx:f>
      </cx:numDim>
    </cx:data>
    <cx:data id="7">
      <cx:numDim type="val">
        <cx:f>_xlchart.v1.550</cx:f>
      </cx:numDim>
    </cx:data>
    <cx:data id="8">
      <cx:numDim type="val">
        <cx:f>_xlchart.v1.551</cx:f>
      </cx:numDim>
    </cx:data>
    <cx:data id="9">
      <cx:numDim type="val">
        <cx:f>_xlchart.v1.541</cx:f>
      </cx:numDim>
    </cx:data>
    <cx:data id="10">
      <cx:numDim type="val">
        <cx:f>_xlchart.v1.542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_xlchart.v1.555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_xlchart.v1.556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_xlchart.v1.557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_xlchart.v1.558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_xlchart.v1.559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_xlchart.v1.560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_xlchart.v1.561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_xlchart.v1.562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_xlchart.v1.552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_xlchart.v1.553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_xlchart.v1.554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5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_xlchart.v1.511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_xlchart.v1.513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5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_xlchart.v1.515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_xlchart.v1.517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_xlchart.v1.586</cx:f>
      </cx:strDim>
      <cx:numDim type="val">
        <cx:f>_xlchart.v1.566</cx:f>
      </cx:numDim>
    </cx:data>
    <cx:data id="1">
      <cx:numDim type="val">
        <cx:f>_xlchart.v1.567</cx:f>
      </cx:numDim>
    </cx:data>
    <cx:data id="2">
      <cx:numDim type="val">
        <cx:f>_xlchart.v1.568</cx:f>
      </cx:numDim>
    </cx:data>
    <cx:data id="3">
      <cx:numDim type="val">
        <cx:f>_xlchart.v1.569</cx:f>
      </cx:numDim>
    </cx:data>
    <cx:data id="4">
      <cx:numDim type="val">
        <cx:f>_xlchart.v1.570</cx:f>
      </cx:numDim>
    </cx:data>
    <cx:data id="5">
      <cx:numDim type="val">
        <cx:f>_xlchart.v1.571</cx:f>
      </cx:numDim>
    </cx:data>
    <cx:data id="6">
      <cx:numDim type="val">
        <cx:f>_xlchart.v1.572</cx:f>
      </cx:numDim>
    </cx:data>
    <cx:data id="7">
      <cx:numDim type="val">
        <cx:f>_xlchart.v1.573</cx:f>
      </cx:numDim>
    </cx:data>
    <cx:data id="8">
      <cx:numDim type="val">
        <cx:f>_xlchart.v1.574</cx:f>
      </cx:numDim>
    </cx:data>
    <cx:data id="9">
      <cx:numDim type="val">
        <cx:f>_xlchart.v1.564</cx:f>
      </cx:numDim>
    </cx:data>
    <cx:data id="10">
      <cx:numDim type="val">
        <cx:f>_xlchart.v1.565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_xlchart.v1.578</cx:f>
              <cx:v>OA_5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_xlchart.v1.579</cx:f>
              <cx:v>OA_10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_xlchart.v1.580</cx:f>
              <cx:v>OA_20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_xlchart.v1.581</cx:f>
              <cx:v>OA_30</cx:v>
            </cx:txData>
          </cx:tx>
          <cx:dataId val="3"/>
          <cx:layoutPr>
            <cx:statistics quartileMethod="exclusive"/>
          </cx:layoutPr>
        </cx:series>
        <cx:series layoutId="boxWhisker" uniqueId="{00000006-CC7C-4F33-8FE2-34C9BAE9EEF0}" formatIdx="7">
          <cx:tx>
            <cx:txData>
              <cx:f>_xlchart.v1.582</cx:f>
              <cx:v>OA_40</cx:v>
            </cx:txData>
          </cx:tx>
          <cx:dataId val="4"/>
          <cx:layoutPr>
            <cx:statistics quartileMethod="exclusive"/>
          </cx:layoutPr>
        </cx:series>
        <cx:series layoutId="boxWhisker" uniqueId="{00000008-CC7C-4F33-8FE2-34C9BAE9EEF0}" formatIdx="9">
          <cx:tx>
            <cx:txData>
              <cx:f>_xlchart.v1.583</cx:f>
              <cx:v>OA_50</cx:v>
            </cx:txData>
          </cx:tx>
          <cx:dataId val="5"/>
          <cx:layoutPr>
            <cx:statistics quartileMethod="exclusive"/>
          </cx:layoutPr>
        </cx:series>
        <cx:series layoutId="boxWhisker" uniqueId="{0000000A-CC7C-4F33-8FE2-34C9BAE9EEF0}" formatIdx="2">
          <cx:tx>
            <cx:txData>
              <cx:f>_xlchart.v1.584</cx:f>
              <cx:v>OA_60</cx:v>
            </cx:txData>
          </cx:tx>
          <cx:dataId val="6"/>
          <cx:layoutPr>
            <cx:statistics quartileMethod="exclusive"/>
          </cx:layoutPr>
        </cx:series>
        <cx:series layoutId="boxWhisker" uniqueId="{0000000B-CC7C-4F33-8FE2-34C9BAE9EEF0}" formatIdx="4">
          <cx:tx>
            <cx:txData>
              <cx:f>_xlchart.v1.585</cx:f>
              <cx:v>OA_70</cx:v>
            </cx:txData>
          </cx:tx>
          <cx:dataId val="7"/>
          <cx:layoutPr>
            <cx:statistics quartileMethod="exclusive"/>
          </cx:layoutPr>
        </cx:series>
        <cx:series layoutId="boxWhisker" uniqueId="{0000000C-CC7C-4F33-8FE2-34C9BAE9EEF0}" formatIdx="6">
          <cx:tx>
            <cx:txData>
              <cx:f>_xlchart.v1.575</cx:f>
              <cx:v>OA_80</cx:v>
            </cx:txData>
          </cx:tx>
          <cx:dataId val="8"/>
          <cx:layoutPr>
            <cx:statistics quartileMethod="exclusive"/>
          </cx:layoutPr>
        </cx:series>
        <cx:series layoutId="boxWhisker" uniqueId="{0000000D-CC7C-4F33-8FE2-34C9BAE9EEF0}" formatIdx="8">
          <cx:tx>
            <cx:txData>
              <cx:f>_xlchart.v1.576</cx:f>
              <cx:v>OA_90</cx:v>
            </cx:txData>
          </cx:tx>
          <cx:dataId val="9"/>
          <cx:layoutPr>
            <cx:statistics quartileMethod="exclusive"/>
          </cx:layoutPr>
        </cx:series>
        <cx:series layoutId="boxWhisker" uniqueId="{0000000E-CC7C-4F33-8FE2-34C9BAE9EEF0}" formatIdx="10">
          <cx:tx>
            <cx:txData>
              <cx:f>_xlchart.v1.577</cx:f>
              <cx:v>OA_100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_xlchart.v1.615</cx:f>
      </cx:strDim>
      <cx:numDim type="val">
        <cx:f>_xlchart.v1.595</cx:f>
      </cx:numDim>
    </cx:data>
    <cx:data id="1">
      <cx:numDim type="val">
        <cx:f>_xlchart.v1.596</cx:f>
      </cx:numDim>
    </cx:data>
    <cx:data id="2">
      <cx:numDim type="val">
        <cx:f>_xlchart.v1.597</cx:f>
      </cx:numDim>
    </cx:data>
    <cx:data id="3">
      <cx:numDim type="val">
        <cx:f>_xlchart.v1.598</cx:f>
      </cx:numDim>
    </cx:data>
    <cx:data id="4">
      <cx:numDim type="val">
        <cx:f>_xlchart.v1.599</cx:f>
      </cx:numDim>
    </cx:data>
    <cx:data id="5">
      <cx:numDim type="val">
        <cx:f>_xlchart.v1.600</cx:f>
      </cx:numDim>
    </cx:data>
    <cx:data id="6">
      <cx:numDim type="val">
        <cx:f>_xlchart.v1.601</cx:f>
      </cx:numDim>
    </cx:data>
    <cx:data id="7">
      <cx:numDim type="val">
        <cx:f>_xlchart.v1.602</cx:f>
      </cx:numDim>
    </cx:data>
    <cx:data id="8">
      <cx:numDim type="val">
        <cx:f>_xlchart.v1.603</cx:f>
      </cx:numDim>
    </cx:data>
    <cx:data id="9">
      <cx:numDim type="val">
        <cx:f>_xlchart.v1.593</cx:f>
      </cx:numDim>
    </cx:data>
    <cx:data id="10">
      <cx:numDim type="val">
        <cx:f>_xlchart.v1.594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_xlchart.v1.607</cx:f>
              <cx:v>Ô_5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CC7C-4F33-8FE2-34C9BAE9EEF0}" formatIdx="1">
          <cx:tx>
            <cx:txData>
              <cx:f>_xlchart.v1.608</cx:f>
              <cx:v>Ô_10</cx:v>
            </cx:txData>
          </cx:tx>
          <cx:dataId val="1"/>
          <cx:layoutPr>
            <cx:statistics quartileMethod="exclusive"/>
          </cx:layoutPr>
        </cx:series>
        <cx:series layoutId="boxWhisker" uniqueId="{00000002-CC7C-4F33-8FE2-34C9BAE9EEF0}" formatIdx="3">
          <cx:tx>
            <cx:txData>
              <cx:f>_xlchart.v1.609</cx:f>
              <cx:v>Ô_20</cx:v>
            </cx:txData>
          </cx:tx>
          <cx:dataId val="2"/>
          <cx:layoutPr>
            <cx:statistics quartileMethod="exclusive"/>
          </cx:layoutPr>
        </cx:series>
        <cx:series layoutId="boxWhisker" uniqueId="{00000004-CC7C-4F33-8FE2-34C9BAE9EEF0}" formatIdx="5">
          <cx:tx>
            <cx:txData>
              <cx:f>_xlchart.v1.610</cx:f>
              <cx:v>Ô_30</cx:v>
            </cx:txData>
          </cx:tx>
          <cx:dataId val="3"/>
          <cx:layoutPr>
            <cx:statistics quartileMethod="exclusive"/>
          </cx:layoutPr>
        </cx:series>
        <cx:series layoutId="boxWhisker" uniqueId="{00000001-6C94-49BB-88D9-CCD3B605BB11}" formatIdx="7">
          <cx:tx>
            <cx:txData>
              <cx:f>_xlchart.v1.611</cx:f>
              <cx:v>Ô_40</cx:v>
            </cx:txData>
          </cx:tx>
          <cx:dataId val="4"/>
          <cx:layoutPr>
            <cx:statistics quartileMethod="exclusive"/>
          </cx:layoutPr>
        </cx:series>
        <cx:series layoutId="boxWhisker" uniqueId="{00000003-6C94-49BB-88D9-CCD3B605BB11}" formatIdx="9">
          <cx:tx>
            <cx:txData>
              <cx:f>_xlchart.v1.612</cx:f>
              <cx:v>Ô_50</cx:v>
            </cx:txData>
          </cx:tx>
          <cx:dataId val="5"/>
          <cx:layoutPr>
            <cx:statistics quartileMethod="exclusive"/>
          </cx:layoutPr>
        </cx:series>
        <cx:series layoutId="boxWhisker" uniqueId="{00000004-6C94-49BB-88D9-CCD3B605BB11}" formatIdx="2">
          <cx:tx>
            <cx:txData>
              <cx:f>_xlchart.v1.613</cx:f>
              <cx:v>Ô_60</cx:v>
            </cx:txData>
          </cx:tx>
          <cx:dataId val="6"/>
          <cx:layoutPr>
            <cx:statistics quartileMethod="exclusive"/>
          </cx:layoutPr>
        </cx:series>
        <cx:series layoutId="boxWhisker" uniqueId="{00000005-6C94-49BB-88D9-CCD3B605BB11}" formatIdx="4">
          <cx:tx>
            <cx:txData>
              <cx:f>_xlchart.v1.614</cx:f>
              <cx:v>Ô_70</cx:v>
            </cx:txData>
          </cx:tx>
          <cx:dataId val="7"/>
          <cx:layoutPr>
            <cx:statistics quartileMethod="exclusive"/>
          </cx:layoutPr>
        </cx:series>
        <cx:series layoutId="boxWhisker" uniqueId="{00000006-6C94-49BB-88D9-CCD3B605BB11}" formatIdx="6">
          <cx:tx>
            <cx:txData>
              <cx:f>_xlchart.v1.604</cx:f>
              <cx:v>Ô_80</cx:v>
            </cx:txData>
          </cx:tx>
          <cx:dataId val="8"/>
          <cx:layoutPr>
            <cx:statistics quartileMethod="exclusive"/>
          </cx:layoutPr>
        </cx:series>
        <cx:series layoutId="boxWhisker" uniqueId="{00000007-6C94-49BB-88D9-CCD3B605BB11}" formatIdx="8">
          <cx:tx>
            <cx:txData>
              <cx:f>_xlchart.v1.605</cx:f>
              <cx:v>Ô_90</cx:v>
            </cx:txData>
          </cx:tx>
          <cx:dataId val="9"/>
          <cx:layoutPr>
            <cx:statistics quartileMethod="exclusive"/>
          </cx:layoutPr>
        </cx:series>
        <cx:series layoutId="boxWhisker" uniqueId="{00000008-6C94-49BB-88D9-CCD3B605BB11}" formatIdx="10">
          <cx:tx>
            <cx:txData>
              <cx:f>_xlchart.v1.606</cx:f>
              <cx:v>Ô_100</cx:v>
            </cx:txData>
          </cx:tx>
          <cx:dataId val="10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6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_xlchart.v1.617</cx:f>
              <cx:v>OA_100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_xlchart.v1.587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_xlchart.v1.588</cx:f>
              <cx:v>Ô_100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_xlchart.v1.589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0-B768-450C-8392-A145049BC1CD}" formatIdx="0">
          <cx:tx>
            <cx:txData>
              <cx:f>_xlchart.v1.590</cx:f>
              <cx:v>Ô_20</cx:v>
            </cx:txData>
          </cx:tx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_xlchart.v1.591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GUE 1988 RF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Model Classification # Seeds Histogram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0000000E-CC7C-4F33-8FE2-34C9BAE9EEF0}" formatIdx="10">
          <cx:tx>
            <cx:txData>
              <cx:f>_xlchart.v1.592</cx:f>
              <cx:v>OA_20</cx:v>
            </cx:txData>
          </cx:tx>
          <cx:dataId val="0"/>
          <cx:layoutPr>
            <cx:binning intervalClosed="r">
              <cx:binCount val="7"/>
            </cx:binning>
          </cx:layoutPr>
        </cx:series>
      </cx:plotAreaRegion>
      <cx:axis id="0">
        <cx:catScaling gapWidth="0.0500000007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</cx:chartSpace>
</file>

<file path=xl/charts/chartEx6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_xlchart.v1.651</cx:f>
      </cx:strDim>
      <cx:numDim type="val">
        <cx:f>_xlchart.v1.657</cx:f>
      </cx:numDim>
    </cx:data>
    <cx:data id="1">
      <cx:numDim type="val">
        <cx:f>_xlchart.v1.658</cx:f>
      </cx:numDim>
    </cx:data>
    <cx:data id="2">
      <cx:numDim type="val">
        <cx:f>_xlchart.v1.659</cx:f>
      </cx:numDim>
    </cx:data>
    <cx:data id="3">
      <cx:numDim type="val">
        <cx:f>_xlchart.v1.660</cx:f>
      </cx:numDim>
    </cx:data>
    <cx:data id="4">
      <cx:numDim type="val">
        <cx:f>_xlchart.v1.661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RRB Eleven Epoch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SE[%]  for Class  0 / W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_xlchart.v1.652</cx:f>
              <cx:v>Mode RRB Acc. Der.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6C5A-419B-997C-EFC1C8FCD19D}">
          <cx:tx>
            <cx:txData>
              <cx:f>_xlchart.v1.653</cx:f>
              <cx:v>Mean RRB Px count</cx:v>
            </cx:txData>
          </cx:tx>
          <cx:dataId val="1"/>
          <cx:layoutPr>
            <cx:statistics quartileMethod="exclusive"/>
          </cx:layoutPr>
        </cx:series>
        <cx:series layoutId="boxWhisker" uniqueId="{00000001-6C5A-419B-997C-EFC1C8FCD19D}">
          <cx:tx>
            <cx:txData>
              <cx:f>_xlchart.v1.654</cx:f>
              <cx:v>Mean ACB_B Px count</cx:v>
            </cx:txData>
          </cx:tx>
          <cx:dataId val="2"/>
          <cx:layoutPr>
            <cx:statistics quartileMethod="exclusive"/>
          </cx:layoutPr>
        </cx:series>
        <cx:series layoutId="boxWhisker" uniqueId="{00000002-6C5A-419B-997C-EFC1C8FCD19D}">
          <cx:tx>
            <cx:txData>
              <cx:f>_xlchart.v1.655</cx:f>
              <cx:v>Mean RRB PA Px count</cx:v>
            </cx:txData>
          </cx:tx>
          <cx:dataId val="3"/>
          <cx:layoutPr>
            <cx:statistics quartileMethod="exclusive"/>
          </cx:layoutPr>
        </cx:series>
        <cx:series layoutId="boxWhisker" uniqueId="{00000003-6C5A-419B-997C-EFC1C8FCD19D}">
          <cx:tx>
            <cx:txData>
              <cx:f>_xlchart.v1.656</cx:f>
              <cx:v>Mean ACB_B PA Px count</cx:v>
            </cx:txData>
          </cx:tx>
          <cx:dataId val="4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#.##0,0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6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_xlchart.v1.618</cx:f>
      </cx:strDim>
      <cx:numDim type="val">
        <cx:f>_xlchart.v1.624</cx:f>
      </cx:numDim>
    </cx:data>
    <cx:data id="1">
      <cx:numDim type="val">
        <cx:f>_xlchart.v1.625</cx:f>
      </cx:numDim>
    </cx:data>
    <cx:data id="2">
      <cx:numDim type="val">
        <cx:f>_xlchart.v1.626</cx:f>
      </cx:numDim>
    </cx:data>
    <cx:data id="3">
      <cx:numDim type="val">
        <cx:f>_xlchart.v1.627</cx:f>
      </cx:numDim>
    </cx:data>
    <cx:data id="4">
      <cx:numDim type="val">
        <cx:f>_xlchart.v1.628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RRB Eleven Epoch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SE[%] for Class  1 / B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_xlchart.v1.619</cx:f>
              <cx:v>Mode RRB Acc. Der.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6C5A-419B-997C-EFC1C8FCD19D}">
          <cx:tx>
            <cx:txData>
              <cx:f>_xlchart.v1.620</cx:f>
              <cx:v>Mean RRB Px count</cx:v>
            </cx:txData>
          </cx:tx>
          <cx:dataId val="1"/>
          <cx:layoutPr>
            <cx:statistics quartileMethod="exclusive"/>
          </cx:layoutPr>
        </cx:series>
        <cx:series layoutId="boxWhisker" uniqueId="{00000001-6C5A-419B-997C-EFC1C8FCD19D}">
          <cx:tx>
            <cx:txData>
              <cx:f>_xlchart.v1.621</cx:f>
              <cx:v>Mean ACB_B Px count</cx:v>
            </cx:txData>
          </cx:tx>
          <cx:dataId val="2"/>
          <cx:layoutPr>
            <cx:statistics quartileMethod="exclusive"/>
          </cx:layoutPr>
        </cx:series>
        <cx:series layoutId="boxWhisker" uniqueId="{00000002-6C5A-419B-997C-EFC1C8FCD19D}">
          <cx:tx>
            <cx:txData>
              <cx:f>_xlchart.v1.622</cx:f>
              <cx:v>Mean RRB PA Px count</cx:v>
            </cx:txData>
          </cx:tx>
          <cx:dataId val="3"/>
          <cx:layoutPr>
            <cx:statistics quartileMethod="exclusive"/>
          </cx:layoutPr>
        </cx:series>
        <cx:series layoutId="boxWhisker" uniqueId="{00000003-6C5A-419B-997C-EFC1C8FCD19D}">
          <cx:tx>
            <cx:txData>
              <cx:f>_xlchart.v1.623</cx:f>
              <cx:v>Mean ACB_B PA Px count</cx:v>
            </cx:txData>
          </cx:tx>
          <cx:dataId val="4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6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_xlchart.v1.662</cx:f>
      </cx:strDim>
      <cx:numDim type="val">
        <cx:f>_xlchart.v1.668</cx:f>
      </cx:numDim>
    </cx:data>
    <cx:data id="1">
      <cx:numDim type="val">
        <cx:f>_xlchart.v1.669</cx:f>
      </cx:numDim>
    </cx:data>
    <cx:data id="2">
      <cx:numDim type="val">
        <cx:f>_xlchart.v1.670</cx:f>
      </cx:numDim>
    </cx:data>
    <cx:data id="3">
      <cx:numDim type="val">
        <cx:f>_xlchart.v1.671</cx:f>
      </cx:numDim>
    </cx:data>
    <cx:data id="4">
      <cx:numDim type="val">
        <cx:f>_xlchart.v1.672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RRB Eleven Epoch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SE[%] for Class  2 / A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_xlchart.v1.663</cx:f>
              <cx:v>Mode RRB Acc. Der.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6C5A-419B-997C-EFC1C8FCD19D}">
          <cx:tx>
            <cx:txData>
              <cx:f>_xlchart.v1.664</cx:f>
              <cx:v>Mean RRB Px count</cx:v>
            </cx:txData>
          </cx:tx>
          <cx:dataId val="1"/>
          <cx:layoutPr>
            <cx:statistics quartileMethod="exclusive"/>
          </cx:layoutPr>
        </cx:series>
        <cx:series layoutId="boxWhisker" uniqueId="{00000001-6C5A-419B-997C-EFC1C8FCD19D}">
          <cx:tx>
            <cx:txData>
              <cx:f>_xlchart.v1.665</cx:f>
              <cx:v>Mean ACB_B Px count</cx:v>
            </cx:txData>
          </cx:tx>
          <cx:dataId val="2"/>
          <cx:layoutPr>
            <cx:statistics quartileMethod="exclusive"/>
          </cx:layoutPr>
        </cx:series>
        <cx:series layoutId="boxWhisker" uniqueId="{00000002-6C5A-419B-997C-EFC1C8FCD19D}">
          <cx:tx>
            <cx:txData>
              <cx:f>_xlchart.v1.666</cx:f>
              <cx:v>Mean RRB PA Px count</cx:v>
            </cx:txData>
          </cx:tx>
          <cx:dataId val="3"/>
          <cx:layoutPr>
            <cx:statistics quartileMethod="exclusive"/>
          </cx:layoutPr>
        </cx:series>
        <cx:series layoutId="boxWhisker" uniqueId="{00000003-6C5A-419B-997C-EFC1C8FCD19D}">
          <cx:tx>
            <cx:txData>
              <cx:f>_xlchart.v1.667</cx:f>
              <cx:v>Mean ACB_B PA Px count</cx:v>
            </cx:txData>
          </cx:tx>
          <cx:dataId val="4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_xlchart.v1.629</cx:f>
      </cx:strDim>
      <cx:numDim type="val">
        <cx:f>_xlchart.v1.635</cx:f>
      </cx:numDim>
    </cx:data>
    <cx:data id="1">
      <cx:numDim type="val">
        <cx:f>_xlchart.v1.636</cx:f>
      </cx:numDim>
    </cx:data>
    <cx:data id="2">
      <cx:numDim type="val">
        <cx:f>_xlchart.v1.637</cx:f>
      </cx:numDim>
    </cx:data>
    <cx:data id="3">
      <cx:numDim type="val">
        <cx:f>_xlchart.v1.638</cx:f>
      </cx:numDim>
    </cx:data>
    <cx:data id="4">
      <cx:numDim type="val">
        <cx:f>_xlchart.v1.639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RRB Eleven Epoch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SE[%] for Class  3 / F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_xlchart.v1.630</cx:f>
              <cx:v>Mode RRB Acc. Der.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6C5A-419B-997C-EFC1C8FCD19D}">
          <cx:tx>
            <cx:txData>
              <cx:f>_xlchart.v1.631</cx:f>
              <cx:v>Mean RRB Px count</cx:v>
            </cx:txData>
          </cx:tx>
          <cx:dataId val="1"/>
          <cx:layoutPr>
            <cx:statistics quartileMethod="exclusive"/>
          </cx:layoutPr>
        </cx:series>
        <cx:series layoutId="boxWhisker" uniqueId="{00000001-6C5A-419B-997C-EFC1C8FCD19D}">
          <cx:tx>
            <cx:txData>
              <cx:f>_xlchart.v1.632</cx:f>
              <cx:v>Mean ACB_B Px count</cx:v>
            </cx:txData>
          </cx:tx>
          <cx:dataId val="2"/>
          <cx:layoutPr>
            <cx:statistics quartileMethod="exclusive"/>
          </cx:layoutPr>
        </cx:series>
        <cx:series layoutId="boxWhisker" uniqueId="{00000002-6C5A-419B-997C-EFC1C8FCD19D}">
          <cx:tx>
            <cx:txData>
              <cx:f>_xlchart.v1.633</cx:f>
              <cx:v>Mean RRB PA Px count</cx:v>
            </cx:txData>
          </cx:tx>
          <cx:dataId val="3"/>
          <cx:layoutPr>
            <cx:statistics quartileMethod="exclusive"/>
          </cx:layoutPr>
        </cx:series>
        <cx:series layoutId="boxWhisker" uniqueId="{00000003-6C5A-419B-997C-EFC1C8FCD19D}">
          <cx:tx>
            <cx:txData>
              <cx:f>_xlchart.v1.634</cx:f>
              <cx:v>Mean ACB_B PA Px count</cx:v>
            </cx:txData>
          </cx:tx>
          <cx:dataId val="4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_xlchart.v1.640</cx:f>
      </cx:strDim>
      <cx:numDim type="val">
        <cx:f>_xlchart.v1.646</cx:f>
      </cx:numDim>
    </cx:data>
    <cx:data id="1">
      <cx:numDim type="val">
        <cx:f>_xlchart.v1.647</cx:f>
      </cx:numDim>
    </cx:data>
    <cx:data id="2">
      <cx:numDim type="val">
        <cx:f>_xlchart.v1.648</cx:f>
      </cx:numDim>
    </cx:data>
    <cx:data id="3">
      <cx:numDim type="val">
        <cx:f>_xlchart.v1.649</cx:f>
      </cx:numDim>
    </cx:data>
    <cx:data id="4">
      <cx:numDim type="val">
        <cx:f>_xlchart.v1.650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RRB Eleven Epoch 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SE[%] for Class  4 / S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B43BF162-E619-4C32-80AC-2E1BC1484209}" formatIdx="0">
          <cx:tx>
            <cx:txData>
              <cx:f>_xlchart.v1.641</cx:f>
              <cx:v>Mode RRB Acc. Der.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6C5A-419B-997C-EFC1C8FCD19D}">
          <cx:tx>
            <cx:txData>
              <cx:f>_xlchart.v1.642</cx:f>
              <cx:v>Mean RRB Px count</cx:v>
            </cx:txData>
          </cx:tx>
          <cx:dataId val="1"/>
          <cx:layoutPr>
            <cx:statistics quartileMethod="exclusive"/>
          </cx:layoutPr>
        </cx:series>
        <cx:series layoutId="boxWhisker" uniqueId="{00000001-6C5A-419B-997C-EFC1C8FCD19D}">
          <cx:tx>
            <cx:txData>
              <cx:f>_xlchart.v1.643</cx:f>
              <cx:v>Mean ACB_B Px count</cx:v>
            </cx:txData>
          </cx:tx>
          <cx:dataId val="2"/>
          <cx:layoutPr>
            <cx:statistics quartileMethod="exclusive"/>
          </cx:layoutPr>
        </cx:series>
        <cx:series layoutId="boxWhisker" uniqueId="{00000002-6C5A-419B-997C-EFC1C8FCD19D}">
          <cx:tx>
            <cx:txData>
              <cx:f>_xlchart.v1.644</cx:f>
              <cx:v>Mean RRB PA Px count</cx:v>
            </cx:txData>
          </cx:tx>
          <cx:dataId val="3"/>
          <cx:layoutPr>
            <cx:statistics quartileMethod="exclusive"/>
          </cx:layoutPr>
        </cx:series>
        <cx:series layoutId="boxWhisker" uniqueId="{00000003-6C5A-419B-997C-EFC1C8FCD19D}">
          <cx:tx>
            <cx:txData>
              <cx:f>_xlchart.v1.645</cx:f>
              <cx:v>Mean ACB_B PA Px count</cx:v>
            </cx:txData>
          </cx:tx>
          <cx:dataId val="4"/>
          <cx:layoutPr>
            <cx:statistics quartileMethod="exclusive"/>
          </cx:layoutPr>
        </cx:series>
      </cx:plotAreaRegion>
      <cx:axis id="0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0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_xlchart.v1.674</cx:f>
      </cx:numDim>
    </cx:data>
    <cx:data id="1">
      <cx:numDim type="val">
        <cx:f>_xlchart.v1.676</cx:f>
      </cx:numDim>
    </cx:data>
    <cx:data id="2">
      <cx:numDim type="val">
        <cx:f>_xlchart.v1.678</cx:f>
      </cx:numDim>
    </cx:data>
    <cx:data id="3">
      <cx:numDim type="val">
        <cx:f>_xlchart.v1.680</cx:f>
      </cx:numDim>
    </cx:data>
    <cx:data id="4">
      <cx:numDim type="val">
        <cx:f>_xlchart.v1.682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RRB </a:t>
            </a:r>
            <a:r>
              <a:rPr lang="es-CO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PA Area Relative Low Conf. Pixels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[%]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00000000-C4A7-4320-9677-1BC5032BE7E1}">
          <cx:tx>
            <cx:txData>
              <cx:f>_xlchart.v1.673</cx:f>
              <cx:v>0 / W</cx:v>
            </cx:txData>
          </cx:tx>
          <cx:spPr>
            <a:solidFill>
              <a:srgbClr val="1F9DFF"/>
            </a:solidFill>
            <a:ln>
              <a:solidFill>
                <a:schemeClr val="tx1"/>
              </a:solidFill>
            </a:ln>
          </cx:spPr>
          <cx:dataId val="0"/>
          <cx:layoutPr>
            <cx:statistics quartileMethod="exclusive"/>
          </cx:layoutPr>
        </cx:series>
        <cx:series layoutId="boxWhisker" uniqueId="{00000001-C4A7-4320-9677-1BC5032BE7E1}">
          <cx:tx>
            <cx:txData>
              <cx:f>_xlchart.v1.675</cx:f>
              <cx:v>1 / B</cx:v>
            </cx:txData>
          </cx:tx>
          <cx:spPr>
            <a:solidFill>
              <a:srgbClr val="CACDDE"/>
            </a:solidFill>
            <a:ln>
              <a:solidFill>
                <a:schemeClr val="tx1"/>
              </a:solidFill>
            </a:ln>
          </cx:spPr>
          <cx:dataId val="1"/>
          <cx:layoutPr>
            <cx:statistics quartileMethod="exclusive"/>
          </cx:layoutPr>
        </cx:series>
        <cx:series layoutId="boxWhisker" uniqueId="{00000002-C4A7-4320-9677-1BC5032BE7E1}">
          <cx:tx>
            <cx:txData>
              <cx:f>_xlchart.v1.677</cx:f>
              <cx:v>2 / A</cx:v>
            </cx:txData>
          </cx:tx>
          <cx:spPr>
            <a:solidFill>
              <a:srgbClr val="B1EE2D"/>
            </a:solidFill>
            <a:ln>
              <a:solidFill>
                <a:schemeClr val="tx1"/>
              </a:solidFill>
            </a:ln>
          </cx:spPr>
          <cx:dataId val="2"/>
          <cx:layoutPr>
            <cx:statistics quartileMethod="exclusive"/>
          </cx:layoutPr>
        </cx:series>
        <cx:series layoutId="boxWhisker" uniqueId="{00000003-C4A7-4320-9677-1BC5032BE7E1}">
          <cx:tx>
            <cx:txData>
              <cx:f>_xlchart.v1.679</cx:f>
              <cx:v>3 / F</cx:v>
            </cx:txData>
          </cx:tx>
          <cx:spPr>
            <a:solidFill>
              <a:srgbClr val="149721"/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00000004-C4A7-4320-9677-1BC5032BE7E1}">
          <cx:tx>
            <cx:txData>
              <cx:f>_xlchart.v1.681</cx:f>
              <cx:v>4 / S</cx:v>
            </cx:txData>
          </cx:tx>
          <cx:spPr>
            <a:solidFill>
              <a:srgbClr val="AD8D06"/>
            </a:solidFill>
            <a:ln>
              <a:solidFill>
                <a:schemeClr val="tx1"/>
              </a:solidFill>
            </a:ln>
          </cx:spPr>
          <cx:dataId val="4"/>
          <cx:layoutPr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 max="3.5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_xlchart.v1.684</cx:f>
      </cx:numDim>
    </cx:data>
    <cx:data id="1">
      <cx:numDim type="val">
        <cx:f>_xlchart.v1.686</cx:f>
      </cx:numDim>
    </cx:data>
    <cx:data id="2">
      <cx:numDim type="val">
        <cx:f>_xlchart.v1.688</cx:f>
      </cx:numDim>
    </cx:data>
    <cx:data id="3">
      <cx:numDim type="val">
        <cx:f>_xlchart.v1.690</cx:f>
      </cx:numDim>
    </cx:data>
    <cx:data id="4">
      <cx:numDim type="val">
        <cx:f>_xlchart.v1.692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RRB </a:t>
            </a:r>
            <a:r>
              <a:rPr lang="es-CO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PA Low Confidence Pixels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[%]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E2C67516-453C-425D-9A86-4CEA0721D3B1}">
          <cx:tx>
            <cx:txData>
              <cx:f>_xlchart.v1.683</cx:f>
              <cx:v>0 / W</cx:v>
            </cx:txData>
          </cx:tx>
          <cx:spPr>
            <a:solidFill>
              <a:srgbClr val="1F9DFF"/>
            </a:solidFill>
          </cx:spPr>
          <cx:dataId val="0"/>
          <cx:layoutPr>
            <cx:statistics quartileMethod="exclusive"/>
          </cx:layoutPr>
        </cx:series>
        <cx:series layoutId="boxWhisker" uniqueId="{FBA9B51A-364A-4CEB-9A9B-3D9B520FBB78}">
          <cx:tx>
            <cx:txData>
              <cx:f>_xlchart.v1.685</cx:f>
              <cx:v>1 / B</cx:v>
            </cx:txData>
          </cx:tx>
          <cx:spPr>
            <a:solidFill>
              <a:srgbClr val="CACDDE"/>
            </a:solidFill>
          </cx:spPr>
          <cx:dataId val="1"/>
          <cx:layoutPr>
            <cx:statistics quartileMethod="exclusive"/>
          </cx:layoutPr>
        </cx:series>
        <cx:series layoutId="boxWhisker" uniqueId="{3E7D91B6-B72F-4190-8D21-C4BF8CC000AE}">
          <cx:tx>
            <cx:txData>
              <cx:f>_xlchart.v1.687</cx:f>
              <cx:v>2 / A</cx:v>
            </cx:txData>
          </cx:tx>
          <cx:spPr>
            <a:solidFill>
              <a:srgbClr val="B1EE2D"/>
            </a:solidFill>
          </cx:spPr>
          <cx:dataId val="2"/>
          <cx:layoutPr>
            <cx:statistics quartileMethod="exclusive"/>
          </cx:layoutPr>
        </cx:series>
        <cx:series layoutId="boxWhisker" uniqueId="{4D5E1151-3310-4EA1-AA82-BB332D47B450}">
          <cx:tx>
            <cx:txData>
              <cx:f>_xlchart.v1.689</cx:f>
              <cx:v>3 / F</cx:v>
            </cx:txData>
          </cx:tx>
          <cx:spPr>
            <a:solidFill>
              <a:srgbClr val="149721"/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FDD56478-FE70-406F-9FE4-745D89EA6E7B}">
          <cx:tx>
            <cx:txData>
              <cx:f>_xlchart.v1.691</cx:f>
              <cx:v>4 / S</cx:v>
            </cx:txData>
          </cx:tx>
          <cx:spPr>
            <a:solidFill>
              <a:srgbClr val="AD8D06"/>
            </a:solidFill>
            <a:ln>
              <a:solidFill>
                <a:schemeClr val="tx1"/>
              </a:solidFill>
            </a:ln>
          </cx:spPr>
          <cx:dataId val="4"/>
          <cx:layoutPr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_xlchart.v1.724</cx:f>
      </cx:numDim>
    </cx:data>
    <cx:data id="1">
      <cx:numDim type="val">
        <cx:f>_xlchart.v1.726</cx:f>
      </cx:numDim>
    </cx:data>
    <cx:data id="2">
      <cx:numDim type="val">
        <cx:f>_xlchart.v1.728</cx:f>
      </cx:numDim>
    </cx:data>
    <cx:data id="3">
      <cx:numDim type="val">
        <cx:f>_xlchart.v1.730</cx:f>
      </cx:numDim>
    </cx:data>
    <cx:data id="4">
      <cx:numDim type="val">
        <cx:f>_xlchart.v1.732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ACB_A </a:t>
            </a:r>
            <a:r>
              <a:rPr lang="es-CO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PA Area Relative Low Conf. Pixels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[%]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C235D43C-E2FE-4C43-90E7-8229A16A42B5}">
          <cx:tx>
            <cx:txData>
              <cx:f>_xlchart.v1.723</cx:f>
              <cx:v>0 / W</cx:v>
            </cx:txData>
          </cx:tx>
          <cx:spPr>
            <a:solidFill>
              <a:srgbClr val="1F9DFF"/>
            </a:solidFill>
          </cx:spPr>
          <cx:dataId val="0"/>
          <cx:layoutPr>
            <cx:statistics quartileMethod="exclusive"/>
          </cx:layoutPr>
        </cx:series>
        <cx:series layoutId="boxWhisker" uniqueId="{52D42F8E-75B9-48D4-A498-60E378E4B175}">
          <cx:tx>
            <cx:txData>
              <cx:f>_xlchart.v1.725</cx:f>
              <cx:v>1 / B</cx:v>
            </cx:txData>
          </cx:tx>
          <cx:spPr>
            <a:solidFill>
              <a:srgbClr val="CACDDE"/>
            </a:solidFill>
          </cx:spPr>
          <cx:dataId val="1"/>
          <cx:layoutPr>
            <cx:statistics quartileMethod="exclusive"/>
          </cx:layoutPr>
        </cx:series>
        <cx:series layoutId="boxWhisker" uniqueId="{BE779ABE-DD81-4A2F-AAAA-44B2AA3A0BBE}">
          <cx:tx>
            <cx:txData>
              <cx:f>_xlchart.v1.727</cx:f>
              <cx:v>2 / A</cx:v>
            </cx:txData>
          </cx:tx>
          <cx:spPr>
            <a:solidFill>
              <a:srgbClr val="B1EE2D"/>
            </a:solidFill>
          </cx:spPr>
          <cx:dataId val="2"/>
          <cx:layoutPr>
            <cx:statistics quartileMethod="exclusive"/>
          </cx:layoutPr>
        </cx:series>
        <cx:series layoutId="boxWhisker" uniqueId="{509FD569-C907-4BA4-8467-D350D9EFBE99}">
          <cx:tx>
            <cx:txData>
              <cx:f>_xlchart.v1.729</cx:f>
              <cx:v>3 / F</cx:v>
            </cx:txData>
          </cx:tx>
          <cx:spPr>
            <a:solidFill>
              <a:srgbClr val="149721"/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57C16428-2BEB-44BE-9B76-BB91536731F1}">
          <cx:tx>
            <cx:txData>
              <cx:f>_xlchart.v1.731</cx:f>
              <cx:v>4 / S</cx:v>
            </cx:txData>
          </cx:tx>
          <cx:spPr>
            <a:solidFill>
              <a:srgbClr val="AD8D06"/>
            </a:solidFill>
            <a:ln>
              <a:solidFill>
                <a:schemeClr val="tx1"/>
              </a:solidFill>
            </a:ln>
          </cx:spPr>
          <cx:dataId val="4"/>
          <cx:layoutPr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 max="3.5"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_xlchart.v1.694</cx:f>
      </cx:numDim>
    </cx:data>
    <cx:data id="1">
      <cx:numDim type="val">
        <cx:f>_xlchart.v1.696</cx:f>
      </cx:numDim>
    </cx:data>
    <cx:data id="2">
      <cx:numDim type="val">
        <cx:f>_xlchart.v1.698</cx:f>
      </cx:numDim>
    </cx:data>
    <cx:data id="3">
      <cx:numDim type="val">
        <cx:f>_xlchart.v1.700</cx:f>
      </cx:numDim>
    </cx:data>
    <cx:data id="4">
      <cx:numDim type="val">
        <cx:f>_xlchart.v1.702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ACB_A </a:t>
            </a:r>
            <a:r>
              <a:rPr lang="es-CO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PA Low Confidence Pixels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[%]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4F1E3138-795D-4DC8-8F88-9B2FDD20C8A1}">
          <cx:tx>
            <cx:txData>
              <cx:f>_xlchart.v1.693</cx:f>
              <cx:v>0 / W</cx:v>
            </cx:txData>
          </cx:tx>
          <cx:spPr>
            <a:solidFill>
              <a:srgbClr val="1F9DFF"/>
            </a:solidFill>
          </cx:spPr>
          <cx:dataId val="0"/>
          <cx:layoutPr>
            <cx:statistics quartileMethod="exclusive"/>
          </cx:layoutPr>
        </cx:series>
        <cx:series layoutId="boxWhisker" uniqueId="{406D3EB0-69B1-46AF-A6A8-B0DFF0FF4E43}">
          <cx:tx>
            <cx:txData>
              <cx:f>_xlchart.v1.695</cx:f>
              <cx:v>1 / B</cx:v>
            </cx:txData>
          </cx:tx>
          <cx:spPr>
            <a:solidFill>
              <a:srgbClr val="CACDDE"/>
            </a:solidFill>
          </cx:spPr>
          <cx:dataId val="1"/>
          <cx:layoutPr>
            <cx:statistics quartileMethod="exclusive"/>
          </cx:layoutPr>
        </cx:series>
        <cx:series layoutId="boxWhisker" uniqueId="{B639DFEA-1690-4DE3-9376-DA843C875BB8}">
          <cx:tx>
            <cx:txData>
              <cx:f>_xlchart.v1.697</cx:f>
              <cx:v>2 / A</cx:v>
            </cx:txData>
          </cx:tx>
          <cx:spPr>
            <a:solidFill>
              <a:srgbClr val="B1EE2D"/>
            </a:solidFill>
            <a:ln>
              <a:solidFill>
                <a:schemeClr val="tx1"/>
              </a:solidFill>
            </a:ln>
          </cx:spPr>
          <cx:dataId val="2"/>
          <cx:layoutPr>
            <cx:statistics quartileMethod="exclusive"/>
          </cx:layoutPr>
        </cx:series>
        <cx:series layoutId="boxWhisker" uniqueId="{46025537-28E0-44DC-9D34-B1512F294AD6}">
          <cx:tx>
            <cx:txData>
              <cx:f>_xlchart.v1.699</cx:f>
              <cx:v>3 / F</cx:v>
            </cx:txData>
          </cx:tx>
          <cx:spPr>
            <a:solidFill>
              <a:srgbClr val="149721"/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6D71BEC5-5DE4-4BA5-A691-5E3BCD5322B7}">
          <cx:tx>
            <cx:txData>
              <cx:f>_xlchart.v1.701</cx:f>
              <cx:v>4 / S</cx:v>
            </cx:txData>
          </cx:tx>
          <cx:spPr>
            <a:solidFill>
              <a:srgbClr val="AD8D06"/>
            </a:solidFill>
            <a:ln>
              <a:solidFill>
                <a:schemeClr val="tx1"/>
              </a:solidFill>
            </a:ln>
          </cx:spPr>
          <cx:dataId val="4"/>
          <cx:layoutPr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_xlchart.v1.704</cx:f>
      </cx:numDim>
    </cx:data>
    <cx:data id="1">
      <cx:numDim type="val">
        <cx:f>_xlchart.v1.706</cx:f>
      </cx:numDim>
    </cx:data>
    <cx:data id="2">
      <cx:numDim type="val">
        <cx:f>_xlchart.v1.708</cx:f>
      </cx:numDim>
    </cx:data>
    <cx:data id="3">
      <cx:numDim type="val">
        <cx:f>_xlchart.v1.710</cx:f>
      </cx:numDim>
    </cx:data>
    <cx:data id="4">
      <cx:numDim type="val">
        <cx:f>_xlchart.v1.712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ACB_R </a:t>
            </a:r>
            <a:r>
              <a:rPr lang="es-CO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PA Area Relative Low Conf. Pixels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[%]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368D7BB7-5D5B-45FE-BBDC-A6D0E01EDE53}">
          <cx:tx>
            <cx:txData>
              <cx:f>_xlchart.v1.703</cx:f>
              <cx:v>0 / W</cx:v>
            </cx:txData>
          </cx:tx>
          <cx:spPr>
            <a:solidFill>
              <a:srgbClr val="1F9DFF"/>
            </a:solidFill>
          </cx:spPr>
          <cx:dataId val="0"/>
          <cx:layoutPr>
            <cx:statistics quartileMethod="exclusive"/>
          </cx:layoutPr>
        </cx:series>
        <cx:series layoutId="boxWhisker" uniqueId="{46542552-8DB1-4F4D-AE4B-B526A93E475E}">
          <cx:tx>
            <cx:txData>
              <cx:f>_xlchart.v1.705</cx:f>
              <cx:v>1 / B</cx:v>
            </cx:txData>
          </cx:tx>
          <cx:spPr>
            <a:solidFill>
              <a:srgbClr val="CACDDE"/>
            </a:solidFill>
          </cx:spPr>
          <cx:dataId val="1"/>
          <cx:layoutPr>
            <cx:statistics quartileMethod="exclusive"/>
          </cx:layoutPr>
        </cx:series>
        <cx:series layoutId="boxWhisker" uniqueId="{6A425D7B-8187-410F-A45D-02FC26E92246}">
          <cx:tx>
            <cx:txData>
              <cx:f>_xlchart.v1.707</cx:f>
              <cx:v>2 / A</cx:v>
            </cx:txData>
          </cx:tx>
          <cx:spPr>
            <a:solidFill>
              <a:srgbClr val="B1EE2D"/>
            </a:solidFill>
          </cx:spPr>
          <cx:dataId val="2"/>
          <cx:layoutPr>
            <cx:statistics quartileMethod="exclusive"/>
          </cx:layoutPr>
        </cx:series>
        <cx:series layoutId="boxWhisker" uniqueId="{5ED60B8A-0454-4A19-BC40-563F21A451E1}">
          <cx:tx>
            <cx:txData>
              <cx:f>_xlchart.v1.709</cx:f>
              <cx:v>3 / F</cx:v>
            </cx:txData>
          </cx:tx>
          <cx:spPr>
            <a:solidFill>
              <a:srgbClr val="149721"/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B3F6D08B-4BF3-4596-B340-01E427FB0F49}">
          <cx:tx>
            <cx:txData>
              <cx:f>_xlchart.v1.711</cx:f>
              <cx:v>4 / S</cx:v>
            </cx:txData>
          </cx:tx>
          <cx:spPr>
            <a:solidFill>
              <a:srgbClr val="AD8D06"/>
            </a:solidFill>
            <a:ln>
              <a:solidFill>
                <a:schemeClr val="tx1"/>
              </a:solidFill>
            </a:ln>
          </cx:spPr>
          <cx:dataId val="4"/>
          <cx:layoutPr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hartEx7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_xlchart.v1.714</cx:f>
      </cx:numDim>
    </cx:data>
    <cx:data id="1">
      <cx:numDim type="val">
        <cx:f>_xlchart.v1.716</cx:f>
      </cx:numDim>
    </cx:data>
    <cx:data id="2">
      <cx:numDim type="val">
        <cx:f>_xlchart.v1.718</cx:f>
      </cx:numDim>
    </cx:data>
    <cx:data id="3">
      <cx:numDim type="val">
        <cx:f>_xlchart.v1.720</cx:f>
      </cx:numDim>
    </cx:data>
    <cx:data id="4">
      <cx:numDim type="val">
        <cx:f>_xlchart.v1.722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r>
              <a:rPr lang="es-E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ACB_R </a:t>
            </a:r>
            <a:r>
              <a:rPr lang="es-CO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PA Low Confidence Pixels</a:t>
            </a:r>
            <a:r>
              <a:rPr lang="en-US" sz="18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[%]</a:t>
            </a:r>
            <a:endParaRPr lang="es-E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ECB0895B-1A57-40AC-BC09-F86EDDFBF499}">
          <cx:tx>
            <cx:txData>
              <cx:f>_xlchart.v1.713</cx:f>
              <cx:v>0 / W</cx:v>
            </cx:txData>
          </cx:tx>
          <cx:spPr>
            <a:solidFill>
              <a:srgbClr val="1F9DFF"/>
            </a:solidFill>
          </cx:spPr>
          <cx:dataId val="0"/>
          <cx:layoutPr>
            <cx:statistics quartileMethod="exclusive"/>
          </cx:layoutPr>
        </cx:series>
        <cx:series layoutId="boxWhisker" uniqueId="{3E943022-6FFD-44E5-A229-D983A9BD5D30}">
          <cx:tx>
            <cx:txData>
              <cx:f>_xlchart.v1.715</cx:f>
              <cx:v>1 / B</cx:v>
            </cx:txData>
          </cx:tx>
          <cx:spPr>
            <a:solidFill>
              <a:srgbClr val="CACDDE"/>
            </a:solidFill>
          </cx:spPr>
          <cx:dataId val="1"/>
          <cx:layoutPr>
            <cx:statistics quartileMethod="exclusive"/>
          </cx:layoutPr>
        </cx:series>
        <cx:series layoutId="boxWhisker" uniqueId="{AFBB3E48-EA8D-4438-9C09-1856C527BA90}">
          <cx:tx>
            <cx:txData>
              <cx:f>_xlchart.v1.717</cx:f>
              <cx:v>2 / A</cx:v>
            </cx:txData>
          </cx:tx>
          <cx:spPr>
            <a:solidFill>
              <a:srgbClr val="B1EE2D"/>
            </a:solidFill>
          </cx:spPr>
          <cx:dataId val="2"/>
          <cx:layoutPr>
            <cx:statistics quartileMethod="exclusive"/>
          </cx:layoutPr>
        </cx:series>
        <cx:series layoutId="boxWhisker" uniqueId="{801B2D47-604A-4C03-8CCC-295F95BCCA76}">
          <cx:tx>
            <cx:txData>
              <cx:f>_xlchart.v1.719</cx:f>
              <cx:v>3 / F</cx:v>
            </cx:txData>
          </cx:tx>
          <cx:spPr>
            <a:solidFill>
              <a:srgbClr val="149721"/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EC0381C6-4C87-4DFE-AD58-D24BEB177FDC}">
          <cx:tx>
            <cx:txData>
              <cx:f>_xlchart.v1.721</cx:f>
              <cx:v>4 / S</cx:v>
            </cx:txData>
          </cx:tx>
          <cx:spPr>
            <a:solidFill>
              <a:srgbClr val="AD8D06"/>
            </a:solidFill>
            <a:ln>
              <a:solidFill>
                <a:schemeClr val="tx1"/>
              </a:solidFill>
            </a:ln>
          </cx:spPr>
          <cx:dataId val="4"/>
          <cx:layoutPr>
            <cx:statistics quartileMethod="exclusive"/>
          </cx:layoutPr>
        </cx:series>
      </cx:plotAreaRegion>
      <cx:axis id="0" hidden="1">
        <cx:catScaling gapWidth="0.300000012"/>
        <cx:tickLabels/>
      </cx:axis>
      <cx:axis id="1">
        <cx:valScaling/>
        <cx:majorGridlines/>
        <cx:minorGridlines>
          <cx:spPr>
            <a:ln w="3175">
              <a:solidFill>
                <a:schemeClr val="bg1">
                  <a:lumMod val="65000"/>
                  <a:alpha val="70000"/>
                </a:schemeClr>
              </a:solidFill>
              <a:prstDash val="solid"/>
            </a:ln>
          </cx:spPr>
        </cx:minorGridlines>
        <cx:majorTickMarks type="cross"/>
        <cx:tickLabels/>
        <cx:numFmt formatCode="0,0" sourceLinked="0"/>
        <cx:spPr>
          <a:ln>
            <a:solidFill>
              <a:schemeClr val="bg1">
                <a:lumMod val="65000"/>
              </a:schemeClr>
            </a:solidFill>
          </a:ln>
        </cx:spPr>
      </cx:axis>
    </cx:plotArea>
    <cx:legend pos="t" align="ctr" overlay="0"/>
  </cx:chart>
  <cx:spPr>
    <a:ln>
      <a:solidFill>
        <a:schemeClr val="bg1">
          <a:lumMod val="65000"/>
        </a:scheme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8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0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8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6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6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8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8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8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9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9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0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2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0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0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BF44D4-4F16-4E9A-AD20-A33C11062FAC}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3928AA-9A2B-47F3-B579-91441F83EFE4}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0E645E-CAFE-4052-844A-E050A5EAF887}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AAC550-FEF4-4419-8326-6060155F764B}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514960-2A3E-450C-B606-E9B2D844DB5E}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6A9F9B-9B52-4C6F-ABC6-3940C3EF0395}">
  <sheetPr/>
  <sheetViews>
    <sheetView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6.xml"/><Relationship Id="rId3" Type="http://schemas.microsoft.com/office/2014/relationships/chartEx" Target="../charts/chartEx3.xml"/><Relationship Id="rId7" Type="http://schemas.microsoft.com/office/2014/relationships/chartEx" Target="../charts/chartEx5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2.xml"/><Relationship Id="rId5" Type="http://schemas.openxmlformats.org/officeDocument/2006/relationships/chart" Target="../charts/chart1.xml"/><Relationship Id="rId4" Type="http://schemas.microsoft.com/office/2014/relationships/chartEx" Target="../charts/chartEx4.xml"/><Relationship Id="rId9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12.xml"/><Relationship Id="rId3" Type="http://schemas.microsoft.com/office/2014/relationships/chartEx" Target="../charts/chartEx9.xml"/><Relationship Id="rId7" Type="http://schemas.microsoft.com/office/2014/relationships/chartEx" Target="../charts/chartEx11.xml"/><Relationship Id="rId2" Type="http://schemas.microsoft.com/office/2014/relationships/chartEx" Target="../charts/chartEx8.xml"/><Relationship Id="rId1" Type="http://schemas.microsoft.com/office/2014/relationships/chartEx" Target="../charts/chartEx7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0.xml"/><Relationship Id="rId9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14/relationships/chartEx" Target="../charts/chartEx18.xml"/><Relationship Id="rId3" Type="http://schemas.microsoft.com/office/2014/relationships/chartEx" Target="../charts/chartEx15.xml"/><Relationship Id="rId7" Type="http://schemas.microsoft.com/office/2014/relationships/chartEx" Target="../charts/chartEx17.xml"/><Relationship Id="rId2" Type="http://schemas.microsoft.com/office/2014/relationships/chartEx" Target="../charts/chartEx14.xml"/><Relationship Id="rId1" Type="http://schemas.microsoft.com/office/2014/relationships/chartEx" Target="../charts/chartEx1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microsoft.com/office/2014/relationships/chartEx" Target="../charts/chartEx16.xml"/><Relationship Id="rId9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8" Type="http://schemas.microsoft.com/office/2014/relationships/chartEx" Target="../charts/chartEx24.xml"/><Relationship Id="rId3" Type="http://schemas.microsoft.com/office/2014/relationships/chartEx" Target="../charts/chartEx21.xml"/><Relationship Id="rId7" Type="http://schemas.microsoft.com/office/2014/relationships/chartEx" Target="../charts/chartEx23.xml"/><Relationship Id="rId2" Type="http://schemas.microsoft.com/office/2014/relationships/chartEx" Target="../charts/chartEx20.xml"/><Relationship Id="rId1" Type="http://schemas.microsoft.com/office/2014/relationships/chartEx" Target="../charts/chartEx19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microsoft.com/office/2014/relationships/chartEx" Target="../charts/chartEx22.xml"/><Relationship Id="rId9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8" Type="http://schemas.microsoft.com/office/2014/relationships/chartEx" Target="../charts/chartEx30.xml"/><Relationship Id="rId3" Type="http://schemas.microsoft.com/office/2014/relationships/chartEx" Target="../charts/chartEx27.xml"/><Relationship Id="rId7" Type="http://schemas.microsoft.com/office/2014/relationships/chartEx" Target="../charts/chartEx29.xml"/><Relationship Id="rId2" Type="http://schemas.microsoft.com/office/2014/relationships/chartEx" Target="../charts/chartEx26.xml"/><Relationship Id="rId1" Type="http://schemas.microsoft.com/office/2014/relationships/chartEx" Target="../charts/chartEx25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microsoft.com/office/2014/relationships/chartEx" Target="../charts/chartEx28.xml"/><Relationship Id="rId9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8" Type="http://schemas.microsoft.com/office/2014/relationships/chartEx" Target="../charts/chartEx36.xml"/><Relationship Id="rId3" Type="http://schemas.microsoft.com/office/2014/relationships/chartEx" Target="../charts/chartEx33.xml"/><Relationship Id="rId7" Type="http://schemas.microsoft.com/office/2014/relationships/chartEx" Target="../charts/chartEx35.xml"/><Relationship Id="rId2" Type="http://schemas.microsoft.com/office/2014/relationships/chartEx" Target="../charts/chartEx32.xml"/><Relationship Id="rId1" Type="http://schemas.microsoft.com/office/2014/relationships/chartEx" Target="../charts/chartEx31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microsoft.com/office/2014/relationships/chartEx" Target="../charts/chartEx34.xml"/><Relationship Id="rId9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8" Type="http://schemas.microsoft.com/office/2014/relationships/chartEx" Target="../charts/chartEx42.xml"/><Relationship Id="rId3" Type="http://schemas.microsoft.com/office/2014/relationships/chartEx" Target="../charts/chartEx39.xml"/><Relationship Id="rId7" Type="http://schemas.microsoft.com/office/2014/relationships/chartEx" Target="../charts/chartEx41.xml"/><Relationship Id="rId2" Type="http://schemas.microsoft.com/office/2014/relationships/chartEx" Target="../charts/chartEx38.xml"/><Relationship Id="rId1" Type="http://schemas.microsoft.com/office/2014/relationships/chartEx" Target="../charts/chartEx37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microsoft.com/office/2014/relationships/chartEx" Target="../charts/chartEx40.xml"/><Relationship Id="rId9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8" Type="http://schemas.microsoft.com/office/2014/relationships/chartEx" Target="../charts/chartEx48.xml"/><Relationship Id="rId3" Type="http://schemas.microsoft.com/office/2014/relationships/chartEx" Target="../charts/chartEx45.xml"/><Relationship Id="rId7" Type="http://schemas.microsoft.com/office/2014/relationships/chartEx" Target="../charts/chartEx47.xml"/><Relationship Id="rId2" Type="http://schemas.microsoft.com/office/2014/relationships/chartEx" Target="../charts/chartEx44.xml"/><Relationship Id="rId1" Type="http://schemas.microsoft.com/office/2014/relationships/chartEx" Target="../charts/chartEx43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microsoft.com/office/2014/relationships/chartEx" Target="../charts/chartEx46.xml"/><Relationship Id="rId9" Type="http://schemas.openxmlformats.org/officeDocument/2006/relationships/chart" Target="../charts/chart24.xml"/></Relationships>
</file>

<file path=xl/drawings/_rels/drawing10.xml.rels><?xml version="1.0" encoding="UTF-8" standalone="yes"?>
<Relationships xmlns="http://schemas.openxmlformats.org/package/2006/relationships"><Relationship Id="rId8" Type="http://schemas.microsoft.com/office/2014/relationships/chartEx" Target="../charts/chartEx54.xml"/><Relationship Id="rId3" Type="http://schemas.microsoft.com/office/2014/relationships/chartEx" Target="../charts/chartEx51.xml"/><Relationship Id="rId7" Type="http://schemas.microsoft.com/office/2014/relationships/chartEx" Target="../charts/chartEx53.xml"/><Relationship Id="rId2" Type="http://schemas.microsoft.com/office/2014/relationships/chartEx" Target="../charts/chartEx50.xml"/><Relationship Id="rId1" Type="http://schemas.microsoft.com/office/2014/relationships/chartEx" Target="../charts/chartEx49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microsoft.com/office/2014/relationships/chartEx" Target="../charts/chartEx52.xml"/><Relationship Id="rId9" Type="http://schemas.openxmlformats.org/officeDocument/2006/relationships/chart" Target="../charts/chart27.xml"/></Relationships>
</file>

<file path=xl/drawings/_rels/drawing11.xml.rels><?xml version="1.0" encoding="UTF-8" standalone="yes"?>
<Relationships xmlns="http://schemas.openxmlformats.org/package/2006/relationships"><Relationship Id="rId8" Type="http://schemas.microsoft.com/office/2014/relationships/chartEx" Target="../charts/chartEx60.xml"/><Relationship Id="rId3" Type="http://schemas.microsoft.com/office/2014/relationships/chartEx" Target="../charts/chartEx57.xml"/><Relationship Id="rId7" Type="http://schemas.microsoft.com/office/2014/relationships/chartEx" Target="../charts/chartEx59.xml"/><Relationship Id="rId2" Type="http://schemas.microsoft.com/office/2014/relationships/chartEx" Target="../charts/chartEx56.xml"/><Relationship Id="rId1" Type="http://schemas.microsoft.com/office/2014/relationships/chartEx" Target="../charts/chartEx55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microsoft.com/office/2014/relationships/chartEx" Target="../charts/chartEx58.xml"/><Relationship Id="rId9" Type="http://schemas.openxmlformats.org/officeDocument/2006/relationships/chart" Target="../charts/chart30.xml"/></Relationships>
</file>

<file path=xl/drawings/_rels/drawing12.xml.rels><?xml version="1.0" encoding="UTF-8" standalone="yes"?>
<Relationships xmlns="http://schemas.openxmlformats.org/package/2006/relationships"><Relationship Id="rId8" Type="http://schemas.microsoft.com/office/2014/relationships/chartEx" Target="../charts/chartEx66.xml"/><Relationship Id="rId3" Type="http://schemas.microsoft.com/office/2014/relationships/chartEx" Target="../charts/chartEx63.xml"/><Relationship Id="rId7" Type="http://schemas.microsoft.com/office/2014/relationships/chartEx" Target="../charts/chartEx65.xml"/><Relationship Id="rId2" Type="http://schemas.microsoft.com/office/2014/relationships/chartEx" Target="../charts/chartEx62.xml"/><Relationship Id="rId1" Type="http://schemas.microsoft.com/office/2014/relationships/chartEx" Target="../charts/chartEx61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microsoft.com/office/2014/relationships/chartEx" Target="../charts/chartEx64.xml"/><Relationship Id="rId9" Type="http://schemas.openxmlformats.org/officeDocument/2006/relationships/chart" Target="../charts/chart33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microsoft.com/office/2014/relationships/chartEx" Target="../charts/chartEx71.xml"/><Relationship Id="rId18" Type="http://schemas.openxmlformats.org/officeDocument/2006/relationships/chart" Target="../charts/chart42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12" Type="http://schemas.microsoft.com/office/2014/relationships/chartEx" Target="../charts/chartEx70.xml"/><Relationship Id="rId17" Type="http://schemas.openxmlformats.org/officeDocument/2006/relationships/image" Target="../media/image7.png"/><Relationship Id="rId2" Type="http://schemas.openxmlformats.org/officeDocument/2006/relationships/chart" Target="../charts/chart35.xml"/><Relationship Id="rId16" Type="http://schemas.openxmlformats.org/officeDocument/2006/relationships/image" Target="../media/image6.png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microsoft.com/office/2014/relationships/chartEx" Target="../charts/chartEx69.xml"/><Relationship Id="rId5" Type="http://schemas.openxmlformats.org/officeDocument/2006/relationships/chart" Target="../charts/chart38.xml"/><Relationship Id="rId15" Type="http://schemas.openxmlformats.org/officeDocument/2006/relationships/image" Target="../media/image5.png"/><Relationship Id="rId10" Type="http://schemas.microsoft.com/office/2014/relationships/chartEx" Target="../charts/chartEx68.xml"/><Relationship Id="rId4" Type="http://schemas.openxmlformats.org/officeDocument/2006/relationships/chart" Target="../charts/chart37.xml"/><Relationship Id="rId9" Type="http://schemas.microsoft.com/office/2014/relationships/chartEx" Target="../charts/chartEx67.xml"/><Relationship Id="rId14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8" Type="http://schemas.microsoft.com/office/2014/relationships/chartEx" Target="../charts/chartEx77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3" Type="http://schemas.microsoft.com/office/2014/relationships/chartEx" Target="../charts/chartEx74.xml"/><Relationship Id="rId21" Type="http://schemas.openxmlformats.org/officeDocument/2006/relationships/chart" Target="../charts/chart57.xml"/><Relationship Id="rId7" Type="http://schemas.microsoft.com/office/2014/relationships/chartEx" Target="../charts/chartEx76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" Type="http://schemas.microsoft.com/office/2014/relationships/chartEx" Target="../charts/chartEx73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microsoft.com/office/2014/relationships/chartEx" Target="../charts/chartEx72.xml"/><Relationship Id="rId6" Type="http://schemas.openxmlformats.org/officeDocument/2006/relationships/chart" Target="../charts/chart44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5" Type="http://schemas.openxmlformats.org/officeDocument/2006/relationships/chart" Target="../charts/chart43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microsoft.com/office/2014/relationships/chartEx" Target="../charts/chartEx75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chart" Target="../charts/chart63.xml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11" Type="http://schemas.openxmlformats.org/officeDocument/2006/relationships/chart" Target="../charts/chart74.xml"/><Relationship Id="rId5" Type="http://schemas.openxmlformats.org/officeDocument/2006/relationships/chart" Target="../charts/chart68.xml"/><Relationship Id="rId10" Type="http://schemas.openxmlformats.org/officeDocument/2006/relationships/chart" Target="../charts/chart73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371475</xdr:colOff>
      <xdr:row>1</xdr:row>
      <xdr:rowOff>76200</xdr:rowOff>
    </xdr:from>
    <xdr:to>
      <xdr:col>2</xdr:col>
      <xdr:colOff>638175</xdr:colOff>
      <xdr:row>4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CAC6C58-298A-1B1D-FA96-19299ED69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257175"/>
          <a:ext cx="10572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419100</xdr:colOff>
      <xdr:row>5</xdr:row>
      <xdr:rowOff>171450</xdr:rowOff>
    </xdr:from>
    <xdr:to>
      <xdr:col>6</xdr:col>
      <xdr:colOff>419100</xdr:colOff>
      <xdr:row>7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40C7B59-022F-57C6-C462-DC8F65600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171450"/>
          <a:ext cx="7905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428625</xdr:colOff>
      <xdr:row>2</xdr:row>
      <xdr:rowOff>161925</xdr:rowOff>
    </xdr:from>
    <xdr:to>
      <xdr:col>3</xdr:col>
      <xdr:colOff>752475</xdr:colOff>
      <xdr:row>4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E883991-F851-867B-DD03-3FF1765EC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571500"/>
          <a:ext cx="3238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419100</xdr:colOff>
      <xdr:row>15</xdr:row>
      <xdr:rowOff>171450</xdr:rowOff>
    </xdr:from>
    <xdr:to>
      <xdr:col>6</xdr:col>
      <xdr:colOff>419100</xdr:colOff>
      <xdr:row>17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85DA73E-6AEC-4457-8438-1D588FEC5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1975" y="1091565"/>
          <a:ext cx="790575" cy="241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Gráfico 18">
              <a:extLst>
                <a:ext uri="{FF2B5EF4-FFF2-40B4-BE49-F238E27FC236}">
                  <a16:creationId xmlns:a16="http://schemas.microsoft.com/office/drawing/2014/main" id="{8CA00919-B433-4C17-A3DE-E2EC1ACF9D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71096" y="225608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1" name="Gráfico 20">
              <a:extLst>
                <a:ext uri="{FF2B5EF4-FFF2-40B4-BE49-F238E27FC236}">
                  <a16:creationId xmlns:a16="http://schemas.microsoft.com/office/drawing/2014/main" id="{10282C30-5FD0-46AB-94B4-D61FCB05DE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99175" y="226885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Gráfico 21">
              <a:extLst>
                <a:ext uri="{FF2B5EF4-FFF2-40B4-BE49-F238E27FC236}">
                  <a16:creationId xmlns:a16="http://schemas.microsoft.com/office/drawing/2014/main" id="{C1B88157-2831-4F46-8A8C-F288573B85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81174" y="6336927"/>
              <a:ext cx="5477789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3" name="Gráfico 22">
              <a:extLst>
                <a:ext uri="{FF2B5EF4-FFF2-40B4-BE49-F238E27FC236}">
                  <a16:creationId xmlns:a16="http://schemas.microsoft.com/office/drawing/2014/main" id="{172D60D9-20F9-41C8-A25E-E19B440ADB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34249" y="6336927"/>
              <a:ext cx="4965551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24" name="Chart 1">
          <a:extLst>
            <a:ext uri="{FF2B5EF4-FFF2-40B4-BE49-F238E27FC236}">
              <a16:creationId xmlns:a16="http://schemas.microsoft.com/office/drawing/2014/main" id="{012B9B1E-FFD3-4BED-BCFE-C0B5EC63186F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901276" y="30438202"/>
    <xdr:ext cx="7920000" cy="5040000"/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68701AE0-BBF3-4843-B026-C472F49F1642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24</xdr:row>
      <xdr:rowOff>84157</xdr:rowOff>
    </xdr:from>
    <xdr:to>
      <xdr:col>47</xdr:col>
      <xdr:colOff>515715</xdr:colOff>
      <xdr:row>24</xdr:row>
      <xdr:rowOff>84157</xdr:rowOff>
    </xdr:to>
    <xdr:cxnSp macro="">
      <xdr:nvCxnSpPr>
        <xdr:cNvPr id="27" name="Conector recto 26">
          <a:extLst>
            <a:ext uri="{FF2B5EF4-FFF2-40B4-BE49-F238E27FC236}">
              <a16:creationId xmlns:a16="http://schemas.microsoft.com/office/drawing/2014/main" id="{57AA3E2C-F209-5F05-5708-3AD9B783D627}"/>
            </a:ext>
          </a:extLst>
        </xdr:cNvPr>
        <xdr:cNvCxnSpPr/>
      </xdr:nvCxnSpPr>
      <xdr:spPr>
        <a:xfrm>
          <a:off x="32031230" y="4544098"/>
          <a:ext cx="4343309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555988</xdr:colOff>
      <xdr:row>26</xdr:row>
      <xdr:rowOff>94482</xdr:rowOff>
    </xdr:from>
    <xdr:to>
      <xdr:col>41</xdr:col>
      <xdr:colOff>173088</xdr:colOff>
      <xdr:row>26</xdr:row>
      <xdr:rowOff>94482</xdr:rowOff>
    </xdr:to>
    <xdr:cxnSp macro="">
      <xdr:nvCxnSpPr>
        <xdr:cNvPr id="29" name="Conector recto 28">
          <a:extLst>
            <a:ext uri="{FF2B5EF4-FFF2-40B4-BE49-F238E27FC236}">
              <a16:creationId xmlns:a16="http://schemas.microsoft.com/office/drawing/2014/main" id="{3299944E-D5C8-4717-8D84-DCFDD8108696}"/>
            </a:ext>
          </a:extLst>
        </xdr:cNvPr>
        <xdr:cNvCxnSpPr/>
      </xdr:nvCxnSpPr>
      <xdr:spPr>
        <a:xfrm>
          <a:off x="26486400" y="4935423"/>
          <a:ext cx="4771806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0" name="Gráfico 29">
              <a:extLst>
                <a:ext uri="{FF2B5EF4-FFF2-40B4-BE49-F238E27FC236}">
                  <a16:creationId xmlns:a16="http://schemas.microsoft.com/office/drawing/2014/main" id="{BD5D0A12-21D5-42E0-9CA0-D22DBAE494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33465" y="10361295"/>
              <a:ext cx="4966335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1" name="Gráfico 30">
              <a:extLst>
                <a:ext uri="{FF2B5EF4-FFF2-40B4-BE49-F238E27FC236}">
                  <a16:creationId xmlns:a16="http://schemas.microsoft.com/office/drawing/2014/main" id="{8D3DB7E5-31E4-4B0A-8F74-D7204BBB8B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18490" y="10361295"/>
              <a:ext cx="5481599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67046" y="25298094"/>
    <xdr:ext cx="7920000" cy="5040000"/>
    <xdr:graphicFrame macro="">
      <xdr:nvGraphicFramePr>
        <xdr:cNvPr id="32" name="Chart 1">
          <a:extLst>
            <a:ext uri="{FF2B5EF4-FFF2-40B4-BE49-F238E27FC236}">
              <a16:creationId xmlns:a16="http://schemas.microsoft.com/office/drawing/2014/main" id="{5D33D3E4-0900-48B5-AE4F-0A3A19B9B57D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6581AA7-8A17-403B-B450-5B65555714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25608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A1401849-AD6F-493A-A046-5063BE6DD7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26885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6E0F1039-E0F8-4102-A1F0-26C7BB7AD0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336927"/>
              <a:ext cx="5477789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6D7F4883-844D-4F70-9F1F-E3EF031159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336927"/>
              <a:ext cx="4965551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CA910A58-E195-4E7B-B3C2-D4A22DE51112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929430" y="30493250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47E43543-032A-4FBA-9793-2D92AF51343F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22</xdr:row>
      <xdr:rowOff>174093</xdr:rowOff>
    </xdr:from>
    <xdr:to>
      <xdr:col>47</xdr:col>
      <xdr:colOff>511905</xdr:colOff>
      <xdr:row>22</xdr:row>
      <xdr:rowOff>174093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888450EE-234A-46B4-AC25-7288C869D5A1}"/>
            </a:ext>
          </a:extLst>
        </xdr:cNvPr>
        <xdr:cNvCxnSpPr/>
      </xdr:nvCxnSpPr>
      <xdr:spPr>
        <a:xfrm>
          <a:off x="31821120" y="4246031"/>
          <a:ext cx="429047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552178</xdr:colOff>
      <xdr:row>22</xdr:row>
      <xdr:rowOff>33950</xdr:rowOff>
    </xdr:from>
    <xdr:to>
      <xdr:col>41</xdr:col>
      <xdr:colOff>169278</xdr:colOff>
      <xdr:row>22</xdr:row>
      <xdr:rowOff>33950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2D6D812B-6E84-4C15-BA03-643CB2AA38E9}"/>
            </a:ext>
          </a:extLst>
        </xdr:cNvPr>
        <xdr:cNvCxnSpPr/>
      </xdr:nvCxnSpPr>
      <xdr:spPr>
        <a:xfrm>
          <a:off x="26329209" y="4105888"/>
          <a:ext cx="472488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F3948C6-844B-46FB-9169-2699866330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361295"/>
              <a:ext cx="4966335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1A233CE2-3427-4FE7-8D83-A8DF18894B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361295"/>
              <a:ext cx="5481599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930919" y="25303697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C82FC761-C07E-48D6-A587-BF61890342F9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D9BCC33A-E16A-40EF-8573-28C3FFD816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208463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D79120C0-717D-40BE-8146-337505DF5B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221230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5A7C4C6D-089F-4126-928A-F4074CF78C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89302"/>
              <a:ext cx="5477789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B45BABCF-36D1-4070-8827-FAC0F93D7F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89302"/>
              <a:ext cx="4965551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49495317-FD11-437D-9824-F19AB9E7FDED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01404" y="30441983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745A8BF3-0D96-4C6F-A692-23D71A612E8D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24</xdr:row>
      <xdr:rowOff>24098</xdr:rowOff>
    </xdr:from>
    <xdr:to>
      <xdr:col>47</xdr:col>
      <xdr:colOff>511905</xdr:colOff>
      <xdr:row>24</xdr:row>
      <xdr:rowOff>24098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99F866B5-80EB-42E1-9D22-213AC892A4E1}"/>
            </a:ext>
          </a:extLst>
        </xdr:cNvPr>
        <xdr:cNvCxnSpPr/>
      </xdr:nvCxnSpPr>
      <xdr:spPr>
        <a:xfrm>
          <a:off x="31821120" y="4477036"/>
          <a:ext cx="429047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552178</xdr:colOff>
      <xdr:row>24</xdr:row>
      <xdr:rowOff>128293</xdr:rowOff>
    </xdr:from>
    <xdr:to>
      <xdr:col>41</xdr:col>
      <xdr:colOff>169278</xdr:colOff>
      <xdr:row>24</xdr:row>
      <xdr:rowOff>128293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41B49F6C-6E23-4EC4-A6DD-45301E22B9EB}"/>
            </a:ext>
          </a:extLst>
        </xdr:cNvPr>
        <xdr:cNvCxnSpPr/>
      </xdr:nvCxnSpPr>
      <xdr:spPr>
        <a:xfrm>
          <a:off x="26329209" y="4581231"/>
          <a:ext cx="472488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B4FFD3D1-AC7B-415F-A7B4-0D8B901F2E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313670"/>
              <a:ext cx="4966335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693474FF-23DA-4610-AAE9-81921313E3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313670"/>
              <a:ext cx="5481599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14659" y="25367571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911D14B3-1D24-44C6-A17D-476830422632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81E848D-6443-41A3-BF99-1D3AA74B4F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25608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2D424E0A-74F2-4B30-88C7-26B79EAF0D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26885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3DCAF31E-5916-4B46-87EA-6DE17CC106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336927"/>
              <a:ext cx="5477789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22FF1E6D-DD08-4092-A46B-F31CE11F03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336927"/>
              <a:ext cx="4965551" cy="3941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F0F621E5-C2F9-40E4-BA22-1FAE6868FC36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985943" y="30806502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7BBF5608-70C6-48E0-8E08-CA3DF0FA1FB8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23</xdr:row>
      <xdr:rowOff>63050</xdr:rowOff>
    </xdr:from>
    <xdr:to>
      <xdr:col>47</xdr:col>
      <xdr:colOff>515715</xdr:colOff>
      <xdr:row>23</xdr:row>
      <xdr:rowOff>63050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F5153150-843D-4405-84C9-26DCBF028640}"/>
            </a:ext>
          </a:extLst>
        </xdr:cNvPr>
        <xdr:cNvCxnSpPr/>
      </xdr:nvCxnSpPr>
      <xdr:spPr>
        <a:xfrm>
          <a:off x="31821120" y="4313581"/>
          <a:ext cx="429428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555988</xdr:colOff>
      <xdr:row>23</xdr:row>
      <xdr:rowOff>125018</xdr:rowOff>
    </xdr:from>
    <xdr:to>
      <xdr:col>41</xdr:col>
      <xdr:colOff>173088</xdr:colOff>
      <xdr:row>23</xdr:row>
      <xdr:rowOff>125018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8433904F-C512-40B3-A67E-C674A571F1C9}"/>
            </a:ext>
          </a:extLst>
        </xdr:cNvPr>
        <xdr:cNvCxnSpPr/>
      </xdr:nvCxnSpPr>
      <xdr:spPr>
        <a:xfrm>
          <a:off x="26333019" y="4375549"/>
          <a:ext cx="472488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105C0936-8784-44AF-A5D2-05E59523DC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361295"/>
              <a:ext cx="4966335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B28DA5B0-23F4-45CF-AD7B-74FB82B6A7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361295"/>
              <a:ext cx="5481599" cy="385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981346" y="25612419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07FF3EDE-9560-4E95-B2DD-CB8F070D5019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F4CD60E-4B8B-427B-9AF9-4870D90557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1608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9E60B662-57FA-4D47-B718-B010148603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1736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B8969599-96A0-472D-893D-35769E84FE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41677"/>
              <a:ext cx="5477789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DA39BA7D-EB37-4184-978F-F236CBC291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41677"/>
              <a:ext cx="4965551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B4AEF59D-ADEC-43B7-938E-B8CBB6A41BB7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70320" y="3031913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E42AB3F8-BC8C-43D4-8B69-F33E52F87529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23</xdr:row>
      <xdr:rowOff>59240</xdr:rowOff>
    </xdr:from>
    <xdr:to>
      <xdr:col>47</xdr:col>
      <xdr:colOff>515715</xdr:colOff>
      <xdr:row>23</xdr:row>
      <xdr:rowOff>59240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D34E5447-D5D3-4A46-83D5-C3F79C901CE5}"/>
            </a:ext>
          </a:extLst>
        </xdr:cNvPr>
        <xdr:cNvCxnSpPr/>
      </xdr:nvCxnSpPr>
      <xdr:spPr>
        <a:xfrm>
          <a:off x="31821120" y="4214521"/>
          <a:ext cx="429428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555988</xdr:colOff>
      <xdr:row>24</xdr:row>
      <xdr:rowOff>77388</xdr:rowOff>
    </xdr:from>
    <xdr:to>
      <xdr:col>41</xdr:col>
      <xdr:colOff>173088</xdr:colOff>
      <xdr:row>24</xdr:row>
      <xdr:rowOff>77388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3877ACCF-11A1-4FD3-A703-A2D7C030C209}"/>
            </a:ext>
          </a:extLst>
        </xdr:cNvPr>
        <xdr:cNvCxnSpPr/>
      </xdr:nvCxnSpPr>
      <xdr:spPr>
        <a:xfrm>
          <a:off x="26333019" y="4435076"/>
          <a:ext cx="472488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1024C4EF-66F4-42F2-8555-CB514D34C8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218420"/>
              <a:ext cx="4966335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0ACE9309-5440-4995-B7DE-B4B4841A54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218420"/>
              <a:ext cx="5481599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919433" y="25114738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427D6F9E-B6BD-44D9-ACA0-1D8B6360516B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D5755D67-2040-4D72-B502-976C639F5A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1608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0D51E416-9D4B-45D9-AC7B-670D7E1EA9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1736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461B50A9-DB90-4A1F-917C-072CDE7EFD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41677"/>
              <a:ext cx="5477789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28683322-2C94-4ADF-A276-374B8AE58F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41677"/>
              <a:ext cx="4965551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358174FB-3DC0-41A1-9FCD-64CDAFF5E676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51270" y="3005243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6910D859-166D-41D4-A082-9E460CAE02E8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21</xdr:row>
      <xdr:rowOff>78770</xdr:rowOff>
    </xdr:from>
    <xdr:to>
      <xdr:col>47</xdr:col>
      <xdr:colOff>511905</xdr:colOff>
      <xdr:row>21</xdr:row>
      <xdr:rowOff>78770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F0865A86-4B12-4E16-BFDC-C174E5AC5253}"/>
            </a:ext>
          </a:extLst>
        </xdr:cNvPr>
        <xdr:cNvCxnSpPr/>
      </xdr:nvCxnSpPr>
      <xdr:spPr>
        <a:xfrm>
          <a:off x="31821120" y="3876864"/>
          <a:ext cx="429047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552178</xdr:colOff>
      <xdr:row>21</xdr:row>
      <xdr:rowOff>87400</xdr:rowOff>
    </xdr:from>
    <xdr:to>
      <xdr:col>41</xdr:col>
      <xdr:colOff>169278</xdr:colOff>
      <xdr:row>21</xdr:row>
      <xdr:rowOff>87400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B6A79C29-DD11-4C26-A535-970E58E192E1}"/>
            </a:ext>
          </a:extLst>
        </xdr:cNvPr>
        <xdr:cNvCxnSpPr/>
      </xdr:nvCxnSpPr>
      <xdr:spPr>
        <a:xfrm>
          <a:off x="26329209" y="3885494"/>
          <a:ext cx="472488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0E455410-1897-4A0E-ADDE-CF10ADC456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218420"/>
              <a:ext cx="4966335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EFBE8E72-B04A-42DA-845B-7F23C7DE00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218420"/>
              <a:ext cx="5481599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52758" y="25086163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7CB6FBB5-54B0-4040-946A-9802871D444F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D908833-74EF-406C-814C-D0A5CC1548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1608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E1555632-3C0C-4036-AB62-DA2950A45D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1736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3E4EE0C2-EE45-4781-A3F4-A3C2412F14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41677"/>
              <a:ext cx="5477789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87292F64-D588-4B15-B233-E6D014483C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41677"/>
              <a:ext cx="4965551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FE68B171-D4F5-4534-840F-DF4295C0DC74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51270" y="3005243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AB542AF1-9CA5-4D51-8529-04F5608DF627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23</xdr:row>
      <xdr:rowOff>35428</xdr:rowOff>
    </xdr:from>
    <xdr:to>
      <xdr:col>47</xdr:col>
      <xdr:colOff>515715</xdr:colOff>
      <xdr:row>23</xdr:row>
      <xdr:rowOff>35428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84D4ED6A-50CD-4F64-8302-531F7BD4ABBD}"/>
            </a:ext>
          </a:extLst>
        </xdr:cNvPr>
        <xdr:cNvCxnSpPr/>
      </xdr:nvCxnSpPr>
      <xdr:spPr>
        <a:xfrm>
          <a:off x="31821120" y="4190709"/>
          <a:ext cx="429428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555988</xdr:colOff>
      <xdr:row>24</xdr:row>
      <xdr:rowOff>75964</xdr:rowOff>
    </xdr:from>
    <xdr:to>
      <xdr:col>41</xdr:col>
      <xdr:colOff>173088</xdr:colOff>
      <xdr:row>24</xdr:row>
      <xdr:rowOff>75964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A672EAFE-4548-43ED-BBF3-E3728E8FBD5F}"/>
            </a:ext>
          </a:extLst>
        </xdr:cNvPr>
        <xdr:cNvCxnSpPr/>
      </xdr:nvCxnSpPr>
      <xdr:spPr>
        <a:xfrm>
          <a:off x="26333019" y="4433652"/>
          <a:ext cx="472488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4EEE1DBD-0E45-46A4-BF59-62A7348271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218420"/>
              <a:ext cx="4966335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95DE7314-FB21-45C8-BA46-4AE92B08C9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218420"/>
              <a:ext cx="5481599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90858" y="25076638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AAD5BE6E-6373-4990-A443-8CD1C327B534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2C31C3AF-340B-4CC9-900C-0D82A90BC4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1608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F6D15137-EAB0-47D0-9934-6E33DDFC1C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1736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EFE93EF4-245A-41D4-836E-3E2C4197A5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41677"/>
              <a:ext cx="5477789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470D83D7-E5E8-45A3-9C6C-B8AE9B0862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41677"/>
              <a:ext cx="4965551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9538D770-44BD-4879-B193-3ECEC06CD282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51270" y="3005243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5BE12C3F-E307-434C-8B58-99E738704612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21</xdr:row>
      <xdr:rowOff>19716</xdr:rowOff>
    </xdr:from>
    <xdr:to>
      <xdr:col>47</xdr:col>
      <xdr:colOff>515715</xdr:colOff>
      <xdr:row>21</xdr:row>
      <xdr:rowOff>19716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1C6A5D69-E63C-4D4C-926A-2AE8BCE5D767}"/>
            </a:ext>
          </a:extLst>
        </xdr:cNvPr>
        <xdr:cNvCxnSpPr/>
      </xdr:nvCxnSpPr>
      <xdr:spPr>
        <a:xfrm>
          <a:off x="31821120" y="3817810"/>
          <a:ext cx="429428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552178</xdr:colOff>
      <xdr:row>19</xdr:row>
      <xdr:rowOff>186930</xdr:rowOff>
    </xdr:from>
    <xdr:to>
      <xdr:col>41</xdr:col>
      <xdr:colOff>169278</xdr:colOff>
      <xdr:row>19</xdr:row>
      <xdr:rowOff>186930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B4DA6BA9-DF27-436E-BAC8-92B9E9C0879A}"/>
            </a:ext>
          </a:extLst>
        </xdr:cNvPr>
        <xdr:cNvCxnSpPr/>
      </xdr:nvCxnSpPr>
      <xdr:spPr>
        <a:xfrm>
          <a:off x="26329209" y="3604024"/>
          <a:ext cx="472488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3AEFBA03-726E-48C1-8EFD-C89B346FF7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218420"/>
              <a:ext cx="4966335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AB962268-2318-44F6-9BF1-881EB46E91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218420"/>
              <a:ext cx="5481599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33708" y="25086163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5F269822-294C-4658-B6E2-BEFA552E5031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69D42F69-5647-4EB5-87C2-8C27DE6C46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1608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17E5950C-BB2C-4589-BB59-B4265A2FF3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1736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FBC62042-2DBB-440A-B076-808CC78622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41677"/>
              <a:ext cx="5477789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928334D0-07EC-4191-ACCE-921F48CDE1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41677"/>
              <a:ext cx="4965551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60E636C7-3209-48F5-8CE6-582C587FECCD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51270" y="3005243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8DD34AA6-0348-458E-B2A0-8B62A4C73BAE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21</xdr:row>
      <xdr:rowOff>119250</xdr:rowOff>
    </xdr:from>
    <xdr:to>
      <xdr:col>47</xdr:col>
      <xdr:colOff>511905</xdr:colOff>
      <xdr:row>21</xdr:row>
      <xdr:rowOff>119250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EDF58CAA-55DC-41DB-87E6-47708572A257}"/>
            </a:ext>
          </a:extLst>
        </xdr:cNvPr>
        <xdr:cNvCxnSpPr/>
      </xdr:nvCxnSpPr>
      <xdr:spPr>
        <a:xfrm>
          <a:off x="31821120" y="3917344"/>
          <a:ext cx="429047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555988</xdr:colOff>
      <xdr:row>22</xdr:row>
      <xdr:rowOff>119300</xdr:rowOff>
    </xdr:from>
    <xdr:to>
      <xdr:col>41</xdr:col>
      <xdr:colOff>173088</xdr:colOff>
      <xdr:row>22</xdr:row>
      <xdr:rowOff>119300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BD93547A-6156-4739-938D-A088D3F6B954}"/>
            </a:ext>
          </a:extLst>
        </xdr:cNvPr>
        <xdr:cNvCxnSpPr/>
      </xdr:nvCxnSpPr>
      <xdr:spPr>
        <a:xfrm>
          <a:off x="26333019" y="4095988"/>
          <a:ext cx="472488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00C60642-39DB-4760-82D2-02607EDE2C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218420"/>
              <a:ext cx="4966335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B44C77DB-B96D-4D71-BC3D-8BAC6242EC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218420"/>
              <a:ext cx="5481599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43233" y="25162363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1B05C2D8-A86B-4727-8999-6864D74771E7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CF774A08-ED47-4014-8C6C-B905FBC60F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1608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5BFA85E2-E706-4364-A48F-9C0A0B2908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1736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ADA9D1A0-42E7-44DC-949B-0A21C70D02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41677"/>
              <a:ext cx="5477789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DED41FE5-B18B-4C81-B7ED-85E9E68A17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41677"/>
              <a:ext cx="4965551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46FCBD50-5B47-4CFE-8A96-5526B536988C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51270" y="3005243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68AEF645-CBA2-4C74-885E-DE62B056589C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22</xdr:row>
      <xdr:rowOff>19712</xdr:rowOff>
    </xdr:from>
    <xdr:to>
      <xdr:col>47</xdr:col>
      <xdr:colOff>511905</xdr:colOff>
      <xdr:row>22</xdr:row>
      <xdr:rowOff>19712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C2BCF47A-B591-41E1-9E67-468F1CB8D578}"/>
            </a:ext>
          </a:extLst>
        </xdr:cNvPr>
        <xdr:cNvCxnSpPr/>
      </xdr:nvCxnSpPr>
      <xdr:spPr>
        <a:xfrm>
          <a:off x="31821120" y="3996400"/>
          <a:ext cx="4290473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587897</xdr:colOff>
      <xdr:row>21</xdr:row>
      <xdr:rowOff>75483</xdr:rowOff>
    </xdr:from>
    <xdr:to>
      <xdr:col>41</xdr:col>
      <xdr:colOff>212617</xdr:colOff>
      <xdr:row>21</xdr:row>
      <xdr:rowOff>75483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A9CAABC0-78B2-4E4A-B50E-E773D323140B}"/>
            </a:ext>
          </a:extLst>
        </xdr:cNvPr>
        <xdr:cNvCxnSpPr/>
      </xdr:nvCxnSpPr>
      <xdr:spPr>
        <a:xfrm>
          <a:off x="26364928" y="3873577"/>
          <a:ext cx="4732502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5F4B5134-4CB9-4A8B-8999-92B033ECD6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218420"/>
              <a:ext cx="4966335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AED15EA8-26A8-4A51-AEB6-6FE94C6F13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218420"/>
              <a:ext cx="5481599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71808" y="25162363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37803562-5880-46AD-BBED-B27616A4D4B7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141201</xdr:colOff>
      <xdr:row>11</xdr:row>
      <xdr:rowOff>173923</xdr:rowOff>
    </xdr:from>
    <xdr:to>
      <xdr:col>41</xdr:col>
      <xdr:colOff>492635</xdr:colOff>
      <xdr:row>32</xdr:row>
      <xdr:rowOff>173526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2FA86765-85D9-4CDD-A11D-8B01F410F2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99671" y="2160838"/>
              <a:ext cx="5487314" cy="38762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533400</xdr:colOff>
      <xdr:row>12</xdr:row>
      <xdr:rowOff>1905</xdr:rowOff>
    </xdr:from>
    <xdr:to>
      <xdr:col>48</xdr:col>
      <xdr:colOff>0</xdr:colOff>
      <xdr:row>32</xdr:row>
      <xdr:rowOff>174863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58906AE5-C394-43EB-BD98-7D59D6B3A5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27750" y="2173605"/>
              <a:ext cx="5000625" cy="3864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149374</xdr:colOff>
      <xdr:row>33</xdr:row>
      <xdr:rowOff>193302</xdr:rowOff>
    </xdr:from>
    <xdr:to>
      <xdr:col>41</xdr:col>
      <xdr:colOff>493188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AA5D68D5-E4A2-441B-8A07-2F4E49C4D2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9749" y="6241677"/>
              <a:ext cx="5477789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41</xdr:col>
      <xdr:colOff>568474</xdr:colOff>
      <xdr:row>33</xdr:row>
      <xdr:rowOff>193302</xdr:rowOff>
    </xdr:from>
    <xdr:to>
      <xdr:col>48</xdr:col>
      <xdr:colOff>0</xdr:colOff>
      <xdr:row>54</xdr:row>
      <xdr:rowOff>152900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2B04369F-A97D-4EB0-954E-87CA431F76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824" y="6241677"/>
              <a:ext cx="4965551" cy="38934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0288250" y="50511075"/>
    <xdr:ext cx="7920000" cy="50400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2A393A42-3C49-455E-B530-508A16BCF5FE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851270" y="30052439"/>
    <xdr:ext cx="7920000" cy="5040000"/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7F5FB0B2-6F0E-4D6D-A52D-4A6A5E8094A2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twoCellAnchor>
    <xdr:from>
      <xdr:col>42</xdr:col>
      <xdr:colOff>150495</xdr:colOff>
      <xdr:row>22</xdr:row>
      <xdr:rowOff>19712</xdr:rowOff>
    </xdr:from>
    <xdr:to>
      <xdr:col>47</xdr:col>
      <xdr:colOff>511905</xdr:colOff>
      <xdr:row>22</xdr:row>
      <xdr:rowOff>19712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5832A147-C951-4AE8-A52D-FF6200D9CC02}"/>
            </a:ext>
          </a:extLst>
        </xdr:cNvPr>
        <xdr:cNvCxnSpPr/>
      </xdr:nvCxnSpPr>
      <xdr:spPr>
        <a:xfrm>
          <a:off x="31935420" y="4035452"/>
          <a:ext cx="4318095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587897</xdr:colOff>
      <xdr:row>21</xdr:row>
      <xdr:rowOff>75483</xdr:rowOff>
    </xdr:from>
    <xdr:to>
      <xdr:col>41</xdr:col>
      <xdr:colOff>212617</xdr:colOff>
      <xdr:row>21</xdr:row>
      <xdr:rowOff>75483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604743EA-21BA-4FF4-8C16-902E97B24328}"/>
            </a:ext>
          </a:extLst>
        </xdr:cNvPr>
        <xdr:cNvCxnSpPr/>
      </xdr:nvCxnSpPr>
      <xdr:spPr>
        <a:xfrm>
          <a:off x="26452082" y="3914058"/>
          <a:ext cx="4751075" cy="0"/>
        </a:xfrm>
        <a:prstGeom prst="line">
          <a:avLst/>
        </a:prstGeom>
        <a:ln w="3175"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567690</xdr:colOff>
      <xdr:row>55</xdr:row>
      <xdr:rowOff>59055</xdr:rowOff>
    </xdr:from>
    <xdr:to>
      <xdr:col>48</xdr:col>
      <xdr:colOff>0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21992ADE-1037-4CF2-A90D-91457BD6B4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62040" y="10218420"/>
              <a:ext cx="4966335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35</xdr:col>
      <xdr:colOff>186690</xdr:colOff>
      <xdr:row>55</xdr:row>
      <xdr:rowOff>59055</xdr:rowOff>
    </xdr:from>
    <xdr:to>
      <xdr:col>41</xdr:col>
      <xdr:colOff>534314</xdr:colOff>
      <xdr:row>76</xdr:row>
      <xdr:rowOff>22463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8AADFB7D-3A4F-412A-9FF7-46DE7D4BBB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47065" y="10218420"/>
              <a:ext cx="5481599" cy="38400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absoluteAnchor>
    <xdr:pos x="25824183" y="25105213"/>
    <xdr:ext cx="7920000" cy="5040000"/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B07A53B9-28A4-4839-8107-1034BF9C9A7E}"/>
            </a:ext>
          </a:extLst>
        </xdr:cNvPr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239395</xdr:colOff>
      <xdr:row>5</xdr:row>
      <xdr:rowOff>1</xdr:rowOff>
    </xdr:from>
    <xdr:to>
      <xdr:col>22</xdr:col>
      <xdr:colOff>210465</xdr:colOff>
      <xdr:row>30</xdr:row>
      <xdr:rowOff>1834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952CF3C-F789-400A-BCA1-B30AD8E6CF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252095</xdr:colOff>
      <xdr:row>31</xdr:row>
      <xdr:rowOff>176954</xdr:rowOff>
    </xdr:from>
    <xdr:to>
      <xdr:col>22</xdr:col>
      <xdr:colOff>215545</xdr:colOff>
      <xdr:row>53</xdr:row>
      <xdr:rowOff>178788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C715AAE-B5BC-4AC6-B87B-A15F58B52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372321</xdr:colOff>
      <xdr:row>5</xdr:row>
      <xdr:rowOff>1</xdr:rowOff>
    </xdr:from>
    <xdr:to>
      <xdr:col>32</xdr:col>
      <xdr:colOff>331961</xdr:colOff>
      <xdr:row>30</xdr:row>
      <xdr:rowOff>1834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24525D1-3FFF-461C-BB25-7FD904327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296879</xdr:colOff>
      <xdr:row>31</xdr:row>
      <xdr:rowOff>166369</xdr:rowOff>
    </xdr:from>
    <xdr:to>
      <xdr:col>32</xdr:col>
      <xdr:colOff>269854</xdr:colOff>
      <xdr:row>53</xdr:row>
      <xdr:rowOff>164393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8AC18E4-B690-4198-A01C-AAAE45926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382401</xdr:colOff>
      <xdr:row>55</xdr:row>
      <xdr:rowOff>175759</xdr:rowOff>
    </xdr:from>
    <xdr:to>
      <xdr:col>32</xdr:col>
      <xdr:colOff>349381</xdr:colOff>
      <xdr:row>77</xdr:row>
      <xdr:rowOff>170891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908A167-532E-45B6-B536-64AE210D5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246530</xdr:colOff>
      <xdr:row>56</xdr:row>
      <xdr:rowOff>-1</xdr:rowOff>
    </xdr:from>
    <xdr:to>
      <xdr:col>22</xdr:col>
      <xdr:colOff>209980</xdr:colOff>
      <xdr:row>78</xdr:row>
      <xdr:rowOff>1833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F7DA19BB-46A6-4685-B0D1-DF1B63A9C6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246529</xdr:colOff>
      <xdr:row>79</xdr:row>
      <xdr:rowOff>173803</xdr:rowOff>
    </xdr:from>
    <xdr:to>
      <xdr:col>22</xdr:col>
      <xdr:colOff>209979</xdr:colOff>
      <xdr:row>101</xdr:row>
      <xdr:rowOff>175636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B9B33DF-62C6-40CA-AAF0-AE46C37A6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381000</xdr:colOff>
      <xdr:row>79</xdr:row>
      <xdr:rowOff>168088</xdr:rowOff>
    </xdr:from>
    <xdr:to>
      <xdr:col>32</xdr:col>
      <xdr:colOff>349885</xdr:colOff>
      <xdr:row>101</xdr:row>
      <xdr:rowOff>170840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A12B9CC-2D3B-4761-B2F6-C7D20507D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160692</xdr:colOff>
      <xdr:row>534</xdr:row>
      <xdr:rowOff>7620</xdr:rowOff>
    </xdr:from>
    <xdr:to>
      <xdr:col>14</xdr:col>
      <xdr:colOff>184280</xdr:colOff>
      <xdr:row>555</xdr:row>
      <xdr:rowOff>65382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Gráfico 14">
              <a:extLst>
                <a:ext uri="{FF2B5EF4-FFF2-40B4-BE49-F238E27FC236}">
                  <a16:creationId xmlns:a16="http://schemas.microsoft.com/office/drawing/2014/main" id="{EC15B6BC-910E-4BC8-8260-6FBD5CE61F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30047" y="96650175"/>
              <a:ext cx="4944203" cy="38544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14</xdr:col>
      <xdr:colOff>268941</xdr:colOff>
      <xdr:row>533</xdr:row>
      <xdr:rowOff>166183</xdr:rowOff>
    </xdr:from>
    <xdr:to>
      <xdr:col>20</xdr:col>
      <xdr:colOff>468237</xdr:colOff>
      <xdr:row>555</xdr:row>
      <xdr:rowOff>50366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Gráfico 15">
              <a:extLst>
                <a:ext uri="{FF2B5EF4-FFF2-40B4-BE49-F238E27FC236}">
                  <a16:creationId xmlns:a16="http://schemas.microsoft.com/office/drawing/2014/main" id="{E0807151-F281-40E6-8814-4381B65BA3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60816" y="96629668"/>
              <a:ext cx="4944651" cy="38656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20</xdr:col>
      <xdr:colOff>573405</xdr:colOff>
      <xdr:row>533</xdr:row>
      <xdr:rowOff>177389</xdr:rowOff>
    </xdr:from>
    <xdr:to>
      <xdr:col>26</xdr:col>
      <xdr:colOff>768891</xdr:colOff>
      <xdr:row>555</xdr:row>
      <xdr:rowOff>63477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Gráfico 16">
              <a:extLst>
                <a:ext uri="{FF2B5EF4-FFF2-40B4-BE49-F238E27FC236}">
                  <a16:creationId xmlns:a16="http://schemas.microsoft.com/office/drawing/2014/main" id="{8E50A380-952E-43C9-A1BF-51B758BD89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08730" y="96633254"/>
              <a:ext cx="4940841" cy="38675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8</xdr:col>
      <xdr:colOff>171899</xdr:colOff>
      <xdr:row>555</xdr:row>
      <xdr:rowOff>158788</xdr:rowOff>
    </xdr:from>
    <xdr:to>
      <xdr:col>14</xdr:col>
      <xdr:colOff>193582</xdr:colOff>
      <xdr:row>577</xdr:row>
      <xdr:rowOff>41065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8" name="Gráfico 17">
              <a:extLst>
                <a:ext uri="{FF2B5EF4-FFF2-40B4-BE49-F238E27FC236}">
                  <a16:creationId xmlns:a16="http://schemas.microsoft.com/office/drawing/2014/main" id="{DC4EC034-DD81-41EB-AA3B-72D10C0787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35539" y="100601818"/>
              <a:ext cx="4949918" cy="38618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14</xdr:col>
      <xdr:colOff>261546</xdr:colOff>
      <xdr:row>555</xdr:row>
      <xdr:rowOff>156883</xdr:rowOff>
    </xdr:from>
    <xdr:to>
      <xdr:col>20</xdr:col>
      <xdr:colOff>451317</xdr:colOff>
      <xdr:row>577</xdr:row>
      <xdr:rowOff>31540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Gráfico 18">
              <a:extLst>
                <a:ext uri="{FF2B5EF4-FFF2-40B4-BE49-F238E27FC236}">
                  <a16:creationId xmlns:a16="http://schemas.microsoft.com/office/drawing/2014/main" id="{854C261D-D5D7-4264-B851-5FBBB0AA75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51516" y="100599913"/>
              <a:ext cx="4933221" cy="38522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32</xdr:col>
      <xdr:colOff>612321</xdr:colOff>
      <xdr:row>5</xdr:row>
      <xdr:rowOff>6022</xdr:rowOff>
    </xdr:from>
    <xdr:to>
      <xdr:col>36</xdr:col>
      <xdr:colOff>287927</xdr:colOff>
      <xdr:row>30</xdr:row>
      <xdr:rowOff>19526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B943E60-B9D3-54A4-D482-DCF6A586C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003250" y="890486"/>
          <a:ext cx="2840083" cy="4439636"/>
        </a:xfrm>
        <a:prstGeom prst="rect">
          <a:avLst/>
        </a:prstGeom>
      </xdr:spPr>
    </xdr:pic>
    <xdr:clientData/>
  </xdr:twoCellAnchor>
  <xdr:twoCellAnchor editAs="oneCell">
    <xdr:from>
      <xdr:col>32</xdr:col>
      <xdr:colOff>773701</xdr:colOff>
      <xdr:row>31</xdr:row>
      <xdr:rowOff>151376</xdr:rowOff>
    </xdr:from>
    <xdr:to>
      <xdr:col>36</xdr:col>
      <xdr:colOff>209291</xdr:colOff>
      <xdr:row>54</xdr:row>
      <xdr:rowOff>133894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FD31D9A-D1A9-E037-CB52-EB71193A8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164630" y="5635055"/>
          <a:ext cx="2601972" cy="4041528"/>
        </a:xfrm>
        <a:prstGeom prst="rect">
          <a:avLst/>
        </a:prstGeom>
      </xdr:spPr>
    </xdr:pic>
    <xdr:clientData/>
  </xdr:twoCellAnchor>
  <xdr:twoCellAnchor editAs="oneCell">
    <xdr:from>
      <xdr:col>32</xdr:col>
      <xdr:colOff>779688</xdr:colOff>
      <xdr:row>55</xdr:row>
      <xdr:rowOff>54237</xdr:rowOff>
    </xdr:from>
    <xdr:to>
      <xdr:col>36</xdr:col>
      <xdr:colOff>53826</xdr:colOff>
      <xdr:row>78</xdr:row>
      <xdr:rowOff>149679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4C1E860-DD61-A53A-11AB-99FB87B0F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170617" y="9783344"/>
          <a:ext cx="2427185" cy="4163978"/>
        </a:xfrm>
        <a:prstGeom prst="rect">
          <a:avLst/>
        </a:prstGeom>
      </xdr:spPr>
    </xdr:pic>
    <xdr:clientData/>
  </xdr:twoCellAnchor>
  <xdr:twoCellAnchor editAs="oneCell">
    <xdr:from>
      <xdr:col>33</xdr:col>
      <xdr:colOff>25309</xdr:colOff>
      <xdr:row>79</xdr:row>
      <xdr:rowOff>40821</xdr:rowOff>
    </xdr:from>
    <xdr:to>
      <xdr:col>36</xdr:col>
      <xdr:colOff>93073</xdr:colOff>
      <xdr:row>102</xdr:row>
      <xdr:rowOff>56020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651CE99-4F15-C400-83BE-F03F035C4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205452" y="14015357"/>
          <a:ext cx="2423977" cy="4097069"/>
        </a:xfrm>
        <a:prstGeom prst="rect">
          <a:avLst/>
        </a:prstGeom>
      </xdr:spPr>
    </xdr:pic>
    <xdr:clientData/>
  </xdr:twoCellAnchor>
  <xdr:twoCellAnchor>
    <xdr:from>
      <xdr:col>12</xdr:col>
      <xdr:colOff>228600</xdr:colOff>
      <xdr:row>103</xdr:row>
      <xdr:rowOff>97971</xdr:rowOff>
    </xdr:from>
    <xdr:to>
      <xdr:col>22</xdr:col>
      <xdr:colOff>134420</xdr:colOff>
      <xdr:row>127</xdr:row>
      <xdr:rowOff>140786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F1EA570-18D1-4D72-9557-2BA97FF62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779930</xdr:colOff>
      <xdr:row>276</xdr:row>
      <xdr:rowOff>0</xdr:rowOff>
    </xdr:from>
    <xdr:to>
      <xdr:col>13</xdr:col>
      <xdr:colOff>784412</xdr:colOff>
      <xdr:row>297</xdr:row>
      <xdr:rowOff>53952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70204E68-4E69-4B2A-B0A2-D2B2466909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84465" y="49949100"/>
              <a:ext cx="4940337" cy="38582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7</xdr:col>
      <xdr:colOff>783739</xdr:colOff>
      <xdr:row>297</xdr:row>
      <xdr:rowOff>135030</xdr:rowOff>
    </xdr:from>
    <xdr:to>
      <xdr:col>13</xdr:col>
      <xdr:colOff>780601</xdr:colOff>
      <xdr:row>318</xdr:row>
      <xdr:rowOff>22412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F0E02773-BBD2-451E-BD19-7674E72494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80654" y="53880795"/>
              <a:ext cx="4947957" cy="36878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21</xdr:col>
      <xdr:colOff>35861</xdr:colOff>
      <xdr:row>276</xdr:row>
      <xdr:rowOff>0</xdr:rowOff>
    </xdr:from>
    <xdr:to>
      <xdr:col>27</xdr:col>
      <xdr:colOff>0</xdr:colOff>
      <xdr:row>297</xdr:row>
      <xdr:rowOff>53952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63415FAB-61A8-4D70-B3BE-9387F48EA8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361836" y="49949100"/>
              <a:ext cx="4707589" cy="38582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21</xdr:col>
      <xdr:colOff>35860</xdr:colOff>
      <xdr:row>297</xdr:row>
      <xdr:rowOff>135031</xdr:rowOff>
    </xdr:from>
    <xdr:to>
      <xdr:col>26</xdr:col>
      <xdr:colOff>793712</xdr:colOff>
      <xdr:row>318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A1981AA0-31CE-4A59-ADE1-85BE47D9CD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361835" y="53880796"/>
              <a:ext cx="4708822" cy="36692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6</xdr:col>
      <xdr:colOff>531121</xdr:colOff>
      <xdr:row>325</xdr:row>
      <xdr:rowOff>6051</xdr:rowOff>
    </xdr:from>
    <xdr:to>
      <xdr:col>12</xdr:col>
      <xdr:colOff>398369</xdr:colOff>
      <xdr:row>340</xdr:row>
      <xdr:rowOff>1906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FDCAA7B-EA76-47FA-9397-997F44F3B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773543</xdr:colOff>
      <xdr:row>324</xdr:row>
      <xdr:rowOff>169992</xdr:rowOff>
    </xdr:from>
    <xdr:to>
      <xdr:col>6</xdr:col>
      <xdr:colOff>328594</xdr:colOff>
      <xdr:row>339</xdr:row>
      <xdr:rowOff>173391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B7D81EF-687D-4DA0-B365-F2F04EAF07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46729</xdr:colOff>
      <xdr:row>276</xdr:row>
      <xdr:rowOff>0</xdr:rowOff>
    </xdr:from>
    <xdr:to>
      <xdr:col>39</xdr:col>
      <xdr:colOff>784412</xdr:colOff>
      <xdr:row>297</xdr:row>
      <xdr:rowOff>57762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5EDEB878-BC36-4379-9E87-4A68130964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928309" y="49949100"/>
              <a:ext cx="4684843" cy="38544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34</xdr:col>
      <xdr:colOff>0</xdr:colOff>
      <xdr:row>297</xdr:row>
      <xdr:rowOff>97267</xdr:rowOff>
    </xdr:from>
    <xdr:to>
      <xdr:col>39</xdr:col>
      <xdr:colOff>741493</xdr:colOff>
      <xdr:row>318</xdr:row>
      <xdr:rowOff>11206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B9F6676C-7884-4D6F-8852-620A7F6013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879675" y="53843032"/>
              <a:ext cx="4698178" cy="37201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7397</xdr:colOff>
      <xdr:row>463</xdr:row>
      <xdr:rowOff>154356</xdr:rowOff>
    </xdr:from>
    <xdr:to>
      <xdr:col>11</xdr:col>
      <xdr:colOff>616594</xdr:colOff>
      <xdr:row>485</xdr:row>
      <xdr:rowOff>107171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36806FC-1862-4B50-9A8D-0E7B35383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11207</xdr:colOff>
      <xdr:row>486</xdr:row>
      <xdr:rowOff>9524</xdr:rowOff>
    </xdr:from>
    <xdr:to>
      <xdr:col>11</xdr:col>
      <xdr:colOff>603259</xdr:colOff>
      <xdr:row>507</xdr:row>
      <xdr:rowOff>122584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A816E4E-1450-483C-8FD2-2A8D145811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393</xdr:row>
      <xdr:rowOff>0</xdr:rowOff>
    </xdr:from>
    <xdr:to>
      <xdr:col>11</xdr:col>
      <xdr:colOff>609197</xdr:colOff>
      <xdr:row>414</xdr:row>
      <xdr:rowOff>135920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BCCCF3F-B9CF-4B03-8733-7CFCA0E4C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414</xdr:row>
      <xdr:rowOff>168089</xdr:rowOff>
    </xdr:from>
    <xdr:to>
      <xdr:col>11</xdr:col>
      <xdr:colOff>609197</xdr:colOff>
      <xdr:row>436</xdr:row>
      <xdr:rowOff>124714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ACB56184-E39B-45A9-92F2-ADECD9D7E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127372</xdr:colOff>
      <xdr:row>325</xdr:row>
      <xdr:rowOff>4147</xdr:rowOff>
    </xdr:from>
    <xdr:to>
      <xdr:col>27</xdr:col>
      <xdr:colOff>84267</xdr:colOff>
      <xdr:row>340</xdr:row>
      <xdr:rowOff>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858928B7-FBF0-4C3D-A111-E26DDA5F5E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0</xdr:colOff>
      <xdr:row>325</xdr:row>
      <xdr:rowOff>0</xdr:rowOff>
    </xdr:from>
    <xdr:to>
      <xdr:col>20</xdr:col>
      <xdr:colOff>585991</xdr:colOff>
      <xdr:row>340</xdr:row>
      <xdr:rowOff>3399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C2A533B-4028-4551-8118-EC43E58D6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0</xdr:colOff>
      <xdr:row>393</xdr:row>
      <xdr:rowOff>0</xdr:rowOff>
    </xdr:from>
    <xdr:to>
      <xdr:col>24</xdr:col>
      <xdr:colOff>698844</xdr:colOff>
      <xdr:row>414</xdr:row>
      <xdr:rowOff>132110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2E35DD27-92EB-428E-8E29-F5A0C17531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0</xdr:colOff>
      <xdr:row>415</xdr:row>
      <xdr:rowOff>0</xdr:rowOff>
    </xdr:from>
    <xdr:to>
      <xdr:col>24</xdr:col>
      <xdr:colOff>698844</xdr:colOff>
      <xdr:row>436</xdr:row>
      <xdr:rowOff>134014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34CDFDE9-71E3-49EA-9BE6-F8452CA7E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464</xdr:row>
      <xdr:rowOff>0</xdr:rowOff>
    </xdr:from>
    <xdr:to>
      <xdr:col>23</xdr:col>
      <xdr:colOff>441109</xdr:colOff>
      <xdr:row>485</xdr:row>
      <xdr:rowOff>130204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E821EE2B-ADDF-4DB9-A763-FAE5D3A65F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3810</xdr:colOff>
      <xdr:row>486</xdr:row>
      <xdr:rowOff>36367</xdr:rowOff>
    </xdr:from>
    <xdr:to>
      <xdr:col>23</xdr:col>
      <xdr:colOff>423964</xdr:colOff>
      <xdr:row>507</xdr:row>
      <xdr:rowOff>149427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7CD5F40C-98FD-4860-9CE4-011483648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131182</xdr:colOff>
      <xdr:row>325</xdr:row>
      <xdr:rowOff>6052</xdr:rowOff>
    </xdr:from>
    <xdr:to>
      <xdr:col>40</xdr:col>
      <xdr:colOff>86172</xdr:colOff>
      <xdr:row>340</xdr:row>
      <xdr:rowOff>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433388FA-AD1E-4204-813D-C5E3DE757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28</xdr:col>
      <xdr:colOff>0</xdr:colOff>
      <xdr:row>325</xdr:row>
      <xdr:rowOff>0</xdr:rowOff>
    </xdr:from>
    <xdr:to>
      <xdr:col>33</xdr:col>
      <xdr:colOff>589802</xdr:colOff>
      <xdr:row>340</xdr:row>
      <xdr:rowOff>3399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E7C27E3B-AD91-424A-899C-3B0DEDB65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28</xdr:col>
      <xdr:colOff>0</xdr:colOff>
      <xdr:row>393</xdr:row>
      <xdr:rowOff>0</xdr:rowOff>
    </xdr:from>
    <xdr:to>
      <xdr:col>37</xdr:col>
      <xdr:colOff>702654</xdr:colOff>
      <xdr:row>414</xdr:row>
      <xdr:rowOff>135920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C78EF9A3-DDCE-403F-B705-B97EF3B1F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28</xdr:col>
      <xdr:colOff>13111</xdr:colOff>
      <xdr:row>415</xdr:row>
      <xdr:rowOff>7395</xdr:rowOff>
    </xdr:from>
    <xdr:to>
      <xdr:col>37</xdr:col>
      <xdr:colOff>706240</xdr:colOff>
      <xdr:row>436</xdr:row>
      <xdr:rowOff>152839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A2054406-2BE3-44BD-B4C8-A1CB69F9E0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27</xdr:col>
      <xdr:colOff>0</xdr:colOff>
      <xdr:row>464</xdr:row>
      <xdr:rowOff>0</xdr:rowOff>
    </xdr:from>
    <xdr:to>
      <xdr:col>36</xdr:col>
      <xdr:colOff>426093</xdr:colOff>
      <xdr:row>485</xdr:row>
      <xdr:rowOff>134014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C1375434-F2F3-488C-BFEB-C410A48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27</xdr:col>
      <xdr:colOff>5715</xdr:colOff>
      <xdr:row>486</xdr:row>
      <xdr:rowOff>36367</xdr:rowOff>
    </xdr:from>
    <xdr:to>
      <xdr:col>36</xdr:col>
      <xdr:colOff>414663</xdr:colOff>
      <xdr:row>507</xdr:row>
      <xdr:rowOff>149427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198A4018-5B95-4A26-B72C-9C659B698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549088</xdr:colOff>
      <xdr:row>66</xdr:row>
      <xdr:rowOff>224</xdr:rowOff>
    </xdr:from>
    <xdr:to>
      <xdr:col>8</xdr:col>
      <xdr:colOff>268941</xdr:colOff>
      <xdr:row>87</xdr:row>
      <xdr:rowOff>122810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3E04D45-F05B-4C8B-BD3C-6124F772B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474456</xdr:colOff>
      <xdr:row>66</xdr:row>
      <xdr:rowOff>1905</xdr:rowOff>
    </xdr:from>
    <xdr:to>
      <xdr:col>16</xdr:col>
      <xdr:colOff>403411</xdr:colOff>
      <xdr:row>87</xdr:row>
      <xdr:rowOff>118776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F207FB1-B66A-42C4-873C-7B7E8F946C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571499</xdr:colOff>
      <xdr:row>66</xdr:row>
      <xdr:rowOff>0</xdr:rowOff>
    </xdr:from>
    <xdr:to>
      <xdr:col>24</xdr:col>
      <xdr:colOff>519056</xdr:colOff>
      <xdr:row>87</xdr:row>
      <xdr:rowOff>116871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8E2202B-D5A3-467F-AA5C-AC04D5C319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1</xdr:col>
      <xdr:colOff>411480</xdr:colOff>
      <xdr:row>97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00D1D9-E4C0-4D3D-A2B8-70685112D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17459325"/>
          <a:ext cx="409575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97</xdr:row>
      <xdr:rowOff>0</xdr:rowOff>
    </xdr:from>
    <xdr:to>
      <xdr:col>1</xdr:col>
      <xdr:colOff>411480</xdr:colOff>
      <xdr:row>98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72BCCF1-D9C7-4AD6-98C9-DC8C5A75C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17687925"/>
          <a:ext cx="409575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1</xdr:col>
      <xdr:colOff>320040</xdr:colOff>
      <xdr:row>99</xdr:row>
      <xdr:rowOff>205740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E9A7412-82E5-4698-84D9-0FCC4B763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18145125"/>
          <a:ext cx="3238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96</xdr:row>
      <xdr:rowOff>0</xdr:rowOff>
    </xdr:from>
    <xdr:to>
      <xdr:col>9</xdr:col>
      <xdr:colOff>411480</xdr:colOff>
      <xdr:row>97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7B3910A-3DE6-4333-ADD6-F1A4102FB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17459325"/>
          <a:ext cx="409575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97</xdr:row>
      <xdr:rowOff>0</xdr:rowOff>
    </xdr:from>
    <xdr:to>
      <xdr:col>9</xdr:col>
      <xdr:colOff>411480</xdr:colOff>
      <xdr:row>98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ABD9656-11B2-480A-9E74-93588D82C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17687925"/>
          <a:ext cx="409575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99</xdr:row>
      <xdr:rowOff>0</xdr:rowOff>
    </xdr:from>
    <xdr:to>
      <xdr:col>9</xdr:col>
      <xdr:colOff>320040</xdr:colOff>
      <xdr:row>99</xdr:row>
      <xdr:rowOff>205740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CCD1466-25E0-46E1-AE39-31CE9DC2C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18145125"/>
          <a:ext cx="3238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96</xdr:row>
      <xdr:rowOff>0</xdr:rowOff>
    </xdr:from>
    <xdr:to>
      <xdr:col>17</xdr:col>
      <xdr:colOff>411480</xdr:colOff>
      <xdr:row>97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D59CBE9-685B-4932-BC07-CD06E538C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0" y="17459325"/>
          <a:ext cx="409575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97</xdr:row>
      <xdr:rowOff>0</xdr:rowOff>
    </xdr:from>
    <xdr:to>
      <xdr:col>17</xdr:col>
      <xdr:colOff>411480</xdr:colOff>
      <xdr:row>98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1EDD2CB-924C-4A83-B405-7A0D42891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0" y="17687925"/>
          <a:ext cx="409575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99</xdr:row>
      <xdr:rowOff>0</xdr:rowOff>
    </xdr:from>
    <xdr:to>
      <xdr:col>17</xdr:col>
      <xdr:colOff>320040</xdr:colOff>
      <xdr:row>99</xdr:row>
      <xdr:rowOff>205740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5322808-BD59-4151-BF7B-2491BC7B8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0" y="18145125"/>
          <a:ext cx="3238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427728</xdr:colOff>
      <xdr:row>101</xdr:row>
      <xdr:rowOff>46728</xdr:rowOff>
    </xdr:from>
    <xdr:to>
      <xdr:col>10</xdr:col>
      <xdr:colOff>284741</xdr:colOff>
      <xdr:row>104</xdr:row>
      <xdr:rowOff>134358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69B74AD-E67E-419F-A9D4-1BE8B8E21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8458" y="18555708"/>
          <a:ext cx="6583568" cy="624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96</xdr:row>
      <xdr:rowOff>0</xdr:rowOff>
    </xdr:from>
    <xdr:to>
      <xdr:col>3</xdr:col>
      <xdr:colOff>533400</xdr:colOff>
      <xdr:row>96</xdr:row>
      <xdr:rowOff>205740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FF55202F-F1C0-49E0-9A0B-90F6C33A5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7459325"/>
          <a:ext cx="5334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97</xdr:row>
      <xdr:rowOff>0</xdr:rowOff>
    </xdr:from>
    <xdr:to>
      <xdr:col>3</xdr:col>
      <xdr:colOff>533400</xdr:colOff>
      <xdr:row>97</xdr:row>
      <xdr:rowOff>205740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3606111-14ED-43CC-9862-BBCC89939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7687925"/>
          <a:ext cx="5334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99</xdr:row>
      <xdr:rowOff>0</xdr:rowOff>
    </xdr:from>
    <xdr:to>
      <xdr:col>3</xdr:col>
      <xdr:colOff>525780</xdr:colOff>
      <xdr:row>99</xdr:row>
      <xdr:rowOff>205740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612D819-EC22-4D71-9479-F14F24584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8145125"/>
          <a:ext cx="5238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98</xdr:row>
      <xdr:rowOff>0</xdr:rowOff>
    </xdr:from>
    <xdr:to>
      <xdr:col>3</xdr:col>
      <xdr:colOff>586740</xdr:colOff>
      <xdr:row>98</xdr:row>
      <xdr:rowOff>205740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879F1922-36AD-4A03-9538-E0C6FF738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7916525"/>
          <a:ext cx="590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96</xdr:row>
      <xdr:rowOff>0</xdr:rowOff>
    </xdr:from>
    <xdr:to>
      <xdr:col>11</xdr:col>
      <xdr:colOff>533400</xdr:colOff>
      <xdr:row>96</xdr:row>
      <xdr:rowOff>205740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A139836-808E-441C-8EF4-A966267D7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17459325"/>
          <a:ext cx="5334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97</xdr:row>
      <xdr:rowOff>0</xdr:rowOff>
    </xdr:from>
    <xdr:to>
      <xdr:col>11</xdr:col>
      <xdr:colOff>533400</xdr:colOff>
      <xdr:row>97</xdr:row>
      <xdr:rowOff>205740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89D74C2-229F-44C7-A9D2-B656A51F4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17687925"/>
          <a:ext cx="5334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99</xdr:row>
      <xdr:rowOff>0</xdr:rowOff>
    </xdr:from>
    <xdr:to>
      <xdr:col>11</xdr:col>
      <xdr:colOff>525780</xdr:colOff>
      <xdr:row>99</xdr:row>
      <xdr:rowOff>205740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50C1A514-6B60-4F65-9582-048129241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18145125"/>
          <a:ext cx="5238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98</xdr:row>
      <xdr:rowOff>0</xdr:rowOff>
    </xdr:from>
    <xdr:to>
      <xdr:col>11</xdr:col>
      <xdr:colOff>586740</xdr:colOff>
      <xdr:row>98</xdr:row>
      <xdr:rowOff>205740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477F02F2-E795-47F9-9243-8D890A322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17916525"/>
          <a:ext cx="590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96</xdr:row>
      <xdr:rowOff>0</xdr:rowOff>
    </xdr:from>
    <xdr:to>
      <xdr:col>19</xdr:col>
      <xdr:colOff>533400</xdr:colOff>
      <xdr:row>96</xdr:row>
      <xdr:rowOff>205740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41A06B27-D41D-4706-85AB-E90CFF5E3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63925" y="17459325"/>
          <a:ext cx="5334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97</xdr:row>
      <xdr:rowOff>0</xdr:rowOff>
    </xdr:from>
    <xdr:to>
      <xdr:col>19</xdr:col>
      <xdr:colOff>533400</xdr:colOff>
      <xdr:row>97</xdr:row>
      <xdr:rowOff>205740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B2A8FF8-ACD8-4A2C-AA40-8B2C20B73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63925" y="17687925"/>
          <a:ext cx="5334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99</xdr:row>
      <xdr:rowOff>0</xdr:rowOff>
    </xdr:from>
    <xdr:to>
      <xdr:col>19</xdr:col>
      <xdr:colOff>525780</xdr:colOff>
      <xdr:row>99</xdr:row>
      <xdr:rowOff>205740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8360EDEE-38AE-4AE1-8E45-493B801BC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63925" y="18145125"/>
          <a:ext cx="52387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98</xdr:row>
      <xdr:rowOff>0</xdr:rowOff>
    </xdr:from>
    <xdr:to>
      <xdr:col>19</xdr:col>
      <xdr:colOff>586740</xdr:colOff>
      <xdr:row>98</xdr:row>
      <xdr:rowOff>205740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39A1670F-0C83-44AE-BB89-3739BEFE5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63925" y="17916525"/>
          <a:ext cx="590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394446</xdr:colOff>
      <xdr:row>90</xdr:row>
      <xdr:rowOff>89646</xdr:rowOff>
    </xdr:from>
    <xdr:to>
      <xdr:col>18</xdr:col>
      <xdr:colOff>17222</xdr:colOff>
      <xdr:row>92</xdr:row>
      <xdr:rowOff>188258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8982F43-A923-4B63-B9C1-9E4F96D0A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12326" y="16556466"/>
          <a:ext cx="1497296" cy="471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631190</xdr:colOff>
      <xdr:row>1</xdr:row>
      <xdr:rowOff>0</xdr:rowOff>
    </xdr:from>
    <xdr:to>
      <xdr:col>50</xdr:col>
      <xdr:colOff>770679</xdr:colOff>
      <xdr:row>27</xdr:row>
      <xdr:rowOff>144357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3155026-2C1A-F9D9-48BC-B4AD20266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191559</xdr:colOff>
      <xdr:row>54</xdr:row>
      <xdr:rowOff>143298</xdr:rowOff>
    </xdr:from>
    <xdr:to>
      <xdr:col>31</xdr:col>
      <xdr:colOff>719667</xdr:colOff>
      <xdr:row>81</xdr:row>
      <xdr:rowOff>100118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D524F72-96B5-4297-8698-01DEB70D1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189653</xdr:colOff>
      <xdr:row>27</xdr:row>
      <xdr:rowOff>156844</xdr:rowOff>
    </xdr:from>
    <xdr:to>
      <xdr:col>31</xdr:col>
      <xdr:colOff>729191</xdr:colOff>
      <xdr:row>54</xdr:row>
      <xdr:rowOff>119379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ADE7AE4-134A-462C-B212-FCB89655D7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188595</xdr:colOff>
      <xdr:row>1</xdr:row>
      <xdr:rowOff>0</xdr:rowOff>
    </xdr:from>
    <xdr:to>
      <xdr:col>31</xdr:col>
      <xdr:colOff>733848</xdr:colOff>
      <xdr:row>27</xdr:row>
      <xdr:rowOff>140547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1C09478-4825-41CB-9BBF-D6BBDAFDC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185632</xdr:colOff>
      <xdr:row>81</xdr:row>
      <xdr:rowOff>116417</xdr:rowOff>
    </xdr:from>
    <xdr:to>
      <xdr:col>31</xdr:col>
      <xdr:colOff>727075</xdr:colOff>
      <xdr:row>108</xdr:row>
      <xdr:rowOff>69427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3D85574-25F8-49AB-ADC0-015404AEE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156845</xdr:colOff>
      <xdr:row>108</xdr:row>
      <xdr:rowOff>86572</xdr:rowOff>
    </xdr:from>
    <xdr:to>
      <xdr:col>31</xdr:col>
      <xdr:colOff>702098</xdr:colOff>
      <xdr:row>134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CEE6BEA-D52E-4E54-ABF8-E5B00557CB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754379</xdr:colOff>
      <xdr:row>0</xdr:row>
      <xdr:rowOff>178011</xdr:rowOff>
    </xdr:from>
    <xdr:to>
      <xdr:col>41</xdr:col>
      <xdr:colOff>519217</xdr:colOff>
      <xdr:row>27</xdr:row>
      <xdr:rowOff>131021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4E48F06-7380-4340-9C96-4D0D47435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747607</xdr:colOff>
      <xdr:row>27</xdr:row>
      <xdr:rowOff>160655</xdr:rowOff>
    </xdr:from>
    <xdr:to>
      <xdr:col>41</xdr:col>
      <xdr:colOff>499110</xdr:colOff>
      <xdr:row>54</xdr:row>
      <xdr:rowOff>121285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CAE12EE-C068-4DD8-AF39-CF6458018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740834</xdr:colOff>
      <xdr:row>54</xdr:row>
      <xdr:rowOff>148167</xdr:rowOff>
    </xdr:from>
    <xdr:to>
      <xdr:col>41</xdr:col>
      <xdr:colOff>473287</xdr:colOff>
      <xdr:row>81</xdr:row>
      <xdr:rowOff>101177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5D24D3D-FDC4-4FB4-978C-DA2CE58AB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742738</xdr:colOff>
      <xdr:row>81</xdr:row>
      <xdr:rowOff>118322</xdr:rowOff>
    </xdr:from>
    <xdr:to>
      <xdr:col>41</xdr:col>
      <xdr:colOff>486621</xdr:colOff>
      <xdr:row>108</xdr:row>
      <xdr:rowOff>73237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55123A7-E6EA-43B2-90FD-323D730E84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751417</xdr:colOff>
      <xdr:row>108</xdr:row>
      <xdr:rowOff>84666</xdr:rowOff>
    </xdr:from>
    <xdr:to>
      <xdr:col>41</xdr:col>
      <xdr:colOff>508635</xdr:colOff>
      <xdr:row>134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22CCC70-8B17-4870-A718-C790F5851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389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6974866-C701-AF54-2893-2C50DFCEC40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389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0B7D31-1B1D-2A20-48FC-28EE78BB36E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10833379" cy="7860742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5B464B-ABF4-55FB-EAC3-A30FD2B5207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10833379" cy="7860742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CD8C800-4074-C3A8-381D-70FAB8160B9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10833379" cy="7860742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885DBE2-D4E8-6238-7E66-3F9DCEFAB4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10833379" cy="7860742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C34198F-D54E-E837-57CD-C8B236B2BA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ene\Dropbox\POLIMI\Semestre%204\Thesis\Processing_GUE.xlsx" TargetMode="External"/><Relationship Id="rId1" Type="http://schemas.openxmlformats.org/officeDocument/2006/relationships/externalLinkPath" Target="Processing_GU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mple_size"/>
      <sheetName val="77_Seeds"/>
      <sheetName val="88_Seeds"/>
      <sheetName val="88T_Seeds"/>
      <sheetName val="91T_Seeds"/>
      <sheetName val="01T_Seeds"/>
      <sheetName val="07E_Seeds"/>
      <sheetName val="11E_Seeds"/>
      <sheetName val="15O_Seeds"/>
      <sheetName val="19O_Seeds"/>
      <sheetName val="19M_Seeds"/>
      <sheetName val="24M_Seeds"/>
      <sheetName val="GUE_all"/>
      <sheetName val="GUE_Stats"/>
      <sheetName val="GUE_PA_HC"/>
      <sheetName val="GUE_PA_Change"/>
      <sheetName val="Cumulative"/>
      <sheetName val="Spectral"/>
      <sheetName val="PA-UA Plot"/>
      <sheetName val="PA-UA Plot C"/>
      <sheetName val="PA-CV Plot"/>
      <sheetName val="PA-CV Plot C"/>
      <sheetName val="CV-UA Plot C"/>
      <sheetName val="CV-UA Plo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6">
          <cell r="J6" t="str">
            <v>Ô</v>
          </cell>
          <cell r="K6">
            <v>0.90566080639610325</v>
          </cell>
          <cell r="L6">
            <v>1977</v>
          </cell>
        </row>
        <row r="7">
          <cell r="K7">
            <v>6.4183019921026973E-3</v>
          </cell>
          <cell r="L7">
            <v>1988</v>
          </cell>
        </row>
        <row r="8">
          <cell r="L8" t="str">
            <v>1988T</v>
          </cell>
        </row>
        <row r="9">
          <cell r="L9" t="str">
            <v>1991T</v>
          </cell>
        </row>
        <row r="10">
          <cell r="L10" t="str">
            <v>2001T</v>
          </cell>
        </row>
        <row r="11">
          <cell r="L11" t="str">
            <v>2007E</v>
          </cell>
        </row>
        <row r="12">
          <cell r="L12" t="str">
            <v>2011E</v>
          </cell>
        </row>
        <row r="13">
          <cell r="L13" t="str">
            <v>15O</v>
          </cell>
        </row>
        <row r="14">
          <cell r="L14" t="str">
            <v xml:space="preserve"> 2019O</v>
          </cell>
        </row>
        <row r="15">
          <cell r="L15" t="str">
            <v xml:space="preserve"> 2019M</v>
          </cell>
        </row>
        <row r="16">
          <cell r="L16" t="str">
            <v>2024M</v>
          </cell>
        </row>
        <row r="54">
          <cell r="K54">
            <v>0.88226203498183009</v>
          </cell>
        </row>
        <row r="55">
          <cell r="K55">
            <v>6.6407652331395735E-3</v>
          </cell>
        </row>
        <row r="102">
          <cell r="K102">
            <v>0.94497894827037632</v>
          </cell>
        </row>
        <row r="103">
          <cell r="K103">
            <v>2.1390344995911837E-3</v>
          </cell>
        </row>
        <row r="150">
          <cell r="K150">
            <v>0.91800380862285236</v>
          </cell>
        </row>
        <row r="151">
          <cell r="K151">
            <v>2.7122304755798632E-3</v>
          </cell>
        </row>
        <row r="198">
          <cell r="K198">
            <v>0.92964975936647731</v>
          </cell>
        </row>
        <row r="199">
          <cell r="K199">
            <v>2.5431929706373497E-3</v>
          </cell>
        </row>
        <row r="246">
          <cell r="K246">
            <v>0.92880721576612801</v>
          </cell>
        </row>
        <row r="247">
          <cell r="K247">
            <v>2.7761448885463206E-3</v>
          </cell>
        </row>
        <row r="294">
          <cell r="K294">
            <v>0.9363108913692294</v>
          </cell>
        </row>
        <row r="295">
          <cell r="K295">
            <v>2.3555218478968389E-3</v>
          </cell>
        </row>
        <row r="342">
          <cell r="K342">
            <v>0.93883073820584828</v>
          </cell>
        </row>
        <row r="343">
          <cell r="K343">
            <v>2.2750917392034883E-3</v>
          </cell>
        </row>
        <row r="390">
          <cell r="K390">
            <v>0.94599013363562678</v>
          </cell>
        </row>
        <row r="391">
          <cell r="K391">
            <v>2.156092163808633E-3</v>
          </cell>
        </row>
        <row r="438">
          <cell r="K438">
            <v>0.92759401818085974</v>
          </cell>
        </row>
        <row r="439">
          <cell r="K439">
            <v>2.3702762785370495E-3</v>
          </cell>
        </row>
        <row r="486">
          <cell r="K486">
            <v>0.92660634100924721</v>
          </cell>
        </row>
        <row r="487">
          <cell r="K487">
            <v>2.4816070541914823E-3</v>
          </cell>
        </row>
      </sheetData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670B-5636-41B8-8364-8E559175A2CF}">
  <dimension ref="B4:H25"/>
  <sheetViews>
    <sheetView workbookViewId="0">
      <selection activeCell="E10" sqref="E10:H14"/>
    </sheetView>
  </sheetViews>
  <sheetFormatPr baseColWidth="10" defaultRowHeight="14.4" x14ac:dyDescent="0.3"/>
  <sheetData>
    <row r="4" spans="2:8" ht="15.6" x14ac:dyDescent="0.3">
      <c r="E4" s="39">
        <v>0.01</v>
      </c>
    </row>
    <row r="7" spans="2:8" ht="18" x14ac:dyDescent="0.4">
      <c r="C7" s="13" t="s">
        <v>633</v>
      </c>
      <c r="F7" s="38" t="s">
        <v>40</v>
      </c>
    </row>
    <row r="8" spans="2:8" ht="15.6" x14ac:dyDescent="0.35">
      <c r="C8" s="12"/>
      <c r="D8" s="1" t="s">
        <v>18</v>
      </c>
      <c r="E8" s="1" t="s">
        <v>32</v>
      </c>
      <c r="F8" s="1" t="s">
        <v>41</v>
      </c>
      <c r="G8" s="1" t="s">
        <v>42</v>
      </c>
      <c r="H8" s="1" t="s">
        <v>43</v>
      </c>
    </row>
    <row r="9" spans="2:8" x14ac:dyDescent="0.3">
      <c r="B9" t="s">
        <v>8</v>
      </c>
      <c r="D9" s="1" t="s">
        <v>11</v>
      </c>
    </row>
    <row r="10" spans="2:8" x14ac:dyDescent="0.3">
      <c r="B10" t="s">
        <v>3</v>
      </c>
      <c r="C10" s="1"/>
      <c r="D10" s="44">
        <v>0.01</v>
      </c>
      <c r="E10" s="41">
        <v>0.95</v>
      </c>
      <c r="F10" s="43">
        <f>SQRT(E10*(1-E10))</f>
        <v>0.21794494717703378</v>
      </c>
      <c r="G10" s="42">
        <f>D10*F10</f>
        <v>2.1794494717703376E-3</v>
      </c>
      <c r="H10" s="30">
        <f>(G15/E4)^2</f>
        <v>561.67605878943584</v>
      </c>
    </row>
    <row r="11" spans="2:8" x14ac:dyDescent="0.3">
      <c r="B11" t="s">
        <v>4</v>
      </c>
      <c r="C11" s="1"/>
      <c r="D11" s="44">
        <v>0.01</v>
      </c>
      <c r="E11" s="41">
        <v>0.8</v>
      </c>
      <c r="F11" s="43">
        <f>SQRT(E11*(1-E11))</f>
        <v>0.39999999999999997</v>
      </c>
      <c r="G11" s="42">
        <f>D11*F11</f>
        <v>4.0000000000000001E-3</v>
      </c>
    </row>
    <row r="12" spans="2:8" x14ac:dyDescent="0.3">
      <c r="B12" t="s">
        <v>5</v>
      </c>
      <c r="C12" s="1"/>
      <c r="D12" s="44">
        <v>0.42</v>
      </c>
      <c r="E12" s="41">
        <v>0.95</v>
      </c>
      <c r="F12" s="43">
        <f>SQRT(E12*(1-E12))</f>
        <v>0.21794494717703378</v>
      </c>
      <c r="G12" s="42">
        <f>D12*F12</f>
        <v>9.1536877814354184E-2</v>
      </c>
    </row>
    <row r="13" spans="2:8" x14ac:dyDescent="0.3">
      <c r="B13" t="s">
        <v>6</v>
      </c>
      <c r="C13" s="1"/>
      <c r="D13" s="44">
        <v>0.35</v>
      </c>
      <c r="E13" s="41">
        <v>0.95</v>
      </c>
      <c r="F13" s="43">
        <f>SQRT(E13*(1-E13))</f>
        <v>0.21794494717703378</v>
      </c>
      <c r="G13" s="42">
        <f>D13*F13</f>
        <v>7.6280731511961811E-2</v>
      </c>
    </row>
    <row r="14" spans="2:8" x14ac:dyDescent="0.3">
      <c r="B14" t="s">
        <v>7</v>
      </c>
      <c r="C14" s="1"/>
      <c r="D14" s="44">
        <v>0.21</v>
      </c>
      <c r="E14" s="41">
        <v>0.9</v>
      </c>
      <c r="F14" s="43">
        <f>SQRT(E14*(1-E14))</f>
        <v>0.3</v>
      </c>
      <c r="G14" s="42">
        <f>D14*F14</f>
        <v>6.3E-2</v>
      </c>
    </row>
    <row r="15" spans="2:8" x14ac:dyDescent="0.3">
      <c r="C15" s="1"/>
      <c r="D15" s="44">
        <f>SUM(D10:D14)</f>
        <v>1</v>
      </c>
      <c r="E15" s="41"/>
      <c r="F15" s="41"/>
      <c r="G15" s="40">
        <f>SUM(G10:G14)</f>
        <v>0.23699705879808633</v>
      </c>
    </row>
    <row r="17" spans="2:8" ht="18" x14ac:dyDescent="0.4">
      <c r="C17" s="13" t="s">
        <v>634</v>
      </c>
      <c r="F17" s="38" t="s">
        <v>40</v>
      </c>
    </row>
    <row r="18" spans="2:8" ht="15.6" x14ac:dyDescent="0.35">
      <c r="C18" s="12"/>
      <c r="D18" s="1" t="s">
        <v>18</v>
      </c>
      <c r="E18" s="1" t="s">
        <v>32</v>
      </c>
      <c r="F18" s="1" t="s">
        <v>41</v>
      </c>
      <c r="G18" s="1" t="s">
        <v>42</v>
      </c>
      <c r="H18" s="1" t="s">
        <v>43</v>
      </c>
    </row>
    <row r="19" spans="2:8" x14ac:dyDescent="0.3">
      <c r="B19" t="s">
        <v>8</v>
      </c>
      <c r="D19" s="1" t="s">
        <v>11</v>
      </c>
    </row>
    <row r="20" spans="2:8" x14ac:dyDescent="0.3">
      <c r="B20" t="s">
        <v>3</v>
      </c>
      <c r="C20" s="1"/>
      <c r="D20" s="44">
        <v>0.01</v>
      </c>
      <c r="E20" s="41">
        <v>0.95</v>
      </c>
      <c r="F20" s="43">
        <f>SQRT(E20*(1-E20))</f>
        <v>0.21794494717703378</v>
      </c>
      <c r="G20" s="42">
        <f>D20*F20</f>
        <v>2.1794494717703376E-3</v>
      </c>
      <c r="H20" s="30">
        <f>(G25/E4)^2</f>
        <v>919.17778582005735</v>
      </c>
    </row>
    <row r="21" spans="2:8" x14ac:dyDescent="0.3">
      <c r="B21" t="s">
        <v>4</v>
      </c>
      <c r="C21" s="1"/>
      <c r="D21" s="44">
        <v>0.04</v>
      </c>
      <c r="E21" s="41">
        <v>0.8</v>
      </c>
      <c r="F21" s="43">
        <f>SQRT(E21*(1-E21))</f>
        <v>0.39999999999999997</v>
      </c>
      <c r="G21" s="42">
        <f>D21*F21</f>
        <v>1.6E-2</v>
      </c>
    </row>
    <row r="22" spans="2:8" x14ac:dyDescent="0.3">
      <c r="B22" t="s">
        <v>5</v>
      </c>
      <c r="C22" s="1"/>
      <c r="D22" s="44">
        <v>0.62</v>
      </c>
      <c r="E22" s="41">
        <v>0.9</v>
      </c>
      <c r="F22" s="43">
        <f>SQRT(E22*(1-E22))</f>
        <v>0.3</v>
      </c>
      <c r="G22" s="42">
        <f>D22*F22</f>
        <v>0.186</v>
      </c>
    </row>
    <row r="23" spans="2:8" x14ac:dyDescent="0.3">
      <c r="B23" t="s">
        <v>6</v>
      </c>
      <c r="C23" s="1"/>
      <c r="D23" s="44">
        <v>0.18</v>
      </c>
      <c r="E23" s="41">
        <v>0.9</v>
      </c>
      <c r="F23" s="43">
        <f>SQRT(E23*(1-E23))</f>
        <v>0.3</v>
      </c>
      <c r="G23" s="42">
        <f>D23*F23</f>
        <v>5.3999999999999999E-2</v>
      </c>
    </row>
    <row r="24" spans="2:8" x14ac:dyDescent="0.3">
      <c r="B24" t="s">
        <v>7</v>
      </c>
      <c r="C24" s="1"/>
      <c r="D24" s="44">
        <v>0.15</v>
      </c>
      <c r="E24" s="41">
        <v>0.9</v>
      </c>
      <c r="F24" s="43">
        <f>SQRT(E24*(1-E24))</f>
        <v>0.3</v>
      </c>
      <c r="G24" s="42">
        <f>D24*F24</f>
        <v>4.4999999999999998E-2</v>
      </c>
    </row>
    <row r="25" spans="2:8" x14ac:dyDescent="0.3">
      <c r="C25" s="1"/>
      <c r="D25" s="44">
        <f>SUM(D20:D24)</f>
        <v>1</v>
      </c>
      <c r="E25" s="41"/>
      <c r="F25" s="41"/>
      <c r="G25" s="40">
        <f>SUM(G20:G24)</f>
        <v>0.30317944947177033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084A5-246C-44E4-8DA3-FBE81BC1B741}">
  <dimension ref="A1:BP1459"/>
  <sheetViews>
    <sheetView topLeftCell="AE159" zoomScale="85" zoomScaleNormal="85" workbookViewId="0">
      <selection activeCell="AU153" sqref="AU153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9.5546875" bestFit="1" customWidth="1"/>
    <col min="28" max="28" width="5.44140625" bestFit="1" customWidth="1"/>
    <col min="36" max="36" width="17.21875" bestFit="1" customWidth="1"/>
    <col min="63" max="64" width="12" bestFit="1" customWidth="1"/>
    <col min="65" max="65" width="8.5546875" bestFit="1" customWidth="1"/>
  </cols>
  <sheetData>
    <row r="1" spans="1:66" x14ac:dyDescent="0.3">
      <c r="A1" s="12"/>
      <c r="B1" s="12" t="s">
        <v>10</v>
      </c>
      <c r="C1" s="12"/>
      <c r="D1" s="12"/>
      <c r="E1" s="12"/>
      <c r="F1" s="12"/>
    </row>
    <row r="2" spans="1:66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P2" s="1"/>
      <c r="Q2" s="1"/>
      <c r="R2" s="1"/>
      <c r="S2" s="1"/>
      <c r="AG2" s="51" t="s">
        <v>122</v>
      </c>
      <c r="AH2" s="51" t="s">
        <v>126</v>
      </c>
    </row>
    <row r="3" spans="1:66" x14ac:dyDescent="0.3">
      <c r="A3" s="12" t="s">
        <v>3</v>
      </c>
      <c r="B3" s="103">
        <v>51.51</v>
      </c>
      <c r="C3" s="22">
        <f>B3/$B$8</f>
        <v>7.4793088427472038E-2</v>
      </c>
      <c r="D3" s="85">
        <v>0.01</v>
      </c>
      <c r="E3" s="86">
        <f>D3-C3</f>
        <v>-6.4793088427472043E-2</v>
      </c>
      <c r="F3" s="12"/>
      <c r="G3" t="s">
        <v>46</v>
      </c>
      <c r="P3" s="1"/>
      <c r="Q3" s="1"/>
      <c r="R3" s="1"/>
      <c r="S3" s="1"/>
      <c r="AG3" s="51" t="s">
        <v>123</v>
      </c>
      <c r="AH3" s="51" t="s">
        <v>129</v>
      </c>
    </row>
    <row r="4" spans="1:66" x14ac:dyDescent="0.3">
      <c r="A4" s="12" t="s">
        <v>4</v>
      </c>
      <c r="B4" s="103">
        <v>20.98</v>
      </c>
      <c r="C4" s="22">
        <f>B4/$B$8</f>
        <v>3.0463191520255551E-2</v>
      </c>
      <c r="D4" s="85">
        <v>0.01</v>
      </c>
      <c r="E4" s="86">
        <f>D4-C4</f>
        <v>-2.0463191520255553E-2</v>
      </c>
      <c r="F4" s="12"/>
      <c r="G4" t="s">
        <v>635</v>
      </c>
      <c r="P4" s="1"/>
      <c r="Q4" s="1"/>
      <c r="R4" s="1"/>
      <c r="S4" s="1"/>
      <c r="AG4" s="51" t="s">
        <v>124</v>
      </c>
      <c r="AH4" s="51" t="s">
        <v>127</v>
      </c>
    </row>
    <row r="5" spans="1:66" ht="18" x14ac:dyDescent="0.35">
      <c r="A5" s="12" t="s">
        <v>5</v>
      </c>
      <c r="B5" s="103">
        <v>234.23</v>
      </c>
      <c r="C5" s="22">
        <f>B5/$B$8</f>
        <v>0.34010454479454039</v>
      </c>
      <c r="D5" s="85">
        <v>0.42</v>
      </c>
      <c r="E5" s="86">
        <f>D5-C5</f>
        <v>7.9895455205459598E-2</v>
      </c>
      <c r="F5" s="12" t="s">
        <v>45</v>
      </c>
      <c r="P5" s="1"/>
      <c r="Q5" s="1"/>
      <c r="R5" s="1"/>
      <c r="S5" s="1"/>
      <c r="AG5" s="51" t="s">
        <v>125</v>
      </c>
      <c r="AH5" s="51" t="s">
        <v>128</v>
      </c>
      <c r="BF5" s="349" t="s">
        <v>337</v>
      </c>
      <c r="BG5" s="349"/>
      <c r="BH5" s="349"/>
      <c r="BI5" s="349"/>
      <c r="BJ5" s="349"/>
      <c r="BK5" s="349"/>
      <c r="BL5" s="349"/>
      <c r="BM5" s="349"/>
      <c r="BN5" s="349"/>
    </row>
    <row r="6" spans="1:66" x14ac:dyDescent="0.3">
      <c r="A6" s="12" t="s">
        <v>6</v>
      </c>
      <c r="B6" s="103">
        <v>206.92</v>
      </c>
      <c r="C6" s="22">
        <f>B6/$B$8</f>
        <v>0.30045012342093796</v>
      </c>
      <c r="D6" s="85">
        <v>0.35</v>
      </c>
      <c r="E6" s="86">
        <f>D6-C6</f>
        <v>4.9549876579062013E-2</v>
      </c>
      <c r="F6" s="12" t="s">
        <v>45</v>
      </c>
      <c r="I6" s="12"/>
      <c r="J6" s="12" t="s">
        <v>50</v>
      </c>
      <c r="K6" s="12"/>
      <c r="P6" s="1"/>
      <c r="Q6" s="1"/>
      <c r="R6" s="1"/>
      <c r="S6" s="1"/>
      <c r="AG6" s="51" t="s">
        <v>150</v>
      </c>
      <c r="AH6" s="51" t="s">
        <v>152</v>
      </c>
      <c r="BF6" s="12" t="s">
        <v>353</v>
      </c>
    </row>
    <row r="7" spans="1:66" x14ac:dyDescent="0.3">
      <c r="A7" s="12" t="s">
        <v>7</v>
      </c>
      <c r="B7" s="103">
        <v>175.06</v>
      </c>
      <c r="C7" s="22">
        <f>B7/$B$8</f>
        <v>0.25418905183679397</v>
      </c>
      <c r="D7" s="85">
        <v>0.21</v>
      </c>
      <c r="E7" s="86">
        <f>D7-C7</f>
        <v>-4.4189051836793974E-2</v>
      </c>
      <c r="F7" s="12"/>
      <c r="I7" s="12"/>
      <c r="J7" s="12">
        <v>1391</v>
      </c>
      <c r="K7" s="12"/>
      <c r="P7" s="1"/>
      <c r="Q7" s="1"/>
      <c r="R7" s="1"/>
      <c r="S7" s="1"/>
      <c r="AG7" s="51" t="s">
        <v>151</v>
      </c>
      <c r="AH7" s="51" t="s">
        <v>153</v>
      </c>
    </row>
    <row r="8" spans="1:66" ht="18" x14ac:dyDescent="0.35">
      <c r="A8" s="12"/>
      <c r="B8" s="103">
        <f>SUM(B3:B7)</f>
        <v>688.7</v>
      </c>
      <c r="C8" s="61">
        <f>SUM(C3:C7)</f>
        <v>0.99999999999999989</v>
      </c>
      <c r="D8" s="12"/>
      <c r="E8" s="12" t="s">
        <v>16</v>
      </c>
      <c r="F8" s="134">
        <v>62328.78</v>
      </c>
      <c r="I8" s="12" t="s">
        <v>55</v>
      </c>
      <c r="J8" s="12" t="s">
        <v>50</v>
      </c>
      <c r="K8" s="12" t="s">
        <v>54</v>
      </c>
      <c r="P8" s="1"/>
      <c r="Q8" s="1"/>
      <c r="R8" s="1"/>
      <c r="S8" s="1"/>
      <c r="AG8" s="51" t="s">
        <v>205</v>
      </c>
      <c r="AH8" s="51" t="s">
        <v>210</v>
      </c>
      <c r="BF8" s="83"/>
    </row>
    <row r="9" spans="1:66" x14ac:dyDescent="0.3">
      <c r="A9" s="12"/>
      <c r="B9" s="87">
        <f>B8/0.36</f>
        <v>1913.0555555555557</v>
      </c>
      <c r="C9" s="12" t="s">
        <v>44</v>
      </c>
      <c r="D9" s="12"/>
      <c r="E9" s="12" t="s">
        <v>47</v>
      </c>
      <c r="F9" s="88">
        <f>B8/F8</f>
        <v>1.1049470244724829E-2</v>
      </c>
      <c r="G9" s="46"/>
      <c r="I9" s="12">
        <v>511</v>
      </c>
      <c r="J9" s="12">
        <v>1351</v>
      </c>
      <c r="K9" s="89">
        <f>(J7-J9)/J7</f>
        <v>2.8756290438533429E-2</v>
      </c>
      <c r="P9" s="1"/>
      <c r="Q9" s="1"/>
      <c r="R9" s="1"/>
      <c r="S9" s="1"/>
      <c r="AG9" s="51" t="s">
        <v>206</v>
      </c>
      <c r="AH9" s="51" t="s">
        <v>211</v>
      </c>
    </row>
    <row r="10" spans="1:66" x14ac:dyDescent="0.3">
      <c r="A10" s="129" t="s">
        <v>636</v>
      </c>
      <c r="B10" s="130">
        <v>24756</v>
      </c>
      <c r="F10" s="46"/>
      <c r="I10" s="89">
        <f>I9/(I9+J9)</f>
        <v>0.27443609022556392</v>
      </c>
      <c r="J10" s="89">
        <f>J9/(J9+I9)</f>
        <v>0.72556390977443608</v>
      </c>
      <c r="K10" s="12"/>
      <c r="P10" s="1"/>
      <c r="Q10" s="1"/>
      <c r="R10" s="1"/>
      <c r="S10" s="1"/>
      <c r="AG10" s="51" t="s">
        <v>207</v>
      </c>
      <c r="AH10" s="51" t="s">
        <v>212</v>
      </c>
      <c r="BF10" s="82"/>
      <c r="BG10" s="1"/>
      <c r="BH10" s="59"/>
      <c r="BI10" s="1"/>
      <c r="BJ10" s="59"/>
      <c r="BK10" s="1"/>
    </row>
    <row r="11" spans="1:66" x14ac:dyDescent="0.3">
      <c r="B11" s="18"/>
      <c r="F11" s="46"/>
      <c r="I11" s="45"/>
      <c r="J11" s="45"/>
      <c r="P11" s="1"/>
      <c r="Q11" s="1"/>
      <c r="R11" s="1"/>
      <c r="S11" s="1"/>
      <c r="AG11" s="51" t="s">
        <v>208</v>
      </c>
      <c r="AH11" s="51" t="s">
        <v>213</v>
      </c>
      <c r="BJ11" s="13"/>
      <c r="BK11" s="13"/>
    </row>
    <row r="12" spans="1:66" x14ac:dyDescent="0.3">
      <c r="A12" s="348">
        <v>1977</v>
      </c>
      <c r="B12" s="348"/>
      <c r="C12" s="348"/>
      <c r="D12" s="348"/>
      <c r="E12" s="348"/>
      <c r="F12" s="348"/>
      <c r="G12" s="348"/>
      <c r="H12" s="348"/>
      <c r="I12" s="348"/>
      <c r="J12" s="348"/>
      <c r="K12" s="348"/>
      <c r="L12" s="348" t="s">
        <v>48</v>
      </c>
      <c r="M12" s="348"/>
      <c r="N12" s="348"/>
      <c r="O12" s="348"/>
      <c r="P12" s="348"/>
      <c r="R12" s="47">
        <v>1977</v>
      </c>
      <c r="S12" s="47" t="s">
        <v>633</v>
      </c>
      <c r="T12" s="47"/>
      <c r="U12" s="47"/>
      <c r="V12" s="47"/>
      <c r="W12" s="47"/>
      <c r="X12" s="47"/>
      <c r="Y12" s="47"/>
      <c r="Z12" s="47"/>
      <c r="AA12" s="47"/>
      <c r="AB12" s="47" t="s">
        <v>58</v>
      </c>
      <c r="AC12" s="47"/>
      <c r="AD12" s="47"/>
      <c r="AE12" s="47"/>
      <c r="AF12" s="47"/>
      <c r="AG12" s="51" t="s">
        <v>209</v>
      </c>
      <c r="AH12" s="51" t="s">
        <v>214</v>
      </c>
      <c r="AW12" s="66"/>
      <c r="AX12" s="77" t="s">
        <v>323</v>
      </c>
      <c r="AY12" s="77" t="s">
        <v>326</v>
      </c>
      <c r="AZ12" s="77" t="s">
        <v>324</v>
      </c>
      <c r="BA12" s="77" t="s">
        <v>325</v>
      </c>
      <c r="BB12" s="77" t="s">
        <v>327</v>
      </c>
      <c r="BC12" s="77" t="s">
        <v>328</v>
      </c>
      <c r="BD12" s="77" t="s">
        <v>349</v>
      </c>
      <c r="BE12" s="13"/>
      <c r="BF12" s="12"/>
      <c r="BH12" s="59"/>
      <c r="BI12" s="49"/>
      <c r="BJ12" s="1"/>
      <c r="BK12" s="1"/>
    </row>
    <row r="13" spans="1:66" x14ac:dyDescent="0.3">
      <c r="A13" t="s">
        <v>315</v>
      </c>
      <c r="B13" t="s">
        <v>21</v>
      </c>
      <c r="I13" s="1" t="s">
        <v>53</v>
      </c>
      <c r="O13" s="350"/>
      <c r="P13" s="350"/>
      <c r="AG13" s="51" t="s">
        <v>319</v>
      </c>
      <c r="AH13" s="51" t="s">
        <v>321</v>
      </c>
      <c r="AW13" s="51" t="s">
        <v>126</v>
      </c>
      <c r="AX13" s="80">
        <f>MIN($AE$16:$AE$20)</f>
        <v>0.95240961429590953</v>
      </c>
      <c r="AY13" s="80">
        <f>_xlfn.QUARTILE.EXC($AE$16:$AE$20,1)</f>
        <v>0.95489020664181101</v>
      </c>
      <c r="AZ13" s="80">
        <f>MEDIAN($AE$16:$AE$20)</f>
        <v>0.95762780992133001</v>
      </c>
      <c r="BA13" s="80">
        <f>AVERAGE($AE$16:$AE$20)</f>
        <v>0.95834352572636339</v>
      </c>
      <c r="BB13" s="80">
        <f>_xlfn.QUARTILE.EXC(AE16:AE20,3)</f>
        <v>0.96215470271343262</v>
      </c>
      <c r="BC13" s="80">
        <f>MAX(AE16:AE20)</f>
        <v>0.9624264523746805</v>
      </c>
      <c r="BD13" s="80">
        <f>(BB13-AY13)/AZ13</f>
        <v>7.5859284748825244E-3</v>
      </c>
      <c r="BE13" s="80"/>
      <c r="BF13" s="48"/>
      <c r="BH13" s="59"/>
      <c r="BI13" s="49"/>
      <c r="BJ13" s="1"/>
      <c r="BK13" s="1"/>
    </row>
    <row r="14" spans="1:66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51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320</v>
      </c>
      <c r="AH14" s="51" t="s">
        <v>322</v>
      </c>
      <c r="AW14" s="51" t="s">
        <v>129</v>
      </c>
      <c r="AX14" s="80">
        <f>MIN($AE$16:$AE$25)</f>
        <v>0.95240961429590953</v>
      </c>
      <c r="AY14" s="80">
        <f>_xlfn.QUARTILE.EXC($AE$16:$AE$25,1)</f>
        <v>0.95588553216068806</v>
      </c>
      <c r="AZ14" s="80">
        <f>MEDIAN($AE$16:$AE$25)</f>
        <v>0.95741050983815379</v>
      </c>
      <c r="BA14" s="80">
        <f>AVERAGE($AE$16:$AE$25)</f>
        <v>0.95773743711037385</v>
      </c>
      <c r="BB14" s="80">
        <f>_xlfn.QUARTILE.EXC($AE$16:$AE$25,3)</f>
        <v>0.96090528106324935</v>
      </c>
      <c r="BC14" s="80">
        <f>MAX($AE$16:$AE$25)</f>
        <v>0.9624264523746805</v>
      </c>
      <c r="BD14" s="80">
        <f t="shared" ref="BD14:BD25" si="0">(BB14-AY14)/AZ14</f>
        <v>5.2430476279290705E-3</v>
      </c>
      <c r="BE14" s="80"/>
      <c r="BF14" s="48"/>
      <c r="BH14" s="59"/>
      <c r="BI14" s="49"/>
      <c r="BJ14" s="1"/>
      <c r="BK14" s="1"/>
    </row>
    <row r="15" spans="1:66" x14ac:dyDescent="0.3">
      <c r="A15" t="s">
        <v>3</v>
      </c>
      <c r="B15" s="13">
        <v>0</v>
      </c>
      <c r="C15" s="26">
        <v>113</v>
      </c>
      <c r="D15" s="3">
        <v>0</v>
      </c>
      <c r="E15" s="3">
        <v>0</v>
      </c>
      <c r="F15" s="3">
        <v>2</v>
      </c>
      <c r="G15" s="4">
        <v>0</v>
      </c>
      <c r="H15" s="1">
        <f>SUM(C15:G15)</f>
        <v>115</v>
      </c>
      <c r="I15" s="10">
        <f>C15/H15</f>
        <v>0.9826086956521739</v>
      </c>
      <c r="J15" s="11">
        <f>1-I15</f>
        <v>1.7391304347826098E-2</v>
      </c>
      <c r="K15">
        <f>H15-C20</f>
        <v>2</v>
      </c>
      <c r="N15" s="10">
        <f>2*(C21*I15)/(C21+I15)</f>
        <v>0.99122807017543857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72</v>
      </c>
      <c r="AF15" s="12" t="s">
        <v>29</v>
      </c>
      <c r="AH15" t="s">
        <v>120</v>
      </c>
      <c r="AI15" t="s">
        <v>121</v>
      </c>
      <c r="AW15" s="51" t="s">
        <v>127</v>
      </c>
      <c r="AX15" s="80">
        <f>MIN($AE$16:$AE$35)</f>
        <v>0.95240961429590953</v>
      </c>
      <c r="AY15" s="80">
        <f>_xlfn.QUARTILE.EXC($AE$16:$AE$35,1)</f>
        <v>0.95577887347512414</v>
      </c>
      <c r="AZ15" s="126">
        <f>MEDIAN($AE$16:$AE$35)</f>
        <v>0.95750837755861484</v>
      </c>
      <c r="BA15" s="126">
        <f>AVERAGE($AE$16:$AE$35)</f>
        <v>0.95756524525284248</v>
      </c>
      <c r="BB15" s="80">
        <f>_xlfn.QUARTILE.EXC($AE$16:$AE$35,3)</f>
        <v>0.9593623090986938</v>
      </c>
      <c r="BC15" s="80">
        <f>MAX($AE$16:$AE$35)</f>
        <v>0.96313713197234618</v>
      </c>
      <c r="BD15" s="80">
        <f t="shared" si="0"/>
        <v>3.7424587685660226E-3</v>
      </c>
      <c r="BE15" s="80"/>
      <c r="BF15" s="48"/>
      <c r="BH15" s="59"/>
      <c r="BI15" s="49"/>
      <c r="BJ15" s="1"/>
      <c r="BK15" s="1"/>
    </row>
    <row r="16" spans="1:66" x14ac:dyDescent="0.3">
      <c r="A16" t="s">
        <v>4</v>
      </c>
      <c r="B16" s="13">
        <v>1</v>
      </c>
      <c r="C16" s="5">
        <v>0</v>
      </c>
      <c r="D16" s="27">
        <v>15</v>
      </c>
      <c r="E16" s="1">
        <v>0</v>
      </c>
      <c r="F16" s="1">
        <v>0</v>
      </c>
      <c r="G16" s="6">
        <v>0</v>
      </c>
      <c r="H16" s="1">
        <f>SUM(C16:G16)</f>
        <v>15</v>
      </c>
      <c r="I16" s="10">
        <f>D16/H16</f>
        <v>1</v>
      </c>
      <c r="J16" s="11">
        <f>1-I16</f>
        <v>0</v>
      </c>
      <c r="K16">
        <f>H16-D20</f>
        <v>0</v>
      </c>
      <c r="N16" s="10">
        <f>2*(D21*I16)/(D21+I16)</f>
        <v>1</v>
      </c>
      <c r="R16" t="s">
        <v>65</v>
      </c>
      <c r="S16" t="s">
        <v>28</v>
      </c>
      <c r="T16" s="57">
        <f t="shared" ref="T16:X19" si="1">C31</f>
        <v>0.26054695620616158</v>
      </c>
      <c r="U16" s="57">
        <f t="shared" si="1"/>
        <v>0.50605835699014168</v>
      </c>
      <c r="V16" s="57">
        <f t="shared" si="1"/>
        <v>42.734069307494629</v>
      </c>
      <c r="W16" s="57">
        <f t="shared" si="1"/>
        <v>43.642620441292365</v>
      </c>
      <c r="X16" s="57">
        <f t="shared" si="1"/>
        <v>12.856704938016716</v>
      </c>
      <c r="AC16" t="s">
        <v>65</v>
      </c>
      <c r="AD16" s="55">
        <f>I21</f>
        <v>0.93678160919540232</v>
      </c>
      <c r="AE16" s="55">
        <f>I32</f>
        <v>0.95737079898771238</v>
      </c>
      <c r="AF16" s="55">
        <f>J32</f>
        <v>9.001992705932561E-3</v>
      </c>
      <c r="AH16">
        <v>21</v>
      </c>
      <c r="AI16">
        <v>32</v>
      </c>
      <c r="AW16" s="51" t="s">
        <v>128</v>
      </c>
      <c r="AX16" s="80">
        <f>MIN($AE$16:$AE$45)</f>
        <v>0.949244001848085</v>
      </c>
      <c r="AY16" s="80">
        <f>_xlfn.QUARTILE.EXC($AE$16:$AE$45,1)</f>
        <v>0.95580461049221543</v>
      </c>
      <c r="AZ16" s="80">
        <f>MEDIAN($AE$16:$AE$45)</f>
        <v>0.9575971721749823</v>
      </c>
      <c r="BA16" s="80">
        <f>AVERAGE($AE$16:$AE$45)</f>
        <v>0.95811056618418644</v>
      </c>
      <c r="BB16" s="80">
        <f>_xlfn.QUARTILE.EXC($AE$16:$AE$45,3)</f>
        <v>0.96094207402727272</v>
      </c>
      <c r="BC16" s="80">
        <f>MAX($AE$16:$AE$45)</f>
        <v>0.96569845224940698</v>
      </c>
      <c r="BD16" s="80">
        <f t="shared" si="0"/>
        <v>5.3649527007150703E-3</v>
      </c>
      <c r="BE16" s="80"/>
      <c r="BF16" s="48"/>
      <c r="BH16" s="59"/>
      <c r="BI16" s="49"/>
      <c r="BJ16" s="1"/>
      <c r="BK16" s="1"/>
    </row>
    <row r="17" spans="1:66" x14ac:dyDescent="0.3">
      <c r="A17" t="s">
        <v>5</v>
      </c>
      <c r="B17" s="13">
        <v>2</v>
      </c>
      <c r="C17" s="5">
        <v>0</v>
      </c>
      <c r="D17" s="1">
        <v>0</v>
      </c>
      <c r="E17" s="27">
        <v>178</v>
      </c>
      <c r="F17" s="1">
        <v>0</v>
      </c>
      <c r="G17" s="6">
        <v>0</v>
      </c>
      <c r="H17" s="1">
        <f>SUM(C17:G17)</f>
        <v>178</v>
      </c>
      <c r="I17" s="10">
        <f>E17/H17</f>
        <v>1</v>
      </c>
      <c r="J17" s="11">
        <f>1-I17</f>
        <v>0</v>
      </c>
      <c r="K17">
        <f>H17-E20</f>
        <v>-7</v>
      </c>
      <c r="N17" s="10">
        <f>2*(E21*I17)/(E21+I17)</f>
        <v>0.98071625344352631</v>
      </c>
      <c r="S17" s="66" t="s">
        <v>39</v>
      </c>
      <c r="T17" s="67">
        <f t="shared" si="1"/>
        <v>3.2323089137542798E-3</v>
      </c>
      <c r="U17" s="67">
        <f t="shared" si="1"/>
        <v>0</v>
      </c>
      <c r="V17" s="67">
        <f t="shared" si="1"/>
        <v>0.45010849522266344</v>
      </c>
      <c r="W17" s="67">
        <f t="shared" si="1"/>
        <v>0.89150810493777799</v>
      </c>
      <c r="X17" s="67">
        <f t="shared" si="1"/>
        <v>0.79484099305560296</v>
      </c>
      <c r="AC17" t="s">
        <v>66</v>
      </c>
      <c r="AD17" s="55">
        <f>I50</f>
        <v>0.91666666666666663</v>
      </c>
      <c r="AE17" s="55">
        <f>I61</f>
        <v>0.95240961429590953</v>
      </c>
      <c r="AF17" s="55">
        <f>J61</f>
        <v>8.8740847246614254E-3</v>
      </c>
      <c r="AH17">
        <v>50</v>
      </c>
      <c r="AI17">
        <v>61</v>
      </c>
      <c r="AW17" s="51" t="s">
        <v>152</v>
      </c>
      <c r="AX17" s="80">
        <f>MIN($AE$16:$AE$55)</f>
        <v>0.94644430677276803</v>
      </c>
      <c r="AY17" s="80">
        <f>_xlfn.QUARTILE.EXC($AE$16:$AE$55,1)</f>
        <v>0.95549479736021392</v>
      </c>
      <c r="AZ17" s="80">
        <f>MEDIAN($AE$16:$AE$55)</f>
        <v>0.95741050983815379</v>
      </c>
      <c r="BA17" s="80">
        <f>AVERAGE($AE$16:$AE$55)</f>
        <v>0.95753736532713507</v>
      </c>
      <c r="BB17" s="80">
        <f>_xlfn.QUARTILE.EXC($AE$16:$AE$55,3)</f>
        <v>0.96069144029834597</v>
      </c>
      <c r="BC17" s="80">
        <f>MAX($AE$16:$AE$55)</f>
        <v>0.96569845224940698</v>
      </c>
      <c r="BD17" s="80">
        <f t="shared" si="0"/>
        <v>5.4278106253612323E-3</v>
      </c>
      <c r="BE17" s="80"/>
      <c r="BF17" s="48"/>
      <c r="BH17" s="59"/>
      <c r="BI17" s="49"/>
      <c r="BJ17" s="1"/>
      <c r="BK17" s="1"/>
    </row>
    <row r="18" spans="1:66" x14ac:dyDescent="0.3">
      <c r="A18" t="s">
        <v>6</v>
      </c>
      <c r="B18" s="13">
        <v>3</v>
      </c>
      <c r="C18" s="5">
        <v>0</v>
      </c>
      <c r="D18" s="1">
        <v>0</v>
      </c>
      <c r="E18" s="1">
        <v>2</v>
      </c>
      <c r="F18" s="27">
        <v>136</v>
      </c>
      <c r="G18" s="6">
        <v>6</v>
      </c>
      <c r="H18" s="1">
        <f>SUM(C18:G18)</f>
        <v>144</v>
      </c>
      <c r="I18" s="10">
        <f>F18/H18</f>
        <v>0.94444444444444442</v>
      </c>
      <c r="J18" s="11">
        <f>1-I18</f>
        <v>5.555555555555558E-2</v>
      </c>
      <c r="K18">
        <f>H18-F20</f>
        <v>-23</v>
      </c>
      <c r="N18" s="10">
        <f>2*(F21*I18)/(F21+I18)</f>
        <v>0.87459807073954987</v>
      </c>
      <c r="S18" s="70" t="s">
        <v>30</v>
      </c>
      <c r="T18" s="64">
        <f t="shared" si="1"/>
        <v>100</v>
      </c>
      <c r="U18" s="64">
        <f t="shared" si="1"/>
        <v>100</v>
      </c>
      <c r="V18" s="64">
        <f t="shared" si="1"/>
        <v>97.937784214049842</v>
      </c>
      <c r="W18" s="64">
        <f t="shared" si="1"/>
        <v>96.509254507557145</v>
      </c>
      <c r="X18" s="64">
        <f t="shared" si="1"/>
        <v>85.54685215915805</v>
      </c>
      <c r="AC18" t="s">
        <v>67</v>
      </c>
      <c r="AD18" s="55">
        <f>I79</f>
        <v>0.9295977011494253</v>
      </c>
      <c r="AE18" s="55">
        <f>I90</f>
        <v>0.9624264523746805</v>
      </c>
      <c r="AF18" s="55">
        <f>J90</f>
        <v>7.620107246822193E-3</v>
      </c>
      <c r="AH18">
        <v>79</v>
      </c>
      <c r="AI18">
        <v>90</v>
      </c>
      <c r="AW18" s="51" t="s">
        <v>153</v>
      </c>
      <c r="AX18" s="80">
        <f>MIN($AE$16:$AE$65)</f>
        <v>0.94644430677276803</v>
      </c>
      <c r="AY18" s="80">
        <f>_xlfn.QUARTILE.EXC($AE$16:$AE$65,1)</f>
        <v>0.95545888097384402</v>
      </c>
      <c r="AZ18" s="80">
        <f>MEDIAN($AE$16:$AE$65)</f>
        <v>0.95741050983815379</v>
      </c>
      <c r="BA18" s="80">
        <f>AVERAGE($AE$16:$AE$65)</f>
        <v>0.95772670497109247</v>
      </c>
      <c r="BB18" s="80">
        <f>_xlfn.QUARTILE.EXC($AE$16:$AE$65,3)</f>
        <v>0.96076440785233497</v>
      </c>
      <c r="BC18" s="80">
        <f>MAX($AE$16:$AE$65)</f>
        <v>0.97060358908859401</v>
      </c>
      <c r="BD18" s="80">
        <f t="shared" si="0"/>
        <v>5.5415381635906926E-3</v>
      </c>
      <c r="BE18" s="80"/>
      <c r="BF18" s="48"/>
      <c r="BH18" s="59"/>
      <c r="BI18" s="49"/>
      <c r="BJ18" s="1"/>
      <c r="BK18" s="1"/>
    </row>
    <row r="19" spans="1:66" x14ac:dyDescent="0.3">
      <c r="A19" t="s">
        <v>7</v>
      </c>
      <c r="B19" s="13">
        <v>4</v>
      </c>
      <c r="C19" s="7">
        <v>0</v>
      </c>
      <c r="D19" s="8">
        <v>0</v>
      </c>
      <c r="E19" s="8">
        <v>5</v>
      </c>
      <c r="F19" s="8">
        <v>29</v>
      </c>
      <c r="G19" s="28">
        <v>210</v>
      </c>
      <c r="H19" s="1">
        <f>SUM(C19:G19)</f>
        <v>244</v>
      </c>
      <c r="I19" s="10">
        <f>G19/H19</f>
        <v>0.86065573770491799</v>
      </c>
      <c r="J19" s="11">
        <f>1-I19</f>
        <v>0.13934426229508201</v>
      </c>
      <c r="K19">
        <f>H19-G20</f>
        <v>28</v>
      </c>
      <c r="N19" s="10">
        <f>2*(G21*I19)/(G21+I19)</f>
        <v>0.91304347826086951</v>
      </c>
      <c r="S19" s="66" t="s">
        <v>39</v>
      </c>
      <c r="T19" s="67">
        <f t="shared" si="1"/>
        <v>0</v>
      </c>
      <c r="U19" s="67">
        <f t="shared" si="1"/>
        <v>0</v>
      </c>
      <c r="V19" s="67">
        <f t="shared" si="1"/>
        <v>1.035059482464179</v>
      </c>
      <c r="W19" s="67">
        <f t="shared" si="1"/>
        <v>0.90060325386477869</v>
      </c>
      <c r="X19" s="67">
        <f t="shared" si="1"/>
        <v>5.8969212767010459</v>
      </c>
      <c r="AC19" t="s">
        <v>68</v>
      </c>
      <c r="AD19" s="55">
        <f>I108</f>
        <v>0.93103448275862066</v>
      </c>
      <c r="AE19" s="73">
        <f>I119</f>
        <v>0.96188295305218474</v>
      </c>
      <c r="AF19" s="73">
        <f>J119</f>
        <v>7.742737362090496E-3</v>
      </c>
      <c r="AH19">
        <v>108</v>
      </c>
      <c r="AI19">
        <v>119</v>
      </c>
      <c r="AW19" s="51" t="s">
        <v>210</v>
      </c>
      <c r="AX19" s="80">
        <f>MIN($AE$16:$AE$75)</f>
        <v>0.94644430677276803</v>
      </c>
      <c r="AY19" s="80">
        <f>_xlfn.QUARTILE.EXC($AE$16:$AE$75,1)</f>
        <v>0.95536280584839828</v>
      </c>
      <c r="AZ19" s="80">
        <f>MEDIAN($AE$16:$AE$75)</f>
        <v>0.95734186424785461</v>
      </c>
      <c r="BA19" s="80">
        <f>AVERAGE($AE$16:$AE$75)</f>
        <v>0.95744496734344253</v>
      </c>
      <c r="BB19" s="80">
        <f>_xlfn.QUARTILE.EXC($AE$16:$AE$75,3)</f>
        <v>0.96041746548726836</v>
      </c>
      <c r="BC19" s="80">
        <f>MAX($AE$16:$AE$75)</f>
        <v>0.97060358908859401</v>
      </c>
      <c r="BD19" s="80">
        <f t="shared" si="0"/>
        <v>5.279889898935246E-3</v>
      </c>
      <c r="BE19" s="80"/>
      <c r="BF19" s="48"/>
      <c r="BH19" s="59"/>
      <c r="BI19" s="49"/>
      <c r="BJ19" s="1"/>
      <c r="BK19" s="1"/>
    </row>
    <row r="20" spans="1:66" ht="15.6" x14ac:dyDescent="0.35">
      <c r="B20" s="1" t="s">
        <v>19</v>
      </c>
      <c r="C20" s="1">
        <f>SUM(C15:C19)</f>
        <v>113</v>
      </c>
      <c r="D20" s="1">
        <f>SUM(D15:D19)</f>
        <v>15</v>
      </c>
      <c r="E20" s="1">
        <f>SUM(E15:E19)</f>
        <v>185</v>
      </c>
      <c r="F20" s="1">
        <f>SUM(F15:F19)</f>
        <v>167</v>
      </c>
      <c r="G20" s="1">
        <f>SUM(G15:G19)</f>
        <v>216</v>
      </c>
      <c r="H20" s="1">
        <f>SUM(H14:H19)</f>
        <v>696</v>
      </c>
      <c r="I20" s="13" t="s">
        <v>12</v>
      </c>
      <c r="N20" s="16" t="s">
        <v>36</v>
      </c>
      <c r="S20" s="70" t="s">
        <v>31</v>
      </c>
      <c r="T20" s="64">
        <f>I26</f>
        <v>98.260869565217405</v>
      </c>
      <c r="U20" s="64">
        <f>I27</f>
        <v>100</v>
      </c>
      <c r="V20" s="64">
        <f>I28</f>
        <v>100</v>
      </c>
      <c r="W20" s="64">
        <f>I29</f>
        <v>94.444444444444457</v>
      </c>
      <c r="X20" s="64">
        <f>I30</f>
        <v>86.06557377049181</v>
      </c>
      <c r="AC20" t="s">
        <v>71</v>
      </c>
      <c r="AD20" s="55">
        <f>I137</f>
        <v>0.92241379310344829</v>
      </c>
      <c r="AE20" s="73">
        <f>I148</f>
        <v>0.95762780992133001</v>
      </c>
      <c r="AF20" s="73">
        <f>J148</f>
        <v>8.3237794278181072E-3</v>
      </c>
      <c r="AH20">
        <v>137</v>
      </c>
      <c r="AI20">
        <v>148</v>
      </c>
      <c r="AW20" s="51" t="s">
        <v>211</v>
      </c>
      <c r="AX20" s="80">
        <f>MIN($AE$16:$AE$85)</f>
        <v>0.94644430677276803</v>
      </c>
      <c r="AY20" s="80">
        <f>_xlfn.QUARTILE.EXC($AE$16:$AE$85,1)</f>
        <v>0.95472468403711896</v>
      </c>
      <c r="AZ20" s="80">
        <f>MEDIAN($AE$16:$AE$85)</f>
        <v>0.95724454924089797</v>
      </c>
      <c r="BA20" s="80">
        <f>AVERAGE($AE$16:$AE$85)</f>
        <v>0.95720881979552208</v>
      </c>
      <c r="BB20" s="80">
        <f>_xlfn.QUARTILE.EXC($AE$16:$AE$85,3)</f>
        <v>0.96008311676127922</v>
      </c>
      <c r="BC20" s="80">
        <f>MAX($AE$16:$AE$85)</f>
        <v>0.97060358908859401</v>
      </c>
      <c r="BD20" s="80">
        <f t="shared" si="0"/>
        <v>5.5977678101270288E-3</v>
      </c>
      <c r="BE20" s="80"/>
      <c r="BF20" s="48"/>
      <c r="BH20" s="59"/>
      <c r="BI20" s="49"/>
      <c r="BJ20" s="1"/>
      <c r="BK20" s="1"/>
    </row>
    <row r="21" spans="1:66" x14ac:dyDescent="0.3">
      <c r="A21" s="1" t="s">
        <v>316</v>
      </c>
      <c r="B21" s="1" t="s">
        <v>2</v>
      </c>
      <c r="C21" s="10">
        <f>C15/C20</f>
        <v>1</v>
      </c>
      <c r="D21" s="10">
        <f>D16/D20</f>
        <v>1</v>
      </c>
      <c r="E21" s="10">
        <f>E17/E20</f>
        <v>0.96216216216216222</v>
      </c>
      <c r="F21" s="10">
        <f>F18/F20</f>
        <v>0.81437125748502992</v>
      </c>
      <c r="G21" s="10">
        <f>G19/G20</f>
        <v>0.97222222222222221</v>
      </c>
      <c r="H21" s="10"/>
      <c r="I21" s="14">
        <f>(C15+D16+E17+F18+G19)/H20</f>
        <v>0.93678160919540232</v>
      </c>
      <c r="S21" s="66" t="s">
        <v>39</v>
      </c>
      <c r="T21" s="67">
        <f>J26</f>
        <v>1.2243453990683892</v>
      </c>
      <c r="U21" s="67">
        <f>J27</f>
        <v>0</v>
      </c>
      <c r="V21" s="67">
        <f>J28</f>
        <v>0</v>
      </c>
      <c r="W21" s="67">
        <f>J29</f>
        <v>1.9155078532433623</v>
      </c>
      <c r="X21" s="67">
        <f>J30</f>
        <v>2.2215502582241289</v>
      </c>
      <c r="AC21" t="s">
        <v>93</v>
      </c>
      <c r="AD21" s="55">
        <f>I166</f>
        <v>0.92672413793103448</v>
      </c>
      <c r="AE21" s="55">
        <f>I177</f>
        <v>0.95745022068859509</v>
      </c>
      <c r="AF21" s="55">
        <f>J177</f>
        <v>8.3809532066259802E-3</v>
      </c>
      <c r="AH21">
        <v>166</v>
      </c>
      <c r="AI21">
        <v>177</v>
      </c>
      <c r="AW21" s="51" t="s">
        <v>212</v>
      </c>
      <c r="AX21" s="80">
        <f>MIN($AE$16:$AE$95)</f>
        <v>0.94644430677276803</v>
      </c>
      <c r="AY21" s="80">
        <f>_xlfn.QUARTILE.EXC($AE$16:$AE$95,1)</f>
        <v>0.95471123306658878</v>
      </c>
      <c r="AZ21" s="80">
        <f>MEDIAN($AE$16:$AE$95)</f>
        <v>0.95724454924089797</v>
      </c>
      <c r="BA21" s="80">
        <f>AVERAGE($AE$16:$AE$95)</f>
        <v>0.95714406436250932</v>
      </c>
      <c r="BB21" s="80">
        <f>_xlfn.QUARTILE.EXC($AE$16:$AE$95,3)</f>
        <v>0.95987308339261079</v>
      </c>
      <c r="BC21" s="80">
        <f>MAX($AE$16:$AE$95)</f>
        <v>0.97060358908859401</v>
      </c>
      <c r="BD21" s="80">
        <f t="shared" si="0"/>
        <v>5.3924050339230409E-3</v>
      </c>
      <c r="BE21" s="80"/>
      <c r="BF21" s="48"/>
      <c r="BH21" s="59"/>
      <c r="BI21" s="49"/>
      <c r="BJ21" s="1"/>
      <c r="BK21" s="1"/>
      <c r="BM21" s="1"/>
      <c r="BN21" s="1"/>
    </row>
    <row r="22" spans="1:66" x14ac:dyDescent="0.3">
      <c r="B22" s="1" t="s">
        <v>14</v>
      </c>
      <c r="C22" s="11">
        <f>1-C21</f>
        <v>0</v>
      </c>
      <c r="D22" s="11">
        <f>1-D21</f>
        <v>0</v>
      </c>
      <c r="E22" s="11">
        <f>1-E21</f>
        <v>3.7837837837837784E-2</v>
      </c>
      <c r="F22" s="11">
        <f>1-F21</f>
        <v>0.18562874251497008</v>
      </c>
      <c r="G22" s="11">
        <f>1-G21</f>
        <v>2.777777777777779E-2</v>
      </c>
      <c r="S22" s="68" t="s">
        <v>51</v>
      </c>
      <c r="T22" s="65">
        <f>N15*100</f>
        <v>99.122807017543863</v>
      </c>
      <c r="U22" s="65">
        <f>N16*100</f>
        <v>100</v>
      </c>
      <c r="V22" s="65">
        <f>N17*100</f>
        <v>98.071625344352626</v>
      </c>
      <c r="W22" s="65">
        <f>N18*100</f>
        <v>87.459807073954991</v>
      </c>
      <c r="X22" s="65">
        <f>N19*100</f>
        <v>91.304347826086953</v>
      </c>
      <c r="Y22" s="46"/>
      <c r="Z22" s="46"/>
      <c r="AA22" s="46"/>
      <c r="AC22" t="s">
        <v>94</v>
      </c>
      <c r="AD22" s="55">
        <f>I195</f>
        <v>0.92816091954022983</v>
      </c>
      <c r="AE22" s="55">
        <f>I206</f>
        <v>0.95592537455872462</v>
      </c>
      <c r="AF22" s="55">
        <f>J206</f>
        <v>8.8385053960647782E-3</v>
      </c>
      <c r="AH22">
        <v>195</v>
      </c>
      <c r="AI22">
        <v>206</v>
      </c>
      <c r="AW22" s="51" t="s">
        <v>213</v>
      </c>
      <c r="AX22" s="80">
        <f>MIN($AE$16:$AE$105)</f>
        <v>0.94644430677276803</v>
      </c>
      <c r="AY22" s="80">
        <f>_xlfn.QUARTILE.EXC($AE$16:$AE$105,1)</f>
        <v>0.953711325615206</v>
      </c>
      <c r="AZ22" s="80">
        <f>MEDIAN($AE$16:$AE$105)</f>
        <v>0.95691053376895996</v>
      </c>
      <c r="BA22" s="80">
        <f>AVERAGE($AE$16:$AE$105)</f>
        <v>0.95687409388123523</v>
      </c>
      <c r="BB22" s="80">
        <f>_xlfn.QUARTILE.EXC($AE$16:$AE$105,3)</f>
        <v>0.95975586868131024</v>
      </c>
      <c r="BC22" s="80">
        <f>MAX($AE$16:$AE$105)</f>
        <v>0.97060358908859401</v>
      </c>
      <c r="BD22" s="80">
        <f t="shared" si="0"/>
        <v>6.316727481613933E-3</v>
      </c>
      <c r="BE22" s="80"/>
      <c r="BF22" s="48"/>
      <c r="BI22" s="1"/>
      <c r="BJ22" s="13"/>
      <c r="BK22" s="1"/>
      <c r="BM22" s="1"/>
      <c r="BN22" s="81"/>
    </row>
    <row r="23" spans="1:66" x14ac:dyDescent="0.3">
      <c r="C23" s="2"/>
      <c r="R23" s="16" t="s">
        <v>61</v>
      </c>
      <c r="S23" t="s">
        <v>9</v>
      </c>
      <c r="T23" s="30">
        <f>N26</f>
        <v>165.27</v>
      </c>
      <c r="U23" s="30">
        <f>N27</f>
        <v>315.42</v>
      </c>
      <c r="V23" s="30">
        <f>N28</f>
        <v>26086.34</v>
      </c>
      <c r="W23" s="30">
        <f>N29</f>
        <v>27796.62</v>
      </c>
      <c r="X23" s="30">
        <f>N30</f>
        <v>7965.13</v>
      </c>
      <c r="Z23" t="s">
        <v>36</v>
      </c>
      <c r="AA23" s="1">
        <f>N31</f>
        <v>62328.779999999992</v>
      </c>
      <c r="AC23" t="s">
        <v>95</v>
      </c>
      <c r="AD23" s="55">
        <f>I224</f>
        <v>0.93390804597701149</v>
      </c>
      <c r="AE23" s="55">
        <f>I235</f>
        <v>0.96057939040027085</v>
      </c>
      <c r="AF23" s="55">
        <f>J235</f>
        <v>8.1837663234569716E-3</v>
      </c>
      <c r="AH23">
        <v>224</v>
      </c>
      <c r="AI23">
        <v>235</v>
      </c>
      <c r="AW23" s="51" t="s">
        <v>214</v>
      </c>
      <c r="AX23" s="80">
        <f>MIN($AE$16:$AE$115)</f>
        <v>0.94644430677276803</v>
      </c>
      <c r="AY23" s="80">
        <f>_xlfn.QUARTILE.EXC($AE$16:$AE$115,1)</f>
        <v>0.95375332040976502</v>
      </c>
      <c r="AZ23" s="80">
        <f>MEDIAN($AE$16:$AE$115)</f>
        <v>0.95665941047120195</v>
      </c>
      <c r="BA23" s="80">
        <f>AVERAGE($AE$16:$AE$115)</f>
        <v>0.95680703987516891</v>
      </c>
      <c r="BB23" s="80">
        <f>_xlfn.QUARTILE.EXC($AE$16:$AE$115,3)</f>
        <v>0.95967803756693937</v>
      </c>
      <c r="BC23" s="80">
        <f>MAX($AE$16:$AE$115)</f>
        <v>0.97060358908859401</v>
      </c>
      <c r="BD23" s="80">
        <f t="shared" si="0"/>
        <v>6.1931311105340378E-3</v>
      </c>
      <c r="BE23" s="80"/>
      <c r="BF23" s="48"/>
      <c r="BI23" s="1"/>
      <c r="BJ23" s="1"/>
      <c r="BK23" s="1"/>
      <c r="BM23" s="23"/>
      <c r="BN23" s="1"/>
    </row>
    <row r="24" spans="1:66" ht="15.6" x14ac:dyDescent="0.35">
      <c r="A24" t="s">
        <v>317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318</v>
      </c>
      <c r="S24" t="s">
        <v>63</v>
      </c>
      <c r="T24" s="57">
        <f>$AA23*T16/100</f>
        <v>162.39573913043478</v>
      </c>
      <c r="U24" s="57">
        <f>$AA23*U16/100</f>
        <v>315.42</v>
      </c>
      <c r="V24" s="57">
        <f>$AA23*V16/100</f>
        <v>26635.624043715849</v>
      </c>
      <c r="W24" s="57">
        <f>$AA23*W16/100</f>
        <v>27201.912881088145</v>
      </c>
      <c r="X24" s="57">
        <f>$AA23*X16/100</f>
        <v>8013.4273360655734</v>
      </c>
      <c r="Z24" t="s">
        <v>36</v>
      </c>
      <c r="AA24" s="25">
        <f>SUM(T24:X24)</f>
        <v>62328.78</v>
      </c>
      <c r="AC24" t="s">
        <v>96</v>
      </c>
      <c r="AD24" s="55">
        <f>I253</f>
        <v>0.92528735632183912</v>
      </c>
      <c r="AE24" s="55">
        <f>I264</f>
        <v>0.95576600496657849</v>
      </c>
      <c r="AF24" s="55">
        <f>J264</f>
        <v>8.9074683280709124E-3</v>
      </c>
      <c r="AH24">
        <v>253</v>
      </c>
      <c r="AI24">
        <v>264</v>
      </c>
      <c r="AW24" s="51" t="s">
        <v>321</v>
      </c>
      <c r="AX24" s="80">
        <f>MIN($AE$16:$AE$165)</f>
        <v>0.94448907505652002</v>
      </c>
      <c r="AY24" s="80">
        <f>_xlfn.QUARTILE.EXC($AE$16:$AE$165,1)</f>
        <v>0.95343562930269921</v>
      </c>
      <c r="AZ24" s="80">
        <f>MEDIAN($AE$16:$AE$165)</f>
        <v>0.95642152050156803</v>
      </c>
      <c r="BA24" s="80">
        <f>AVERAGE($AE$16:$AE$165)</f>
        <v>0.9567912800443833</v>
      </c>
      <c r="BB24" s="80">
        <f>_xlfn.QUARTILE.EXC($AE$16:$AE$165,3)</f>
        <v>0.96054789370031823</v>
      </c>
      <c r="BC24" s="80">
        <f>MAX($AE$16:$AE$165)</f>
        <v>0.97060358908859401</v>
      </c>
      <c r="BD24" s="80">
        <f t="shared" si="0"/>
        <v>7.4363282769810569E-3</v>
      </c>
      <c r="BE24" s="80"/>
      <c r="BF24" s="48"/>
      <c r="BI24" s="1"/>
      <c r="BJ24" s="13"/>
      <c r="BK24" s="1"/>
      <c r="BM24" s="23"/>
      <c r="BN24" s="1"/>
    </row>
    <row r="25" spans="1:66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62</v>
      </c>
      <c r="T25" s="67">
        <f>$AA23*T17/100</f>
        <v>2.0146587117742945</v>
      </c>
      <c r="U25" s="67">
        <f>$AA23*U17/100</f>
        <v>0</v>
      </c>
      <c r="V25" s="67">
        <f>$AA23*V17/100</f>
        <v>280.5471337486444</v>
      </c>
      <c r="W25" s="67">
        <f>$AA23*W17/100</f>
        <v>555.66612540883671</v>
      </c>
      <c r="X25" s="67">
        <f>$AA23*X17/100</f>
        <v>495.41469391144199</v>
      </c>
      <c r="AA25" s="1"/>
      <c r="AC25" t="s">
        <v>97</v>
      </c>
      <c r="AD25" s="55">
        <f>I282</f>
        <v>0.9295977011494253</v>
      </c>
      <c r="AE25" s="55">
        <f>I293</f>
        <v>0.95593575185775126</v>
      </c>
      <c r="AF25" s="55">
        <f>J293</f>
        <v>8.6299648592343299E-3</v>
      </c>
      <c r="AH25">
        <v>282</v>
      </c>
      <c r="AI25">
        <v>293</v>
      </c>
      <c r="AW25" s="51" t="s">
        <v>322</v>
      </c>
      <c r="AX25" s="80">
        <f>MIN($AE$16:$AE$215)</f>
        <v>0.94448907505652002</v>
      </c>
      <c r="AY25" s="80">
        <f>_xlfn.QUARTILE.EXC($AE$16:$AE$215,1)</f>
        <v>0.95360001879818002</v>
      </c>
      <c r="AZ25" s="126">
        <f>MEDIAN($AE$16:$AE$215)</f>
        <v>0.95669086425648753</v>
      </c>
      <c r="BA25" s="126">
        <f>AVERAGE($AE$16:$AE$215)</f>
        <v>0.95706201309102412</v>
      </c>
      <c r="BB25" s="80">
        <f>_xlfn.QUARTILE.EXC($AE$16:$AE$215,3)</f>
        <v>0.96086116541379119</v>
      </c>
      <c r="BC25" s="80">
        <f>MAX($AE$16:$AE$215)</f>
        <v>0.97060358908859401</v>
      </c>
      <c r="BD25" s="80">
        <f t="shared" si="0"/>
        <v>7.5898567519554214E-3</v>
      </c>
      <c r="BE25" s="80"/>
      <c r="BF25" s="48"/>
      <c r="BJ25" s="12"/>
    </row>
    <row r="26" spans="1:66" x14ac:dyDescent="0.3">
      <c r="A26" t="s">
        <v>3</v>
      </c>
      <c r="B26" s="13">
        <v>0</v>
      </c>
      <c r="C26" s="29">
        <f>(C15/$L26)*$O26</f>
        <v>0.26054695620616158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4.6114505523214434E-3</v>
      </c>
      <c r="G26" s="32">
        <f t="shared" si="2"/>
        <v>0</v>
      </c>
      <c r="H26" s="17">
        <f>SUM(C26:G26)</f>
        <v>0.26515840675848301</v>
      </c>
      <c r="I26" s="17">
        <f>C26/H26*100</f>
        <v>98.260869565217405</v>
      </c>
      <c r="J26" s="17">
        <f>SQRT(I26*(100-I26)/(L26-1))</f>
        <v>1.2243453990683892</v>
      </c>
      <c r="K26" s="18">
        <f>100-I26</f>
        <v>1.7391304347825951</v>
      </c>
      <c r="L26" s="1">
        <f>H15</f>
        <v>115</v>
      </c>
      <c r="M26">
        <v>0</v>
      </c>
      <c r="N26" s="1">
        <v>165.27</v>
      </c>
      <c r="O26" s="17">
        <f>N26/N31*100</f>
        <v>0.26515840675848301</v>
      </c>
      <c r="P26" s="52">
        <f>((O26*O26*(I26/100)*(K26/100))/(L26-1))</f>
        <v>1.0539468465811977E-5</v>
      </c>
      <c r="R26" t="s">
        <v>66</v>
      </c>
      <c r="S26" s="70" t="s">
        <v>28</v>
      </c>
      <c r="T26" s="64">
        <f t="shared" ref="T26:X29" si="3">C60</f>
        <v>0.24624840651312674</v>
      </c>
      <c r="U26" s="64">
        <f t="shared" si="3"/>
        <v>0.46851543243499516</v>
      </c>
      <c r="V26" s="64">
        <f t="shared" si="3"/>
        <v>41.773154243327127</v>
      </c>
      <c r="W26" s="64">
        <f t="shared" si="3"/>
        <v>46.14432523376405</v>
      </c>
      <c r="X26" s="64">
        <f t="shared" si="3"/>
        <v>11.367756683960705</v>
      </c>
      <c r="Y26" s="13"/>
      <c r="Z26" s="74"/>
      <c r="AA26" s="12"/>
      <c r="AC26" t="s">
        <v>98</v>
      </c>
      <c r="AD26" s="55">
        <f>I311</f>
        <v>0.92672413793103448</v>
      </c>
      <c r="AE26" s="55">
        <f>I322</f>
        <v>0.95789981524617307</v>
      </c>
      <c r="AF26" s="55">
        <f>J322</f>
        <v>8.3566693668550626E-3</v>
      </c>
      <c r="AH26">
        <v>311</v>
      </c>
      <c r="AI26">
        <v>322</v>
      </c>
      <c r="BF26" s="48"/>
      <c r="BJ26" s="13"/>
      <c r="BK26" s="13"/>
    </row>
    <row r="27" spans="1:66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0.50605835699014168</v>
      </c>
      <c r="E27" s="19">
        <f t="shared" si="2"/>
        <v>0</v>
      </c>
      <c r="F27" s="18">
        <f t="shared" si="2"/>
        <v>0</v>
      </c>
      <c r="G27" s="20">
        <f t="shared" si="2"/>
        <v>0</v>
      </c>
      <c r="H27" s="17">
        <f>SUM(C27:G27)</f>
        <v>0.50605835699014168</v>
      </c>
      <c r="I27" s="17">
        <f>D27/H27*100</f>
        <v>100</v>
      </c>
      <c r="J27" s="17">
        <f>SQRT(I27*(100-I27)/(L27-1))</f>
        <v>0</v>
      </c>
      <c r="K27" s="18">
        <f>100-I27</f>
        <v>0</v>
      </c>
      <c r="L27" s="1">
        <f>H16</f>
        <v>15</v>
      </c>
      <c r="M27">
        <v>1</v>
      </c>
      <c r="N27" s="1">
        <v>315.42</v>
      </c>
      <c r="O27" s="17">
        <f>N27/N31*100</f>
        <v>0.50605835699014168</v>
      </c>
      <c r="P27" s="52">
        <f>((O27*O27*(I27/100)*(K27/100))/(L27-1))</f>
        <v>0</v>
      </c>
      <c r="S27" s="66" t="s">
        <v>39</v>
      </c>
      <c r="T27" s="67">
        <f t="shared" si="3"/>
        <v>2.1506616105517328E-3</v>
      </c>
      <c r="U27" s="67">
        <f t="shared" si="3"/>
        <v>0</v>
      </c>
      <c r="V27" s="67">
        <f t="shared" si="3"/>
        <v>0.46021885051523703</v>
      </c>
      <c r="W27" s="67">
        <f t="shared" si="3"/>
        <v>0.88100049012508952</v>
      </c>
      <c r="X27" s="67">
        <f t="shared" si="3"/>
        <v>0.77116485370250332</v>
      </c>
      <c r="AC27" t="s">
        <v>99</v>
      </c>
      <c r="AD27" s="55">
        <f>I340</f>
        <v>0.91954022988505746</v>
      </c>
      <c r="AE27" s="55">
        <f>I351</f>
        <v>0.95520164915112904</v>
      </c>
      <c r="AF27" s="55">
        <f>J351</f>
        <v>8.2729705025752914E-3</v>
      </c>
      <c r="AH27">
        <v>340</v>
      </c>
      <c r="AI27">
        <v>351</v>
      </c>
      <c r="BF27" s="48"/>
    </row>
    <row r="28" spans="1:66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0</v>
      </c>
      <c r="E28" s="34">
        <f t="shared" si="2"/>
        <v>41.852800584256592</v>
      </c>
      <c r="F28" s="19">
        <f t="shared" si="2"/>
        <v>0</v>
      </c>
      <c r="G28" s="20">
        <f t="shared" si="2"/>
        <v>0</v>
      </c>
      <c r="H28" s="17">
        <f>SUM(C28:G28)</f>
        <v>41.852800584256592</v>
      </c>
      <c r="I28" s="17">
        <f>E28/H28*100</f>
        <v>100</v>
      </c>
      <c r="J28" s="17">
        <f>SQRT(I28*(100-I28)/(L28-1))</f>
        <v>0</v>
      </c>
      <c r="K28" s="18">
        <f>100-I28</f>
        <v>0</v>
      </c>
      <c r="L28" s="1">
        <f>H17</f>
        <v>178</v>
      </c>
      <c r="M28">
        <v>2</v>
      </c>
      <c r="N28" s="1">
        <v>26086.34</v>
      </c>
      <c r="O28" s="17">
        <f>N28/N31*100</f>
        <v>41.852800584256592</v>
      </c>
      <c r="P28" s="52">
        <f>((O28*O28*(I28/100)*(K28/100))/(L28-1))</f>
        <v>0</v>
      </c>
      <c r="S28" t="s">
        <v>30</v>
      </c>
      <c r="T28" s="57">
        <f t="shared" si="3"/>
        <v>100</v>
      </c>
      <c r="U28" s="57">
        <f t="shared" si="3"/>
        <v>100</v>
      </c>
      <c r="V28" s="57">
        <f t="shared" si="3"/>
        <v>97.986259576721636</v>
      </c>
      <c r="W28" s="57">
        <f t="shared" si="3"/>
        <v>94.975877478293953</v>
      </c>
      <c r="X28" s="57">
        <f t="shared" si="3"/>
        <v>85.929605240137604</v>
      </c>
      <c r="AC28" t="s">
        <v>100</v>
      </c>
      <c r="AD28" s="55">
        <f>I369</f>
        <v>0.93390804597701149</v>
      </c>
      <c r="AE28" s="55">
        <f>I380</f>
        <v>0.96313713197234618</v>
      </c>
      <c r="AF28" s="55">
        <f>J380</f>
        <v>7.6923604401727217E-3</v>
      </c>
      <c r="AH28">
        <v>369</v>
      </c>
      <c r="AI28">
        <v>380</v>
      </c>
      <c r="BF28" s="48"/>
    </row>
    <row r="29" spans="1:66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0</v>
      </c>
      <c r="E29" s="19">
        <f t="shared" si="2"/>
        <v>0.61939952405079435</v>
      </c>
      <c r="F29" s="34">
        <f t="shared" si="2"/>
        <v>42.119167635454012</v>
      </c>
      <c r="G29" s="20">
        <f t="shared" si="2"/>
        <v>1.858198572152383</v>
      </c>
      <c r="H29" s="17">
        <f>SUM(C29:G29)</f>
        <v>44.596765731657186</v>
      </c>
      <c r="I29" s="17">
        <f>F29/H29*100</f>
        <v>94.444444444444457</v>
      </c>
      <c r="J29" s="17">
        <f>SQRT(I29*(100-I29)/(L29-1))</f>
        <v>1.9155078532433623</v>
      </c>
      <c r="K29" s="18">
        <f>100-I29</f>
        <v>5.5555555555555429</v>
      </c>
      <c r="L29" s="1">
        <f>H18</f>
        <v>144</v>
      </c>
      <c r="M29">
        <v>3</v>
      </c>
      <c r="N29" s="1">
        <v>27796.62</v>
      </c>
      <c r="O29" s="17">
        <f>N29/N31*100</f>
        <v>44.596765731657193</v>
      </c>
      <c r="P29" s="52">
        <f>((O29*O29*(I29/100)*(K29/100))/(L29-1))</f>
        <v>0.72975083599484714</v>
      </c>
      <c r="S29" s="66" t="s">
        <v>39</v>
      </c>
      <c r="T29" s="67">
        <f t="shared" si="3"/>
        <v>0</v>
      </c>
      <c r="U29" s="67">
        <f t="shared" si="3"/>
        <v>0</v>
      </c>
      <c r="V29" s="67">
        <f t="shared" si="3"/>
        <v>1.0832191090039249</v>
      </c>
      <c r="W29" s="67">
        <f t="shared" si="3"/>
        <v>1.102789662948827</v>
      </c>
      <c r="X29" s="67">
        <f t="shared" si="3"/>
        <v>6.6274781576803754</v>
      </c>
      <c r="AC29" t="s">
        <v>101</v>
      </c>
      <c r="AD29" s="55">
        <f>I398</f>
        <v>0.92816091954022983</v>
      </c>
      <c r="AE29" s="55">
        <f>I409</f>
        <v>0.95813380669323767</v>
      </c>
      <c r="AF29" s="55">
        <f>J409</f>
        <v>8.2836401879646179E-3</v>
      </c>
      <c r="AH29">
        <v>398</v>
      </c>
      <c r="AI29">
        <v>409</v>
      </c>
      <c r="BF29" s="48"/>
    </row>
    <row r="30" spans="1:66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0</v>
      </c>
      <c r="E30" s="21">
        <f t="shared" si="2"/>
        <v>0.26186919918724599</v>
      </c>
      <c r="F30" s="21">
        <f t="shared" si="2"/>
        <v>1.5188413552860267</v>
      </c>
      <c r="G30" s="37">
        <f t="shared" si="2"/>
        <v>10.998506365864332</v>
      </c>
      <c r="H30" s="17">
        <f>SUM(C30:G30)</f>
        <v>12.779216920337603</v>
      </c>
      <c r="I30" s="17">
        <f>G30/H30*100</f>
        <v>86.06557377049181</v>
      </c>
      <c r="J30" s="17">
        <f>SQRT(I30*(100-I30)/(L30-1))</f>
        <v>2.2215502582241289</v>
      </c>
      <c r="K30" s="18">
        <f>100-I30</f>
        <v>13.93442622950819</v>
      </c>
      <c r="L30" s="1">
        <f>H19</f>
        <v>244</v>
      </c>
      <c r="M30">
        <v>4</v>
      </c>
      <c r="N30" s="1">
        <v>7965.13</v>
      </c>
      <c r="O30" s="17">
        <f>N30/N31*100</f>
        <v>12.779216920337605</v>
      </c>
      <c r="P30" s="52">
        <f>((O30*O30*(I30/100)*(K30/100))/(L30-1))</f>
        <v>8.0597351313317245E-2</v>
      </c>
      <c r="S30" t="s">
        <v>31</v>
      </c>
      <c r="T30" s="57">
        <f>I55</f>
        <v>99.130434782608688</v>
      </c>
      <c r="U30" s="57">
        <f>I56</f>
        <v>100</v>
      </c>
      <c r="V30" s="57">
        <f>I57</f>
        <v>100</v>
      </c>
      <c r="W30" s="57">
        <f>I58</f>
        <v>95.138888888888886</v>
      </c>
      <c r="X30" s="57">
        <f>I59</f>
        <v>79.508196721311478</v>
      </c>
      <c r="AC30" t="s">
        <v>102</v>
      </c>
      <c r="AD30" s="55">
        <f>I427</f>
        <v>0.92528735632183912</v>
      </c>
      <c r="AE30" s="55">
        <f>I438</f>
        <v>0.95756653442863449</v>
      </c>
      <c r="AF30" s="55">
        <f>J438</f>
        <v>8.217448459917967E-3</v>
      </c>
      <c r="AH30">
        <v>427</v>
      </c>
      <c r="AI30">
        <v>438</v>
      </c>
      <c r="BF30" s="48"/>
    </row>
    <row r="31" spans="1:66" x14ac:dyDescent="0.3">
      <c r="B31" t="s">
        <v>28</v>
      </c>
      <c r="C31" s="17">
        <f>SUM(C26:C30)</f>
        <v>0.26054695620616158</v>
      </c>
      <c r="D31" s="17">
        <f>SUM(D26:D30)</f>
        <v>0.50605835699014168</v>
      </c>
      <c r="E31" s="17">
        <f>SUM(E26:E30)</f>
        <v>42.734069307494629</v>
      </c>
      <c r="F31" s="17">
        <f>SUM(F26:F30)</f>
        <v>43.642620441292365</v>
      </c>
      <c r="G31" s="17">
        <f>SUM(G26:G30)</f>
        <v>12.856704938016716</v>
      </c>
      <c r="H31" s="1">
        <f>SUM(H25:H30)</f>
        <v>100</v>
      </c>
      <c r="I31" s="13" t="s">
        <v>24</v>
      </c>
      <c r="J31" s="12" t="s">
        <v>29</v>
      </c>
      <c r="N31" s="18">
        <f>SUM(N26:N30)</f>
        <v>62328.779999999992</v>
      </c>
      <c r="O31" s="17">
        <f>SUM(O26:O30)</f>
        <v>100.00000000000001</v>
      </c>
      <c r="S31" s="66" t="s">
        <v>39</v>
      </c>
      <c r="T31" s="67">
        <f>J55</f>
        <v>0.8695652173913081</v>
      </c>
      <c r="U31" s="67">
        <f>J56</f>
        <v>0</v>
      </c>
      <c r="V31" s="67">
        <f>J57</f>
        <v>0</v>
      </c>
      <c r="W31" s="67">
        <f>J58</f>
        <v>1.7983689383153578</v>
      </c>
      <c r="X31" s="67">
        <f>J59</f>
        <v>2.5893627973940467</v>
      </c>
      <c r="AC31" t="s">
        <v>103</v>
      </c>
      <c r="AD31" s="55">
        <f>I456</f>
        <v>0.92097701149425293</v>
      </c>
      <c r="AE31" s="55">
        <f>I467</f>
        <v>0.95858813752244254</v>
      </c>
      <c r="AF31" s="55">
        <f>J467</f>
        <v>7.649594486595003E-3</v>
      </c>
      <c r="AH31">
        <v>456</v>
      </c>
      <c r="AI31">
        <v>467</v>
      </c>
      <c r="BF31" s="48"/>
    </row>
    <row r="32" spans="1:66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3.2323089137542798E-3</v>
      </c>
      <c r="D32" s="18">
        <f>SQRT(SUM((O26*O26*(D26/O26)*(1-D26/O26))/L26,(O27*O27*(D27/O27)*(1-D27/O27))/L27,(O28*O28*(D28/O28)*(1-D28/O28))/L28,(O29*O29*(D29/O29)*(1-D29/O29))/L29,(O30*O30*(D30/O30)*(1-D30/O30))/L30))</f>
        <v>0</v>
      </c>
      <c r="E32" s="18">
        <f>SQRT(SUM((O26*O26*(E26/O26)*(1-E26/O26))/L26,(O27*O27*(E27/O27)*(1-E27/O27))/L27,(O28*O28*(E28/O28)*(1-E28/O28))/L28,(O29*O29*(E29/O29)*(1-E29/O29))/L29,(O30*O30*(E30/O30)*(1-E30/O30))/L30))</f>
        <v>0.45010849522266344</v>
      </c>
      <c r="F32" s="18">
        <f>SQRT(SUM((O26*O26*(F26/O26)*(1-F26/O26))/L26,(O27*O27*(F27/O27)*(1-F27/O27))/L27,(O28*O28*(F28/O28)*(1-F28/O28))/L28,(O29*O29*(F29/O29)*(1-F29/O29))/L29,(O30*O30*(F30/O30)*(1-F30/O30))/L30))</f>
        <v>0.89150810493777799</v>
      </c>
      <c r="G32" s="18">
        <f>SQRT(SUM((O26*O26*(G26/O26)*(1-G26/O26))/L26,(O27*O27*(G27/O27)*(1-G27/O27))/L27,(O28*O28*(G28/O28)*(1-G28/O28))/L28,(O29*O29*(G29/O29)*(1-G29/O29))/L29,(O30*O30*(G30/O30)*(1-G30/O30))/L30))</f>
        <v>0.79484099305560296</v>
      </c>
      <c r="H32" s="1"/>
      <c r="I32" s="14">
        <f>(C26+D27+E28+F29+G30)/H31</f>
        <v>0.95737079898771238</v>
      </c>
      <c r="J32" s="53">
        <f>SQRT(SUM(P26:P30))/100</f>
        <v>9.001992705932561E-3</v>
      </c>
      <c r="M32" s="1"/>
      <c r="N32" s="9"/>
      <c r="S32" s="66" t="s">
        <v>51</v>
      </c>
      <c r="T32" s="67">
        <f>N44*100</f>
        <v>99.563318777292579</v>
      </c>
      <c r="U32" s="67">
        <f>N45*100</f>
        <v>100</v>
      </c>
      <c r="V32" s="67">
        <f>N46*100</f>
        <v>98.342541436464074</v>
      </c>
      <c r="W32" s="67">
        <f>N47*100</f>
        <v>83.536585365853668</v>
      </c>
      <c r="X32" s="67">
        <f>N48*100</f>
        <v>87.584650112866825</v>
      </c>
      <c r="AC32" t="s">
        <v>104</v>
      </c>
      <c r="AD32" s="55">
        <f>I485</f>
        <v>0.92097701149425293</v>
      </c>
      <c r="AE32" s="55">
        <f>I496</f>
        <v>0.95326110606628855</v>
      </c>
      <c r="AF32" s="55">
        <f>J496</f>
        <v>8.8393605431276671E-3</v>
      </c>
      <c r="AH32">
        <v>485</v>
      </c>
      <c r="AI32">
        <v>496</v>
      </c>
      <c r="BF32" s="48"/>
    </row>
    <row r="33" spans="1:68" x14ac:dyDescent="0.3">
      <c r="B33" s="1" t="s">
        <v>30</v>
      </c>
      <c r="C33" s="17">
        <f>C26/C31*100</f>
        <v>100</v>
      </c>
      <c r="D33" s="17">
        <f>D27/D31*100</f>
        <v>100</v>
      </c>
      <c r="E33" s="17">
        <f>E28/E31*100</f>
        <v>97.937784214049842</v>
      </c>
      <c r="F33" s="17">
        <f>F29/F31*100</f>
        <v>96.509254507557145</v>
      </c>
      <c r="G33" s="17">
        <f>G30/G31*100</f>
        <v>85.54685215915805</v>
      </c>
      <c r="H33" s="1"/>
      <c r="R33" s="16" t="s">
        <v>61</v>
      </c>
      <c r="S33" t="s">
        <v>9</v>
      </c>
      <c r="T33" s="30">
        <f>N55</f>
        <v>154.83000000000001</v>
      </c>
      <c r="U33" s="30">
        <f>N56</f>
        <v>292.02</v>
      </c>
      <c r="V33" s="30">
        <f>N57</f>
        <v>25512.39</v>
      </c>
      <c r="W33" s="30">
        <f>N58</f>
        <v>28711.919999999998</v>
      </c>
      <c r="X33" s="30">
        <f>N59</f>
        <v>7657.63</v>
      </c>
      <c r="Z33" t="s">
        <v>36</v>
      </c>
      <c r="AA33" s="1">
        <f>N60</f>
        <v>62328.789999999994</v>
      </c>
      <c r="AC33" t="s">
        <v>105</v>
      </c>
      <c r="AD33" s="55">
        <f>I514</f>
        <v>0.92672413793103448</v>
      </c>
      <c r="AE33" s="55">
        <f>I525</f>
        <v>0.95962036629077763</v>
      </c>
      <c r="AF33" s="55">
        <f>J525</f>
        <v>7.7046708458487047E-3</v>
      </c>
      <c r="AH33">
        <v>514</v>
      </c>
      <c r="AI33">
        <v>525</v>
      </c>
    </row>
    <row r="34" spans="1:68" ht="18" x14ac:dyDescent="0.35">
      <c r="B34" s="16" t="s">
        <v>39</v>
      </c>
      <c r="C34" s="18">
        <f>SQRT((C37+C38)/(C31*C31))</f>
        <v>0</v>
      </c>
      <c r="D34" s="18">
        <f>SQRT((D37+D38)/(D31*D31))</f>
        <v>0</v>
      </c>
      <c r="E34" s="18">
        <f>SQRT((E37+E38)/(E31*E31))</f>
        <v>1.035059482464179</v>
      </c>
      <c r="F34" s="18">
        <f>SQRT((F37+F38)/(F31*F31))</f>
        <v>0.90060325386477869</v>
      </c>
      <c r="G34" s="18">
        <f>SQRT((G37+G38)/(G31*G31))</f>
        <v>5.8969212767010459</v>
      </c>
      <c r="H34" s="1"/>
      <c r="I34" s="14"/>
      <c r="R34" s="16" t="s">
        <v>318</v>
      </c>
      <c r="S34" t="s">
        <v>63</v>
      </c>
      <c r="T34" s="57">
        <f>$AA33*T26/100</f>
        <v>153.48365217391307</v>
      </c>
      <c r="U34" s="57">
        <f>$AA33*U26/100</f>
        <v>292.02</v>
      </c>
      <c r="V34" s="57">
        <f>$AA33*V26/100</f>
        <v>26036.701584699451</v>
      </c>
      <c r="W34" s="57">
        <f>$AA33*W26/100</f>
        <v>28761.199571869802</v>
      </c>
      <c r="X34" s="57">
        <f>$AA33*X26/100</f>
        <v>7085.3851912568316</v>
      </c>
      <c r="Z34" t="s">
        <v>36</v>
      </c>
      <c r="AA34" s="25">
        <f>SUM(T34:X34)</f>
        <v>62328.789999999994</v>
      </c>
      <c r="AB34" s="25"/>
      <c r="AC34" t="s">
        <v>106</v>
      </c>
      <c r="AD34" s="55">
        <f>I543</f>
        <v>0.9181034482758621</v>
      </c>
      <c r="AE34" s="55">
        <f>I554</f>
        <v>0.95470450758132375</v>
      </c>
      <c r="AF34" s="55">
        <f>J554</f>
        <v>8.4538540185317302E-3</v>
      </c>
      <c r="AH34">
        <v>543</v>
      </c>
      <c r="AI34">
        <v>554</v>
      </c>
      <c r="BF34" s="83" t="s">
        <v>338</v>
      </c>
    </row>
    <row r="35" spans="1:68" x14ac:dyDescent="0.3">
      <c r="B35" s="1" t="s">
        <v>37</v>
      </c>
      <c r="C35" s="18">
        <f>100-C33</f>
        <v>0</v>
      </c>
      <c r="D35" s="18">
        <f>100-D33</f>
        <v>0</v>
      </c>
      <c r="E35" s="18">
        <f>100-E33</f>
        <v>2.0622157859501584</v>
      </c>
      <c r="F35" s="18">
        <f>100-F33</f>
        <v>3.4907454924428549</v>
      </c>
      <c r="G35" s="18">
        <f>100-G33</f>
        <v>14.45314784084195</v>
      </c>
      <c r="R35" s="66"/>
      <c r="S35" s="66" t="s">
        <v>62</v>
      </c>
      <c r="T35" s="67">
        <f>$AA33*T27/100</f>
        <v>1.3404813588514071</v>
      </c>
      <c r="U35" s="67">
        <f>$AA33*U27/100</f>
        <v>0</v>
      </c>
      <c r="V35" s="67">
        <f>$AA33*V27/100</f>
        <v>286.84884087805597</v>
      </c>
      <c r="W35" s="67">
        <f>$AA33*W27/100</f>
        <v>549.11694538903771</v>
      </c>
      <c r="X35" s="67">
        <f>$AA33*X27/100</f>
        <v>480.65772221804042</v>
      </c>
      <c r="AA35" s="1"/>
      <c r="AB35" s="25"/>
      <c r="AC35" s="58" t="s">
        <v>107</v>
      </c>
      <c r="AD35" s="121">
        <f>I572</f>
        <v>0.92241379310344829</v>
      </c>
      <c r="AE35" s="121">
        <f>I583</f>
        <v>0.95581747900076108</v>
      </c>
      <c r="AF35" s="121">
        <f>J583</f>
        <v>8.2421528112132346E-3</v>
      </c>
      <c r="AH35">
        <v>572</v>
      </c>
      <c r="AI35">
        <v>583</v>
      </c>
    </row>
    <row r="36" spans="1:68" ht="15.6" x14ac:dyDescent="0.35">
      <c r="B36" s="1" t="s">
        <v>25</v>
      </c>
      <c r="C36" s="1">
        <f>C20</f>
        <v>113</v>
      </c>
      <c r="D36" s="1">
        <f>D20</f>
        <v>15</v>
      </c>
      <c r="E36" s="1">
        <f>E20</f>
        <v>185</v>
      </c>
      <c r="F36" s="1">
        <f>F20</f>
        <v>167</v>
      </c>
      <c r="G36" s="1">
        <f>G20</f>
        <v>216</v>
      </c>
      <c r="R36" t="s">
        <v>67</v>
      </c>
      <c r="S36" t="s">
        <v>28</v>
      </c>
      <c r="T36" s="57">
        <f t="shared" ref="T36:X39" si="4">C89</f>
        <v>0.24976370574845738</v>
      </c>
      <c r="U36" s="57">
        <f t="shared" si="4"/>
        <v>0.39456886616922937</v>
      </c>
      <c r="V36" s="57">
        <f t="shared" si="4"/>
        <v>41.664965034427276</v>
      </c>
      <c r="W36" s="57">
        <f t="shared" si="4"/>
        <v>45.990205047477971</v>
      </c>
      <c r="X36" s="57">
        <f t="shared" si="4"/>
        <v>11.700497346177073</v>
      </c>
      <c r="Y36" s="13"/>
      <c r="Z36" s="74"/>
      <c r="AA36" s="12"/>
      <c r="AC36" t="s">
        <v>108</v>
      </c>
      <c r="AD36" s="55">
        <v>0.93821839080459701</v>
      </c>
      <c r="AE36" s="55">
        <v>0.95625206282943098</v>
      </c>
      <c r="AH36">
        <v>601</v>
      </c>
      <c r="AI36">
        <v>612</v>
      </c>
      <c r="BF36" s="82" t="s">
        <v>330</v>
      </c>
      <c r="BG36" s="1">
        <v>0.05</v>
      </c>
      <c r="BH36" s="59" t="s">
        <v>331</v>
      </c>
      <c r="BI36" s="1">
        <v>20</v>
      </c>
      <c r="BJ36" s="59" t="s">
        <v>332</v>
      </c>
      <c r="BK36" s="1">
        <f>_xlfn.VAR.S(BF39:BF58)*(BI36-1)</f>
        <v>1.586778425307889E-4</v>
      </c>
    </row>
    <row r="37" spans="1:68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0</v>
      </c>
      <c r="E37" s="18">
        <f>(O28*O28*(100-E33)*(100-E33)*(I28)*(100-I28))/((L28-1)*100)</f>
        <v>0</v>
      </c>
      <c r="F37" s="18">
        <f>(O29*O29*(100-F33)*(100-F33)*(I29)*(100-I29))/((L29-1)*100)</f>
        <v>889.22358487255599</v>
      </c>
      <c r="G37" s="18">
        <f>(O30*O30*(100-G33)*(100-G33)*(I30)*(100-I30))/((L30-1)*100)</f>
        <v>1683.6261396859052</v>
      </c>
      <c r="S37" s="66" t="s">
        <v>39</v>
      </c>
      <c r="T37" s="67">
        <f t="shared" si="4"/>
        <v>3.0985334243714743E-3</v>
      </c>
      <c r="U37" s="67">
        <f t="shared" si="4"/>
        <v>0</v>
      </c>
      <c r="V37" s="67">
        <f t="shared" si="4"/>
        <v>0.33182345644301547</v>
      </c>
      <c r="W37" s="67">
        <f t="shared" si="4"/>
        <v>0.7547982176850162</v>
      </c>
      <c r="X37" s="67">
        <f t="shared" si="4"/>
        <v>0.69487114717102849</v>
      </c>
      <c r="AC37" t="s">
        <v>109</v>
      </c>
      <c r="AD37" s="55">
        <v>0.94109195402298795</v>
      </c>
      <c r="AE37" s="55">
        <v>0.96547642208551598</v>
      </c>
      <c r="AH37">
        <v>630</v>
      </c>
      <c r="AI37">
        <v>641</v>
      </c>
    </row>
    <row r="38" spans="1:68" ht="15.6" x14ac:dyDescent="0.35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0</v>
      </c>
      <c r="E38" s="18">
        <f>E33*E33*(SUM((H26*E26*(1-E15/H15))/(H15-1),(H27*E27*(1-E16/H16))/(H16-1), (H29*E29*(1-E18/H18))/(H18-1),(H30*E30*(1-E19/H19))/(H19-1)))</f>
        <v>1956.4966871592451</v>
      </c>
      <c r="F38" s="18">
        <f>F33*F33*(SUM((H26*F26*(1-F15/H15))/(H15-1),(H27*F27*(1-F16/H16))/(H16-1), (H28*F28*(1-F17/H17))/(H17-1),(H30*F30*(1-F19/H19))/(H19-1)))</f>
        <v>655.63475484763444</v>
      </c>
      <c r="G38" s="18">
        <f>G33*G33*(SUM((H26*G26*(1-G15/H15))/(H15-1),(H27*G27*(1-G16/H16))/(H16-1), (H28*G28*(1-G17/H17))/(H17-1),(H29*G29*(1-G18/H18))/(H18-1)))</f>
        <v>4064.2845822458853</v>
      </c>
      <c r="S38" t="s">
        <v>30</v>
      </c>
      <c r="T38" s="57">
        <f t="shared" si="4"/>
        <v>100</v>
      </c>
      <c r="U38" s="57">
        <f t="shared" si="4"/>
        <v>100</v>
      </c>
      <c r="V38" s="57">
        <f t="shared" si="4"/>
        <v>98.743982491730648</v>
      </c>
      <c r="W38" s="57">
        <f t="shared" si="4"/>
        <v>95.722597807543991</v>
      </c>
      <c r="X38" s="57">
        <f t="shared" si="4"/>
        <v>89.172687020151898</v>
      </c>
      <c r="Z38" s="50"/>
      <c r="AA38" s="54"/>
      <c r="AC38" t="s">
        <v>110</v>
      </c>
      <c r="AD38" s="55">
        <v>0.93534482758620596</v>
      </c>
      <c r="AE38" s="55">
        <v>0.95612911462323602</v>
      </c>
      <c r="AH38">
        <v>659</v>
      </c>
      <c r="AI38">
        <v>670</v>
      </c>
      <c r="BF38" s="12" t="s">
        <v>329</v>
      </c>
      <c r="BG38" s="13" t="s">
        <v>339</v>
      </c>
      <c r="BH38" s="13" t="s">
        <v>344</v>
      </c>
      <c r="BI38" s="13" t="s">
        <v>345</v>
      </c>
      <c r="BJ38" s="13" t="s">
        <v>346</v>
      </c>
      <c r="BK38" s="13" t="s">
        <v>340</v>
      </c>
      <c r="BL38">
        <f>1/(SQRT(BI36))</f>
        <v>0.22360679774997896</v>
      </c>
      <c r="BP38" s="1"/>
    </row>
    <row r="39" spans="1:68" x14ac:dyDescent="0.3">
      <c r="S39" s="66" t="s">
        <v>39</v>
      </c>
      <c r="T39" s="67">
        <f t="shared" si="4"/>
        <v>0</v>
      </c>
      <c r="U39" s="67">
        <f t="shared" si="4"/>
        <v>0</v>
      </c>
      <c r="V39" s="67">
        <f t="shared" si="4"/>
        <v>0.78904316138445929</v>
      </c>
      <c r="W39" s="67">
        <f t="shared" si="4"/>
        <v>0.89110219909448196</v>
      </c>
      <c r="X39" s="67">
        <f t="shared" si="4"/>
        <v>5.5490617322774947</v>
      </c>
      <c r="AC39" t="s">
        <v>111</v>
      </c>
      <c r="AD39" s="55">
        <v>0.92672413793103403</v>
      </c>
      <c r="AE39" s="55">
        <v>0.96158192531597797</v>
      </c>
      <c r="AG39" s="2"/>
      <c r="AH39">
        <v>688</v>
      </c>
      <c r="AI39">
        <v>699</v>
      </c>
      <c r="BF39">
        <v>0.95240961429590953</v>
      </c>
      <c r="BG39" s="27">
        <v>1</v>
      </c>
      <c r="BH39" s="84">
        <f>_xlfn.NORM.S.INV((BG39-0.375)/($BI$36+0.25))</f>
        <v>-1.8682416548639302</v>
      </c>
      <c r="BI39" s="84">
        <f>-BI58</f>
        <v>-0.47336806621893501</v>
      </c>
      <c r="BJ39">
        <f>BI39*BF39</f>
        <v>-0.45084029736757647</v>
      </c>
      <c r="BK39" s="13" t="s">
        <v>335</v>
      </c>
      <c r="BL39">
        <f>SUMSQ(BH39:BH58)</f>
        <v>17.633567020527028</v>
      </c>
      <c r="BP39" s="1"/>
    </row>
    <row r="40" spans="1:68" x14ac:dyDescent="0.3">
      <c r="S40" t="s">
        <v>31</v>
      </c>
      <c r="T40" s="57">
        <f>I84</f>
        <v>98.260869565217391</v>
      </c>
      <c r="U40" s="57">
        <f>I85</f>
        <v>100</v>
      </c>
      <c r="V40" s="57">
        <f>I86</f>
        <v>100</v>
      </c>
      <c r="W40" s="57">
        <f>I87</f>
        <v>96.527777777777786</v>
      </c>
      <c r="X40" s="57">
        <f>I88</f>
        <v>82.786885245901644</v>
      </c>
      <c r="AC40" t="s">
        <v>112</v>
      </c>
      <c r="AD40" s="55">
        <v>0.93821839080459701</v>
      </c>
      <c r="AE40" s="55">
        <v>0.95919217111730504</v>
      </c>
      <c r="AH40">
        <v>717</v>
      </c>
      <c r="AI40">
        <v>728</v>
      </c>
      <c r="BF40">
        <v>0.95326110606628855</v>
      </c>
      <c r="BG40" s="27">
        <v>2</v>
      </c>
      <c r="BH40" s="84">
        <f t="shared" ref="BH40:BH58" si="5">_xlfn.NORM.S.INV((BG40-0.375)/($BI$36+0.25))</f>
        <v>-1.4034126358514019</v>
      </c>
      <c r="BI40" s="84">
        <f>-BI57</f>
        <v>-0.32175145499838514</v>
      </c>
      <c r="BJ40">
        <f t="shared" ref="BJ40:BJ58" si="6">BI40*BF40</f>
        <v>-0.30671314787019827</v>
      </c>
      <c r="BK40" s="74" t="s">
        <v>341</v>
      </c>
      <c r="BL40">
        <f>(BL39-2*(BH58^2)-2*(BH57^2))/(1-2*(BI58^2)-2*(BI57^2))</f>
        <v>19.471667059296756</v>
      </c>
      <c r="BP40" s="1"/>
    </row>
    <row r="41" spans="1:68" x14ac:dyDescent="0.3">
      <c r="A41" s="348">
        <v>1977</v>
      </c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 t="s">
        <v>49</v>
      </c>
      <c r="M41" s="348"/>
      <c r="N41" s="348"/>
      <c r="O41" s="348"/>
      <c r="P41" s="348"/>
      <c r="S41" s="66" t="s">
        <v>39</v>
      </c>
      <c r="T41" s="67">
        <f>J84</f>
        <v>1.2243453990683941</v>
      </c>
      <c r="U41" s="67">
        <f>J85</f>
        <v>0</v>
      </c>
      <c r="V41" s="67">
        <f>J86</f>
        <v>0</v>
      </c>
      <c r="W41" s="67">
        <f>J87</f>
        <v>1.5309531175003726</v>
      </c>
      <c r="X41" s="67">
        <f>J88</f>
        <v>2.4216276503293863</v>
      </c>
      <c r="AC41" t="s">
        <v>113</v>
      </c>
      <c r="AD41" s="55">
        <v>0.93103448275862</v>
      </c>
      <c r="AE41" s="55">
        <v>0.96230474531065102</v>
      </c>
      <c r="AG41" s="2"/>
      <c r="AH41">
        <v>746</v>
      </c>
      <c r="AI41">
        <v>757</v>
      </c>
      <c r="BF41">
        <v>0.95470450758132375</v>
      </c>
      <c r="BG41" s="1">
        <v>3</v>
      </c>
      <c r="BH41">
        <f t="shared" si="5"/>
        <v>-1.1281436452787641</v>
      </c>
      <c r="BI41">
        <f t="shared" ref="BI41:BI56" si="7">BH41/SQRT($BL$40)</f>
        <v>-0.25566002901309814</v>
      </c>
      <c r="BJ41">
        <f t="shared" si="6"/>
        <v>-0.24407978210717682</v>
      </c>
      <c r="BK41" s="74" t="s">
        <v>333</v>
      </c>
      <c r="BL41" s="48">
        <f>CORREL(BF39:BF58,BI39:BI58)^2</f>
        <v>0.96575101877600111</v>
      </c>
      <c r="BM41" s="48">
        <f>(BJ59^2)/BK36</f>
        <v>0.96575101877602765</v>
      </c>
      <c r="BP41" s="1"/>
    </row>
    <row r="42" spans="1:68" x14ac:dyDescent="0.3">
      <c r="A42" t="s">
        <v>315</v>
      </c>
      <c r="B42" t="s">
        <v>21</v>
      </c>
      <c r="I42" s="1" t="s">
        <v>53</v>
      </c>
      <c r="O42" s="350"/>
      <c r="P42" s="350"/>
      <c r="S42" s="66" t="s">
        <v>51</v>
      </c>
      <c r="T42" s="67">
        <f>N73*100</f>
        <v>99.122807017543863</v>
      </c>
      <c r="U42" s="67">
        <f>N74*100</f>
        <v>100</v>
      </c>
      <c r="V42" s="67">
        <f>N75*100</f>
        <v>98.61495844875347</v>
      </c>
      <c r="W42" s="67">
        <f>N76*100</f>
        <v>86.068111455108351</v>
      </c>
      <c r="X42" s="67">
        <f>N77*100</f>
        <v>89.777777777777786</v>
      </c>
      <c r="AC42" t="s">
        <v>114</v>
      </c>
      <c r="AD42" s="55">
        <v>0.93247126436781602</v>
      </c>
      <c r="AE42" s="55">
        <v>0.96072879026437097</v>
      </c>
      <c r="AH42">
        <v>775</v>
      </c>
      <c r="AI42">
        <v>786</v>
      </c>
      <c r="BF42">
        <v>0.95520164915112904</v>
      </c>
      <c r="BG42" s="1">
        <v>4</v>
      </c>
      <c r="BH42">
        <f t="shared" si="5"/>
        <v>-0.91913552204621074</v>
      </c>
      <c r="BI42">
        <f t="shared" si="7"/>
        <v>-0.20829458661289388</v>
      </c>
      <c r="BJ42">
        <f t="shared" si="6"/>
        <v>-0.19896333264188892</v>
      </c>
      <c r="BK42" s="74" t="s">
        <v>73</v>
      </c>
      <c r="BL42">
        <f>0.0038915*(LN(BI36)^3)-0.083751*(LN(BI36)^2)-0.31082*LN(BI36)-1.5861</f>
        <v>-3.1642267470723917</v>
      </c>
      <c r="BP42" s="1"/>
    </row>
    <row r="43" spans="1:68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51</v>
      </c>
      <c r="R43" s="16" t="s">
        <v>61</v>
      </c>
      <c r="S43" t="s">
        <v>9</v>
      </c>
      <c r="T43" s="30">
        <f>N84</f>
        <v>158.43</v>
      </c>
      <c r="U43" s="30">
        <f>N85</f>
        <v>245.93</v>
      </c>
      <c r="V43" s="30">
        <f>N86</f>
        <v>25643.09</v>
      </c>
      <c r="W43" s="30">
        <f>N87</f>
        <v>28426.03</v>
      </c>
      <c r="X43" s="30">
        <f>N88</f>
        <v>7855.31</v>
      </c>
      <c r="Z43" t="s">
        <v>36</v>
      </c>
      <c r="AA43" s="1">
        <f>N89</f>
        <v>62328.789999999994</v>
      </c>
      <c r="AC43" t="s">
        <v>115</v>
      </c>
      <c r="AD43" s="55">
        <v>0.94109195402298795</v>
      </c>
      <c r="AE43" s="55">
        <v>0.96569845224940698</v>
      </c>
      <c r="AG43" s="2"/>
      <c r="AH43">
        <v>804</v>
      </c>
      <c r="AI43">
        <v>815</v>
      </c>
      <c r="BF43">
        <v>0.95576600496657849</v>
      </c>
      <c r="BG43" s="1">
        <v>5</v>
      </c>
      <c r="BH43">
        <f t="shared" si="5"/>
        <v>-0.74414274222016763</v>
      </c>
      <c r="BI43">
        <f t="shared" si="7"/>
        <v>-0.16863770483667825</v>
      </c>
      <c r="BJ43">
        <f t="shared" si="6"/>
        <v>-0.16117818543848503</v>
      </c>
      <c r="BK43" s="74" t="s">
        <v>347</v>
      </c>
      <c r="BL43">
        <f>EXP(0.0030301*(LN(BI36)^2)-0.082676*LN(BI36)-0.4803)</f>
        <v>0.49619722706220387</v>
      </c>
      <c r="BP43" s="1"/>
    </row>
    <row r="44" spans="1:68" ht="15.6" x14ac:dyDescent="0.35">
      <c r="A44" t="s">
        <v>3</v>
      </c>
      <c r="B44" s="13">
        <v>0</v>
      </c>
      <c r="C44" s="26">
        <v>114</v>
      </c>
      <c r="D44" s="3">
        <v>0</v>
      </c>
      <c r="E44" s="3">
        <v>0</v>
      </c>
      <c r="F44" s="3">
        <v>1</v>
      </c>
      <c r="G44" s="4">
        <v>0</v>
      </c>
      <c r="H44" s="1">
        <f>SUM(C44:G44)</f>
        <v>115</v>
      </c>
      <c r="I44" s="10">
        <f>C44/H44</f>
        <v>0.99130434782608701</v>
      </c>
      <c r="J44" s="11">
        <f>1-I44</f>
        <v>8.6956521739129933E-3</v>
      </c>
      <c r="K44">
        <f>H44-C49</f>
        <v>1</v>
      </c>
      <c r="N44" s="10">
        <f>2*(C50*I44)/(C50+I44)</f>
        <v>0.99563318777292575</v>
      </c>
      <c r="R44" s="16" t="s">
        <v>318</v>
      </c>
      <c r="S44" t="s">
        <v>63</v>
      </c>
      <c r="T44" s="57">
        <f>$AA43*T36/100</f>
        <v>155.67469565217391</v>
      </c>
      <c r="U44" s="57">
        <f>$AA43*U36/100</f>
        <v>245.93</v>
      </c>
      <c r="V44" s="57">
        <f>$AA43*V36/100</f>
        <v>25969.268559881602</v>
      </c>
      <c r="W44" s="57">
        <f>$AA43*W36/100</f>
        <v>28665.13832461194</v>
      </c>
      <c r="X44" s="57">
        <f>$AA43*X36/100</f>
        <v>7292.7784198542804</v>
      </c>
      <c r="Z44" t="s">
        <v>36</v>
      </c>
      <c r="AA44" s="25">
        <f>SUM(T44:X44)</f>
        <v>62328.789999999994</v>
      </c>
      <c r="AC44" t="s">
        <v>116</v>
      </c>
      <c r="AD44" s="55">
        <v>0.91235632183908</v>
      </c>
      <c r="AE44" s="55">
        <v>0.949244001848085</v>
      </c>
      <c r="AH44">
        <v>833</v>
      </c>
      <c r="AI44">
        <v>844</v>
      </c>
      <c r="BF44">
        <v>0.95581747900076108</v>
      </c>
      <c r="BG44" s="1">
        <v>6</v>
      </c>
      <c r="BH44">
        <f t="shared" si="5"/>
        <v>-0.58945579784977842</v>
      </c>
      <c r="BI44">
        <f t="shared" si="7"/>
        <v>-0.13358253358150615</v>
      </c>
      <c r="BJ44">
        <f t="shared" si="6"/>
        <v>-0.12768052048640971</v>
      </c>
      <c r="BK44" s="74" t="s">
        <v>343</v>
      </c>
      <c r="BL44">
        <f>(LN(1-BL41)-BL42)/BL43</f>
        <v>-0.42296026959115834</v>
      </c>
      <c r="BP44" s="1"/>
    </row>
    <row r="45" spans="1:68" x14ac:dyDescent="0.3">
      <c r="A45" t="s">
        <v>4</v>
      </c>
      <c r="B45" s="13">
        <v>1</v>
      </c>
      <c r="C45" s="5">
        <v>0</v>
      </c>
      <c r="D45" s="27">
        <v>15</v>
      </c>
      <c r="E45" s="1">
        <v>0</v>
      </c>
      <c r="F45" s="1">
        <v>0</v>
      </c>
      <c r="G45" s="6">
        <v>0</v>
      </c>
      <c r="H45" s="1">
        <f>SUM(C45:G45)</f>
        <v>15</v>
      </c>
      <c r="I45" s="10">
        <f>D45/H45</f>
        <v>1</v>
      </c>
      <c r="J45" s="11">
        <f>1-I45</f>
        <v>0</v>
      </c>
      <c r="K45">
        <f>H45-D49</f>
        <v>0</v>
      </c>
      <c r="N45" s="10">
        <f>2*(D50*I45)/(D50+I45)</f>
        <v>1</v>
      </c>
      <c r="R45" s="66"/>
      <c r="S45" s="66" t="s">
        <v>62</v>
      </c>
      <c r="T45" s="67">
        <f>$AA43*T37/100</f>
        <v>1.9312783911563047</v>
      </c>
      <c r="U45" s="67">
        <f>$AA43*U37/100</f>
        <v>0</v>
      </c>
      <c r="V45" s="67">
        <f>$AA43*V37/100</f>
        <v>206.82154533710855</v>
      </c>
      <c r="W45" s="67">
        <f>$AA43*W37/100</f>
        <v>470.45659602463655</v>
      </c>
      <c r="X45" s="67">
        <f>$AA43*X37/100</f>
        <v>433.1047780908213</v>
      </c>
      <c r="AA45" s="1"/>
      <c r="AC45" t="s">
        <v>117</v>
      </c>
      <c r="AD45" s="55">
        <v>0.91810344827586199</v>
      </c>
      <c r="AE45" s="55">
        <v>0.95540439482475903</v>
      </c>
      <c r="AG45" s="2"/>
      <c r="AH45">
        <v>862</v>
      </c>
      <c r="AI45">
        <v>873</v>
      </c>
      <c r="BF45">
        <v>0.95592537455872462</v>
      </c>
      <c r="BG45" s="1">
        <v>7</v>
      </c>
      <c r="BH45">
        <f t="shared" si="5"/>
        <v>-0.44776751848294888</v>
      </c>
      <c r="BI45">
        <f t="shared" si="7"/>
        <v>-0.10147312112739562</v>
      </c>
      <c r="BJ45">
        <f t="shared" si="6"/>
        <v>-9.7000731321348496E-2</v>
      </c>
      <c r="BK45" s="74" t="s">
        <v>334</v>
      </c>
      <c r="BL45">
        <f>1-NORMSDIST(BL44)</f>
        <v>0.66383787565265906</v>
      </c>
      <c r="BP45" s="1"/>
    </row>
    <row r="46" spans="1:68" x14ac:dyDescent="0.3">
      <c r="A46" t="s">
        <v>5</v>
      </c>
      <c r="B46" s="13">
        <v>2</v>
      </c>
      <c r="C46" s="5">
        <v>0</v>
      </c>
      <c r="D46" s="1">
        <v>0</v>
      </c>
      <c r="E46" s="27">
        <v>178</v>
      </c>
      <c r="F46" s="1">
        <v>0</v>
      </c>
      <c r="G46" s="6">
        <v>0</v>
      </c>
      <c r="H46" s="1">
        <f>SUM(C46:G46)</f>
        <v>178</v>
      </c>
      <c r="I46" s="10">
        <f>E46/H46</f>
        <v>1</v>
      </c>
      <c r="J46" s="11">
        <f>1-I46</f>
        <v>0</v>
      </c>
      <c r="K46">
        <f>H46-E49</f>
        <v>-6</v>
      </c>
      <c r="N46" s="10">
        <f>2*(E50*I46)/(E50+I46)</f>
        <v>0.98342541436464082</v>
      </c>
      <c r="R46" t="s">
        <v>68</v>
      </c>
      <c r="S46" t="s">
        <v>28</v>
      </c>
      <c r="T46" s="57">
        <f t="shared" ref="T46:X49" si="8">C118</f>
        <v>0.25369172398647805</v>
      </c>
      <c r="U46" s="57">
        <f t="shared" si="8"/>
        <v>0.60716734709070197</v>
      </c>
      <c r="V46" s="57">
        <f t="shared" si="8"/>
        <v>40.425064493080818</v>
      </c>
      <c r="W46" s="57">
        <f t="shared" si="8"/>
        <v>46.846339717718834</v>
      </c>
      <c r="X46" s="57">
        <f t="shared" si="8"/>
        <v>11.867736718123176</v>
      </c>
      <c r="Y46" s="60"/>
      <c r="Z46" s="74"/>
      <c r="AA46" s="12"/>
      <c r="AC46" t="s">
        <v>130</v>
      </c>
      <c r="AD46" s="55">
        <v>0.92672413793103403</v>
      </c>
      <c r="AE46" s="55">
        <v>0.95993169074826101</v>
      </c>
      <c r="AH46">
        <v>891</v>
      </c>
      <c r="AI46">
        <v>902</v>
      </c>
      <c r="BF46">
        <v>0.95593575185775126</v>
      </c>
      <c r="BG46" s="1">
        <v>8</v>
      </c>
      <c r="BH46">
        <f t="shared" si="5"/>
        <v>-0.31457229183888502</v>
      </c>
      <c r="BI46">
        <f t="shared" si="7"/>
        <v>-7.1288405155509674E-2</v>
      </c>
      <c r="BJ46">
        <f t="shared" si="6"/>
        <v>-6.8147135181072127E-2</v>
      </c>
      <c r="BK46" s="13" t="s">
        <v>336</v>
      </c>
      <c r="BL46" s="13" t="str">
        <f>IF(GESTEP(BL45,BG36)=0,"YES","NO")</f>
        <v>NO</v>
      </c>
      <c r="BP46" s="1"/>
    </row>
    <row r="47" spans="1:68" x14ac:dyDescent="0.3">
      <c r="A47" t="s">
        <v>6</v>
      </c>
      <c r="B47" s="13">
        <v>3</v>
      </c>
      <c r="C47" s="5">
        <v>0</v>
      </c>
      <c r="D47" s="1">
        <v>0</v>
      </c>
      <c r="E47" s="1">
        <v>2</v>
      </c>
      <c r="F47" s="27">
        <v>137</v>
      </c>
      <c r="G47" s="6">
        <v>5</v>
      </c>
      <c r="H47" s="1">
        <f>SUM(C47:G47)</f>
        <v>144</v>
      </c>
      <c r="I47" s="10">
        <f>F47/H47</f>
        <v>0.95138888888888884</v>
      </c>
      <c r="J47" s="11">
        <f>1-I47</f>
        <v>4.861111111111116E-2</v>
      </c>
      <c r="K47">
        <f>H47-F49</f>
        <v>-40</v>
      </c>
      <c r="N47" s="10">
        <f>2*(F50*I47)/(F50+I47)</f>
        <v>0.83536585365853666</v>
      </c>
      <c r="S47" s="66" t="s">
        <v>39</v>
      </c>
      <c r="T47" s="67">
        <f t="shared" si="8"/>
        <v>2.215669369878014E-3</v>
      </c>
      <c r="U47" s="67">
        <f t="shared" si="8"/>
        <v>0</v>
      </c>
      <c r="V47" s="67">
        <f t="shared" si="8"/>
        <v>0.32918753708114046</v>
      </c>
      <c r="W47" s="67">
        <f t="shared" si="8"/>
        <v>0.76939359757864101</v>
      </c>
      <c r="X47" s="67">
        <f t="shared" si="8"/>
        <v>0.7060023714900413</v>
      </c>
      <c r="AC47" t="s">
        <v>131</v>
      </c>
      <c r="AD47" s="55">
        <v>0.91091954022988497</v>
      </c>
      <c r="AE47" s="55">
        <v>0.94644430677276803</v>
      </c>
      <c r="AG47" s="78"/>
      <c r="AH47">
        <v>920</v>
      </c>
      <c r="AI47">
        <v>931</v>
      </c>
      <c r="BF47">
        <v>0.95737079898771238</v>
      </c>
      <c r="BG47" s="1">
        <v>9</v>
      </c>
      <c r="BH47">
        <f t="shared" si="5"/>
        <v>-0.18675612106373712</v>
      </c>
      <c r="BI47">
        <f t="shared" si="7"/>
        <v>-4.2322691378304626E-2</v>
      </c>
      <c r="BJ47">
        <f t="shared" si="6"/>
        <v>-4.0518508860157863E-2</v>
      </c>
      <c r="BP47" s="1"/>
    </row>
    <row r="48" spans="1:68" x14ac:dyDescent="0.3">
      <c r="A48" t="s">
        <v>7</v>
      </c>
      <c r="B48" s="13">
        <v>4</v>
      </c>
      <c r="C48" s="7">
        <v>0</v>
      </c>
      <c r="D48" s="8">
        <v>0</v>
      </c>
      <c r="E48" s="8">
        <v>4</v>
      </c>
      <c r="F48" s="8">
        <v>46</v>
      </c>
      <c r="G48" s="28">
        <v>194</v>
      </c>
      <c r="H48" s="1">
        <f>SUM(C48:G48)</f>
        <v>244</v>
      </c>
      <c r="I48" s="10">
        <f>G48/H48</f>
        <v>0.79508196721311475</v>
      </c>
      <c r="J48" s="11">
        <f>1-I48</f>
        <v>0.20491803278688525</v>
      </c>
      <c r="K48">
        <f>H48-G49</f>
        <v>45</v>
      </c>
      <c r="N48" s="10">
        <f>2*(G50*I48)/(G50+I48)</f>
        <v>0.87584650112866824</v>
      </c>
      <c r="S48" t="s">
        <v>30</v>
      </c>
      <c r="T48" s="57">
        <f t="shared" si="8"/>
        <v>100</v>
      </c>
      <c r="U48" s="57">
        <f t="shared" si="8"/>
        <v>100</v>
      </c>
      <c r="V48" s="57">
        <f t="shared" si="8"/>
        <v>98.944496078243588</v>
      </c>
      <c r="W48" s="57">
        <f t="shared" si="8"/>
        <v>95.523078947559142</v>
      </c>
      <c r="X48" s="57">
        <f t="shared" si="8"/>
        <v>89.149212363318838</v>
      </c>
      <c r="AC48" t="s">
        <v>132</v>
      </c>
      <c r="AD48" s="55">
        <v>0.94109195402298795</v>
      </c>
      <c r="AE48" s="55">
        <v>0.96263142825525405</v>
      </c>
      <c r="AH48">
        <v>949</v>
      </c>
      <c r="AI48">
        <v>960</v>
      </c>
      <c r="BF48">
        <v>0.95745022068859509</v>
      </c>
      <c r="BG48" s="1">
        <v>10</v>
      </c>
      <c r="BH48">
        <f t="shared" si="5"/>
        <v>-6.1931623455317261E-2</v>
      </c>
      <c r="BI48">
        <f t="shared" si="7"/>
        <v>-1.4034950882076937E-2</v>
      </c>
      <c r="BJ48">
        <f t="shared" si="6"/>
        <v>-1.3437766819398156E-2</v>
      </c>
      <c r="BP48" s="1"/>
    </row>
    <row r="49" spans="1:68" ht="15.6" x14ac:dyDescent="0.35">
      <c r="B49" s="1" t="s">
        <v>19</v>
      </c>
      <c r="C49" s="1">
        <f>SUM(C44:C48)</f>
        <v>114</v>
      </c>
      <c r="D49" s="1">
        <f>SUM(D44:D48)</f>
        <v>15</v>
      </c>
      <c r="E49" s="1">
        <f>SUM(E44:E48)</f>
        <v>184</v>
      </c>
      <c r="F49" s="1">
        <f>SUM(F44:F48)</f>
        <v>184</v>
      </c>
      <c r="G49" s="1">
        <f>SUM(G44:G48)</f>
        <v>199</v>
      </c>
      <c r="H49" s="1">
        <f>SUM(H43:H48)</f>
        <v>696</v>
      </c>
      <c r="I49" s="13" t="s">
        <v>12</v>
      </c>
      <c r="N49" s="16" t="s">
        <v>36</v>
      </c>
      <c r="S49" s="66" t="s">
        <v>39</v>
      </c>
      <c r="T49" s="67">
        <f t="shared" si="8"/>
        <v>0</v>
      </c>
      <c r="U49" s="67">
        <f t="shared" si="8"/>
        <v>0</v>
      </c>
      <c r="V49" s="67">
        <f t="shared" si="8"/>
        <v>0.80847457639545584</v>
      </c>
      <c r="W49" s="67">
        <f t="shared" si="8"/>
        <v>0.91819165585209328</v>
      </c>
      <c r="X49" s="67">
        <f t="shared" si="8"/>
        <v>5.5596286779656046</v>
      </c>
      <c r="AC49" t="s">
        <v>133</v>
      </c>
      <c r="AD49" s="55">
        <v>0.94683908045977005</v>
      </c>
      <c r="AE49" s="55">
        <v>0.96125570573099295</v>
      </c>
      <c r="AG49" s="78"/>
      <c r="AH49">
        <v>978</v>
      </c>
      <c r="AI49">
        <v>989</v>
      </c>
      <c r="BF49">
        <v>0.95756653442863449</v>
      </c>
      <c r="BG49" s="1">
        <v>11</v>
      </c>
      <c r="BH49">
        <f t="shared" si="5"/>
        <v>6.1931623455317261E-2</v>
      </c>
      <c r="BI49">
        <f t="shared" si="7"/>
        <v>1.4034950882076937E-2</v>
      </c>
      <c r="BJ49">
        <f t="shared" si="6"/>
        <v>1.3439399277026519E-2</v>
      </c>
      <c r="BP49" s="1"/>
    </row>
    <row r="50" spans="1:68" x14ac:dyDescent="0.3">
      <c r="A50" s="1" t="s">
        <v>316</v>
      </c>
      <c r="B50" s="1" t="s">
        <v>2</v>
      </c>
      <c r="C50" s="10">
        <f>C44/C49</f>
        <v>1</v>
      </c>
      <c r="D50" s="10">
        <f>D45/D49</f>
        <v>1</v>
      </c>
      <c r="E50" s="10">
        <f>E46/E49</f>
        <v>0.96739130434782605</v>
      </c>
      <c r="F50" s="10">
        <f>F47/F49</f>
        <v>0.74456521739130432</v>
      </c>
      <c r="G50" s="10">
        <f>G48/G49</f>
        <v>0.97487437185929648</v>
      </c>
      <c r="H50" s="10"/>
      <c r="I50" s="14">
        <f>(C44+D45+E46+F47+G48)/H49</f>
        <v>0.91666666666666663</v>
      </c>
      <c r="S50" s="15" t="s">
        <v>31</v>
      </c>
      <c r="T50" s="71">
        <f>I113</f>
        <v>99.130434782608702</v>
      </c>
      <c r="U50" s="71">
        <f>I114</f>
        <v>100</v>
      </c>
      <c r="V50" s="71">
        <f>I115</f>
        <v>100</v>
      </c>
      <c r="W50" s="71">
        <f>I116</f>
        <v>96.527777777777786</v>
      </c>
      <c r="X50" s="71">
        <f>I117</f>
        <v>82.786885245901644</v>
      </c>
      <c r="AC50" t="s">
        <v>134</v>
      </c>
      <c r="AD50" s="55">
        <v>0.92097701149425204</v>
      </c>
      <c r="AE50" s="55">
        <v>0.95604431613482099</v>
      </c>
      <c r="AH50">
        <v>1007</v>
      </c>
      <c r="AI50">
        <v>1018</v>
      </c>
      <c r="BF50">
        <v>0.95762780992133001</v>
      </c>
      <c r="BG50" s="1">
        <v>12</v>
      </c>
      <c r="BH50">
        <f t="shared" si="5"/>
        <v>0.18675612106373712</v>
      </c>
      <c r="BI50">
        <f t="shared" si="7"/>
        <v>4.2322691378304626E-2</v>
      </c>
      <c r="BJ50">
        <f t="shared" si="6"/>
        <v>4.0529386254582217E-2</v>
      </c>
      <c r="BP50" s="1"/>
    </row>
    <row r="51" spans="1:68" x14ac:dyDescent="0.3">
      <c r="B51" s="1" t="s">
        <v>14</v>
      </c>
      <c r="C51" s="11">
        <f>1-C50</f>
        <v>0</v>
      </c>
      <c r="D51" s="11">
        <f>1-D50</f>
        <v>0</v>
      </c>
      <c r="E51" s="11">
        <f>1-E50</f>
        <v>3.2608695652173947E-2</v>
      </c>
      <c r="F51" s="11">
        <f>1-F50</f>
        <v>0.25543478260869568</v>
      </c>
      <c r="G51" s="11">
        <f>1-G50</f>
        <v>2.5125628140703515E-2</v>
      </c>
      <c r="S51" s="75" t="s">
        <v>39</v>
      </c>
      <c r="T51" s="76">
        <f>J113</f>
        <v>0.86956521739130099</v>
      </c>
      <c r="U51" s="76">
        <f>J114</f>
        <v>0</v>
      </c>
      <c r="V51" s="76">
        <f>J115</f>
        <v>0</v>
      </c>
      <c r="W51" s="76">
        <f>J116</f>
        <v>1.5309531175003726</v>
      </c>
      <c r="X51" s="76">
        <f>J117</f>
        <v>2.4216276503293863</v>
      </c>
      <c r="AC51" t="s">
        <v>135</v>
      </c>
      <c r="AD51" s="55">
        <v>0.91379310344827502</v>
      </c>
      <c r="AE51" s="55">
        <v>0.95394403554877505</v>
      </c>
      <c r="AG51" s="78"/>
      <c r="AH51">
        <v>1036</v>
      </c>
      <c r="AI51">
        <v>1047</v>
      </c>
      <c r="BF51">
        <v>0.95789981524617307</v>
      </c>
      <c r="BG51" s="1">
        <v>13</v>
      </c>
      <c r="BH51">
        <f t="shared" si="5"/>
        <v>0.31457229183888502</v>
      </c>
      <c r="BI51">
        <f t="shared" si="7"/>
        <v>7.1288405155509674E-2</v>
      </c>
      <c r="BJ51">
        <f t="shared" si="6"/>
        <v>6.8287150127657043E-2</v>
      </c>
      <c r="BP51" s="1"/>
    </row>
    <row r="52" spans="1:68" x14ac:dyDescent="0.3">
      <c r="C52" s="2"/>
      <c r="S52" s="66" t="s">
        <v>51</v>
      </c>
      <c r="T52" s="67">
        <f>N102*100</f>
        <v>99.563318777292579</v>
      </c>
      <c r="U52" s="67">
        <f>N103*100</f>
        <v>100</v>
      </c>
      <c r="V52" s="67">
        <f>N104*100</f>
        <v>99.164345403899731</v>
      </c>
      <c r="W52" s="67">
        <f>N105*100</f>
        <v>85.802469135802468</v>
      </c>
      <c r="X52" s="67">
        <f>N106*100</f>
        <v>89.777777777777786</v>
      </c>
      <c r="AC52" t="s">
        <v>136</v>
      </c>
      <c r="AD52" s="55">
        <v>0.93390804597701105</v>
      </c>
      <c r="AE52" s="55">
        <v>0.95534894285627803</v>
      </c>
      <c r="AH52">
        <v>1065</v>
      </c>
      <c r="AI52">
        <v>1076</v>
      </c>
      <c r="BF52">
        <v>0.95813380669323767</v>
      </c>
      <c r="BG52" s="1">
        <v>14</v>
      </c>
      <c r="BH52">
        <f t="shared" si="5"/>
        <v>0.44776751848294888</v>
      </c>
      <c r="BI52">
        <f t="shared" si="7"/>
        <v>0.10147312112739562</v>
      </c>
      <c r="BJ52">
        <f t="shared" si="6"/>
        <v>9.7224827822835563E-2</v>
      </c>
      <c r="BP52" s="1"/>
    </row>
    <row r="53" spans="1:68" ht="15.6" x14ac:dyDescent="0.35">
      <c r="A53" t="s">
        <v>317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61</v>
      </c>
      <c r="S53" t="s">
        <v>9</v>
      </c>
      <c r="T53" s="30">
        <f>N113</f>
        <v>159.51</v>
      </c>
      <c r="U53" s="30">
        <f>N114</f>
        <v>378.44</v>
      </c>
      <c r="V53" s="30">
        <f>N115</f>
        <v>24930.5</v>
      </c>
      <c r="W53" s="30">
        <f>N116</f>
        <v>28894.84</v>
      </c>
      <c r="X53" s="30">
        <f>N117</f>
        <v>7965.49</v>
      </c>
      <c r="Z53" t="s">
        <v>36</v>
      </c>
      <c r="AA53" s="1">
        <f>N118</f>
        <v>62328.78</v>
      </c>
      <c r="AC53" t="s">
        <v>137</v>
      </c>
      <c r="AD53" s="55">
        <v>0.92097701149425204</v>
      </c>
      <c r="AE53" s="55">
        <v>0.95639068921707504</v>
      </c>
      <c r="AG53" s="78"/>
      <c r="AH53">
        <v>1094</v>
      </c>
      <c r="AI53">
        <v>1105</v>
      </c>
      <c r="BF53">
        <v>0.95858813752244254</v>
      </c>
      <c r="BG53" s="1">
        <v>15</v>
      </c>
      <c r="BH53">
        <f t="shared" si="5"/>
        <v>0.58945579784977842</v>
      </c>
      <c r="BI53">
        <f t="shared" si="7"/>
        <v>0.13358253358150615</v>
      </c>
      <c r="BJ53">
        <f t="shared" si="6"/>
        <v>0.12805063207142511</v>
      </c>
      <c r="BP53" s="1"/>
    </row>
    <row r="54" spans="1:68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318</v>
      </c>
      <c r="S54" t="s">
        <v>63</v>
      </c>
      <c r="T54" s="57">
        <f>$AA53*T46/100</f>
        <v>158.12295652173913</v>
      </c>
      <c r="U54" s="57">
        <f>$AA53*U46/100</f>
        <v>378.44</v>
      </c>
      <c r="V54" s="57">
        <f>$AA53*V46/100</f>
        <v>25196.44951275046</v>
      </c>
      <c r="W54" s="57">
        <f>$AA53*W46/100</f>
        <v>29198.752020709595</v>
      </c>
      <c r="X54" s="57">
        <f>$AA53*X46/100</f>
        <v>7397.0155100182137</v>
      </c>
      <c r="Z54" t="s">
        <v>36</v>
      </c>
      <c r="AA54" s="25">
        <f>SUM(T54:X54)</f>
        <v>62328.780000000013</v>
      </c>
      <c r="AC54" t="s">
        <v>138</v>
      </c>
      <c r="AD54" s="55">
        <v>0.92241379310344795</v>
      </c>
      <c r="AE54" s="55">
        <v>0.95717616897379898</v>
      </c>
      <c r="AH54">
        <v>1123</v>
      </c>
      <c r="AI54">
        <v>1134</v>
      </c>
      <c r="BF54">
        <v>0.95962036629077763</v>
      </c>
      <c r="BG54" s="1">
        <v>16</v>
      </c>
      <c r="BH54">
        <f t="shared" si="5"/>
        <v>0.74414274222016763</v>
      </c>
      <c r="BI54">
        <f t="shared" si="7"/>
        <v>0.16863770483667825</v>
      </c>
      <c r="BJ54">
        <f t="shared" si="6"/>
        <v>0.16182817608580924</v>
      </c>
      <c r="BP54" s="1"/>
    </row>
    <row r="55" spans="1:68" x14ac:dyDescent="0.3">
      <c r="A55" t="s">
        <v>3</v>
      </c>
      <c r="B55" s="13">
        <v>0</v>
      </c>
      <c r="C55" s="29">
        <f>(C44/$L55)*$O55</f>
        <v>0.24624840651312674</v>
      </c>
      <c r="D55" s="31">
        <f>(D44/$L55)*$O55</f>
        <v>0</v>
      </c>
      <c r="E55" s="31">
        <f>(E44/$L55)*$O55</f>
        <v>0</v>
      </c>
      <c r="F55" s="31">
        <f>(F44/$L55)*$O55</f>
        <v>2.1600737413432166E-3</v>
      </c>
      <c r="G55" s="32">
        <f>(G44/$L55)*$O55</f>
        <v>0</v>
      </c>
      <c r="H55" s="17">
        <f>SUM(C55:G55)</f>
        <v>0.24840848025446996</v>
      </c>
      <c r="I55" s="17">
        <f>C55/H55*100</f>
        <v>99.130434782608688</v>
      </c>
      <c r="J55" s="17">
        <f>SQRT(I55*(100-I55)/(L55-1))</f>
        <v>0.8695652173913081</v>
      </c>
      <c r="K55" s="18">
        <f>100-I55</f>
        <v>0.86956521739131176</v>
      </c>
      <c r="L55" s="1">
        <f>H44</f>
        <v>115</v>
      </c>
      <c r="M55">
        <v>0</v>
      </c>
      <c r="N55" s="1">
        <v>154.83000000000001</v>
      </c>
      <c r="O55" s="17">
        <f>N55/N60*100</f>
        <v>0.24840848025446993</v>
      </c>
      <c r="P55" s="52">
        <f>((O55*O55*(I55/100)*(K55/100))/(L55-1))</f>
        <v>4.6659185680405222E-6</v>
      </c>
      <c r="R55" s="66"/>
      <c r="S55" s="66" t="s">
        <v>62</v>
      </c>
      <c r="T55" s="67">
        <f>$AA53*T47/100</f>
        <v>1.3809996870786536</v>
      </c>
      <c r="U55" s="67">
        <f>$AA53*U47/100</f>
        <v>0</v>
      </c>
      <c r="V55" s="67">
        <f>$AA53*V47/100</f>
        <v>205.17857577472245</v>
      </c>
      <c r="W55" s="67">
        <f>$AA53*W47/100</f>
        <v>479.55364276887644</v>
      </c>
      <c r="X55" s="67">
        <f>$AA53*X47/100</f>
        <v>440.04266492081058</v>
      </c>
      <c r="AA55" s="1"/>
      <c r="AC55" t="s">
        <v>139</v>
      </c>
      <c r="AD55" s="55">
        <v>0.91810344827586199</v>
      </c>
      <c r="AE55" s="55">
        <v>0.94901034332179501</v>
      </c>
      <c r="AG55" s="78"/>
      <c r="AH55">
        <v>1152</v>
      </c>
      <c r="AI55">
        <v>1163</v>
      </c>
      <c r="BF55">
        <v>0.96057939040027085</v>
      </c>
      <c r="BG55" s="1">
        <v>17</v>
      </c>
      <c r="BH55">
        <f t="shared" si="5"/>
        <v>0.91913552204621074</v>
      </c>
      <c r="BI55">
        <f t="shared" si="7"/>
        <v>0.20829458661289388</v>
      </c>
      <c r="BJ55">
        <f t="shared" si="6"/>
        <v>0.20008348703229001</v>
      </c>
      <c r="BP55" s="1"/>
    </row>
    <row r="56" spans="1:68" x14ac:dyDescent="0.3">
      <c r="A56" t="s">
        <v>4</v>
      </c>
      <c r="B56" s="13">
        <v>1</v>
      </c>
      <c r="C56" s="33">
        <f t="shared" ref="C56:G59" si="9">(C45/$L56)*$O56</f>
        <v>0</v>
      </c>
      <c r="D56" s="34">
        <f t="shared" si="9"/>
        <v>0.46851543243499516</v>
      </c>
      <c r="E56" s="19">
        <f t="shared" si="9"/>
        <v>0</v>
      </c>
      <c r="F56" s="18">
        <f t="shared" si="9"/>
        <v>0</v>
      </c>
      <c r="G56" s="20">
        <f t="shared" si="9"/>
        <v>0</v>
      </c>
      <c r="H56" s="17">
        <f>SUM(C56:G56)</f>
        <v>0.46851543243499516</v>
      </c>
      <c r="I56" s="17">
        <f>D56/H56*100</f>
        <v>100</v>
      </c>
      <c r="J56" s="17">
        <f>SQRT(I56*(100-I56)/(L56-1))</f>
        <v>0</v>
      </c>
      <c r="K56" s="18">
        <f>100-I56</f>
        <v>0</v>
      </c>
      <c r="L56" s="1">
        <f>H45</f>
        <v>15</v>
      </c>
      <c r="M56">
        <v>1</v>
      </c>
      <c r="N56" s="1">
        <v>292.02</v>
      </c>
      <c r="O56" s="17">
        <f>N56/N60*100</f>
        <v>0.46851543243499516</v>
      </c>
      <c r="P56" s="52">
        <f>((O56*O56*(I56/100)*(K56/100))/(L56-1))</f>
        <v>0</v>
      </c>
      <c r="R56" t="s">
        <v>71</v>
      </c>
      <c r="S56" t="s">
        <v>28</v>
      </c>
      <c r="T56" s="57">
        <f t="shared" ref="T56:X59" si="10">C147</f>
        <v>0.24586586293638038</v>
      </c>
      <c r="U56" s="57">
        <f t="shared" si="10"/>
        <v>0.57249627339147757</v>
      </c>
      <c r="V56" s="57">
        <f t="shared" si="10"/>
        <v>40.996158102691147</v>
      </c>
      <c r="W56" s="57">
        <f t="shared" si="10"/>
        <v>46.385875373025385</v>
      </c>
      <c r="X56" s="57">
        <f t="shared" si="10"/>
        <v>11.799604387955608</v>
      </c>
      <c r="Y56" s="13"/>
      <c r="Z56" s="74"/>
      <c r="AA56" s="12"/>
      <c r="AC56" t="s">
        <v>140</v>
      </c>
      <c r="AD56" s="55">
        <v>0.92097701149425204</v>
      </c>
      <c r="AE56" s="55">
        <v>0.94891060904611002</v>
      </c>
      <c r="AH56">
        <v>1181</v>
      </c>
      <c r="AI56">
        <v>1192</v>
      </c>
      <c r="BF56">
        <v>0.96188295305218474</v>
      </c>
      <c r="BG56" s="1">
        <v>18</v>
      </c>
      <c r="BH56">
        <f t="shared" si="5"/>
        <v>1.1281436452787641</v>
      </c>
      <c r="BI56">
        <f t="shared" si="7"/>
        <v>0.25566002901309814</v>
      </c>
      <c r="BJ56">
        <f t="shared" si="6"/>
        <v>0.24591502368452609</v>
      </c>
      <c r="BP56" s="1"/>
    </row>
    <row r="57" spans="1:68" x14ac:dyDescent="0.3">
      <c r="A57" t="s">
        <v>5</v>
      </c>
      <c r="B57" s="13">
        <v>2</v>
      </c>
      <c r="C57" s="33">
        <f t="shared" si="9"/>
        <v>0</v>
      </c>
      <c r="D57" s="19">
        <f t="shared" si="9"/>
        <v>0</v>
      </c>
      <c r="E57" s="34">
        <f t="shared" si="9"/>
        <v>40.931951350250827</v>
      </c>
      <c r="F57" s="19">
        <f t="shared" si="9"/>
        <v>0</v>
      </c>
      <c r="G57" s="20">
        <f t="shared" si="9"/>
        <v>0</v>
      </c>
      <c r="H57" s="17">
        <f>SUM(C57:G57)</f>
        <v>40.931951350250827</v>
      </c>
      <c r="I57" s="17">
        <f>E57/H57*100</f>
        <v>100</v>
      </c>
      <c r="J57" s="17">
        <f>SQRT(I57*(100-I57)/(L57-1))</f>
        <v>0</v>
      </c>
      <c r="K57" s="18">
        <f>100-I57</f>
        <v>0</v>
      </c>
      <c r="L57" s="1">
        <f>H46</f>
        <v>178</v>
      </c>
      <c r="M57">
        <v>2</v>
      </c>
      <c r="N57" s="1">
        <v>25512.39</v>
      </c>
      <c r="O57" s="17">
        <f>N57/N60*100</f>
        <v>40.931951350250827</v>
      </c>
      <c r="P57" s="52">
        <f>((O57*O57*(I57/100)*(K57/100))/(L57-1))</f>
        <v>0</v>
      </c>
      <c r="S57" s="66" t="s">
        <v>39</v>
      </c>
      <c r="T57" s="67">
        <f t="shared" si="10"/>
        <v>3.7523291697509728E-3</v>
      </c>
      <c r="U57" s="67">
        <f t="shared" si="10"/>
        <v>0</v>
      </c>
      <c r="V57" s="67">
        <f t="shared" si="10"/>
        <v>0.33550492494652112</v>
      </c>
      <c r="W57" s="67">
        <f t="shared" si="10"/>
        <v>0.82554115831384611</v>
      </c>
      <c r="X57" s="67">
        <f t="shared" si="10"/>
        <v>0.77020493021329506</v>
      </c>
      <c r="AC57" t="s">
        <v>141</v>
      </c>
      <c r="AD57" s="55">
        <v>0.962643678160919</v>
      </c>
      <c r="AE57" s="55">
        <v>0.97060358908859401</v>
      </c>
      <c r="AG57" s="78"/>
      <c r="AH57">
        <v>1210</v>
      </c>
      <c r="AI57">
        <v>1221</v>
      </c>
      <c r="BF57">
        <v>0.9624264523746805</v>
      </c>
      <c r="BG57" s="27">
        <v>19</v>
      </c>
      <c r="BH57" s="84">
        <f t="shared" si="5"/>
        <v>1.4034126358514019</v>
      </c>
      <c r="BI57" s="84">
        <f>-3.562633*($BL$38)^5+5.682633*($BL$38)^4-1.752461*($BL$38)^3-0.293762*($BL$38)^2+0.042981*$BL$38+BH57*($BL$39^-0.5)</f>
        <v>0.32175145499838514</v>
      </c>
      <c r="BJ57">
        <f t="shared" si="6"/>
        <v>0.30966211138048749</v>
      </c>
      <c r="BP57" s="1"/>
    </row>
    <row r="58" spans="1:68" x14ac:dyDescent="0.3">
      <c r="A58" t="s">
        <v>6</v>
      </c>
      <c r="B58" s="13">
        <v>3</v>
      </c>
      <c r="C58" s="33">
        <f t="shared" si="9"/>
        <v>0</v>
      </c>
      <c r="D58" s="19">
        <f t="shared" si="9"/>
        <v>0</v>
      </c>
      <c r="E58" s="19">
        <f t="shared" si="9"/>
        <v>0.63979529630956522</v>
      </c>
      <c r="F58" s="34">
        <f t="shared" si="9"/>
        <v>43.825977797205219</v>
      </c>
      <c r="G58" s="20">
        <f t="shared" si="9"/>
        <v>1.5994882407739133</v>
      </c>
      <c r="H58" s="17">
        <f>SUM(C58:G58)</f>
        <v>46.065261334288699</v>
      </c>
      <c r="I58" s="17">
        <f>F58/H58*100</f>
        <v>95.138888888888886</v>
      </c>
      <c r="J58" s="17">
        <f>SQRT(I58*(100-I58)/(L58-1))</f>
        <v>1.7983689383153578</v>
      </c>
      <c r="K58" s="18">
        <f>100-I58</f>
        <v>4.8611111111111143</v>
      </c>
      <c r="L58" s="1">
        <f>H47</f>
        <v>144</v>
      </c>
      <c r="M58">
        <v>3</v>
      </c>
      <c r="N58" s="1">
        <v>28711.919999999998</v>
      </c>
      <c r="O58" s="17">
        <f>N58/N60*100</f>
        <v>46.065261334288699</v>
      </c>
      <c r="P58" s="52">
        <f>((O58*O58*(I58/100)*(K58/100))/(L58-1))</f>
        <v>0.68628524879627795</v>
      </c>
      <c r="S58" t="s">
        <v>30</v>
      </c>
      <c r="T58" s="57">
        <f t="shared" si="10"/>
        <v>100</v>
      </c>
      <c r="U58" s="57">
        <f t="shared" si="10"/>
        <v>100</v>
      </c>
      <c r="V58" s="57">
        <f t="shared" si="10"/>
        <v>98.717462262948686</v>
      </c>
      <c r="W58" s="57">
        <f t="shared" si="10"/>
        <v>95.457398933339078</v>
      </c>
      <c r="X58" s="57">
        <f t="shared" si="10"/>
        <v>86.403759929262606</v>
      </c>
      <c r="AC58" t="s">
        <v>142</v>
      </c>
      <c r="AD58" s="55">
        <v>0.92385057471264298</v>
      </c>
      <c r="AE58" s="55">
        <v>0.95731292950799696</v>
      </c>
      <c r="AH58">
        <v>1239</v>
      </c>
      <c r="AI58">
        <v>1250</v>
      </c>
      <c r="BF58">
        <v>0.96313713197234618</v>
      </c>
      <c r="BG58" s="27">
        <v>20</v>
      </c>
      <c r="BH58" s="84">
        <f t="shared" si="5"/>
        <v>1.8682416548639302</v>
      </c>
      <c r="BI58" s="84">
        <f>-2.70605*($BL$38)^5+4.4334685*($BL$38)^4-2.07119*($BL$38)^3-0.147981*($BL$38)^2+0.221157*$BL$38+BH58*($BL$39^-0.5)</f>
        <v>0.47336806621893501</v>
      </c>
      <c r="BJ58">
        <f t="shared" si="6"/>
        <v>0.45591836166540073</v>
      </c>
    </row>
    <row r="59" spans="1:68" x14ac:dyDescent="0.3">
      <c r="A59" t="s">
        <v>7</v>
      </c>
      <c r="B59" s="13">
        <v>4</v>
      </c>
      <c r="C59" s="35">
        <f t="shared" si="9"/>
        <v>0</v>
      </c>
      <c r="D59" s="36">
        <f t="shared" si="9"/>
        <v>0</v>
      </c>
      <c r="E59" s="21">
        <f t="shared" si="9"/>
        <v>0.20140759676673797</v>
      </c>
      <c r="F59" s="21">
        <f t="shared" si="9"/>
        <v>2.3161873628174865</v>
      </c>
      <c r="G59" s="37">
        <f t="shared" si="9"/>
        <v>9.7682684431867912</v>
      </c>
      <c r="H59" s="17">
        <f>SUM(C59:G59)</f>
        <v>12.285863402771016</v>
      </c>
      <c r="I59" s="17">
        <f>G59/H59*100</f>
        <v>79.508196721311478</v>
      </c>
      <c r="J59" s="17">
        <f>SQRT(I59*(100-I59)/(L59-1))</f>
        <v>2.5893627973940467</v>
      </c>
      <c r="K59" s="18">
        <f>100-I59</f>
        <v>20.491803278688522</v>
      </c>
      <c r="L59" s="1">
        <f>H48</f>
        <v>244</v>
      </c>
      <c r="M59">
        <v>4</v>
      </c>
      <c r="N59" s="1">
        <v>7657.63</v>
      </c>
      <c r="O59" s="17">
        <f>N59/N60*100</f>
        <v>12.285863402771016</v>
      </c>
      <c r="P59" s="52">
        <f>((O59*O59*(I59/100)*(K59/100))/(L59-1))</f>
        <v>0.10120388228984652</v>
      </c>
      <c r="S59" s="66" t="s">
        <v>39</v>
      </c>
      <c r="T59" s="67">
        <f t="shared" si="10"/>
        <v>0</v>
      </c>
      <c r="U59" s="67">
        <f t="shared" si="10"/>
        <v>0</v>
      </c>
      <c r="V59" s="67">
        <f t="shared" si="10"/>
        <v>0.81059889929224005</v>
      </c>
      <c r="W59" s="67">
        <f t="shared" si="10"/>
        <v>0.97595274267445942</v>
      </c>
      <c r="X59" s="67">
        <f t="shared" si="10"/>
        <v>6.2985822161078708</v>
      </c>
      <c r="AC59" t="s">
        <v>143</v>
      </c>
      <c r="AD59" s="55">
        <v>0.91810344827586199</v>
      </c>
      <c r="AE59" s="55">
        <v>0.95547704302353897</v>
      </c>
      <c r="AG59" s="78"/>
      <c r="AH59">
        <v>1268</v>
      </c>
      <c r="AI59">
        <v>1279</v>
      </c>
      <c r="BI59" t="s">
        <v>342</v>
      </c>
      <c r="BJ59">
        <f>SUM(BJ39:BJ58)</f>
        <v>1.2379147308328287E-2</v>
      </c>
    </row>
    <row r="60" spans="1:68" x14ac:dyDescent="0.3">
      <c r="B60" t="s">
        <v>28</v>
      </c>
      <c r="C60" s="17">
        <f>SUM(C55:C59)</f>
        <v>0.24624840651312674</v>
      </c>
      <c r="D60" s="17">
        <f>SUM(D55:D59)</f>
        <v>0.46851543243499516</v>
      </c>
      <c r="E60" s="17">
        <f>SUM(E55:E59)</f>
        <v>41.773154243327127</v>
      </c>
      <c r="F60" s="17">
        <f>SUM(F55:F59)</f>
        <v>46.14432523376405</v>
      </c>
      <c r="G60" s="17">
        <f>SUM(G55:G59)</f>
        <v>11.367756683960705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62328.789999999994</v>
      </c>
      <c r="O60" s="17">
        <f>SUM(O55:O59)</f>
        <v>100</v>
      </c>
      <c r="S60" s="15" t="s">
        <v>31</v>
      </c>
      <c r="T60" s="71">
        <f>I142</f>
        <v>97.391304347826093</v>
      </c>
      <c r="U60" s="71">
        <f>I143</f>
        <v>100</v>
      </c>
      <c r="V60" s="71">
        <f>I144</f>
        <v>100</v>
      </c>
      <c r="W60" s="71">
        <f>I145</f>
        <v>95.833333333333343</v>
      </c>
      <c r="X60" s="71">
        <f>I146</f>
        <v>81.557377049180317</v>
      </c>
      <c r="AC60" t="s">
        <v>144</v>
      </c>
      <c r="AD60" s="55">
        <v>0.92672413793103403</v>
      </c>
      <c r="AE60" s="55">
        <v>0.96087126061622696</v>
      </c>
      <c r="AH60">
        <v>1297</v>
      </c>
      <c r="AI60">
        <v>1308</v>
      </c>
    </row>
    <row r="61" spans="1:68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2.1506616105517328E-3</v>
      </c>
      <c r="D61" s="18">
        <f>SQRT(SUM((O55*O55*(D55/O55)*(1-D55/O55))/L55,(O56*O56*(D56/O56)*(1-D56/O56))/L56,(O57*O57*(D57/O57)*(1-D57/O57))/L57,(O58*O58*(D58/O58)*(1-D58/O58))/L58,(O59*O59*(D59/O59)*(1-D59/O59))/L59))</f>
        <v>0</v>
      </c>
      <c r="E61" s="18">
        <f>SQRT(SUM((O55*O55*(E55/O55)*(1-E55/O55))/L55,(O56*O56*(E56/O56)*(1-E56/O56))/L56,(O57*O57*(E57/O57)*(1-E57/O57))/L57,(O58*O58*(E58/O58)*(1-E58/O58))/L58,(O59*O59*(E59/O59)*(1-E59/O59))/L59))</f>
        <v>0.46021885051523703</v>
      </c>
      <c r="F61" s="18">
        <f>SQRT(SUM((O55*O55*(F55/O55)*(1-F55/O55))/L55,(O56*O56*(F56/O56)*(1-F56/O56))/L56,(O57*O57*(F57/O57)*(1-F57/O57))/L57,(O58*O58*(F58/O58)*(1-F58/O58))/L58,(O59*O59*(F59/O59)*(1-F59/O59))/L59))</f>
        <v>0.88100049012508952</v>
      </c>
      <c r="G61" s="18">
        <f>SQRT(SUM((O55*O55*(G55/O55)*(1-G55/O55))/L55,(O56*O56*(G56/O56)*(1-G56/O56))/L56,(O57*O57*(G57/O57)*(1-G57/O57))/L57,(O58*O58*(G58/O58)*(1-G58/O58))/L58,(O59*O59*(G59/O59)*(1-G59/O59))/L59))</f>
        <v>0.77116485370250332</v>
      </c>
      <c r="H61" s="1"/>
      <c r="I61" s="14">
        <f>(C55+D56+E57+F58+G59)/H60</f>
        <v>0.95240961429590953</v>
      </c>
      <c r="J61" s="53">
        <f>SQRT(SUM(P55:P59))/100</f>
        <v>8.8740847246614254E-3</v>
      </c>
      <c r="M61" s="1"/>
      <c r="N61" s="9"/>
      <c r="S61" s="75" t="s">
        <v>39</v>
      </c>
      <c r="T61" s="76">
        <f>J142</f>
        <v>1.4928610004851324</v>
      </c>
      <c r="U61" s="76">
        <f>J143</f>
        <v>0</v>
      </c>
      <c r="V61" s="76">
        <f>J144</f>
        <v>0</v>
      </c>
      <c r="W61" s="76">
        <f>J145</f>
        <v>1.6710315802959967</v>
      </c>
      <c r="X61" s="76">
        <f>J146</f>
        <v>2.4879395955642507</v>
      </c>
      <c r="AC61" t="s">
        <v>145</v>
      </c>
      <c r="AD61" s="55">
        <v>0.94109195402298795</v>
      </c>
      <c r="AE61" s="55">
        <v>0.96371203660855598</v>
      </c>
      <c r="AG61" s="78"/>
      <c r="AH61">
        <v>1326</v>
      </c>
      <c r="AI61">
        <v>1337</v>
      </c>
      <c r="BF61" s="82" t="s">
        <v>330</v>
      </c>
      <c r="BG61" s="1">
        <v>0.05</v>
      </c>
      <c r="BH61" s="59" t="s">
        <v>331</v>
      </c>
      <c r="BI61" s="1">
        <v>200</v>
      </c>
      <c r="BJ61" s="59" t="s">
        <v>332</v>
      </c>
      <c r="BK61" s="1">
        <f>_xlfn.VAR.S(BF64:BF263)*(BI61-1)</f>
        <v>5.4964923816234901E-3</v>
      </c>
    </row>
    <row r="62" spans="1:68" x14ac:dyDescent="0.3">
      <c r="B62" s="1" t="s">
        <v>30</v>
      </c>
      <c r="C62" s="17">
        <f>C55/C60*100</f>
        <v>100</v>
      </c>
      <c r="D62" s="17">
        <f>D56/D60*100</f>
        <v>100</v>
      </c>
      <c r="E62" s="17">
        <f>E57/E60*100</f>
        <v>97.986259576721636</v>
      </c>
      <c r="F62" s="17">
        <f>F58/F60*100</f>
        <v>94.975877478293953</v>
      </c>
      <c r="G62" s="17">
        <f>G59/G60*100</f>
        <v>85.929605240137604</v>
      </c>
      <c r="H62" s="1"/>
      <c r="S62" s="66" t="s">
        <v>51</v>
      </c>
      <c r="T62" s="67">
        <f>N131*100</f>
        <v>98.678414096916299</v>
      </c>
      <c r="U62" s="67">
        <f>N132*100</f>
        <v>100</v>
      </c>
      <c r="V62" s="67">
        <f>N133*100</f>
        <v>98.61495844875347</v>
      </c>
      <c r="W62" s="67">
        <f>N134*100</f>
        <v>84.662576687116555</v>
      </c>
      <c r="X62" s="67">
        <f>N135*100</f>
        <v>88.839285714285708</v>
      </c>
      <c r="AC62" t="s">
        <v>146</v>
      </c>
      <c r="AD62" s="55">
        <v>0.92959770114942497</v>
      </c>
      <c r="AE62" s="55">
        <v>0.95714550734676795</v>
      </c>
      <c r="AH62">
        <v>1355</v>
      </c>
      <c r="AI62">
        <v>1366</v>
      </c>
    </row>
    <row r="63" spans="1:68" ht="15.6" x14ac:dyDescent="0.35">
      <c r="B63" s="16" t="s">
        <v>39</v>
      </c>
      <c r="C63" s="18">
        <f>SQRT((C66+C67)/(C60*C60))</f>
        <v>0</v>
      </c>
      <c r="D63" s="18">
        <f>SQRT((D66+D67)/(D60*D60))</f>
        <v>0</v>
      </c>
      <c r="E63" s="18">
        <f>SQRT((E66+E67)/(E60*E60))</f>
        <v>1.0832191090039249</v>
      </c>
      <c r="F63" s="18">
        <f>SQRT((F66+F67)/(F60*F60))</f>
        <v>1.102789662948827</v>
      </c>
      <c r="G63" s="18">
        <f>SQRT((G66+G67)/(G60*G60))</f>
        <v>6.6274781576803754</v>
      </c>
      <c r="H63" s="1"/>
      <c r="I63" s="14"/>
      <c r="R63" s="16" t="s">
        <v>61</v>
      </c>
      <c r="S63" t="s">
        <v>9</v>
      </c>
      <c r="T63" s="30">
        <f>N142</f>
        <v>157.35</v>
      </c>
      <c r="U63" s="30">
        <f>N143</f>
        <v>356.83</v>
      </c>
      <c r="V63" s="30">
        <f>N144</f>
        <v>25224.69</v>
      </c>
      <c r="W63" s="30">
        <f>N145</f>
        <v>28798.34</v>
      </c>
      <c r="X63" s="30">
        <f>N146</f>
        <v>7791.58</v>
      </c>
      <c r="Z63" t="s">
        <v>36</v>
      </c>
      <c r="AA63" s="1">
        <f>N147</f>
        <v>62328.79</v>
      </c>
      <c r="AC63" t="s">
        <v>147</v>
      </c>
      <c r="AD63" s="55">
        <v>0.93390804597701105</v>
      </c>
      <c r="AE63" s="55">
        <v>0.95766774339039995</v>
      </c>
      <c r="AG63" s="78"/>
      <c r="AH63">
        <v>1384</v>
      </c>
      <c r="AI63">
        <v>1395</v>
      </c>
      <c r="BF63" s="12" t="s">
        <v>329</v>
      </c>
      <c r="BG63" s="13" t="s">
        <v>339</v>
      </c>
      <c r="BH63" s="13" t="s">
        <v>344</v>
      </c>
      <c r="BI63" s="13" t="s">
        <v>345</v>
      </c>
      <c r="BJ63" s="13" t="s">
        <v>346</v>
      </c>
      <c r="BK63" s="13" t="s">
        <v>340</v>
      </c>
      <c r="BL63">
        <f>1/(SQRT(BI61))</f>
        <v>7.0710678118654752E-2</v>
      </c>
    </row>
    <row r="64" spans="1:68" ht="15.6" x14ac:dyDescent="0.35">
      <c r="B64" s="1" t="s">
        <v>37</v>
      </c>
      <c r="C64" s="18">
        <f>100-C62</f>
        <v>0</v>
      </c>
      <c r="D64" s="18">
        <f>100-D62</f>
        <v>0</v>
      </c>
      <c r="E64" s="18">
        <f>100-E62</f>
        <v>2.0137404232783638</v>
      </c>
      <c r="F64" s="18">
        <f>100-F62</f>
        <v>5.0241225217060475</v>
      </c>
      <c r="G64" s="18">
        <f>100-G62</f>
        <v>14.070394759862396</v>
      </c>
      <c r="R64" s="16" t="s">
        <v>318</v>
      </c>
      <c r="S64" t="s">
        <v>63</v>
      </c>
      <c r="T64" s="57">
        <f>$AA63*T56/100</f>
        <v>153.24521739130435</v>
      </c>
      <c r="U64" s="57">
        <f>$AA63*U56/100</f>
        <v>356.82999999999993</v>
      </c>
      <c r="V64" s="57">
        <f>$AA63*V56/100</f>
        <v>25552.409291894353</v>
      </c>
      <c r="W64" s="57">
        <f>$AA63*W56/100</f>
        <v>28911.754850914713</v>
      </c>
      <c r="X64" s="57">
        <f>$AA63*X56/100</f>
        <v>7354.5506397996369</v>
      </c>
      <c r="Z64" t="s">
        <v>36</v>
      </c>
      <c r="AA64" s="25">
        <f>SUM(T64:X64)</f>
        <v>62328.790000000008</v>
      </c>
      <c r="AC64" t="s">
        <v>148</v>
      </c>
      <c r="AD64" s="55">
        <v>0.92528735632183901</v>
      </c>
      <c r="AE64" s="55">
        <v>0.954731409522384</v>
      </c>
      <c r="AH64">
        <v>1413</v>
      </c>
      <c r="AI64">
        <v>1424</v>
      </c>
      <c r="BF64">
        <v>0.94448907505652002</v>
      </c>
      <c r="BG64" s="27">
        <v>1</v>
      </c>
      <c r="BH64" s="84">
        <f>_xlfn.NORM.S.INV((BG64-0.375)/($BI$61+0.25))</f>
        <v>-2.7347800424613062</v>
      </c>
      <c r="BI64" s="84">
        <f>-BI263</f>
        <v>-0.20934182212459215</v>
      </c>
      <c r="BJ64">
        <f>BI64*BF64</f>
        <v>-0.19772106394910258</v>
      </c>
      <c r="BK64" s="13" t="s">
        <v>335</v>
      </c>
      <c r="BL64">
        <f>SUMSQ(BH64:BH263)</f>
        <v>196.54625623244561</v>
      </c>
    </row>
    <row r="65" spans="1:65" ht="15.6" x14ac:dyDescent="0.35">
      <c r="B65" s="1" t="s">
        <v>25</v>
      </c>
      <c r="C65" s="1">
        <f>C49</f>
        <v>114</v>
      </c>
      <c r="D65" s="1">
        <f>D49</f>
        <v>15</v>
      </c>
      <c r="E65" s="1">
        <f>E49</f>
        <v>184</v>
      </c>
      <c r="F65" s="1">
        <f>F49</f>
        <v>184</v>
      </c>
      <c r="G65" s="1">
        <f>G49</f>
        <v>199</v>
      </c>
      <c r="R65" s="66"/>
      <c r="S65" s="66" t="s">
        <v>62</v>
      </c>
      <c r="T65" s="67">
        <f>$AA63*T57/100</f>
        <v>2.3387813683228273</v>
      </c>
      <c r="U65" s="67">
        <f>$AA63*U57/100</f>
        <v>0</v>
      </c>
      <c r="V65" s="67">
        <f>$AA63*V57/100</f>
        <v>209.11616010957476</v>
      </c>
      <c r="W65" s="67">
        <f>$AA63*W57/100</f>
        <v>514.5498149290047</v>
      </c>
      <c r="X65" s="67">
        <f>$AA63*X57/100</f>
        <v>480.05941352229121</v>
      </c>
      <c r="AA65" s="1"/>
      <c r="AC65" t="s">
        <v>149</v>
      </c>
      <c r="AD65" s="55">
        <v>0.92959770114942497</v>
      </c>
      <c r="AE65" s="55">
        <v>0.95840850731863503</v>
      </c>
      <c r="AG65" s="78"/>
      <c r="AH65">
        <v>1442</v>
      </c>
      <c r="AI65">
        <v>1453</v>
      </c>
      <c r="BF65">
        <v>0.94457261201395304</v>
      </c>
      <c r="BG65" s="27">
        <v>2</v>
      </c>
      <c r="BH65" s="84">
        <f>_xlfn.NORM.S.INV((BG65-0.375)/($BI$61+0.25))</f>
        <v>-2.4037084127855821</v>
      </c>
      <c r="BI65" s="84">
        <f>-BI262</f>
        <v>-0.17254128536790717</v>
      </c>
      <c r="BJ65">
        <f t="shared" ref="BJ65:BJ128" si="11">BI65*BF65</f>
        <v>-0.16297777260020893</v>
      </c>
      <c r="BK65" s="74" t="s">
        <v>341</v>
      </c>
      <c r="BL65">
        <f>(BL64-2*(BH263^2)-2*(BH262^2))/(1-2*(BI263^2)-2*(BI262^2))</f>
        <v>199.37897338378195</v>
      </c>
    </row>
    <row r="66" spans="1:65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0</v>
      </c>
      <c r="E66" s="18">
        <f>(O57*O57*(100-E62)*(100-E62)*(I57)*(100-I57))/((L57-1)*100)</f>
        <v>0</v>
      </c>
      <c r="F66" s="18">
        <f>(O58*O58*(100-F62)*(100-F62)*(I58)*(100-I58))/((L58-1)*100)</f>
        <v>1732.3079874691057</v>
      </c>
      <c r="G66" s="18">
        <f>(O59*O59*(100-G62)*(100-G62)*(I59)*(100-I59))/((L59-1)*100)</f>
        <v>2003.5940680522779</v>
      </c>
      <c r="R66" t="s">
        <v>93</v>
      </c>
      <c r="S66" t="s">
        <v>28</v>
      </c>
      <c r="T66" s="57">
        <f>C176</f>
        <v>0.25600665709637904</v>
      </c>
      <c r="U66" s="57">
        <f t="shared" ref="U66:X69" si="12">D176</f>
        <v>0.55401373169826196</v>
      </c>
      <c r="V66" s="57">
        <f t="shared" si="12"/>
        <v>40.137909978729631</v>
      </c>
      <c r="W66" s="57">
        <f t="shared" si="12"/>
        <v>46.594875221647747</v>
      </c>
      <c r="X66" s="57">
        <f t="shared" si="12"/>
        <v>12.457194410827979</v>
      </c>
      <c r="Y66" s="13"/>
      <c r="Z66" s="74"/>
      <c r="AA66" s="12"/>
      <c r="AC66" t="s">
        <v>158</v>
      </c>
      <c r="AD66" s="55">
        <v>0.92672413793103403</v>
      </c>
      <c r="AE66" s="55">
        <v>0.95221526491554598</v>
      </c>
      <c r="AH66" s="78"/>
      <c r="BF66">
        <v>0.94462629703647205</v>
      </c>
      <c r="BG66" s="1">
        <v>3</v>
      </c>
      <c r="BH66">
        <f>_xlfn.NORM.S.INV((BG66-0.375)/($BI$61+0.25))</f>
        <v>-2.2229788158905457</v>
      </c>
      <c r="BI66">
        <f>BH66/SQRT($BL$65)</f>
        <v>-0.15743295469116447</v>
      </c>
      <c r="BJ66">
        <f t="shared" si="11"/>
        <v>-0.14871530902142538</v>
      </c>
      <c r="BK66" s="74" t="s">
        <v>333</v>
      </c>
      <c r="BL66" s="48">
        <f>CORREL(BF64:BF263,BI64:BI263)^2</f>
        <v>0.99521551199753255</v>
      </c>
      <c r="BM66" s="48">
        <f>(BJ264^2)/BK61</f>
        <v>0.99521551199741154</v>
      </c>
    </row>
    <row r="67" spans="1:65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0</v>
      </c>
      <c r="E67" s="18">
        <f>E62*E62*(SUM((H55*E55*(1-E44/H44))/(H44-1),(H56*E56*(1-E45/H45))/(H45-1), (H58*E58*(1-E47/H47))/(H47-1),(H59*E59*(1-E48/H48))/(H48-1)))</f>
        <v>2047.5153425080252</v>
      </c>
      <c r="F67" s="18">
        <f>F62*F62*(SUM((H55*F55*(1-F44/H44))/(H44-1),(H56*F56*(1-F45/H45))/(H45-1), (H57*F57*(1-F46/H46))/(H46-1),(H59*F59*(1-F48/H48))/(H48-1)))</f>
        <v>857.22812908248409</v>
      </c>
      <c r="G67" s="18">
        <f>G62*G62*(SUM((H55*G55*(1-G44/H44))/(H44-1),(H56*G56*(1-G45/H45))/(H45-1), (H57*G57*(1-G46/H46))/(H46-1),(H58*G58*(1-G47/H47))/(H47-1)))</f>
        <v>3672.4551010631408</v>
      </c>
      <c r="S67" s="66" t="s">
        <v>39</v>
      </c>
      <c r="T67" s="67">
        <f>C177</f>
        <v>3.1759826012256248E-3</v>
      </c>
      <c r="U67" s="67">
        <f t="shared" si="12"/>
        <v>0</v>
      </c>
      <c r="V67" s="67">
        <f t="shared" si="12"/>
        <v>0.32934985205687428</v>
      </c>
      <c r="W67" s="67">
        <f t="shared" si="12"/>
        <v>0.83306656920433741</v>
      </c>
      <c r="X67" s="67">
        <f t="shared" si="12"/>
        <v>0.77607985457636897</v>
      </c>
      <c r="AC67" t="s">
        <v>159</v>
      </c>
      <c r="AD67" s="55">
        <v>0.92241379310344795</v>
      </c>
      <c r="AE67" s="55">
        <v>0.95664326075125194</v>
      </c>
      <c r="AG67" s="78"/>
      <c r="AI67" s="78"/>
      <c r="BF67">
        <v>0.94537318280921601</v>
      </c>
      <c r="BG67" s="1">
        <v>4</v>
      </c>
      <c r="BH67">
        <f t="shared" ref="BH67:BH130" si="13">_xlfn.NORM.S.INV((BG67-0.375)/($BI$61+0.25))</f>
        <v>-2.0946204699384201</v>
      </c>
      <c r="BI67">
        <f t="shared" ref="BI67:BI130" si="14">BH67/SQRT($BL$65)</f>
        <v>-0.14834252453588728</v>
      </c>
      <c r="BJ67">
        <f t="shared" si="11"/>
        <v>-0.14023904456644598</v>
      </c>
      <c r="BK67" s="74" t="s">
        <v>73</v>
      </c>
      <c r="BL67">
        <f>0.0038915*(LN(BI61)^3)-0.083751*(LN(BI61)^2)-0.31082*LN(BI61)-1.5861</f>
        <v>-5.00519183191303</v>
      </c>
    </row>
    <row r="68" spans="1:65" x14ac:dyDescent="0.3">
      <c r="S68" t="s">
        <v>30</v>
      </c>
      <c r="T68" s="57">
        <f>C178</f>
        <v>100</v>
      </c>
      <c r="U68" s="57">
        <f t="shared" si="12"/>
        <v>100</v>
      </c>
      <c r="V68" s="57">
        <f t="shared" si="12"/>
        <v>98.929869361516253</v>
      </c>
      <c r="W68" s="57">
        <f t="shared" si="12"/>
        <v>95.240728268246158</v>
      </c>
      <c r="X68" s="57">
        <f t="shared" si="12"/>
        <v>87.09281495564008</v>
      </c>
      <c r="AC68" t="s">
        <v>160</v>
      </c>
      <c r="AD68" s="55">
        <v>0.93103448275862</v>
      </c>
      <c r="AE68" s="55">
        <v>0.95386995494270299</v>
      </c>
      <c r="AI68" s="78"/>
      <c r="BF68">
        <v>0.94576985865915897</v>
      </c>
      <c r="BG68" s="1">
        <v>5</v>
      </c>
      <c r="BH68">
        <f t="shared" si="13"/>
        <v>-1.9936322372681392</v>
      </c>
      <c r="BI68">
        <f t="shared" si="14"/>
        <v>-0.14119046544082484</v>
      </c>
      <c r="BJ68">
        <f t="shared" si="11"/>
        <v>-0.13353368654398978</v>
      </c>
      <c r="BK68" s="74" t="s">
        <v>347</v>
      </c>
      <c r="BL68">
        <f>EXP(0.0030301*(LN(BI61)^2)-0.082676*LN(BI61)-0.4803)</f>
        <v>0.43462042560966935</v>
      </c>
    </row>
    <row r="69" spans="1:65" x14ac:dyDescent="0.3">
      <c r="S69" s="66" t="s">
        <v>39</v>
      </c>
      <c r="T69" s="67">
        <f>C179</f>
        <v>0</v>
      </c>
      <c r="U69" s="67">
        <f t="shared" si="12"/>
        <v>0</v>
      </c>
      <c r="V69" s="67">
        <f t="shared" si="12"/>
        <v>0.81453606032600911</v>
      </c>
      <c r="W69" s="67">
        <f t="shared" si="12"/>
        <v>1.0206137998332432</v>
      </c>
      <c r="X69" s="67">
        <f t="shared" si="12"/>
        <v>5.9741909392598531</v>
      </c>
      <c r="AC69" t="s">
        <v>161</v>
      </c>
      <c r="AD69" s="55">
        <v>0.93247126436781602</v>
      </c>
      <c r="AE69" s="55">
        <v>0.962970614366776</v>
      </c>
      <c r="AG69" s="78"/>
      <c r="BF69">
        <v>0.945914798927316</v>
      </c>
      <c r="BG69" s="1">
        <v>6</v>
      </c>
      <c r="BH69">
        <f t="shared" si="13"/>
        <v>-1.9096384934921877</v>
      </c>
      <c r="BI69">
        <f t="shared" si="14"/>
        <v>-0.13524196824251786</v>
      </c>
      <c r="BJ69">
        <f t="shared" si="11"/>
        <v>-0.12792737919665573</v>
      </c>
      <c r="BK69" s="74" t="s">
        <v>343</v>
      </c>
      <c r="BL69">
        <f>(LN(1-BL66)-BL67)/BL68</f>
        <v>-0.77581358019571733</v>
      </c>
    </row>
    <row r="70" spans="1:65" x14ac:dyDescent="0.3">
      <c r="A70" s="348">
        <v>1977</v>
      </c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 t="s">
        <v>56</v>
      </c>
      <c r="M70" s="348"/>
      <c r="N70" s="348"/>
      <c r="O70" s="348"/>
      <c r="P70" s="348"/>
      <c r="S70" s="15" t="s">
        <v>31</v>
      </c>
      <c r="T70" s="71">
        <f>I171</f>
        <v>98.260869565217391</v>
      </c>
      <c r="U70" s="71">
        <f>I172</f>
        <v>100</v>
      </c>
      <c r="V70" s="71">
        <f>I173</f>
        <v>100</v>
      </c>
      <c r="W70" s="71">
        <f>I174</f>
        <v>95.833333333333343</v>
      </c>
      <c r="X70" s="71">
        <f>I175</f>
        <v>82.377049180327873</v>
      </c>
      <c r="AC70" t="s">
        <v>162</v>
      </c>
      <c r="AD70" s="55">
        <v>0.92385057471264298</v>
      </c>
      <c r="AE70" s="55">
        <v>0.95911490420045797</v>
      </c>
      <c r="AI70" s="78"/>
      <c r="BF70">
        <v>0.94644430677276803</v>
      </c>
      <c r="BG70" s="1">
        <v>7</v>
      </c>
      <c r="BH70">
        <f t="shared" si="13"/>
        <v>-1.8372886748302382</v>
      </c>
      <c r="BI70">
        <f t="shared" si="14"/>
        <v>-0.13011810217510433</v>
      </c>
      <c r="BJ70">
        <f t="shared" si="11"/>
        <v>-0.12314953701170482</v>
      </c>
      <c r="BK70" s="74" t="s">
        <v>334</v>
      </c>
      <c r="BL70">
        <f>1-NORMSDIST(BL69)</f>
        <v>0.78107046779663758</v>
      </c>
    </row>
    <row r="71" spans="1:65" x14ac:dyDescent="0.3">
      <c r="A71" t="s">
        <v>315</v>
      </c>
      <c r="B71" t="s">
        <v>21</v>
      </c>
      <c r="I71" s="1" t="s">
        <v>53</v>
      </c>
      <c r="O71" s="350"/>
      <c r="P71" s="350"/>
      <c r="S71" s="75" t="s">
        <v>39</v>
      </c>
      <c r="T71" s="76">
        <f>J171</f>
        <v>1.2243453990683941</v>
      </c>
      <c r="U71" s="76">
        <f>J172</f>
        <v>0</v>
      </c>
      <c r="V71" s="76">
        <f>J173</f>
        <v>0</v>
      </c>
      <c r="W71" s="76">
        <f>J174</f>
        <v>1.6710315802959967</v>
      </c>
      <c r="X71" s="76">
        <f>J175</f>
        <v>2.4442143716429219</v>
      </c>
      <c r="AC71" t="s">
        <v>163</v>
      </c>
      <c r="AD71" s="55">
        <v>0.92385057471264298</v>
      </c>
      <c r="AE71" s="55">
        <v>0.95785448701535802</v>
      </c>
      <c r="AG71" s="78"/>
      <c r="BF71">
        <v>0.947930758880275</v>
      </c>
      <c r="BG71" s="1">
        <v>8</v>
      </c>
      <c r="BH71">
        <f t="shared" si="13"/>
        <v>-1.7734461562988939</v>
      </c>
      <c r="BI71">
        <f t="shared" si="14"/>
        <v>-0.12559672920678461</v>
      </c>
      <c r="BJ71">
        <f t="shared" si="11"/>
        <v>-0.11905700282986774</v>
      </c>
      <c r="BK71" s="13" t="s">
        <v>336</v>
      </c>
      <c r="BL71" s="13" t="str">
        <f>IF(GESTEP(BL70,BG61)=0,"YES","NO")</f>
        <v>NO</v>
      </c>
    </row>
    <row r="72" spans="1:65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51</v>
      </c>
      <c r="S72" s="66" t="s">
        <v>51</v>
      </c>
      <c r="T72" s="67">
        <f>N160*100</f>
        <v>99.122807017543863</v>
      </c>
      <c r="U72" s="67">
        <f>N161*100</f>
        <v>100</v>
      </c>
      <c r="V72" s="67">
        <f>N162*100</f>
        <v>99.164345403899731</v>
      </c>
      <c r="W72" s="67">
        <f>N163*100</f>
        <v>84.92307692307692</v>
      </c>
      <c r="X72" s="67">
        <f>N164*100</f>
        <v>89.333333333333329</v>
      </c>
      <c r="AC72" t="s">
        <v>154</v>
      </c>
      <c r="AD72" s="55">
        <v>0.91666666666666596</v>
      </c>
      <c r="AE72" s="55">
        <v>0.95371444223211899</v>
      </c>
      <c r="AI72" s="78"/>
      <c r="BF72">
        <v>0.94799009878423202</v>
      </c>
      <c r="BG72" s="1">
        <v>9</v>
      </c>
      <c r="BH72">
        <f t="shared" si="13"/>
        <v>-1.7161077551573309</v>
      </c>
      <c r="BI72">
        <f t="shared" si="14"/>
        <v>-0.12153598249860366</v>
      </c>
      <c r="BJ72">
        <f t="shared" si="11"/>
        <v>-0.11521490805468998</v>
      </c>
    </row>
    <row r="73" spans="1:65" x14ac:dyDescent="0.3">
      <c r="A73" t="s">
        <v>3</v>
      </c>
      <c r="B73" s="13">
        <v>0</v>
      </c>
      <c r="C73" s="26">
        <v>113</v>
      </c>
      <c r="D73" s="3">
        <v>0</v>
      </c>
      <c r="E73" s="3">
        <v>0</v>
      </c>
      <c r="F73" s="3">
        <v>2</v>
      </c>
      <c r="G73" s="4">
        <v>0</v>
      </c>
      <c r="H73" s="1">
        <f>SUM(C73:G73)</f>
        <v>115</v>
      </c>
      <c r="I73" s="10">
        <f>C73/H73</f>
        <v>0.9826086956521739</v>
      </c>
      <c r="J73" s="11">
        <f>1-I73</f>
        <v>1.7391304347826098E-2</v>
      </c>
      <c r="K73">
        <f>H73-C78</f>
        <v>2</v>
      </c>
      <c r="N73" s="10">
        <f>2*(C79*I73)/(C79+I73)</f>
        <v>0.99122807017543857</v>
      </c>
      <c r="R73" s="16" t="s">
        <v>61</v>
      </c>
      <c r="S73" t="s">
        <v>9</v>
      </c>
      <c r="T73" s="1">
        <f>N171</f>
        <v>162.38999999999999</v>
      </c>
      <c r="U73" s="1">
        <f>N172</f>
        <v>345.31</v>
      </c>
      <c r="V73" s="1">
        <f>N173</f>
        <v>24749.75</v>
      </c>
      <c r="W73" s="1">
        <f>N174</f>
        <v>28862.43</v>
      </c>
      <c r="X73" s="1">
        <f>N175</f>
        <v>8208.9</v>
      </c>
      <c r="Z73" t="s">
        <v>36</v>
      </c>
      <c r="AA73" s="1">
        <f>N176</f>
        <v>62328.780000000006</v>
      </c>
      <c r="AC73" t="s">
        <v>164</v>
      </c>
      <c r="AD73" s="55">
        <v>0.93821839080459701</v>
      </c>
      <c r="AE73" s="55">
        <v>0.95969726132566002</v>
      </c>
      <c r="AG73" s="78"/>
      <c r="BF73">
        <v>0.94799238327495094</v>
      </c>
      <c r="BG73" s="1">
        <v>10</v>
      </c>
      <c r="BH73">
        <f t="shared" si="13"/>
        <v>-1.6639128949712361</v>
      </c>
      <c r="BI73">
        <f t="shared" si="14"/>
        <v>-0.11783950505129283</v>
      </c>
      <c r="BJ73">
        <f t="shared" si="11"/>
        <v>-0.1117109532375157</v>
      </c>
    </row>
    <row r="74" spans="1:65" ht="15.6" x14ac:dyDescent="0.35">
      <c r="A74" t="s">
        <v>4</v>
      </c>
      <c r="B74" s="13">
        <v>1</v>
      </c>
      <c r="C74" s="5">
        <v>0</v>
      </c>
      <c r="D74" s="27">
        <v>15</v>
      </c>
      <c r="E74" s="1">
        <v>0</v>
      </c>
      <c r="F74" s="1">
        <v>0</v>
      </c>
      <c r="G74" s="6">
        <v>0</v>
      </c>
      <c r="H74" s="1">
        <f>SUM(C74:G74)</f>
        <v>15</v>
      </c>
      <c r="I74" s="10">
        <f>D74/H74</f>
        <v>1</v>
      </c>
      <c r="J74" s="11">
        <f>1-I74</f>
        <v>0</v>
      </c>
      <c r="K74">
        <f>H74-D78</f>
        <v>0</v>
      </c>
      <c r="N74" s="10">
        <f>2*(D79*I74)/(D79+I74)</f>
        <v>1</v>
      </c>
      <c r="R74" s="16" t="s">
        <v>318</v>
      </c>
      <c r="S74" t="s">
        <v>63</v>
      </c>
      <c r="T74" s="57">
        <f>$AA73*T66/100</f>
        <v>159.56582608695649</v>
      </c>
      <c r="U74" s="57">
        <f>$AA73*U66/100</f>
        <v>345.31</v>
      </c>
      <c r="V74" s="57">
        <f>$AA73*V66/100</f>
        <v>25017.46960724044</v>
      </c>
      <c r="W74" s="57">
        <f>$AA73*W66/100</f>
        <v>29042.017268175339</v>
      </c>
      <c r="X74" s="57">
        <f>$AA73*X66/100</f>
        <v>7764.4172984972674</v>
      </c>
      <c r="Z74" t="s">
        <v>36</v>
      </c>
      <c r="AA74" s="25">
        <f>SUM(T74:X74)</f>
        <v>62328.780000000006</v>
      </c>
      <c r="AC74" t="s">
        <v>165</v>
      </c>
      <c r="AD74" s="55">
        <v>0.92385057471264298</v>
      </c>
      <c r="AE74" s="55">
        <v>0.94825035178822004</v>
      </c>
      <c r="AI74" s="78"/>
      <c r="BF74">
        <v>0.94825035178822004</v>
      </c>
      <c r="BG74" s="1">
        <v>11</v>
      </c>
      <c r="BH74">
        <f t="shared" si="13"/>
        <v>-1.6158934440722883</v>
      </c>
      <c r="BI74">
        <f t="shared" si="14"/>
        <v>-0.11443873308548347</v>
      </c>
      <c r="BJ74">
        <f t="shared" si="11"/>
        <v>-0.10851656890650792</v>
      </c>
    </row>
    <row r="75" spans="1:65" x14ac:dyDescent="0.3">
      <c r="A75" t="s">
        <v>5</v>
      </c>
      <c r="B75" s="13">
        <v>2</v>
      </c>
      <c r="C75" s="5">
        <v>0</v>
      </c>
      <c r="D75" s="1">
        <v>0</v>
      </c>
      <c r="E75" s="27">
        <v>178</v>
      </c>
      <c r="F75" s="1">
        <v>0</v>
      </c>
      <c r="G75" s="6">
        <v>0</v>
      </c>
      <c r="H75" s="1">
        <f>SUM(C75:G75)</f>
        <v>178</v>
      </c>
      <c r="I75" s="10">
        <f>E75/H75</f>
        <v>1</v>
      </c>
      <c r="J75" s="11">
        <f>1-I75</f>
        <v>0</v>
      </c>
      <c r="K75">
        <f>H75-E78</f>
        <v>-5</v>
      </c>
      <c r="N75" s="10">
        <f>2*(E79*I75)/(E79+I75)</f>
        <v>0.98614958448753465</v>
      </c>
      <c r="R75" s="66"/>
      <c r="S75" s="66" t="s">
        <v>62</v>
      </c>
      <c r="T75" s="67">
        <f>$AA73*T67/100</f>
        <v>1.979551208356197</v>
      </c>
      <c r="U75" s="67">
        <f>$AA73*U67/100</f>
        <v>0</v>
      </c>
      <c r="V75" s="67">
        <f>$AA73*V67/100</f>
        <v>205.27974471885466</v>
      </c>
      <c r="W75" s="67">
        <f>$AA73*W67/100</f>
        <v>519.24022917291927</v>
      </c>
      <c r="X75" s="67">
        <f>$AA73*X67/100</f>
        <v>483.72110518322501</v>
      </c>
      <c r="AA75" s="1"/>
      <c r="AC75" t="s">
        <v>166</v>
      </c>
      <c r="AD75" s="55">
        <v>0.92816091954022895</v>
      </c>
      <c r="AE75" s="55">
        <v>0.95603225051384499</v>
      </c>
      <c r="AG75" s="78"/>
      <c r="BF75">
        <v>0.94842425631821703</v>
      </c>
      <c r="BG75" s="1">
        <v>12</v>
      </c>
      <c r="BH75">
        <f t="shared" si="13"/>
        <v>-1.5713349421078384</v>
      </c>
      <c r="BI75">
        <f t="shared" si="14"/>
        <v>-0.11128306800638772</v>
      </c>
      <c r="BJ75">
        <f t="shared" si="11"/>
        <v>-0.10554356101476785</v>
      </c>
    </row>
    <row r="76" spans="1:65" x14ac:dyDescent="0.3">
      <c r="A76" t="s">
        <v>6</v>
      </c>
      <c r="B76" s="13">
        <v>3</v>
      </c>
      <c r="C76" s="5">
        <v>0</v>
      </c>
      <c r="D76" s="1">
        <v>0</v>
      </c>
      <c r="E76" s="1">
        <v>1</v>
      </c>
      <c r="F76" s="27">
        <v>139</v>
      </c>
      <c r="G76" s="6">
        <v>4</v>
      </c>
      <c r="H76" s="1">
        <f>SUM(C76:G76)</f>
        <v>144</v>
      </c>
      <c r="I76" s="10">
        <f>F76/H76</f>
        <v>0.96527777777777779</v>
      </c>
      <c r="J76" s="11">
        <f>1-I76</f>
        <v>3.472222222222221E-2</v>
      </c>
      <c r="K76">
        <f>H76-F78</f>
        <v>-35</v>
      </c>
      <c r="N76" s="10">
        <f>2*(F79*I76)/(F79+I76)</f>
        <v>0.86068111455108354</v>
      </c>
      <c r="R76" t="s">
        <v>94</v>
      </c>
      <c r="S76" t="s">
        <v>28</v>
      </c>
      <c r="T76" s="57">
        <f t="shared" ref="T76:X79" si="15">C205</f>
        <v>0.24968380508204618</v>
      </c>
      <c r="U76" s="57">
        <f t="shared" si="15"/>
        <v>0.60137548015539533</v>
      </c>
      <c r="V76" s="57">
        <f t="shared" si="15"/>
        <v>40.91578868517108</v>
      </c>
      <c r="W76" s="57">
        <f t="shared" si="15"/>
        <v>45.911712982313446</v>
      </c>
      <c r="X76" s="57">
        <f t="shared" si="15"/>
        <v>12.321439047278034</v>
      </c>
      <c r="AC76" t="s">
        <v>167</v>
      </c>
      <c r="AD76" s="55">
        <v>0.91810344827586199</v>
      </c>
      <c r="AE76" s="55">
        <v>0.95779610819483096</v>
      </c>
      <c r="AI76" s="78"/>
      <c r="BF76">
        <v>0.94891060904611002</v>
      </c>
      <c r="BG76" s="1">
        <v>13</v>
      </c>
      <c r="BH76">
        <f t="shared" si="13"/>
        <v>-1.5296944238710335</v>
      </c>
      <c r="BI76">
        <f t="shared" si="14"/>
        <v>-0.1083340566284879</v>
      </c>
      <c r="BJ76">
        <f t="shared" si="11"/>
        <v>-0.10279933565577422</v>
      </c>
    </row>
    <row r="77" spans="1:65" x14ac:dyDescent="0.3">
      <c r="A77" t="s">
        <v>7</v>
      </c>
      <c r="B77" s="13">
        <v>4</v>
      </c>
      <c r="C77" s="7">
        <v>0</v>
      </c>
      <c r="D77" s="8">
        <v>0</v>
      </c>
      <c r="E77" s="8">
        <v>4</v>
      </c>
      <c r="F77" s="8">
        <v>38</v>
      </c>
      <c r="G77" s="28">
        <v>202</v>
      </c>
      <c r="H77" s="1">
        <f>SUM(C77:G77)</f>
        <v>244</v>
      </c>
      <c r="I77" s="10">
        <f>G77/H77</f>
        <v>0.82786885245901642</v>
      </c>
      <c r="J77" s="11">
        <f>1-I77</f>
        <v>0.17213114754098358</v>
      </c>
      <c r="K77">
        <f>H77-G78</f>
        <v>38</v>
      </c>
      <c r="N77" s="10">
        <f>2*(G79*I77)/(G79+I77)</f>
        <v>0.8977777777777779</v>
      </c>
      <c r="S77" s="66" t="s">
        <v>39</v>
      </c>
      <c r="T77" s="67">
        <f t="shared" si="15"/>
        <v>2.1806653775760104E-3</v>
      </c>
      <c r="U77" s="67">
        <f t="shared" si="15"/>
        <v>0</v>
      </c>
      <c r="V77" s="67">
        <f t="shared" si="15"/>
        <v>0.33140379775660289</v>
      </c>
      <c r="W77" s="67">
        <f t="shared" si="15"/>
        <v>0.87790611521192152</v>
      </c>
      <c r="X77" s="67">
        <f t="shared" si="15"/>
        <v>0.8262002305481867</v>
      </c>
      <c r="AC77" t="s">
        <v>168</v>
      </c>
      <c r="AD77" s="55">
        <v>0.94252873563218298</v>
      </c>
      <c r="AE77" s="55">
        <v>0.96627129911736498</v>
      </c>
      <c r="AG77" s="78"/>
      <c r="BF77">
        <v>0.94901034332179501</v>
      </c>
      <c r="BG77" s="1">
        <v>14</v>
      </c>
      <c r="BH77">
        <f t="shared" si="13"/>
        <v>-1.4905491617855362</v>
      </c>
      <c r="BI77">
        <f t="shared" si="14"/>
        <v>-0.10556176108152786</v>
      </c>
      <c r="BJ77">
        <f t="shared" si="11"/>
        <v>-0.10017920312563405</v>
      </c>
    </row>
    <row r="78" spans="1:65" ht="15.6" x14ac:dyDescent="0.35">
      <c r="B78" s="1" t="s">
        <v>19</v>
      </c>
      <c r="C78" s="1">
        <f>SUM(C73:C77)</f>
        <v>113</v>
      </c>
      <c r="D78" s="1">
        <f>SUM(D73:D77)</f>
        <v>15</v>
      </c>
      <c r="E78" s="1">
        <f>SUM(E73:E77)</f>
        <v>183</v>
      </c>
      <c r="F78" s="1">
        <f>SUM(F73:F77)</f>
        <v>179</v>
      </c>
      <c r="G78" s="1">
        <f>SUM(G73:G77)</f>
        <v>206</v>
      </c>
      <c r="H78" s="1">
        <f>SUM(H72:H77)</f>
        <v>696</v>
      </c>
      <c r="I78" s="13" t="s">
        <v>12</v>
      </c>
      <c r="N78" s="16" t="s">
        <v>36</v>
      </c>
      <c r="S78" s="70" t="s">
        <v>30</v>
      </c>
      <c r="T78" s="64">
        <f t="shared" si="15"/>
        <v>100</v>
      </c>
      <c r="U78" s="64">
        <f t="shared" si="15"/>
        <v>100</v>
      </c>
      <c r="V78" s="64">
        <f t="shared" si="15"/>
        <v>98.839352620917182</v>
      </c>
      <c r="W78" s="64">
        <f t="shared" si="15"/>
        <v>95.622324342785504</v>
      </c>
      <c r="X78" s="64">
        <f t="shared" si="15"/>
        <v>84.395421470596375</v>
      </c>
      <c r="AC78" t="s">
        <v>169</v>
      </c>
      <c r="AD78" s="55">
        <v>0.91235632183908</v>
      </c>
      <c r="AE78" s="55">
        <v>0.95370197576446702</v>
      </c>
      <c r="BF78">
        <v>0.949244001848085</v>
      </c>
      <c r="BG78" s="1">
        <v>15</v>
      </c>
      <c r="BH78">
        <f t="shared" si="13"/>
        <v>-1.4535633083711825</v>
      </c>
      <c r="BI78">
        <f t="shared" si="14"/>
        <v>-0.1029423964059975</v>
      </c>
      <c r="BJ78">
        <f t="shared" si="11"/>
        <v>-9.7717452324260989E-2</v>
      </c>
    </row>
    <row r="79" spans="1:65" x14ac:dyDescent="0.3">
      <c r="A79" s="1" t="s">
        <v>316</v>
      </c>
      <c r="B79" s="1" t="s">
        <v>2</v>
      </c>
      <c r="C79" s="10">
        <f>C73/C78</f>
        <v>1</v>
      </c>
      <c r="D79" s="10">
        <f>D74/D78</f>
        <v>1</v>
      </c>
      <c r="E79" s="10">
        <f>E75/E78</f>
        <v>0.97267759562841527</v>
      </c>
      <c r="F79" s="10">
        <f>F76/F78</f>
        <v>0.77653631284916202</v>
      </c>
      <c r="G79" s="10">
        <f>G77/G78</f>
        <v>0.98058252427184467</v>
      </c>
      <c r="H79" s="10"/>
      <c r="I79" s="14">
        <f>(C73+D74+E75+F76+G77)/H78</f>
        <v>0.9295977011494253</v>
      </c>
      <c r="S79" s="66" t="s">
        <v>39</v>
      </c>
      <c r="T79" s="67">
        <f t="shared" si="15"/>
        <v>0</v>
      </c>
      <c r="U79" s="67">
        <f t="shared" si="15"/>
        <v>0</v>
      </c>
      <c r="V79" s="67">
        <f t="shared" si="15"/>
        <v>0.80327694103116443</v>
      </c>
      <c r="W79" s="67">
        <f t="shared" si="15"/>
        <v>1.0021693465882207</v>
      </c>
      <c r="X79" s="67">
        <f t="shared" si="15"/>
        <v>6.5372360274965429</v>
      </c>
      <c r="AC79" t="s">
        <v>170</v>
      </c>
      <c r="AD79" s="55">
        <v>0.92385057471264298</v>
      </c>
      <c r="AE79" s="55">
        <v>0.95645235178606103</v>
      </c>
      <c r="AG79" s="78"/>
      <c r="BF79">
        <v>0.95009487071863596</v>
      </c>
      <c r="BG79" s="1">
        <v>16</v>
      </c>
      <c r="BH79">
        <f t="shared" si="13"/>
        <v>-1.4184654072104084</v>
      </c>
      <c r="BI79">
        <f t="shared" si="14"/>
        <v>-0.10045673786363954</v>
      </c>
      <c r="BJ79">
        <f t="shared" si="11"/>
        <v>-9.544343137337051E-2</v>
      </c>
    </row>
    <row r="80" spans="1:65" x14ac:dyDescent="0.3">
      <c r="B80" s="1" t="s">
        <v>14</v>
      </c>
      <c r="C80" s="11">
        <f>1-C79</f>
        <v>0</v>
      </c>
      <c r="D80" s="11">
        <f>1-D79</f>
        <v>0</v>
      </c>
      <c r="E80" s="11">
        <f>1-E79</f>
        <v>2.732240437158473E-2</v>
      </c>
      <c r="F80" s="11">
        <f>1-F79</f>
        <v>0.22346368715083798</v>
      </c>
      <c r="G80" s="11">
        <f>1-G79</f>
        <v>1.9417475728155331E-2</v>
      </c>
      <c r="S80" s="70" t="s">
        <v>31</v>
      </c>
      <c r="T80" s="64">
        <f>I200</f>
        <v>99.130434782608702</v>
      </c>
      <c r="U80" s="64">
        <f>I201</f>
        <v>100</v>
      </c>
      <c r="V80" s="64">
        <f>I202</f>
        <v>100</v>
      </c>
      <c r="W80" s="64">
        <f>I203</f>
        <v>95.1388888888889</v>
      </c>
      <c r="X80" s="64">
        <f>I204</f>
        <v>82.78688524590163</v>
      </c>
      <c r="AC80" t="s">
        <v>171</v>
      </c>
      <c r="AD80" s="55">
        <v>0.93390804597701105</v>
      </c>
      <c r="AE80" s="55">
        <v>0.96053739480033395</v>
      </c>
      <c r="AI80" s="78"/>
      <c r="AJ80" s="348" t="s">
        <v>350</v>
      </c>
      <c r="AK80" s="348"/>
      <c r="AL80" s="348"/>
      <c r="AM80" s="348"/>
      <c r="AN80" s="348"/>
      <c r="AO80" s="348"/>
      <c r="AP80" s="348"/>
      <c r="AQ80" s="348"/>
      <c r="AR80" s="348"/>
      <c r="AS80" s="348"/>
      <c r="AT80" s="348"/>
      <c r="AU80" s="348" t="s">
        <v>351</v>
      </c>
      <c r="AV80" s="348"/>
      <c r="AW80" s="348"/>
      <c r="AX80" s="348"/>
      <c r="AY80" s="348"/>
      <c r="BF80">
        <v>0.95010185236515099</v>
      </c>
      <c r="BG80" s="1">
        <v>17</v>
      </c>
      <c r="BH80">
        <f t="shared" si="13"/>
        <v>-1.3850327712601831</v>
      </c>
      <c r="BI80">
        <f t="shared" si="14"/>
        <v>-9.8089014598292334E-2</v>
      </c>
      <c r="BJ80">
        <f t="shared" si="11"/>
        <v>-9.3194554466509885E-2</v>
      </c>
    </row>
    <row r="81" spans="1:62" x14ac:dyDescent="0.3">
      <c r="C81" s="2"/>
      <c r="S81" s="66" t="s">
        <v>39</v>
      </c>
      <c r="T81" s="67">
        <f>J200</f>
        <v>0.86956521739130099</v>
      </c>
      <c r="U81" s="67">
        <f>J201</f>
        <v>0</v>
      </c>
      <c r="V81" s="67">
        <f>J202</f>
        <v>0</v>
      </c>
      <c r="W81" s="67">
        <f>J203</f>
        <v>1.7983689383153552</v>
      </c>
      <c r="X81" s="67">
        <f>J204</f>
        <v>2.4216276503293868</v>
      </c>
      <c r="AC81" t="s">
        <v>172</v>
      </c>
      <c r="AD81" s="55">
        <v>0.92385057471264298</v>
      </c>
      <c r="AE81" s="55">
        <v>0.95108946355675505</v>
      </c>
      <c r="AG81" s="78"/>
      <c r="AJ81" t="s">
        <v>315</v>
      </c>
      <c r="AK81" t="s">
        <v>21</v>
      </c>
      <c r="AR81" s="1" t="s">
        <v>53</v>
      </c>
      <c r="BF81">
        <v>0.950205419514072</v>
      </c>
      <c r="BG81" s="1">
        <v>18</v>
      </c>
      <c r="BH81">
        <f t="shared" si="13"/>
        <v>-1.3530803497322956</v>
      </c>
      <c r="BI81">
        <f t="shared" si="14"/>
        <v>-9.5826121180363974E-2</v>
      </c>
      <c r="BJ81">
        <f t="shared" si="11"/>
        <v>-9.1054499676594056E-2</v>
      </c>
    </row>
    <row r="82" spans="1:62" ht="15.6" x14ac:dyDescent="0.35">
      <c r="A82" t="s">
        <v>317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51</v>
      </c>
      <c r="T82" s="65">
        <f>N189*100</f>
        <v>99.563318777292579</v>
      </c>
      <c r="U82" s="65">
        <f>N190*100</f>
        <v>100</v>
      </c>
      <c r="V82" s="65">
        <f>N191*100</f>
        <v>98.888888888888886</v>
      </c>
      <c r="W82" s="65">
        <f>N192*100</f>
        <v>85.35825545171339</v>
      </c>
      <c r="X82" s="65">
        <f>N193*100</f>
        <v>89.380530973451329</v>
      </c>
      <c r="Z82" s="46"/>
      <c r="AA82" s="46"/>
      <c r="AC82" t="s">
        <v>173</v>
      </c>
      <c r="AD82" s="55">
        <v>0.92816091954022895</v>
      </c>
      <c r="AE82" s="55">
        <v>0.95859296528450399</v>
      </c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51</v>
      </c>
      <c r="BF82">
        <v>0.95031917430106705</v>
      </c>
      <c r="BG82" s="1">
        <v>19</v>
      </c>
      <c r="BH82">
        <f t="shared" si="13"/>
        <v>-1.3224526154698777</v>
      </c>
      <c r="BI82">
        <f t="shared" si="14"/>
        <v>-9.3657043065016932E-2</v>
      </c>
      <c r="BJ82">
        <f t="shared" si="11"/>
        <v>-8.9004083833026368E-2</v>
      </c>
    </row>
    <row r="83" spans="1:62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61</v>
      </c>
      <c r="S83" t="s">
        <v>9</v>
      </c>
      <c r="T83" s="30">
        <f>N200</f>
        <v>156.99</v>
      </c>
      <c r="U83" s="30">
        <f>N201</f>
        <v>374.83</v>
      </c>
      <c r="V83" s="30">
        <f>N202</f>
        <v>25206.32</v>
      </c>
      <c r="W83" s="30">
        <f>N203</f>
        <v>28761.62</v>
      </c>
      <c r="X83" s="30">
        <f>N204</f>
        <v>7829.02</v>
      </c>
      <c r="Z83" t="s">
        <v>36</v>
      </c>
      <c r="AA83" s="1">
        <f>N205</f>
        <v>62328.78</v>
      </c>
      <c r="AC83" t="s">
        <v>174</v>
      </c>
      <c r="AD83" s="55">
        <v>0.93534482758620596</v>
      </c>
      <c r="AE83" s="55">
        <v>0.95009487071863596</v>
      </c>
      <c r="AG83" s="78"/>
      <c r="AJ83" t="s">
        <v>3</v>
      </c>
      <c r="AK83" s="13">
        <v>0</v>
      </c>
      <c r="AL83" s="26">
        <v>114</v>
      </c>
      <c r="AM83" s="3">
        <v>0</v>
      </c>
      <c r="AN83" s="3">
        <v>0</v>
      </c>
      <c r="AO83" s="3">
        <v>1</v>
      </c>
      <c r="AP83" s="4">
        <v>0</v>
      </c>
      <c r="AQ83" s="1">
        <f>SUM(AL83:AP83)</f>
        <v>115</v>
      </c>
      <c r="AR83" s="10">
        <f>AL83/AQ83</f>
        <v>0.99130434782608701</v>
      </c>
      <c r="AS83" s="11">
        <f>1-AR83</f>
        <v>8.6956521739129933E-3</v>
      </c>
      <c r="AT83">
        <f>AQ83-AL88</f>
        <v>1</v>
      </c>
      <c r="AW83" s="10">
        <f>2*(AL89*AR83)/(AL89+AR83)</f>
        <v>0.99563318777292575</v>
      </c>
      <c r="BF83">
        <v>0.950351700619256</v>
      </c>
      <c r="BG83" s="1">
        <v>20</v>
      </c>
      <c r="BH83">
        <f t="shared" si="13"/>
        <v>-1.2930175370911461</v>
      </c>
      <c r="BI83">
        <f t="shared" si="14"/>
        <v>-9.1572429695063032E-2</v>
      </c>
      <c r="BJ83">
        <f t="shared" si="11"/>
        <v>-8.702601429054041E-2</v>
      </c>
    </row>
    <row r="84" spans="1:62" ht="15.6" x14ac:dyDescent="0.35">
      <c r="A84" t="s">
        <v>3</v>
      </c>
      <c r="B84" s="13">
        <v>0</v>
      </c>
      <c r="C84" s="29">
        <f>(C73/$L84)*$O84</f>
        <v>0.24976370574845738</v>
      </c>
      <c r="D84" s="31">
        <f>(D73/$L84)*$O84</f>
        <v>0</v>
      </c>
      <c r="E84" s="31">
        <f>(E73/$L84)*$O84</f>
        <v>0</v>
      </c>
      <c r="F84" s="31">
        <f>(F73/$L84)*$O84</f>
        <v>4.4205965619196E-3</v>
      </c>
      <c r="G84" s="32">
        <f>(G73/$L84)*$O84</f>
        <v>0</v>
      </c>
      <c r="H84" s="17">
        <f>SUM(C84:G84)</f>
        <v>0.25418430231037697</v>
      </c>
      <c r="I84" s="17">
        <f>C84/H84*100</f>
        <v>98.260869565217391</v>
      </c>
      <c r="J84" s="17">
        <f>SQRT(I84*(100-I84)/(L84-1))</f>
        <v>1.2243453990683941</v>
      </c>
      <c r="K84" s="18">
        <f>100-I84</f>
        <v>1.7391304347826093</v>
      </c>
      <c r="L84" s="1">
        <f>H73</f>
        <v>115</v>
      </c>
      <c r="M84">
        <v>0</v>
      </c>
      <c r="N84" s="1">
        <v>158.43</v>
      </c>
      <c r="O84" s="17">
        <f>N84/N89*100</f>
        <v>0.25418430231037697</v>
      </c>
      <c r="P84" s="52">
        <f>((O84*O84*(I84/100)*(K84/100))/(L84-1))</f>
        <v>9.6851278852976271E-6</v>
      </c>
      <c r="R84" s="16" t="s">
        <v>318</v>
      </c>
      <c r="S84" t="s">
        <v>63</v>
      </c>
      <c r="T84" s="57">
        <f>$AA83*T76/100</f>
        <v>155.62486956521738</v>
      </c>
      <c r="U84" s="57">
        <f>$AA83*U76/100</f>
        <v>374.83</v>
      </c>
      <c r="V84" s="57">
        <f>$AA83*V76/100</f>
        <v>25502.311914845173</v>
      </c>
      <c r="W84" s="57">
        <f>$AA83*W76/100</f>
        <v>28616.210578977585</v>
      </c>
      <c r="X84" s="57">
        <f>$AA83*X76/100</f>
        <v>7679.8026366120212</v>
      </c>
      <c r="Z84" t="s">
        <v>36</v>
      </c>
      <c r="AA84" s="25">
        <f>SUM(T84:X84)</f>
        <v>62328.78</v>
      </c>
      <c r="AC84" t="s">
        <v>175</v>
      </c>
      <c r="AD84" s="55">
        <v>0.91810344827586199</v>
      </c>
      <c r="AE84" s="55">
        <v>0.95228752918292203</v>
      </c>
      <c r="AI84" s="78"/>
      <c r="AJ84" t="s">
        <v>4</v>
      </c>
      <c r="AK84" s="13">
        <v>1</v>
      </c>
      <c r="AL84" s="5">
        <v>0</v>
      </c>
      <c r="AM84" s="27">
        <v>15</v>
      </c>
      <c r="AN84" s="1">
        <v>0</v>
      </c>
      <c r="AO84" s="1">
        <v>0</v>
      </c>
      <c r="AP84" s="6">
        <v>0</v>
      </c>
      <c r="AQ84" s="1">
        <f>SUM(AL84:AP84)</f>
        <v>15</v>
      </c>
      <c r="AR84" s="10">
        <f>AM84/AQ84</f>
        <v>1</v>
      </c>
      <c r="AS84" s="11">
        <f>1-AR84</f>
        <v>0</v>
      </c>
      <c r="AT84">
        <f>AQ84-AM88</f>
        <v>0</v>
      </c>
      <c r="AW84" s="10">
        <f>2*(AM89*AR84)/(AM89+AR84)</f>
        <v>1</v>
      </c>
      <c r="BF84">
        <v>0.95051006179586195</v>
      </c>
      <c r="BG84" s="1">
        <v>21</v>
      </c>
      <c r="BH84">
        <f t="shared" si="13"/>
        <v>-1.2646620224523379</v>
      </c>
      <c r="BI84">
        <f t="shared" si="14"/>
        <v>-8.9564271803739284E-2</v>
      </c>
      <c r="BJ84">
        <f t="shared" si="11"/>
        <v>-8.5131741526873597E-2</v>
      </c>
    </row>
    <row r="85" spans="1:62" x14ac:dyDescent="0.3">
      <c r="A85" t="s">
        <v>4</v>
      </c>
      <c r="B85" s="13">
        <v>1</v>
      </c>
      <c r="C85" s="33">
        <f t="shared" ref="C85:G88" si="16">(C74/$L85)*$O85</f>
        <v>0</v>
      </c>
      <c r="D85" s="34">
        <f t="shared" si="16"/>
        <v>0.39456886616922937</v>
      </c>
      <c r="E85" s="19">
        <f t="shared" si="16"/>
        <v>0</v>
      </c>
      <c r="F85" s="18">
        <f t="shared" si="16"/>
        <v>0</v>
      </c>
      <c r="G85" s="20">
        <f t="shared" si="16"/>
        <v>0</v>
      </c>
      <c r="H85" s="17">
        <f>SUM(C85:G85)</f>
        <v>0.39456886616922937</v>
      </c>
      <c r="I85" s="17">
        <f>D85/H85*100</f>
        <v>100</v>
      </c>
      <c r="J85" s="17">
        <f>SQRT(I85*(100-I85)/(L85-1))</f>
        <v>0</v>
      </c>
      <c r="K85" s="18">
        <f>100-I85</f>
        <v>0</v>
      </c>
      <c r="L85" s="1">
        <f>H74</f>
        <v>15</v>
      </c>
      <c r="M85">
        <v>1</v>
      </c>
      <c r="N85" s="1">
        <v>245.93</v>
      </c>
      <c r="O85" s="17">
        <f>N85/N89*100</f>
        <v>0.39456886616922937</v>
      </c>
      <c r="P85" s="52">
        <f>((O85*O85*(I85/100)*(K85/100))/(L85-1))</f>
        <v>0</v>
      </c>
      <c r="R85" s="66"/>
      <c r="S85" s="66" t="s">
        <v>62</v>
      </c>
      <c r="T85" s="67">
        <f>$AA83*T77/100</f>
        <v>1.3591821257255208</v>
      </c>
      <c r="U85" s="67">
        <f>$AA83*U77/100</f>
        <v>0</v>
      </c>
      <c r="V85" s="67">
        <f>$AA83*V77/100</f>
        <v>206.55994401535793</v>
      </c>
      <c r="W85" s="67">
        <f>$AA83*W77/100</f>
        <v>547.18817115698516</v>
      </c>
      <c r="X85" s="67">
        <f>$AA83*X77/100</f>
        <v>514.96052405787214</v>
      </c>
      <c r="AA85" s="1"/>
      <c r="AC85" t="s">
        <v>176</v>
      </c>
      <c r="AD85" s="55">
        <v>0.93103448275862</v>
      </c>
      <c r="AE85" s="55">
        <v>0.95109538667411997</v>
      </c>
      <c r="AG85" s="78"/>
      <c r="AJ85" t="s">
        <v>5</v>
      </c>
      <c r="AK85" s="13">
        <v>2</v>
      </c>
      <c r="AL85" s="5">
        <v>0</v>
      </c>
      <c r="AM85" s="1">
        <v>0</v>
      </c>
      <c r="AN85" s="27">
        <v>178</v>
      </c>
      <c r="AO85" s="1">
        <v>0</v>
      </c>
      <c r="AP85" s="6">
        <v>0</v>
      </c>
      <c r="AQ85" s="1">
        <f>SUM(AL85:AP85)</f>
        <v>178</v>
      </c>
      <c r="AR85" s="10">
        <f>AN85/AQ85</f>
        <v>1</v>
      </c>
      <c r="AS85" s="11">
        <f>1-AR85</f>
        <v>0</v>
      </c>
      <c r="AT85">
        <f>AQ85-AN88</f>
        <v>-4</v>
      </c>
      <c r="AW85" s="10">
        <f>2*(AN89*AR85)/(AN89+AR85)</f>
        <v>0.98888888888888882</v>
      </c>
      <c r="BF85">
        <v>0.95058513668939404</v>
      </c>
      <c r="BG85" s="1">
        <v>22</v>
      </c>
      <c r="BH85">
        <f t="shared" si="13"/>
        <v>-1.2372884211694735</v>
      </c>
      <c r="BI85">
        <f t="shared" si="14"/>
        <v>-8.7625653720789717E-2</v>
      </c>
      <c r="BJ85">
        <f t="shared" si="11"/>
        <v>-8.3295644019674403E-2</v>
      </c>
    </row>
    <row r="86" spans="1:62" x14ac:dyDescent="0.3">
      <c r="A86" t="s">
        <v>5</v>
      </c>
      <c r="B86" s="13">
        <v>2</v>
      </c>
      <c r="C86" s="33">
        <f t="shared" si="16"/>
        <v>0</v>
      </c>
      <c r="D86" s="19">
        <f t="shared" si="16"/>
        <v>0</v>
      </c>
      <c r="E86" s="34">
        <f t="shared" si="16"/>
        <v>41.141645778780564</v>
      </c>
      <c r="F86" s="19">
        <f t="shared" si="16"/>
        <v>0</v>
      </c>
      <c r="G86" s="20">
        <f t="shared" si="16"/>
        <v>0</v>
      </c>
      <c r="H86" s="17">
        <f>SUM(C86:G86)</f>
        <v>41.141645778780564</v>
      </c>
      <c r="I86" s="17">
        <f>E86/H86*100</f>
        <v>100</v>
      </c>
      <c r="J86" s="17">
        <f>SQRT(I86*(100-I86)/(L86-1))</f>
        <v>0</v>
      </c>
      <c r="K86" s="18">
        <f>100-I86</f>
        <v>0</v>
      </c>
      <c r="L86" s="1">
        <f>H75</f>
        <v>178</v>
      </c>
      <c r="M86">
        <v>2</v>
      </c>
      <c r="N86" s="1">
        <v>25643.09</v>
      </c>
      <c r="O86" s="17">
        <f>N86/N89*100</f>
        <v>41.141645778780564</v>
      </c>
      <c r="P86" s="52">
        <f>((O86*O86*(I86/100)*(K86/100))/(L86-1))</f>
        <v>0</v>
      </c>
      <c r="R86" t="s">
        <v>95</v>
      </c>
      <c r="S86" s="70" t="s">
        <v>28</v>
      </c>
      <c r="T86" s="64">
        <f t="shared" ref="T86:X89" si="17">C234</f>
        <v>0.2531191641429878</v>
      </c>
      <c r="U86" s="64">
        <f t="shared" si="17"/>
        <v>0.61294317007327914</v>
      </c>
      <c r="V86" s="64">
        <f t="shared" si="17"/>
        <v>41.273643819711516</v>
      </c>
      <c r="W86" s="64">
        <f t="shared" si="17"/>
        <v>45.547097609647572</v>
      </c>
      <c r="X86" s="64">
        <f t="shared" si="17"/>
        <v>12.313196236424648</v>
      </c>
      <c r="AA86" s="12"/>
      <c r="AC86" t="s">
        <v>177</v>
      </c>
      <c r="AD86" s="55">
        <v>0.93103448275862</v>
      </c>
      <c r="AE86" s="55">
        <v>0.95934955829981505</v>
      </c>
      <c r="AI86" s="78"/>
      <c r="AJ86" t="s">
        <v>6</v>
      </c>
      <c r="AK86" s="13">
        <v>3</v>
      </c>
      <c r="AL86" s="5">
        <v>0</v>
      </c>
      <c r="AM86" s="1">
        <v>0</v>
      </c>
      <c r="AN86" s="1">
        <v>1</v>
      </c>
      <c r="AO86" s="27">
        <v>139</v>
      </c>
      <c r="AP86" s="6">
        <v>4</v>
      </c>
      <c r="AQ86" s="1">
        <f>SUM(AL86:AP86)</f>
        <v>144</v>
      </c>
      <c r="AR86" s="10">
        <f>AO86/AQ86</f>
        <v>0.96527777777777779</v>
      </c>
      <c r="AS86" s="11">
        <f>1-AR86</f>
        <v>3.472222222222221E-2</v>
      </c>
      <c r="AT86">
        <f>AQ86-AO88</f>
        <v>-37</v>
      </c>
      <c r="AW86" s="10">
        <f>2*(AO89*AR86)/(AO89+AR86)</f>
        <v>0.85538461538461541</v>
      </c>
      <c r="BF86">
        <v>0.95077550578634495</v>
      </c>
      <c r="BG86" s="1">
        <v>23</v>
      </c>
      <c r="BH86">
        <f t="shared" si="13"/>
        <v>-1.210811802980156</v>
      </c>
      <c r="BI86">
        <f t="shared" si="14"/>
        <v>-8.5750560624095404E-2</v>
      </c>
      <c r="BJ86">
        <f t="shared" si="11"/>
        <v>-8.1529532648836944E-2</v>
      </c>
    </row>
    <row r="87" spans="1:62" x14ac:dyDescent="0.3">
      <c r="A87" t="s">
        <v>6</v>
      </c>
      <c r="B87" s="13">
        <v>3</v>
      </c>
      <c r="C87" s="33">
        <f t="shared" si="16"/>
        <v>0</v>
      </c>
      <c r="D87" s="19">
        <f t="shared" si="16"/>
        <v>0</v>
      </c>
      <c r="E87" s="19">
        <f t="shared" si="16"/>
        <v>0.31671236696735344</v>
      </c>
      <c r="F87" s="34">
        <f t="shared" si="16"/>
        <v>44.023019008462136</v>
      </c>
      <c r="G87" s="20">
        <f t="shared" si="16"/>
        <v>1.2668494678694138</v>
      </c>
      <c r="H87" s="17">
        <f>SUM(C87:G87)</f>
        <v>45.6065808432989</v>
      </c>
      <c r="I87" s="17">
        <f>F87/H87*100</f>
        <v>96.527777777777786</v>
      </c>
      <c r="J87" s="17">
        <f>SQRT(I87*(100-I87)/(L87-1))</f>
        <v>1.5309531175003726</v>
      </c>
      <c r="K87" s="18">
        <f>100-I87</f>
        <v>3.4722222222222143</v>
      </c>
      <c r="L87" s="1">
        <f>H76</f>
        <v>144</v>
      </c>
      <c r="M87">
        <v>3</v>
      </c>
      <c r="N87" s="1">
        <v>28426.03</v>
      </c>
      <c r="O87" s="17">
        <f>N87/N89*100</f>
        <v>45.6065808432989</v>
      </c>
      <c r="P87" s="52">
        <f>((O87*O87*(I87/100)*(K87/100))/(L87-1))</f>
        <v>0.4875047045880701</v>
      </c>
      <c r="S87" s="66" t="s">
        <v>39</v>
      </c>
      <c r="T87" s="67">
        <f t="shared" si="17"/>
        <v>2.2106687995491563E-3</v>
      </c>
      <c r="U87" s="67">
        <f t="shared" si="17"/>
        <v>0</v>
      </c>
      <c r="V87" s="67">
        <f t="shared" si="17"/>
        <v>0.32790335641350216</v>
      </c>
      <c r="W87" s="67">
        <f t="shared" si="17"/>
        <v>0.81218960926340367</v>
      </c>
      <c r="X87" s="67">
        <f t="shared" si="17"/>
        <v>0.75689585636981582</v>
      </c>
      <c r="AC87" t="s">
        <v>178</v>
      </c>
      <c r="AD87" s="55">
        <v>0.93821839080459701</v>
      </c>
      <c r="AE87" s="55">
        <v>0.95280423483653898</v>
      </c>
      <c r="AG87" s="78"/>
      <c r="AJ87" t="s">
        <v>7</v>
      </c>
      <c r="AK87" s="13">
        <v>4</v>
      </c>
      <c r="AL87" s="7">
        <v>0</v>
      </c>
      <c r="AM87" s="8">
        <v>0</v>
      </c>
      <c r="AN87" s="8">
        <v>3</v>
      </c>
      <c r="AO87" s="8">
        <v>41</v>
      </c>
      <c r="AP87" s="28">
        <v>200</v>
      </c>
      <c r="AQ87" s="1">
        <f>SUM(AL87:AP87)</f>
        <v>244</v>
      </c>
      <c r="AR87" s="10">
        <f>AP87/AQ87</f>
        <v>0.81967213114754101</v>
      </c>
      <c r="AS87" s="11">
        <f>1-AR87</f>
        <v>0.18032786885245899</v>
      </c>
      <c r="AT87">
        <f>AQ87-AP88</f>
        <v>40</v>
      </c>
      <c r="AW87" s="10">
        <f>2*(AP89*AR87)/(AP89+AR87)</f>
        <v>0.89285714285714279</v>
      </c>
      <c r="BF87">
        <v>0.95094354990337104</v>
      </c>
      <c r="BG87" s="1">
        <v>24</v>
      </c>
      <c r="BH87">
        <f t="shared" si="13"/>
        <v>-1.1851578135117355</v>
      </c>
      <c r="BI87">
        <f t="shared" si="14"/>
        <v>-8.393372668363723E-2</v>
      </c>
      <c r="BJ87">
        <f t="shared" si="11"/>
        <v>-7.9816236009157285E-2</v>
      </c>
    </row>
    <row r="88" spans="1:62" ht="15.6" x14ac:dyDescent="0.35">
      <c r="A88" t="s">
        <v>7</v>
      </c>
      <c r="B88" s="13">
        <v>4</v>
      </c>
      <c r="C88" s="35">
        <f t="shared" si="16"/>
        <v>0</v>
      </c>
      <c r="D88" s="36">
        <f t="shared" si="16"/>
        <v>0</v>
      </c>
      <c r="E88" s="21">
        <f t="shared" si="16"/>
        <v>0.20660688867935958</v>
      </c>
      <c r="F88" s="21">
        <f t="shared" si="16"/>
        <v>1.962765442453916</v>
      </c>
      <c r="G88" s="37">
        <f t="shared" si="16"/>
        <v>10.43364787830766</v>
      </c>
      <c r="H88" s="17">
        <f>SUM(C88:G88)</f>
        <v>12.603020209440935</v>
      </c>
      <c r="I88" s="17">
        <f>G88/H88*100</f>
        <v>82.786885245901644</v>
      </c>
      <c r="J88" s="17">
        <f>SQRT(I88*(100-I88)/(L88-1))</f>
        <v>2.4216276503293863</v>
      </c>
      <c r="K88" s="18">
        <f>100-I88</f>
        <v>17.213114754098356</v>
      </c>
      <c r="L88" s="1">
        <f>H77</f>
        <v>244</v>
      </c>
      <c r="M88">
        <v>4</v>
      </c>
      <c r="N88" s="1">
        <v>7855.31</v>
      </c>
      <c r="O88" s="17">
        <f>N88/N89*100</f>
        <v>12.603020209440935</v>
      </c>
      <c r="P88" s="52">
        <f>((O88*O88*(I88/100)*(K88/100))/(L88-1))</f>
        <v>9.3145954814765605E-2</v>
      </c>
      <c r="S88" t="s">
        <v>30</v>
      </c>
      <c r="T88" s="57">
        <f t="shared" si="17"/>
        <v>100</v>
      </c>
      <c r="U88" s="57">
        <f t="shared" si="17"/>
        <v>100</v>
      </c>
      <c r="V88" s="57">
        <f t="shared" si="17"/>
        <v>98.852965829024726</v>
      </c>
      <c r="W88" s="57">
        <f t="shared" si="17"/>
        <v>95.857603911013513</v>
      </c>
      <c r="X88" s="57">
        <f t="shared" si="17"/>
        <v>87.152832283743038</v>
      </c>
      <c r="AC88" t="s">
        <v>179</v>
      </c>
      <c r="AD88" s="55">
        <v>0.91091954022988497</v>
      </c>
      <c r="AE88" s="55">
        <v>0.95504435369260599</v>
      </c>
      <c r="AI88" s="78"/>
      <c r="AK88" s="1" t="s">
        <v>19</v>
      </c>
      <c r="AL88" s="1">
        <f>SUM(AL83:AL87)</f>
        <v>114</v>
      </c>
      <c r="AM88" s="1">
        <f>SUM(AM83:AM87)</f>
        <v>15</v>
      </c>
      <c r="AN88" s="1">
        <f>SUM(AN83:AN87)</f>
        <v>182</v>
      </c>
      <c r="AO88" s="1">
        <f>SUM(AO83:AO87)</f>
        <v>181</v>
      </c>
      <c r="AP88" s="1">
        <f>SUM(AP83:AP87)</f>
        <v>204</v>
      </c>
      <c r="AQ88" s="1">
        <f>SUM(AQ82:AQ87)</f>
        <v>696</v>
      </c>
      <c r="AR88" s="13" t="s">
        <v>12</v>
      </c>
      <c r="BF88">
        <v>0.95101872763456896</v>
      </c>
      <c r="BG88" s="1">
        <v>25</v>
      </c>
      <c r="BH88">
        <f t="shared" si="13"/>
        <v>-1.1602609659441347</v>
      </c>
      <c r="BI88">
        <f t="shared" si="14"/>
        <v>-8.217051407583166E-2</v>
      </c>
      <c r="BJ88">
        <f t="shared" si="11"/>
        <v>-7.8145697745475862E-2</v>
      </c>
    </row>
    <row r="89" spans="1:62" x14ac:dyDescent="0.3">
      <c r="B89" t="s">
        <v>28</v>
      </c>
      <c r="C89" s="17">
        <f>SUM(C84:C88)</f>
        <v>0.24976370574845738</v>
      </c>
      <c r="D89" s="17">
        <f>SUM(D84:D88)</f>
        <v>0.39456886616922937</v>
      </c>
      <c r="E89" s="17">
        <f>SUM(E84:E88)</f>
        <v>41.664965034427276</v>
      </c>
      <c r="F89" s="17">
        <f>SUM(F84:F88)</f>
        <v>45.990205047477971</v>
      </c>
      <c r="G89" s="17">
        <f>SUM(G84:G88)</f>
        <v>11.700497346177073</v>
      </c>
      <c r="H89" s="1">
        <f>SUM(H83:H88)</f>
        <v>100</v>
      </c>
      <c r="I89" s="13" t="s">
        <v>24</v>
      </c>
      <c r="J89" s="12" t="s">
        <v>29</v>
      </c>
      <c r="N89" s="1">
        <f>SUM(N84:N88)</f>
        <v>62328.789999999994</v>
      </c>
      <c r="O89" s="17">
        <f>SUM(O84:O88)</f>
        <v>100</v>
      </c>
      <c r="S89" s="66" t="s">
        <v>39</v>
      </c>
      <c r="T89" s="67">
        <f t="shared" si="17"/>
        <v>0</v>
      </c>
      <c r="U89" s="67">
        <f t="shared" si="17"/>
        <v>0</v>
      </c>
      <c r="V89" s="67">
        <f t="shared" si="17"/>
        <v>0.7880052521542561</v>
      </c>
      <c r="W89" s="67">
        <f t="shared" si="17"/>
        <v>0.92381276029376369</v>
      </c>
      <c r="X89" s="67">
        <f t="shared" si="17"/>
        <v>5.8469273626558698</v>
      </c>
      <c r="AC89" t="s">
        <v>180</v>
      </c>
      <c r="AD89" s="55">
        <v>0.93678160919540199</v>
      </c>
      <c r="AE89" s="55">
        <v>0.96133410685060305</v>
      </c>
      <c r="AG89" s="78"/>
      <c r="AJ89" s="1" t="s">
        <v>316</v>
      </c>
      <c r="AK89" s="1" t="s">
        <v>2</v>
      </c>
      <c r="AL89" s="10">
        <f>AL83/AL88</f>
        <v>1</v>
      </c>
      <c r="AM89" s="10">
        <f>AM84/AM88</f>
        <v>1</v>
      </c>
      <c r="AN89" s="10">
        <f>AN85/AN88</f>
        <v>0.97802197802197799</v>
      </c>
      <c r="AO89" s="10">
        <f>AO86/AO88</f>
        <v>0.76795580110497241</v>
      </c>
      <c r="AP89" s="10">
        <f>AP87/AP88</f>
        <v>0.98039215686274506</v>
      </c>
      <c r="AQ89" s="10"/>
      <c r="AR89" s="14">
        <f>(AL83+AM84+AN85+AO86+AP87)/AQ88</f>
        <v>0.92816091954022983</v>
      </c>
      <c r="BF89">
        <v>0.95108946355675505</v>
      </c>
      <c r="BG89" s="1">
        <v>26</v>
      </c>
      <c r="BH89">
        <f t="shared" si="13"/>
        <v>-1.1360632660214303</v>
      </c>
      <c r="BI89">
        <f t="shared" si="14"/>
        <v>-8.0456815605864276E-2</v>
      </c>
      <c r="BJ89">
        <f t="shared" si="11"/>
        <v>-7.6521629594066207E-2</v>
      </c>
    </row>
    <row r="90" spans="1:62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3.0985334243714743E-3</v>
      </c>
      <c r="D90" s="18">
        <f>SQRT(SUM((O84*O84*(D84/O84)*(1-D84/O84))/L84,(O85*O85*(D85/O85)*(1-D85/O85))/L85,(O86*O86*(D86/O86)*(1-D86/O86))/L86,(O87*O87*(D87/O87)*(1-D87/O87))/L87,(O88*O88*(D88/O88)*(1-D88/O88))/L88))</f>
        <v>0</v>
      </c>
      <c r="E90" s="18">
        <f>SQRT(SUM((O84*O84*(E84/O84)*(1-E84/O84))/L84,(O85*O85*(E85/O85)*(1-E85/O85))/L85,(O86*O86*(E86/O86)*(1-E86/O86))/L86,(O87*O87*(E87/O87)*(1-E87/O87))/L87,(O88*O88*(E88/O88)*(1-E88/O88))/L88))</f>
        <v>0.33182345644301547</v>
      </c>
      <c r="F90" s="18">
        <f>SQRT(SUM((O84*O84*(F84/O84)*(1-F84/O84))/L84,(O85*O85*(F85/O85)*(1-F85/O85))/L85,(O86*O86*(F86/O86)*(1-F86/O86))/L86,(O87*O87*(F87/O87)*(1-F87/O87))/L87,(O88*O88*(F88/O88)*(1-F88/O88))/L88))</f>
        <v>0.7547982176850162</v>
      </c>
      <c r="G90" s="18">
        <f>SQRT(SUM((O84*O84*(G84/O84)*(1-G84/O84))/L84,(O85*O85*(G85/O85)*(1-G85/O85))/L85,(O86*O86*(G86/O86)*(1-G86/O86))/L86,(O87*O87*(G87/O87)*(1-G87/O87))/L87,(O88*O88*(G88/O88)*(1-G88/O88))/L88))</f>
        <v>0.69487114717102849</v>
      </c>
      <c r="H90" s="1"/>
      <c r="I90" s="14">
        <f>(C84+D85+E86+F87+G88)/H89</f>
        <v>0.9624264523746805</v>
      </c>
      <c r="J90" s="53">
        <f>SQRT(SUM(P84:P88))/100</f>
        <v>7.620107246822193E-3</v>
      </c>
      <c r="M90" s="1"/>
      <c r="N90" s="9"/>
      <c r="S90" t="s">
        <v>31</v>
      </c>
      <c r="T90" s="57">
        <f>I229</f>
        <v>99.130434782608702</v>
      </c>
      <c r="U90" s="57">
        <f>I230</f>
        <v>100</v>
      </c>
      <c r="V90" s="57">
        <f>I231</f>
        <v>100</v>
      </c>
      <c r="W90" s="57">
        <f>I232</f>
        <v>95.833333333333343</v>
      </c>
      <c r="X90" s="57">
        <f>I233</f>
        <v>84.016393442622942</v>
      </c>
      <c r="AC90" t="s">
        <v>181</v>
      </c>
      <c r="AD90" s="55">
        <v>0.91666666666666596</v>
      </c>
      <c r="AE90" s="55">
        <v>0.94799238327495094</v>
      </c>
      <c r="AI90" s="78"/>
      <c r="AK90" s="1" t="s">
        <v>14</v>
      </c>
      <c r="AL90" s="11">
        <f>1-AL89</f>
        <v>0</v>
      </c>
      <c r="AM90" s="11">
        <f>1-AM89</f>
        <v>0</v>
      </c>
      <c r="AN90" s="11">
        <f>1-AN89</f>
        <v>2.1978021978022011E-2</v>
      </c>
      <c r="AO90" s="11">
        <f>1-AO89</f>
        <v>0.23204419889502759</v>
      </c>
      <c r="AP90" s="11">
        <f>1-AP89</f>
        <v>1.9607843137254943E-2</v>
      </c>
      <c r="BF90">
        <v>0.95109538667411997</v>
      </c>
      <c r="BG90" s="1">
        <v>27</v>
      </c>
      <c r="BH90">
        <f t="shared" si="13"/>
        <v>-1.1125130950141264</v>
      </c>
      <c r="BI90">
        <f t="shared" si="14"/>
        <v>-7.8788975598276648E-2</v>
      </c>
      <c r="BJ90">
        <f t="shared" si="11"/>
        <v>-7.4935831212300727E-2</v>
      </c>
    </row>
    <row r="91" spans="1:62" x14ac:dyDescent="0.3">
      <c r="B91" s="1" t="s">
        <v>30</v>
      </c>
      <c r="C91" s="17">
        <f>C84/C89*100</f>
        <v>100</v>
      </c>
      <c r="D91" s="17">
        <f>D85/D89*100</f>
        <v>100</v>
      </c>
      <c r="E91" s="17">
        <f>E86/E89*100</f>
        <v>98.743982491730648</v>
      </c>
      <c r="F91" s="17">
        <f>F87/F89*100</f>
        <v>95.722597807543991</v>
      </c>
      <c r="G91" s="17">
        <f>G88/G89*100</f>
        <v>89.172687020151898</v>
      </c>
      <c r="H91" s="1"/>
      <c r="S91" s="66" t="s">
        <v>39</v>
      </c>
      <c r="T91" s="67">
        <f>J229</f>
        <v>0.86956521739130099</v>
      </c>
      <c r="U91" s="67">
        <f>J230</f>
        <v>0</v>
      </c>
      <c r="V91" s="67">
        <f>J231</f>
        <v>0</v>
      </c>
      <c r="W91" s="67">
        <f>J232</f>
        <v>1.6710315802959967</v>
      </c>
      <c r="X91" s="67">
        <f>J233</f>
        <v>2.3508031874572515</v>
      </c>
      <c r="AC91" t="s">
        <v>182</v>
      </c>
      <c r="AD91" s="55">
        <v>0.95258620689655105</v>
      </c>
      <c r="AE91" s="55">
        <v>0.96446497180832402</v>
      </c>
      <c r="AG91" s="78"/>
      <c r="AL91" s="2"/>
      <c r="BF91">
        <v>0.951561979646112</v>
      </c>
      <c r="BG91" s="1">
        <v>28</v>
      </c>
      <c r="BH91">
        <f t="shared" si="13"/>
        <v>-1.0895642944538471</v>
      </c>
      <c r="BI91">
        <f t="shared" si="14"/>
        <v>-7.7163725077220427E-2</v>
      </c>
      <c r="BJ91">
        <f t="shared" si="11"/>
        <v>-7.342606699134821E-2</v>
      </c>
    </row>
    <row r="92" spans="1:62" ht="15.6" x14ac:dyDescent="0.35">
      <c r="B92" s="16" t="s">
        <v>39</v>
      </c>
      <c r="C92" s="18">
        <f>SQRT((C95+C96)/(C89*C89))</f>
        <v>0</v>
      </c>
      <c r="D92" s="18">
        <f>SQRT((D95+D96)/(D89*D89))</f>
        <v>0</v>
      </c>
      <c r="E92" s="18">
        <f>SQRT((E95+E96)/(E89*E89))</f>
        <v>0.78904316138445929</v>
      </c>
      <c r="F92" s="18">
        <f>SQRT((F95+F96)/(F89*F89))</f>
        <v>0.89110219909448196</v>
      </c>
      <c r="G92" s="18">
        <f>SQRT((G95+G96)/(G89*G89))</f>
        <v>5.5490617322774947</v>
      </c>
      <c r="H92" s="1"/>
      <c r="I92" s="14"/>
      <c r="O92" s="1"/>
      <c r="P92" s="1"/>
      <c r="S92" s="66" t="s">
        <v>51</v>
      </c>
      <c r="T92" s="67">
        <f>N218*100</f>
        <v>99.563318777292579</v>
      </c>
      <c r="U92" s="67">
        <f>N219*100</f>
        <v>100</v>
      </c>
      <c r="V92" s="67">
        <f>N220*100</f>
        <v>98.888888888888886</v>
      </c>
      <c r="W92" s="67">
        <f>N221*100</f>
        <v>86.520376175548591</v>
      </c>
      <c r="X92" s="67">
        <f>N222*100</f>
        <v>90.308370044052865</v>
      </c>
      <c r="AC92" t="s">
        <v>183</v>
      </c>
      <c r="AD92" s="55">
        <v>0.93678160919540199</v>
      </c>
      <c r="AE92" s="55">
        <v>0.95667556019115196</v>
      </c>
      <c r="AI92" s="78"/>
      <c r="AJ92" t="s">
        <v>317</v>
      </c>
      <c r="AK92" s="15" t="s">
        <v>23</v>
      </c>
      <c r="AW92" s="12" t="s">
        <v>17</v>
      </c>
      <c r="AX92" s="1" t="s">
        <v>27</v>
      </c>
      <c r="AY92" s="1" t="s">
        <v>33</v>
      </c>
      <c r="BF92">
        <v>0.95172833855766703</v>
      </c>
      <c r="BG92" s="1">
        <v>29</v>
      </c>
      <c r="BH92">
        <f t="shared" si="13"/>
        <v>-1.0671754102700386</v>
      </c>
      <c r="BI92">
        <f t="shared" si="14"/>
        <v>-7.5578128235676445E-2</v>
      </c>
      <c r="BJ92">
        <f t="shared" si="11"/>
        <v>-7.1929846417038645E-2</v>
      </c>
    </row>
    <row r="93" spans="1:62" ht="15.6" x14ac:dyDescent="0.35">
      <c r="B93" s="1" t="s">
        <v>37</v>
      </c>
      <c r="C93" s="18">
        <f>100-C91</f>
        <v>0</v>
      </c>
      <c r="D93" s="18">
        <f>100-D91</f>
        <v>0</v>
      </c>
      <c r="E93" s="18">
        <f>100-E91</f>
        <v>1.2560175082693519</v>
      </c>
      <c r="F93" s="18">
        <f>100-F91</f>
        <v>4.2774021924560088</v>
      </c>
      <c r="G93" s="18">
        <f>100-G91</f>
        <v>10.827312979848102</v>
      </c>
      <c r="O93" s="1"/>
      <c r="P93" s="1"/>
      <c r="R93" s="16" t="s">
        <v>61</v>
      </c>
      <c r="S93" t="s">
        <v>9</v>
      </c>
      <c r="T93" s="30">
        <f>N229</f>
        <v>159.15</v>
      </c>
      <c r="U93" s="30">
        <f>N230</f>
        <v>382.04</v>
      </c>
      <c r="V93" s="30">
        <f>N231</f>
        <v>25430.28</v>
      </c>
      <c r="W93" s="30">
        <f>N232</f>
        <v>28396.14</v>
      </c>
      <c r="X93" s="30">
        <f>N233</f>
        <v>7961.17</v>
      </c>
      <c r="Z93" t="s">
        <v>36</v>
      </c>
      <c r="AA93" s="1">
        <f>N234</f>
        <v>62328.78</v>
      </c>
      <c r="AC93" t="s">
        <v>184</v>
      </c>
      <c r="AD93" s="55">
        <v>0.92097701149425204</v>
      </c>
      <c r="AE93" s="55">
        <v>0.95842951188680803</v>
      </c>
      <c r="AG93" s="78"/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  <c r="BF93">
        <v>0.95173303457922298</v>
      </c>
      <c r="BG93" s="1">
        <v>30</v>
      </c>
      <c r="BH93">
        <f t="shared" si="13"/>
        <v>-1.0453090640125338</v>
      </c>
      <c r="BI93">
        <f t="shared" si="14"/>
        <v>-7.4029537904985426E-2</v>
      </c>
      <c r="BJ93">
        <f t="shared" si="11"/>
        <v>-7.0456356758809388E-2</v>
      </c>
    </row>
    <row r="94" spans="1:62" ht="15.6" x14ac:dyDescent="0.35">
      <c r="B94" s="1" t="s">
        <v>25</v>
      </c>
      <c r="C94" s="1">
        <f>C78</f>
        <v>113</v>
      </c>
      <c r="D94" s="1">
        <f>D78</f>
        <v>15</v>
      </c>
      <c r="E94" s="1">
        <f>E78</f>
        <v>183</v>
      </c>
      <c r="F94" s="1">
        <f>F78</f>
        <v>179</v>
      </c>
      <c r="G94" s="1">
        <f>G78</f>
        <v>206</v>
      </c>
      <c r="O94" s="1"/>
      <c r="P94" s="1"/>
      <c r="R94" s="16" t="s">
        <v>318</v>
      </c>
      <c r="S94" t="s">
        <v>63</v>
      </c>
      <c r="T94" s="57">
        <f>$AA93*T86/100</f>
        <v>157.76608695652175</v>
      </c>
      <c r="U94" s="57">
        <f>$AA93*U86/100</f>
        <v>382.04</v>
      </c>
      <c r="V94" s="57">
        <f>$AA93*V86/100</f>
        <v>25725.35865437159</v>
      </c>
      <c r="W94" s="57">
        <f>$AA93*W86/100</f>
        <v>28388.950265502492</v>
      </c>
      <c r="X94" s="57">
        <f>$AA93*X86/100</f>
        <v>7674.6649931693983</v>
      </c>
      <c r="Z94" t="s">
        <v>36</v>
      </c>
      <c r="AA94" s="25">
        <f>SUM(T94:X94)</f>
        <v>62328.78</v>
      </c>
      <c r="AC94" t="s">
        <v>185</v>
      </c>
      <c r="AD94" s="55">
        <v>0.90948275862068895</v>
      </c>
      <c r="AE94" s="55">
        <v>0.95290061067439702</v>
      </c>
      <c r="AI94" s="78"/>
      <c r="AJ94" t="s">
        <v>3</v>
      </c>
      <c r="AK94" s="13">
        <v>0</v>
      </c>
      <c r="AL94" s="29">
        <f>(AL83/$AU94)*$AX94</f>
        <v>0.25311920475331334</v>
      </c>
      <c r="AM94" s="31">
        <f>(AM83/$AU94)*$AX94</f>
        <v>0</v>
      </c>
      <c r="AN94" s="31">
        <f>(AN83/$AU94)*$AX94</f>
        <v>0</v>
      </c>
      <c r="AO94" s="31">
        <f>(AO83/$AU94)*$AX94</f>
        <v>2.2203439013448538E-3</v>
      </c>
      <c r="AP94" s="32">
        <f>(AP83/$AU94)*$AX94</f>
        <v>0</v>
      </c>
      <c r="AQ94" s="17">
        <f>SUM(AL94:AP94)</f>
        <v>0.25533954865465819</v>
      </c>
      <c r="AR94" s="17">
        <f>AL94/AQ94*100</f>
        <v>99.130434782608702</v>
      </c>
      <c r="AS94" s="17">
        <f>SQRT(AR94*(100-AR94)/(AU94-1))</f>
        <v>0.86956521739130099</v>
      </c>
      <c r="AT94" s="18">
        <f>100-AR94</f>
        <v>0.86956521739129755</v>
      </c>
      <c r="AU94" s="1">
        <f>AQ83</f>
        <v>115</v>
      </c>
      <c r="AV94">
        <v>0</v>
      </c>
      <c r="AW94" s="1">
        <v>159.15</v>
      </c>
      <c r="AX94" s="17">
        <f>AW94/AW99*100</f>
        <v>0.25533954865465819</v>
      </c>
      <c r="AY94" s="52">
        <f>((AX94*AX94*(AR94/100)*(AT94/100))/(AU94-1))</f>
        <v>4.9299270402392477E-6</v>
      </c>
      <c r="BF94">
        <v>0.95174725762002899</v>
      </c>
      <c r="BG94" s="1">
        <v>31</v>
      </c>
      <c r="BH94">
        <f t="shared" si="13"/>
        <v>-1.0239314262560566</v>
      </c>
      <c r="BI94">
        <f t="shared" si="14"/>
        <v>-7.2515558260977289E-2</v>
      </c>
      <c r="BJ94">
        <f t="shared" si="11"/>
        <v>-6.9016483709670576E-2</v>
      </c>
    </row>
    <row r="95" spans="1:62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0</v>
      </c>
      <c r="E95" s="18">
        <f>(O86*O86*(100-E91)*(100-E91)*(I86)*(100-I86))/((L86-1)*100)</f>
        <v>0</v>
      </c>
      <c r="F95" s="18">
        <f>(O87*O87*(100-F91)*(100-F91)*(I87)*(100-I87))/((L87-1)*100)</f>
        <v>891.94687150042273</v>
      </c>
      <c r="G95" s="18">
        <f>(O88*O88*(100-G91)*(100-G91)*(I88)*(100-I88))/((L88-1)*100)</f>
        <v>1091.9566077845745</v>
      </c>
      <c r="O95" s="1"/>
      <c r="P95" s="1"/>
      <c r="R95" s="66"/>
      <c r="S95" s="66" t="s">
        <v>62</v>
      </c>
      <c r="T95" s="67">
        <f>$AA93*T87/100</f>
        <v>1.3778828925996345</v>
      </c>
      <c r="U95" s="67">
        <f>$AA93*U87/100</f>
        <v>0</v>
      </c>
      <c r="V95" s="67">
        <f>$AA93*V87/100</f>
        <v>204.37816163158766</v>
      </c>
      <c r="W95" s="67">
        <f>$AA93*W87/100</f>
        <v>506.22787474064648</v>
      </c>
      <c r="X95" s="67">
        <f>$AA93*X87/100</f>
        <v>471.76395314585847</v>
      </c>
      <c r="AA95" s="1"/>
      <c r="AC95" t="s">
        <v>186</v>
      </c>
      <c r="AD95" s="55">
        <v>0.93965517241379304</v>
      </c>
      <c r="AE95" s="55">
        <v>0.95791247179901395</v>
      </c>
      <c r="AG95" s="78"/>
      <c r="AJ95" t="s">
        <v>4</v>
      </c>
      <c r="AK95" s="13">
        <v>1</v>
      </c>
      <c r="AL95" s="33">
        <f t="shared" ref="AL95:AO98" si="18">(AL84/$AU95)*$AX95</f>
        <v>0</v>
      </c>
      <c r="AM95" s="34">
        <f>(AM84/$AU95)*$AX95</f>
        <v>0.51529975643671455</v>
      </c>
      <c r="AN95" s="19">
        <f>(AN84/$AU95)*$AX95</f>
        <v>0</v>
      </c>
      <c r="AO95" s="18">
        <f>(AO84/$AU95)*$AX95</f>
        <v>0</v>
      </c>
      <c r="AP95" s="20">
        <f>(AP84/$AU95)*$AX95</f>
        <v>0</v>
      </c>
      <c r="AQ95" s="17">
        <f>SUM(AL95:AP95)</f>
        <v>0.51529975643671455</v>
      </c>
      <c r="AR95" s="17">
        <f>AM95/AQ95*100</f>
        <v>100</v>
      </c>
      <c r="AS95" s="17">
        <f>SQRT(AR95*(100-AR95)/(AU95-1))</f>
        <v>0</v>
      </c>
      <c r="AT95" s="18">
        <f>100-AR95</f>
        <v>0</v>
      </c>
      <c r="AU95" s="1">
        <f>AQ84</f>
        <v>15</v>
      </c>
      <c r="AV95">
        <v>1</v>
      </c>
      <c r="AW95" s="1">
        <v>321.18</v>
      </c>
      <c r="AX95" s="17">
        <f>AW95/AW99*100</f>
        <v>0.51529975643671455</v>
      </c>
      <c r="AY95" s="52">
        <f>((AX95*AX95*(AR95/100)*(AT95/100))/(AU95-1))</f>
        <v>0</v>
      </c>
      <c r="BF95">
        <v>0.95195959969247901</v>
      </c>
      <c r="BG95" s="1">
        <v>32</v>
      </c>
      <c r="BH95">
        <f t="shared" si="13"/>
        <v>-1.0030117728102939</v>
      </c>
      <c r="BI95">
        <f t="shared" si="14"/>
        <v>-7.1034013394449966E-2</v>
      </c>
      <c r="BJ95">
        <f t="shared" si="11"/>
        <v>-6.7621510955530775E-2</v>
      </c>
    </row>
    <row r="96" spans="1:62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0</v>
      </c>
      <c r="E96" s="18">
        <f>E91*E91*(SUM((H84*E84*(1-E73/H73))/(H73-1),(H85*E85*(1-E74/H74))/(H74-1), (H87*E87*(1-E76/H76))/(H76-1),(H88*E88*(1-E77/H77))/(H77-1)))</f>
        <v>1080.795589437927</v>
      </c>
      <c r="F96" s="18">
        <f>F91*F91*(SUM((H84*F84*(1-F73/H73))/(H73-1),(H85*F85*(1-F74/H74))/(H74-1), (H86*F86*(1-F75/H75))/(H75-1),(H88*F88*(1-F77/H77))/(H77-1)))</f>
        <v>787.57522755587706</v>
      </c>
      <c r="G96" s="18">
        <f>G91*G91*(SUM((H84*G84*(1-G73/H73))/(H73-1),(H85*G85*(1-G74/H74))/(H74-1), (H86*G86*(1-G75/H75))/(H75-1),(H87*G87*(1-G76/H76))/(H76-1)))</f>
        <v>3123.5304224774895</v>
      </c>
      <c r="O96" s="1"/>
      <c r="P96" s="1"/>
      <c r="R96" t="s">
        <v>96</v>
      </c>
      <c r="S96" t="s">
        <v>28</v>
      </c>
      <c r="T96" s="57">
        <f t="shared" ref="T96:X99" si="19">C263</f>
        <v>0.2463585214880914</v>
      </c>
      <c r="U96" s="57">
        <f t="shared" si="19"/>
        <v>0.49797220481453347</v>
      </c>
      <c r="V96" s="57">
        <f t="shared" si="19"/>
        <v>41.176167115485576</v>
      </c>
      <c r="W96" s="57">
        <f t="shared" si="19"/>
        <v>46.407697478515054</v>
      </c>
      <c r="X96" s="57">
        <f t="shared" si="19"/>
        <v>11.671804679696741</v>
      </c>
      <c r="Y96" s="13"/>
      <c r="Z96" s="74"/>
      <c r="AA96" s="12"/>
      <c r="AC96" t="s">
        <v>187</v>
      </c>
      <c r="AD96" s="55">
        <v>0.91954022988505701</v>
      </c>
      <c r="AE96" s="55">
        <v>0.95349380371483605</v>
      </c>
      <c r="AI96" s="78"/>
      <c r="AJ96" t="s">
        <v>5</v>
      </c>
      <c r="AK96" s="13">
        <v>2</v>
      </c>
      <c r="AL96" s="33">
        <f t="shared" si="18"/>
        <v>0</v>
      </c>
      <c r="AM96" s="19">
        <f t="shared" si="18"/>
        <v>0</v>
      </c>
      <c r="AN96" s="34">
        <f t="shared" si="18"/>
        <v>40.703177681831363</v>
      </c>
      <c r="AO96" s="19">
        <f t="shared" si="18"/>
        <v>0</v>
      </c>
      <c r="AP96" s="20">
        <f>(AP85/$AU96)*$AX96</f>
        <v>0</v>
      </c>
      <c r="AQ96" s="17">
        <f>SUM(AL96:AP96)</f>
        <v>40.703177681831363</v>
      </c>
      <c r="AR96" s="17">
        <f>AN96/AQ96*100</f>
        <v>100</v>
      </c>
      <c r="AS96" s="17">
        <f>SQRT(AR96*(100-AR96)/(AU96-1))</f>
        <v>0</v>
      </c>
      <c r="AT96" s="18">
        <f>100-AR96</f>
        <v>0</v>
      </c>
      <c r="AU96" s="1">
        <f>AQ85</f>
        <v>178</v>
      </c>
      <c r="AV96">
        <v>2</v>
      </c>
      <c r="AW96" s="1">
        <v>25369.79</v>
      </c>
      <c r="AX96" s="17">
        <f>AW96/AW99*100</f>
        <v>40.703177681831363</v>
      </c>
      <c r="AY96" s="52">
        <f>((AX96*AX96*(AR96/100)*(AT96/100))/(AU96-1))</f>
        <v>0</v>
      </c>
      <c r="BF96">
        <v>0.95204251264556405</v>
      </c>
      <c r="BG96" s="1">
        <v>33</v>
      </c>
      <c r="BH96">
        <f t="shared" si="13"/>
        <v>-0.98252210852503719</v>
      </c>
      <c r="BI96">
        <f t="shared" si="14"/>
        <v>-6.9582920668779649E-2</v>
      </c>
      <c r="BJ96">
        <f t="shared" si="11"/>
        <v>-6.6245898630721931E-2</v>
      </c>
    </row>
    <row r="97" spans="1:62" x14ac:dyDescent="0.3">
      <c r="S97" s="66" t="s">
        <v>39</v>
      </c>
      <c r="T97" s="67">
        <f t="shared" si="19"/>
        <v>3.0562891871022137E-3</v>
      </c>
      <c r="U97" s="67">
        <f t="shared" si="19"/>
        <v>0</v>
      </c>
      <c r="V97" s="67">
        <f t="shared" si="19"/>
        <v>0.46323471772125574</v>
      </c>
      <c r="W97" s="67">
        <f t="shared" si="19"/>
        <v>0.88499892898197541</v>
      </c>
      <c r="X97" s="67">
        <f t="shared" si="19"/>
        <v>0.77173629835755708</v>
      </c>
      <c r="AC97" t="s">
        <v>188</v>
      </c>
      <c r="AD97" s="55">
        <v>0.91810344827586199</v>
      </c>
      <c r="AE97" s="55">
        <v>0.95849966651127105</v>
      </c>
      <c r="AG97" s="78"/>
      <c r="AJ97" t="s">
        <v>6</v>
      </c>
      <c r="AK97" s="13">
        <v>3</v>
      </c>
      <c r="AL97" s="33">
        <f t="shared" si="18"/>
        <v>0</v>
      </c>
      <c r="AM97" s="19">
        <f t="shared" si="18"/>
        <v>0</v>
      </c>
      <c r="AN97" s="19">
        <f t="shared" si="18"/>
        <v>0.31975335520552278</v>
      </c>
      <c r="AO97" s="34">
        <f t="shared" si="18"/>
        <v>44.445716373567663</v>
      </c>
      <c r="AP97" s="20">
        <f>(AP86/$AU97)*$AX97</f>
        <v>1.2790134208220911</v>
      </c>
      <c r="AQ97" s="17">
        <f>SUM(AL97:AP97)</f>
        <v>46.044483149595273</v>
      </c>
      <c r="AR97" s="17">
        <f>AO97/AQ97*100</f>
        <v>96.527777777777786</v>
      </c>
      <c r="AS97" s="17">
        <f>SQRT(AR97*(100-AR97)/(AU97-1))</f>
        <v>1.5309531175003726</v>
      </c>
      <c r="AT97" s="18">
        <f>100-AR97</f>
        <v>3.4722222222222143</v>
      </c>
      <c r="AU97" s="1">
        <f>AQ86</f>
        <v>144</v>
      </c>
      <c r="AV97">
        <v>3</v>
      </c>
      <c r="AW97" s="1">
        <v>28698.959999999999</v>
      </c>
      <c r="AX97" s="17">
        <f>AW97/AW99*100</f>
        <v>46.04448314959528</v>
      </c>
      <c r="AY97" s="52">
        <f>((AX97*AX97*(AR97/100)*(AT97/100))/(AU97-1))</f>
        <v>0.49691143129235205</v>
      </c>
      <c r="BF97">
        <v>0.95213751886036502</v>
      </c>
      <c r="BG97" s="1">
        <v>34</v>
      </c>
      <c r="BH97">
        <f t="shared" si="13"/>
        <v>-0.96243684665105678</v>
      </c>
      <c r="BI97">
        <f t="shared" si="14"/>
        <v>-6.8160468012027825E-2</v>
      </c>
      <c r="BJ97">
        <f t="shared" si="11"/>
        <v>-6.4898138897333452E-2</v>
      </c>
    </row>
    <row r="98" spans="1:62" x14ac:dyDescent="0.3">
      <c r="S98" t="s">
        <v>30</v>
      </c>
      <c r="T98" s="57">
        <f t="shared" si="19"/>
        <v>100</v>
      </c>
      <c r="U98" s="57">
        <f t="shared" si="19"/>
        <v>100</v>
      </c>
      <c r="V98" s="57">
        <f t="shared" si="19"/>
        <v>98.061405347554512</v>
      </c>
      <c r="W98" s="57">
        <f t="shared" si="19"/>
        <v>95.680436659281625</v>
      </c>
      <c r="X98" s="57">
        <f t="shared" si="19"/>
        <v>86.115680595436388</v>
      </c>
      <c r="AA98" s="54"/>
      <c r="AC98" t="s">
        <v>189</v>
      </c>
      <c r="AD98" s="55">
        <v>0.91091954022988497</v>
      </c>
      <c r="AE98" s="55">
        <v>0.95031917430106705</v>
      </c>
      <c r="AI98" s="78"/>
      <c r="AJ98" t="s">
        <v>7</v>
      </c>
      <c r="AK98" s="13">
        <v>4</v>
      </c>
      <c r="AL98" s="35">
        <f>(AL87/$AU98)*$AX98</f>
        <v>0</v>
      </c>
      <c r="AM98" s="36">
        <f t="shared" si="18"/>
        <v>0</v>
      </c>
      <c r="AN98" s="21">
        <f t="shared" si="18"/>
        <v>0.15346352291166374</v>
      </c>
      <c r="AO98" s="21">
        <f t="shared" si="18"/>
        <v>2.097334813126071</v>
      </c>
      <c r="AP98" s="37">
        <f>(AP87/$AU98)*$AX98</f>
        <v>10.230901527444249</v>
      </c>
      <c r="AQ98" s="17">
        <f>SUM(AL98:AP98)</f>
        <v>12.481699863481984</v>
      </c>
      <c r="AR98" s="17">
        <f>AP98/AQ98*100</f>
        <v>81.967213114754102</v>
      </c>
      <c r="AS98" s="17">
        <f>SQRT(AR98*(100-AR98)/(AU98-1))</f>
        <v>2.4663140269083059</v>
      </c>
      <c r="AT98" s="18">
        <f>100-AR98</f>
        <v>18.032786885245898</v>
      </c>
      <c r="AU98" s="1">
        <f>AQ87</f>
        <v>244</v>
      </c>
      <c r="AV98">
        <v>4</v>
      </c>
      <c r="AW98" s="1">
        <v>7779.69</v>
      </c>
      <c r="AX98" s="17">
        <f>AW98/AW99*100</f>
        <v>12.481699863481984</v>
      </c>
      <c r="AY98" s="52">
        <f>((AX98*AX98*(AR98/100)*(AT98/100))/(AU98-1))</f>
        <v>9.4764181621964719E-2</v>
      </c>
      <c r="BF98">
        <v>0.95221526491554598</v>
      </c>
      <c r="BG98" s="1">
        <v>35</v>
      </c>
      <c r="BH98">
        <f t="shared" si="13"/>
        <v>-0.94273253415310254</v>
      </c>
      <c r="BI98">
        <f t="shared" si="14"/>
        <v>-6.6764994463410915E-2</v>
      </c>
      <c r="BJ98">
        <f t="shared" si="11"/>
        <v>-6.3574646890061787E-2</v>
      </c>
    </row>
    <row r="99" spans="1:62" x14ac:dyDescent="0.3">
      <c r="A99" s="348">
        <v>1977</v>
      </c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 t="s">
        <v>57</v>
      </c>
      <c r="M99" s="348"/>
      <c r="N99" s="348"/>
      <c r="O99" s="348"/>
      <c r="P99" s="348"/>
      <c r="S99" s="66" t="s">
        <v>39</v>
      </c>
      <c r="T99" s="67">
        <f t="shared" si="19"/>
        <v>0</v>
      </c>
      <c r="U99" s="67">
        <f t="shared" si="19"/>
        <v>0</v>
      </c>
      <c r="V99" s="67">
        <f t="shared" si="19"/>
        <v>1.1069935594446703</v>
      </c>
      <c r="W99" s="67">
        <f t="shared" si="19"/>
        <v>0.98352253489852004</v>
      </c>
      <c r="X99" s="67">
        <f t="shared" si="19"/>
        <v>6.3543637047554311</v>
      </c>
      <c r="AC99" t="s">
        <v>190</v>
      </c>
      <c r="AD99" s="55">
        <v>0.91954022988505701</v>
      </c>
      <c r="AE99" s="55">
        <v>0.95324911627188003</v>
      </c>
      <c r="AK99" t="s">
        <v>28</v>
      </c>
      <c r="AL99" s="17">
        <f t="shared" ref="AL99:AQ99" si="20">SUM(AL94:AL98)</f>
        <v>0.25311920475331334</v>
      </c>
      <c r="AM99" s="17">
        <f t="shared" si="20"/>
        <v>0.51529975643671455</v>
      </c>
      <c r="AN99" s="17">
        <f t="shared" si="20"/>
        <v>41.176394559948548</v>
      </c>
      <c r="AO99" s="17">
        <f t="shared" si="20"/>
        <v>46.545271530595073</v>
      </c>
      <c r="AP99" s="17">
        <f t="shared" si="20"/>
        <v>11.50991494826634</v>
      </c>
      <c r="AQ99" s="18">
        <f t="shared" si="20"/>
        <v>99.999999999999986</v>
      </c>
      <c r="AR99" s="13" t="s">
        <v>24</v>
      </c>
      <c r="AS99" s="12" t="s">
        <v>29</v>
      </c>
      <c r="AW99" s="1">
        <f>SUM(AW94:AW98)</f>
        <v>62328.770000000004</v>
      </c>
      <c r="AX99" s="17">
        <f>SUM(AX94:AX98)</f>
        <v>99.999999999999986</v>
      </c>
      <c r="BF99">
        <v>0.95224458245589505</v>
      </c>
      <c r="BG99" s="1">
        <v>36</v>
      </c>
      <c r="BH99">
        <f t="shared" si="13"/>
        <v>-0.92338761525908586</v>
      </c>
      <c r="BI99">
        <f t="shared" si="14"/>
        <v>-6.5394973427683731E-2</v>
      </c>
      <c r="BJ99">
        <f t="shared" si="11"/>
        <v>-6.2272009166359048E-2</v>
      </c>
    </row>
    <row r="100" spans="1:62" x14ac:dyDescent="0.3">
      <c r="A100" t="s">
        <v>315</v>
      </c>
      <c r="B100" t="s">
        <v>21</v>
      </c>
      <c r="I100" s="1" t="s">
        <v>53</v>
      </c>
      <c r="O100" s="350"/>
      <c r="P100" s="350"/>
      <c r="S100" t="s">
        <v>31</v>
      </c>
      <c r="T100" s="57">
        <f>I258</f>
        <v>98.260869565217391</v>
      </c>
      <c r="U100" s="57">
        <f>I259</f>
        <v>100</v>
      </c>
      <c r="V100" s="57">
        <f>I260</f>
        <v>100</v>
      </c>
      <c r="W100" s="57">
        <f>I261</f>
        <v>95.138888888888886</v>
      </c>
      <c r="X100" s="57">
        <f>I262</f>
        <v>82.377049180327873</v>
      </c>
      <c r="AC100" t="s">
        <v>191</v>
      </c>
      <c r="AD100" s="55">
        <v>0.93678160919540199</v>
      </c>
      <c r="AE100" s="55">
        <v>0.96086245308180396</v>
      </c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2.2106691542278789E-3</v>
      </c>
      <c r="AM100" s="18">
        <f>SQRT(SUM((AX94*AM94-AM94*AM94)/AU94,(AX95*AM95-AM95*AM95)/AU95,(AX96*AM96-AM96*AM96)/AU96,(AX97*AM97-AM97*AM97)/AU97,(AX98*AM98-AM98*AM98)/AU98))</f>
        <v>0</v>
      </c>
      <c r="AN100" s="18">
        <f>SQRT(SUM((AX94*AN94-AN94*AN94)/AU94,(AX95*AN95-AN95*AN95)/AU95,(AX96*AN96-AN96*AN96)/AU96,(AX97*AN97-AN97*AN97)/AU97,(AX98*AN98-AN98*AN98)/AU98))</f>
        <v>0.33058436605058539</v>
      </c>
      <c r="AO100" s="18">
        <f>SQRT(SUM((AX94*AO94-AO94*AO94)/AU94,(AX95*AO95-AO95*AO95)/AU95,(AX96*AO96-AO96*AO96)/AU96,(AX97*AO97-AO97*AO97)/AU97,(AX98*AO98-AO98*AO98)/AU98))</f>
        <v>0.76336475606491649</v>
      </c>
      <c r="AP100" s="18">
        <f>SQRT(SUM((AX94*AP94-AP94*AP94)/AU94,(AX95*AP95-AP95*AP95)/AU95,(AX96*AP96-AP96*AP96)/AU96,(AX97*AP97-AP97*AP97)/AU97,(AX98*AP98-AP98*AP98)/AU98))</f>
        <v>0.70141599007828537</v>
      </c>
      <c r="AQ100" s="1"/>
      <c r="AR100" s="56">
        <f>(AL94+AM95+AN96+AO97+AP98)/AQ99</f>
        <v>0.96148214544033306</v>
      </c>
      <c r="AS100" s="53">
        <f>SQRT(SUM(AY94:AY98))/100</f>
        <v>7.6920773711745584E-3</v>
      </c>
      <c r="AV100" s="1"/>
      <c r="AW100" s="9"/>
      <c r="BF100">
        <v>0.95228752918292203</v>
      </c>
      <c r="BG100" s="1">
        <v>37</v>
      </c>
      <c r="BH100">
        <f t="shared" si="13"/>
        <v>-0.90438222700361048</v>
      </c>
      <c r="BI100">
        <f t="shared" si="14"/>
        <v>-6.4048998195385523E-2</v>
      </c>
      <c r="BJ100">
        <f t="shared" si="11"/>
        <v>-6.0993062238125111E-2</v>
      </c>
    </row>
    <row r="101" spans="1:62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51</v>
      </c>
      <c r="S101" s="66" t="s">
        <v>39</v>
      </c>
      <c r="T101" s="67">
        <f>J258</f>
        <v>1.2243453990683941</v>
      </c>
      <c r="U101" s="67">
        <f>J259</f>
        <v>0</v>
      </c>
      <c r="V101" s="67">
        <f>J260</f>
        <v>0</v>
      </c>
      <c r="W101" s="67">
        <f>J261</f>
        <v>1.7983689383153578</v>
      </c>
      <c r="X101" s="67">
        <f>J262</f>
        <v>2.4442143716429219</v>
      </c>
      <c r="AC101" t="s">
        <v>192</v>
      </c>
      <c r="AD101" s="55">
        <v>0.92816091954022895</v>
      </c>
      <c r="AE101" s="55">
        <v>0.96027138805480405</v>
      </c>
      <c r="AK101" s="1" t="s">
        <v>30</v>
      </c>
      <c r="AL101" s="17">
        <f>AL94/AL99*100</f>
        <v>100</v>
      </c>
      <c r="AM101" s="17">
        <f>AM95/AM99*100</f>
        <v>100</v>
      </c>
      <c r="AN101" s="17">
        <f>AN96/AN99*100</f>
        <v>98.85075688832292</v>
      </c>
      <c r="AO101" s="17">
        <f>AO97/AO99*100</f>
        <v>95.489219231114959</v>
      </c>
      <c r="AP101" s="17">
        <f>AP98/AP99*100</f>
        <v>88.887724830540648</v>
      </c>
      <c r="AQ101" s="1"/>
      <c r="BF101">
        <v>0.95228836752229795</v>
      </c>
      <c r="BG101" s="1">
        <v>38</v>
      </c>
      <c r="BH101">
        <f t="shared" si="13"/>
        <v>-0.8856980216844178</v>
      </c>
      <c r="BI101">
        <f t="shared" si="14"/>
        <v>-6.2725769369078213E-2</v>
      </c>
      <c r="BJ101">
        <f t="shared" si="11"/>
        <v>-5.9733020514059654E-2</v>
      </c>
    </row>
    <row r="102" spans="1:62" x14ac:dyDescent="0.3">
      <c r="A102" t="s">
        <v>3</v>
      </c>
      <c r="B102" s="13">
        <v>0</v>
      </c>
      <c r="C102" s="26">
        <v>114</v>
      </c>
      <c r="D102" s="3">
        <v>0</v>
      </c>
      <c r="E102" s="3">
        <v>0</v>
      </c>
      <c r="F102" s="3">
        <v>1</v>
      </c>
      <c r="G102" s="4">
        <v>0</v>
      </c>
      <c r="H102" s="1">
        <f>SUM(C102:G102)</f>
        <v>115</v>
      </c>
      <c r="I102" s="10">
        <f>C102/H102</f>
        <v>0.99130434782608701</v>
      </c>
      <c r="J102" s="11">
        <f>1-I102</f>
        <v>8.6956521739129933E-3</v>
      </c>
      <c r="K102">
        <f>H102-C107</f>
        <v>1</v>
      </c>
      <c r="N102" s="10">
        <f>2*(C108*I102)/(C108+I102)</f>
        <v>0.99563318777292575</v>
      </c>
      <c r="S102" s="66" t="s">
        <v>51</v>
      </c>
      <c r="T102" s="67">
        <f>N247*100</f>
        <v>99.122807017543863</v>
      </c>
      <c r="U102" s="67">
        <f>N248*100</f>
        <v>100</v>
      </c>
      <c r="V102" s="67">
        <f>N249*100</f>
        <v>98.61495844875347</v>
      </c>
      <c r="W102" s="67">
        <f>N250*100</f>
        <v>84.829721362229108</v>
      </c>
      <c r="X102" s="67">
        <f>N251*100</f>
        <v>89.333333333333329</v>
      </c>
      <c r="AC102" t="s">
        <v>193</v>
      </c>
      <c r="AD102" s="55">
        <v>0.92097701149425204</v>
      </c>
      <c r="AE102" s="55">
        <v>0.95302020385231101</v>
      </c>
      <c r="AI102" s="78"/>
      <c r="AK102" s="16" t="s">
        <v>39</v>
      </c>
      <c r="AL102" s="18">
        <f>SQRT((AL105+AL106)/(AL99*AL99))</f>
        <v>0</v>
      </c>
      <c r="AM102" s="18">
        <f>SQRT((AM105+AM106)/(AM99*AM99))</f>
        <v>0</v>
      </c>
      <c r="AN102" s="18">
        <f>SQRT((AN105+AN106)/(AN99*AN99))</f>
        <v>0.79631186619877692</v>
      </c>
      <c r="AO102" s="18">
        <f>SQRT((AO105+AO106)/(AO99*AO99))</f>
        <v>0.91866069291988228</v>
      </c>
      <c r="AP102" s="18">
        <f>SQRT((AP105+AP106)/(AP99*AP99))</f>
        <v>5.7194625793975327</v>
      </c>
      <c r="AQ102" s="1"/>
      <c r="AR102" s="14"/>
      <c r="BF102">
        <v>0.95240961429590953</v>
      </c>
      <c r="BG102" s="1">
        <v>39</v>
      </c>
      <c r="BH102">
        <f t="shared" si="13"/>
        <v>-0.8673180120699755</v>
      </c>
      <c r="BI102">
        <f t="shared" si="14"/>
        <v>-6.1424083900836604E-2</v>
      </c>
      <c r="BJ102">
        <f t="shared" si="11"/>
        <v>-5.8500888056475374E-2</v>
      </c>
    </row>
    <row r="103" spans="1:62" x14ac:dyDescent="0.3">
      <c r="A103" t="s">
        <v>4</v>
      </c>
      <c r="B103" s="13">
        <v>1</v>
      </c>
      <c r="C103" s="5">
        <v>0</v>
      </c>
      <c r="D103" s="27">
        <v>15</v>
      </c>
      <c r="E103" s="1">
        <v>0</v>
      </c>
      <c r="F103" s="1">
        <v>0</v>
      </c>
      <c r="G103" s="6">
        <v>0</v>
      </c>
      <c r="H103" s="1">
        <f>SUM(C103:G103)</f>
        <v>15</v>
      </c>
      <c r="I103" s="10">
        <f>D103/H103</f>
        <v>1</v>
      </c>
      <c r="J103" s="11">
        <f>1-I103</f>
        <v>0</v>
      </c>
      <c r="K103">
        <f>H103-D107</f>
        <v>0</v>
      </c>
      <c r="N103" s="10">
        <f>2*(D108*I103)/(D108+I103)</f>
        <v>1</v>
      </c>
      <c r="R103" s="16" t="s">
        <v>61</v>
      </c>
      <c r="S103" t="s">
        <v>9</v>
      </c>
      <c r="T103" s="30">
        <f>N258</f>
        <v>156.27000000000001</v>
      </c>
      <c r="U103" s="30">
        <f>N259</f>
        <v>310.38</v>
      </c>
      <c r="V103" s="30">
        <f>N260</f>
        <v>25167.07</v>
      </c>
      <c r="W103" s="30">
        <f>N261</f>
        <v>29090</v>
      </c>
      <c r="X103" s="30">
        <f>N262</f>
        <v>7605.06</v>
      </c>
      <c r="Z103" t="s">
        <v>36</v>
      </c>
      <c r="AA103" s="1">
        <f>N263</f>
        <v>62328.78</v>
      </c>
      <c r="AC103" t="s">
        <v>194</v>
      </c>
      <c r="AD103" s="55">
        <v>0.92528735632183901</v>
      </c>
      <c r="AE103" s="55">
        <v>0.95438646877887001</v>
      </c>
      <c r="AK103" s="1" t="s">
        <v>37</v>
      </c>
      <c r="AL103" s="18">
        <f>100-AL101</f>
        <v>0</v>
      </c>
      <c r="AM103" s="18">
        <f>100-AM101</f>
        <v>0</v>
      </c>
      <c r="AN103" s="18">
        <f>100-AN101</f>
        <v>1.1492431116770803</v>
      </c>
      <c r="AO103" s="18">
        <f>100-AO101</f>
        <v>4.5107807688850414</v>
      </c>
      <c r="AP103" s="18">
        <f>100-AP101</f>
        <v>11.112275169459352</v>
      </c>
      <c r="BF103">
        <v>0.95253209276724504</v>
      </c>
      <c r="BG103" s="1">
        <v>40</v>
      </c>
      <c r="BH103">
        <f t="shared" si="13"/>
        <v>-0.84922643593033087</v>
      </c>
      <c r="BI103">
        <f t="shared" si="14"/>
        <v>-6.0142825498226318E-2</v>
      </c>
      <c r="BJ103">
        <f t="shared" si="11"/>
        <v>-5.7287971436760739E-2</v>
      </c>
    </row>
    <row r="104" spans="1:62" ht="15.6" x14ac:dyDescent="0.35">
      <c r="A104" t="s">
        <v>5</v>
      </c>
      <c r="B104" s="13">
        <v>2</v>
      </c>
      <c r="C104" s="5">
        <v>0</v>
      </c>
      <c r="D104" s="1">
        <v>0</v>
      </c>
      <c r="E104" s="27">
        <v>178</v>
      </c>
      <c r="F104" s="1">
        <v>0</v>
      </c>
      <c r="G104" s="6">
        <v>0</v>
      </c>
      <c r="H104" s="1">
        <f>SUM(C104:G104)</f>
        <v>178</v>
      </c>
      <c r="I104" s="10">
        <f>E104/H104</f>
        <v>1</v>
      </c>
      <c r="J104" s="11">
        <f>1-I104</f>
        <v>0</v>
      </c>
      <c r="K104">
        <f>H104-E107</f>
        <v>-3</v>
      </c>
      <c r="N104" s="10">
        <f>2*(E108*I104)/(E108+I104)</f>
        <v>0.99164345403899734</v>
      </c>
      <c r="R104" s="16" t="s">
        <v>318</v>
      </c>
      <c r="S104" t="s">
        <v>63</v>
      </c>
      <c r="T104" s="57">
        <f>$AA103*T96/100</f>
        <v>153.5522608695652</v>
      </c>
      <c r="U104" s="57">
        <f>$AA103*U96/100</f>
        <v>310.37999999999994</v>
      </c>
      <c r="V104" s="57">
        <f>$AA103*V96/100</f>
        <v>25664.602613843348</v>
      </c>
      <c r="W104" s="57">
        <f>$AA103*W96/100</f>
        <v>28925.351664449194</v>
      </c>
      <c r="X104" s="57">
        <f>$AA103*X96/100</f>
        <v>7274.8934608378868</v>
      </c>
      <c r="Z104" t="s">
        <v>36</v>
      </c>
      <c r="AA104" s="25">
        <f>SUM(T104:X104)</f>
        <v>62328.779999999992</v>
      </c>
      <c r="AC104" t="s">
        <v>195</v>
      </c>
      <c r="AD104" s="55">
        <v>0.91954022988505701</v>
      </c>
      <c r="AE104" s="55">
        <v>0.95293917337843903</v>
      </c>
      <c r="AI104" s="78"/>
      <c r="AK104" s="1" t="s">
        <v>25</v>
      </c>
      <c r="AL104" s="1">
        <f>AL88</f>
        <v>114</v>
      </c>
      <c r="AM104" s="1">
        <f>AM88</f>
        <v>15</v>
      </c>
      <c r="AN104" s="1">
        <f>AN88</f>
        <v>182</v>
      </c>
      <c r="AO104" s="1">
        <f>AO88</f>
        <v>181</v>
      </c>
      <c r="AP104" s="1">
        <f>AP88</f>
        <v>204</v>
      </c>
      <c r="BF104">
        <v>0.95273138340709695</v>
      </c>
      <c r="BG104" s="1">
        <v>41</v>
      </c>
      <c r="BH104">
        <f t="shared" si="13"/>
        <v>-0.83140863705266987</v>
      </c>
      <c r="BI104">
        <f t="shared" si="14"/>
        <v>-5.8880956197740281E-2</v>
      </c>
      <c r="BJ104">
        <f t="shared" si="11"/>
        <v>-5.6097734854605778E-2</v>
      </c>
    </row>
    <row r="105" spans="1:62" x14ac:dyDescent="0.3">
      <c r="A105" t="s">
        <v>6</v>
      </c>
      <c r="B105" s="13">
        <v>3</v>
      </c>
      <c r="C105" s="5">
        <v>0</v>
      </c>
      <c r="D105" s="1">
        <v>0</v>
      </c>
      <c r="E105" s="1">
        <v>1</v>
      </c>
      <c r="F105" s="27">
        <v>139</v>
      </c>
      <c r="G105" s="6">
        <v>4</v>
      </c>
      <c r="H105" s="1">
        <f>SUM(C105:G105)</f>
        <v>144</v>
      </c>
      <c r="I105" s="10">
        <f>F105/H105</f>
        <v>0.96527777777777779</v>
      </c>
      <c r="J105" s="11">
        <f>1-I105</f>
        <v>3.472222222222221E-2</v>
      </c>
      <c r="K105">
        <f>H105-F107</f>
        <v>-36</v>
      </c>
      <c r="N105" s="10">
        <f>2*(F108*I105)/(F108+I105)</f>
        <v>0.85802469135802473</v>
      </c>
      <c r="R105" s="66"/>
      <c r="S105" s="66" t="s">
        <v>62</v>
      </c>
      <c r="T105" s="67">
        <f>$AA103*T97/100</f>
        <v>1.9049477635927272</v>
      </c>
      <c r="U105" s="67">
        <f>$AA103*U97/100</f>
        <v>0</v>
      </c>
      <c r="V105" s="67">
        <f>$AA103*V97/100</f>
        <v>288.72854809210253</v>
      </c>
      <c r="W105" s="67">
        <f>$AA103*W97/100</f>
        <v>551.60903544753171</v>
      </c>
      <c r="X105" s="67">
        <f>$AA103*X97/100</f>
        <v>481.01381958342535</v>
      </c>
      <c r="AA105" s="1"/>
      <c r="AC105" t="s">
        <v>196</v>
      </c>
      <c r="AD105" s="55">
        <v>0.92816091954022895</v>
      </c>
      <c r="AE105" s="55">
        <v>0.95010185236515099</v>
      </c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0</v>
      </c>
      <c r="AN105" s="18">
        <f>(AX96*AX96*(100-AN101)*(100-AN101)*(AR96)*(100-AR96))/((AU96-1)*100)</f>
        <v>0</v>
      </c>
      <c r="AO105" s="18">
        <f>(AX97*AX97*(100-AO101)*(100-AO101)*(AR97)*(100-AR97))/((AU97-1)*100)</f>
        <v>1011.0728022864058</v>
      </c>
      <c r="AP105" s="18">
        <f>(AX98*AX98*(100-AP101)*(100-AP101)*(AR98)*(100-AR98))/((AU98-1)*100)</f>
        <v>1170.173316650433</v>
      </c>
      <c r="BF105">
        <v>0.95280423483653898</v>
      </c>
      <c r="BG105" s="1">
        <v>42</v>
      </c>
      <c r="BH105">
        <f t="shared" si="13"/>
        <v>-0.81385096037908278</v>
      </c>
      <c r="BI105">
        <f t="shared" si="14"/>
        <v>-5.7637508938380051E-2</v>
      </c>
      <c r="BJ105">
        <f t="shared" si="11"/>
        <v>-5.4917262601917378E-2</v>
      </c>
    </row>
    <row r="106" spans="1:62" x14ac:dyDescent="0.3">
      <c r="A106" t="s">
        <v>7</v>
      </c>
      <c r="B106" s="13">
        <v>4</v>
      </c>
      <c r="C106" s="7">
        <v>0</v>
      </c>
      <c r="D106" s="8">
        <v>0</v>
      </c>
      <c r="E106" s="8">
        <v>2</v>
      </c>
      <c r="F106" s="8">
        <v>40</v>
      </c>
      <c r="G106" s="28">
        <v>202</v>
      </c>
      <c r="H106" s="1">
        <f>SUM(C106:G106)</f>
        <v>244</v>
      </c>
      <c r="I106" s="10">
        <f>G106/H106</f>
        <v>0.82786885245901642</v>
      </c>
      <c r="J106" s="11">
        <f>1-I106</f>
        <v>0.17213114754098358</v>
      </c>
      <c r="K106">
        <f>H106-G107</f>
        <v>38</v>
      </c>
      <c r="N106" s="10">
        <f>2*(G108*I106)/(G108+I106)</f>
        <v>0.8977777777777779</v>
      </c>
      <c r="R106" t="s">
        <v>97</v>
      </c>
      <c r="S106" t="s">
        <v>28</v>
      </c>
      <c r="T106" s="57">
        <f t="shared" ref="T106:X109" si="21">C292</f>
        <v>0.25483688455936787</v>
      </c>
      <c r="U106" s="57">
        <f t="shared" si="21"/>
        <v>0.43615492492471775</v>
      </c>
      <c r="V106" s="57">
        <f t="shared" si="21"/>
        <v>42.249452647094856</v>
      </c>
      <c r="W106" s="57">
        <f t="shared" si="21"/>
        <v>44.435597270753924</v>
      </c>
      <c r="X106" s="57">
        <f t="shared" si="21"/>
        <v>12.623958272667128</v>
      </c>
      <c r="Y106" s="60"/>
      <c r="Z106" s="74"/>
      <c r="AA106" s="12"/>
      <c r="AC106" t="s">
        <v>197</v>
      </c>
      <c r="AD106" s="55">
        <v>0.91954022988505701</v>
      </c>
      <c r="AE106" s="55">
        <v>0.95544531849787095</v>
      </c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0</v>
      </c>
      <c r="AN106" s="18">
        <f>AN101*AN101*(SUM((AQ94*AN94*(1-AN83/AQ83))/(AQ83-1),(AQ95*AN95*(1-AN84/AQ84))/(AQ84-1), (AQ97*AN97*(1-AN86/AQ86))/(AQ86-1),(AQ98*AN98*(1-AN87/AQ87))/(AQ87-1)))</f>
        <v>1075.1350201844607</v>
      </c>
      <c r="AO106" s="18">
        <f>AO101*AO101*(SUM((AQ94*AO94*(1-AO83/AQ83))/(AQ83-1),(AQ95*AO95*(1-AO84/AQ84))/(AQ84-1), (AQ96*AO96*(1-AO85/AQ85))/(AQ85-1),(AQ98*AO98*(1-AO87/AQ87))/(AQ87-1)))</f>
        <v>817.2859088113637</v>
      </c>
      <c r="AP106" s="18">
        <f>AP101*AP101*(SUM((AQ94*AP94*(1-AP83/AQ83))/(AQ83-1),(AQ95*AP95*(1-AP84/AQ84))/(AQ84-1), (AQ96*AP96*(1-AP85/AQ85))/(AQ85-1),(AQ97*AP97*(1-AP86/AQ86))/(AQ86-1)))</f>
        <v>3163.4850788658428</v>
      </c>
      <c r="BF106">
        <v>0.95280461954130902</v>
      </c>
      <c r="BG106" s="1">
        <v>43</v>
      </c>
      <c r="BH106">
        <f t="shared" si="13"/>
        <v>-0.79654065929088214</v>
      </c>
      <c r="BI106">
        <f t="shared" si="14"/>
        <v>-5.6411580995464693E-2</v>
      </c>
      <c r="BJ106">
        <f t="shared" si="11"/>
        <v>-5.3749214968107473E-2</v>
      </c>
    </row>
    <row r="107" spans="1:62" ht="15.6" x14ac:dyDescent="0.35">
      <c r="B107" s="1" t="s">
        <v>19</v>
      </c>
      <c r="C107" s="1">
        <f>SUM(C102:C106)</f>
        <v>114</v>
      </c>
      <c r="D107" s="1">
        <f>SUM(D102:D106)</f>
        <v>15</v>
      </c>
      <c r="E107" s="1">
        <f>SUM(E102:E106)</f>
        <v>181</v>
      </c>
      <c r="F107" s="1">
        <f>SUM(F102:F106)</f>
        <v>180</v>
      </c>
      <c r="G107" s="1">
        <f>SUM(G102:G106)</f>
        <v>206</v>
      </c>
      <c r="H107" s="1">
        <f>SUM(H101:H106)</f>
        <v>696</v>
      </c>
      <c r="I107" s="13" t="s">
        <v>12</v>
      </c>
      <c r="N107" s="16" t="s">
        <v>36</v>
      </c>
      <c r="S107" s="66" t="s">
        <v>39</v>
      </c>
      <c r="T107" s="67">
        <f t="shared" si="21"/>
        <v>2.2256708676212968E-3</v>
      </c>
      <c r="U107" s="67">
        <f t="shared" si="21"/>
        <v>0</v>
      </c>
      <c r="V107" s="67">
        <f t="shared" si="21"/>
        <v>0.44805011667541711</v>
      </c>
      <c r="W107" s="67">
        <f t="shared" si="21"/>
        <v>0.85544136925153214</v>
      </c>
      <c r="X107" s="67">
        <f t="shared" si="21"/>
        <v>0.75110074146611594</v>
      </c>
      <c r="AC107" t="s">
        <v>198</v>
      </c>
      <c r="AD107" s="55">
        <v>0.92816091954022895</v>
      </c>
      <c r="AE107" s="55">
        <v>0.96140658144888302</v>
      </c>
      <c r="BF107">
        <v>0.95290061067439702</v>
      </c>
      <c r="BG107" s="1">
        <v>44</v>
      </c>
      <c r="BH107">
        <f t="shared" si="13"/>
        <v>-0.77946581337961318</v>
      </c>
      <c r="BI107">
        <f t="shared" si="14"/>
        <v>-5.5202328157114761E-2</v>
      </c>
      <c r="BJ107">
        <f t="shared" si="11"/>
        <v>-5.2602332211563116E-2</v>
      </c>
    </row>
    <row r="108" spans="1:62" x14ac:dyDescent="0.3">
      <c r="A108" s="1" t="s">
        <v>316</v>
      </c>
      <c r="B108" s="1" t="s">
        <v>2</v>
      </c>
      <c r="C108" s="10">
        <f>C102/C107</f>
        <v>1</v>
      </c>
      <c r="D108" s="10">
        <f>D103/D107</f>
        <v>1</v>
      </c>
      <c r="E108" s="10">
        <f>E104/E107</f>
        <v>0.98342541436464093</v>
      </c>
      <c r="F108" s="10">
        <f>F105/F107</f>
        <v>0.77222222222222225</v>
      </c>
      <c r="G108" s="10">
        <f>G106/G107</f>
        <v>0.98058252427184467</v>
      </c>
      <c r="H108" s="10"/>
      <c r="I108" s="14">
        <f>(C102+D103+E104+F105+G106)/H107</f>
        <v>0.93103448275862066</v>
      </c>
      <c r="S108" t="s">
        <v>30</v>
      </c>
      <c r="T108" s="57">
        <f t="shared" si="21"/>
        <v>100</v>
      </c>
      <c r="U108" s="57">
        <f t="shared" si="21"/>
        <v>100</v>
      </c>
      <c r="V108" s="57">
        <f t="shared" si="21"/>
        <v>98.017874969893455</v>
      </c>
      <c r="W108" s="57">
        <f t="shared" si="21"/>
        <v>95.451821664758185</v>
      </c>
      <c r="X108" s="57">
        <f t="shared" si="21"/>
        <v>87.737779256038124</v>
      </c>
      <c r="AC108" t="s">
        <v>199</v>
      </c>
      <c r="AD108" s="55">
        <v>0.92385057471264298</v>
      </c>
      <c r="AE108" s="55">
        <v>0.95637132593005003</v>
      </c>
      <c r="AJ108" s="118" t="s">
        <v>352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  <c r="BF108">
        <v>0.95293917337843903</v>
      </c>
      <c r="BG108" s="1">
        <v>45</v>
      </c>
      <c r="BH108">
        <f t="shared" si="13"/>
        <v>-0.76261525530438468</v>
      </c>
      <c r="BI108">
        <f t="shared" si="14"/>
        <v>-5.400895954423595E-2</v>
      </c>
      <c r="BJ108">
        <f t="shared" si="11"/>
        <v>-5.1467253263113764E-2</v>
      </c>
    </row>
    <row r="109" spans="1:62" x14ac:dyDescent="0.3">
      <c r="B109" s="1" t="s">
        <v>14</v>
      </c>
      <c r="C109" s="11">
        <f>1-C108</f>
        <v>0</v>
      </c>
      <c r="D109" s="11">
        <f>1-D108</f>
        <v>0</v>
      </c>
      <c r="E109" s="11">
        <f>1-E108</f>
        <v>1.6574585635359074E-2</v>
      </c>
      <c r="F109" s="11">
        <f>1-F108</f>
        <v>0.22777777777777775</v>
      </c>
      <c r="G109" s="11">
        <f>1-G108</f>
        <v>1.9417475728155331E-2</v>
      </c>
      <c r="S109" s="66" t="s">
        <v>39</v>
      </c>
      <c r="T109" s="67">
        <f t="shared" si="21"/>
        <v>0</v>
      </c>
      <c r="U109" s="67">
        <f t="shared" si="21"/>
        <v>0</v>
      </c>
      <c r="V109" s="67">
        <f t="shared" si="21"/>
        <v>1.0430084056304847</v>
      </c>
      <c r="W109" s="67">
        <f t="shared" si="21"/>
        <v>1.0518545456838877</v>
      </c>
      <c r="X109" s="67">
        <f t="shared" si="21"/>
        <v>5.667658784261369</v>
      </c>
      <c r="AC109" t="s">
        <v>200</v>
      </c>
      <c r="AD109" s="55">
        <v>0.91235632183908</v>
      </c>
      <c r="AE109" s="55">
        <v>0.95393761777899899</v>
      </c>
      <c r="AJ109" s="106" t="s">
        <v>637</v>
      </c>
      <c r="AK109" s="107" t="s">
        <v>28</v>
      </c>
      <c r="AL109" s="108">
        <f t="shared" ref="AL109:AP112" si="22">AL99</f>
        <v>0.25311920475331334</v>
      </c>
      <c r="AM109" s="108">
        <f t="shared" si="22"/>
        <v>0.51529975643671455</v>
      </c>
      <c r="AN109" s="108">
        <f t="shared" si="22"/>
        <v>41.176394559948548</v>
      </c>
      <c r="AO109" s="108">
        <f t="shared" si="22"/>
        <v>46.545271530595073</v>
      </c>
      <c r="AP109" s="108">
        <f t="shared" si="22"/>
        <v>11.50991494826634</v>
      </c>
      <c r="AQ109" s="107"/>
      <c r="AR109" s="228" t="s">
        <v>72</v>
      </c>
      <c r="AS109" s="229">
        <f>AR100</f>
        <v>0.96148214544033306</v>
      </c>
      <c r="BF109">
        <v>0.95302020385231101</v>
      </c>
      <c r="BG109" s="1">
        <v>46</v>
      </c>
      <c r="BH109">
        <f t="shared" si="13"/>
        <v>-0.74597850554896161</v>
      </c>
      <c r="BI109">
        <f t="shared" si="14"/>
        <v>-5.2830732989969618E-2</v>
      </c>
      <c r="BJ109">
        <f t="shared" si="11"/>
        <v>-5.0348755923767856E-2</v>
      </c>
    </row>
    <row r="110" spans="1:62" x14ac:dyDescent="0.3">
      <c r="C110" s="2"/>
      <c r="S110" s="15" t="s">
        <v>31</v>
      </c>
      <c r="T110" s="71">
        <f>I287</f>
        <v>99.130434782608688</v>
      </c>
      <c r="U110" s="71">
        <f>I288</f>
        <v>100</v>
      </c>
      <c r="V110" s="71">
        <f>I289</f>
        <v>100</v>
      </c>
      <c r="W110" s="71">
        <f>I290</f>
        <v>95.138888888888886</v>
      </c>
      <c r="X110" s="71">
        <f>I291</f>
        <v>83.196721311475414</v>
      </c>
      <c r="AC110" t="s">
        <v>201</v>
      </c>
      <c r="AD110" s="55">
        <v>0.91810344827586199</v>
      </c>
      <c r="AE110" s="55">
        <v>0.95533795925797804</v>
      </c>
      <c r="AI110" s="78"/>
      <c r="AJ110" s="107"/>
      <c r="AK110" s="109" t="s">
        <v>39</v>
      </c>
      <c r="AL110" s="110">
        <f t="shared" si="22"/>
        <v>2.2106691542278789E-3</v>
      </c>
      <c r="AM110" s="110">
        <f t="shared" si="22"/>
        <v>0</v>
      </c>
      <c r="AN110" s="110">
        <f t="shared" si="22"/>
        <v>0.33058436605058539</v>
      </c>
      <c r="AO110" s="110">
        <f t="shared" si="22"/>
        <v>0.76336475606491649</v>
      </c>
      <c r="AP110" s="110">
        <f t="shared" si="22"/>
        <v>0.70141599007828537</v>
      </c>
      <c r="AQ110" s="107"/>
      <c r="AR110" s="228" t="s">
        <v>29</v>
      </c>
      <c r="AS110" s="230">
        <f>AS100</f>
        <v>7.6920773711745584E-3</v>
      </c>
      <c r="AX110" s="103" t="s">
        <v>363</v>
      </c>
      <c r="BF110">
        <v>0.95324911627188003</v>
      </c>
      <c r="BG110" s="1">
        <v>47</v>
      </c>
      <c r="BH110">
        <f t="shared" si="13"/>
        <v>-0.7295457140694851</v>
      </c>
      <c r="BI110">
        <f t="shared" si="14"/>
        <v>-5.1666950907142448E-2</v>
      </c>
      <c r="BJ110">
        <f t="shared" si="11"/>
        <v>-4.9251475292696148E-2</v>
      </c>
    </row>
    <row r="111" spans="1:62" ht="15.6" x14ac:dyDescent="0.35">
      <c r="A111" t="s">
        <v>317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0.8695652173913081</v>
      </c>
      <c r="U111" s="76">
        <f>J288</f>
        <v>0</v>
      </c>
      <c r="V111" s="76">
        <f>J289</f>
        <v>0</v>
      </c>
      <c r="W111" s="76">
        <f>J290</f>
        <v>1.7983689383153578</v>
      </c>
      <c r="X111" s="76">
        <f>J291</f>
        <v>2.398540103105788</v>
      </c>
      <c r="AC111" t="s">
        <v>155</v>
      </c>
      <c r="AD111" s="55">
        <v>0.91954022988505701</v>
      </c>
      <c r="AE111" s="55">
        <v>0.95058513668939404</v>
      </c>
      <c r="AJ111" s="107"/>
      <c r="AK111" s="107" t="s">
        <v>30</v>
      </c>
      <c r="AL111" s="108">
        <f t="shared" si="22"/>
        <v>100</v>
      </c>
      <c r="AM111" s="108">
        <f t="shared" si="22"/>
        <v>100</v>
      </c>
      <c r="AN111" s="108">
        <f t="shared" si="22"/>
        <v>98.85075688832292</v>
      </c>
      <c r="AO111" s="108">
        <f t="shared" si="22"/>
        <v>95.489219231114959</v>
      </c>
      <c r="AP111" s="108">
        <f t="shared" si="22"/>
        <v>88.887724830540648</v>
      </c>
      <c r="AQ111" s="107"/>
      <c r="AR111" s="107"/>
      <c r="AS111" s="107"/>
      <c r="AU111" s="103" t="s">
        <v>363</v>
      </c>
      <c r="AW111" s="101"/>
      <c r="AX111" s="1" t="s">
        <v>357</v>
      </c>
      <c r="AY111" s="96"/>
      <c r="BF111">
        <v>0.95326110606628855</v>
      </c>
      <c r="BG111" s="1">
        <v>48</v>
      </c>
      <c r="BH111">
        <f t="shared" si="13"/>
        <v>-0.7133076079711943</v>
      </c>
      <c r="BI111">
        <f t="shared" si="14"/>
        <v>-5.0516956582694325E-2</v>
      </c>
      <c r="BJ111">
        <f t="shared" si="11"/>
        <v>-4.8155849907121871E-2</v>
      </c>
    </row>
    <row r="112" spans="1:62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51</v>
      </c>
      <c r="T112" s="67">
        <f>N276*100</f>
        <v>99.563318777292579</v>
      </c>
      <c r="U112" s="67">
        <f>N277*100</f>
        <v>100</v>
      </c>
      <c r="V112" s="67">
        <f>N278*100</f>
        <v>98.342541436464074</v>
      </c>
      <c r="W112" s="67">
        <f>N279*100</f>
        <v>85.893416927899665</v>
      </c>
      <c r="X112" s="67">
        <f>N280*100</f>
        <v>89.82300884955751</v>
      </c>
      <c r="AC112" t="s">
        <v>202</v>
      </c>
      <c r="AD112" s="55">
        <v>0.92241379310344795</v>
      </c>
      <c r="AE112" s="55">
        <v>0.95848660802246199</v>
      </c>
      <c r="AI112" s="78"/>
      <c r="AJ112" s="107"/>
      <c r="AK112" s="109" t="s">
        <v>39</v>
      </c>
      <c r="AL112" s="110">
        <f t="shared" si="22"/>
        <v>0</v>
      </c>
      <c r="AM112" s="110">
        <f t="shared" si="22"/>
        <v>0</v>
      </c>
      <c r="AN112" s="110">
        <f t="shared" si="22"/>
        <v>0.79631186619877692</v>
      </c>
      <c r="AO112" s="110">
        <f t="shared" si="22"/>
        <v>0.91866069291988228</v>
      </c>
      <c r="AP112" s="110">
        <f t="shared" si="22"/>
        <v>5.7194625793975327</v>
      </c>
      <c r="AQ112" s="107"/>
      <c r="AR112" s="107"/>
      <c r="AS112" s="107"/>
      <c r="AU112" s="93"/>
      <c r="AV112" s="1" t="s">
        <v>357</v>
      </c>
      <c r="AW112" s="97"/>
      <c r="AX112" s="71" t="s">
        <v>358</v>
      </c>
      <c r="AY112" s="95"/>
      <c r="BF112">
        <v>0.95349380371483605</v>
      </c>
      <c r="BG112" s="1">
        <v>49</v>
      </c>
      <c r="BH112">
        <f t="shared" si="13"/>
        <v>-0.69725544447594368</v>
      </c>
      <c r="BI112">
        <f t="shared" si="14"/>
        <v>-4.9380130846804184E-2</v>
      </c>
      <c r="BJ112">
        <f t="shared" si="11"/>
        <v>-4.7083648789055632E-2</v>
      </c>
    </row>
    <row r="113" spans="1:62" x14ac:dyDescent="0.3">
      <c r="A113" t="s">
        <v>3</v>
      </c>
      <c r="B113" s="13">
        <v>0</v>
      </c>
      <c r="C113" s="29">
        <f>(C102/$L113)*$O113</f>
        <v>0.25369172398647805</v>
      </c>
      <c r="D113" s="31">
        <f>(D102/$L113)*$O113</f>
        <v>0</v>
      </c>
      <c r="E113" s="31">
        <f>(E102/$L113)*$O113</f>
        <v>0</v>
      </c>
      <c r="F113" s="31">
        <f>(F102/$L113)*$O113</f>
        <v>2.2253659998813864E-3</v>
      </c>
      <c r="G113" s="32">
        <f>(G102/$L113)*$O113</f>
        <v>0</v>
      </c>
      <c r="H113" s="17">
        <f>SUM(C113:G113)</f>
        <v>0.25591708998635943</v>
      </c>
      <c r="I113" s="17">
        <f>C113/H113*100</f>
        <v>99.130434782608702</v>
      </c>
      <c r="J113" s="17">
        <f>SQRT(I113*(100-I113)/(L113-1))</f>
        <v>0.86956521739130099</v>
      </c>
      <c r="K113" s="18">
        <f>100-I113</f>
        <v>0.86956521739129755</v>
      </c>
      <c r="L113" s="1">
        <f>H102</f>
        <v>115</v>
      </c>
      <c r="M113">
        <v>0</v>
      </c>
      <c r="N113" s="1">
        <v>159.51</v>
      </c>
      <c r="O113" s="17">
        <f>N113/N118*100</f>
        <v>0.25591708998635943</v>
      </c>
      <c r="P113" s="52">
        <f>((O113*O113*(I113/100)*(K113/100))/(L113-1))</f>
        <v>4.9522538334280444E-6</v>
      </c>
      <c r="R113" s="16" t="s">
        <v>61</v>
      </c>
      <c r="S113" t="s">
        <v>9</v>
      </c>
      <c r="T113" s="30">
        <f>N287</f>
        <v>160.22999999999999</v>
      </c>
      <c r="U113" s="30">
        <f>N288</f>
        <v>271.85000000000002</v>
      </c>
      <c r="V113" s="30">
        <f>N289</f>
        <v>25811.599999999999</v>
      </c>
      <c r="W113" s="30">
        <f>N290</f>
        <v>27787.26</v>
      </c>
      <c r="X113" s="30">
        <f>N291</f>
        <v>8297.83</v>
      </c>
      <c r="Z113" t="s">
        <v>36</v>
      </c>
      <c r="AA113" s="1">
        <f>N292</f>
        <v>62328.770000000004</v>
      </c>
      <c r="AC113" t="s">
        <v>156</v>
      </c>
      <c r="AD113" s="55">
        <v>0.93534482758620596</v>
      </c>
      <c r="AE113" s="55">
        <v>0.95273138340709695</v>
      </c>
      <c r="AJ113" s="107"/>
      <c r="AK113" s="111" t="s">
        <v>31</v>
      </c>
      <c r="AL113" s="112">
        <f>AR94</f>
        <v>99.130434782608702</v>
      </c>
      <c r="AM113" s="112">
        <f>AR95</f>
        <v>100</v>
      </c>
      <c r="AN113" s="112">
        <f>AR96</f>
        <v>100</v>
      </c>
      <c r="AO113" s="112">
        <f>AR97</f>
        <v>96.527777777777786</v>
      </c>
      <c r="AP113" s="112">
        <f>AR98</f>
        <v>81.967213114754102</v>
      </c>
      <c r="AQ113" s="107"/>
      <c r="AR113" s="107"/>
      <c r="AS113" s="107"/>
      <c r="AU113" s="94"/>
      <c r="AV113" s="71" t="s">
        <v>360</v>
      </c>
      <c r="AW113" s="98"/>
      <c r="AX113" s="71" t="s">
        <v>359</v>
      </c>
      <c r="AY113" s="93"/>
      <c r="BF113">
        <v>0.95356973670984801</v>
      </c>
      <c r="BG113" s="1">
        <v>50</v>
      </c>
      <c r="BH113">
        <f t="shared" si="13"/>
        <v>-0.68138096854583952</v>
      </c>
      <c r="BI113">
        <f t="shared" si="14"/>
        <v>-4.8255889071765555E-2</v>
      </c>
      <c r="BJ113">
        <f t="shared" si="11"/>
        <v>-4.6015355436863109E-2</v>
      </c>
    </row>
    <row r="114" spans="1:62" ht="15.6" x14ac:dyDescent="0.35">
      <c r="A114" t="s">
        <v>4</v>
      </c>
      <c r="B114" s="13">
        <v>1</v>
      </c>
      <c r="C114" s="33">
        <f t="shared" ref="C114:G117" si="23">(C103/$L114)*$O114</f>
        <v>0</v>
      </c>
      <c r="D114" s="34">
        <f t="shared" si="23"/>
        <v>0.60716734709070197</v>
      </c>
      <c r="E114" s="19">
        <f t="shared" si="23"/>
        <v>0</v>
      </c>
      <c r="F114" s="18">
        <f t="shared" si="23"/>
        <v>0</v>
      </c>
      <c r="G114" s="20">
        <f t="shared" si="23"/>
        <v>0</v>
      </c>
      <c r="H114" s="17">
        <f>SUM(C114:G114)</f>
        <v>0.60716734709070197</v>
      </c>
      <c r="I114" s="17">
        <f>D114/H114*100</f>
        <v>100</v>
      </c>
      <c r="J114" s="17">
        <f>SQRT(I114*(100-I114)/(L114-1))</f>
        <v>0</v>
      </c>
      <c r="K114" s="18">
        <f>100-I114</f>
        <v>0</v>
      </c>
      <c r="L114" s="1">
        <f>H103</f>
        <v>15</v>
      </c>
      <c r="M114">
        <v>1</v>
      </c>
      <c r="N114" s="1">
        <v>378.44</v>
      </c>
      <c r="O114" s="17">
        <f>N114/N118*100</f>
        <v>0.60716734709070197</v>
      </c>
      <c r="P114" s="52">
        <f>((O114*O114*(I114/100)*(K114/100))/(L114-1))</f>
        <v>0</v>
      </c>
      <c r="R114" s="16" t="s">
        <v>318</v>
      </c>
      <c r="S114" t="s">
        <v>63</v>
      </c>
      <c r="T114" s="57">
        <f>$AA113*T106/100</f>
        <v>158.83669565217394</v>
      </c>
      <c r="U114" s="57">
        <f>$AA113*U106/100</f>
        <v>271.85000000000002</v>
      </c>
      <c r="V114" s="57">
        <f>$AA113*V106/100</f>
        <v>26333.564166666663</v>
      </c>
      <c r="W114" s="57">
        <f>$AA113*W106/100</f>
        <v>27696.161221014496</v>
      </c>
      <c r="X114" s="57">
        <f>$AA113*X106/100</f>
        <v>7868.3579166666677</v>
      </c>
      <c r="Z114" t="s">
        <v>36</v>
      </c>
      <c r="AA114" s="25">
        <f>SUM(T114:X114)</f>
        <v>62328.77</v>
      </c>
      <c r="AC114" t="s">
        <v>203</v>
      </c>
      <c r="AD114" s="55">
        <v>0.94109195402298795</v>
      </c>
      <c r="AE114" s="55">
        <v>0.96040580997117797</v>
      </c>
      <c r="AI114" s="78"/>
      <c r="AJ114" s="107"/>
      <c r="AK114" s="113" t="s">
        <v>39</v>
      </c>
      <c r="AL114" s="114">
        <f>AS94</f>
        <v>0.86956521739130099</v>
      </c>
      <c r="AM114" s="114">
        <f>AS95</f>
        <v>0</v>
      </c>
      <c r="AN114" s="114">
        <f>AS96</f>
        <v>0</v>
      </c>
      <c r="AO114" s="114">
        <f>AS97</f>
        <v>1.5309531175003726</v>
      </c>
      <c r="AP114" s="114">
        <f>AS98</f>
        <v>2.4663140269083059</v>
      </c>
      <c r="AQ114" s="107"/>
      <c r="AR114" s="107"/>
      <c r="AS114" s="107"/>
      <c r="AU114" s="95"/>
      <c r="AV114" s="1" t="s">
        <v>361</v>
      </c>
      <c r="AW114" s="99"/>
      <c r="AX114" s="1" t="s">
        <v>364</v>
      </c>
      <c r="AY114" s="99"/>
      <c r="BF114">
        <v>0.95369086506317602</v>
      </c>
      <c r="BG114" s="1">
        <v>51</v>
      </c>
      <c r="BH114">
        <f t="shared" si="13"/>
        <v>-0.66567637461552465</v>
      </c>
      <c r="BI114">
        <f t="shared" si="14"/>
        <v>-4.7143678461839464E-2</v>
      </c>
      <c r="BJ114">
        <f t="shared" si="11"/>
        <v>-4.4960495494531898E-2</v>
      </c>
    </row>
    <row r="115" spans="1:62" x14ac:dyDescent="0.3">
      <c r="A115" t="s">
        <v>5</v>
      </c>
      <c r="B115" s="13">
        <v>2</v>
      </c>
      <c r="C115" s="33">
        <f t="shared" si="23"/>
        <v>0</v>
      </c>
      <c r="D115" s="19">
        <f t="shared" si="23"/>
        <v>0</v>
      </c>
      <c r="E115" s="34">
        <f t="shared" si="23"/>
        <v>39.998376351983786</v>
      </c>
      <c r="F115" s="19">
        <f t="shared" si="23"/>
        <v>0</v>
      </c>
      <c r="G115" s="20">
        <f t="shared" si="23"/>
        <v>0</v>
      </c>
      <c r="H115" s="17">
        <f>SUM(C115:G115)</f>
        <v>39.998376351983786</v>
      </c>
      <c r="I115" s="17">
        <f>E115/H115*100</f>
        <v>100</v>
      </c>
      <c r="J115" s="17">
        <f>SQRT(I115*(100-I115)/(L115-1))</f>
        <v>0</v>
      </c>
      <c r="K115" s="18">
        <f>100-I115</f>
        <v>0</v>
      </c>
      <c r="L115" s="1">
        <f>H104</f>
        <v>178</v>
      </c>
      <c r="M115">
        <v>2</v>
      </c>
      <c r="N115" s="1">
        <v>24930.5</v>
      </c>
      <c r="O115" s="17">
        <f>N115/N118*100</f>
        <v>39.998376351983786</v>
      </c>
      <c r="P115" s="52">
        <f>((O115*O115*(I115/100)*(K115/100))/(L115-1))</f>
        <v>0</v>
      </c>
      <c r="R115" s="66"/>
      <c r="S115" s="66" t="s">
        <v>62</v>
      </c>
      <c r="T115" s="67">
        <f>$AA113*T107/100</f>
        <v>1.3872332760366826</v>
      </c>
      <c r="U115" s="67">
        <f>$AA113*U107/100</f>
        <v>0</v>
      </c>
      <c r="V115" s="67">
        <f>$AA113*V107/100</f>
        <v>279.26412670735243</v>
      </c>
      <c r="W115" s="67">
        <f>$AA113*W107/100</f>
        <v>533.1860835256382</v>
      </c>
      <c r="X115" s="67">
        <f>$AA113*X107/100</f>
        <v>468.15185361671007</v>
      </c>
      <c r="AA115" s="1"/>
      <c r="AC115" t="s">
        <v>204</v>
      </c>
      <c r="AD115" s="55">
        <v>0.92385057471264298</v>
      </c>
      <c r="AE115" s="55">
        <v>0.95732779720179295</v>
      </c>
      <c r="AJ115" s="107"/>
      <c r="AK115" s="109" t="s">
        <v>51</v>
      </c>
      <c r="AL115" s="110">
        <f>AW83*100</f>
        <v>99.563318777292579</v>
      </c>
      <c r="AM115" s="110">
        <f>AW84*100</f>
        <v>100</v>
      </c>
      <c r="AN115" s="110">
        <f>AW85*100</f>
        <v>98.888888888888886</v>
      </c>
      <c r="AO115" s="110">
        <f>AW86*100</f>
        <v>85.538461538461547</v>
      </c>
      <c r="AP115" s="110">
        <f>AW87*100</f>
        <v>89.285714285714278</v>
      </c>
      <c r="AQ115" s="107"/>
      <c r="AR115" s="107"/>
      <c r="AS115" s="107"/>
      <c r="AU115" s="96"/>
      <c r="AV115" s="1" t="s">
        <v>362</v>
      </c>
      <c r="AW115" s="100"/>
      <c r="AX115" s="71" t="s">
        <v>365</v>
      </c>
      <c r="AY115" s="102"/>
      <c r="BF115">
        <v>0.95370197576446702</v>
      </c>
      <c r="BG115" s="1">
        <v>52</v>
      </c>
      <c r="BH115">
        <f t="shared" si="13"/>
        <v>-0.65013427195943652</v>
      </c>
      <c r="BI115">
        <f t="shared" si="14"/>
        <v>-4.6042975600538862E-2</v>
      </c>
      <c r="BJ115">
        <f t="shared" si="11"/>
        <v>-4.3911276800309061E-2</v>
      </c>
    </row>
    <row r="116" spans="1:62" x14ac:dyDescent="0.3">
      <c r="A116" t="s">
        <v>6</v>
      </c>
      <c r="B116" s="13">
        <v>3</v>
      </c>
      <c r="C116" s="33">
        <f t="shared" si="23"/>
        <v>0</v>
      </c>
      <c r="D116" s="19">
        <f t="shared" si="23"/>
        <v>0</v>
      </c>
      <c r="E116" s="19">
        <f t="shared" si="23"/>
        <v>0.32193572714099505</v>
      </c>
      <c r="F116" s="34">
        <f t="shared" si="23"/>
        <v>44.749066072598318</v>
      </c>
      <c r="G116" s="20">
        <f t="shared" si="23"/>
        <v>1.2877429085639802</v>
      </c>
      <c r="H116" s="17">
        <f>SUM(C116:G116)</f>
        <v>46.358744708303291</v>
      </c>
      <c r="I116" s="17">
        <f>F116/H116*100</f>
        <v>96.527777777777786</v>
      </c>
      <c r="J116" s="17">
        <f>SQRT(I116*(100-I116)/(L116-1))</f>
        <v>1.5309531175003726</v>
      </c>
      <c r="K116" s="18">
        <f>100-I116</f>
        <v>3.4722222222222143</v>
      </c>
      <c r="L116" s="1">
        <f>H105</f>
        <v>144</v>
      </c>
      <c r="M116">
        <v>3</v>
      </c>
      <c r="N116" s="1">
        <v>28894.84</v>
      </c>
      <c r="O116" s="17">
        <f>N116/N118*100</f>
        <v>46.358744708303291</v>
      </c>
      <c r="P116" s="52">
        <f>((O116*O116*(I116/100)*(K116/100))/(L116-1))</f>
        <v>0.50371759178190001</v>
      </c>
      <c r="R116" t="s">
        <v>98</v>
      </c>
      <c r="S116" t="s">
        <v>28</v>
      </c>
      <c r="T116" s="57">
        <f t="shared" ref="T116:X119" si="24">C321</f>
        <v>0.26628804054326394</v>
      </c>
      <c r="U116" s="57">
        <f t="shared" si="24"/>
        <v>0.54881549101394256</v>
      </c>
      <c r="V116" s="57">
        <f t="shared" si="24"/>
        <v>41.00806386832344</v>
      </c>
      <c r="W116" s="57">
        <f t="shared" si="24"/>
        <v>46.55284626399348</v>
      </c>
      <c r="X116" s="57">
        <f t="shared" si="24"/>
        <v>11.623986336125869</v>
      </c>
      <c r="Z116" s="74"/>
      <c r="AA116" s="12"/>
      <c r="AC116" t="s">
        <v>215</v>
      </c>
      <c r="AD116" s="55">
        <v>0.91954022988505701</v>
      </c>
      <c r="AE116" s="55">
        <v>0.95606515977380702</v>
      </c>
      <c r="AI116" s="78"/>
      <c r="AJ116" s="115" t="s">
        <v>356</v>
      </c>
      <c r="AK116" s="107" t="s">
        <v>9</v>
      </c>
      <c r="AL116" s="116">
        <f>AW94</f>
        <v>159.15</v>
      </c>
      <c r="AM116" s="116">
        <f>AW95</f>
        <v>321.18</v>
      </c>
      <c r="AN116" s="116">
        <f>AW96</f>
        <v>25369.79</v>
      </c>
      <c r="AO116" s="116">
        <f>AW97</f>
        <v>28698.959999999999</v>
      </c>
      <c r="AP116" s="116">
        <f>AW98</f>
        <v>7779.69</v>
      </c>
      <c r="AQ116" s="107"/>
      <c r="AR116" s="115" t="s">
        <v>36</v>
      </c>
      <c r="AS116" s="111">
        <f>AW99</f>
        <v>62328.770000000004</v>
      </c>
      <c r="AW116" s="102"/>
      <c r="AX116" s="1" t="s">
        <v>362</v>
      </c>
      <c r="AY116" s="104"/>
      <c r="BF116">
        <v>0.95371444223211899</v>
      </c>
      <c r="BG116" s="1">
        <v>53</v>
      </c>
      <c r="BH116">
        <f t="shared" si="13"/>
        <v>-0.63474765328291094</v>
      </c>
      <c r="BI116">
        <f t="shared" si="14"/>
        <v>-4.4953284226228012E-2</v>
      </c>
      <c r="BJ116">
        <f t="shared" si="11"/>
        <v>-4.2872596392318961E-2</v>
      </c>
    </row>
    <row r="117" spans="1:62" ht="15.6" x14ac:dyDescent="0.35">
      <c r="A117" t="s">
        <v>7</v>
      </c>
      <c r="B117" s="13">
        <v>4</v>
      </c>
      <c r="C117" s="35">
        <f t="shared" si="23"/>
        <v>0</v>
      </c>
      <c r="D117" s="36">
        <f t="shared" si="23"/>
        <v>0</v>
      </c>
      <c r="E117" s="21">
        <f t="shared" si="23"/>
        <v>0.10475241395603165</v>
      </c>
      <c r="F117" s="21">
        <f t="shared" si="23"/>
        <v>2.0950482791206326</v>
      </c>
      <c r="G117" s="37">
        <f t="shared" si="23"/>
        <v>10.579993809559197</v>
      </c>
      <c r="H117" s="17">
        <f>SUM(C117:G117)</f>
        <v>12.779794502635861</v>
      </c>
      <c r="I117" s="17">
        <f>G117/H117*100</f>
        <v>82.786885245901644</v>
      </c>
      <c r="J117" s="17">
        <f>SQRT(I117*(100-I117)/(L117-1))</f>
        <v>2.4216276503293863</v>
      </c>
      <c r="K117" s="18">
        <f>100-I117</f>
        <v>17.213114754098356</v>
      </c>
      <c r="L117" s="1">
        <f>H106</f>
        <v>244</v>
      </c>
      <c r="M117">
        <v>4</v>
      </c>
      <c r="N117" s="1">
        <v>7965.49</v>
      </c>
      <c r="O117" s="17">
        <f>N117/N118*100</f>
        <v>12.779794502635861</v>
      </c>
      <c r="P117" s="52">
        <f>((O117*O117*(I117/100)*(K117/100))/(L117-1))</f>
        <v>9.5777274547387395E-2</v>
      </c>
      <c r="S117" s="66" t="s">
        <v>39</v>
      </c>
      <c r="T117" s="67">
        <f t="shared" si="24"/>
        <v>2.3256819171128683E-3</v>
      </c>
      <c r="U117" s="67">
        <f t="shared" si="24"/>
        <v>0</v>
      </c>
      <c r="V117" s="67">
        <f t="shared" si="24"/>
        <v>0.46414592532975923</v>
      </c>
      <c r="W117" s="67">
        <f t="shared" si="24"/>
        <v>0.82871062272724294</v>
      </c>
      <c r="X117" s="67">
        <f t="shared" si="24"/>
        <v>0.70737433501234448</v>
      </c>
      <c r="AC117" t="s">
        <v>216</v>
      </c>
      <c r="AD117" s="55">
        <v>0.92959770114942497</v>
      </c>
      <c r="AE117" s="55">
        <v>0.96197069008587099</v>
      </c>
      <c r="AH117" s="78"/>
      <c r="AJ117" s="115" t="s">
        <v>355</v>
      </c>
      <c r="AK117" s="107" t="s">
        <v>63</v>
      </c>
      <c r="AL117" s="108">
        <f>$AS116*AL109/100</f>
        <v>157.76608695652175</v>
      </c>
      <c r="AM117" s="108">
        <f>$AS116*AM109/100</f>
        <v>321.18000000000006</v>
      </c>
      <c r="AN117" s="108">
        <f>$AS116*AN109/100</f>
        <v>25664.740259562841</v>
      </c>
      <c r="AO117" s="108">
        <f>$AS116*AO109/100</f>
        <v>29011.095238180085</v>
      </c>
      <c r="AP117" s="108">
        <f>$AS116*AP109/100</f>
        <v>7173.9884153005469</v>
      </c>
      <c r="AQ117" s="107"/>
      <c r="AR117" s="115" t="s">
        <v>36</v>
      </c>
      <c r="AS117" s="117">
        <f>SUM(AL117:AP117)</f>
        <v>62328.77</v>
      </c>
      <c r="BF117">
        <v>0.95386995494270299</v>
      </c>
      <c r="BG117" s="1">
        <v>54</v>
      </c>
      <c r="BH117">
        <f t="shared" si="13"/>
        <v>-0.6195098661793067</v>
      </c>
      <c r="BI117">
        <f t="shared" si="14"/>
        <v>-4.3874133210695589E-2</v>
      </c>
      <c r="BJ117">
        <f t="shared" si="11"/>
        <v>-4.1850217468836347E-2</v>
      </c>
    </row>
    <row r="118" spans="1:62" x14ac:dyDescent="0.3">
      <c r="B118" t="s">
        <v>28</v>
      </c>
      <c r="C118" s="17">
        <f t="shared" ref="C118:H118" si="25">SUM(C113:C117)</f>
        <v>0.25369172398647805</v>
      </c>
      <c r="D118" s="17">
        <f t="shared" si="25"/>
        <v>0.60716734709070197</v>
      </c>
      <c r="E118" s="17">
        <f t="shared" si="25"/>
        <v>40.425064493080818</v>
      </c>
      <c r="F118" s="17">
        <f t="shared" si="25"/>
        <v>46.846339717718834</v>
      </c>
      <c r="G118" s="17">
        <f t="shared" si="25"/>
        <v>11.867736718123176</v>
      </c>
      <c r="H118" s="18">
        <f t="shared" si="25"/>
        <v>100</v>
      </c>
      <c r="I118" s="13" t="s">
        <v>24</v>
      </c>
      <c r="J118" s="12" t="s">
        <v>29</v>
      </c>
      <c r="N118" s="1">
        <f>SUM(N113:N117)</f>
        <v>62328.78</v>
      </c>
      <c r="O118" s="17">
        <f>SUM(O113:O117)</f>
        <v>100</v>
      </c>
      <c r="S118" t="s">
        <v>30</v>
      </c>
      <c r="T118" s="57">
        <f t="shared" si="24"/>
        <v>100</v>
      </c>
      <c r="U118" s="57">
        <f t="shared" si="24"/>
        <v>100</v>
      </c>
      <c r="V118" s="57">
        <f t="shared" si="24"/>
        <v>97.923867272806064</v>
      </c>
      <c r="W118" s="57">
        <f t="shared" si="24"/>
        <v>95.555036018319811</v>
      </c>
      <c r="X118" s="57">
        <f t="shared" si="24"/>
        <v>88.907597149050744</v>
      </c>
      <c r="AC118" t="s">
        <v>217</v>
      </c>
      <c r="AD118" s="55">
        <v>0.93821839080459701</v>
      </c>
      <c r="AE118" s="55">
        <v>0.96169306656277198</v>
      </c>
      <c r="AI118" s="78"/>
      <c r="AJ118" s="109"/>
      <c r="AK118" s="109" t="s">
        <v>354</v>
      </c>
      <c r="AL118" s="110">
        <f>$AS116*AL110/100</f>
        <v>1.3778828925996398</v>
      </c>
      <c r="AM118" s="110">
        <f>$AS116*AM110/100</f>
        <v>0</v>
      </c>
      <c r="AN118" s="110">
        <f>$AS116*AN110/100</f>
        <v>206.04916917162748</v>
      </c>
      <c r="AO118" s="110">
        <f>$AS116*AO110/100</f>
        <v>475.79586306876291</v>
      </c>
      <c r="AP118" s="110">
        <f>$AS116*AP110/100</f>
        <v>437.18395919911728</v>
      </c>
      <c r="AQ118" s="107"/>
      <c r="AR118" s="107"/>
      <c r="AS118" s="107"/>
      <c r="BF118">
        <v>0.95392189079423695</v>
      </c>
      <c r="BG118" s="1">
        <v>55</v>
      </c>
      <c r="BH118">
        <f t="shared" si="13"/>
        <v>-0.6044145871408374</v>
      </c>
      <c r="BI118">
        <f t="shared" si="14"/>
        <v>-4.2805074718583164E-2</v>
      </c>
      <c r="BJ118">
        <f t="shared" si="11"/>
        <v>-4.0832697811139441E-2</v>
      </c>
    </row>
    <row r="119" spans="1:62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2.215669369878014E-3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0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0.32918753708114046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0.76939359757864101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0.7060023714900413</v>
      </c>
      <c r="H119" s="1"/>
      <c r="I119" s="56">
        <f>(C113+D114+E115+F116+G117)/H118</f>
        <v>0.96188295305218474</v>
      </c>
      <c r="J119" s="53">
        <f>SQRT(SUM(P113:P117))/100</f>
        <v>7.742737362090496E-3</v>
      </c>
      <c r="M119" s="1"/>
      <c r="N119" s="9"/>
      <c r="S119" s="66" t="s">
        <v>39</v>
      </c>
      <c r="T119" s="67">
        <f t="shared" si="24"/>
        <v>0</v>
      </c>
      <c r="U119" s="67">
        <f t="shared" si="24"/>
        <v>0</v>
      </c>
      <c r="V119" s="67">
        <f t="shared" si="24"/>
        <v>1.11213317909025</v>
      </c>
      <c r="W119" s="67">
        <f t="shared" si="24"/>
        <v>0.9624427917859506</v>
      </c>
      <c r="X119" s="67">
        <f t="shared" si="24"/>
        <v>5.7105107361761256</v>
      </c>
      <c r="AC119" t="s">
        <v>218</v>
      </c>
      <c r="AD119" s="55">
        <v>0.91810344827586199</v>
      </c>
      <c r="AE119" s="55">
        <v>0.95489341220468404</v>
      </c>
      <c r="AH119" s="78"/>
      <c r="AJ119" s="115" t="s">
        <v>376</v>
      </c>
      <c r="AK119" s="122" t="s">
        <v>9</v>
      </c>
      <c r="AL119" s="135">
        <f>AVERAGE(AR195:AR214)</f>
        <v>159.97800000000001</v>
      </c>
      <c r="AM119" s="135">
        <f>AVERAGE(AS195:AS214)</f>
        <v>331.03100000000006</v>
      </c>
      <c r="AN119" s="135">
        <f>AVERAGE(AT195:AT214)</f>
        <v>25344.011499999997</v>
      </c>
      <c r="AO119" s="135">
        <f>AVERAGE(AU195:AU214)</f>
        <v>28524.8305</v>
      </c>
      <c r="AP119" s="135">
        <f>AVERAGE(AV195:AV214)</f>
        <v>7968.9289999999992</v>
      </c>
      <c r="AQ119" s="107"/>
      <c r="AR119" s="115" t="s">
        <v>36</v>
      </c>
      <c r="AS119" s="136">
        <f>SUM(AL119:AP119)</f>
        <v>62328.779999999992</v>
      </c>
      <c r="BF119">
        <v>0.95393761777899899</v>
      </c>
      <c r="BG119" s="1">
        <v>56</v>
      </c>
      <c r="BH119">
        <f t="shared" si="13"/>
        <v>-0.58945579784977842</v>
      </c>
      <c r="BI119">
        <f t="shared" si="14"/>
        <v>-4.1745682528311422E-2</v>
      </c>
      <c r="BJ119">
        <f t="shared" si="11"/>
        <v>-3.982277694361578E-2</v>
      </c>
    </row>
    <row r="120" spans="1:62" x14ac:dyDescent="0.3">
      <c r="B120" s="1" t="s">
        <v>30</v>
      </c>
      <c r="C120" s="17">
        <f>C113/C118*100</f>
        <v>100</v>
      </c>
      <c r="D120" s="17">
        <f>D114/D118*100</f>
        <v>100</v>
      </c>
      <c r="E120" s="17">
        <f>E115/E118*100</f>
        <v>98.944496078243588</v>
      </c>
      <c r="F120" s="17">
        <f>F116/F118*100</f>
        <v>95.523078947559142</v>
      </c>
      <c r="G120" s="17">
        <f>G117/G118*100</f>
        <v>89.149212363318838</v>
      </c>
      <c r="H120" s="1"/>
      <c r="S120" s="15" t="s">
        <v>31</v>
      </c>
      <c r="T120" s="71">
        <f>I316</f>
        <v>99.130434782608688</v>
      </c>
      <c r="U120" s="71">
        <f>I317</f>
        <v>100</v>
      </c>
      <c r="V120" s="71">
        <f>I318</f>
        <v>100</v>
      </c>
      <c r="W120" s="71">
        <f>I319</f>
        <v>95.833333333333343</v>
      </c>
      <c r="X120" s="71">
        <f>I320</f>
        <v>81.967213114754102</v>
      </c>
      <c r="AC120" t="s">
        <v>219</v>
      </c>
      <c r="AD120" s="55">
        <v>0.91522988505747105</v>
      </c>
      <c r="AE120" s="55">
        <v>0.95174725762002899</v>
      </c>
      <c r="AI120" s="78"/>
      <c r="AJ120" s="140"/>
      <c r="AK120" s="128" t="s">
        <v>368</v>
      </c>
      <c r="AL120" s="125">
        <f>_xlfn.STDEV.S(AR195:AR214)/SQRT($AK$108)</f>
        <v>0.84713809226620185</v>
      </c>
      <c r="AM120" s="125">
        <f>_xlfn.STDEV.S(AS195:AS214)/SQRT($AK$108)</f>
        <v>9.9418975976470776</v>
      </c>
      <c r="AN120" s="125">
        <f>_xlfn.STDEV.S(AT195:AT214)/SQRT($AK$108)</f>
        <v>75.444175162395481</v>
      </c>
      <c r="AO120" s="125">
        <f>_xlfn.STDEV.S(AU195:AU214)/SQRT($AK$108)</f>
        <v>88.153630404016312</v>
      </c>
      <c r="AP120" s="125">
        <f>_xlfn.STDEV.S(AV195:AV214)/SQRT($AK$108)</f>
        <v>42.932841170833271</v>
      </c>
      <c r="AQ120" s="107"/>
      <c r="AR120" s="107"/>
      <c r="AS120" s="107"/>
      <c r="BF120">
        <v>0.95394403554877505</v>
      </c>
      <c r="BG120" s="1">
        <v>57</v>
      </c>
      <c r="BH120">
        <f t="shared" si="13"/>
        <v>-0.57462776351023559</v>
      </c>
      <c r="BI120">
        <f t="shared" si="14"/>
        <v>-4.0695550497520529E-2</v>
      </c>
      <c r="BJ120">
        <f t="shared" si="11"/>
        <v>-3.8821277670483691E-2</v>
      </c>
    </row>
    <row r="121" spans="1:62" x14ac:dyDescent="0.3">
      <c r="B121" s="16" t="s">
        <v>39</v>
      </c>
      <c r="C121" s="18">
        <f>SQRT((C124+C125)/(C118*C118))</f>
        <v>0</v>
      </c>
      <c r="D121" s="18">
        <f>SQRT((D124+D125)/(D118*D118))</f>
        <v>0</v>
      </c>
      <c r="E121" s="18">
        <f>SQRT((E124+E125)/(E118*E118))</f>
        <v>0.80847457639545584</v>
      </c>
      <c r="F121" s="18">
        <f>SQRT((F124+F125)/(F118*F118))</f>
        <v>0.91819165585209328</v>
      </c>
      <c r="G121" s="18">
        <f>SQRT((G124+G125)/(G118*G118))</f>
        <v>5.5596286779656046</v>
      </c>
      <c r="H121" s="1"/>
      <c r="I121" s="14"/>
      <c r="S121" s="75" t="s">
        <v>39</v>
      </c>
      <c r="T121" s="76">
        <f>J316</f>
        <v>0.8695652173913081</v>
      </c>
      <c r="U121" s="76">
        <f>J317</f>
        <v>0</v>
      </c>
      <c r="V121" s="76">
        <f>J318</f>
        <v>0</v>
      </c>
      <c r="W121" s="76">
        <f>J319</f>
        <v>1.6710315802959967</v>
      </c>
      <c r="X121" s="76">
        <f>J320</f>
        <v>2.4663140269083059</v>
      </c>
      <c r="AC121" t="s">
        <v>220</v>
      </c>
      <c r="AD121" s="55">
        <v>0.94252873563218298</v>
      </c>
      <c r="AE121" s="55">
        <v>0.96574853529817295</v>
      </c>
      <c r="AH121" s="78"/>
      <c r="AJ121" s="119" t="s">
        <v>646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  <c r="BF121">
        <v>0.95410815699645402</v>
      </c>
      <c r="BG121" s="1">
        <v>58</v>
      </c>
      <c r="BH121">
        <f t="shared" si="13"/>
        <v>-0.5599250130095369</v>
      </c>
      <c r="BI121">
        <f t="shared" si="14"/>
        <v>-3.9654291158085615E-2</v>
      </c>
      <c r="BJ121">
        <f t="shared" si="11"/>
        <v>-3.7834482653841851E-2</v>
      </c>
    </row>
    <row r="122" spans="1:62" x14ac:dyDescent="0.3">
      <c r="B122" s="1" t="s">
        <v>37</v>
      </c>
      <c r="C122" s="18">
        <f>100-C120</f>
        <v>0</v>
      </c>
      <c r="D122" s="18">
        <f>100-D120</f>
        <v>0</v>
      </c>
      <c r="E122" s="18">
        <f>100-E120</f>
        <v>1.0555039217564115</v>
      </c>
      <c r="F122" s="18">
        <f>100-F120</f>
        <v>4.4769210524408578</v>
      </c>
      <c r="G122" s="18">
        <f>100-G120</f>
        <v>10.850787636681162</v>
      </c>
      <c r="S122" s="66" t="s">
        <v>51</v>
      </c>
      <c r="T122" s="67">
        <f>N305*100</f>
        <v>99.563318777292579</v>
      </c>
      <c r="U122" s="67">
        <f>N306*100</f>
        <v>100</v>
      </c>
      <c r="V122" s="67">
        <f>N307*100</f>
        <v>98.342541436464074</v>
      </c>
      <c r="W122" s="67">
        <f>N308*100</f>
        <v>85.448916408668737</v>
      </c>
      <c r="X122" s="67">
        <f>N309*100</f>
        <v>89.285714285714278</v>
      </c>
      <c r="AC122" t="s">
        <v>221</v>
      </c>
      <c r="AD122" s="55">
        <v>0.90517241379310298</v>
      </c>
      <c r="AE122" s="55">
        <v>0.945914798927316</v>
      </c>
      <c r="AI122" s="78"/>
      <c r="AJ122" s="115" t="s">
        <v>375</v>
      </c>
      <c r="AK122" s="122" t="s">
        <v>9</v>
      </c>
      <c r="AL122" s="135" t="s">
        <v>527</v>
      </c>
      <c r="AM122" s="135" t="s">
        <v>527</v>
      </c>
      <c r="AN122" s="135" t="s">
        <v>527</v>
      </c>
      <c r="AO122" s="135" t="s">
        <v>527</v>
      </c>
      <c r="AP122" s="135" t="s">
        <v>527</v>
      </c>
      <c r="AQ122" s="107"/>
      <c r="AR122" s="115" t="s">
        <v>36</v>
      </c>
      <c r="AS122" s="136">
        <f>SUM(AL122:AP122)</f>
        <v>0</v>
      </c>
      <c r="AU122">
        <v>1</v>
      </c>
      <c r="AV122">
        <v>68</v>
      </c>
      <c r="BF122">
        <v>0.95437180479203099</v>
      </c>
      <c r="BG122" s="1">
        <v>59</v>
      </c>
      <c r="BH122">
        <f t="shared" si="13"/>
        <v>-0.5453423207232565</v>
      </c>
      <c r="BI122">
        <f t="shared" si="14"/>
        <v>-3.8621534427535548E-2</v>
      </c>
      <c r="BJ122">
        <f t="shared" si="11"/>
        <v>-3.6859303515444662E-2</v>
      </c>
    </row>
    <row r="123" spans="1:62" ht="15.6" x14ac:dyDescent="0.35">
      <c r="B123" s="1" t="s">
        <v>25</v>
      </c>
      <c r="C123" s="1">
        <f>C107</f>
        <v>114</v>
      </c>
      <c r="D123" s="1">
        <f>D107</f>
        <v>15</v>
      </c>
      <c r="E123" s="1">
        <f>E107</f>
        <v>181</v>
      </c>
      <c r="F123" s="1">
        <f>F107</f>
        <v>180</v>
      </c>
      <c r="G123" s="1">
        <f>G107</f>
        <v>206</v>
      </c>
      <c r="R123" s="16" t="s">
        <v>61</v>
      </c>
      <c r="S123" t="s">
        <v>9</v>
      </c>
      <c r="T123" s="30">
        <f>N316</f>
        <v>167.43</v>
      </c>
      <c r="U123" s="30">
        <f>N317</f>
        <v>342.07</v>
      </c>
      <c r="V123" s="30">
        <f>N318</f>
        <v>25029.17</v>
      </c>
      <c r="W123" s="30">
        <f>N319</f>
        <v>28931.56</v>
      </c>
      <c r="X123" s="30">
        <f>N320</f>
        <v>7858.55</v>
      </c>
      <c r="Z123" t="s">
        <v>36</v>
      </c>
      <c r="AA123" s="1">
        <f>N321</f>
        <v>62328.78</v>
      </c>
      <c r="AC123" t="s">
        <v>222</v>
      </c>
      <c r="AD123" s="55">
        <v>0.94540229885057403</v>
      </c>
      <c r="AE123" s="55">
        <v>0.96178359108313505</v>
      </c>
      <c r="AH123" s="78"/>
      <c r="AJ123" s="107"/>
      <c r="AK123" s="107" t="s">
        <v>367</v>
      </c>
      <c r="AL123" s="108" t="s">
        <v>527</v>
      </c>
      <c r="AM123" s="108" t="s">
        <v>527</v>
      </c>
      <c r="AN123" s="108" t="s">
        <v>527</v>
      </c>
      <c r="AO123" s="108" t="s">
        <v>527</v>
      </c>
      <c r="AP123" s="108" t="s">
        <v>527</v>
      </c>
      <c r="AQ123" s="107"/>
      <c r="AR123" s="107"/>
      <c r="AS123" s="107"/>
      <c r="AU123">
        <v>2</v>
      </c>
      <c r="AV123">
        <v>97</v>
      </c>
      <c r="BF123">
        <v>0.95438646877887001</v>
      </c>
      <c r="BG123" s="1">
        <v>60</v>
      </c>
      <c r="BH123">
        <f t="shared" si="13"/>
        <v>-0.53087468979951646</v>
      </c>
      <c r="BI123">
        <f t="shared" si="14"/>
        <v>-3.7596926425235176E-2</v>
      </c>
      <c r="BJ123">
        <f t="shared" si="11"/>
        <v>-3.5881997847919185E-2</v>
      </c>
    </row>
    <row r="124" spans="1:62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0</v>
      </c>
      <c r="E124" s="18">
        <f>(O115*O115*(100-E120)*(100-E120)*(I115)*(100-I115))/((L115-1)*100)</f>
        <v>0</v>
      </c>
      <c r="F124" s="18">
        <f>(O116*O116*(100-F120)*(100-F120)*(I116)*(100-I116))/((L116-1)*100)</f>
        <v>1009.5922085655513</v>
      </c>
      <c r="G124" s="18">
        <f>(O117*O117*(100-G120)*(100-G120)*(I117)*(100-I117))/((L117-1)*100)</f>
        <v>1127.6777260296326</v>
      </c>
      <c r="R124" s="16" t="s">
        <v>318</v>
      </c>
      <c r="S124" t="s">
        <v>63</v>
      </c>
      <c r="T124" s="57">
        <f>$AA123*T116/100</f>
        <v>165.97408695652177</v>
      </c>
      <c r="U124" s="57">
        <f>$AA123*U116/100</f>
        <v>342.07</v>
      </c>
      <c r="V124" s="57">
        <f>$AA123*V116/100</f>
        <v>25559.825910746804</v>
      </c>
      <c r="W124" s="57">
        <f>$AA123*W116/100</f>
        <v>29015.821131622717</v>
      </c>
      <c r="X124" s="57">
        <f>$AA123*X116/100</f>
        <v>7245.0888706739524</v>
      </c>
      <c r="Z124" t="s">
        <v>36</v>
      </c>
      <c r="AA124" s="25">
        <f>SUM(T124:X124)</f>
        <v>62328.779999999992</v>
      </c>
      <c r="AC124" t="s">
        <v>223</v>
      </c>
      <c r="AD124" s="55">
        <v>0.91666666666666596</v>
      </c>
      <c r="AE124" s="55">
        <v>0.95204251264556405</v>
      </c>
      <c r="AI124" s="78"/>
      <c r="AJ124" s="115" t="s">
        <v>376</v>
      </c>
      <c r="AK124" s="122" t="s">
        <v>9</v>
      </c>
      <c r="AL124" s="135" t="s">
        <v>527</v>
      </c>
      <c r="AM124" s="135" t="s">
        <v>527</v>
      </c>
      <c r="AN124" s="135" t="s">
        <v>527</v>
      </c>
      <c r="AO124" s="135" t="s">
        <v>527</v>
      </c>
      <c r="AP124" s="135" t="s">
        <v>527</v>
      </c>
      <c r="AQ124" s="107"/>
      <c r="AR124" s="115" t="s">
        <v>36</v>
      </c>
      <c r="AS124" s="136">
        <f>SUM(AL124:AP124)</f>
        <v>0</v>
      </c>
      <c r="AU124">
        <v>3</v>
      </c>
      <c r="AV124">
        <v>126</v>
      </c>
      <c r="BF124">
        <v>0.95468070951584805</v>
      </c>
      <c r="BG124" s="1">
        <v>61</v>
      </c>
      <c r="BH124">
        <f t="shared" si="13"/>
        <v>-0.51651733677697942</v>
      </c>
      <c r="BI124">
        <f t="shared" si="14"/>
        <v>-3.6580128383020535E-2</v>
      </c>
      <c r="BJ124">
        <f t="shared" si="11"/>
        <v>-3.4922342918882854E-2</v>
      </c>
    </row>
    <row r="125" spans="1:62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0</v>
      </c>
      <c r="E125" s="18">
        <f>E120*E120*(SUM((H113*E113*(1-E102/H102))/(H102-1),(H114*E114*(1-E103/H103))/(H103-1), (H116*E116*(1-E105/H105))/(H105-1),(H117*E117*(1-E106/H106))/(H106-1)))</f>
        <v>1068.1547542014093</v>
      </c>
      <c r="F125" s="18">
        <f>F120*F120*(SUM((H113*F113*(1-F102/H102))/(H102-1),(H114*F114*(1-F103/H103))/(H103-1), (H115*F115*(1-F104/H104))/(H104-1),(H117*F117*(1-F106/H106))/(H106-1)))</f>
        <v>840.60495344962931</v>
      </c>
      <c r="G125" s="18">
        <f>G120*G120*(SUM((H113*G113*(1-G102/H102))/(H102-1),(H114*G114*(1-G103/H103))/(H103-1), (H115*G115*(1-G104/H104))/(H104-1),(H116*G116*(1-G105/H105))/(H105-1)))</f>
        <v>3225.7103065204287</v>
      </c>
      <c r="R125" s="66"/>
      <c r="S125" s="66" t="s">
        <v>62</v>
      </c>
      <c r="T125" s="67">
        <f>$AA123*T117/100</f>
        <v>1.4495691656170622</v>
      </c>
      <c r="U125" s="67">
        <f>$AA123*U117/100</f>
        <v>0</v>
      </c>
      <c r="V125" s="67">
        <f>$AA123*V117/100</f>
        <v>289.29649267774994</v>
      </c>
      <c r="W125" s="67">
        <f>$AA123*W117/100</f>
        <v>516.52522087629325</v>
      </c>
      <c r="X125" s="67">
        <f>$AA123*X117/100</f>
        <v>440.89779304630713</v>
      </c>
      <c r="AA125" s="1"/>
      <c r="AC125" t="s">
        <v>224</v>
      </c>
      <c r="AD125" s="55">
        <v>0.95258620689655105</v>
      </c>
      <c r="AE125" s="55">
        <v>0.96680486702364399</v>
      </c>
      <c r="AH125" s="78"/>
      <c r="AJ125" s="107"/>
      <c r="AK125" s="128" t="s">
        <v>368</v>
      </c>
      <c r="AL125" s="125" t="s">
        <v>527</v>
      </c>
      <c r="AM125" s="125" t="s">
        <v>527</v>
      </c>
      <c r="AN125" s="125" t="s">
        <v>527</v>
      </c>
      <c r="AO125" s="125" t="s">
        <v>527</v>
      </c>
      <c r="AP125" s="125" t="s">
        <v>527</v>
      </c>
      <c r="AQ125" s="107"/>
      <c r="AR125" s="107"/>
      <c r="AS125" s="107"/>
      <c r="AU125">
        <v>4</v>
      </c>
      <c r="AV125">
        <v>155</v>
      </c>
      <c r="BF125">
        <v>0.95470450758132375</v>
      </c>
      <c r="BG125" s="1">
        <v>62</v>
      </c>
      <c r="BH125">
        <f t="shared" si="13"/>
        <v>-0.5022656774073111</v>
      </c>
      <c r="BI125">
        <f t="shared" si="14"/>
        <v>-3.557081564113547E-2</v>
      </c>
      <c r="BJ125">
        <f t="shared" si="11"/>
        <v>-3.3959618030936285E-2</v>
      </c>
    </row>
    <row r="126" spans="1:62" x14ac:dyDescent="0.3">
      <c r="R126" t="s">
        <v>99</v>
      </c>
      <c r="S126" t="s">
        <v>28</v>
      </c>
      <c r="T126" s="57">
        <f t="shared" ref="T126:X129" si="26">C350</f>
        <v>0.25140152494725881</v>
      </c>
      <c r="U126" s="57">
        <f t="shared" si="26"/>
        <v>0.59675491751241039</v>
      </c>
      <c r="V126" s="57">
        <f t="shared" si="26"/>
        <v>41.369593926319382</v>
      </c>
      <c r="W126" s="57">
        <f t="shared" si="26"/>
        <v>45.910891555558443</v>
      </c>
      <c r="X126" s="57">
        <f t="shared" si="26"/>
        <v>11.871358075662496</v>
      </c>
      <c r="Y126" s="13"/>
      <c r="Z126" s="74"/>
      <c r="AA126" s="12"/>
      <c r="AC126" t="s">
        <v>225</v>
      </c>
      <c r="AD126" s="55">
        <v>0.93678160919540199</v>
      </c>
      <c r="AE126" s="55">
        <v>0.96483893612685001</v>
      </c>
      <c r="AI126" s="78"/>
      <c r="AJ126" s="119" t="s">
        <v>638</v>
      </c>
      <c r="AK126" s="107"/>
      <c r="AL126" s="116"/>
      <c r="AM126" s="116"/>
      <c r="AN126" s="116"/>
      <c r="AO126" s="116"/>
      <c r="AP126" s="116"/>
      <c r="AQ126" s="107"/>
      <c r="AR126" s="107"/>
      <c r="AS126" s="107"/>
      <c r="AU126">
        <v>5</v>
      </c>
      <c r="AV126">
        <v>184</v>
      </c>
      <c r="BF126">
        <v>0.95472388426183397</v>
      </c>
      <c r="BG126" s="1">
        <v>63</v>
      </c>
      <c r="BH126">
        <f t="shared" si="13"/>
        <v>-0.48811531356716492</v>
      </c>
      <c r="BI126">
        <f t="shared" si="14"/>
        <v>-3.4568676721328996E-2</v>
      </c>
      <c r="BJ126">
        <f t="shared" si="11"/>
        <v>-3.3003541313178855E-2</v>
      </c>
    </row>
    <row r="127" spans="1:62" x14ac:dyDescent="0.3">
      <c r="S127" s="66" t="s">
        <v>39</v>
      </c>
      <c r="T127" s="67">
        <f t="shared" si="26"/>
        <v>2.1956674408344155E-3</v>
      </c>
      <c r="U127" s="67">
        <f t="shared" si="26"/>
        <v>0</v>
      </c>
      <c r="V127" s="67">
        <f t="shared" si="26"/>
        <v>0.32686610707691743</v>
      </c>
      <c r="W127" s="67">
        <f t="shared" si="26"/>
        <v>0.82150607998639047</v>
      </c>
      <c r="X127" s="67">
        <f t="shared" si="26"/>
        <v>0.76699911808024368</v>
      </c>
      <c r="AC127" t="s">
        <v>226</v>
      </c>
      <c r="AD127" s="55">
        <v>0.92528735632183901</v>
      </c>
      <c r="AE127" s="55">
        <v>0.95804588656947898</v>
      </c>
      <c r="AH127" s="78"/>
      <c r="AJ127" s="115" t="s">
        <v>375</v>
      </c>
      <c r="AK127" s="122" t="s">
        <v>9</v>
      </c>
      <c r="AL127" s="135">
        <v>137.53</v>
      </c>
      <c r="AM127" s="135">
        <v>47.78</v>
      </c>
      <c r="AN127" s="135">
        <v>2197.4699999999998</v>
      </c>
      <c r="AO127" s="135">
        <v>11950.63</v>
      </c>
      <c r="AP127" s="135">
        <v>4637.07</v>
      </c>
      <c r="AQ127" s="107"/>
      <c r="AR127" s="115" t="s">
        <v>36</v>
      </c>
      <c r="AS127" s="136">
        <f>SUM(AL127:AP127)</f>
        <v>18970.48</v>
      </c>
      <c r="AU127">
        <v>6</v>
      </c>
      <c r="AV127">
        <v>213</v>
      </c>
      <c r="BF127">
        <v>0.954731409522384</v>
      </c>
      <c r="BG127" s="1">
        <v>64</v>
      </c>
      <c r="BH127">
        <f t="shared" si="13"/>
        <v>-0.4740620211572345</v>
      </c>
      <c r="BI127">
        <f t="shared" si="14"/>
        <v>-3.3573412469857518E-2</v>
      </c>
      <c r="BJ127">
        <f t="shared" si="11"/>
        <v>-3.2053591409823452E-2</v>
      </c>
    </row>
    <row r="128" spans="1:62" x14ac:dyDescent="0.3">
      <c r="A128" s="348">
        <v>1977</v>
      </c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 t="s">
        <v>59</v>
      </c>
      <c r="M128" s="348"/>
      <c r="N128" s="348"/>
      <c r="O128" s="348"/>
      <c r="P128" s="348"/>
      <c r="S128" t="s">
        <v>30</v>
      </c>
      <c r="T128" s="57">
        <f t="shared" si="26"/>
        <v>100</v>
      </c>
      <c r="U128" s="57">
        <f t="shared" si="26"/>
        <v>100</v>
      </c>
      <c r="V128" s="57">
        <f t="shared" si="26"/>
        <v>98.855508132731941</v>
      </c>
      <c r="W128" s="57">
        <f t="shared" si="26"/>
        <v>94.704948727989162</v>
      </c>
      <c r="X128" s="57">
        <f t="shared" si="26"/>
        <v>86.72975585831179</v>
      </c>
      <c r="AC128" t="s">
        <v>227</v>
      </c>
      <c r="AD128" s="55">
        <v>0.93390804597701105</v>
      </c>
      <c r="AE128" s="55">
        <v>0.96059153204268</v>
      </c>
      <c r="AI128" s="78"/>
      <c r="AJ128" s="107"/>
      <c r="AK128" s="107" t="s">
        <v>367</v>
      </c>
      <c r="AL128" s="108">
        <f>(AL127/$AS127)*100</f>
        <v>0.72496847733952963</v>
      </c>
      <c r="AM128" s="108">
        <f>(AM127/$AS127)*100</f>
        <v>0.25186500288869862</v>
      </c>
      <c r="AN128" s="108">
        <f>(AN127/$AS127)*100</f>
        <v>11.583628880239191</v>
      </c>
      <c r="AO128" s="108">
        <f>(AO127/$AS127)*100</f>
        <v>62.995928410878378</v>
      </c>
      <c r="AP128" s="108">
        <f>(AP127/$AS127)*100</f>
        <v>24.443609228654203</v>
      </c>
      <c r="AQ128" s="107"/>
      <c r="AR128" s="107"/>
      <c r="AS128" s="107"/>
      <c r="AU128">
        <v>7</v>
      </c>
      <c r="AV128">
        <v>242</v>
      </c>
      <c r="BF128">
        <v>0.95489341220468404</v>
      </c>
      <c r="BG128" s="1">
        <v>65</v>
      </c>
      <c r="BH128">
        <f t="shared" si="13"/>
        <v>-0.46010173889686451</v>
      </c>
      <c r="BI128">
        <f t="shared" si="14"/>
        <v>-3.2584735263911119E-2</v>
      </c>
      <c r="BJ128">
        <f t="shared" si="11"/>
        <v>-3.1114949041942383E-2</v>
      </c>
    </row>
    <row r="129" spans="1:62" x14ac:dyDescent="0.3">
      <c r="A129" t="s">
        <v>315</v>
      </c>
      <c r="B129" t="s">
        <v>21</v>
      </c>
      <c r="I129" s="1" t="s">
        <v>53</v>
      </c>
      <c r="O129" s="350"/>
      <c r="P129" s="350"/>
      <c r="S129" s="66" t="s">
        <v>39</v>
      </c>
      <c r="T129" s="67">
        <f t="shared" si="26"/>
        <v>0</v>
      </c>
      <c r="U129" s="67">
        <f t="shared" si="26"/>
        <v>0</v>
      </c>
      <c r="V129" s="67">
        <f t="shared" si="26"/>
        <v>0.78370884323141221</v>
      </c>
      <c r="W129" s="67">
        <f t="shared" si="26"/>
        <v>1.0996492295809184</v>
      </c>
      <c r="X129" s="67">
        <f t="shared" si="26"/>
        <v>6.2808652968393766</v>
      </c>
      <c r="AC129" t="s">
        <v>228</v>
      </c>
      <c r="AD129" s="55">
        <v>0.92385057471264298</v>
      </c>
      <c r="AE129" s="55">
        <v>0.95392189079423695</v>
      </c>
      <c r="AH129" s="78"/>
      <c r="AJ129" s="115" t="s">
        <v>376</v>
      </c>
      <c r="AK129" s="122" t="s">
        <v>9</v>
      </c>
      <c r="AL129" s="135">
        <f>AVERAGE(AL195:AL214)</f>
        <v>136.83049999999997</v>
      </c>
      <c r="AM129" s="135">
        <f>AVERAGE(AM195:AM214)</f>
        <v>48.7515</v>
      </c>
      <c r="AN129" s="135">
        <f>AVERAGE(AN195:AN214)</f>
        <v>2197.4359999999997</v>
      </c>
      <c r="AO129" s="135">
        <f>AVERAGE(AO195:AO214)</f>
        <v>11863.668</v>
      </c>
      <c r="AP129" s="135">
        <f>AVERAGE(AP195:AP214)</f>
        <v>4723.7909999999993</v>
      </c>
      <c r="AQ129" s="107"/>
      <c r="AR129" s="115" t="s">
        <v>36</v>
      </c>
      <c r="AS129" s="136">
        <f>SUM(AL129:AP129)</f>
        <v>18970.476999999999</v>
      </c>
      <c r="AU129">
        <v>8</v>
      </c>
      <c r="AV129">
        <v>271</v>
      </c>
      <c r="BF129">
        <v>0.95504435369260599</v>
      </c>
      <c r="BG129" s="1">
        <v>66</v>
      </c>
      <c r="BH129">
        <f t="shared" si="13"/>
        <v>-0.44623055793233662</v>
      </c>
      <c r="BI129">
        <f t="shared" si="14"/>
        <v>-3.1602368275664941E-2</v>
      </c>
      <c r="BJ129">
        <f t="shared" ref="BJ129:BJ192" si="27">BI129*BF129</f>
        <v>-3.018166338498814E-2</v>
      </c>
    </row>
    <row r="130" spans="1:62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51</v>
      </c>
      <c r="S130" s="15" t="s">
        <v>31</v>
      </c>
      <c r="T130" s="71">
        <f>I345</f>
        <v>99.130434782608688</v>
      </c>
      <c r="U130" s="71">
        <f>I346</f>
        <v>100</v>
      </c>
      <c r="V130" s="71">
        <f>I347</f>
        <v>100</v>
      </c>
      <c r="W130" s="71">
        <f>I348</f>
        <v>95.833333333333343</v>
      </c>
      <c r="X130" s="71">
        <f>I349</f>
        <v>79.918032786885249</v>
      </c>
      <c r="AC130" t="s">
        <v>229</v>
      </c>
      <c r="AD130" s="55">
        <v>0.92385057471264298</v>
      </c>
      <c r="AE130" s="55">
        <v>0.95224458245589505</v>
      </c>
      <c r="AI130" s="78"/>
      <c r="AJ130" s="107"/>
      <c r="AK130" s="128" t="s">
        <v>368</v>
      </c>
      <c r="AL130" s="125">
        <f>_xlfn.STDEV.S(AL195:AL214)/SQRT($AK$108)</f>
        <v>0.44664979511210406</v>
      </c>
      <c r="AM130" s="125">
        <f>_xlfn.STDEV.S(AM195:AM214)/SQRT($AK$108)</f>
        <v>2.4792898256302545</v>
      </c>
      <c r="AN130" s="125">
        <f>_xlfn.STDEV.S(AN195:AN214)/SQRT($AK$108)</f>
        <v>19.415542666962249</v>
      </c>
      <c r="AO130" s="125">
        <f>_xlfn.STDEV.S(AO195:AO214)/SQRT($AK$108)</f>
        <v>26.448388375933479</v>
      </c>
      <c r="AP130" s="125">
        <f>_xlfn.STDEV.S(AP195:AP214)/SQRT($AK$108)</f>
        <v>20.755278147979606</v>
      </c>
      <c r="AQ130" s="107"/>
      <c r="AR130" s="107"/>
      <c r="AS130" s="107"/>
      <c r="AU130">
        <v>9</v>
      </c>
      <c r="AV130">
        <v>300</v>
      </c>
      <c r="BF130">
        <v>0.95506400631158195</v>
      </c>
      <c r="BG130" s="1">
        <v>67</v>
      </c>
      <c r="BH130">
        <f t="shared" si="13"/>
        <v>-0.43244471218542158</v>
      </c>
      <c r="BI130">
        <f t="shared" si="14"/>
        <v>-3.0626044788756676E-2</v>
      </c>
      <c r="BJ130">
        <f t="shared" si="27"/>
        <v>-2.9249833033427899E-2</v>
      </c>
    </row>
    <row r="131" spans="1:62" x14ac:dyDescent="0.3">
      <c r="A131" t="s">
        <v>3</v>
      </c>
      <c r="B131" s="13">
        <v>0</v>
      </c>
      <c r="C131" s="26">
        <v>112</v>
      </c>
      <c r="D131" s="3">
        <v>0</v>
      </c>
      <c r="E131" s="3">
        <v>0</v>
      </c>
      <c r="F131" s="3">
        <v>3</v>
      </c>
      <c r="G131" s="4">
        <v>0</v>
      </c>
      <c r="H131" s="1">
        <f>SUM(C131:G131)</f>
        <v>115</v>
      </c>
      <c r="I131" s="10">
        <f>C131/H131</f>
        <v>0.97391304347826091</v>
      </c>
      <c r="J131" s="11">
        <f>1-I131</f>
        <v>2.6086956521739091E-2</v>
      </c>
      <c r="K131">
        <f>H131-C136</f>
        <v>3</v>
      </c>
      <c r="N131" s="10">
        <f>2*(C137*I131)/(C137+I131)</f>
        <v>0.986784140969163</v>
      </c>
      <c r="S131" s="75" t="s">
        <v>39</v>
      </c>
      <c r="T131" s="76">
        <f>J345</f>
        <v>0.8695652173913081</v>
      </c>
      <c r="U131" s="76">
        <f>J346</f>
        <v>0</v>
      </c>
      <c r="V131" s="76">
        <f>J347</f>
        <v>0</v>
      </c>
      <c r="W131" s="76">
        <f>J348</f>
        <v>1.6710315802959967</v>
      </c>
      <c r="X131" s="76">
        <f>J349</f>
        <v>2.5699364407144736</v>
      </c>
      <c r="AC131" t="s">
        <v>230</v>
      </c>
      <c r="AD131" s="55">
        <v>0.93534482758620596</v>
      </c>
      <c r="AE131" s="55">
        <v>0.96030589738487004</v>
      </c>
      <c r="AH131" s="78"/>
      <c r="AJ131" s="119" t="s">
        <v>647</v>
      </c>
      <c r="AK131" s="107"/>
      <c r="AL131" s="116"/>
      <c r="AM131" s="116"/>
      <c r="AN131" s="116"/>
      <c r="AO131" s="116"/>
      <c r="AP131" s="116"/>
      <c r="AQ131" s="107"/>
      <c r="AR131" s="107"/>
      <c r="AS131" s="107"/>
      <c r="AU131">
        <v>10</v>
      </c>
      <c r="AV131">
        <v>329</v>
      </c>
      <c r="BF131">
        <v>0.95517181176382504</v>
      </c>
      <c r="BG131" s="1">
        <v>68</v>
      </c>
      <c r="BH131">
        <f t="shared" ref="BH131:BH194" si="28">_xlfn.NORM.S.INV((BG131-0.375)/($BI$61+0.25))</f>
        <v>-0.41874056937625298</v>
      </c>
      <c r="BI131">
        <f t="shared" ref="BI131:BI194" si="29">BH131/SQRT($BL$65)</f>
        <v>-2.9655507562520094E-2</v>
      </c>
      <c r="BJ131">
        <f t="shared" si="27"/>
        <v>-2.8326104887268132E-2</v>
      </c>
    </row>
    <row r="132" spans="1:62" x14ac:dyDescent="0.3">
      <c r="A132" t="s">
        <v>4</v>
      </c>
      <c r="B132" s="13">
        <v>1</v>
      </c>
      <c r="C132" s="5">
        <v>0</v>
      </c>
      <c r="D132" s="27">
        <v>15</v>
      </c>
      <c r="E132" s="1">
        <v>0</v>
      </c>
      <c r="F132" s="1">
        <v>0</v>
      </c>
      <c r="G132" s="6">
        <v>0</v>
      </c>
      <c r="H132" s="1">
        <f>SUM(C132:G132)</f>
        <v>15</v>
      </c>
      <c r="I132" s="10">
        <f>D132/H132</f>
        <v>1</v>
      </c>
      <c r="J132" s="11">
        <f>1-I132</f>
        <v>0</v>
      </c>
      <c r="K132">
        <f>H132-D136</f>
        <v>0</v>
      </c>
      <c r="N132" s="10">
        <f>2*(D137*I132)/(D137+I132)</f>
        <v>1</v>
      </c>
      <c r="S132" s="66" t="s">
        <v>51</v>
      </c>
      <c r="T132" s="67">
        <f>N334*100</f>
        <v>99.563318777292579</v>
      </c>
      <c r="U132" s="67">
        <f>N335*100</f>
        <v>100</v>
      </c>
      <c r="V132" s="67">
        <f>N336*100</f>
        <v>98.888888888888886</v>
      </c>
      <c r="W132" s="67">
        <f>N337*100</f>
        <v>83.890577507598778</v>
      </c>
      <c r="X132" s="67">
        <f>N338*100</f>
        <v>87.837837837837839</v>
      </c>
      <c r="AC132" t="s">
        <v>231</v>
      </c>
      <c r="AD132" s="55">
        <v>0.92528735632183901</v>
      </c>
      <c r="AE132" s="55">
        <v>0.95842362772842504</v>
      </c>
      <c r="AI132" s="78"/>
      <c r="AJ132" s="115" t="s">
        <v>375</v>
      </c>
      <c r="AK132" s="122" t="s">
        <v>9</v>
      </c>
      <c r="AL132" s="135" t="s">
        <v>527</v>
      </c>
      <c r="AM132" s="135" t="s">
        <v>527</v>
      </c>
      <c r="AN132" s="135" t="s">
        <v>527</v>
      </c>
      <c r="AO132" s="135" t="s">
        <v>527</v>
      </c>
      <c r="AP132" s="135" t="s">
        <v>527</v>
      </c>
      <c r="AQ132" s="107"/>
      <c r="AR132" s="115" t="s">
        <v>36</v>
      </c>
      <c r="AS132" s="136">
        <f>SUM(AL132:AP132)</f>
        <v>0</v>
      </c>
      <c r="AU132">
        <v>11</v>
      </c>
      <c r="AV132">
        <v>358</v>
      </c>
      <c r="BF132">
        <v>0.95520164915112904</v>
      </c>
      <c r="BG132" s="1">
        <v>69</v>
      </c>
      <c r="BH132">
        <f t="shared" si="28"/>
        <v>-0.40511462266119341</v>
      </c>
      <c r="BI132">
        <f t="shared" si="29"/>
        <v>-2.8690508239772695E-2</v>
      </c>
      <c r="BJ132">
        <f t="shared" si="27"/>
        <v>-2.7405220785614935E-2</v>
      </c>
    </row>
    <row r="133" spans="1:62" x14ac:dyDescent="0.3">
      <c r="A133" t="s">
        <v>5</v>
      </c>
      <c r="B133" s="13">
        <v>2</v>
      </c>
      <c r="C133" s="5">
        <v>0</v>
      </c>
      <c r="D133" s="1">
        <v>0</v>
      </c>
      <c r="E133" s="27">
        <v>178</v>
      </c>
      <c r="F133" s="1">
        <v>0</v>
      </c>
      <c r="G133" s="6">
        <v>0</v>
      </c>
      <c r="H133" s="1">
        <f>SUM(C133:G133)</f>
        <v>178</v>
      </c>
      <c r="I133" s="10">
        <f>E133/H133</f>
        <v>1</v>
      </c>
      <c r="J133" s="11">
        <f>1-I133</f>
        <v>0</v>
      </c>
      <c r="K133">
        <f>H133-E136</f>
        <v>-5</v>
      </c>
      <c r="N133" s="10">
        <f>2*(E137*I133)/(E137+I133)</f>
        <v>0.98614958448753465</v>
      </c>
      <c r="R133" s="16" t="s">
        <v>61</v>
      </c>
      <c r="S133" t="s">
        <v>9</v>
      </c>
      <c r="T133" s="30">
        <f>N345</f>
        <v>158.07</v>
      </c>
      <c r="U133" s="30">
        <f>N346</f>
        <v>371.95</v>
      </c>
      <c r="V133" s="30">
        <f>N347</f>
        <v>25490.05</v>
      </c>
      <c r="W133" s="30">
        <f>N348</f>
        <v>28278.76</v>
      </c>
      <c r="X133" s="30">
        <f>N349</f>
        <v>8029.94</v>
      </c>
      <c r="Z133" t="s">
        <v>36</v>
      </c>
      <c r="AA133" s="1">
        <f>N350</f>
        <v>62328.770000000004</v>
      </c>
      <c r="AC133" t="s">
        <v>232</v>
      </c>
      <c r="AD133" s="55">
        <v>0.93821839080459701</v>
      </c>
      <c r="AE133" s="55">
        <v>0.96513306985930103</v>
      </c>
      <c r="AH133" s="78"/>
      <c r="AJ133" s="107"/>
      <c r="AK133" s="107" t="s">
        <v>367</v>
      </c>
      <c r="AL133" s="108" t="s">
        <v>527</v>
      </c>
      <c r="AM133" s="108" t="s">
        <v>527</v>
      </c>
      <c r="AN133" s="108" t="s">
        <v>527</v>
      </c>
      <c r="AO133" s="108" t="s">
        <v>527</v>
      </c>
      <c r="AP133" s="108" t="s">
        <v>527</v>
      </c>
      <c r="AQ133" s="107"/>
      <c r="AR133" s="107"/>
      <c r="AS133" s="107"/>
      <c r="AU133">
        <v>12</v>
      </c>
      <c r="AV133">
        <v>387</v>
      </c>
      <c r="BF133">
        <v>0.95533795925797804</v>
      </c>
      <c r="BG133" s="1">
        <v>70</v>
      </c>
      <c r="BH133">
        <f t="shared" si="28"/>
        <v>-0.3915634828322011</v>
      </c>
      <c r="BI133">
        <f t="shared" si="29"/>
        <v>-2.7730806794369258E-2</v>
      </c>
      <c r="BJ133">
        <f t="shared" si="27"/>
        <v>-2.649229237151E-2</v>
      </c>
    </row>
    <row r="134" spans="1:62" ht="15.6" x14ac:dyDescent="0.35">
      <c r="A134" t="s">
        <v>6</v>
      </c>
      <c r="B134" s="13">
        <v>3</v>
      </c>
      <c r="C134" s="5">
        <v>0</v>
      </c>
      <c r="D134" s="1">
        <v>0</v>
      </c>
      <c r="E134" s="1">
        <v>1</v>
      </c>
      <c r="F134" s="27">
        <v>138</v>
      </c>
      <c r="G134" s="6">
        <v>5</v>
      </c>
      <c r="H134" s="1">
        <f>SUM(C134:G134)</f>
        <v>144</v>
      </c>
      <c r="I134" s="10">
        <f>F134/H134</f>
        <v>0.95833333333333337</v>
      </c>
      <c r="J134" s="11">
        <f>1-I134</f>
        <v>4.166666666666663E-2</v>
      </c>
      <c r="K134">
        <f>H134-F136</f>
        <v>-38</v>
      </c>
      <c r="N134" s="10">
        <f>2*(F137*I134)/(F137+I134)</f>
        <v>0.84662576687116553</v>
      </c>
      <c r="R134" s="16" t="s">
        <v>318</v>
      </c>
      <c r="S134" t="s">
        <v>63</v>
      </c>
      <c r="T134" s="57">
        <f>$AA133*T126/100</f>
        <v>156.69547826086958</v>
      </c>
      <c r="U134" s="57">
        <f>$AA133*U126/100</f>
        <v>371.95</v>
      </c>
      <c r="V134" s="57">
        <f>$AA133*V126/100</f>
        <v>25785.159048269576</v>
      </c>
      <c r="W134" s="57">
        <f>$AA133*W126/100</f>
        <v>28615.694002613443</v>
      </c>
      <c r="X134" s="57">
        <f>$AA133*X126/100</f>
        <v>7399.2714708561034</v>
      </c>
      <c r="Z134" t="s">
        <v>36</v>
      </c>
      <c r="AA134" s="25">
        <f>SUM(T134:X134)</f>
        <v>62328.77</v>
      </c>
      <c r="AC134" t="s">
        <v>233</v>
      </c>
      <c r="AD134" s="55">
        <v>0.91810344827586199</v>
      </c>
      <c r="AE134" s="55">
        <v>0.95472388426183397</v>
      </c>
      <c r="AI134" s="78"/>
      <c r="AJ134" s="115" t="s">
        <v>376</v>
      </c>
      <c r="AK134" s="122" t="s">
        <v>9</v>
      </c>
      <c r="AL134" s="135" t="s">
        <v>527</v>
      </c>
      <c r="AM134" s="135" t="s">
        <v>527</v>
      </c>
      <c r="AN134" s="135" t="s">
        <v>527</v>
      </c>
      <c r="AO134" s="135" t="s">
        <v>527</v>
      </c>
      <c r="AP134" s="135" t="s">
        <v>527</v>
      </c>
      <c r="AQ134" s="107"/>
      <c r="AR134" s="115" t="s">
        <v>36</v>
      </c>
      <c r="AS134" s="136">
        <f>SUM(AL134:AP134)</f>
        <v>0</v>
      </c>
      <c r="AU134">
        <v>13</v>
      </c>
      <c r="AV134">
        <v>416</v>
      </c>
      <c r="BF134">
        <v>0.95534894285627803</v>
      </c>
      <c r="BG134" s="1">
        <v>71</v>
      </c>
      <c r="BH134">
        <f t="shared" si="28"/>
        <v>-0.37808387102940144</v>
      </c>
      <c r="BI134">
        <f t="shared" si="29"/>
        <v>-2.6776171015100936E-2</v>
      </c>
      <c r="BJ134">
        <f t="shared" si="27"/>
        <v>-2.5580586673015594E-2</v>
      </c>
    </row>
    <row r="135" spans="1:62" x14ac:dyDescent="0.3">
      <c r="A135" t="s">
        <v>7</v>
      </c>
      <c r="B135" s="13">
        <v>4</v>
      </c>
      <c r="C135" s="7">
        <v>0</v>
      </c>
      <c r="D135" s="8">
        <v>0</v>
      </c>
      <c r="E135" s="8">
        <v>4</v>
      </c>
      <c r="F135" s="8">
        <v>41</v>
      </c>
      <c r="G135" s="28">
        <v>199</v>
      </c>
      <c r="H135" s="1">
        <f>SUM(C135:G135)</f>
        <v>244</v>
      </c>
      <c r="I135" s="10">
        <f>G135/H135</f>
        <v>0.81557377049180324</v>
      </c>
      <c r="J135" s="11">
        <f>1-I135</f>
        <v>0.18442622950819676</v>
      </c>
      <c r="K135">
        <f>H135-G136</f>
        <v>40</v>
      </c>
      <c r="N135" s="10">
        <f>2*(G137*I135)/(G137+I135)</f>
        <v>0.8883928571428571</v>
      </c>
      <c r="R135" s="66"/>
      <c r="S135" s="66" t="s">
        <v>62</v>
      </c>
      <c r="T135" s="67">
        <f>$AA133*T127/100</f>
        <v>1.3685325091625691</v>
      </c>
      <c r="U135" s="67">
        <f>$AA133*U127/100</f>
        <v>0</v>
      </c>
      <c r="V135" s="67">
        <f>$AA133*V127/100</f>
        <v>203.73162408792558</v>
      </c>
      <c r="W135" s="67">
        <f>$AA133*W127/100</f>
        <v>512.03463513073336</v>
      </c>
      <c r="X135" s="67">
        <f>$AA133*X127/100</f>
        <v>478.06111621026349</v>
      </c>
      <c r="AA135" s="1"/>
      <c r="AC135" t="s">
        <v>234</v>
      </c>
      <c r="AD135" s="55">
        <v>0.93103448275862</v>
      </c>
      <c r="AE135" s="55">
        <v>0.95537388457647598</v>
      </c>
      <c r="AH135" s="78"/>
      <c r="AJ135" s="107"/>
      <c r="AK135" s="128" t="s">
        <v>368</v>
      </c>
      <c r="AL135" s="125" t="s">
        <v>527</v>
      </c>
      <c r="AM135" s="125" t="s">
        <v>527</v>
      </c>
      <c r="AN135" s="125" t="s">
        <v>527</v>
      </c>
      <c r="AO135" s="125" t="s">
        <v>527</v>
      </c>
      <c r="AP135" s="125" t="s">
        <v>527</v>
      </c>
      <c r="AQ135" s="107"/>
      <c r="AR135" s="107"/>
      <c r="AS135" s="107"/>
      <c r="AU135">
        <v>14</v>
      </c>
      <c r="AV135">
        <v>445</v>
      </c>
      <c r="BF135">
        <v>0.95537388457647598</v>
      </c>
      <c r="BG135" s="1">
        <v>72</v>
      </c>
      <c r="BH135">
        <f t="shared" si="28"/>
        <v>-0.36467261192316763</v>
      </c>
      <c r="BI135">
        <f t="shared" si="29"/>
        <v>-2.5826376022845311E-2</v>
      </c>
      <c r="BJ135">
        <f t="shared" si="27"/>
        <v>-2.4673845185478483E-2</v>
      </c>
    </row>
    <row r="136" spans="1:62" ht="15.6" x14ac:dyDescent="0.35">
      <c r="B136" s="1" t="s">
        <v>19</v>
      </c>
      <c r="C136" s="1">
        <f>SUM(C131:C135)</f>
        <v>112</v>
      </c>
      <c r="D136" s="1">
        <f>SUM(D131:D135)</f>
        <v>15</v>
      </c>
      <c r="E136" s="1">
        <f>SUM(E131:E135)</f>
        <v>183</v>
      </c>
      <c r="F136" s="1">
        <f>SUM(F131:F135)</f>
        <v>182</v>
      </c>
      <c r="G136" s="1">
        <f>SUM(G131:G135)</f>
        <v>204</v>
      </c>
      <c r="H136" s="1">
        <f>SUM(H130:H135)</f>
        <v>696</v>
      </c>
      <c r="I136" s="13" t="s">
        <v>12</v>
      </c>
      <c r="N136" s="16" t="s">
        <v>36</v>
      </c>
      <c r="R136" t="s">
        <v>100</v>
      </c>
      <c r="S136" t="s">
        <v>28</v>
      </c>
      <c r="T136" s="57">
        <f t="shared" ref="T136:X139" si="30">C379</f>
        <v>0.25483688455936793</v>
      </c>
      <c r="U136" s="57">
        <f t="shared" si="30"/>
        <v>0.53089448099168324</v>
      </c>
      <c r="V136" s="57">
        <f t="shared" si="30"/>
        <v>40.774034148316261</v>
      </c>
      <c r="W136" s="57">
        <f t="shared" si="30"/>
        <v>46.554732283037964</v>
      </c>
      <c r="X136" s="57">
        <f t="shared" si="30"/>
        <v>11.88550220309472</v>
      </c>
      <c r="Z136" s="74"/>
      <c r="AA136" s="12"/>
      <c r="AC136" t="s">
        <v>235</v>
      </c>
      <c r="AD136" s="55">
        <v>0.93965517241379304</v>
      </c>
      <c r="AE136" s="55">
        <v>0.96591016180875899</v>
      </c>
      <c r="AI136" s="78"/>
      <c r="AU136">
        <v>15</v>
      </c>
      <c r="AV136">
        <v>474</v>
      </c>
      <c r="BF136">
        <v>0.95540226315464305</v>
      </c>
      <c r="BG136" s="1">
        <v>73</v>
      </c>
      <c r="BH136">
        <f t="shared" si="28"/>
        <v>-0.35132662732612346</v>
      </c>
      <c r="BI136">
        <f t="shared" si="29"/>
        <v>-2.4881203818163857E-2</v>
      </c>
      <c r="BJ136">
        <f t="shared" si="27"/>
        <v>-2.3771558437885695E-2</v>
      </c>
    </row>
    <row r="137" spans="1:62" x14ac:dyDescent="0.3">
      <c r="A137" s="1" t="s">
        <v>316</v>
      </c>
      <c r="B137" s="1" t="s">
        <v>2</v>
      </c>
      <c r="C137" s="10">
        <f>C131/C136</f>
        <v>1</v>
      </c>
      <c r="D137" s="10">
        <f>D132/D136</f>
        <v>1</v>
      </c>
      <c r="E137" s="10">
        <f>E133/E136</f>
        <v>0.97267759562841527</v>
      </c>
      <c r="F137" s="10">
        <f>F134/F136</f>
        <v>0.75824175824175821</v>
      </c>
      <c r="G137" s="10">
        <f>G135/G136</f>
        <v>0.97549019607843135</v>
      </c>
      <c r="H137" s="10"/>
      <c r="I137" s="14">
        <f>(C131+D132+E133+F134+G135)/H136</f>
        <v>0.92241379310344829</v>
      </c>
      <c r="S137" s="66" t="s">
        <v>39</v>
      </c>
      <c r="T137" s="67">
        <f t="shared" si="30"/>
        <v>2.2256708676212972E-3</v>
      </c>
      <c r="U137" s="67">
        <f t="shared" si="30"/>
        <v>0</v>
      </c>
      <c r="V137" s="67">
        <f t="shared" si="30"/>
        <v>0.33222981184814249</v>
      </c>
      <c r="W137" s="67">
        <f t="shared" si="30"/>
        <v>0.76310421330780764</v>
      </c>
      <c r="X137" s="67">
        <f t="shared" si="30"/>
        <v>0.70087132856459722</v>
      </c>
      <c r="AC137" t="s">
        <v>236</v>
      </c>
      <c r="AD137" s="55">
        <v>0.91954022988505701</v>
      </c>
      <c r="AE137" s="55">
        <v>0.95540226315464305</v>
      </c>
      <c r="AH137" s="78"/>
      <c r="AU137">
        <v>16</v>
      </c>
      <c r="AV137">
        <v>503</v>
      </c>
      <c r="BF137">
        <v>0.95540439482475903</v>
      </c>
      <c r="BG137" s="1">
        <v>74</v>
      </c>
      <c r="BH137">
        <f t="shared" si="28"/>
        <v>-0.33804293019912629</v>
      </c>
      <c r="BI137">
        <f t="shared" si="29"/>
        <v>-2.3940442856801341E-2</v>
      </c>
      <c r="BJ137">
        <f t="shared" si="27"/>
        <v>-2.287280431943901E-2</v>
      </c>
    </row>
    <row r="138" spans="1:62" x14ac:dyDescent="0.3">
      <c r="B138" s="1" t="s">
        <v>14</v>
      </c>
      <c r="C138" s="11">
        <f>1-C137</f>
        <v>0</v>
      </c>
      <c r="D138" s="11">
        <f>1-D137</f>
        <v>0</v>
      </c>
      <c r="E138" s="11">
        <f>1-E137</f>
        <v>2.732240437158473E-2</v>
      </c>
      <c r="F138" s="11">
        <f>1-F137</f>
        <v>0.24175824175824179</v>
      </c>
      <c r="G138" s="11">
        <f>1-G137</f>
        <v>2.4509803921568651E-2</v>
      </c>
      <c r="S138" t="s">
        <v>30</v>
      </c>
      <c r="T138" s="57">
        <f t="shared" si="30"/>
        <v>100</v>
      </c>
      <c r="U138" s="57">
        <f t="shared" si="30"/>
        <v>100</v>
      </c>
      <c r="V138" s="57">
        <f t="shared" si="30"/>
        <v>98.830193977504123</v>
      </c>
      <c r="W138" s="57">
        <f t="shared" si="30"/>
        <v>95.865080124234481</v>
      </c>
      <c r="X138" s="57">
        <f t="shared" si="30"/>
        <v>89.194324350310751</v>
      </c>
      <c r="AA138" s="54"/>
      <c r="AC138" t="s">
        <v>237</v>
      </c>
      <c r="AD138" s="55">
        <v>0.93103448275862</v>
      </c>
      <c r="AE138" s="55">
        <v>0.95369086506317602</v>
      </c>
      <c r="AI138" s="78"/>
      <c r="AU138">
        <v>17</v>
      </c>
      <c r="AV138">
        <v>532</v>
      </c>
      <c r="BF138">
        <v>0.95544531849787095</v>
      </c>
      <c r="BG138" s="1">
        <v>75</v>
      </c>
      <c r="BH138">
        <f t="shared" si="28"/>
        <v>-0.32481861901855619</v>
      </c>
      <c r="BI138">
        <f t="shared" si="29"/>
        <v>-2.3003887650773207E-2</v>
      </c>
      <c r="BJ138">
        <f t="shared" si="27"/>
        <v>-2.1978956763182247E-2</v>
      </c>
    </row>
    <row r="139" spans="1:62" x14ac:dyDescent="0.3">
      <c r="C139" s="2"/>
      <c r="S139" s="66" t="s">
        <v>39</v>
      </c>
      <c r="T139" s="67">
        <f t="shared" si="30"/>
        <v>0</v>
      </c>
      <c r="U139" s="67">
        <f t="shared" si="30"/>
        <v>0</v>
      </c>
      <c r="V139" s="67">
        <f t="shared" si="30"/>
        <v>0.80800267654378521</v>
      </c>
      <c r="W139" s="67">
        <f t="shared" si="30"/>
        <v>0.86959245934905693</v>
      </c>
      <c r="X139" s="67">
        <f t="shared" si="30"/>
        <v>5.4983019702833946</v>
      </c>
      <c r="AC139" t="s">
        <v>238</v>
      </c>
      <c r="AD139" s="55">
        <v>0.91379310344827502</v>
      </c>
      <c r="AE139" s="55">
        <v>0.94462629703647205</v>
      </c>
      <c r="AH139" s="78"/>
      <c r="AU139">
        <v>18</v>
      </c>
      <c r="AV139">
        <v>561</v>
      </c>
      <c r="BF139">
        <v>0.95547704302353897</v>
      </c>
      <c r="BG139" s="1">
        <v>76</v>
      </c>
      <c r="BH139">
        <f t="shared" si="28"/>
        <v>-0.31165087247515011</v>
      </c>
      <c r="BI139">
        <f t="shared" si="29"/>
        <v>-2.2071338392933199E-2</v>
      </c>
      <c r="BJ139">
        <f t="shared" si="27"/>
        <v>-2.1088657143251723E-2</v>
      </c>
    </row>
    <row r="140" spans="1:62" ht="15.6" x14ac:dyDescent="0.35">
      <c r="A140" t="s">
        <v>317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99.130434782608688</v>
      </c>
      <c r="U140" s="57">
        <f>I375</f>
        <v>100</v>
      </c>
      <c r="V140" s="57">
        <f>I376</f>
        <v>100</v>
      </c>
      <c r="W140" s="57">
        <f>I377</f>
        <v>96.527777777777771</v>
      </c>
      <c r="X140" s="57">
        <f>I378</f>
        <v>83.606557377049185</v>
      </c>
      <c r="AC140" t="s">
        <v>239</v>
      </c>
      <c r="AD140" s="55">
        <v>0.91666666666666596</v>
      </c>
      <c r="AE140" s="55">
        <v>0.95437180479203099</v>
      </c>
      <c r="AI140" s="78"/>
      <c r="AU140">
        <v>19</v>
      </c>
      <c r="AV140">
        <v>590</v>
      </c>
      <c r="BF140">
        <v>0.95550360405447599</v>
      </c>
      <c r="BG140" s="1">
        <v>77</v>
      </c>
      <c r="BH140">
        <f t="shared" si="28"/>
        <v>-0.29853694447722279</v>
      </c>
      <c r="BI140">
        <f t="shared" si="29"/>
        <v>-2.1142600603097896E-2</v>
      </c>
      <c r="BJ140">
        <f t="shared" si="27"/>
        <v>-2.0201831075344377E-2</v>
      </c>
    </row>
    <row r="141" spans="1:62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0.8695652173913081</v>
      </c>
      <c r="U141" s="67">
        <f>J375</f>
        <v>0</v>
      </c>
      <c r="V141" s="67">
        <f>J376</f>
        <v>0</v>
      </c>
      <c r="W141" s="67">
        <f>J377</f>
        <v>1.5309531175003757</v>
      </c>
      <c r="X141" s="67">
        <f>J378</f>
        <v>2.3749371239353909</v>
      </c>
      <c r="AC141" t="s">
        <v>240</v>
      </c>
      <c r="AD141" s="55">
        <v>0.91666666666666596</v>
      </c>
      <c r="AE141" s="55">
        <v>0.950351700619256</v>
      </c>
      <c r="AH141" s="78"/>
      <c r="BF141">
        <v>0.95556685155224497</v>
      </c>
      <c r="BG141" s="1">
        <v>78</v>
      </c>
      <c r="BH141">
        <f t="shared" si="28"/>
        <v>-0.28547415943346122</v>
      </c>
      <c r="BI141">
        <f t="shared" si="29"/>
        <v>-2.0217484793970817E-2</v>
      </c>
      <c r="BJ141">
        <f t="shared" si="27"/>
        <v>-1.931915829088008E-2</v>
      </c>
    </row>
    <row r="142" spans="1:62" x14ac:dyDescent="0.3">
      <c r="A142" t="s">
        <v>3</v>
      </c>
      <c r="B142" s="13">
        <v>0</v>
      </c>
      <c r="C142" s="29">
        <f>(C131/$L142)*$O142</f>
        <v>0.24586586293638038</v>
      </c>
      <c r="D142" s="31">
        <f>(D131/$L142)*$O142</f>
        <v>0</v>
      </c>
      <c r="E142" s="31">
        <f>(E131/$L142)*$O142</f>
        <v>0</v>
      </c>
      <c r="F142" s="31">
        <f>(F131/$L142)*$O142</f>
        <v>6.5856927572244739E-3</v>
      </c>
      <c r="G142" s="32">
        <f>(G131/$L142)*$O142</f>
        <v>0</v>
      </c>
      <c r="H142" s="17">
        <f>SUM(C142:G142)</f>
        <v>0.25245155569360483</v>
      </c>
      <c r="I142" s="17">
        <f>C142/H142*100</f>
        <v>97.391304347826093</v>
      </c>
      <c r="J142" s="17">
        <f>SQRT(I142*(100-I142)/(L142-1))</f>
        <v>1.4928610004851324</v>
      </c>
      <c r="K142" s="18">
        <f>100-I142</f>
        <v>2.6086956521739069</v>
      </c>
      <c r="L142" s="1">
        <f>H131</f>
        <v>115</v>
      </c>
      <c r="M142">
        <v>0</v>
      </c>
      <c r="N142" s="1">
        <v>157.35</v>
      </c>
      <c r="O142" s="17">
        <f>N142/N147*100</f>
        <v>0.25245155569360483</v>
      </c>
      <c r="P142" s="52">
        <f>((O142*O142*(I142/100)*(K142/100))/(L142-1))</f>
        <v>1.4203482743761944E-5</v>
      </c>
      <c r="S142" s="66" t="s">
        <v>51</v>
      </c>
      <c r="T142" s="67">
        <f>N363*100</f>
        <v>99.563318777292579</v>
      </c>
      <c r="U142" s="67">
        <f>N364*100</f>
        <v>100</v>
      </c>
      <c r="V142" s="67">
        <f>N365*100</f>
        <v>98.888888888888886</v>
      </c>
      <c r="W142" s="67">
        <f>N366*100</f>
        <v>86.604361370716518</v>
      </c>
      <c r="X142" s="67">
        <f>N367*100</f>
        <v>90.26548672566372</v>
      </c>
      <c r="AC142" t="s">
        <v>241</v>
      </c>
      <c r="AD142" s="55">
        <v>0.93534482758620596</v>
      </c>
      <c r="AE142" s="55">
        <v>0.95775230745036</v>
      </c>
      <c r="AI142" s="78"/>
      <c r="BF142">
        <v>0.95563854556866001</v>
      </c>
      <c r="BG142" s="1">
        <v>79</v>
      </c>
      <c r="BH142">
        <f t="shared" si="28"/>
        <v>-0.27245990779256396</v>
      </c>
      <c r="BI142">
        <f t="shared" si="29"/>
        <v>-1.9295806155256487E-2</v>
      </c>
      <c r="BJ142">
        <f t="shared" si="27"/>
        <v>-1.8439816129784108E-2</v>
      </c>
    </row>
    <row r="143" spans="1:62" x14ac:dyDescent="0.3">
      <c r="A143" t="s">
        <v>4</v>
      </c>
      <c r="B143" s="13">
        <v>1</v>
      </c>
      <c r="C143" s="33">
        <f t="shared" ref="C143:G146" si="31">(C132/$L143)*$O143</f>
        <v>0</v>
      </c>
      <c r="D143" s="34">
        <f t="shared" si="31"/>
        <v>0.57249627339147757</v>
      </c>
      <c r="E143" s="19">
        <f t="shared" si="31"/>
        <v>0</v>
      </c>
      <c r="F143" s="18">
        <f t="shared" si="31"/>
        <v>0</v>
      </c>
      <c r="G143" s="20">
        <f t="shared" si="31"/>
        <v>0</v>
      </c>
      <c r="H143" s="17">
        <f>SUM(C143:G143)</f>
        <v>0.57249627339147757</v>
      </c>
      <c r="I143" s="17">
        <f>D143/H143*100</f>
        <v>100</v>
      </c>
      <c r="J143" s="17">
        <f>SQRT(I143*(100-I143)/(L143-1))</f>
        <v>0</v>
      </c>
      <c r="K143" s="18">
        <f>100-I143</f>
        <v>0</v>
      </c>
      <c r="L143" s="1">
        <f>H132</f>
        <v>15</v>
      </c>
      <c r="M143">
        <v>1</v>
      </c>
      <c r="N143" s="1">
        <v>356.83</v>
      </c>
      <c r="O143" s="17">
        <f>N143/N147*100</f>
        <v>0.57249627339147757</v>
      </c>
      <c r="P143" s="52">
        <f>((O143*O143*(I143/100)*(K143/100))/(L143-1))</f>
        <v>0</v>
      </c>
      <c r="R143" s="16" t="s">
        <v>61</v>
      </c>
      <c r="S143" t="s">
        <v>9</v>
      </c>
      <c r="T143" s="30">
        <f>N374</f>
        <v>160.22999999999999</v>
      </c>
      <c r="U143" s="30">
        <f>N375</f>
        <v>330.9</v>
      </c>
      <c r="V143" s="30">
        <f>N376</f>
        <v>25116.66</v>
      </c>
      <c r="W143" s="30">
        <f>N377</f>
        <v>28817.78</v>
      </c>
      <c r="X143" s="30">
        <f>N378</f>
        <v>7903.2</v>
      </c>
      <c r="Z143" t="s">
        <v>36</v>
      </c>
      <c r="AA143" s="1">
        <f>N379</f>
        <v>62328.77</v>
      </c>
      <c r="AC143" t="s">
        <v>242</v>
      </c>
      <c r="AD143" s="55">
        <v>0.93534482758620596</v>
      </c>
      <c r="AE143" s="55">
        <v>0.96359714254561901</v>
      </c>
      <c r="AH143" s="78"/>
      <c r="BF143">
        <v>0.95571836220912099</v>
      </c>
      <c r="BG143" s="1">
        <v>80</v>
      </c>
      <c r="BH143">
        <f t="shared" si="28"/>
        <v>-0.25949164181888412</v>
      </c>
      <c r="BI143">
        <f t="shared" si="29"/>
        <v>-1.8377384254488437E-2</v>
      </c>
      <c r="BJ143">
        <f t="shared" si="27"/>
        <v>-1.7563603581387376E-2</v>
      </c>
    </row>
    <row r="144" spans="1:62" ht="15.6" x14ac:dyDescent="0.35">
      <c r="A144" t="s">
        <v>5</v>
      </c>
      <c r="B144" s="13">
        <v>2</v>
      </c>
      <c r="C144" s="33">
        <f t="shared" si="31"/>
        <v>0</v>
      </c>
      <c r="D144" s="19">
        <f t="shared" si="31"/>
        <v>0</v>
      </c>
      <c r="E144" s="34">
        <f t="shared" si="31"/>
        <v>40.470366904282912</v>
      </c>
      <c r="F144" s="19">
        <f t="shared" si="31"/>
        <v>0</v>
      </c>
      <c r="G144" s="20">
        <f t="shared" si="31"/>
        <v>0</v>
      </c>
      <c r="H144" s="17">
        <f>SUM(C144:G144)</f>
        <v>40.470366904282912</v>
      </c>
      <c r="I144" s="17">
        <f>E144/H144*100</f>
        <v>100</v>
      </c>
      <c r="J144" s="17">
        <f>SQRT(I144*(100-I144)/(L144-1))</f>
        <v>0</v>
      </c>
      <c r="K144" s="18">
        <f>100-I144</f>
        <v>0</v>
      </c>
      <c r="L144" s="1">
        <f>H133</f>
        <v>178</v>
      </c>
      <c r="M144">
        <v>2</v>
      </c>
      <c r="N144" s="1">
        <v>25224.69</v>
      </c>
      <c r="O144" s="17">
        <f>N144/N147*100</f>
        <v>40.470366904282912</v>
      </c>
      <c r="P144" s="52">
        <f>((O144*O144*(I144/100)*(K144/100))/(L144-1))</f>
        <v>0</v>
      </c>
      <c r="R144" s="16" t="s">
        <v>318</v>
      </c>
      <c r="S144" t="s">
        <v>63</v>
      </c>
      <c r="T144" s="57">
        <f>$AA143*T136/100</f>
        <v>158.83669565217394</v>
      </c>
      <c r="U144" s="57">
        <f>$AA143*U136/100</f>
        <v>330.89999999999992</v>
      </c>
      <c r="V144" s="57">
        <f>$AA143*V136/100</f>
        <v>25413.953964025499</v>
      </c>
      <c r="W144" s="57">
        <f>$AA143*W136/100</f>
        <v>29016.992008810481</v>
      </c>
      <c r="X144" s="57">
        <f>$AA143*X136/100</f>
        <v>7408.0873315118406</v>
      </c>
      <c r="Z144" t="s">
        <v>36</v>
      </c>
      <c r="AA144" s="25">
        <f>SUM(T144:X144)</f>
        <v>62328.76999999999</v>
      </c>
      <c r="AC144" t="s">
        <v>243</v>
      </c>
      <c r="AD144" s="55">
        <v>0.91810344827586199</v>
      </c>
      <c r="AE144" s="55">
        <v>0.95101872763456896</v>
      </c>
      <c r="AI144" s="78"/>
      <c r="BF144">
        <v>0.95576600496657849</v>
      </c>
      <c r="BG144" s="1">
        <v>81</v>
      </c>
      <c r="BH144">
        <f t="shared" si="28"/>
        <v>-0.24656687158492113</v>
      </c>
      <c r="BI144">
        <f t="shared" si="29"/>
        <v>-1.7462042753214592E-2</v>
      </c>
      <c r="BJ144">
        <f t="shared" si="27"/>
        <v>-1.6689626840795505E-2</v>
      </c>
    </row>
    <row r="145" spans="1:62" x14ac:dyDescent="0.3">
      <c r="A145" t="s">
        <v>6</v>
      </c>
      <c r="B145" s="13">
        <v>3</v>
      </c>
      <c r="C145" s="33">
        <f t="shared" si="31"/>
        <v>0</v>
      </c>
      <c r="D145" s="19">
        <f t="shared" si="31"/>
        <v>0</v>
      </c>
      <c r="E145" s="19">
        <f t="shared" si="31"/>
        <v>0.32086050799674148</v>
      </c>
      <c r="F145" s="34">
        <f t="shared" si="31"/>
        <v>44.27875010355033</v>
      </c>
      <c r="G145" s="20">
        <f t="shared" si="31"/>
        <v>1.6043025399837076</v>
      </c>
      <c r="H145" s="17">
        <f>SUM(C145:G145)</f>
        <v>46.203913151530777</v>
      </c>
      <c r="I145" s="17">
        <f>F145/H145*100</f>
        <v>95.833333333333343</v>
      </c>
      <c r="J145" s="17">
        <f>SQRT(I145*(100-I145)/(L145-1))</f>
        <v>1.6710315802959967</v>
      </c>
      <c r="K145" s="18">
        <f>100-I145</f>
        <v>4.1666666666666572</v>
      </c>
      <c r="L145" s="1">
        <f>H134</f>
        <v>144</v>
      </c>
      <c r="M145">
        <v>3</v>
      </c>
      <c r="N145" s="1">
        <v>28798.34</v>
      </c>
      <c r="O145" s="17">
        <f>N145/N147*100</f>
        <v>46.203913151530777</v>
      </c>
      <c r="P145" s="52">
        <f>((O145*O145*(I145/100)*(K145/100))/(L145-1))</f>
        <v>0.59611058398682104</v>
      </c>
      <c r="R145" s="66"/>
      <c r="S145" s="66" t="s">
        <v>62</v>
      </c>
      <c r="T145" s="67">
        <f>$AA143*T137/100</f>
        <v>1.3872332760366828</v>
      </c>
      <c r="U145" s="67">
        <f>$AA143*U137/100</f>
        <v>0</v>
      </c>
      <c r="V145" s="67">
        <f>$AA143*V137/100</f>
        <v>207.07475529826149</v>
      </c>
      <c r="W145" s="67">
        <f>$AA143*W137/100</f>
        <v>475.6334699729328</v>
      </c>
      <c r="X145" s="67">
        <f>$AA143*X137/100</f>
        <v>436.84447837697212</v>
      </c>
      <c r="AA145" s="1"/>
      <c r="AC145" t="s">
        <v>244</v>
      </c>
      <c r="AD145" s="55">
        <v>0.94827586206896497</v>
      </c>
      <c r="AE145" s="55">
        <v>0.96552349188203002</v>
      </c>
      <c r="AH145" s="78"/>
      <c r="BF145">
        <v>0.95581747900076108</v>
      </c>
      <c r="BG145" s="1">
        <v>82</v>
      </c>
      <c r="BH145">
        <f t="shared" si="28"/>
        <v>-0.23368316116302504</v>
      </c>
      <c r="BI145">
        <f t="shared" si="29"/>
        <v>-1.6549609137291046E-2</v>
      </c>
      <c r="BJ145">
        <f t="shared" si="27"/>
        <v>-1.5818405684053488E-2</v>
      </c>
    </row>
    <row r="146" spans="1:62" x14ac:dyDescent="0.3">
      <c r="A146" t="s">
        <v>7</v>
      </c>
      <c r="B146" s="13">
        <v>4</v>
      </c>
      <c r="C146" s="35">
        <f t="shared" si="31"/>
        <v>0</v>
      </c>
      <c r="D146" s="36">
        <f t="shared" si="31"/>
        <v>0</v>
      </c>
      <c r="E146" s="21">
        <f t="shared" si="31"/>
        <v>0.20493069041149548</v>
      </c>
      <c r="F146" s="21">
        <f t="shared" si="31"/>
        <v>2.1005395767178285</v>
      </c>
      <c r="G146" s="37">
        <f t="shared" si="31"/>
        <v>10.1953018479719</v>
      </c>
      <c r="H146" s="17">
        <f>SUM(C146:G146)</f>
        <v>12.500772115101224</v>
      </c>
      <c r="I146" s="17">
        <f>G146/H146*100</f>
        <v>81.557377049180317</v>
      </c>
      <c r="J146" s="17">
        <f>SQRT(I146*(100-I146)/(L146-1))</f>
        <v>2.4879395955642507</v>
      </c>
      <c r="K146" s="18">
        <f>100-I146</f>
        <v>18.442622950819683</v>
      </c>
      <c r="L146" s="1">
        <f>H135</f>
        <v>244</v>
      </c>
      <c r="M146">
        <v>4</v>
      </c>
      <c r="N146" s="1">
        <v>7791.58</v>
      </c>
      <c r="O146" s="17">
        <f>N146/N147*100</f>
        <v>12.500772115101224</v>
      </c>
      <c r="P146" s="52">
        <f>((O146*O146*(I146/100)*(K146/100))/(L146-1))</f>
        <v>9.6728252160114728E-2</v>
      </c>
      <c r="R146" t="s">
        <v>101</v>
      </c>
      <c r="S146" t="s">
        <v>28</v>
      </c>
      <c r="T146" s="57">
        <f t="shared" ref="T146:X149" si="32">C408</f>
        <v>0.26113504384823449</v>
      </c>
      <c r="U146" s="57">
        <f t="shared" si="32"/>
        <v>0.68802897923382733</v>
      </c>
      <c r="V146" s="57">
        <f t="shared" si="32"/>
        <v>40.782714094346723</v>
      </c>
      <c r="W146" s="57">
        <f t="shared" si="32"/>
        <v>46.044731655654019</v>
      </c>
      <c r="X146" s="57">
        <f t="shared" si="32"/>
        <v>12.223390226917209</v>
      </c>
      <c r="Y146" s="60"/>
      <c r="Z146" s="74"/>
      <c r="AA146" s="12"/>
      <c r="AC146" t="s">
        <v>245</v>
      </c>
      <c r="AD146" s="55">
        <v>0.93247126436781602</v>
      </c>
      <c r="AE146" s="55">
        <v>0.951561979646112</v>
      </c>
      <c r="AI146" s="78"/>
      <c r="BF146">
        <v>0.95588159180069598</v>
      </c>
      <c r="BG146" s="1">
        <v>83</v>
      </c>
      <c r="BH146">
        <f t="shared" si="28"/>
        <v>-0.2208381250000446</v>
      </c>
      <c r="BI146">
        <f t="shared" si="29"/>
        <v>-1.5639914460132034E-2</v>
      </c>
      <c r="BJ146">
        <f t="shared" si="27"/>
        <v>-1.4949906329777732E-2</v>
      </c>
    </row>
    <row r="147" spans="1:62" x14ac:dyDescent="0.3">
      <c r="B147" t="s">
        <v>28</v>
      </c>
      <c r="C147" s="17">
        <f t="shared" ref="C147:H147" si="33">SUM(C142:C146)</f>
        <v>0.24586586293638038</v>
      </c>
      <c r="D147" s="17">
        <f t="shared" si="33"/>
        <v>0.57249627339147757</v>
      </c>
      <c r="E147" s="17">
        <f t="shared" si="33"/>
        <v>40.996158102691147</v>
      </c>
      <c r="F147" s="17">
        <f t="shared" si="33"/>
        <v>46.385875373025385</v>
      </c>
      <c r="G147" s="17">
        <f t="shared" si="33"/>
        <v>11.799604387955608</v>
      </c>
      <c r="H147" s="18">
        <f t="shared" si="33"/>
        <v>100</v>
      </c>
      <c r="I147" s="13" t="s">
        <v>24</v>
      </c>
      <c r="J147" s="12" t="s">
        <v>29</v>
      </c>
      <c r="N147" s="1">
        <f>SUM(N142:N146)</f>
        <v>62328.79</v>
      </c>
      <c r="O147" s="17">
        <f>SUM(O142:O146)</f>
        <v>100</v>
      </c>
      <c r="S147" s="66" t="s">
        <v>39</v>
      </c>
      <c r="T147" s="67">
        <f t="shared" si="32"/>
        <v>2.2806771500639275E-3</v>
      </c>
      <c r="U147" s="67">
        <f t="shared" si="32"/>
        <v>0</v>
      </c>
      <c r="V147" s="67">
        <f t="shared" si="32"/>
        <v>0.33001122642001579</v>
      </c>
      <c r="W147" s="67">
        <f t="shared" si="32"/>
        <v>0.82229349976033439</v>
      </c>
      <c r="X147" s="67">
        <f t="shared" si="32"/>
        <v>0.76688909650842085</v>
      </c>
      <c r="AC147" t="s">
        <v>246</v>
      </c>
      <c r="AD147" s="55">
        <v>0.91666666666666596</v>
      </c>
      <c r="AE147" s="55">
        <v>0.95635524386673898</v>
      </c>
      <c r="AH147" s="78"/>
      <c r="BF147">
        <v>0.95592537455872462</v>
      </c>
      <c r="BG147" s="1">
        <v>84</v>
      </c>
      <c r="BH147">
        <f t="shared" si="28"/>
        <v>-0.20802942445987585</v>
      </c>
      <c r="BI147">
        <f t="shared" si="29"/>
        <v>-1.4732793097850746E-2</v>
      </c>
      <c r="BJ147">
        <f t="shared" si="27"/>
        <v>-1.4083450760359167E-2</v>
      </c>
    </row>
    <row r="148" spans="1:62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3.7523291697509728E-3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0.33550492494652112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0.82554115831384611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0.77020493021329506</v>
      </c>
      <c r="H148" s="1"/>
      <c r="I148" s="56">
        <f>(C142+D143+E144+F145+G146)/H147</f>
        <v>0.95762780992133001</v>
      </c>
      <c r="J148" s="53">
        <f>SQRT(SUM(P142:P146))/100</f>
        <v>8.3237794278181072E-3</v>
      </c>
      <c r="M148" s="1"/>
      <c r="N148" s="9"/>
      <c r="S148" t="s">
        <v>30</v>
      </c>
      <c r="T148" s="57">
        <f t="shared" si="32"/>
        <v>100</v>
      </c>
      <c r="U148" s="57">
        <f t="shared" si="32"/>
        <v>100</v>
      </c>
      <c r="V148" s="57">
        <f t="shared" si="32"/>
        <v>98.830403204297184</v>
      </c>
      <c r="W148" s="57">
        <f t="shared" si="32"/>
        <v>95.399949978267884</v>
      </c>
      <c r="X148" s="57">
        <f t="shared" si="32"/>
        <v>86.979509813971603</v>
      </c>
      <c r="AC148" t="s">
        <v>247</v>
      </c>
      <c r="AD148" s="55">
        <v>0.94252873563218298</v>
      </c>
      <c r="AE148" s="55">
        <v>0.96085730240975298</v>
      </c>
      <c r="AI148" s="78"/>
      <c r="BF148">
        <v>0.95593575185775126</v>
      </c>
      <c r="BG148" s="1">
        <v>85</v>
      </c>
      <c r="BH148">
        <f t="shared" si="28"/>
        <v>-0.19525476451997853</v>
      </c>
      <c r="BI148">
        <f t="shared" si="29"/>
        <v>-1.3828082515304235E-2</v>
      </c>
      <c r="BJ148">
        <f t="shared" si="27"/>
        <v>-1.3218758456018378E-2</v>
      </c>
    </row>
    <row r="149" spans="1:62" x14ac:dyDescent="0.3">
      <c r="B149" s="1" t="s">
        <v>30</v>
      </c>
      <c r="C149" s="17">
        <f>C142/C147*100</f>
        <v>100</v>
      </c>
      <c r="D149" s="17">
        <f>D143/D147*100</f>
        <v>100</v>
      </c>
      <c r="E149" s="17">
        <f>E144/E147*100</f>
        <v>98.717462262948686</v>
      </c>
      <c r="F149" s="17">
        <f>F145/F147*100</f>
        <v>95.457398933339078</v>
      </c>
      <c r="G149" s="17">
        <f>G146/G147*100</f>
        <v>86.403759929262606</v>
      </c>
      <c r="H149" s="1"/>
      <c r="S149" s="66" t="s">
        <v>39</v>
      </c>
      <c r="T149" s="67">
        <f t="shared" si="32"/>
        <v>0</v>
      </c>
      <c r="U149" s="67">
        <f t="shared" si="32"/>
        <v>0</v>
      </c>
      <c r="V149" s="67">
        <f t="shared" si="32"/>
        <v>0.80243366308208397</v>
      </c>
      <c r="W149" s="67">
        <f t="shared" si="32"/>
        <v>0.99442435925141492</v>
      </c>
      <c r="X149" s="67">
        <f t="shared" si="32"/>
        <v>6.018794633299863</v>
      </c>
      <c r="AC149" t="s">
        <v>248</v>
      </c>
      <c r="AD149" s="55">
        <v>0.91091954022988497</v>
      </c>
      <c r="AE149" s="55">
        <v>0.94448907505652002</v>
      </c>
      <c r="AH149" s="78"/>
      <c r="BF149">
        <v>0.955964792367201</v>
      </c>
      <c r="BG149" s="1">
        <v>86</v>
      </c>
      <c r="BH149">
        <f t="shared" si="28"/>
        <v>-0.1825118906089187</v>
      </c>
      <c r="BI149">
        <f t="shared" si="29"/>
        <v>-1.2925623042125935E-2</v>
      </c>
      <c r="BJ149">
        <f t="shared" si="27"/>
        <v>-1.2356440547682628E-2</v>
      </c>
    </row>
    <row r="150" spans="1:62" x14ac:dyDescent="0.3">
      <c r="B150" s="16" t="s">
        <v>39</v>
      </c>
      <c r="C150" s="18">
        <f>SQRT((C153+C154)/(C147*C147))</f>
        <v>0</v>
      </c>
      <c r="D150" s="18">
        <f>SQRT((D153+D154)/(D147*D147))</f>
        <v>0</v>
      </c>
      <c r="E150" s="18">
        <f>SQRT((E153+E154)/(E147*E147))</f>
        <v>0.81059889929224005</v>
      </c>
      <c r="F150" s="18">
        <f>SQRT((F153+F154)/(F147*F147))</f>
        <v>0.97595274267445942</v>
      </c>
      <c r="G150" s="18">
        <f>SQRT((G153+G154)/(G147*G147))</f>
        <v>6.2985822161078708</v>
      </c>
      <c r="H150" s="1"/>
      <c r="I150" s="14"/>
      <c r="S150" s="15" t="s">
        <v>31</v>
      </c>
      <c r="T150" s="71">
        <f>I403</f>
        <v>99.130434782608702</v>
      </c>
      <c r="U150" s="71">
        <f>I404</f>
        <v>100</v>
      </c>
      <c r="V150" s="71">
        <f>I405</f>
        <v>100</v>
      </c>
      <c r="W150" s="71">
        <f>I406</f>
        <v>95.833333333333343</v>
      </c>
      <c r="X150" s="71">
        <f>I407</f>
        <v>82.377049180327873</v>
      </c>
      <c r="AC150" t="s">
        <v>249</v>
      </c>
      <c r="AD150" s="55">
        <v>0.93247126436781602</v>
      </c>
      <c r="AE150" s="55">
        <v>0.95195959969247901</v>
      </c>
      <c r="AI150" s="78"/>
      <c r="BF150">
        <v>0.95603225051384499</v>
      </c>
      <c r="BG150" s="1">
        <v>87</v>
      </c>
      <c r="BH150">
        <f t="shared" si="28"/>
        <v>-0.16979858557289609</v>
      </c>
      <c r="BI150">
        <f t="shared" si="29"/>
        <v>-1.2025257657892939E-2</v>
      </c>
      <c r="BJ150">
        <f t="shared" si="27"/>
        <v>-1.1496534141684235E-2</v>
      </c>
    </row>
    <row r="151" spans="1:62" x14ac:dyDescent="0.3">
      <c r="B151" s="1" t="s">
        <v>37</v>
      </c>
      <c r="C151" s="18">
        <f>100-C149</f>
        <v>0</v>
      </c>
      <c r="D151" s="18">
        <f>100-D149</f>
        <v>0</v>
      </c>
      <c r="E151" s="18">
        <f>100-E149</f>
        <v>1.2825377370513138</v>
      </c>
      <c r="F151" s="18">
        <f>100-F149</f>
        <v>4.5426010666609216</v>
      </c>
      <c r="G151" s="18">
        <f>100-G149</f>
        <v>13.596240070737394</v>
      </c>
      <c r="S151" s="75" t="s">
        <v>39</v>
      </c>
      <c r="T151" s="76">
        <f>J403</f>
        <v>0.86956521739130099</v>
      </c>
      <c r="U151" s="76">
        <f>J404</f>
        <v>0</v>
      </c>
      <c r="V151" s="76">
        <f>J405</f>
        <v>0</v>
      </c>
      <c r="W151" s="76">
        <f>J406</f>
        <v>1.6710315802959967</v>
      </c>
      <c r="X151" s="76">
        <f>J407</f>
        <v>2.4442143716429219</v>
      </c>
      <c r="AC151" t="s">
        <v>250</v>
      </c>
      <c r="AD151" s="55">
        <v>0.93678160919540199</v>
      </c>
      <c r="AE151" s="55">
        <v>0.96160605723261305</v>
      </c>
      <c r="AH151" s="78"/>
      <c r="BF151">
        <v>0.95604431613482099</v>
      </c>
      <c r="BG151" s="1">
        <v>88</v>
      </c>
      <c r="BH151">
        <f t="shared" si="28"/>
        <v>-0.15711266676001351</v>
      </c>
      <c r="BI151">
        <f t="shared" si="29"/>
        <v>-1.1126831785631874E-2</v>
      </c>
      <c r="BJ151">
        <f t="shared" si="27"/>
        <v>-1.0637744285241614E-2</v>
      </c>
    </row>
    <row r="152" spans="1:62" ht="15.6" x14ac:dyDescent="0.35">
      <c r="B152" s="1" t="s">
        <v>25</v>
      </c>
      <c r="C152" s="1">
        <f>C136</f>
        <v>112</v>
      </c>
      <c r="D152" s="1">
        <f>D136</f>
        <v>15</v>
      </c>
      <c r="E152" s="1">
        <f>E136</f>
        <v>183</v>
      </c>
      <c r="F152" s="1">
        <f>F136</f>
        <v>182</v>
      </c>
      <c r="G152" s="1">
        <f>G136</f>
        <v>204</v>
      </c>
      <c r="S152" s="66" t="s">
        <v>51</v>
      </c>
      <c r="T152" s="67">
        <f>N392*100</f>
        <v>99.563318777292579</v>
      </c>
      <c r="U152" s="67">
        <f>N393*100</f>
        <v>100</v>
      </c>
      <c r="V152" s="67">
        <f>N394*100</f>
        <v>98.888888888888886</v>
      </c>
      <c r="W152" s="67">
        <f>N395*100</f>
        <v>85.448916408668737</v>
      </c>
      <c r="X152" s="67">
        <f>N396*100</f>
        <v>89.333333333333329</v>
      </c>
      <c r="AC152" t="s">
        <v>251</v>
      </c>
      <c r="AD152" s="55">
        <v>0.91522988505747105</v>
      </c>
      <c r="AE152" s="55">
        <v>0.94537318280921601</v>
      </c>
      <c r="AI152" s="78"/>
      <c r="BF152">
        <v>0.95606515977380702</v>
      </c>
      <c r="BG152" s="1">
        <v>89</v>
      </c>
      <c r="BH152">
        <f t="shared" si="28"/>
        <v>-0.14445198321177469</v>
      </c>
      <c r="BI152">
        <f t="shared" si="29"/>
        <v>-1.0230193092918755E-2</v>
      </c>
      <c r="BJ152">
        <f t="shared" si="27"/>
        <v>-9.7807311938982663E-3</v>
      </c>
    </row>
    <row r="153" spans="1:62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0</v>
      </c>
      <c r="E153" s="18">
        <f>(O144*O144*(100-E149)*(100-E149)*(I144)*(100-I144))/((L144-1)*100)</f>
        <v>0</v>
      </c>
      <c r="F153" s="18">
        <f>(O145*O145*(100-F149)*(100-F149)*(I145)*(100-I145))/((L145-1)*100)</f>
        <v>1230.0875698082768</v>
      </c>
      <c r="G153" s="18">
        <f>(O146*O146*(100-G149)*(100-G149)*(I146)*(100-I146))/((L146-1)*100)</f>
        <v>1788.096648129447</v>
      </c>
      <c r="R153" s="16" t="s">
        <v>61</v>
      </c>
      <c r="S153" t="s">
        <v>9</v>
      </c>
      <c r="T153" s="30">
        <f>N403</f>
        <v>164.19</v>
      </c>
      <c r="U153" s="30">
        <f>N404</f>
        <v>428.84</v>
      </c>
      <c r="V153" s="30">
        <f>N405</f>
        <v>25122.06</v>
      </c>
      <c r="W153" s="30">
        <f>N406</f>
        <v>28569.33</v>
      </c>
      <c r="X153" s="30">
        <f>N407</f>
        <v>8044.35</v>
      </c>
      <c r="Z153" t="s">
        <v>36</v>
      </c>
      <c r="AA153" s="1">
        <f>N408</f>
        <v>62328.77</v>
      </c>
      <c r="AC153" t="s">
        <v>252</v>
      </c>
      <c r="AD153" s="55">
        <v>0.92097701149425204</v>
      </c>
      <c r="AE153" s="55">
        <v>0.95563854556866001</v>
      </c>
      <c r="AH153" s="78"/>
      <c r="BF153">
        <v>0.95612911462323602</v>
      </c>
      <c r="BG153" s="1">
        <v>90</v>
      </c>
      <c r="BH153">
        <f t="shared" si="28"/>
        <v>-0.13181441295194157</v>
      </c>
      <c r="BI153">
        <f t="shared" si="29"/>
        <v>-9.3351912998739239E-3</v>
      </c>
      <c r="BJ153">
        <f t="shared" si="27"/>
        <v>-8.9256481923869913E-3</v>
      </c>
    </row>
    <row r="154" spans="1:62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0</v>
      </c>
      <c r="E154" s="18">
        <f>E149*E149*(SUM((H142*E142*(1-E131/H131))/(H131-1),(H143*E143*(1-E132/H132))/(H132-1), (H145*E145*(1-E134/H134))/(H134-1),(H146*E146*(1-E135/H135))/(H135-1)))</f>
        <v>1104.3286465613583</v>
      </c>
      <c r="F154" s="18">
        <f>F149*F149*(SUM((H142*F142*(1-F131/H131))/(H131-1),(H143*F143*(1-F132/H132))/(H132-1), (H144*F144*(1-F133/H133))/(H133-1),(H146*F146*(1-F135/H135))/(H135-1)))</f>
        <v>819.32356465693056</v>
      </c>
      <c r="G154" s="18">
        <f>G149*G149*(SUM((H142*G142*(1-G131/H131))/(H131-1),(H143*G143*(1-G132/H132))/(H132-1), (H144*G144*(1-G133/H133))/(H133-1),(H145*G145*(1-G134/H134))/(H134-1)))</f>
        <v>3735.4814471763111</v>
      </c>
      <c r="R154" s="16" t="s">
        <v>318</v>
      </c>
      <c r="S154" t="s">
        <v>63</v>
      </c>
      <c r="T154" s="57">
        <f>$AA153*T146/100</f>
        <v>162.76226086956521</v>
      </c>
      <c r="U154" s="57">
        <f>$AA153*U146/100</f>
        <v>428.84</v>
      </c>
      <c r="V154" s="57">
        <f>$AA153*V146/100</f>
        <v>25419.364067622948</v>
      </c>
      <c r="W154" s="57">
        <f>$AA153*W146/100</f>
        <v>28699.114890769786</v>
      </c>
      <c r="X154" s="57">
        <f>$AA153*X146/100</f>
        <v>7618.6887807377043</v>
      </c>
      <c r="Z154" t="s">
        <v>36</v>
      </c>
      <c r="AA154" s="25">
        <f>SUM(T154:X154)</f>
        <v>62328.770000000004</v>
      </c>
      <c r="AC154" t="s">
        <v>253</v>
      </c>
      <c r="AD154" s="55">
        <v>0.91810344827586199</v>
      </c>
      <c r="AE154" s="55">
        <v>0.95253209276724504</v>
      </c>
      <c r="AI154" s="78"/>
      <c r="BF154">
        <v>0.95616587919012797</v>
      </c>
      <c r="BG154" s="1">
        <v>91</v>
      </c>
      <c r="BH154">
        <f t="shared" si="28"/>
        <v>-0.11919786036346161</v>
      </c>
      <c r="BI154">
        <f t="shared" si="29"/>
        <v>-8.4416779933941481E-3</v>
      </c>
      <c r="BJ154">
        <f t="shared" si="27"/>
        <v>-8.0716444603936705E-3</v>
      </c>
    </row>
    <row r="155" spans="1:62" x14ac:dyDescent="0.3">
      <c r="R155" s="66"/>
      <c r="S155" s="66" t="s">
        <v>62</v>
      </c>
      <c r="T155" s="67">
        <f>$AA153*T147/100</f>
        <v>1.4215180153059002</v>
      </c>
      <c r="U155" s="67">
        <f>$AA153*U147/100</f>
        <v>0</v>
      </c>
      <c r="V155" s="67">
        <f>$AA153*V147/100</f>
        <v>205.69193828951086</v>
      </c>
      <c r="W155" s="67">
        <f>$AA153*W147/100</f>
        <v>512.52542419056931</v>
      </c>
      <c r="X155" s="67">
        <f>$AA153*X147/100</f>
        <v>477.99254111781164</v>
      </c>
      <c r="AA155" s="1"/>
      <c r="AC155" t="s">
        <v>254</v>
      </c>
      <c r="AD155" s="55">
        <v>0.92241379310344795</v>
      </c>
      <c r="AE155" s="55">
        <v>0.95955682512797502</v>
      </c>
      <c r="AH155" s="78"/>
      <c r="BF155">
        <v>0.95625206282943098</v>
      </c>
      <c r="BG155" s="1">
        <v>92</v>
      </c>
      <c r="BH155">
        <f t="shared" si="28"/>
        <v>-0.10660025364469777</v>
      </c>
      <c r="BI155">
        <f t="shared" si="29"/>
        <v>-7.5495064470010092E-3</v>
      </c>
      <c r="BJ155">
        <f t="shared" si="27"/>
        <v>-7.2192311132888033E-3</v>
      </c>
    </row>
    <row r="156" spans="1:62" x14ac:dyDescent="0.3">
      <c r="R156" t="s">
        <v>102</v>
      </c>
      <c r="S156" t="s">
        <v>28</v>
      </c>
      <c r="T156" s="57">
        <f t="shared" ref="T156:X159" si="34">C437</f>
        <v>0.26451971792722123</v>
      </c>
      <c r="U156" s="57">
        <f t="shared" si="34"/>
        <v>0.5037480277971107</v>
      </c>
      <c r="V156" s="57">
        <f t="shared" si="34"/>
        <v>41.404878021492074</v>
      </c>
      <c r="W156" s="57">
        <f t="shared" si="34"/>
        <v>45.558490022240747</v>
      </c>
      <c r="X156" s="57">
        <f t="shared" si="34"/>
        <v>12.268364210542833</v>
      </c>
      <c r="Z156" s="74"/>
      <c r="AA156" s="12"/>
      <c r="AC156" t="s">
        <v>255</v>
      </c>
      <c r="AD156" s="55">
        <v>0.94971264367816</v>
      </c>
      <c r="AE156" s="55">
        <v>0.96270481344881897</v>
      </c>
      <c r="AI156" s="78"/>
      <c r="BF156">
        <v>0.95631959795746502</v>
      </c>
      <c r="BG156" s="1">
        <v>93</v>
      </c>
      <c r="BH156">
        <f t="shared" si="28"/>
        <v>-9.4019542336647222E-2</v>
      </c>
      <c r="BI156">
        <f t="shared" si="29"/>
        <v>-6.6585314457167574E-3</v>
      </c>
      <c r="BJ156">
        <f t="shared" si="27"/>
        <v>-6.3676841151549882E-3</v>
      </c>
    </row>
    <row r="157" spans="1:62" x14ac:dyDescent="0.3">
      <c r="A157" s="348">
        <v>1977</v>
      </c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 t="s">
        <v>78</v>
      </c>
      <c r="M157" s="348"/>
      <c r="N157" s="348"/>
      <c r="O157" s="348"/>
      <c r="P157" s="348"/>
      <c r="S157" s="66" t="s">
        <v>39</v>
      </c>
      <c r="T157" s="67">
        <f t="shared" si="34"/>
        <v>3.2815944372168717E-3</v>
      </c>
      <c r="U157" s="67">
        <f t="shared" si="34"/>
        <v>0</v>
      </c>
      <c r="V157" s="67">
        <f t="shared" si="34"/>
        <v>0.32637200644249825</v>
      </c>
      <c r="W157" s="67">
        <f t="shared" si="34"/>
        <v>0.81564540950769415</v>
      </c>
      <c r="X157" s="67">
        <f t="shared" si="34"/>
        <v>0.76136300868637863</v>
      </c>
      <c r="AC157" t="s">
        <v>256</v>
      </c>
      <c r="AD157" s="55">
        <v>0.94540229885057403</v>
      </c>
      <c r="AE157" s="55">
        <v>0.96410432886530595</v>
      </c>
      <c r="AH157" s="78"/>
      <c r="BF157">
        <v>0.95635524386673898</v>
      </c>
      <c r="BG157" s="1">
        <v>94</v>
      </c>
      <c r="BH157">
        <f t="shared" si="28"/>
        <v>-8.1453694913247957E-2</v>
      </c>
      <c r="BI157">
        <f t="shared" si="29"/>
        <v>-5.7686091154080963E-3</v>
      </c>
      <c r="BJ157">
        <f t="shared" si="27"/>
        <v>-5.5168395773380037E-3</v>
      </c>
    </row>
    <row r="158" spans="1:62" x14ac:dyDescent="0.3">
      <c r="A158" t="s">
        <v>315</v>
      </c>
      <c r="B158" t="s">
        <v>21</v>
      </c>
      <c r="I158" s="1" t="s">
        <v>53</v>
      </c>
      <c r="O158" s="350"/>
      <c r="P158" s="350"/>
      <c r="S158" t="s">
        <v>30</v>
      </c>
      <c r="T158" s="57">
        <f t="shared" si="34"/>
        <v>100</v>
      </c>
      <c r="U158" s="57">
        <f t="shared" si="34"/>
        <v>100</v>
      </c>
      <c r="V158" s="57">
        <f t="shared" si="34"/>
        <v>98.853591852777726</v>
      </c>
      <c r="W158" s="57">
        <f t="shared" si="34"/>
        <v>95.176240293234343</v>
      </c>
      <c r="X158" s="57">
        <f t="shared" si="34"/>
        <v>87.194335361376744</v>
      </c>
      <c r="AC158" t="s">
        <v>257</v>
      </c>
      <c r="AD158" s="55">
        <v>0.92241379310344795</v>
      </c>
      <c r="AE158" s="55">
        <v>0.95945466976503202</v>
      </c>
      <c r="AI158" s="78"/>
      <c r="BF158">
        <v>0.95637132593005003</v>
      </c>
      <c r="BG158" s="1">
        <v>95</v>
      </c>
      <c r="BH158">
        <f t="shared" si="28"/>
        <v>-6.8900696427226377E-2</v>
      </c>
      <c r="BI158">
        <f t="shared" si="29"/>
        <v>-4.8795967560634193E-3</v>
      </c>
      <c r="BJ158">
        <f t="shared" si="27"/>
        <v>-4.6667064196003428E-3</v>
      </c>
    </row>
    <row r="159" spans="1:62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51</v>
      </c>
      <c r="S159" s="66" t="s">
        <v>39</v>
      </c>
      <c r="T159" s="67">
        <f t="shared" si="34"/>
        <v>0</v>
      </c>
      <c r="U159" s="67">
        <f t="shared" si="34"/>
        <v>0</v>
      </c>
      <c r="V159" s="67">
        <f t="shared" si="34"/>
        <v>0.78183963365214981</v>
      </c>
      <c r="W159" s="67">
        <f t="shared" si="34"/>
        <v>1.0337083801965756</v>
      </c>
      <c r="X159" s="67">
        <f t="shared" si="34"/>
        <v>5.9602920861466622</v>
      </c>
      <c r="AC159" t="s">
        <v>258</v>
      </c>
      <c r="AD159" s="55">
        <v>0.91810344827586199</v>
      </c>
      <c r="AE159" s="55">
        <v>0.95517181176382504</v>
      </c>
      <c r="AH159" s="78"/>
      <c r="BF159">
        <v>0.95639068921707504</v>
      </c>
      <c r="BG159" s="1">
        <v>96</v>
      </c>
      <c r="BH159">
        <f t="shared" si="28"/>
        <v>-5.6358546204254636E-2</v>
      </c>
      <c r="BI159">
        <f t="shared" si="29"/>
        <v>-3.9913526784913769E-3</v>
      </c>
      <c r="BJ159">
        <f t="shared" si="27"/>
        <v>-3.8172925390907867E-3</v>
      </c>
    </row>
    <row r="160" spans="1:62" x14ac:dyDescent="0.3">
      <c r="A160" t="s">
        <v>3</v>
      </c>
      <c r="B160" s="13">
        <v>0</v>
      </c>
      <c r="C160" s="26">
        <v>113</v>
      </c>
      <c r="D160" s="3">
        <v>0</v>
      </c>
      <c r="E160" s="3">
        <v>0</v>
      </c>
      <c r="F160" s="3">
        <v>2</v>
      </c>
      <c r="G160" s="4">
        <v>0</v>
      </c>
      <c r="H160" s="1">
        <f>SUM(C160:G160)</f>
        <v>115</v>
      </c>
      <c r="I160" s="10">
        <f>C160/H160</f>
        <v>0.9826086956521739</v>
      </c>
      <c r="J160" s="11">
        <f>1-I160</f>
        <v>1.7391304347826098E-2</v>
      </c>
      <c r="K160">
        <f>H160-C165</f>
        <v>2</v>
      </c>
      <c r="N160" s="10">
        <f>2*(C166*I160)/(C166+I160)</f>
        <v>0.99122807017543857</v>
      </c>
      <c r="S160" s="15" t="s">
        <v>31</v>
      </c>
      <c r="T160" s="71">
        <f>I432</f>
        <v>98.260869565217391</v>
      </c>
      <c r="U160" s="71">
        <f>I433</f>
        <v>100</v>
      </c>
      <c r="V160" s="71">
        <f>I434</f>
        <v>100</v>
      </c>
      <c r="W160" s="71">
        <f>I435</f>
        <v>95.833333333333343</v>
      </c>
      <c r="X160" s="71">
        <f>I436</f>
        <v>81.967213114754117</v>
      </c>
      <c r="AC160" t="s">
        <v>259</v>
      </c>
      <c r="AD160" s="55">
        <v>0.91522988505747105</v>
      </c>
      <c r="AE160" s="55">
        <v>0.95410815699645402</v>
      </c>
      <c r="AI160" s="78"/>
      <c r="BF160">
        <v>0.95645235178606103</v>
      </c>
      <c r="BG160" s="1">
        <v>97</v>
      </c>
      <c r="BH160">
        <f t="shared" si="28"/>
        <v>-4.382525557845094E-2</v>
      </c>
      <c r="BI160">
        <f t="shared" si="29"/>
        <v>-3.1037360439473871E-3</v>
      </c>
      <c r="BJ160">
        <f t="shared" si="27"/>
        <v>-2.9685756385566435E-3</v>
      </c>
    </row>
    <row r="161" spans="1:62" x14ac:dyDescent="0.3">
      <c r="A161" t="s">
        <v>4</v>
      </c>
      <c r="B161" s="13">
        <v>1</v>
      </c>
      <c r="C161" s="5">
        <v>0</v>
      </c>
      <c r="D161" s="27">
        <v>15</v>
      </c>
      <c r="E161" s="1">
        <v>0</v>
      </c>
      <c r="F161" s="1">
        <v>0</v>
      </c>
      <c r="G161" s="6">
        <v>0</v>
      </c>
      <c r="H161" s="1">
        <f>SUM(C161:G161)</f>
        <v>15</v>
      </c>
      <c r="I161" s="10">
        <f>D161/H161</f>
        <v>1</v>
      </c>
      <c r="J161" s="11">
        <f>1-I161</f>
        <v>0</v>
      </c>
      <c r="K161">
        <f>H161-D165</f>
        <v>0</v>
      </c>
      <c r="N161" s="10">
        <f>2*(D166*I161)/(D166+I161)</f>
        <v>1</v>
      </c>
      <c r="S161" s="75" t="s">
        <v>39</v>
      </c>
      <c r="T161" s="76">
        <f>J432</f>
        <v>1.2243453990683941</v>
      </c>
      <c r="U161" s="76">
        <f>J433</f>
        <v>0</v>
      </c>
      <c r="V161" s="76">
        <f>J434</f>
        <v>0</v>
      </c>
      <c r="W161" s="76">
        <f>J435</f>
        <v>1.6710315802959967</v>
      </c>
      <c r="X161" s="76">
        <f>J436</f>
        <v>2.466314026908305</v>
      </c>
      <c r="AC161" t="s">
        <v>260</v>
      </c>
      <c r="AD161" s="55">
        <v>0.91954022988505701</v>
      </c>
      <c r="AE161" s="55">
        <v>0.95077550578634495</v>
      </c>
      <c r="AH161" s="78"/>
      <c r="BF161">
        <v>0.95656235855737104</v>
      </c>
      <c r="BG161" s="1">
        <v>98</v>
      </c>
      <c r="BH161">
        <f t="shared" si="28"/>
        <v>-3.1298845662488722E-2</v>
      </c>
      <c r="BI161">
        <f t="shared" si="29"/>
        <v>-2.2166067062111641E-3</v>
      </c>
      <c r="BJ161">
        <f t="shared" si="27"/>
        <v>-2.1203225388874368E-3</v>
      </c>
    </row>
    <row r="162" spans="1:62" x14ac:dyDescent="0.3">
      <c r="A162" t="s">
        <v>5</v>
      </c>
      <c r="B162" s="13">
        <v>2</v>
      </c>
      <c r="C162" s="5">
        <v>0</v>
      </c>
      <c r="D162" s="1">
        <v>0</v>
      </c>
      <c r="E162" s="27">
        <v>178</v>
      </c>
      <c r="F162" s="1">
        <v>0</v>
      </c>
      <c r="G162" s="6">
        <v>0</v>
      </c>
      <c r="H162" s="1">
        <f>SUM(C162:G162)</f>
        <v>178</v>
      </c>
      <c r="I162" s="10">
        <f>E162/H162</f>
        <v>1</v>
      </c>
      <c r="J162" s="11">
        <f>1-I162</f>
        <v>0</v>
      </c>
      <c r="K162">
        <f>H162-E165</f>
        <v>-3</v>
      </c>
      <c r="N162" s="10">
        <f>2*(E166*I162)/(E166+I162)</f>
        <v>0.99164345403899734</v>
      </c>
      <c r="S162" s="66" t="s">
        <v>51</v>
      </c>
      <c r="T162" s="67">
        <f>N421*100</f>
        <v>99.122807017543863</v>
      </c>
      <c r="U162" s="67">
        <f>N422*100</f>
        <v>100</v>
      </c>
      <c r="V162" s="67">
        <f>N423*100</f>
        <v>98.888888888888886</v>
      </c>
      <c r="W162" s="67">
        <f>N424*100</f>
        <v>84.92307692307692</v>
      </c>
      <c r="X162" s="67">
        <f>N425*100</f>
        <v>89.086859688196</v>
      </c>
      <c r="AC162" t="s">
        <v>261</v>
      </c>
      <c r="AD162" s="55">
        <v>0.95545977011494199</v>
      </c>
      <c r="AE162" s="55">
        <v>0.96844626599290795</v>
      </c>
      <c r="AI162" s="78"/>
      <c r="BF162">
        <v>0.95664326075125194</v>
      </c>
      <c r="BG162" s="1">
        <v>99</v>
      </c>
      <c r="BH162">
        <f t="shared" si="28"/>
        <v>-1.8777345145768697E-2</v>
      </c>
      <c r="BI162">
        <f t="shared" si="29"/>
        <v>-1.3298250556516842E-3</v>
      </c>
      <c r="BJ162">
        <f t="shared" si="27"/>
        <v>-1.2721681774673422E-3</v>
      </c>
    </row>
    <row r="163" spans="1:62" x14ac:dyDescent="0.3">
      <c r="A163" t="s">
        <v>6</v>
      </c>
      <c r="B163" s="13">
        <v>3</v>
      </c>
      <c r="C163" s="5">
        <v>0</v>
      </c>
      <c r="D163" s="1">
        <v>0</v>
      </c>
      <c r="E163" s="1">
        <v>1</v>
      </c>
      <c r="F163" s="27">
        <v>138</v>
      </c>
      <c r="G163" s="6">
        <v>5</v>
      </c>
      <c r="H163" s="1">
        <f>SUM(C163:G163)</f>
        <v>144</v>
      </c>
      <c r="I163" s="10">
        <f>F163/H163</f>
        <v>0.95833333333333337</v>
      </c>
      <c r="J163" s="11">
        <f>1-I163</f>
        <v>4.166666666666663E-2</v>
      </c>
      <c r="K163">
        <f>H163-F165</f>
        <v>-37</v>
      </c>
      <c r="N163" s="10">
        <f>2*(F166*I163)/(F166+I163)</f>
        <v>0.84923076923076923</v>
      </c>
      <c r="R163" s="16" t="s">
        <v>61</v>
      </c>
      <c r="S163" t="s">
        <v>9</v>
      </c>
      <c r="T163" s="30">
        <f>N432</f>
        <v>167.79</v>
      </c>
      <c r="U163" s="30">
        <f>N433</f>
        <v>313.98</v>
      </c>
      <c r="V163" s="30">
        <f>N434</f>
        <v>25511.3</v>
      </c>
      <c r="W163" s="30">
        <f>N435</f>
        <v>28201.35</v>
      </c>
      <c r="X163" s="30">
        <f>N436</f>
        <v>8134.36</v>
      </c>
      <c r="Z163" t="s">
        <v>36</v>
      </c>
      <c r="AA163" s="1">
        <f>N437</f>
        <v>62328.78</v>
      </c>
      <c r="AC163" t="s">
        <v>262</v>
      </c>
      <c r="AD163" s="55">
        <v>0.91379310344827502</v>
      </c>
      <c r="AE163" s="55">
        <v>0.94457261201395304</v>
      </c>
      <c r="AH163" s="78"/>
      <c r="BF163">
        <v>0.95667556019115196</v>
      </c>
      <c r="BG163" s="1">
        <v>100</v>
      </c>
      <c r="BH163">
        <f t="shared" si="28"/>
        <v>-6.2587881142602613E-3</v>
      </c>
      <c r="BI163">
        <f t="shared" si="29"/>
        <v>-4.4325186482679023E-4</v>
      </c>
      <c r="BJ163">
        <f t="shared" si="27"/>
        <v>-4.2404822608894233E-4</v>
      </c>
    </row>
    <row r="164" spans="1:62" ht="15.6" x14ac:dyDescent="0.35">
      <c r="A164" t="s">
        <v>7</v>
      </c>
      <c r="B164" s="13">
        <v>4</v>
      </c>
      <c r="C164" s="7">
        <v>0</v>
      </c>
      <c r="D164" s="8">
        <v>0</v>
      </c>
      <c r="E164" s="8">
        <v>2</v>
      </c>
      <c r="F164" s="8">
        <v>41</v>
      </c>
      <c r="G164" s="28">
        <v>201</v>
      </c>
      <c r="H164" s="1">
        <f>SUM(C164:G164)</f>
        <v>244</v>
      </c>
      <c r="I164" s="10">
        <f>G164/H164</f>
        <v>0.82377049180327866</v>
      </c>
      <c r="J164" s="11">
        <f>1-I164</f>
        <v>0.17622950819672134</v>
      </c>
      <c r="K164">
        <f>H164-G165</f>
        <v>38</v>
      </c>
      <c r="N164" s="10">
        <f>2*(G166*I164)/(G166+I164)</f>
        <v>0.89333333333333331</v>
      </c>
      <c r="R164" s="16" t="s">
        <v>318</v>
      </c>
      <c r="S164" t="s">
        <v>63</v>
      </c>
      <c r="T164" s="57">
        <f>$AA163*T156/100</f>
        <v>164.87191304347826</v>
      </c>
      <c r="U164" s="57">
        <f>$AA163*U156/100</f>
        <v>313.97999999999996</v>
      </c>
      <c r="V164" s="57">
        <f>$AA163*V156/100</f>
        <v>25807.155331284146</v>
      </c>
      <c r="W164" s="57">
        <f>$AA163*W156/100</f>
        <v>28396.051017284382</v>
      </c>
      <c r="X164" s="57">
        <f>$AA163*X156/100</f>
        <v>7646.7217383879797</v>
      </c>
      <c r="Z164" t="s">
        <v>36</v>
      </c>
      <c r="AA164" s="25">
        <f>SUM(T164:X164)</f>
        <v>62328.779999999984</v>
      </c>
      <c r="AC164" t="s">
        <v>263</v>
      </c>
      <c r="AD164" s="55">
        <v>0.92959770114942497</v>
      </c>
      <c r="AE164" s="55">
        <v>0.96140348577736401</v>
      </c>
      <c r="AI164" s="78"/>
      <c r="BF164">
        <v>0.95670616832182298</v>
      </c>
      <c r="BG164" s="1">
        <v>101</v>
      </c>
      <c r="BH164">
        <f t="shared" si="28"/>
        <v>6.2587881142602613E-3</v>
      </c>
      <c r="BI164">
        <f t="shared" si="29"/>
        <v>4.4325186482679023E-4</v>
      </c>
      <c r="BJ164">
        <f t="shared" si="27"/>
        <v>4.240617931999411E-4</v>
      </c>
    </row>
    <row r="165" spans="1:62" ht="15.6" x14ac:dyDescent="0.35">
      <c r="B165" s="1" t="s">
        <v>19</v>
      </c>
      <c r="C165" s="1">
        <f>SUM(C160:C164)</f>
        <v>113</v>
      </c>
      <c r="D165" s="1">
        <f>SUM(D160:D164)</f>
        <v>15</v>
      </c>
      <c r="E165" s="1">
        <f>SUM(E160:E164)</f>
        <v>181</v>
      </c>
      <c r="F165" s="1">
        <f>SUM(F160:F164)</f>
        <v>181</v>
      </c>
      <c r="G165" s="1">
        <f>SUM(G160:G164)</f>
        <v>206</v>
      </c>
      <c r="H165" s="1">
        <f>SUM(H159:H164)</f>
        <v>696</v>
      </c>
      <c r="I165" s="13" t="s">
        <v>12</v>
      </c>
      <c r="N165" s="16" t="s">
        <v>36</v>
      </c>
      <c r="R165" s="66"/>
      <c r="S165" s="66" t="s">
        <v>62</v>
      </c>
      <c r="T165" s="67">
        <f>$AA163*T157/100</f>
        <v>2.0453777772651422</v>
      </c>
      <c r="U165" s="67">
        <f>$AA163*U157/100</f>
        <v>0</v>
      </c>
      <c r="V165" s="67">
        <f>$AA163*V157/100</f>
        <v>203.42368987713056</v>
      </c>
      <c r="W165" s="67">
        <f>$AA163*W157/100</f>
        <v>508.38183287214974</v>
      </c>
      <c r="X165" s="67">
        <f>$AA163*X157/100</f>
        <v>474.54827468551383</v>
      </c>
      <c r="AA165" s="1"/>
      <c r="AC165" t="s">
        <v>264</v>
      </c>
      <c r="AD165" s="55">
        <v>0.91379310344827502</v>
      </c>
      <c r="AE165" s="55">
        <v>0.95280461954130902</v>
      </c>
      <c r="AH165" s="78"/>
      <c r="BF165">
        <v>0.95704446327482495</v>
      </c>
      <c r="BG165" s="1">
        <v>102</v>
      </c>
      <c r="BH165">
        <f t="shared" si="28"/>
        <v>1.8777345145768697E-2</v>
      </c>
      <c r="BI165">
        <f t="shared" si="29"/>
        <v>1.3298250556516842E-3</v>
      </c>
      <c r="BJ165">
        <f t="shared" si="27"/>
        <v>1.2727017066355803E-3</v>
      </c>
    </row>
    <row r="166" spans="1:62" x14ac:dyDescent="0.3">
      <c r="A166" s="1" t="s">
        <v>316</v>
      </c>
      <c r="B166" s="1" t="s">
        <v>2</v>
      </c>
      <c r="C166" s="10">
        <f>C160/C165</f>
        <v>1</v>
      </c>
      <c r="D166" s="10">
        <f>D161/D165</f>
        <v>1</v>
      </c>
      <c r="E166" s="10">
        <f>E162/E165</f>
        <v>0.98342541436464093</v>
      </c>
      <c r="F166" s="10">
        <f>F163/F165</f>
        <v>0.76243093922651939</v>
      </c>
      <c r="G166" s="10">
        <f>G164/G165</f>
        <v>0.97572815533980584</v>
      </c>
      <c r="H166" s="10"/>
      <c r="I166" s="14">
        <f>(C160+D161+E162+F163+G164)/H165</f>
        <v>0.92672413793103448</v>
      </c>
      <c r="R166" t="s">
        <v>103</v>
      </c>
      <c r="S166" t="s">
        <v>28</v>
      </c>
      <c r="T166" s="57">
        <f t="shared" ref="T166:X169" si="35">C466</f>
        <v>0.24739356570808516</v>
      </c>
      <c r="U166" s="57">
        <f t="shared" si="35"/>
        <v>0.53841900964530343</v>
      </c>
      <c r="V166" s="57">
        <f t="shared" si="35"/>
        <v>41.770075905521381</v>
      </c>
      <c r="W166" s="57">
        <f t="shared" si="35"/>
        <v>45.9516639404277</v>
      </c>
      <c r="X166" s="57">
        <f t="shared" si="35"/>
        <v>11.492447578697533</v>
      </c>
      <c r="Z166" s="74"/>
      <c r="AA166" s="12"/>
      <c r="AC166" t="s">
        <v>265</v>
      </c>
      <c r="AD166" s="55">
        <v>0.95114942528735602</v>
      </c>
      <c r="AE166" s="55">
        <v>0.97009629244819595</v>
      </c>
      <c r="AI166" s="78"/>
      <c r="BF166">
        <v>0.95714550734676795</v>
      </c>
      <c r="BG166" s="1">
        <v>103</v>
      </c>
      <c r="BH166">
        <f t="shared" si="28"/>
        <v>3.1298845662488868E-2</v>
      </c>
      <c r="BI166">
        <f t="shared" si="29"/>
        <v>2.2166067062111745E-3</v>
      </c>
      <c r="BJ166">
        <f t="shared" si="27"/>
        <v>2.1216151504047428E-3</v>
      </c>
    </row>
    <row r="167" spans="1:62" x14ac:dyDescent="0.3">
      <c r="B167" s="1" t="s">
        <v>14</v>
      </c>
      <c r="C167" s="11">
        <f>1-C166</f>
        <v>0</v>
      </c>
      <c r="D167" s="11">
        <f>1-D166</f>
        <v>0</v>
      </c>
      <c r="E167" s="11">
        <f>1-E166</f>
        <v>1.6574585635359074E-2</v>
      </c>
      <c r="F167" s="11">
        <f>1-F166</f>
        <v>0.23756906077348061</v>
      </c>
      <c r="G167" s="11">
        <f>1-G166</f>
        <v>2.4271844660194164E-2</v>
      </c>
      <c r="S167" s="66" t="s">
        <v>39</v>
      </c>
      <c r="T167" s="67">
        <f t="shared" si="35"/>
        <v>2.16066309626058E-3</v>
      </c>
      <c r="U167" s="67">
        <f t="shared" si="35"/>
        <v>0</v>
      </c>
      <c r="V167" s="67">
        <f t="shared" si="35"/>
        <v>0.32493063459774141</v>
      </c>
      <c r="W167" s="67">
        <f t="shared" si="35"/>
        <v>0.75918140236490494</v>
      </c>
      <c r="X167" s="67">
        <f t="shared" si="35"/>
        <v>0.6996022742257344</v>
      </c>
      <c r="AC167" t="s">
        <v>266</v>
      </c>
      <c r="AD167" s="55">
        <v>0.93247126436781602</v>
      </c>
      <c r="AE167" s="55">
        <v>0.95734359710846895</v>
      </c>
      <c r="AH167" s="78"/>
      <c r="BF167">
        <v>0.95717616897379898</v>
      </c>
      <c r="BG167" s="1">
        <v>104</v>
      </c>
      <c r="BH167">
        <f t="shared" si="28"/>
        <v>4.3825255578451086E-2</v>
      </c>
      <c r="BI167">
        <f t="shared" si="29"/>
        <v>3.1037360439473975E-3</v>
      </c>
      <c r="BJ167">
        <f t="shared" si="27"/>
        <v>2.9708221760514648E-3</v>
      </c>
    </row>
    <row r="168" spans="1:62" x14ac:dyDescent="0.3">
      <c r="C168" s="2"/>
      <c r="S168" t="s">
        <v>30</v>
      </c>
      <c r="T168" s="57">
        <f t="shared" si="35"/>
        <v>100</v>
      </c>
      <c r="U168" s="57">
        <f t="shared" si="35"/>
        <v>100</v>
      </c>
      <c r="V168" s="57">
        <f t="shared" si="35"/>
        <v>98.873050851805345</v>
      </c>
      <c r="W168" s="57">
        <f t="shared" si="35"/>
        <v>94.738640398993638</v>
      </c>
      <c r="X168" s="57">
        <f t="shared" si="35"/>
        <v>89.099132782571843</v>
      </c>
      <c r="AC168" t="s">
        <v>267</v>
      </c>
      <c r="AD168" s="55">
        <v>0.93678160919540199</v>
      </c>
      <c r="AE168" s="55">
        <v>0.96461966746458605</v>
      </c>
      <c r="AI168" s="78"/>
      <c r="BF168">
        <v>0.95731292950799696</v>
      </c>
      <c r="BG168" s="1">
        <v>105</v>
      </c>
      <c r="BH168">
        <f t="shared" si="28"/>
        <v>5.6358546204254782E-2</v>
      </c>
      <c r="BI168">
        <f t="shared" si="29"/>
        <v>3.9913526784913873E-3</v>
      </c>
      <c r="BJ168">
        <f t="shared" si="27"/>
        <v>3.8209735253461803E-3</v>
      </c>
    </row>
    <row r="169" spans="1:62" ht="15.6" x14ac:dyDescent="0.35">
      <c r="A169" t="s">
        <v>317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 t="shared" si="35"/>
        <v>0</v>
      </c>
      <c r="U169" s="67">
        <f t="shared" si="35"/>
        <v>0</v>
      </c>
      <c r="V169" s="67">
        <f t="shared" si="35"/>
        <v>0.77173558760165095</v>
      </c>
      <c r="W169" s="67">
        <f t="shared" si="35"/>
        <v>1.031656461754729</v>
      </c>
      <c r="X169" s="67">
        <f t="shared" si="35"/>
        <v>5.7309437265505583</v>
      </c>
      <c r="AC169" t="s">
        <v>268</v>
      </c>
      <c r="AD169" s="55">
        <v>0.92528735632183901</v>
      </c>
      <c r="AE169" s="55">
        <v>0.95670616832182298</v>
      </c>
      <c r="AH169" s="78"/>
      <c r="BF169">
        <v>0.95732779720179295</v>
      </c>
      <c r="BG169" s="1">
        <v>106</v>
      </c>
      <c r="BH169">
        <f t="shared" si="28"/>
        <v>6.8900696427226224E-2</v>
      </c>
      <c r="BI169">
        <f t="shared" si="29"/>
        <v>4.879596756063408E-3</v>
      </c>
      <c r="BJ169">
        <f t="shared" si="27"/>
        <v>4.6713736137151971E-3</v>
      </c>
    </row>
    <row r="170" spans="1:62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99.130434782608688</v>
      </c>
      <c r="U170" s="71">
        <f>I462</f>
        <v>100</v>
      </c>
      <c r="V170" s="71">
        <f>I463</f>
        <v>100</v>
      </c>
      <c r="W170" s="71">
        <f>I464</f>
        <v>96.527777777777786</v>
      </c>
      <c r="X170" s="71">
        <f>I465</f>
        <v>79.918032786885249</v>
      </c>
      <c r="AC170" t="s">
        <v>269</v>
      </c>
      <c r="AD170" s="55">
        <v>0.943965517241379</v>
      </c>
      <c r="AE170" s="55">
        <v>0.96702964079456399</v>
      </c>
      <c r="AI170" s="78"/>
      <c r="BF170">
        <v>0.95734359710846895</v>
      </c>
      <c r="BG170" s="1">
        <v>107</v>
      </c>
      <c r="BH170">
        <f t="shared" si="28"/>
        <v>8.1453694913247818E-2</v>
      </c>
      <c r="BI170">
        <f t="shared" si="29"/>
        <v>5.7686091154080868E-3</v>
      </c>
      <c r="BJ170">
        <f t="shared" si="27"/>
        <v>5.5225410008574805E-3</v>
      </c>
    </row>
    <row r="171" spans="1:62" x14ac:dyDescent="0.3">
      <c r="A171" t="s">
        <v>3</v>
      </c>
      <c r="B171" s="13">
        <v>0</v>
      </c>
      <c r="C171" s="29">
        <f t="shared" ref="C171:G175" si="36">(C160/$L171)*$O171</f>
        <v>0.25600665709637904</v>
      </c>
      <c r="D171" s="31">
        <f t="shared" si="36"/>
        <v>0</v>
      </c>
      <c r="E171" s="31">
        <f t="shared" si="36"/>
        <v>0</v>
      </c>
      <c r="F171" s="31">
        <f t="shared" si="36"/>
        <v>4.5310912760421068E-3</v>
      </c>
      <c r="G171" s="32">
        <f t="shared" si="36"/>
        <v>0</v>
      </c>
      <c r="H171" s="17">
        <f>SUM(C171:G171)</f>
        <v>0.26053774837242116</v>
      </c>
      <c r="I171" s="17">
        <f>C171/H171*100</f>
        <v>98.260869565217391</v>
      </c>
      <c r="J171" s="17">
        <f>SQRT(I171*(100-I171)/(L171-1))</f>
        <v>1.2243453990683941</v>
      </c>
      <c r="K171" s="18">
        <f>100-I171</f>
        <v>1.7391304347826093</v>
      </c>
      <c r="L171" s="1">
        <f>H160</f>
        <v>115</v>
      </c>
      <c r="M171">
        <v>0</v>
      </c>
      <c r="N171" s="1">
        <v>162.38999999999999</v>
      </c>
      <c r="O171" s="17">
        <f>N171/N176*100</f>
        <v>0.26053774837242116</v>
      </c>
      <c r="P171" s="52">
        <f>((O171*O171*(I171/100)*(K171/100))/(L171-1))</f>
        <v>1.0175346759457077E-5</v>
      </c>
      <c r="S171" s="75" t="s">
        <v>39</v>
      </c>
      <c r="T171" s="76">
        <f>J461</f>
        <v>0.8695652173913081</v>
      </c>
      <c r="U171" s="76">
        <f>J462</f>
        <v>0</v>
      </c>
      <c r="V171" s="76">
        <f>J463</f>
        <v>0</v>
      </c>
      <c r="W171" s="76">
        <f>J464</f>
        <v>1.5309531175003726</v>
      </c>
      <c r="X171" s="76">
        <f>J465</f>
        <v>2.5699364407144736</v>
      </c>
      <c r="AC171" t="s">
        <v>270</v>
      </c>
      <c r="AD171" s="55">
        <v>0.92385057471264298</v>
      </c>
      <c r="AE171" s="55">
        <v>0.95704446327482495</v>
      </c>
      <c r="AH171" s="78"/>
      <c r="BF171">
        <v>0.95737079898771238</v>
      </c>
      <c r="BG171" s="1">
        <v>108</v>
      </c>
      <c r="BH171">
        <f t="shared" si="28"/>
        <v>9.4019542336647222E-2</v>
      </c>
      <c r="BI171">
        <f t="shared" si="29"/>
        <v>6.6585314457167574E-3</v>
      </c>
      <c r="BJ171">
        <f t="shared" si="27"/>
        <v>6.3746835702706596E-3</v>
      </c>
    </row>
    <row r="172" spans="1:62" x14ac:dyDescent="0.3">
      <c r="A172" t="s">
        <v>4</v>
      </c>
      <c r="B172" s="13">
        <v>1</v>
      </c>
      <c r="C172" s="33">
        <f t="shared" si="36"/>
        <v>0</v>
      </c>
      <c r="D172" s="34">
        <f t="shared" si="36"/>
        <v>0.55401373169826196</v>
      </c>
      <c r="E172" s="19">
        <f t="shared" si="36"/>
        <v>0</v>
      </c>
      <c r="F172" s="18">
        <f t="shared" si="36"/>
        <v>0</v>
      </c>
      <c r="G172" s="20">
        <f t="shared" si="36"/>
        <v>0</v>
      </c>
      <c r="H172" s="17">
        <f>SUM(C172:G172)</f>
        <v>0.55401373169826196</v>
      </c>
      <c r="I172" s="17">
        <f>D172/H172*100</f>
        <v>100</v>
      </c>
      <c r="J172" s="17">
        <f>SQRT(I172*(100-I172)/(L172-1))</f>
        <v>0</v>
      </c>
      <c r="K172" s="18">
        <f>100-I172</f>
        <v>0</v>
      </c>
      <c r="L172" s="1">
        <f>H161</f>
        <v>15</v>
      </c>
      <c r="M172">
        <v>1</v>
      </c>
      <c r="N172" s="1">
        <v>345.31</v>
      </c>
      <c r="O172" s="17">
        <f>N172/N176*100</f>
        <v>0.55401373169826196</v>
      </c>
      <c r="P172" s="52">
        <f>((O172*O172*(I172/100)*(K172/100))/(L172-1))</f>
        <v>0</v>
      </c>
      <c r="S172" s="66" t="s">
        <v>51</v>
      </c>
      <c r="T172" s="67">
        <f>N450*100</f>
        <v>99.563318777292579</v>
      </c>
      <c r="U172" s="67">
        <f>N451*100</f>
        <v>100</v>
      </c>
      <c r="V172" s="67">
        <f>N452*100</f>
        <v>98.888888888888886</v>
      </c>
      <c r="W172" s="67">
        <f>N453*100</f>
        <v>84.242424242424235</v>
      </c>
      <c r="X172" s="67">
        <f>N454*100</f>
        <v>88.036117381489845</v>
      </c>
      <c r="AC172" t="s">
        <v>271</v>
      </c>
      <c r="AD172" s="55">
        <v>0.92241379310344795</v>
      </c>
      <c r="AE172" s="55">
        <v>0.95656235855737104</v>
      </c>
      <c r="AI172" s="78"/>
      <c r="BF172">
        <v>0.95745022068859509</v>
      </c>
      <c r="BG172" s="1">
        <v>109</v>
      </c>
      <c r="BH172">
        <f t="shared" si="28"/>
        <v>0.10660025364469777</v>
      </c>
      <c r="BI172">
        <f t="shared" si="29"/>
        <v>7.5495064470010092E-3</v>
      </c>
      <c r="BJ172">
        <f t="shared" si="27"/>
        <v>7.2282766137710874E-3</v>
      </c>
    </row>
    <row r="173" spans="1:62" x14ac:dyDescent="0.3">
      <c r="A173" t="s">
        <v>5</v>
      </c>
      <c r="B173" s="13">
        <v>2</v>
      </c>
      <c r="C173" s="33">
        <f t="shared" si="36"/>
        <v>0</v>
      </c>
      <c r="D173" s="19">
        <f t="shared" si="36"/>
        <v>0</v>
      </c>
      <c r="E173" s="34">
        <f t="shared" si="36"/>
        <v>39.70838190640022</v>
      </c>
      <c r="F173" s="19">
        <f t="shared" si="36"/>
        <v>0</v>
      </c>
      <c r="G173" s="20">
        <f t="shared" si="36"/>
        <v>0</v>
      </c>
      <c r="H173" s="17">
        <f>SUM(C173:G173)</f>
        <v>39.70838190640022</v>
      </c>
      <c r="I173" s="17">
        <f>E173/H173*100</f>
        <v>100</v>
      </c>
      <c r="J173" s="17">
        <f>SQRT(I173*(100-I173)/(L173-1))</f>
        <v>0</v>
      </c>
      <c r="K173" s="18">
        <f>100-I173</f>
        <v>0</v>
      </c>
      <c r="L173" s="1">
        <f>H162</f>
        <v>178</v>
      </c>
      <c r="M173">
        <v>2</v>
      </c>
      <c r="N173" s="1">
        <v>24749.75</v>
      </c>
      <c r="O173" s="17">
        <f>N173/N176*100</f>
        <v>39.70838190640022</v>
      </c>
      <c r="P173" s="52">
        <f>((O173*O173*(I173/100)*(K173/100))/(L173-1))</f>
        <v>0</v>
      </c>
      <c r="R173" s="16" t="s">
        <v>61</v>
      </c>
      <c r="S173" t="s">
        <v>9</v>
      </c>
      <c r="T173" s="1">
        <f>N461</f>
        <v>155.55000000000001</v>
      </c>
      <c r="U173" s="1">
        <f>N462</f>
        <v>335.59</v>
      </c>
      <c r="V173" s="1">
        <f>N463</f>
        <v>25741.38</v>
      </c>
      <c r="W173" s="1">
        <f>N464</f>
        <v>28110.25</v>
      </c>
      <c r="X173" s="1">
        <f>N465</f>
        <v>7986.01</v>
      </c>
      <c r="Z173" t="s">
        <v>36</v>
      </c>
      <c r="AA173" s="1">
        <f>N466</f>
        <v>62328.780000000006</v>
      </c>
      <c r="AC173" t="s">
        <v>272</v>
      </c>
      <c r="AD173" s="55">
        <v>0.94827586206896497</v>
      </c>
      <c r="AE173" s="55">
        <v>0.96622592453153899</v>
      </c>
      <c r="AH173" s="78"/>
      <c r="BF173">
        <v>0.95754242568136005</v>
      </c>
      <c r="BG173" s="1">
        <v>110</v>
      </c>
      <c r="BH173">
        <f t="shared" si="28"/>
        <v>0.11919786036346161</v>
      </c>
      <c r="BI173">
        <f t="shared" si="29"/>
        <v>8.4416779933941481E-3</v>
      </c>
      <c r="BJ173">
        <f t="shared" si="27"/>
        <v>8.0832648226155882E-3</v>
      </c>
    </row>
    <row r="174" spans="1:62" ht="15.6" x14ac:dyDescent="0.35">
      <c r="A174" t="s">
        <v>6</v>
      </c>
      <c r="B174" s="13">
        <v>3</v>
      </c>
      <c r="C174" s="33">
        <f t="shared" si="36"/>
        <v>0</v>
      </c>
      <c r="D174" s="19">
        <f t="shared" si="36"/>
        <v>0</v>
      </c>
      <c r="E174" s="19">
        <f t="shared" si="36"/>
        <v>0.32157462678824555</v>
      </c>
      <c r="F174" s="34">
        <f t="shared" si="36"/>
        <v>44.37729849677789</v>
      </c>
      <c r="G174" s="20">
        <f t="shared" si="36"/>
        <v>1.607873133941228</v>
      </c>
      <c r="H174" s="17">
        <f>SUM(C174:G174)</f>
        <v>46.306746257507363</v>
      </c>
      <c r="I174" s="17">
        <f>F174/H174*100</f>
        <v>95.833333333333343</v>
      </c>
      <c r="J174" s="17">
        <f>SQRT(I174*(100-I174)/(L174-1))</f>
        <v>1.6710315802959967</v>
      </c>
      <c r="K174" s="18">
        <f>100-I174</f>
        <v>4.1666666666666572</v>
      </c>
      <c r="L174" s="1">
        <f>H163</f>
        <v>144</v>
      </c>
      <c r="M174">
        <v>3</v>
      </c>
      <c r="N174" s="1">
        <v>28862.43</v>
      </c>
      <c r="O174" s="17">
        <f>N174/N176*100</f>
        <v>46.306746257507363</v>
      </c>
      <c r="P174" s="52">
        <f>((O174*O174*(I174/100)*(K174/100))/(L174-1))</f>
        <v>0.59876698749532409</v>
      </c>
      <c r="R174" s="16" t="s">
        <v>318</v>
      </c>
      <c r="S174" t="s">
        <v>63</v>
      </c>
      <c r="T174" s="57">
        <f>$AA173*T166/100</f>
        <v>154.19739130434786</v>
      </c>
      <c r="U174" s="57">
        <f>$AA173*U166/100</f>
        <v>335.59</v>
      </c>
      <c r="V174" s="57">
        <f>$AA173*V166/100</f>
        <v>26034.778716985431</v>
      </c>
      <c r="W174" s="57">
        <f>$AA173*W166/100</f>
        <v>28641.111523768515</v>
      </c>
      <c r="X174" s="57">
        <f>$AA173*X166/100</f>
        <v>7163.1023679417131</v>
      </c>
      <c r="Z174" t="s">
        <v>36</v>
      </c>
      <c r="AA174" s="25">
        <f>SUM(T174:X174)</f>
        <v>62328.780000000006</v>
      </c>
      <c r="AC174" t="s">
        <v>273</v>
      </c>
      <c r="AD174" s="55">
        <v>0.93390804597701105</v>
      </c>
      <c r="AE174" s="55">
        <v>0.95588159180069598</v>
      </c>
      <c r="AI174" s="78"/>
      <c r="BF174">
        <v>0.95756653442863449</v>
      </c>
      <c r="BG174" s="1">
        <v>111</v>
      </c>
      <c r="BH174">
        <f t="shared" si="28"/>
        <v>0.13181441295194157</v>
      </c>
      <c r="BI174">
        <f t="shared" si="29"/>
        <v>9.3351912998739239E-3</v>
      </c>
      <c r="BJ174">
        <f t="shared" si="27"/>
        <v>8.9390667812486134E-3</v>
      </c>
    </row>
    <row r="175" spans="1:62" x14ac:dyDescent="0.3">
      <c r="A175" t="s">
        <v>7</v>
      </c>
      <c r="B175" s="13">
        <v>4</v>
      </c>
      <c r="C175" s="35">
        <f t="shared" si="36"/>
        <v>0</v>
      </c>
      <c r="D175" s="36">
        <f t="shared" si="36"/>
        <v>0</v>
      </c>
      <c r="E175" s="21">
        <f t="shared" si="36"/>
        <v>0.10795344554116171</v>
      </c>
      <c r="F175" s="21">
        <f t="shared" si="36"/>
        <v>2.2130456335938149</v>
      </c>
      <c r="G175" s="37">
        <f t="shared" si="36"/>
        <v>10.849321276886752</v>
      </c>
      <c r="H175" s="17">
        <f>SUM(C175:G175)</f>
        <v>13.170320356021728</v>
      </c>
      <c r="I175" s="17">
        <f>G175/H175*100</f>
        <v>82.377049180327873</v>
      </c>
      <c r="J175" s="17">
        <f>SQRT(I175*(100-I175)/(L175-1))</f>
        <v>2.4442143716429219</v>
      </c>
      <c r="K175" s="18">
        <f>100-I175</f>
        <v>17.622950819672127</v>
      </c>
      <c r="L175" s="1">
        <f>H164</f>
        <v>244</v>
      </c>
      <c r="M175">
        <v>4</v>
      </c>
      <c r="N175" s="1">
        <v>8208.9</v>
      </c>
      <c r="O175" s="17">
        <f>N175/N176*100</f>
        <v>13.170320356021728</v>
      </c>
      <c r="P175" s="52">
        <f>((O175*O175*(I175/100)*(K175/100))/(L175-1))</f>
        <v>0.10362660367445947</v>
      </c>
      <c r="R175" s="66"/>
      <c r="S175" s="66" t="s">
        <v>62</v>
      </c>
      <c r="T175" s="67">
        <f>$AA173*T167/100</f>
        <v>1.3467149478094453</v>
      </c>
      <c r="U175" s="67">
        <f>$AA173*U167/100</f>
        <v>0</v>
      </c>
      <c r="V175" s="67">
        <f>$AA173*V167/100</f>
        <v>202.52530039103013</v>
      </c>
      <c r="W175" s="67">
        <f>$AA173*W167/100</f>
        <v>473.18850608093641</v>
      </c>
      <c r="X175" s="67">
        <f>$AA173*X167/100</f>
        <v>436.05356237715472</v>
      </c>
      <c r="AA175" s="1"/>
      <c r="AC175" t="s">
        <v>274</v>
      </c>
      <c r="AD175" s="55">
        <v>0.93965517241379304</v>
      </c>
      <c r="AE175" s="55">
        <v>0.96198271454878803</v>
      </c>
      <c r="AH175" s="78"/>
      <c r="BF175">
        <v>0.95762780992133001</v>
      </c>
      <c r="BG175" s="1">
        <v>112</v>
      </c>
      <c r="BH175">
        <f t="shared" si="28"/>
        <v>0.14445198321177485</v>
      </c>
      <c r="BI175">
        <f t="shared" si="29"/>
        <v>1.0230193092918767E-2</v>
      </c>
      <c r="BJ175">
        <f t="shared" si="27"/>
        <v>9.7967174066441159E-3</v>
      </c>
    </row>
    <row r="176" spans="1:62" x14ac:dyDescent="0.3">
      <c r="B176" t="s">
        <v>28</v>
      </c>
      <c r="C176" s="17">
        <f t="shared" ref="C176:H176" si="37">SUM(C171:C175)</f>
        <v>0.25600665709637904</v>
      </c>
      <c r="D176" s="17">
        <f t="shared" si="37"/>
        <v>0.55401373169826196</v>
      </c>
      <c r="E176" s="17">
        <f t="shared" si="37"/>
        <v>40.137909978729631</v>
      </c>
      <c r="F176" s="17">
        <f t="shared" si="37"/>
        <v>46.594875221647747</v>
      </c>
      <c r="G176" s="17">
        <f t="shared" si="37"/>
        <v>12.457194410827979</v>
      </c>
      <c r="H176" s="18">
        <f t="shared" si="37"/>
        <v>100</v>
      </c>
      <c r="I176" s="13" t="s">
        <v>24</v>
      </c>
      <c r="J176" s="12" t="s">
        <v>29</v>
      </c>
      <c r="N176" s="1">
        <f>SUM(N171:N175)</f>
        <v>62328.780000000006</v>
      </c>
      <c r="O176" s="17">
        <f>SUM(O171:O175)</f>
        <v>100</v>
      </c>
      <c r="R176" t="s">
        <v>104</v>
      </c>
      <c r="S176" t="s">
        <v>28</v>
      </c>
      <c r="T176" s="57">
        <f t="shared" ref="T176:X179" si="38">C495</f>
        <v>0.2542642838299683</v>
      </c>
      <c r="U176" s="57">
        <f t="shared" si="38"/>
        <v>0.42806870277261966</v>
      </c>
      <c r="V176" s="57">
        <f t="shared" si="38"/>
        <v>41.618912005752428</v>
      </c>
      <c r="W176" s="57">
        <f t="shared" si="38"/>
        <v>45.857805390990514</v>
      </c>
      <c r="X176" s="57">
        <f t="shared" si="38"/>
        <v>11.840949616654473</v>
      </c>
      <c r="AC176" t="s">
        <v>275</v>
      </c>
      <c r="AD176" s="55">
        <v>0.92959770114942497</v>
      </c>
      <c r="AE176" s="55">
        <v>0.955964792367201</v>
      </c>
      <c r="AI176" s="78"/>
      <c r="BF176">
        <v>0.95766774339039995</v>
      </c>
      <c r="BG176" s="1">
        <v>113</v>
      </c>
      <c r="BH176">
        <f t="shared" si="28"/>
        <v>0.15711266676001365</v>
      </c>
      <c r="BI176">
        <f t="shared" si="29"/>
        <v>1.1126831785631883E-2</v>
      </c>
      <c r="BJ176">
        <f t="shared" si="27"/>
        <v>1.065580788723066E-2</v>
      </c>
    </row>
    <row r="177" spans="1:62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3.1759826012256248E-3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0.32934985205687428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0.83306656920433741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0.77607985457636897</v>
      </c>
      <c r="H177" s="1"/>
      <c r="I177" s="14">
        <f>(C171+D172+E173+F174+G175)/H176</f>
        <v>0.95745022068859509</v>
      </c>
      <c r="J177" s="53">
        <f>SQRT(SUM(P171:P175))/100</f>
        <v>8.3809532066259802E-3</v>
      </c>
      <c r="M177" s="1"/>
      <c r="N177" s="9"/>
      <c r="S177" s="66" t="s">
        <v>39</v>
      </c>
      <c r="T177" s="67">
        <f t="shared" si="38"/>
        <v>2.2206699402068856E-3</v>
      </c>
      <c r="U177" s="67">
        <f t="shared" si="38"/>
        <v>0</v>
      </c>
      <c r="V177" s="67">
        <f t="shared" si="38"/>
        <v>0.45548034682603755</v>
      </c>
      <c r="W177" s="67">
        <f t="shared" si="38"/>
        <v>0.8781327070175674</v>
      </c>
      <c r="X177" s="67">
        <f t="shared" si="38"/>
        <v>0.7686426023553623</v>
      </c>
      <c r="AC177" t="s">
        <v>276</v>
      </c>
      <c r="AD177" s="55">
        <v>0.91810344827586199</v>
      </c>
      <c r="AE177" s="55">
        <v>0.95571836220912099</v>
      </c>
      <c r="AH177" s="78"/>
      <c r="BF177">
        <v>0.95775230745036</v>
      </c>
      <c r="BG177" s="1">
        <v>114</v>
      </c>
      <c r="BH177">
        <f t="shared" si="28"/>
        <v>0.16979858557289623</v>
      </c>
      <c r="BI177">
        <f t="shared" si="29"/>
        <v>1.2025257657892949E-2</v>
      </c>
      <c r="BJ177">
        <f t="shared" si="27"/>
        <v>1.1517218269532083E-2</v>
      </c>
    </row>
    <row r="178" spans="1:62" x14ac:dyDescent="0.3">
      <c r="B178" s="1" t="s">
        <v>30</v>
      </c>
      <c r="C178" s="17">
        <f>C171/C176*100</f>
        <v>100</v>
      </c>
      <c r="D178" s="17">
        <f>D172/D176*100</f>
        <v>100</v>
      </c>
      <c r="E178" s="17">
        <f>E173/E176*100</f>
        <v>98.929869361516253</v>
      </c>
      <c r="F178" s="17">
        <f>F174/F176*100</f>
        <v>95.240728268246158</v>
      </c>
      <c r="G178" s="17">
        <f>G175/G176*100</f>
        <v>87.09281495564008</v>
      </c>
      <c r="H178" s="1"/>
      <c r="S178" s="70" t="s">
        <v>30</v>
      </c>
      <c r="T178" s="64">
        <f t="shared" si="38"/>
        <v>100</v>
      </c>
      <c r="U178" s="64">
        <f t="shared" si="38"/>
        <v>100</v>
      </c>
      <c r="V178" s="64">
        <f t="shared" si="38"/>
        <v>98.096763907529436</v>
      </c>
      <c r="W178" s="64">
        <f t="shared" si="38"/>
        <v>95.002415880687494</v>
      </c>
      <c r="X178" s="64">
        <f t="shared" si="38"/>
        <v>86.57201583847322</v>
      </c>
      <c r="AC178" t="s">
        <v>277</v>
      </c>
      <c r="AD178" s="55">
        <v>0.93103448275862</v>
      </c>
      <c r="AE178" s="55">
        <v>0.96141552241666495</v>
      </c>
      <c r="AI178" s="78"/>
      <c r="BF178">
        <v>0.95779610819483096</v>
      </c>
      <c r="BG178" s="1">
        <v>115</v>
      </c>
      <c r="BH178">
        <f t="shared" si="28"/>
        <v>0.18251189060891859</v>
      </c>
      <c r="BI178">
        <f t="shared" si="29"/>
        <v>1.2925623042125927E-2</v>
      </c>
      <c r="BJ178">
        <f t="shared" si="27"/>
        <v>1.2380111445741644E-2</v>
      </c>
    </row>
    <row r="179" spans="1:62" x14ac:dyDescent="0.3">
      <c r="B179" s="16" t="s">
        <v>39</v>
      </c>
      <c r="C179" s="18">
        <f>SQRT((C182+C183)/(C176*C176))</f>
        <v>0</v>
      </c>
      <c r="D179" s="18">
        <f>SQRT((D182+D183)/(D176*D176))</f>
        <v>0</v>
      </c>
      <c r="E179" s="18">
        <f>SQRT((E182+E183)/(E176*E176))</f>
        <v>0.81453606032600911</v>
      </c>
      <c r="F179" s="18">
        <f>SQRT((F182+F183)/(F176*F176))</f>
        <v>1.0206137998332432</v>
      </c>
      <c r="G179" s="18">
        <f>SQRT((G182+G183)/(G176*G176))</f>
        <v>5.9741909392598531</v>
      </c>
      <c r="H179" s="1"/>
      <c r="I179" s="14"/>
      <c r="S179" s="66" t="s">
        <v>39</v>
      </c>
      <c r="T179" s="67">
        <f t="shared" si="38"/>
        <v>0</v>
      </c>
      <c r="U179" s="67">
        <f t="shared" si="38"/>
        <v>0</v>
      </c>
      <c r="V179" s="67">
        <f t="shared" si="38"/>
        <v>1.0772656891435621</v>
      </c>
      <c r="W179" s="67">
        <f t="shared" si="38"/>
        <v>1.1073820933870457</v>
      </c>
      <c r="X179" s="67">
        <f t="shared" si="38"/>
        <v>6.2880387786127665</v>
      </c>
      <c r="AC179" t="s">
        <v>278</v>
      </c>
      <c r="AD179" s="55">
        <v>0.94683908045977005</v>
      </c>
      <c r="AE179" s="55">
        <v>0.96576434298386205</v>
      </c>
      <c r="AH179" s="78"/>
      <c r="BF179">
        <v>0.95785448701535802</v>
      </c>
      <c r="BG179" s="1">
        <v>116</v>
      </c>
      <c r="BH179">
        <f t="shared" si="28"/>
        <v>0.19525476451997836</v>
      </c>
      <c r="BI179">
        <f t="shared" si="29"/>
        <v>1.3828082515304223E-2</v>
      </c>
      <c r="BJ179">
        <f t="shared" si="27"/>
        <v>1.3245290884102768E-2</v>
      </c>
    </row>
    <row r="180" spans="1:62" x14ac:dyDescent="0.3">
      <c r="B180" s="1" t="s">
        <v>37</v>
      </c>
      <c r="C180" s="18">
        <f>100-C178</f>
        <v>0</v>
      </c>
      <c r="D180" s="18">
        <f>100-D178</f>
        <v>0</v>
      </c>
      <c r="E180" s="18">
        <f>100-E178</f>
        <v>1.0701306384837466</v>
      </c>
      <c r="F180" s="18">
        <f>100-F178</f>
        <v>4.7592717317538416</v>
      </c>
      <c r="G180" s="18">
        <f>100-G178</f>
        <v>12.90718504435992</v>
      </c>
      <c r="S180" s="70" t="s">
        <v>31</v>
      </c>
      <c r="T180" s="64">
        <f>I490</f>
        <v>99.130434782608688</v>
      </c>
      <c r="U180" s="64">
        <f>I491</f>
        <v>100</v>
      </c>
      <c r="V180" s="64">
        <f>I492</f>
        <v>100</v>
      </c>
      <c r="W180" s="64">
        <f>I493</f>
        <v>95.138888888888886</v>
      </c>
      <c r="X180" s="64">
        <f>I494</f>
        <v>80.737704918032776</v>
      </c>
      <c r="AC180" t="s">
        <v>279</v>
      </c>
      <c r="AD180" s="55">
        <v>0.91666666666666596</v>
      </c>
      <c r="AE180" s="55">
        <v>0.95094354990337104</v>
      </c>
      <c r="AI180" s="78"/>
      <c r="BF180">
        <v>0.95789981524617307</v>
      </c>
      <c r="BG180" s="1">
        <v>117</v>
      </c>
      <c r="BH180">
        <f t="shared" si="28"/>
        <v>0.20802942445987585</v>
      </c>
      <c r="BI180">
        <f t="shared" si="29"/>
        <v>1.4732793097850746E-2</v>
      </c>
      <c r="BJ180">
        <f t="shared" si="27"/>
        <v>1.4112539786491324E-2</v>
      </c>
    </row>
    <row r="181" spans="1:62" ht="15.6" x14ac:dyDescent="0.35">
      <c r="B181" s="1" t="s">
        <v>25</v>
      </c>
      <c r="C181" s="1">
        <f>C165</f>
        <v>113</v>
      </c>
      <c r="D181" s="1">
        <f>D165</f>
        <v>15</v>
      </c>
      <c r="E181" s="1">
        <f>E165</f>
        <v>181</v>
      </c>
      <c r="F181" s="1">
        <f>F165</f>
        <v>181</v>
      </c>
      <c r="G181" s="1">
        <f>G165</f>
        <v>206</v>
      </c>
      <c r="S181" s="66" t="s">
        <v>39</v>
      </c>
      <c r="T181" s="67">
        <f>J490</f>
        <v>0.8695652173913081</v>
      </c>
      <c r="U181" s="67">
        <f>J491</f>
        <v>0</v>
      </c>
      <c r="V181" s="67">
        <f>J492</f>
        <v>0</v>
      </c>
      <c r="W181" s="67">
        <f>J493</f>
        <v>1.7983689383153578</v>
      </c>
      <c r="X181" s="67">
        <f>J494</f>
        <v>2.5298168384486917</v>
      </c>
      <c r="AC181" t="s">
        <v>280</v>
      </c>
      <c r="AD181" s="55">
        <v>0.94252873563218298</v>
      </c>
      <c r="AE181" s="55">
        <v>0.96358021920894998</v>
      </c>
      <c r="AH181" s="78"/>
      <c r="BF181">
        <v>0.95791247179901395</v>
      </c>
      <c r="BG181" s="1">
        <v>118</v>
      </c>
      <c r="BH181">
        <f t="shared" si="28"/>
        <v>0.2208381250000446</v>
      </c>
      <c r="BI181">
        <f t="shared" si="29"/>
        <v>1.5639914460132034E-2</v>
      </c>
      <c r="BJ181">
        <f t="shared" si="27"/>
        <v>1.4981669119230217E-2</v>
      </c>
    </row>
    <row r="182" spans="1:62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0</v>
      </c>
      <c r="E182" s="18">
        <f>(O173*O173*(100-E178)*(100-E178)*(I173)*(100-I173))/((L173-1)*100)</f>
        <v>0</v>
      </c>
      <c r="F182" s="18">
        <f>(O174*O174*(100-F178)*(100-F178)*(I174)*(100-I174))/((L174-1)*100)</f>
        <v>1356.2471893838715</v>
      </c>
      <c r="G182" s="18">
        <f>(O175*O175*(100-G178)*(100-G178)*(I175)*(100-I175))/((L175-1)*100)</f>
        <v>1726.3718160178103</v>
      </c>
      <c r="S182" s="68" t="s">
        <v>51</v>
      </c>
      <c r="T182" s="65">
        <f>N479*100</f>
        <v>99.563318777292579</v>
      </c>
      <c r="U182" s="65">
        <f>N480*100</f>
        <v>100</v>
      </c>
      <c r="V182" s="65">
        <f>N481*100</f>
        <v>98.61495844875347</v>
      </c>
      <c r="W182" s="65">
        <f>N482*100</f>
        <v>84.049079754601223</v>
      </c>
      <c r="X182" s="65">
        <f>N483*100</f>
        <v>88.340807174887885</v>
      </c>
      <c r="AC182" t="s">
        <v>281</v>
      </c>
      <c r="AD182" s="55">
        <v>0.93534482758620596</v>
      </c>
      <c r="AE182" s="55">
        <v>0.95506400631158195</v>
      </c>
      <c r="AI182" s="78"/>
      <c r="BF182">
        <v>0.95796881533784795</v>
      </c>
      <c r="BG182" s="1">
        <v>119</v>
      </c>
      <c r="BH182">
        <f t="shared" si="28"/>
        <v>0.23368316116302504</v>
      </c>
      <c r="BI182">
        <f t="shared" si="29"/>
        <v>1.6549609137291046E-2</v>
      </c>
      <c r="BJ182">
        <f t="shared" si="27"/>
        <v>1.5854009459555129E-2</v>
      </c>
    </row>
    <row r="183" spans="1:62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0</v>
      </c>
      <c r="E183" s="18">
        <f>E178*E178*(SUM((H171*E171*(1-E160/H160))/(H160-1),(H172*E172*(1-E161/H161))/(H161-1), (H174*E174*(1-E163/H163))/(H163-1),(H175*E175*(1-E164/H164))/(H164-1)))</f>
        <v>1068.8829279219872</v>
      </c>
      <c r="F183" s="18">
        <f>F178*F178*(SUM((H171*F171*(1-F160/H160))/(H160-1),(H172*F172*(1-F161/H161))/(H161-1), (H173*F173*(1-F162/H162))/(H162-1),(H175*F175*(1-F164/H164))/(H164-1)))</f>
        <v>905.26627875536258</v>
      </c>
      <c r="G183" s="18">
        <f>G178*G178*(SUM((H171*G171*(1-G160/H160))/(H160-1),(H172*G172*(1-G161/H161))/(H161-1), (H173*G173*(1-G162/H162))/(H162-1),(H174*G174*(1-G163/H163))/(H163-1)))</f>
        <v>3812.211360141921</v>
      </c>
      <c r="R183" s="16" t="s">
        <v>61</v>
      </c>
      <c r="S183" t="s">
        <v>9</v>
      </c>
      <c r="T183" s="1">
        <f>N490</f>
        <v>159.87</v>
      </c>
      <c r="U183" s="1">
        <f>N491</f>
        <v>266.81</v>
      </c>
      <c r="V183" s="1">
        <f>N492</f>
        <v>25446.85</v>
      </c>
      <c r="W183" s="1">
        <f>N493</f>
        <v>28541.61</v>
      </c>
      <c r="X183" s="1">
        <f>N494</f>
        <v>7913.64</v>
      </c>
      <c r="Z183" t="s">
        <v>36</v>
      </c>
      <c r="AA183" s="1">
        <f>N495</f>
        <v>62328.78</v>
      </c>
      <c r="AC183" t="s">
        <v>282</v>
      </c>
      <c r="AD183" s="55">
        <v>0.943965517241379</v>
      </c>
      <c r="AE183" s="55">
        <v>0.95550360405447599</v>
      </c>
      <c r="AH183" s="78"/>
      <c r="BF183">
        <v>0.95803122636415405</v>
      </c>
      <c r="BG183" s="1">
        <v>120</v>
      </c>
      <c r="BH183">
        <f t="shared" si="28"/>
        <v>0.24656687158492113</v>
      </c>
      <c r="BI183">
        <f t="shared" si="29"/>
        <v>1.7462042753214592E-2</v>
      </c>
      <c r="BJ183">
        <f t="shared" si="27"/>
        <v>1.6729182233685466E-2</v>
      </c>
    </row>
    <row r="184" spans="1:62" ht="15.6" x14ac:dyDescent="0.35">
      <c r="R184" s="16" t="s">
        <v>318</v>
      </c>
      <c r="S184" t="s">
        <v>63</v>
      </c>
      <c r="T184" s="57">
        <f>$AA183*T176/100</f>
        <v>158.47982608695651</v>
      </c>
      <c r="U184" s="57">
        <f>$AA183*U176/100</f>
        <v>266.81</v>
      </c>
      <c r="V184" s="57">
        <f>$AA183*V176/100</f>
        <v>25940.560102459014</v>
      </c>
      <c r="W184" s="57">
        <f>$AA183*W176/100</f>
        <v>28582.610634978617</v>
      </c>
      <c r="X184" s="57">
        <f>$AA183*X176/100</f>
        <v>7380.3194364754099</v>
      </c>
      <c r="Z184" t="s">
        <v>36</v>
      </c>
      <c r="AA184" s="25">
        <f>SUM(T184:X184)</f>
        <v>62328.779999999992</v>
      </c>
      <c r="AC184" t="s">
        <v>283</v>
      </c>
      <c r="AD184" s="55">
        <v>0.92528735632183901</v>
      </c>
      <c r="AE184" s="55">
        <v>0.95228836752229795</v>
      </c>
      <c r="AI184" s="78"/>
      <c r="BF184">
        <v>0.95804588656947898</v>
      </c>
      <c r="BG184" s="1">
        <v>121</v>
      </c>
      <c r="BH184">
        <f t="shared" si="28"/>
        <v>0.25949164181888423</v>
      </c>
      <c r="BI184">
        <f t="shared" si="29"/>
        <v>1.8377384254488444E-2</v>
      </c>
      <c r="BJ184">
        <f t="shared" si="27"/>
        <v>1.7606377390919366E-2</v>
      </c>
    </row>
    <row r="185" spans="1:62" x14ac:dyDescent="0.3">
      <c r="R185" s="66"/>
      <c r="S185" s="66" t="s">
        <v>62</v>
      </c>
      <c r="T185" s="67">
        <f>$AA183*T177/100</f>
        <v>1.3841164815576812</v>
      </c>
      <c r="U185" s="67">
        <f>$AA183*U177/100</f>
        <v>0</v>
      </c>
      <c r="V185" s="67">
        <f>$AA183*V177/100</f>
        <v>283.89534331643796</v>
      </c>
      <c r="W185" s="67">
        <f>$AA183*W177/100</f>
        <v>547.32940306502417</v>
      </c>
      <c r="X185" s="67">
        <f>$AA183*X177/100</f>
        <v>479.08555660834855</v>
      </c>
      <c r="AA185" s="1"/>
      <c r="AC185" t="s">
        <v>284</v>
      </c>
      <c r="AD185" s="55">
        <v>0.943965517241379</v>
      </c>
      <c r="AE185" s="55">
        <v>0.96107717491945799</v>
      </c>
      <c r="AH185" s="78"/>
      <c r="BF185">
        <v>0.95813380669323767</v>
      </c>
      <c r="BG185" s="1">
        <v>122</v>
      </c>
      <c r="BH185">
        <f t="shared" si="28"/>
        <v>0.27245990779256418</v>
      </c>
      <c r="BI185">
        <f t="shared" si="29"/>
        <v>1.9295806155256504E-2</v>
      </c>
      <c r="BJ185">
        <f t="shared" si="27"/>
        <v>1.8487964204750722E-2</v>
      </c>
    </row>
    <row r="186" spans="1:62" x14ac:dyDescent="0.3">
      <c r="A186" s="348">
        <v>1977</v>
      </c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 t="s">
        <v>79</v>
      </c>
      <c r="M186" s="348"/>
      <c r="N186" s="348"/>
      <c r="O186" s="348"/>
      <c r="P186" s="348"/>
      <c r="R186" t="s">
        <v>105</v>
      </c>
      <c r="S186" s="70" t="s">
        <v>28</v>
      </c>
      <c r="T186" s="64">
        <f t="shared" ref="T186:X189" si="39">C524</f>
        <v>0.25712704179407858</v>
      </c>
      <c r="U186" s="64">
        <f t="shared" si="39"/>
        <v>0.4997048715368933</v>
      </c>
      <c r="V186" s="64">
        <f t="shared" si="39"/>
        <v>40.965307937244233</v>
      </c>
      <c r="W186" s="64">
        <f t="shared" si="39"/>
        <v>46.144189270609559</v>
      </c>
      <c r="X186" s="64">
        <f t="shared" si="39"/>
        <v>12.133670878815238</v>
      </c>
      <c r="AA186" s="12"/>
      <c r="AC186" t="s">
        <v>285</v>
      </c>
      <c r="AD186" s="55">
        <v>0.93390804597701105</v>
      </c>
      <c r="AE186" s="55">
        <v>0.96217250845462998</v>
      </c>
      <c r="AI186" s="78"/>
      <c r="BF186">
        <v>0.95840850731863503</v>
      </c>
      <c r="BG186" s="1">
        <v>123</v>
      </c>
      <c r="BH186">
        <f t="shared" si="28"/>
        <v>0.28547415943346138</v>
      </c>
      <c r="BI186">
        <f t="shared" si="29"/>
        <v>2.0217484793970827E-2</v>
      </c>
      <c r="BJ186">
        <f t="shared" si="27"/>
        <v>1.9376609423126783E-2</v>
      </c>
    </row>
    <row r="187" spans="1:62" x14ac:dyDescent="0.3">
      <c r="A187" t="s">
        <v>315</v>
      </c>
      <c r="B187" t="s">
        <v>21</v>
      </c>
      <c r="I187" s="1" t="s">
        <v>53</v>
      </c>
      <c r="O187" s="350"/>
      <c r="P187" s="350"/>
      <c r="S187" s="66" t="s">
        <v>39</v>
      </c>
      <c r="T187" s="67">
        <f t="shared" si="39"/>
        <v>2.2456724315565368E-3</v>
      </c>
      <c r="U187" s="67">
        <f t="shared" si="39"/>
        <v>0</v>
      </c>
      <c r="V187" s="67">
        <f t="shared" si="39"/>
        <v>0.32811720044804632</v>
      </c>
      <c r="W187" s="67">
        <f t="shared" si="39"/>
        <v>0.7642308098521603</v>
      </c>
      <c r="X187" s="67">
        <f t="shared" si="39"/>
        <v>0.70463929508828738</v>
      </c>
      <c r="AC187" t="s">
        <v>286</v>
      </c>
      <c r="AD187" s="55">
        <v>0.91091954022988497</v>
      </c>
      <c r="AE187" s="55">
        <v>0.95356973670984801</v>
      </c>
      <c r="AH187" s="78"/>
      <c r="BF187">
        <v>0.95842362772842504</v>
      </c>
      <c r="BG187" s="1">
        <v>124</v>
      </c>
      <c r="BH187">
        <f t="shared" si="28"/>
        <v>0.29853694447722257</v>
      </c>
      <c r="BI187">
        <f t="shared" si="29"/>
        <v>2.1142600603097878E-2</v>
      </c>
      <c r="BJ187">
        <f t="shared" si="27"/>
        <v>2.0263567969634255E-2</v>
      </c>
    </row>
    <row r="188" spans="1:62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51</v>
      </c>
      <c r="S188" t="s">
        <v>30</v>
      </c>
      <c r="T188" s="57">
        <f t="shared" si="39"/>
        <v>100</v>
      </c>
      <c r="U188" s="57">
        <f t="shared" si="39"/>
        <v>100</v>
      </c>
      <c r="V188" s="57">
        <f t="shared" si="39"/>
        <v>98.829872549366186</v>
      </c>
      <c r="W188" s="57">
        <f t="shared" si="39"/>
        <v>95.022510176086556</v>
      </c>
      <c r="X188" s="57">
        <f t="shared" si="39"/>
        <v>89.600882166311607</v>
      </c>
      <c r="AC188" t="s">
        <v>287</v>
      </c>
      <c r="AD188" s="55">
        <v>0.91810344827586199</v>
      </c>
      <c r="AE188" s="55">
        <v>0.95172833855766703</v>
      </c>
      <c r="AI188" s="78"/>
      <c r="BF188">
        <v>0.95842951188680803</v>
      </c>
      <c r="BG188" s="1">
        <v>125</v>
      </c>
      <c r="BH188">
        <f t="shared" si="28"/>
        <v>0.31165087247514994</v>
      </c>
      <c r="BI188">
        <f t="shared" si="29"/>
        <v>2.2071338392933185E-2</v>
      </c>
      <c r="BJ188">
        <f t="shared" si="27"/>
        <v>2.1153822082627519E-2</v>
      </c>
    </row>
    <row r="189" spans="1:62" x14ac:dyDescent="0.3">
      <c r="A189" t="s">
        <v>3</v>
      </c>
      <c r="B189" s="13">
        <v>0</v>
      </c>
      <c r="C189" s="26">
        <v>114</v>
      </c>
      <c r="D189" s="3">
        <v>0</v>
      </c>
      <c r="E189" s="3">
        <v>0</v>
      </c>
      <c r="F189" s="3">
        <v>1</v>
      </c>
      <c r="G189" s="4">
        <v>0</v>
      </c>
      <c r="H189" s="1">
        <f>SUM(C189:G189)</f>
        <v>115</v>
      </c>
      <c r="I189" s="10">
        <f>C189/H189</f>
        <v>0.99130434782608701</v>
      </c>
      <c r="J189" s="11">
        <f>1-I189</f>
        <v>8.6956521739129933E-3</v>
      </c>
      <c r="K189">
        <f>H189-C194</f>
        <v>1</v>
      </c>
      <c r="N189" s="10">
        <f>2*(C195*I189)/(C195+I189)</f>
        <v>0.99563318777292575</v>
      </c>
      <c r="S189" s="66" t="s">
        <v>39</v>
      </c>
      <c r="T189" s="67">
        <f t="shared" si="39"/>
        <v>0</v>
      </c>
      <c r="U189" s="67">
        <f t="shared" si="39"/>
        <v>0</v>
      </c>
      <c r="V189" s="67">
        <f t="shared" si="39"/>
        <v>0.79426102645284125</v>
      </c>
      <c r="W189" s="67">
        <f t="shared" si="39"/>
        <v>1.0023145029031653</v>
      </c>
      <c r="X189" s="67">
        <f t="shared" si="39"/>
        <v>5.4156058102567277</v>
      </c>
      <c r="AC189" t="s">
        <v>288</v>
      </c>
      <c r="AD189" s="55">
        <v>0.91522988505747105</v>
      </c>
      <c r="AE189" s="55">
        <v>0.95556685155224497</v>
      </c>
      <c r="AH189" s="78"/>
      <c r="BF189">
        <v>0.95848660802246199</v>
      </c>
      <c r="BG189" s="1">
        <v>126</v>
      </c>
      <c r="BH189">
        <f t="shared" si="28"/>
        <v>0.32481861901855619</v>
      </c>
      <c r="BI189">
        <f t="shared" si="29"/>
        <v>2.3003887650773207E-2</v>
      </c>
      <c r="BJ189">
        <f t="shared" si="27"/>
        <v>2.2048918245719414E-2</v>
      </c>
    </row>
    <row r="190" spans="1:62" x14ac:dyDescent="0.3">
      <c r="A190" t="s">
        <v>4</v>
      </c>
      <c r="B190" s="13">
        <v>1</v>
      </c>
      <c r="C190" s="5">
        <v>0</v>
      </c>
      <c r="D190" s="27">
        <v>15</v>
      </c>
      <c r="E190" s="1">
        <v>0</v>
      </c>
      <c r="F190" s="1">
        <v>0</v>
      </c>
      <c r="G190" s="6">
        <v>0</v>
      </c>
      <c r="H190" s="1">
        <f>SUM(C190:G190)</f>
        <v>15</v>
      </c>
      <c r="I190" s="10">
        <f>D190/H190</f>
        <v>1</v>
      </c>
      <c r="J190" s="11">
        <f>1-I190</f>
        <v>0</v>
      </c>
      <c r="K190">
        <f>H190-D194</f>
        <v>0</v>
      </c>
      <c r="N190" s="10">
        <f>2*(D195*I190)/(D195+I190)</f>
        <v>1</v>
      </c>
      <c r="S190" t="s">
        <v>31</v>
      </c>
      <c r="T190" s="57">
        <f>I519</f>
        <v>99.130434782608702</v>
      </c>
      <c r="U190" s="57">
        <f>I520</f>
        <v>100</v>
      </c>
      <c r="V190" s="57">
        <f>I521</f>
        <v>100</v>
      </c>
      <c r="W190" s="57">
        <f>I522</f>
        <v>96.527777777777786</v>
      </c>
      <c r="X190" s="57">
        <f>I523</f>
        <v>81.557377049180332</v>
      </c>
      <c r="AC190" t="s">
        <v>289</v>
      </c>
      <c r="AD190" s="55">
        <v>0.94252873563218298</v>
      </c>
      <c r="AE190" s="55">
        <v>0.96364234376565705</v>
      </c>
      <c r="AI190" s="78"/>
      <c r="BF190">
        <v>0.95849966651127105</v>
      </c>
      <c r="BG190" s="1">
        <v>127</v>
      </c>
      <c r="BH190">
        <f t="shared" si="28"/>
        <v>0.33804293019912629</v>
      </c>
      <c r="BI190">
        <f t="shared" si="29"/>
        <v>2.3940442856801341E-2</v>
      </c>
      <c r="BJ190">
        <f t="shared" si="27"/>
        <v>2.2946906494376227E-2</v>
      </c>
    </row>
    <row r="191" spans="1:62" x14ac:dyDescent="0.3">
      <c r="A191" t="s">
        <v>5</v>
      </c>
      <c r="B191" s="13">
        <v>2</v>
      </c>
      <c r="C191" s="5">
        <v>0</v>
      </c>
      <c r="D191" s="1">
        <v>0</v>
      </c>
      <c r="E191" s="27">
        <v>178</v>
      </c>
      <c r="F191" s="1">
        <v>0</v>
      </c>
      <c r="G191" s="6">
        <v>0</v>
      </c>
      <c r="H191" s="1">
        <f>SUM(C191:G191)</f>
        <v>178</v>
      </c>
      <c r="I191" s="10">
        <f>E191/H191</f>
        <v>1</v>
      </c>
      <c r="J191" s="11">
        <f>1-I191</f>
        <v>0</v>
      </c>
      <c r="K191">
        <f>H191-E194</f>
        <v>-4</v>
      </c>
      <c r="N191" s="10">
        <f>2*(E195*I191)/(E195+I191)</f>
        <v>0.98888888888888882</v>
      </c>
      <c r="S191" s="66" t="s">
        <v>39</v>
      </c>
      <c r="T191" s="67">
        <f>J519</f>
        <v>0.86956521739130099</v>
      </c>
      <c r="U191" s="67">
        <f>J520</f>
        <v>0</v>
      </c>
      <c r="V191" s="67">
        <f>J521</f>
        <v>0</v>
      </c>
      <c r="W191" s="67">
        <f>J522</f>
        <v>1.5309531175003726</v>
      </c>
      <c r="X191" s="67">
        <f>J523</f>
        <v>2.4879395955642503</v>
      </c>
      <c r="AC191" t="s">
        <v>290</v>
      </c>
      <c r="AD191" s="55">
        <v>0.91954022988505701</v>
      </c>
      <c r="AE191" s="55">
        <v>0.95631959795746502</v>
      </c>
      <c r="AH191" s="78"/>
      <c r="BF191">
        <v>0.95858813752244254</v>
      </c>
      <c r="BG191" s="1">
        <v>128</v>
      </c>
      <c r="BH191">
        <f t="shared" si="28"/>
        <v>0.35132662732612346</v>
      </c>
      <c r="BI191">
        <f t="shared" si="29"/>
        <v>2.4881203818163857E-2</v>
      </c>
      <c r="BJ191">
        <f t="shared" si="27"/>
        <v>2.3850826827369977E-2</v>
      </c>
    </row>
    <row r="192" spans="1:62" x14ac:dyDescent="0.3">
      <c r="A192" t="s">
        <v>6</v>
      </c>
      <c r="B192" s="13">
        <v>3</v>
      </c>
      <c r="C192" s="5">
        <v>0</v>
      </c>
      <c r="D192" s="1">
        <v>0</v>
      </c>
      <c r="E192" s="1">
        <v>1</v>
      </c>
      <c r="F192" s="27">
        <v>137</v>
      </c>
      <c r="G192" s="6">
        <v>6</v>
      </c>
      <c r="H192" s="1">
        <f>SUM(C192:G192)</f>
        <v>144</v>
      </c>
      <c r="I192" s="10">
        <f>F192/H192</f>
        <v>0.95138888888888884</v>
      </c>
      <c r="J192" s="11">
        <f>1-I192</f>
        <v>4.861111111111116E-2</v>
      </c>
      <c r="K192">
        <f>H192-F194</f>
        <v>-33</v>
      </c>
      <c r="N192" s="10">
        <f>2*(F195*I192)/(F195+I192)</f>
        <v>0.85358255451713394</v>
      </c>
      <c r="S192" s="66" t="s">
        <v>51</v>
      </c>
      <c r="T192" s="67">
        <f>N508*100</f>
        <v>99.563318777292579</v>
      </c>
      <c r="U192" s="67">
        <f>N509*100</f>
        <v>100</v>
      </c>
      <c r="V192" s="67">
        <f>N510*100</f>
        <v>98.888888888888886</v>
      </c>
      <c r="W192" s="67">
        <f>N511*100</f>
        <v>85.276073619631902</v>
      </c>
      <c r="X192" s="67">
        <f>N512*100</f>
        <v>89.038031319910502</v>
      </c>
      <c r="AC192" t="s">
        <v>291</v>
      </c>
      <c r="AD192" s="55">
        <v>0.90660919540229801</v>
      </c>
      <c r="AE192" s="55">
        <v>0.947930758880275</v>
      </c>
      <c r="AI192" s="78"/>
      <c r="BF192">
        <v>0.95859296528450399</v>
      </c>
      <c r="BG192" s="1">
        <v>129</v>
      </c>
      <c r="BH192">
        <f t="shared" si="28"/>
        <v>0.36467261192316763</v>
      </c>
      <c r="BI192">
        <f t="shared" si="29"/>
        <v>2.5826376022845311E-2</v>
      </c>
      <c r="BJ192">
        <f t="shared" si="27"/>
        <v>2.47569823742919E-2</v>
      </c>
    </row>
    <row r="193" spans="1:62" x14ac:dyDescent="0.3">
      <c r="A193" t="s">
        <v>7</v>
      </c>
      <c r="B193" s="13">
        <v>4</v>
      </c>
      <c r="C193" s="7">
        <v>0</v>
      </c>
      <c r="D193" s="8">
        <v>0</v>
      </c>
      <c r="E193" s="8">
        <v>3</v>
      </c>
      <c r="F193" s="8">
        <v>39</v>
      </c>
      <c r="G193" s="28">
        <v>202</v>
      </c>
      <c r="H193" s="1">
        <f>SUM(C193:G193)</f>
        <v>244</v>
      </c>
      <c r="I193" s="10">
        <f>G193/H193</f>
        <v>0.82786885245901642</v>
      </c>
      <c r="J193" s="11">
        <f>1-I193</f>
        <v>0.17213114754098358</v>
      </c>
      <c r="K193">
        <f>H193-G194</f>
        <v>36</v>
      </c>
      <c r="N193" s="10">
        <f>2*(G195*I193)/(G195+I193)</f>
        <v>0.89380530973451333</v>
      </c>
      <c r="R193" s="16" t="s">
        <v>61</v>
      </c>
      <c r="S193" t="s">
        <v>9</v>
      </c>
      <c r="T193" s="1">
        <f>N519</f>
        <v>161.66999999999999</v>
      </c>
      <c r="U193" s="1">
        <f>N520</f>
        <v>311.45999999999998</v>
      </c>
      <c r="V193" s="1">
        <f>N521</f>
        <v>25234.41</v>
      </c>
      <c r="W193" s="1">
        <f>N522</f>
        <v>28312.61</v>
      </c>
      <c r="X193" s="1">
        <f>N523</f>
        <v>8308.64</v>
      </c>
      <c r="Z193" t="s">
        <v>36</v>
      </c>
      <c r="AA193" s="1">
        <f>N524</f>
        <v>62328.79</v>
      </c>
      <c r="AC193" t="s">
        <v>292</v>
      </c>
      <c r="AD193" s="55">
        <v>0.93678160919540199</v>
      </c>
      <c r="AE193" s="55">
        <v>0.96289362016469704</v>
      </c>
      <c r="AH193" s="78"/>
      <c r="AL193" s="131">
        <v>0</v>
      </c>
      <c r="AM193" s="132">
        <v>1</v>
      </c>
      <c r="AN193" s="132">
        <v>2</v>
      </c>
      <c r="AO193" s="132">
        <v>3</v>
      </c>
      <c r="AP193" s="133">
        <v>4</v>
      </c>
      <c r="BF193">
        <v>0.95872842080856502</v>
      </c>
      <c r="BG193" s="1">
        <v>130</v>
      </c>
      <c r="BH193">
        <f t="shared" si="28"/>
        <v>0.37808387102940144</v>
      </c>
      <c r="BI193">
        <f t="shared" si="29"/>
        <v>2.6776171015100936E-2</v>
      </c>
      <c r="BJ193">
        <f t="shared" ref="BJ193:BJ256" si="40">BI193*BF193</f>
        <v>2.5671076152607792E-2</v>
      </c>
    </row>
    <row r="194" spans="1:62" ht="15.6" x14ac:dyDescent="0.35">
      <c r="B194" s="1" t="s">
        <v>19</v>
      </c>
      <c r="C194" s="1">
        <f>SUM(C189:C193)</f>
        <v>114</v>
      </c>
      <c r="D194" s="1">
        <f>SUM(D189:D193)</f>
        <v>15</v>
      </c>
      <c r="E194" s="1">
        <f>SUM(E189:E193)</f>
        <v>182</v>
      </c>
      <c r="F194" s="1">
        <f>SUM(F189:F193)</f>
        <v>177</v>
      </c>
      <c r="G194" s="1">
        <f>SUM(G189:G193)</f>
        <v>208</v>
      </c>
      <c r="H194" s="1">
        <f>SUM(H188:H193)</f>
        <v>696</v>
      </c>
      <c r="I194" s="13" t="s">
        <v>12</v>
      </c>
      <c r="N194" s="16" t="s">
        <v>36</v>
      </c>
      <c r="R194" s="16" t="s">
        <v>318</v>
      </c>
      <c r="S194" t="s">
        <v>63</v>
      </c>
      <c r="T194" s="57">
        <f>$AA193*T186/100</f>
        <v>160.26417391304346</v>
      </c>
      <c r="U194" s="57">
        <f>$AA193*U186/100</f>
        <v>311.45999999999998</v>
      </c>
      <c r="V194" s="57">
        <f>$AA193*V186/100</f>
        <v>25533.18075705829</v>
      </c>
      <c r="W194" s="57">
        <f>$AA193*W186/100</f>
        <v>28761.114827680765</v>
      </c>
      <c r="X194" s="57">
        <f>$AA193*X186/100</f>
        <v>7562.7702413479037</v>
      </c>
      <c r="Z194" t="s">
        <v>36</v>
      </c>
      <c r="AA194" s="25">
        <f>SUM(T194:X194)</f>
        <v>62328.79</v>
      </c>
      <c r="AC194" t="s">
        <v>293</v>
      </c>
      <c r="AD194" s="55">
        <v>0.91235632183908</v>
      </c>
      <c r="AE194" s="55">
        <v>0.950205419514072</v>
      </c>
      <c r="AI194" s="78"/>
      <c r="AJ194" t="s">
        <v>2</v>
      </c>
      <c r="AQ194" t="s">
        <v>633</v>
      </c>
      <c r="BF194">
        <v>0.95911490420045797</v>
      </c>
      <c r="BG194" s="1">
        <v>131</v>
      </c>
      <c r="BH194">
        <f t="shared" si="28"/>
        <v>0.39156348283220138</v>
      </c>
      <c r="BI194">
        <f t="shared" si="29"/>
        <v>2.7730806794369275E-2</v>
      </c>
      <c r="BJ194">
        <f t="shared" si="40"/>
        <v>2.6597030101982895E-2</v>
      </c>
    </row>
    <row r="195" spans="1:62" x14ac:dyDescent="0.3">
      <c r="A195" s="1" t="s">
        <v>316</v>
      </c>
      <c r="B195" s="1" t="s">
        <v>2</v>
      </c>
      <c r="C195" s="10">
        <f>C189/C194</f>
        <v>1</v>
      </c>
      <c r="D195" s="10">
        <f>D190/D194</f>
        <v>1</v>
      </c>
      <c r="E195" s="10">
        <f>E191/E194</f>
        <v>0.97802197802197799</v>
      </c>
      <c r="F195" s="10">
        <f>F192/F194</f>
        <v>0.77401129943502822</v>
      </c>
      <c r="G195" s="10">
        <f>G193/G194</f>
        <v>0.97115384615384615</v>
      </c>
      <c r="H195" s="10"/>
      <c r="I195" s="14">
        <f>(C189+D190+E191+F192+G193)/H194</f>
        <v>0.92816091954022983</v>
      </c>
      <c r="R195" s="66"/>
      <c r="S195" s="66" t="s">
        <v>62</v>
      </c>
      <c r="T195" s="67">
        <f>$AA193*T187/100</f>
        <v>1.3997004539527678</v>
      </c>
      <c r="U195" s="67">
        <f>$AA193*U187/100</f>
        <v>0</v>
      </c>
      <c r="V195" s="67">
        <f>$AA193*V187/100</f>
        <v>204.51148082114184</v>
      </c>
      <c r="W195" s="67">
        <f>$AA193*W187/100</f>
        <v>476.33581658805235</v>
      </c>
      <c r="X195" s="67">
        <f>$AA193*X187/100</f>
        <v>439.19314649305898</v>
      </c>
      <c r="AA195" s="1"/>
      <c r="AC195" t="s">
        <v>294</v>
      </c>
      <c r="AD195" s="55">
        <v>0.94252873563218298</v>
      </c>
      <c r="AE195" s="55">
        <v>0.95803122636415405</v>
      </c>
      <c r="AH195" s="78"/>
      <c r="AJ195" t="s">
        <v>633</v>
      </c>
      <c r="AK195">
        <v>0</v>
      </c>
      <c r="AL195" s="1">
        <v>137.91</v>
      </c>
      <c r="AM195" s="1">
        <v>40.729999999999997</v>
      </c>
      <c r="AN195" s="1">
        <v>2403.9</v>
      </c>
      <c r="AO195">
        <v>11666.65</v>
      </c>
      <c r="AP195" s="1">
        <v>4721.29</v>
      </c>
      <c r="AR195" s="1">
        <v>165.27</v>
      </c>
      <c r="AS195" s="1">
        <v>315.42</v>
      </c>
      <c r="AT195" s="1">
        <v>26086.34</v>
      </c>
      <c r="AU195" s="1">
        <v>27796.62</v>
      </c>
      <c r="AV195" s="1">
        <v>7965.13</v>
      </c>
      <c r="BF195">
        <v>0.95919217111730504</v>
      </c>
      <c r="BG195" s="1">
        <v>132</v>
      </c>
      <c r="BH195">
        <f t="shared" ref="BH195:BH258" si="41">_xlfn.NORM.S.INV((BG195-0.375)/($BI$61+0.25))</f>
        <v>0.40511462266119358</v>
      </c>
      <c r="BI195">
        <f t="shared" ref="BI195:BI258" si="42">BH195/SQRT($BL$65)</f>
        <v>2.8690508239772709E-2</v>
      </c>
      <c r="BJ195">
        <f t="shared" si="40"/>
        <v>2.7519710888966514E-2</v>
      </c>
    </row>
    <row r="196" spans="1:62" x14ac:dyDescent="0.3">
      <c r="B196" s="1" t="s">
        <v>14</v>
      </c>
      <c r="C196" s="11">
        <f>1-C195</f>
        <v>0</v>
      </c>
      <c r="D196" s="11">
        <f>1-D195</f>
        <v>0</v>
      </c>
      <c r="E196" s="11">
        <f>1-E195</f>
        <v>2.1978021978022011E-2</v>
      </c>
      <c r="F196" s="11">
        <f>1-F195</f>
        <v>0.22598870056497178</v>
      </c>
      <c r="G196" s="11">
        <f>1-G195</f>
        <v>2.8846153846153855E-2</v>
      </c>
      <c r="R196" t="s">
        <v>106</v>
      </c>
      <c r="S196" t="s">
        <v>28</v>
      </c>
      <c r="T196" s="57">
        <f t="shared" ref="T196:X199" si="43">C553</f>
        <v>0.2519740444560073</v>
      </c>
      <c r="U196" s="57">
        <f t="shared" si="43"/>
        <v>0.54766032641742712</v>
      </c>
      <c r="V196" s="57">
        <f t="shared" si="43"/>
        <v>40.45631279241087</v>
      </c>
      <c r="W196" s="57">
        <f t="shared" si="43"/>
        <v>47.102268922274469</v>
      </c>
      <c r="X196" s="57">
        <f t="shared" si="43"/>
        <v>11.641783914441239</v>
      </c>
      <c r="Y196" s="13"/>
      <c r="Z196" s="74"/>
      <c r="AA196" s="12"/>
      <c r="AC196" t="s">
        <v>295</v>
      </c>
      <c r="AD196" s="55">
        <v>0.93390804597701105</v>
      </c>
      <c r="AE196" s="55">
        <v>0.96117506621952398</v>
      </c>
      <c r="AI196" s="78"/>
      <c r="AJ196" t="s">
        <v>633</v>
      </c>
      <c r="AK196">
        <v>1</v>
      </c>
      <c r="AL196" s="1">
        <v>136.02000000000001</v>
      </c>
      <c r="AM196" s="1">
        <v>35.92</v>
      </c>
      <c r="AN196" s="1">
        <v>2279.4499999999998</v>
      </c>
      <c r="AO196">
        <v>11952.09</v>
      </c>
      <c r="AP196" s="1">
        <v>4567</v>
      </c>
      <c r="AR196" s="1">
        <v>154.83000000000001</v>
      </c>
      <c r="AS196" s="1">
        <v>292.02</v>
      </c>
      <c r="AT196" s="1">
        <v>25512.39</v>
      </c>
      <c r="AU196" s="1">
        <v>28711.919999999998</v>
      </c>
      <c r="AV196" s="1">
        <v>7657.63</v>
      </c>
      <c r="BF196">
        <v>0.95932492909434397</v>
      </c>
      <c r="BG196" s="1">
        <v>133</v>
      </c>
      <c r="BH196">
        <f t="shared" si="41"/>
        <v>0.41874056937625281</v>
      </c>
      <c r="BI196">
        <f t="shared" si="42"/>
        <v>2.9655507562520084E-2</v>
      </c>
      <c r="BJ196">
        <f t="shared" si="40"/>
        <v>2.8449267689671362E-2</v>
      </c>
    </row>
    <row r="197" spans="1:62" x14ac:dyDescent="0.3">
      <c r="C197" s="2"/>
      <c r="S197" s="66" t="s">
        <v>39</v>
      </c>
      <c r="T197" s="67">
        <f t="shared" si="43"/>
        <v>2.2006676588914274E-3</v>
      </c>
      <c r="U197" s="67">
        <f t="shared" si="43"/>
        <v>0</v>
      </c>
      <c r="V197" s="67">
        <f t="shared" si="43"/>
        <v>0.33882281773989925</v>
      </c>
      <c r="W197" s="67">
        <f t="shared" si="43"/>
        <v>0.8387743820917748</v>
      </c>
      <c r="X197" s="67">
        <f t="shared" si="43"/>
        <v>0.78294527266587799</v>
      </c>
      <c r="AC197" t="s">
        <v>296</v>
      </c>
      <c r="AD197" s="55">
        <v>0.92959770114942497</v>
      </c>
      <c r="AE197" s="55">
        <v>0.95213751886036502</v>
      </c>
      <c r="AH197" s="78"/>
      <c r="AJ197" t="s">
        <v>633</v>
      </c>
      <c r="AK197">
        <v>2</v>
      </c>
      <c r="AL197" s="1">
        <v>136.09</v>
      </c>
      <c r="AM197" s="1">
        <v>35.54</v>
      </c>
      <c r="AN197" s="1">
        <v>2267.9699999999998</v>
      </c>
      <c r="AO197">
        <v>11857.39</v>
      </c>
      <c r="AP197" s="1">
        <v>4673.49</v>
      </c>
      <c r="AR197" s="1">
        <v>158.43</v>
      </c>
      <c r="AS197" s="1">
        <v>245.93</v>
      </c>
      <c r="AT197" s="1">
        <v>25643.09</v>
      </c>
      <c r="AU197" s="1">
        <v>28426.03</v>
      </c>
      <c r="AV197" s="1">
        <v>7855.31</v>
      </c>
      <c r="BF197">
        <v>0.95934955829981505</v>
      </c>
      <c r="BG197" s="1">
        <v>134</v>
      </c>
      <c r="BH197">
        <f t="shared" si="41"/>
        <v>0.43244471218542141</v>
      </c>
      <c r="BI197">
        <f t="shared" si="42"/>
        <v>3.0626044788756662E-2</v>
      </c>
      <c r="BJ197">
        <f t="shared" si="40"/>
        <v>2.9381082540564058E-2</v>
      </c>
    </row>
    <row r="198" spans="1:62" ht="15.6" x14ac:dyDescent="0.35">
      <c r="A198" t="s">
        <v>317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 t="shared" si="43"/>
        <v>100</v>
      </c>
      <c r="U198" s="57">
        <f t="shared" si="43"/>
        <v>100</v>
      </c>
      <c r="V198" s="57">
        <f t="shared" si="43"/>
        <v>98.68818541934175</v>
      </c>
      <c r="W198" s="57">
        <f t="shared" si="43"/>
        <v>94.950545417448893</v>
      </c>
      <c r="X198" s="57">
        <f t="shared" si="43"/>
        <v>86.080915371838771</v>
      </c>
      <c r="AC198" t="s">
        <v>297</v>
      </c>
      <c r="AD198" s="55">
        <v>0.93534482758620596</v>
      </c>
      <c r="AE198" s="55">
        <v>0.95872842080856502</v>
      </c>
      <c r="AI198" s="78"/>
      <c r="AJ198" t="s">
        <v>633</v>
      </c>
      <c r="AK198">
        <v>3</v>
      </c>
      <c r="AL198" s="1">
        <v>138.18</v>
      </c>
      <c r="AM198" s="1">
        <v>65.400000000000006</v>
      </c>
      <c r="AN198" s="1">
        <v>2041.67</v>
      </c>
      <c r="AO198">
        <v>12002.32</v>
      </c>
      <c r="AP198" s="1">
        <v>4722.91</v>
      </c>
      <c r="AR198" s="1">
        <v>159.51</v>
      </c>
      <c r="AS198" s="1">
        <v>378.44</v>
      </c>
      <c r="AT198" s="1">
        <v>24930.5</v>
      </c>
      <c r="AU198" s="1">
        <v>28894.84</v>
      </c>
      <c r="AV198" s="1">
        <v>7965.49</v>
      </c>
      <c r="BF198">
        <v>0.95945466976503202</v>
      </c>
      <c r="BG198" s="1">
        <v>135</v>
      </c>
      <c r="BH198">
        <f t="shared" si="41"/>
        <v>0.44623055793233662</v>
      </c>
      <c r="BI198">
        <f t="shared" si="42"/>
        <v>3.1602368275664941E-2</v>
      </c>
      <c r="BJ198">
        <f t="shared" si="40"/>
        <v>3.0321039817721031E-2</v>
      </c>
    </row>
    <row r="199" spans="1:62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 t="shared" si="43"/>
        <v>0</v>
      </c>
      <c r="U199" s="67">
        <f t="shared" si="43"/>
        <v>0</v>
      </c>
      <c r="V199" s="67">
        <f t="shared" si="43"/>
        <v>0.82929297088718334</v>
      </c>
      <c r="W199" s="67">
        <f t="shared" si="43"/>
        <v>1.0513562607804054</v>
      </c>
      <c r="X199" s="67">
        <f t="shared" si="43"/>
        <v>6.5677521939410797</v>
      </c>
      <c r="AC199" t="s">
        <v>298</v>
      </c>
      <c r="AD199" s="55">
        <v>0.92241379310344795</v>
      </c>
      <c r="AE199" s="55">
        <v>0.95932492909434397</v>
      </c>
      <c r="AH199" s="78"/>
      <c r="AJ199" t="s">
        <v>633</v>
      </c>
      <c r="AK199">
        <v>4</v>
      </c>
      <c r="AL199" s="1">
        <v>133.22999999999999</v>
      </c>
      <c r="AM199" s="1">
        <v>48.29</v>
      </c>
      <c r="AN199" s="1">
        <v>2252.0500000000002</v>
      </c>
      <c r="AO199">
        <v>11905.12</v>
      </c>
      <c r="AP199" s="1">
        <v>4631.79</v>
      </c>
      <c r="AR199" s="1">
        <v>157.35</v>
      </c>
      <c r="AS199" s="1">
        <v>356.83</v>
      </c>
      <c r="AT199" s="1">
        <v>25224.69</v>
      </c>
      <c r="AU199" s="1">
        <v>28798.34</v>
      </c>
      <c r="AV199" s="1">
        <v>7791.58</v>
      </c>
      <c r="BF199">
        <v>0.95955682512797502</v>
      </c>
      <c r="BG199" s="1">
        <v>136</v>
      </c>
      <c r="BH199">
        <f t="shared" si="41"/>
        <v>0.46010173889686451</v>
      </c>
      <c r="BI199">
        <f t="shared" si="42"/>
        <v>3.2584735263911119E-2</v>
      </c>
      <c r="BJ199">
        <f t="shared" si="40"/>
        <v>3.1266905117474125E-2</v>
      </c>
    </row>
    <row r="200" spans="1:62" x14ac:dyDescent="0.3">
      <c r="A200" t="s">
        <v>3</v>
      </c>
      <c r="B200" s="13">
        <v>0</v>
      </c>
      <c r="C200" s="29">
        <f t="shared" ref="C200:G204" si="44">(C189/$L200)*$O200</f>
        <v>0.24968380508204618</v>
      </c>
      <c r="D200" s="31">
        <f t="shared" si="44"/>
        <v>0</v>
      </c>
      <c r="E200" s="31">
        <f t="shared" si="44"/>
        <v>0</v>
      </c>
      <c r="F200" s="31">
        <f t="shared" si="44"/>
        <v>2.190208816509177E-3</v>
      </c>
      <c r="G200" s="32">
        <f t="shared" si="44"/>
        <v>0</v>
      </c>
      <c r="H200" s="17">
        <f>SUM(C200:G200)</f>
        <v>0.25187401389855535</v>
      </c>
      <c r="I200" s="17">
        <f>C200/H200*100</f>
        <v>99.130434782608702</v>
      </c>
      <c r="J200" s="17">
        <f>SQRT(I200*(100-I200)/(L200-1))</f>
        <v>0.86956521739130099</v>
      </c>
      <c r="K200" s="18">
        <f>100-I200</f>
        <v>0.86956521739129755</v>
      </c>
      <c r="L200" s="1">
        <f>H189</f>
        <v>115</v>
      </c>
      <c r="M200">
        <v>0</v>
      </c>
      <c r="N200" s="1">
        <v>156.99</v>
      </c>
      <c r="O200" s="17">
        <f>N200/N205*100</f>
        <v>0.25187401389855535</v>
      </c>
      <c r="P200" s="52">
        <f>((O200*O200*(I200/100)*(K200/100))/(L200-1))</f>
        <v>4.7970146599144931E-6</v>
      </c>
      <c r="S200" t="s">
        <v>31</v>
      </c>
      <c r="T200" s="57">
        <f>I548</f>
        <v>99.130434782608688</v>
      </c>
      <c r="U200" s="57">
        <f>I549</f>
        <v>100</v>
      </c>
      <c r="V200" s="57">
        <f>I550</f>
        <v>100</v>
      </c>
      <c r="W200" s="57">
        <f>I551</f>
        <v>95.833333333333329</v>
      </c>
      <c r="X200" s="57">
        <f>I552</f>
        <v>79.508196721311478</v>
      </c>
      <c r="AC200" t="s">
        <v>299</v>
      </c>
      <c r="AD200" s="55">
        <v>0.91522988505747105</v>
      </c>
      <c r="AE200" s="55">
        <v>0.95173303457922298</v>
      </c>
      <c r="AI200" s="78"/>
      <c r="AJ200" t="s">
        <v>633</v>
      </c>
      <c r="AK200">
        <v>5</v>
      </c>
      <c r="AL200" s="1">
        <v>136.11000000000001</v>
      </c>
      <c r="AM200" s="1">
        <v>53.62</v>
      </c>
      <c r="AN200" s="1">
        <v>2058.65</v>
      </c>
      <c r="AO200">
        <v>11849.72</v>
      </c>
      <c r="AP200" s="1">
        <v>4872.37</v>
      </c>
      <c r="AR200" s="1">
        <v>162.38999999999999</v>
      </c>
      <c r="AS200" s="1">
        <v>345.31</v>
      </c>
      <c r="AT200" s="1">
        <v>24749.75</v>
      </c>
      <c r="AU200" s="1">
        <v>28862.43</v>
      </c>
      <c r="AV200" s="1">
        <v>8208.9</v>
      </c>
      <c r="BF200">
        <v>0.95962036629077763</v>
      </c>
      <c r="BG200" s="1">
        <v>137</v>
      </c>
      <c r="BH200">
        <f t="shared" si="41"/>
        <v>0.4740620211572345</v>
      </c>
      <c r="BI200">
        <f t="shared" si="42"/>
        <v>3.3573412469857518E-2</v>
      </c>
      <c r="BJ200">
        <f t="shared" si="40"/>
        <v>3.2217730371956035E-2</v>
      </c>
    </row>
    <row r="201" spans="1:62" x14ac:dyDescent="0.3">
      <c r="A201" t="s">
        <v>4</v>
      </c>
      <c r="B201" s="13">
        <v>1</v>
      </c>
      <c r="C201" s="33">
        <f t="shared" si="44"/>
        <v>0</v>
      </c>
      <c r="D201" s="34">
        <f t="shared" si="44"/>
        <v>0.60137548015539533</v>
      </c>
      <c r="E201" s="19">
        <f t="shared" si="44"/>
        <v>0</v>
      </c>
      <c r="F201" s="18">
        <f t="shared" si="44"/>
        <v>0</v>
      </c>
      <c r="G201" s="20">
        <f t="shared" si="44"/>
        <v>0</v>
      </c>
      <c r="H201" s="17">
        <f>SUM(C201:G201)</f>
        <v>0.60137548015539533</v>
      </c>
      <c r="I201" s="17">
        <f>D201/H201*100</f>
        <v>100</v>
      </c>
      <c r="J201" s="17">
        <f>SQRT(I201*(100-I201)/(L201-1))</f>
        <v>0</v>
      </c>
      <c r="K201" s="18">
        <f>100-I201</f>
        <v>0</v>
      </c>
      <c r="L201" s="1">
        <f>H190</f>
        <v>15</v>
      </c>
      <c r="M201">
        <v>1</v>
      </c>
      <c r="N201" s="1">
        <v>374.83</v>
      </c>
      <c r="O201" s="17">
        <f>N201/N205*100</f>
        <v>0.60137548015539533</v>
      </c>
      <c r="P201" s="52">
        <f>((O201*O201*(I201/100)*(K201/100))/(L201-1))</f>
        <v>0</v>
      </c>
      <c r="S201" s="66" t="s">
        <v>39</v>
      </c>
      <c r="T201" s="67">
        <f>J548</f>
        <v>0.8695652173913081</v>
      </c>
      <c r="U201" s="67">
        <f>J549</f>
        <v>0</v>
      </c>
      <c r="V201" s="67">
        <f>J550</f>
        <v>0</v>
      </c>
      <c r="W201" s="67">
        <f>J551</f>
        <v>1.6710315802959994</v>
      </c>
      <c r="X201" s="67">
        <f>J552</f>
        <v>2.5893627973940467</v>
      </c>
      <c r="AC201" t="s">
        <v>300</v>
      </c>
      <c r="AD201" s="55">
        <v>0.92385057471264298</v>
      </c>
      <c r="AE201" s="55">
        <v>0.94799009878423202</v>
      </c>
      <c r="AH201" s="78"/>
      <c r="AJ201" t="s">
        <v>633</v>
      </c>
      <c r="AK201">
        <v>6</v>
      </c>
      <c r="AL201" s="1">
        <v>136.44999999999999</v>
      </c>
      <c r="AM201" s="1">
        <v>59.52</v>
      </c>
      <c r="AN201" s="1">
        <v>2110.83</v>
      </c>
      <c r="AO201">
        <v>11988.36</v>
      </c>
      <c r="AP201" s="1">
        <v>4675.3100000000004</v>
      </c>
      <c r="AR201" s="1">
        <v>156.99</v>
      </c>
      <c r="AS201" s="1">
        <v>374.83</v>
      </c>
      <c r="AT201" s="1">
        <v>25206.32</v>
      </c>
      <c r="AU201" s="1">
        <v>28761.62</v>
      </c>
      <c r="AV201" s="1">
        <v>7829.02</v>
      </c>
      <c r="BF201">
        <v>0.95963428582047205</v>
      </c>
      <c r="BG201" s="1">
        <v>138</v>
      </c>
      <c r="BH201">
        <f t="shared" si="41"/>
        <v>0.48811531356716492</v>
      </c>
      <c r="BI201">
        <f t="shared" si="42"/>
        <v>3.4568676721328996E-2</v>
      </c>
      <c r="BJ201">
        <f t="shared" si="40"/>
        <v>3.3173287397231327E-2</v>
      </c>
    </row>
    <row r="202" spans="1:62" x14ac:dyDescent="0.3">
      <c r="A202" t="s">
        <v>5</v>
      </c>
      <c r="B202" s="13">
        <v>2</v>
      </c>
      <c r="C202" s="33">
        <f t="shared" si="44"/>
        <v>0</v>
      </c>
      <c r="D202" s="19">
        <f t="shared" si="44"/>
        <v>0</v>
      </c>
      <c r="E202" s="34">
        <f t="shared" si="44"/>
        <v>40.440900656165581</v>
      </c>
      <c r="F202" s="19">
        <f t="shared" si="44"/>
        <v>0</v>
      </c>
      <c r="G202" s="20">
        <f t="shared" si="44"/>
        <v>0</v>
      </c>
      <c r="H202" s="17">
        <f>SUM(C202:G202)</f>
        <v>40.440900656165581</v>
      </c>
      <c r="I202" s="17">
        <f>E202/H202*100</f>
        <v>100</v>
      </c>
      <c r="J202" s="17">
        <f>SQRT(I202*(100-I202)/(L202-1))</f>
        <v>0</v>
      </c>
      <c r="K202" s="18">
        <f>100-I202</f>
        <v>0</v>
      </c>
      <c r="L202" s="1">
        <f>H191</f>
        <v>178</v>
      </c>
      <c r="M202">
        <v>2</v>
      </c>
      <c r="N202" s="1">
        <v>25206.32</v>
      </c>
      <c r="O202" s="17">
        <f>N202/N205*100</f>
        <v>40.440900656165581</v>
      </c>
      <c r="P202" s="52">
        <f>((O202*O202*(I202/100)*(K202/100))/(L202-1))</f>
        <v>0</v>
      </c>
      <c r="S202" s="66" t="s">
        <v>51</v>
      </c>
      <c r="T202" s="67">
        <f>N537*100</f>
        <v>99.563318777292579</v>
      </c>
      <c r="U202" s="67">
        <f>N538*100</f>
        <v>100</v>
      </c>
      <c r="V202" s="67">
        <f>N539*100</f>
        <v>98.61495844875347</v>
      </c>
      <c r="W202" s="67">
        <f>N540*100</f>
        <v>83.890577507598778</v>
      </c>
      <c r="X202" s="67">
        <f>N541*100</f>
        <v>87.584650112866825</v>
      </c>
      <c r="AC202" t="s">
        <v>301</v>
      </c>
      <c r="AD202" s="55">
        <v>0.962643678160919</v>
      </c>
      <c r="AE202" s="55">
        <v>0.96792265829323298</v>
      </c>
      <c r="AI202" s="78"/>
      <c r="AJ202" t="s">
        <v>633</v>
      </c>
      <c r="AK202">
        <v>7</v>
      </c>
      <c r="AL202" s="1">
        <v>134.31</v>
      </c>
      <c r="AM202" s="1">
        <v>54.83</v>
      </c>
      <c r="AN202" s="1">
        <v>2198.52</v>
      </c>
      <c r="AO202">
        <v>11838.81</v>
      </c>
      <c r="AP202" s="1">
        <v>4744.01</v>
      </c>
      <c r="AR202" s="1">
        <v>159.15</v>
      </c>
      <c r="AS202" s="1">
        <v>382.04</v>
      </c>
      <c r="AT202" s="1">
        <v>25430.28</v>
      </c>
      <c r="AU202" s="1">
        <v>28396.14</v>
      </c>
      <c r="AV202" s="1">
        <v>7961.17</v>
      </c>
      <c r="BF202">
        <v>0.95969726132566002</v>
      </c>
      <c r="BG202" s="1">
        <v>139</v>
      </c>
      <c r="BH202">
        <f t="shared" si="41"/>
        <v>0.5022656774073111</v>
      </c>
      <c r="BI202">
        <f t="shared" si="42"/>
        <v>3.557081564113547E-2</v>
      </c>
      <c r="BJ202">
        <f t="shared" si="40"/>
        <v>3.4137214353917665E-2</v>
      </c>
    </row>
    <row r="203" spans="1:62" x14ac:dyDescent="0.3">
      <c r="A203" t="s">
        <v>6</v>
      </c>
      <c r="B203" s="13">
        <v>3</v>
      </c>
      <c r="C203" s="33">
        <f t="shared" si="44"/>
        <v>0</v>
      </c>
      <c r="D203" s="19">
        <f t="shared" si="44"/>
        <v>0</v>
      </c>
      <c r="E203" s="19">
        <f t="shared" si="44"/>
        <v>0.32045143868085052</v>
      </c>
      <c r="F203" s="34">
        <f t="shared" si="44"/>
        <v>43.901847099276523</v>
      </c>
      <c r="G203" s="20">
        <f t="shared" si="44"/>
        <v>1.922708632085103</v>
      </c>
      <c r="H203" s="17">
        <f>SUM(C203:G203)</f>
        <v>46.145007170042476</v>
      </c>
      <c r="I203" s="17">
        <f>F203/H203*100</f>
        <v>95.1388888888889</v>
      </c>
      <c r="J203" s="17">
        <f>SQRT(I203*(100-I203)/(L203-1))</f>
        <v>1.7983689383153552</v>
      </c>
      <c r="K203" s="18">
        <f>100-I203</f>
        <v>4.8611111111111001</v>
      </c>
      <c r="L203" s="1">
        <f>H192</f>
        <v>144</v>
      </c>
      <c r="M203">
        <v>3</v>
      </c>
      <c r="N203" s="1">
        <v>28761.62</v>
      </c>
      <c r="O203" s="17">
        <f>N203/N205*100</f>
        <v>46.145007170042476</v>
      </c>
      <c r="P203" s="52">
        <f>((O203*O203*(I203/100)*(K203/100))/(L203-1))</f>
        <v>0.68866342969209071</v>
      </c>
      <c r="R203" s="16" t="s">
        <v>61</v>
      </c>
      <c r="S203" t="s">
        <v>9</v>
      </c>
      <c r="T203" s="1">
        <f>N548</f>
        <v>158.43</v>
      </c>
      <c r="U203" s="1">
        <f>N549</f>
        <v>341.35</v>
      </c>
      <c r="V203" s="1">
        <f>N550</f>
        <v>24885.14</v>
      </c>
      <c r="W203" s="1">
        <f>N551</f>
        <v>29087.83</v>
      </c>
      <c r="X203" s="1">
        <f>N552</f>
        <v>7856.03</v>
      </c>
      <c r="Z203" t="s">
        <v>36</v>
      </c>
      <c r="AA203" s="1">
        <f>N553</f>
        <v>62328.78</v>
      </c>
      <c r="AC203" t="s">
        <v>302</v>
      </c>
      <c r="AD203" s="55">
        <v>0.93247126436781602</v>
      </c>
      <c r="AE203" s="55">
        <v>0.95796881533784795</v>
      </c>
      <c r="AH203" s="78"/>
      <c r="AJ203" t="s">
        <v>633</v>
      </c>
      <c r="AK203">
        <v>8</v>
      </c>
      <c r="AL203" s="1">
        <v>131.79</v>
      </c>
      <c r="AM203" s="1">
        <v>43.58</v>
      </c>
      <c r="AN203" s="1">
        <v>2158.6</v>
      </c>
      <c r="AO203">
        <v>12098.12</v>
      </c>
      <c r="AP203" s="1">
        <v>4538.3900000000003</v>
      </c>
      <c r="AR203" s="1">
        <v>156.27000000000001</v>
      </c>
      <c r="AS203" s="1">
        <v>310.38</v>
      </c>
      <c r="AT203" s="1">
        <v>25167.07</v>
      </c>
      <c r="AU203" s="1">
        <v>29090</v>
      </c>
      <c r="AV203" s="1">
        <v>7605.06</v>
      </c>
      <c r="BF203">
        <v>0.95993169074826101</v>
      </c>
      <c r="BG203" s="1">
        <v>140</v>
      </c>
      <c r="BH203">
        <f t="shared" si="41"/>
        <v>0.51651733677697964</v>
      </c>
      <c r="BI203">
        <f t="shared" si="42"/>
        <v>3.6580128383020556E-2</v>
      </c>
      <c r="BJ203">
        <f t="shared" si="40"/>
        <v>3.5114424486501372E-2</v>
      </c>
    </row>
    <row r="204" spans="1:62" ht="15.6" x14ac:dyDescent="0.35">
      <c r="A204" t="s">
        <v>7</v>
      </c>
      <c r="B204" s="13">
        <v>4</v>
      </c>
      <c r="C204" s="35">
        <f t="shared" si="44"/>
        <v>0</v>
      </c>
      <c r="D204" s="36">
        <f t="shared" si="44"/>
        <v>0</v>
      </c>
      <c r="E204" s="21">
        <f t="shared" si="44"/>
        <v>0.15443659032464749</v>
      </c>
      <c r="F204" s="21">
        <f t="shared" si="44"/>
        <v>2.0076756742204176</v>
      </c>
      <c r="G204" s="37">
        <f t="shared" si="44"/>
        <v>10.398730415192931</v>
      </c>
      <c r="H204" s="17">
        <f>SUM(C204:G204)</f>
        <v>12.560842679737997</v>
      </c>
      <c r="I204" s="17">
        <f>G204/H204*100</f>
        <v>82.78688524590163</v>
      </c>
      <c r="J204" s="17">
        <f>SQRT(I204*(100-I204)/(L204-1))</f>
        <v>2.4216276503293868</v>
      </c>
      <c r="K204" s="18">
        <f>100-I204</f>
        <v>17.21311475409837</v>
      </c>
      <c r="L204" s="1">
        <f>H193</f>
        <v>244</v>
      </c>
      <c r="M204">
        <v>4</v>
      </c>
      <c r="N204" s="1">
        <v>7829.02</v>
      </c>
      <c r="O204" s="17">
        <f>N204/N205*100</f>
        <v>12.560842679737997</v>
      </c>
      <c r="P204" s="52">
        <f>((O204*O204*(I204/100)*(K204/100))/(L204-1))</f>
        <v>9.2523549655911294E-2</v>
      </c>
      <c r="R204" s="16" t="s">
        <v>318</v>
      </c>
      <c r="S204" t="s">
        <v>63</v>
      </c>
      <c r="T204" s="57">
        <f>$AA203*T196/100</f>
        <v>157.05234782608699</v>
      </c>
      <c r="U204" s="57">
        <f>$AA203*U196/100</f>
        <v>341.35</v>
      </c>
      <c r="V204" s="57">
        <f>$AA203*V196/100</f>
        <v>25215.926196493627</v>
      </c>
      <c r="W204" s="57">
        <f>$AA203*W196/100</f>
        <v>29358.269571572826</v>
      </c>
      <c r="X204" s="57">
        <f>$AA203*X196/100</f>
        <v>7256.1818841074682</v>
      </c>
      <c r="Z204" t="s">
        <v>36</v>
      </c>
      <c r="AA204" s="25">
        <f>SUM(T204:X204)</f>
        <v>62328.780000000013</v>
      </c>
      <c r="AC204" t="s">
        <v>303</v>
      </c>
      <c r="AD204" s="55">
        <v>0.92959770114942497</v>
      </c>
      <c r="AE204" s="55">
        <v>0.95616587919012797</v>
      </c>
      <c r="AI204" s="78"/>
      <c r="AJ204" t="s">
        <v>633</v>
      </c>
      <c r="AK204">
        <v>9</v>
      </c>
      <c r="AL204" s="1">
        <v>138.25</v>
      </c>
      <c r="AM204" s="1">
        <v>38.78</v>
      </c>
      <c r="AN204" s="1">
        <v>2294.09</v>
      </c>
      <c r="AO204">
        <v>11622.05</v>
      </c>
      <c r="AP204" s="1">
        <v>4877.3100000000004</v>
      </c>
      <c r="AR204" s="1">
        <v>160.22999999999999</v>
      </c>
      <c r="AS204" s="1">
        <v>271.85000000000002</v>
      </c>
      <c r="AT204" s="1">
        <v>25811.599999999999</v>
      </c>
      <c r="AU204" s="1">
        <v>27787.26</v>
      </c>
      <c r="AV204" s="1">
        <v>8297.83</v>
      </c>
      <c r="BF204">
        <v>0.96026399609133295</v>
      </c>
      <c r="BG204" s="1">
        <v>141</v>
      </c>
      <c r="BH204">
        <f t="shared" si="41"/>
        <v>0.53087468979951669</v>
      </c>
      <c r="BI204">
        <f t="shared" si="42"/>
        <v>3.7596926425235197E-2</v>
      </c>
      <c r="BJ204">
        <f t="shared" si="40"/>
        <v>3.6102974809848185E-2</v>
      </c>
    </row>
    <row r="205" spans="1:62" x14ac:dyDescent="0.3">
      <c r="B205" t="s">
        <v>28</v>
      </c>
      <c r="C205" s="17">
        <f t="shared" ref="C205:H205" si="45">SUM(C200:C204)</f>
        <v>0.24968380508204618</v>
      </c>
      <c r="D205" s="17">
        <f t="shared" si="45"/>
        <v>0.60137548015539533</v>
      </c>
      <c r="E205" s="17">
        <f t="shared" si="45"/>
        <v>40.91578868517108</v>
      </c>
      <c r="F205" s="17">
        <f t="shared" si="45"/>
        <v>45.911712982313446</v>
      </c>
      <c r="G205" s="17">
        <f t="shared" si="45"/>
        <v>12.321439047278034</v>
      </c>
      <c r="H205" s="18">
        <f t="shared" si="45"/>
        <v>100.00000000000001</v>
      </c>
      <c r="I205" s="13" t="s">
        <v>24</v>
      </c>
      <c r="J205" s="12" t="s">
        <v>29</v>
      </c>
      <c r="N205" s="1">
        <f>SUM(N200:N204)</f>
        <v>62328.78</v>
      </c>
      <c r="O205" s="17">
        <f>SUM(O200:O204)</f>
        <v>100.00000000000001</v>
      </c>
      <c r="R205" s="66"/>
      <c r="S205" s="66" t="s">
        <v>62</v>
      </c>
      <c r="T205" s="67">
        <f>$AA203*T197/100</f>
        <v>1.3716493036415884</v>
      </c>
      <c r="U205" s="67">
        <f>$AA203*U197/100</f>
        <v>0</v>
      </c>
      <c r="V205" s="67">
        <f>$AA203*V197/100</f>
        <v>211.18412865890278</v>
      </c>
      <c r="W205" s="67">
        <f>$AA203*W197/100</f>
        <v>522.79783931034171</v>
      </c>
      <c r="X205" s="67">
        <f>$AA203*X197/100</f>
        <v>488.00023652031524</v>
      </c>
      <c r="AA205" s="1"/>
      <c r="AC205" t="s">
        <v>304</v>
      </c>
      <c r="AD205" s="55">
        <v>0.92959770114942497</v>
      </c>
      <c r="AE205" s="55">
        <v>0.95963428582047205</v>
      </c>
      <c r="AH205" s="78"/>
      <c r="AJ205" t="s">
        <v>633</v>
      </c>
      <c r="AK205">
        <v>10</v>
      </c>
      <c r="AL205" s="1">
        <v>140.34</v>
      </c>
      <c r="AM205" s="1">
        <v>56.14</v>
      </c>
      <c r="AN205" s="1">
        <v>2167.83</v>
      </c>
      <c r="AO205">
        <v>11917.23</v>
      </c>
      <c r="AP205" s="1">
        <v>4688.9399999999996</v>
      </c>
      <c r="AR205" s="1">
        <v>167.43</v>
      </c>
      <c r="AS205" s="1">
        <v>342.07</v>
      </c>
      <c r="AT205" s="1">
        <v>25029.17</v>
      </c>
      <c r="AU205" s="1">
        <v>28931.56</v>
      </c>
      <c r="AV205" s="1">
        <v>7858.55</v>
      </c>
      <c r="BF205">
        <v>0.96027138805480405</v>
      </c>
      <c r="BG205" s="1">
        <v>142</v>
      </c>
      <c r="BH205">
        <f t="shared" si="41"/>
        <v>0.54534232072325628</v>
      </c>
      <c r="BI205">
        <f t="shared" si="42"/>
        <v>3.8621534427535534E-2</v>
      </c>
      <c r="BJ205">
        <f t="shared" si="40"/>
        <v>3.7087154473535951E-2</v>
      </c>
    </row>
    <row r="206" spans="1:62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2.1806653775760104E-3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0.33140379775660289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0.87790611521192152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0.8262002305481867</v>
      </c>
      <c r="H206" s="1"/>
      <c r="I206" s="14">
        <f>(C200+D201+E202+F203+G204)/H205</f>
        <v>0.95592537455872462</v>
      </c>
      <c r="J206" s="53">
        <f>SQRT(SUM(P200:P204))/100</f>
        <v>8.8385053960647782E-3</v>
      </c>
      <c r="M206" s="1"/>
      <c r="N206" s="9"/>
      <c r="R206" t="s">
        <v>107</v>
      </c>
      <c r="S206" t="s">
        <v>28</v>
      </c>
      <c r="T206" s="57">
        <f>C582</f>
        <v>0.24796612555157541</v>
      </c>
      <c r="U206" s="57">
        <f>D582</f>
        <v>0.48873088804240999</v>
      </c>
      <c r="V206" s="57">
        <f>E582</f>
        <v>41.82061137760175</v>
      </c>
      <c r="W206" s="57">
        <f>F582</f>
        <v>45.558849501886826</v>
      </c>
      <c r="X206" s="57">
        <f>G582</f>
        <v>11.88384210691745</v>
      </c>
      <c r="Y206" s="60"/>
      <c r="Z206" s="74"/>
      <c r="AA206" s="12"/>
      <c r="AC206" t="s">
        <v>305</v>
      </c>
      <c r="AD206" s="55">
        <v>0.91379310344827502</v>
      </c>
      <c r="AE206" s="55">
        <v>0.95051006179586195</v>
      </c>
      <c r="AI206" s="78"/>
      <c r="AJ206" t="s">
        <v>633</v>
      </c>
      <c r="AK206">
        <v>11</v>
      </c>
      <c r="AL206" s="1">
        <v>136.81</v>
      </c>
      <c r="AM206" s="1">
        <v>57.43</v>
      </c>
      <c r="AN206" s="1">
        <v>2207.1799999999998</v>
      </c>
      <c r="AO206">
        <v>11826.74</v>
      </c>
      <c r="AP206" s="1">
        <v>4742.32</v>
      </c>
      <c r="AR206" s="1">
        <v>158.07</v>
      </c>
      <c r="AS206" s="1">
        <v>371.95</v>
      </c>
      <c r="AT206" s="1">
        <v>25490.05</v>
      </c>
      <c r="AU206" s="1">
        <v>28278.76</v>
      </c>
      <c r="AV206" s="1">
        <v>8029.94</v>
      </c>
      <c r="BF206">
        <v>0.96030589738487004</v>
      </c>
      <c r="BG206" s="1">
        <v>143</v>
      </c>
      <c r="BH206">
        <f t="shared" si="41"/>
        <v>0.55992501300953679</v>
      </c>
      <c r="BI206">
        <f t="shared" si="42"/>
        <v>3.9654291158085608E-2</v>
      </c>
      <c r="BJ206">
        <f t="shared" si="40"/>
        <v>3.8080249655726317E-2</v>
      </c>
    </row>
    <row r="207" spans="1:62" x14ac:dyDescent="0.3">
      <c r="B207" s="1" t="s">
        <v>30</v>
      </c>
      <c r="C207" s="17">
        <f>C200/C205*100</f>
        <v>100</v>
      </c>
      <c r="D207" s="17">
        <f>D201/D205*100</f>
        <v>100</v>
      </c>
      <c r="E207" s="17">
        <f>E202/E205*100</f>
        <v>98.839352620917182</v>
      </c>
      <c r="F207" s="17">
        <f>F203/F205*100</f>
        <v>95.622324342785504</v>
      </c>
      <c r="G207" s="17">
        <f>G204/G205*100</f>
        <v>84.395421470596375</v>
      </c>
      <c r="H207" s="1"/>
      <c r="S207" s="66" t="s">
        <v>39</v>
      </c>
      <c r="T207" s="67">
        <f t="shared" ref="T207:V209" si="46">C583</f>
        <v>2.1656636665894373E-3</v>
      </c>
      <c r="U207" s="67">
        <f t="shared" si="46"/>
        <v>0</v>
      </c>
      <c r="V207" s="67">
        <f t="shared" si="46"/>
        <v>0.45282667815327327</v>
      </c>
      <c r="W207" s="67">
        <f t="shared" ref="W207:X209" si="47">F583</f>
        <v>0.81705418467829982</v>
      </c>
      <c r="X207" s="67">
        <f t="shared" si="47"/>
        <v>0.70159530644604451</v>
      </c>
      <c r="AC207" t="s">
        <v>306</v>
      </c>
      <c r="AD207" s="55">
        <v>0.92241379310344795</v>
      </c>
      <c r="AE207" s="55">
        <v>0.95468070951584805</v>
      </c>
      <c r="AH207" s="78"/>
      <c r="AJ207" t="s">
        <v>633</v>
      </c>
      <c r="AK207">
        <v>12</v>
      </c>
      <c r="AL207" s="1">
        <v>137.82</v>
      </c>
      <c r="AM207" s="1">
        <v>51.61</v>
      </c>
      <c r="AN207" s="1">
        <v>2149.44</v>
      </c>
      <c r="AO207">
        <v>11944.1</v>
      </c>
      <c r="AP207" s="1">
        <v>4687.51</v>
      </c>
      <c r="AR207" s="1">
        <v>160.22999999999999</v>
      </c>
      <c r="AS207" s="1">
        <v>330.9</v>
      </c>
      <c r="AT207" s="1">
        <v>25116.66</v>
      </c>
      <c r="AU207" s="1">
        <v>28817.78</v>
      </c>
      <c r="AV207" s="1">
        <v>7903.2</v>
      </c>
      <c r="BF207">
        <v>0.96040580997117797</v>
      </c>
      <c r="BG207" s="1">
        <v>144</v>
      </c>
      <c r="BH207">
        <f t="shared" si="41"/>
        <v>0.57462776351023559</v>
      </c>
      <c r="BI207">
        <f t="shared" si="42"/>
        <v>4.0695550497520529E-2</v>
      </c>
      <c r="BJ207">
        <f t="shared" si="40"/>
        <v>3.9084243137794177E-2</v>
      </c>
    </row>
    <row r="208" spans="1:62" x14ac:dyDescent="0.3">
      <c r="B208" s="16" t="s">
        <v>39</v>
      </c>
      <c r="C208" s="18">
        <f>SQRT((C211+C212)/(C205*C205))</f>
        <v>0</v>
      </c>
      <c r="D208" s="18">
        <f>SQRT((D211+D212)/(D205*D205))</f>
        <v>0</v>
      </c>
      <c r="E208" s="18">
        <f>SQRT((E211+E212)/(E205*E205))</f>
        <v>0.80327694103116443</v>
      </c>
      <c r="F208" s="18">
        <f>SQRT((F211+F212)/(F205*F205))</f>
        <v>1.0021693465882207</v>
      </c>
      <c r="G208" s="18">
        <f>SQRT((G211+G212)/(G205*G205))</f>
        <v>6.5372360274965429</v>
      </c>
      <c r="H208" s="1"/>
      <c r="I208" s="14"/>
      <c r="S208" t="s">
        <v>30</v>
      </c>
      <c r="T208" s="57">
        <f t="shared" si="46"/>
        <v>100</v>
      </c>
      <c r="U208" s="57">
        <f t="shared" si="46"/>
        <v>100</v>
      </c>
      <c r="V208" s="57">
        <f t="shared" si="46"/>
        <v>97.985531792604746</v>
      </c>
      <c r="W208" s="57">
        <f t="shared" si="47"/>
        <v>94.902058494201427</v>
      </c>
      <c r="X208" s="57">
        <f>G584</f>
        <v>89.454372836767249</v>
      </c>
      <c r="AC208" t="s">
        <v>307</v>
      </c>
      <c r="AD208" s="55">
        <v>0.94540229885057403</v>
      </c>
      <c r="AE208" s="55">
        <v>0.96423018184353004</v>
      </c>
      <c r="AI208" s="78"/>
      <c r="AJ208" t="s">
        <v>633</v>
      </c>
      <c r="AK208">
        <v>13</v>
      </c>
      <c r="AL208" s="1">
        <v>138.54</v>
      </c>
      <c r="AM208" s="1">
        <v>76.849999999999994</v>
      </c>
      <c r="AN208" s="1">
        <v>2158.71</v>
      </c>
      <c r="AO208">
        <v>11862.07</v>
      </c>
      <c r="AP208" s="1">
        <v>4734.3</v>
      </c>
      <c r="AR208" s="1">
        <v>164.19</v>
      </c>
      <c r="AS208" s="1">
        <v>428.84</v>
      </c>
      <c r="AT208" s="1">
        <v>25122.06</v>
      </c>
      <c r="AU208" s="1">
        <v>28569.33</v>
      </c>
      <c r="AV208" s="1">
        <v>8044.35</v>
      </c>
      <c r="BF208">
        <v>0.96053739480033395</v>
      </c>
      <c r="BG208" s="1">
        <v>145</v>
      </c>
      <c r="BH208">
        <f t="shared" si="41"/>
        <v>0.58945579784977842</v>
      </c>
      <c r="BI208">
        <f t="shared" si="42"/>
        <v>4.1745682528311422E-2</v>
      </c>
      <c r="BJ208">
        <f t="shared" si="40"/>
        <v>4.0098289139906068E-2</v>
      </c>
    </row>
    <row r="209" spans="1:62" x14ac:dyDescent="0.3">
      <c r="B209" s="1" t="s">
        <v>37</v>
      </c>
      <c r="C209" s="18">
        <f>100-C207</f>
        <v>0</v>
      </c>
      <c r="D209" s="18">
        <f>100-D207</f>
        <v>0</v>
      </c>
      <c r="E209" s="18">
        <f>100-E207</f>
        <v>1.1606473790828176</v>
      </c>
      <c r="F209" s="18">
        <f>100-F207</f>
        <v>4.3776756572144961</v>
      </c>
      <c r="G209" s="18">
        <f>100-G207</f>
        <v>15.604578529403625</v>
      </c>
      <c r="S209" s="66" t="s">
        <v>39</v>
      </c>
      <c r="T209" s="67">
        <f t="shared" si="46"/>
        <v>0</v>
      </c>
      <c r="U209" s="67">
        <f t="shared" si="46"/>
        <v>0</v>
      </c>
      <c r="V209" s="67">
        <f t="shared" si="46"/>
        <v>1.0645893901789616</v>
      </c>
      <c r="W209" s="67">
        <f t="shared" si="47"/>
        <v>1.0775453006970985</v>
      </c>
      <c r="X209" s="67">
        <f>G585</f>
        <v>5.5243397809150157</v>
      </c>
      <c r="AC209" t="s">
        <v>308</v>
      </c>
      <c r="AD209" s="55">
        <v>0.93247126436781602</v>
      </c>
      <c r="AE209" s="55">
        <v>0.96026399609133295</v>
      </c>
      <c r="AH209" s="78"/>
      <c r="AJ209" t="s">
        <v>633</v>
      </c>
      <c r="AK209">
        <v>14</v>
      </c>
      <c r="AL209" s="1">
        <v>138.47</v>
      </c>
      <c r="AM209" s="1">
        <v>39.369999999999997</v>
      </c>
      <c r="AN209" s="1">
        <v>2196.11</v>
      </c>
      <c r="AO209">
        <v>11764.43</v>
      </c>
      <c r="AP209" s="1">
        <v>4832.09</v>
      </c>
      <c r="AQ209" s="1"/>
      <c r="AR209" s="1">
        <v>167.79</v>
      </c>
      <c r="AS209" s="1">
        <v>313.98</v>
      </c>
      <c r="AT209" s="1">
        <v>25511.3</v>
      </c>
      <c r="AU209" s="1">
        <v>28201.35</v>
      </c>
      <c r="AV209" s="1">
        <v>8134.36</v>
      </c>
      <c r="BF209">
        <v>0.96057939040027085</v>
      </c>
      <c r="BG209" s="1">
        <v>146</v>
      </c>
      <c r="BH209">
        <f t="shared" si="41"/>
        <v>0.6044145871408374</v>
      </c>
      <c r="BI209">
        <f t="shared" si="42"/>
        <v>4.2805074718583164E-2</v>
      </c>
      <c r="BJ209">
        <f t="shared" si="40"/>
        <v>4.1117672579214663E-2</v>
      </c>
    </row>
    <row r="210" spans="1:62" ht="15.6" x14ac:dyDescent="0.35">
      <c r="B210" s="1" t="s">
        <v>25</v>
      </c>
      <c r="C210" s="1">
        <f>C194</f>
        <v>114</v>
      </c>
      <c r="D210" s="1">
        <f>D194</f>
        <v>15</v>
      </c>
      <c r="E210" s="1">
        <f>E194</f>
        <v>182</v>
      </c>
      <c r="F210" s="1">
        <f>F194</f>
        <v>177</v>
      </c>
      <c r="G210" s="1">
        <f>G194</f>
        <v>208</v>
      </c>
      <c r="S210" s="15" t="s">
        <v>31</v>
      </c>
      <c r="T210" s="71">
        <f>I577</f>
        <v>99.130434782608702</v>
      </c>
      <c r="U210" s="71">
        <f>I578</f>
        <v>100</v>
      </c>
      <c r="V210" s="71">
        <f>I579</f>
        <v>100</v>
      </c>
      <c r="W210" s="71">
        <f>I580</f>
        <v>95.833333333333343</v>
      </c>
      <c r="X210" s="71">
        <f>I581</f>
        <v>80.737704918032776</v>
      </c>
      <c r="AC210" t="s">
        <v>309</v>
      </c>
      <c r="AD210" s="55">
        <v>0.91522988505747105</v>
      </c>
      <c r="AE210" s="55">
        <v>0.94576985865915897</v>
      </c>
      <c r="AI210" s="78"/>
      <c r="AJ210" t="s">
        <v>633</v>
      </c>
      <c r="AK210">
        <v>15</v>
      </c>
      <c r="AL210" s="1">
        <v>136.74</v>
      </c>
      <c r="AM210" s="1">
        <v>47.97</v>
      </c>
      <c r="AN210" s="1">
        <v>2286.39</v>
      </c>
      <c r="AO210">
        <v>11773.55</v>
      </c>
      <c r="AP210" s="1">
        <v>4725.83</v>
      </c>
      <c r="AQ210" s="1"/>
      <c r="AR210" s="1">
        <v>155.55000000000001</v>
      </c>
      <c r="AS210" s="1">
        <v>335.59</v>
      </c>
      <c r="AT210" s="1">
        <v>25741.38</v>
      </c>
      <c r="AU210" s="1">
        <v>28110.25</v>
      </c>
      <c r="AV210" s="1">
        <v>7986.01</v>
      </c>
      <c r="BF210">
        <v>0.96059153204268</v>
      </c>
      <c r="BG210" s="1">
        <v>147</v>
      </c>
      <c r="BH210">
        <f t="shared" si="41"/>
        <v>0.6195098661793067</v>
      </c>
      <c r="BI210">
        <f t="shared" si="42"/>
        <v>4.3874133210695589E-2</v>
      </c>
      <c r="BJ210">
        <f t="shared" si="40"/>
        <v>4.2145120837906704E-2</v>
      </c>
    </row>
    <row r="211" spans="1:62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0</v>
      </c>
      <c r="E211" s="18">
        <f>(O202*O202*(100-E207)*(100-E207)*(I202)*(100-I202))/((L202-1)*100)</f>
        <v>0</v>
      </c>
      <c r="F211" s="18">
        <f>(O203*O203*(100-F207)*(100-F207)*(I203)*(100-I203))/((L203-1)*100)</f>
        <v>1319.757637783677</v>
      </c>
      <c r="G211" s="18">
        <f>(O204*O204*(100-G207)*(100-G207)*(I204)*(100-I204))/((L204-1)*100)</f>
        <v>2252.9749983757379</v>
      </c>
      <c r="S211" s="75" t="s">
        <v>39</v>
      </c>
      <c r="T211" s="76">
        <f>J577</f>
        <v>0.86956521739130099</v>
      </c>
      <c r="U211" s="76">
        <f>J578</f>
        <v>0</v>
      </c>
      <c r="V211" s="76">
        <f>J579</f>
        <v>0</v>
      </c>
      <c r="W211" s="76">
        <f>J580</f>
        <v>1.6710315802959967</v>
      </c>
      <c r="X211" s="76">
        <f>J581</f>
        <v>2.5298168384486917</v>
      </c>
      <c r="AC211" t="s">
        <v>310</v>
      </c>
      <c r="AD211" s="55">
        <v>0.93678160919540199</v>
      </c>
      <c r="AE211" s="55">
        <v>0.96420692145567399</v>
      </c>
      <c r="AH211" s="78"/>
      <c r="AJ211" t="s">
        <v>633</v>
      </c>
      <c r="AK211">
        <v>16</v>
      </c>
      <c r="AL211" s="1">
        <v>137.46</v>
      </c>
      <c r="AM211" s="1">
        <v>32.32</v>
      </c>
      <c r="AN211" s="1">
        <v>2208.92</v>
      </c>
      <c r="AO211">
        <v>11890.65</v>
      </c>
      <c r="AP211" s="1">
        <v>4701.1400000000003</v>
      </c>
      <c r="AQ211" s="1"/>
      <c r="AR211" s="1">
        <v>159.87</v>
      </c>
      <c r="AS211" s="1">
        <v>266.81</v>
      </c>
      <c r="AT211" s="1">
        <v>25446.85</v>
      </c>
      <c r="AU211" s="1">
        <v>28541.61</v>
      </c>
      <c r="AV211" s="1">
        <v>7913.64</v>
      </c>
      <c r="BF211">
        <v>0.96059928200609601</v>
      </c>
      <c r="BG211" s="1">
        <v>148</v>
      </c>
      <c r="BH211">
        <f t="shared" si="41"/>
        <v>0.63474765328291094</v>
      </c>
      <c r="BI211">
        <f t="shared" si="42"/>
        <v>4.4953284226228012E-2</v>
      </c>
      <c r="BJ211">
        <f t="shared" si="40"/>
        <v>4.318209255153059E-2</v>
      </c>
    </row>
    <row r="212" spans="1:62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0</v>
      </c>
      <c r="E212" s="18">
        <f>E207*E207*(SUM((H200*E200*(1-E189/H189))/(H189-1),(H201*E201*(1-E190/H190))/(H190-1), (H203*E203*(1-E192/H192))/(H192-1),(H204*E204*(1-E193/H193))/(H193-1)))</f>
        <v>1080.2205982809387</v>
      </c>
      <c r="F212" s="18">
        <f>F207*F207*(SUM((H200*F200*(1-F189/H189))/(H189-1),(H201*F201*(1-F190/H190))/(H190-1), (H202*F202*(1-F191/H191))/(H191-1),(H204*F204*(1-F193/H193))/(H193-1)))</f>
        <v>797.28313898534975</v>
      </c>
      <c r="G212" s="18">
        <f>G207*G207*(SUM((H200*G200*(1-G189/H189))/(H189-1),(H201*G201*(1-G190/H190))/(H190-1), (H202*G202*(1-G191/H191))/(H191-1),(H203*G203*(1-G192/H192))/(H192-1)))</f>
        <v>4235.0303158778615</v>
      </c>
      <c r="S212" s="66" t="s">
        <v>51</v>
      </c>
      <c r="T212" s="67">
        <f>N566*100</f>
        <v>99.563318777292579</v>
      </c>
      <c r="U212" s="67">
        <f>N567*100</f>
        <v>100</v>
      </c>
      <c r="V212" s="67">
        <f>N568*100</f>
        <v>98.342541436464074</v>
      </c>
      <c r="W212" s="67">
        <f>N569*100</f>
        <v>84.662576687116555</v>
      </c>
      <c r="X212" s="67">
        <f>N570*100</f>
        <v>88.539325842696627</v>
      </c>
      <c r="AC212" t="s">
        <v>311</v>
      </c>
      <c r="AD212" s="55">
        <v>0.92816091954022895</v>
      </c>
      <c r="AE212" s="55">
        <v>0.96182944852376795</v>
      </c>
      <c r="AI212" s="78"/>
      <c r="AJ212" t="s">
        <v>633</v>
      </c>
      <c r="AK212">
        <v>17</v>
      </c>
      <c r="AL212" s="1">
        <v>138.9</v>
      </c>
      <c r="AM212" s="1">
        <v>44.77</v>
      </c>
      <c r="AN212" s="1">
        <v>2143.34</v>
      </c>
      <c r="AO212">
        <v>11775.34</v>
      </c>
      <c r="AP212" s="1">
        <v>4868.12</v>
      </c>
      <c r="AQ212" s="1"/>
      <c r="AR212" s="1">
        <v>161.66999999999999</v>
      </c>
      <c r="AS212" s="1">
        <v>311.45999999999998</v>
      </c>
      <c r="AT212" s="1">
        <v>25234.41</v>
      </c>
      <c r="AU212" s="1">
        <v>28312.61</v>
      </c>
      <c r="AV212" s="1">
        <v>8308.64</v>
      </c>
      <c r="BF212">
        <v>0.96072879026437097</v>
      </c>
      <c r="BG212" s="1">
        <v>149</v>
      </c>
      <c r="BH212">
        <f t="shared" si="41"/>
        <v>0.65013427195943696</v>
      </c>
      <c r="BI212">
        <f t="shared" si="42"/>
        <v>4.6042975600538889E-2</v>
      </c>
      <c r="BJ212">
        <f t="shared" si="40"/>
        <v>4.4234812248877674E-2</v>
      </c>
    </row>
    <row r="213" spans="1:62" x14ac:dyDescent="0.3">
      <c r="R213" s="16" t="s">
        <v>61</v>
      </c>
      <c r="S213" t="s">
        <v>9</v>
      </c>
      <c r="T213" s="1">
        <f>N577</f>
        <v>155.91</v>
      </c>
      <c r="U213" s="1">
        <f>N578</f>
        <v>304.62</v>
      </c>
      <c r="V213" s="1">
        <f>N579</f>
        <v>25541.18</v>
      </c>
      <c r="W213" s="1">
        <f>N580</f>
        <v>28120.33</v>
      </c>
      <c r="X213" s="1">
        <f>N581</f>
        <v>8206.74</v>
      </c>
      <c r="Z213" t="s">
        <v>36</v>
      </c>
      <c r="AA213" s="1">
        <f>N582</f>
        <v>62328.78</v>
      </c>
      <c r="AC213" t="s">
        <v>312</v>
      </c>
      <c r="AD213" s="55">
        <v>0.91666666666666596</v>
      </c>
      <c r="AE213" s="55">
        <v>0.94842425631821703</v>
      </c>
      <c r="AH213" s="78"/>
      <c r="AJ213" t="s">
        <v>633</v>
      </c>
      <c r="AK213">
        <v>18</v>
      </c>
      <c r="AL213" s="1">
        <v>137.1</v>
      </c>
      <c r="AM213" s="1">
        <v>50.47</v>
      </c>
      <c r="AN213" s="1">
        <v>2119.8200000000002</v>
      </c>
      <c r="AO213">
        <v>11994.26</v>
      </c>
      <c r="AP213" s="1">
        <v>4668.83</v>
      </c>
      <c r="AQ213" s="1"/>
      <c r="AR213" s="1">
        <v>158.43</v>
      </c>
      <c r="AS213" s="1">
        <v>341.35</v>
      </c>
      <c r="AT213" s="1">
        <v>24885.14</v>
      </c>
      <c r="AU213" s="1">
        <v>29087.83</v>
      </c>
      <c r="AV213" s="1">
        <v>7856.03</v>
      </c>
      <c r="BF213">
        <v>0.96085730240975298</v>
      </c>
      <c r="BG213" s="1">
        <v>150</v>
      </c>
      <c r="BH213">
        <f t="shared" si="41"/>
        <v>0.66567637461552476</v>
      </c>
      <c r="BI213">
        <f t="shared" si="42"/>
        <v>4.7143678461839471E-2</v>
      </c>
      <c r="BJ213">
        <f t="shared" si="40"/>
        <v>4.5298347712515848E-2</v>
      </c>
    </row>
    <row r="214" spans="1:62" ht="15.6" x14ac:dyDescent="0.35">
      <c r="R214" s="16" t="s">
        <v>318</v>
      </c>
      <c r="S214" t="s">
        <v>63</v>
      </c>
      <c r="T214" s="57">
        <f>$AA213*T206/100</f>
        <v>154.55426086956521</v>
      </c>
      <c r="U214" s="57">
        <f>$AA213*U206/100</f>
        <v>304.62000000000006</v>
      </c>
      <c r="V214" s="57">
        <f>$AA213*V206/100</f>
        <v>26066.276860200363</v>
      </c>
      <c r="W214" s="57">
        <f>$AA213*W206/100</f>
        <v>28396.275076562135</v>
      </c>
      <c r="X214" s="57">
        <f>$AA213*X206/100</f>
        <v>7407.0538023679428</v>
      </c>
      <c r="Z214" t="s">
        <v>36</v>
      </c>
      <c r="AA214" s="25">
        <f>SUM(T214:X214)</f>
        <v>62328.78</v>
      </c>
      <c r="AC214" t="s">
        <v>313</v>
      </c>
      <c r="AD214" s="55">
        <v>0.92672413793103403</v>
      </c>
      <c r="AE214" s="55">
        <v>0.96059928200609601</v>
      </c>
      <c r="AI214" s="78"/>
      <c r="AJ214" t="s">
        <v>633</v>
      </c>
      <c r="AK214">
        <v>19</v>
      </c>
      <c r="AL214" s="1">
        <v>136.09</v>
      </c>
      <c r="AM214" s="1">
        <v>41.89</v>
      </c>
      <c r="AN214" s="1">
        <v>2245.25</v>
      </c>
      <c r="AO214">
        <v>11744.36</v>
      </c>
      <c r="AP214" s="1">
        <v>4802.87</v>
      </c>
      <c r="AR214" s="1">
        <v>155.91</v>
      </c>
      <c r="AS214" s="1">
        <v>304.62</v>
      </c>
      <c r="AT214" s="1">
        <v>25541.18</v>
      </c>
      <c r="AU214" s="1">
        <v>28120.33</v>
      </c>
      <c r="AV214" s="1">
        <v>8206.74</v>
      </c>
      <c r="BF214">
        <v>0.96086245308180396</v>
      </c>
      <c r="BG214" s="1">
        <v>151</v>
      </c>
      <c r="BH214">
        <f t="shared" si="41"/>
        <v>0.68138096854583952</v>
      </c>
      <c r="BI214">
        <f t="shared" si="42"/>
        <v>4.8255889071765555E-2</v>
      </c>
      <c r="BJ214">
        <f t="shared" si="40"/>
        <v>4.6367271949140067E-2</v>
      </c>
    </row>
    <row r="215" spans="1:62" x14ac:dyDescent="0.3">
      <c r="A215" s="348">
        <v>1977</v>
      </c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 t="s">
        <v>80</v>
      </c>
      <c r="M215" s="348"/>
      <c r="N215" s="348"/>
      <c r="O215" s="348"/>
      <c r="P215" s="348"/>
      <c r="R215" s="66"/>
      <c r="S215" s="66" t="s">
        <v>62</v>
      </c>
      <c r="T215" s="67">
        <f>$AA213*T207/100</f>
        <v>1.349831742288464</v>
      </c>
      <c r="U215" s="67">
        <f>$AA213*U207/100</f>
        <v>0</v>
      </c>
      <c r="V215" s="67">
        <f>$AA213*V207/100</f>
        <v>282.24134400746175</v>
      </c>
      <c r="W215" s="67">
        <f>$AA213*W207/100</f>
        <v>509.25990524893115</v>
      </c>
      <c r="X215" s="67">
        <f>$AA213*X207/100</f>
        <v>437.29579504508087</v>
      </c>
      <c r="AA215" s="1"/>
      <c r="AC215" t="s">
        <v>314</v>
      </c>
      <c r="AD215" s="55">
        <v>0.92672413793103403</v>
      </c>
      <c r="AE215" s="55">
        <v>0.95754242568136005</v>
      </c>
      <c r="AH215" s="78"/>
      <c r="AQ215" s="1" t="s">
        <v>644</v>
      </c>
      <c r="BF215">
        <v>0.96087126061622696</v>
      </c>
      <c r="BG215" s="1">
        <v>152</v>
      </c>
      <c r="BH215">
        <f t="shared" si="41"/>
        <v>0.69725544447594368</v>
      </c>
      <c r="BI215">
        <f t="shared" si="42"/>
        <v>4.9380130846804184E-2</v>
      </c>
      <c r="BJ215">
        <f t="shared" si="40"/>
        <v>4.7447948576162968E-2</v>
      </c>
    </row>
    <row r="216" spans="1:62" x14ac:dyDescent="0.3">
      <c r="A216" t="s">
        <v>315</v>
      </c>
      <c r="B216" t="s">
        <v>21</v>
      </c>
      <c r="I216" s="1" t="s">
        <v>53</v>
      </c>
      <c r="O216" s="350"/>
      <c r="P216" s="350"/>
      <c r="AI216" s="78"/>
      <c r="AJ216" t="s">
        <v>644</v>
      </c>
      <c r="AK216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/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BF216">
        <v>0.96107717491945799</v>
      </c>
      <c r="BG216" s="1">
        <v>153</v>
      </c>
      <c r="BH216">
        <f t="shared" si="41"/>
        <v>0.7133076079711943</v>
      </c>
      <c r="BI216">
        <f t="shared" si="42"/>
        <v>5.0516956582694325E-2</v>
      </c>
      <c r="BJ216">
        <f t="shared" si="40"/>
        <v>4.855069391802478E-2</v>
      </c>
    </row>
    <row r="217" spans="1:62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51</v>
      </c>
      <c r="AH217" s="78"/>
      <c r="AJ217" t="s">
        <v>644</v>
      </c>
      <c r="AK217">
        <v>1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/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BF217">
        <v>0.96117506621952398</v>
      </c>
      <c r="BG217" s="1">
        <v>154</v>
      </c>
      <c r="BH217">
        <f t="shared" si="41"/>
        <v>0.7295457140694851</v>
      </c>
      <c r="BI217">
        <f t="shared" si="42"/>
        <v>5.1666950907142448E-2</v>
      </c>
      <c r="BJ217">
        <f t="shared" si="40"/>
        <v>4.9660984959533534E-2</v>
      </c>
    </row>
    <row r="218" spans="1:62" x14ac:dyDescent="0.3">
      <c r="A218" t="s">
        <v>3</v>
      </c>
      <c r="B218" s="13">
        <v>0</v>
      </c>
      <c r="C218" s="26">
        <v>114</v>
      </c>
      <c r="D218" s="3">
        <v>0</v>
      </c>
      <c r="E218" s="3">
        <v>0</v>
      </c>
      <c r="F218" s="3">
        <v>1</v>
      </c>
      <c r="G218" s="4">
        <v>0</v>
      </c>
      <c r="H218" s="1">
        <f>SUM(C218:G218)</f>
        <v>115</v>
      </c>
      <c r="I218" s="10">
        <f>C218/H218</f>
        <v>0.99130434782608701</v>
      </c>
      <c r="J218" s="11">
        <f>1-I218</f>
        <v>8.6956521739129933E-3</v>
      </c>
      <c r="K218">
        <f>H218-C223</f>
        <v>1</v>
      </c>
      <c r="N218" s="10">
        <f>2*(C224*I218)/(C224+I218)</f>
        <v>0.99563318777292575</v>
      </c>
      <c r="R218" s="66"/>
      <c r="S218" s="66"/>
      <c r="T218" s="66"/>
      <c r="U218" s="66"/>
      <c r="V218" s="66"/>
      <c r="W218" s="66"/>
      <c r="X218" s="66"/>
      <c r="AI218" s="78"/>
      <c r="AJ218" t="s">
        <v>644</v>
      </c>
      <c r="AK218">
        <v>2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/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BF218">
        <v>0.96125570573099295</v>
      </c>
      <c r="BG218" s="1">
        <v>155</v>
      </c>
      <c r="BH218">
        <f t="shared" si="41"/>
        <v>0.74597850554896161</v>
      </c>
      <c r="BI218">
        <f t="shared" si="42"/>
        <v>5.2830732989969618E-2</v>
      </c>
      <c r="BJ218">
        <f t="shared" si="40"/>
        <v>5.0783843524558898E-2</v>
      </c>
    </row>
    <row r="219" spans="1:62" x14ac:dyDescent="0.3">
      <c r="A219" t="s">
        <v>4</v>
      </c>
      <c r="B219" s="13">
        <v>1</v>
      </c>
      <c r="C219" s="5">
        <v>0</v>
      </c>
      <c r="D219" s="27">
        <v>15</v>
      </c>
      <c r="E219" s="1">
        <v>0</v>
      </c>
      <c r="F219" s="1">
        <v>0</v>
      </c>
      <c r="G219" s="6">
        <v>0</v>
      </c>
      <c r="H219" s="1">
        <f>SUM(C219:G219)</f>
        <v>15</v>
      </c>
      <c r="I219" s="10">
        <f>D219/H219</f>
        <v>1</v>
      </c>
      <c r="J219" s="11">
        <f>1-I219</f>
        <v>0</v>
      </c>
      <c r="K219">
        <f>H219-D223</f>
        <v>0</v>
      </c>
      <c r="N219" s="10">
        <f>2*(D224*I219)/(D224+I219)</f>
        <v>1</v>
      </c>
      <c r="R219" t="s">
        <v>348</v>
      </c>
      <c r="S219" t="s">
        <v>28</v>
      </c>
      <c r="T219" s="57">
        <f t="shared" ref="T219:X228" si="48">AVERAGE(T16,T26,T36,T46,T56,T66,T76,T86,T96,T106,T116,T126,T136,T146,T156,T166,T176,T186,T196,T206)</f>
        <v>0.25365139804622688</v>
      </c>
      <c r="U219" s="57">
        <f t="shared" si="48"/>
        <v>0.53110457413531809</v>
      </c>
      <c r="V219" s="57">
        <f t="shared" si="48"/>
        <v>41.265843875227112</v>
      </c>
      <c r="W219" s="57">
        <f t="shared" si="48"/>
        <v>45.957140759141502</v>
      </c>
      <c r="X219" s="57">
        <f t="shared" si="48"/>
        <v>11.992259393449846</v>
      </c>
      <c r="AH219" s="78"/>
      <c r="AJ219" t="s">
        <v>644</v>
      </c>
      <c r="AK219">
        <v>3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/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BF219">
        <v>0.96133410685060305</v>
      </c>
      <c r="BG219" s="1">
        <v>156</v>
      </c>
      <c r="BH219">
        <f t="shared" si="41"/>
        <v>0.76261525530438468</v>
      </c>
      <c r="BI219">
        <f t="shared" si="42"/>
        <v>5.400895954423595E-2</v>
      </c>
      <c r="BJ219">
        <f t="shared" si="40"/>
        <v>5.1920654885388419E-2</v>
      </c>
    </row>
    <row r="220" spans="1:62" x14ac:dyDescent="0.3">
      <c r="A220" t="s">
        <v>5</v>
      </c>
      <c r="B220" s="13">
        <v>2</v>
      </c>
      <c r="C220" s="5">
        <v>0</v>
      </c>
      <c r="D220" s="1">
        <v>0</v>
      </c>
      <c r="E220" s="27">
        <v>178</v>
      </c>
      <c r="F220" s="1">
        <v>0</v>
      </c>
      <c r="G220" s="6">
        <v>0</v>
      </c>
      <c r="H220" s="1">
        <f>SUM(C220:G220)</f>
        <v>178</v>
      </c>
      <c r="I220" s="10">
        <f>E220/H220</f>
        <v>1</v>
      </c>
      <c r="J220" s="11">
        <f>1-I220</f>
        <v>0</v>
      </c>
      <c r="K220">
        <f>H220-E223</f>
        <v>-4</v>
      </c>
      <c r="N220" s="10">
        <f>2*(E224*I220)/(E224+I220)</f>
        <v>0.98888888888888882</v>
      </c>
      <c r="S220" s="66" t="s">
        <v>39</v>
      </c>
      <c r="T220" s="67">
        <f t="shared" si="48"/>
        <v>2.5300703963867513E-3</v>
      </c>
      <c r="U220" s="67">
        <f t="shared" si="48"/>
        <v>0</v>
      </c>
      <c r="V220" s="67">
        <f t="shared" si="48"/>
        <v>0.37432939298572804</v>
      </c>
      <c r="W220" s="67">
        <f t="shared" si="48"/>
        <v>0.82472387359238586</v>
      </c>
      <c r="X220" s="67">
        <f t="shared" si="48"/>
        <v>0.7490009457291904</v>
      </c>
      <c r="AC220" t="s">
        <v>118</v>
      </c>
      <c r="AD220" t="s">
        <v>157</v>
      </c>
      <c r="AE220" t="s">
        <v>119</v>
      </c>
      <c r="AI220" s="78"/>
      <c r="AJ220" t="s">
        <v>644</v>
      </c>
      <c r="AK220">
        <v>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/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BF220">
        <v>0.96140348577736401</v>
      </c>
      <c r="BG220" s="1">
        <v>157</v>
      </c>
      <c r="BH220">
        <f t="shared" si="41"/>
        <v>0.77946581337961318</v>
      </c>
      <c r="BI220">
        <f t="shared" si="42"/>
        <v>5.5202328157114761E-2</v>
      </c>
      <c r="BJ220">
        <f t="shared" si="40"/>
        <v>5.3071710713276064E-2</v>
      </c>
    </row>
    <row r="221" spans="1:62" x14ac:dyDescent="0.3">
      <c r="A221" t="s">
        <v>6</v>
      </c>
      <c r="B221" s="13">
        <v>3</v>
      </c>
      <c r="C221" s="5">
        <v>0</v>
      </c>
      <c r="D221" s="1">
        <v>0</v>
      </c>
      <c r="E221" s="1">
        <v>1</v>
      </c>
      <c r="F221" s="27">
        <v>138</v>
      </c>
      <c r="G221" s="6">
        <v>5</v>
      </c>
      <c r="H221" s="1">
        <f>SUM(C221:G221)</f>
        <v>144</v>
      </c>
      <c r="I221" s="10">
        <f>F221/H221</f>
        <v>0.95833333333333337</v>
      </c>
      <c r="J221" s="11">
        <f>1-I221</f>
        <v>4.166666666666663E-2</v>
      </c>
      <c r="K221">
        <f>H221-F223</f>
        <v>-31</v>
      </c>
      <c r="N221" s="10">
        <f>2*(F224*I221)/(F224+I221)</f>
        <v>0.86520376175548597</v>
      </c>
      <c r="S221" t="s">
        <v>30</v>
      </c>
      <c r="T221" s="57">
        <f t="shared" si="48"/>
        <v>100</v>
      </c>
      <c r="U221" s="57">
        <f t="shared" si="48"/>
        <v>100</v>
      </c>
      <c r="V221" s="57">
        <f t="shared" si="48"/>
        <v>98.539921085668283</v>
      </c>
      <c r="W221" s="57">
        <f t="shared" si="48"/>
        <v>95.367927401492096</v>
      </c>
      <c r="X221" s="57">
        <f t="shared" si="48"/>
        <v>87.425474340123358</v>
      </c>
      <c r="AB221">
        <v>0</v>
      </c>
      <c r="AC221">
        <v>31</v>
      </c>
      <c r="AD221">
        <v>26</v>
      </c>
      <c r="AE221">
        <v>15</v>
      </c>
      <c r="AH221" s="78"/>
      <c r="AJ221" t="s">
        <v>644</v>
      </c>
      <c r="AK221">
        <v>5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/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BF221">
        <v>0.96140658144888302</v>
      </c>
      <c r="BG221" s="1">
        <v>158</v>
      </c>
      <c r="BH221">
        <f t="shared" si="41"/>
        <v>0.79654065929088214</v>
      </c>
      <c r="BI221">
        <f t="shared" si="42"/>
        <v>5.6411580995464693E-2</v>
      </c>
      <c r="BJ221">
        <f t="shared" si="40"/>
        <v>5.4234465238976487E-2</v>
      </c>
    </row>
    <row r="222" spans="1:62" x14ac:dyDescent="0.3">
      <c r="A222" t="s">
        <v>7</v>
      </c>
      <c r="B222" s="13">
        <v>4</v>
      </c>
      <c r="C222" s="7">
        <v>0</v>
      </c>
      <c r="D222" s="8">
        <v>0</v>
      </c>
      <c r="E222" s="8">
        <v>3</v>
      </c>
      <c r="F222" s="8">
        <v>36</v>
      </c>
      <c r="G222" s="28">
        <v>205</v>
      </c>
      <c r="H222" s="1">
        <f>SUM(C222:G222)</f>
        <v>244</v>
      </c>
      <c r="I222" s="10">
        <f>G222/H222</f>
        <v>0.8401639344262295</v>
      </c>
      <c r="J222" s="11">
        <f>1-I222</f>
        <v>0.1598360655737705</v>
      </c>
      <c r="K222">
        <f>H222-G223</f>
        <v>34</v>
      </c>
      <c r="N222" s="10">
        <f>2*(G224*I222)/(G224+I222)</f>
        <v>0.90308370044052866</v>
      </c>
      <c r="S222" s="66" t="s">
        <v>39</v>
      </c>
      <c r="T222" s="67">
        <f t="shared" si="48"/>
        <v>0</v>
      </c>
      <c r="U222" s="67">
        <f t="shared" si="48"/>
        <v>0</v>
      </c>
      <c r="V222" s="67">
        <f t="shared" si="48"/>
        <v>0.8953739053495362</v>
      </c>
      <c r="W222" s="67">
        <f t="shared" si="48"/>
        <v>1.0000342170709318</v>
      </c>
      <c r="X222" s="67">
        <f t="shared" si="48"/>
        <v>5.9653746946091513</v>
      </c>
      <c r="AB222">
        <v>1</v>
      </c>
      <c r="AC222">
        <v>60</v>
      </c>
      <c r="AD222">
        <v>55</v>
      </c>
      <c r="AE222">
        <v>44</v>
      </c>
      <c r="AI222" s="78"/>
      <c r="AJ222" t="s">
        <v>644</v>
      </c>
      <c r="AK222">
        <v>6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/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BF222">
        <v>0.96141552241666495</v>
      </c>
      <c r="BG222" s="1">
        <v>159</v>
      </c>
      <c r="BH222">
        <f t="shared" si="41"/>
        <v>0.81385096037908433</v>
      </c>
      <c r="BI222">
        <f t="shared" si="42"/>
        <v>5.7637508938380155E-2</v>
      </c>
      <c r="BJ222">
        <f t="shared" si="40"/>
        <v>5.5413595766787956E-2</v>
      </c>
    </row>
    <row r="223" spans="1:62" ht="15.6" x14ac:dyDescent="0.35">
      <c r="B223" s="1" t="s">
        <v>19</v>
      </c>
      <c r="C223" s="1">
        <f>SUM(C218:C222)</f>
        <v>114</v>
      </c>
      <c r="D223" s="1">
        <f>SUM(D218:D222)</f>
        <v>15</v>
      </c>
      <c r="E223" s="1">
        <f>SUM(E218:E222)</f>
        <v>182</v>
      </c>
      <c r="F223" s="1">
        <f>SUM(F218:F222)</f>
        <v>175</v>
      </c>
      <c r="G223" s="1">
        <f>SUM(G218:G222)</f>
        <v>210</v>
      </c>
      <c r="H223" s="1">
        <f>SUM(H217:H222)</f>
        <v>696</v>
      </c>
      <c r="I223" s="13" t="s">
        <v>12</v>
      </c>
      <c r="N223" s="16" t="s">
        <v>36</v>
      </c>
      <c r="S223" s="15" t="s">
        <v>31</v>
      </c>
      <c r="T223" s="71">
        <f t="shared" si="48"/>
        <v>98.826086956521777</v>
      </c>
      <c r="U223" s="71">
        <f t="shared" si="48"/>
        <v>100</v>
      </c>
      <c r="V223" s="71">
        <f t="shared" si="48"/>
        <v>100</v>
      </c>
      <c r="W223" s="71">
        <f t="shared" si="48"/>
        <v>95.763888888888886</v>
      </c>
      <c r="X223" s="71">
        <f t="shared" si="48"/>
        <v>81.98770491803279</v>
      </c>
      <c r="AB223">
        <v>2</v>
      </c>
      <c r="AC223">
        <v>89</v>
      </c>
      <c r="AD223">
        <v>84</v>
      </c>
      <c r="AE223">
        <v>73</v>
      </c>
      <c r="AH223" s="78"/>
      <c r="AJ223" t="s">
        <v>644</v>
      </c>
      <c r="AK223">
        <v>7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/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BF223">
        <v>0.96158192531597797</v>
      </c>
      <c r="BG223" s="1">
        <v>160</v>
      </c>
      <c r="BH223">
        <f t="shared" si="41"/>
        <v>0.8314086370526691</v>
      </c>
      <c r="BI223">
        <f t="shared" si="42"/>
        <v>5.8880956197740225E-2</v>
      </c>
      <c r="BJ223">
        <f t="shared" si="40"/>
        <v>5.6618863225068809E-2</v>
      </c>
    </row>
    <row r="224" spans="1:62" x14ac:dyDescent="0.3">
      <c r="A224" s="1" t="s">
        <v>316</v>
      </c>
      <c r="B224" s="1" t="s">
        <v>2</v>
      </c>
      <c r="C224" s="10">
        <f>C218/C223</f>
        <v>1</v>
      </c>
      <c r="D224" s="10">
        <f>D219/D223</f>
        <v>1</v>
      </c>
      <c r="E224" s="10">
        <f>E220/E223</f>
        <v>0.97802197802197799</v>
      </c>
      <c r="F224" s="10">
        <f>F221/F223</f>
        <v>0.78857142857142859</v>
      </c>
      <c r="G224" s="10">
        <f>G222/G223</f>
        <v>0.97619047619047616</v>
      </c>
      <c r="H224" s="10"/>
      <c r="I224" s="14">
        <f>(C218+D219+E220+F221+G222)/H223</f>
        <v>0.93390804597701149</v>
      </c>
      <c r="S224" s="75" t="s">
        <v>39</v>
      </c>
      <c r="T224" s="76">
        <f t="shared" si="48"/>
        <v>0.98942505196526853</v>
      </c>
      <c r="U224" s="76">
        <f t="shared" si="48"/>
        <v>0</v>
      </c>
      <c r="V224" s="76">
        <f t="shared" si="48"/>
        <v>0</v>
      </c>
      <c r="W224" s="76">
        <f t="shared" si="48"/>
        <v>1.6800701177492994</v>
      </c>
      <c r="X224" s="76">
        <f t="shared" si="48"/>
        <v>2.4615048068349505</v>
      </c>
      <c r="AB224">
        <v>3</v>
      </c>
      <c r="AC224">
        <v>118</v>
      </c>
      <c r="AD224">
        <v>113</v>
      </c>
      <c r="AE224">
        <v>102</v>
      </c>
      <c r="AI224" s="78"/>
      <c r="AJ224" t="s">
        <v>644</v>
      </c>
      <c r="AK224">
        <v>8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/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BF224">
        <v>0.96160605723261305</v>
      </c>
      <c r="BG224" s="1">
        <v>161</v>
      </c>
      <c r="BH224">
        <f t="shared" si="41"/>
        <v>0.84922643593033087</v>
      </c>
      <c r="BI224">
        <f t="shared" si="42"/>
        <v>6.0142825498226318E-2</v>
      </c>
      <c r="BJ224">
        <f t="shared" si="40"/>
        <v>5.7833705298178474E-2</v>
      </c>
    </row>
    <row r="225" spans="1:62" x14ac:dyDescent="0.3">
      <c r="B225" s="1" t="s">
        <v>14</v>
      </c>
      <c r="C225" s="11">
        <f>1-C224</f>
        <v>0</v>
      </c>
      <c r="D225" s="11">
        <f>1-D224</f>
        <v>0</v>
      </c>
      <c r="E225" s="11">
        <f>1-E224</f>
        <v>2.1978021978022011E-2</v>
      </c>
      <c r="F225" s="11">
        <f>1-F224</f>
        <v>0.21142857142857141</v>
      </c>
      <c r="G225" s="11">
        <f>1-G224</f>
        <v>2.3809523809523836E-2</v>
      </c>
      <c r="S225" s="66" t="s">
        <v>51</v>
      </c>
      <c r="T225" s="67">
        <f t="shared" si="48"/>
        <v>99.408945603336591</v>
      </c>
      <c r="U225" s="67">
        <f t="shared" si="48"/>
        <v>100</v>
      </c>
      <c r="V225" s="67">
        <f t="shared" si="48"/>
        <v>98.697819262644344</v>
      </c>
      <c r="W225" s="67">
        <f t="shared" si="48"/>
        <v>85.174548849420304</v>
      </c>
      <c r="X225" s="67">
        <f t="shared" si="48"/>
        <v>89.140528972256021</v>
      </c>
      <c r="AB225">
        <v>4</v>
      </c>
      <c r="AC225">
        <v>147</v>
      </c>
      <c r="AD225">
        <v>142</v>
      </c>
      <c r="AE225">
        <v>131</v>
      </c>
      <c r="AH225" s="78"/>
      <c r="AJ225" t="s">
        <v>644</v>
      </c>
      <c r="AK225">
        <v>9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/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BF225">
        <v>0.96169306656277198</v>
      </c>
      <c r="BG225" s="1">
        <v>162</v>
      </c>
      <c r="BH225">
        <f t="shared" si="41"/>
        <v>0.8673180120699755</v>
      </c>
      <c r="BI225">
        <f t="shared" si="42"/>
        <v>6.1424083900836604E-2</v>
      </c>
      <c r="BJ225">
        <f t="shared" si="40"/>
        <v>5.9071115607404544E-2</v>
      </c>
    </row>
    <row r="226" spans="1:62" x14ac:dyDescent="0.3">
      <c r="C226" s="2"/>
      <c r="R226" s="16" t="s">
        <v>61</v>
      </c>
      <c r="S226" t="s">
        <v>9</v>
      </c>
      <c r="T226" s="1">
        <f t="shared" si="48"/>
        <v>159.97800000000001</v>
      </c>
      <c r="U226" s="1">
        <f t="shared" si="48"/>
        <v>331.03100000000006</v>
      </c>
      <c r="V226" s="1">
        <f t="shared" si="48"/>
        <v>25344.011499999997</v>
      </c>
      <c r="W226" s="1">
        <f t="shared" si="48"/>
        <v>28524.8305</v>
      </c>
      <c r="X226" s="1">
        <f t="shared" si="48"/>
        <v>7968.9289999999992</v>
      </c>
      <c r="AB226">
        <v>5</v>
      </c>
      <c r="AC226">
        <v>176</v>
      </c>
      <c r="AD226">
        <v>171</v>
      </c>
      <c r="AE226">
        <v>160</v>
      </c>
      <c r="AI226" s="78"/>
      <c r="AJ226" t="s">
        <v>644</v>
      </c>
      <c r="AK226">
        <v>10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BF226">
        <v>0.96178359108313505</v>
      </c>
      <c r="BG226" s="1">
        <v>163</v>
      </c>
      <c r="BH226">
        <f t="shared" si="41"/>
        <v>0.8856980216844178</v>
      </c>
      <c r="BI226">
        <f t="shared" si="42"/>
        <v>6.2725769369078213E-2</v>
      </c>
      <c r="BJ226">
        <f t="shared" si="40"/>
        <v>6.0328615717244558E-2</v>
      </c>
    </row>
    <row r="227" spans="1:62" ht="15.6" x14ac:dyDescent="0.35">
      <c r="A227" t="s">
        <v>317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318</v>
      </c>
      <c r="S227" t="s">
        <v>63</v>
      </c>
      <c r="T227" s="57">
        <f t="shared" si="48"/>
        <v>158.09782173913044</v>
      </c>
      <c r="U227" s="57">
        <f t="shared" si="48"/>
        <v>331.03100000000006</v>
      </c>
      <c r="V227" s="57">
        <f t="shared" si="48"/>
        <v>25720.497045252727</v>
      </c>
      <c r="W227" s="57">
        <f t="shared" si="48"/>
        <v>28644.525166648848</v>
      </c>
      <c r="X227" s="57">
        <f t="shared" si="48"/>
        <v>7474.6289663592906</v>
      </c>
      <c r="AB227">
        <v>6</v>
      </c>
      <c r="AC227">
        <v>205</v>
      </c>
      <c r="AD227">
        <v>200</v>
      </c>
      <c r="AE227">
        <v>189</v>
      </c>
      <c r="AH227" s="78"/>
      <c r="AJ227" t="s">
        <v>644</v>
      </c>
      <c r="AK227">
        <v>11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BF227">
        <v>0.96182944852376795</v>
      </c>
      <c r="BG227" s="1">
        <v>164</v>
      </c>
      <c r="BH227">
        <f t="shared" si="41"/>
        <v>0.90438222700361048</v>
      </c>
      <c r="BI227">
        <f t="shared" si="42"/>
        <v>6.4048998195385523E-2</v>
      </c>
      <c r="BJ227">
        <f t="shared" si="40"/>
        <v>6.1604212612767467E-2</v>
      </c>
    </row>
    <row r="228" spans="1:62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62</v>
      </c>
      <c r="T228" s="67">
        <f t="shared" si="48"/>
        <v>1.5769620228065775</v>
      </c>
      <c r="U228" s="67">
        <f t="shared" si="48"/>
        <v>0</v>
      </c>
      <c r="V228" s="67">
        <f t="shared" si="48"/>
        <v>233.31494392194563</v>
      </c>
      <c r="W228" s="67">
        <f t="shared" si="48"/>
        <v>514.04032859500398</v>
      </c>
      <c r="X228" s="67">
        <f t="shared" si="48"/>
        <v>466.84315143656613</v>
      </c>
      <c r="AB228">
        <v>7</v>
      </c>
      <c r="AC228">
        <v>234</v>
      </c>
      <c r="AD228">
        <v>229</v>
      </c>
      <c r="AE228">
        <v>218</v>
      </c>
      <c r="AI228" s="78"/>
      <c r="AJ228" t="s">
        <v>644</v>
      </c>
      <c r="AK228">
        <v>12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BF228">
        <v>0.96188295305218474</v>
      </c>
      <c r="BG228" s="1">
        <v>165</v>
      </c>
      <c r="BH228">
        <f t="shared" si="41"/>
        <v>0.92338761525908586</v>
      </c>
      <c r="BI228">
        <f t="shared" si="42"/>
        <v>6.5394973427683731E-2</v>
      </c>
      <c r="BJ228">
        <f t="shared" si="40"/>
        <v>6.2902310155389579E-2</v>
      </c>
    </row>
    <row r="229" spans="1:62" x14ac:dyDescent="0.3">
      <c r="A229" t="s">
        <v>3</v>
      </c>
      <c r="B229" s="13">
        <v>0</v>
      </c>
      <c r="C229" s="29">
        <f t="shared" ref="C229:G233" si="49">(C218/$L229)*$O229</f>
        <v>0.2531191641429878</v>
      </c>
      <c r="D229" s="31">
        <f t="shared" si="49"/>
        <v>0</v>
      </c>
      <c r="E229" s="31">
        <f t="shared" si="49"/>
        <v>0</v>
      </c>
      <c r="F229" s="31">
        <f t="shared" si="49"/>
        <v>2.220343545113928E-3</v>
      </c>
      <c r="G229" s="32">
        <f t="shared" si="49"/>
        <v>0</v>
      </c>
      <c r="H229" s="17">
        <f>SUM(C229:G229)</f>
        <v>0.25533950768810171</v>
      </c>
      <c r="I229" s="17">
        <f>C229/H229*100</f>
        <v>99.130434782608702</v>
      </c>
      <c r="J229" s="17">
        <f>SQRT(I229*(100-I229)/(L229-1))</f>
        <v>0.86956521739130099</v>
      </c>
      <c r="K229" s="18">
        <f>100-I229</f>
        <v>0.86956521739129755</v>
      </c>
      <c r="L229" s="1">
        <f>H218</f>
        <v>115</v>
      </c>
      <c r="M229">
        <v>0</v>
      </c>
      <c r="N229" s="1">
        <v>159.15</v>
      </c>
      <c r="O229" s="17">
        <f>N229/N234*100</f>
        <v>0.25533950768810171</v>
      </c>
      <c r="P229" s="52">
        <f>((O229*O229*(I229/100)*(K229/100))/(L229-1))</f>
        <v>4.9299254583290467E-6</v>
      </c>
      <c r="AB229">
        <v>8</v>
      </c>
      <c r="AC229">
        <v>263</v>
      </c>
      <c r="AD229">
        <v>258</v>
      </c>
      <c r="AE229">
        <v>247</v>
      </c>
      <c r="AH229" s="78"/>
      <c r="AJ229" t="s">
        <v>644</v>
      </c>
      <c r="AK229">
        <v>13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BF229">
        <v>0.96197069008587099</v>
      </c>
      <c r="BG229" s="1">
        <v>166</v>
      </c>
      <c r="BH229">
        <f t="shared" si="41"/>
        <v>0.94273253415310254</v>
      </c>
      <c r="BI229">
        <f t="shared" si="42"/>
        <v>6.6764994463410915E-2</v>
      </c>
      <c r="BJ229">
        <f t="shared" si="40"/>
        <v>6.422596779754676E-2</v>
      </c>
    </row>
    <row r="230" spans="1:62" x14ac:dyDescent="0.3">
      <c r="A230" t="s">
        <v>4</v>
      </c>
      <c r="B230" s="13">
        <v>1</v>
      </c>
      <c r="C230" s="33">
        <f t="shared" si="49"/>
        <v>0</v>
      </c>
      <c r="D230" s="34">
        <f t="shared" si="49"/>
        <v>0.61294317007327914</v>
      </c>
      <c r="E230" s="19">
        <f t="shared" si="49"/>
        <v>0</v>
      </c>
      <c r="F230" s="18">
        <f t="shared" si="49"/>
        <v>0</v>
      </c>
      <c r="G230" s="20">
        <f t="shared" si="49"/>
        <v>0</v>
      </c>
      <c r="H230" s="17">
        <f>SUM(C230:G230)</f>
        <v>0.61294317007327914</v>
      </c>
      <c r="I230" s="17">
        <f>D230/H230*100</f>
        <v>100</v>
      </c>
      <c r="J230" s="17">
        <f>SQRT(I230*(100-I230)/(L230-1))</f>
        <v>0</v>
      </c>
      <c r="K230" s="18">
        <f>100-I230</f>
        <v>0</v>
      </c>
      <c r="L230" s="1">
        <f>H219</f>
        <v>15</v>
      </c>
      <c r="M230">
        <v>1</v>
      </c>
      <c r="N230" s="1">
        <v>382.04</v>
      </c>
      <c r="O230" s="17">
        <f>N230/N234*100</f>
        <v>0.61294317007327914</v>
      </c>
      <c r="P230" s="52">
        <f>((O230*O230*(I230/100)*(K230/100))/(L230-1))</f>
        <v>0</v>
      </c>
      <c r="S230" t="s">
        <v>64</v>
      </c>
      <c r="T230" s="1" t="s">
        <v>639</v>
      </c>
      <c r="U230" s="1" t="s">
        <v>640</v>
      </c>
      <c r="V230" s="1" t="s">
        <v>641</v>
      </c>
      <c r="W230" s="1" t="s">
        <v>642</v>
      </c>
      <c r="X230" s="1" t="s">
        <v>643</v>
      </c>
      <c r="AB230">
        <v>9</v>
      </c>
      <c r="AC230">
        <v>292</v>
      </c>
      <c r="AD230">
        <v>287</v>
      </c>
      <c r="AE230">
        <v>276</v>
      </c>
      <c r="AI230" s="78"/>
      <c r="AJ230" t="s">
        <v>644</v>
      </c>
      <c r="AK230">
        <v>14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BF230">
        <v>0.96198271454878803</v>
      </c>
      <c r="BG230" s="1">
        <v>167</v>
      </c>
      <c r="BH230">
        <f t="shared" si="41"/>
        <v>0.96243684665105678</v>
      </c>
      <c r="BI230">
        <f t="shared" si="42"/>
        <v>6.8160468012027825E-2</v>
      </c>
      <c r="BJ230">
        <f t="shared" si="40"/>
        <v>6.5569192043126362E-2</v>
      </c>
    </row>
    <row r="231" spans="1:62" x14ac:dyDescent="0.3">
      <c r="A231" t="s">
        <v>5</v>
      </c>
      <c r="B231" s="13">
        <v>2</v>
      </c>
      <c r="C231" s="33">
        <f t="shared" si="49"/>
        <v>0</v>
      </c>
      <c r="D231" s="19">
        <f t="shared" si="49"/>
        <v>0</v>
      </c>
      <c r="E231" s="34">
        <f t="shared" si="49"/>
        <v>40.800221021492803</v>
      </c>
      <c r="F231" s="19">
        <f t="shared" si="49"/>
        <v>0</v>
      </c>
      <c r="G231" s="20">
        <f t="shared" si="49"/>
        <v>0</v>
      </c>
      <c r="H231" s="17">
        <f>SUM(C231:G231)</f>
        <v>40.800221021492803</v>
      </c>
      <c r="I231" s="17">
        <f>E231/H231*100</f>
        <v>100</v>
      </c>
      <c r="J231" s="17">
        <f>SQRT(I231*(100-I231)/(L231-1))</f>
        <v>0</v>
      </c>
      <c r="K231" s="18">
        <f>100-I231</f>
        <v>0</v>
      </c>
      <c r="L231" s="1">
        <f>H220</f>
        <v>178</v>
      </c>
      <c r="M231">
        <v>2</v>
      </c>
      <c r="N231" s="1">
        <v>25430.28</v>
      </c>
      <c r="O231" s="17">
        <f>N231/N234*100</f>
        <v>40.800221021492803</v>
      </c>
      <c r="P231" s="52">
        <f>((O231*O231*(I231/100)*(K231/100))/(L231-1))</f>
        <v>0</v>
      </c>
      <c r="T231" s="57">
        <f>T24</f>
        <v>162.39573913043478</v>
      </c>
      <c r="U231" s="57">
        <f>U24</f>
        <v>315.42</v>
      </c>
      <c r="V231" s="57">
        <f>V24</f>
        <v>26635.624043715849</v>
      </c>
      <c r="W231" s="57">
        <f>W24</f>
        <v>27201.912881088145</v>
      </c>
      <c r="X231" s="57">
        <f>X24</f>
        <v>8013.4273360655734</v>
      </c>
      <c r="AB231">
        <v>10</v>
      </c>
      <c r="AC231">
        <v>321</v>
      </c>
      <c r="AD231">
        <v>316</v>
      </c>
      <c r="AE231">
        <v>305</v>
      </c>
      <c r="AH231" s="78"/>
      <c r="AJ231" t="s">
        <v>644</v>
      </c>
      <c r="AK231">
        <v>15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BF231">
        <v>0.96217250845462998</v>
      </c>
      <c r="BG231" s="1">
        <v>168</v>
      </c>
      <c r="BH231">
        <f t="shared" si="41"/>
        <v>0.9825221085250373</v>
      </c>
      <c r="BI231">
        <f t="shared" si="42"/>
        <v>6.9582920668779649E-2</v>
      </c>
      <c r="BJ231">
        <f t="shared" si="40"/>
        <v>6.6950773325479232E-2</v>
      </c>
    </row>
    <row r="232" spans="1:62" x14ac:dyDescent="0.3">
      <c r="A232" t="s">
        <v>6</v>
      </c>
      <c r="B232" s="13">
        <v>3</v>
      </c>
      <c r="C232" s="33">
        <f t="shared" si="49"/>
        <v>0</v>
      </c>
      <c r="D232" s="19">
        <f t="shared" si="49"/>
        <v>0</v>
      </c>
      <c r="E232" s="19">
        <f t="shared" si="49"/>
        <v>0.31637939434506285</v>
      </c>
      <c r="F232" s="34">
        <f t="shared" si="49"/>
        <v>43.660356419618672</v>
      </c>
      <c r="G232" s="20">
        <f t="shared" si="49"/>
        <v>1.5818969717253142</v>
      </c>
      <c r="H232" s="17">
        <f>SUM(C232:G232)</f>
        <v>45.558632785689049</v>
      </c>
      <c r="I232" s="17">
        <f>F232/H232*100</f>
        <v>95.833333333333343</v>
      </c>
      <c r="J232" s="17">
        <f>SQRT(I232*(100-I232)/(L232-1))</f>
        <v>1.6710315802959967</v>
      </c>
      <c r="K232" s="18">
        <f>100-I232</f>
        <v>4.1666666666666572</v>
      </c>
      <c r="L232" s="1">
        <f>H221</f>
        <v>144</v>
      </c>
      <c r="M232">
        <v>3</v>
      </c>
      <c r="N232" s="1">
        <v>28396.14</v>
      </c>
      <c r="O232" s="17">
        <f>N232/N234*100</f>
        <v>45.558632785689049</v>
      </c>
      <c r="P232" s="52">
        <f>((O232*O232*(I232/100)*(K232/100))/(L232-1))</f>
        <v>0.57957638269630096</v>
      </c>
      <c r="T232" s="57">
        <f>T34</f>
        <v>153.48365217391307</v>
      </c>
      <c r="U232" s="57">
        <f>U34</f>
        <v>292.02</v>
      </c>
      <c r="V232" s="57">
        <f>V34</f>
        <v>26036.701584699451</v>
      </c>
      <c r="W232" s="57">
        <f>W34</f>
        <v>28761.199571869802</v>
      </c>
      <c r="X232" s="57">
        <f>X34</f>
        <v>7085.3851912568316</v>
      </c>
      <c r="AB232">
        <v>11</v>
      </c>
      <c r="AC232">
        <v>350</v>
      </c>
      <c r="AD232">
        <v>345</v>
      </c>
      <c r="AE232">
        <v>334</v>
      </c>
      <c r="AI232" s="78"/>
      <c r="AJ232" t="s">
        <v>644</v>
      </c>
      <c r="AK232">
        <v>16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BF232">
        <v>0.96230474531065102</v>
      </c>
      <c r="BG232" s="1">
        <v>169</v>
      </c>
      <c r="BH232">
        <f t="shared" si="41"/>
        <v>1.0030117728102925</v>
      </c>
      <c r="BI232">
        <f t="shared" si="42"/>
        <v>7.1034013394449869E-2</v>
      </c>
      <c r="BJ232">
        <f t="shared" si="40"/>
        <v>6.8356368167939455E-2</v>
      </c>
    </row>
    <row r="233" spans="1:62" x14ac:dyDescent="0.3">
      <c r="A233" t="s">
        <v>7</v>
      </c>
      <c r="B233" s="13">
        <v>4</v>
      </c>
      <c r="C233" s="35">
        <f t="shared" si="49"/>
        <v>0</v>
      </c>
      <c r="D233" s="36">
        <f t="shared" si="49"/>
        <v>0</v>
      </c>
      <c r="E233" s="21">
        <f t="shared" si="49"/>
        <v>0.15704340387364879</v>
      </c>
      <c r="F233" s="21">
        <f t="shared" si="49"/>
        <v>1.8845208464837855</v>
      </c>
      <c r="G233" s="37">
        <f t="shared" si="49"/>
        <v>10.731299264699334</v>
      </c>
      <c r="H233" s="17">
        <f>SUM(C233:G233)</f>
        <v>12.77286351505677</v>
      </c>
      <c r="I233" s="17">
        <f>G233/H233*100</f>
        <v>84.016393442622942</v>
      </c>
      <c r="J233" s="17">
        <f>SQRT(I233*(100-I233)/(L233-1))</f>
        <v>2.3508031874572515</v>
      </c>
      <c r="K233" s="18">
        <f>100-I233</f>
        <v>15.983606557377058</v>
      </c>
      <c r="L233" s="1">
        <f>H222</f>
        <v>244</v>
      </c>
      <c r="M233">
        <v>4</v>
      </c>
      <c r="N233" s="1">
        <v>7961.17</v>
      </c>
      <c r="O233" s="17">
        <f>N233/N234*100</f>
        <v>12.772863515056768</v>
      </c>
      <c r="P233" s="52">
        <f>((O233*O233*(I233/100)*(K233/100))/(L233-1))</f>
        <v>9.0158999747725066E-2</v>
      </c>
      <c r="T233" s="57">
        <f>T44</f>
        <v>155.67469565217391</v>
      </c>
      <c r="U233" s="57">
        <f>U44</f>
        <v>245.93</v>
      </c>
      <c r="V233" s="57">
        <f>V44</f>
        <v>25969.268559881602</v>
      </c>
      <c r="W233" s="57">
        <f>W44</f>
        <v>28665.13832461194</v>
      </c>
      <c r="X233" s="57">
        <f>X44</f>
        <v>7292.7784198542804</v>
      </c>
      <c r="AB233">
        <v>12</v>
      </c>
      <c r="AC233">
        <v>379</v>
      </c>
      <c r="AD233">
        <v>374</v>
      </c>
      <c r="AE233">
        <v>363</v>
      </c>
      <c r="AH233" s="78"/>
      <c r="AJ233" t="s">
        <v>644</v>
      </c>
      <c r="AK233">
        <v>17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/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BF233">
        <v>0.9624264523746805</v>
      </c>
      <c r="BG233" s="1">
        <v>170</v>
      </c>
      <c r="BH233">
        <f t="shared" si="41"/>
        <v>1.0239314262560566</v>
      </c>
      <c r="BI233">
        <f t="shared" si="42"/>
        <v>7.2515558260977289E-2</v>
      </c>
      <c r="BJ233">
        <f t="shared" si="40"/>
        <v>6.9790891479081824E-2</v>
      </c>
    </row>
    <row r="234" spans="1:62" x14ac:dyDescent="0.3">
      <c r="B234" t="s">
        <v>28</v>
      </c>
      <c r="C234" s="17">
        <f>SUM(C229:C233)</f>
        <v>0.2531191641429878</v>
      </c>
      <c r="D234" s="17">
        <f>SUM(D229:D233)</f>
        <v>0.61294317007327914</v>
      </c>
      <c r="E234" s="17">
        <f>SUM(E229:E233)</f>
        <v>41.273643819711516</v>
      </c>
      <c r="F234" s="17">
        <f>SUM(F229:F233)</f>
        <v>45.547097609647572</v>
      </c>
      <c r="G234" s="17">
        <f>SUM(G229:G233)</f>
        <v>12.313196236424648</v>
      </c>
      <c r="H234" s="1">
        <f>SUM(H228:H233)</f>
        <v>100</v>
      </c>
      <c r="I234" s="13" t="s">
        <v>24</v>
      </c>
      <c r="J234" s="12" t="s">
        <v>29</v>
      </c>
      <c r="N234" s="1">
        <f>SUM(N229:N233)</f>
        <v>62328.78</v>
      </c>
      <c r="O234" s="17">
        <f>SUM(O229:O233)</f>
        <v>100</v>
      </c>
      <c r="T234" s="57">
        <f>T54</f>
        <v>158.12295652173913</v>
      </c>
      <c r="U234" s="57">
        <f>U54</f>
        <v>378.44</v>
      </c>
      <c r="V234" s="57">
        <f>V54</f>
        <v>25196.44951275046</v>
      </c>
      <c r="W234" s="57">
        <f>W54</f>
        <v>29198.752020709595</v>
      </c>
      <c r="X234" s="57">
        <f>X54</f>
        <v>7397.0155100182137</v>
      </c>
      <c r="AB234">
        <v>13</v>
      </c>
      <c r="AC234">
        <v>408</v>
      </c>
      <c r="AD234">
        <v>403</v>
      </c>
      <c r="AE234">
        <v>392</v>
      </c>
      <c r="AI234" s="78"/>
      <c r="AJ234" t="s">
        <v>644</v>
      </c>
      <c r="AK234">
        <v>18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/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BF234">
        <v>0.96263142825525405</v>
      </c>
      <c r="BG234" s="1">
        <v>171</v>
      </c>
      <c r="BH234">
        <f t="shared" si="41"/>
        <v>1.0453090640125338</v>
      </c>
      <c r="BI234">
        <f t="shared" si="42"/>
        <v>7.4029537904985426E-2</v>
      </c>
      <c r="BJ234">
        <f t="shared" si="40"/>
        <v>7.1263159806552595E-2</v>
      </c>
    </row>
    <row r="235" spans="1:62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2.2106687995491563E-3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0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0.32790335641350216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0.81218960926340367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0.75689585636981582</v>
      </c>
      <c r="H235" s="1"/>
      <c r="I235" s="14">
        <f>(C229+D230+E231+F232+G233)/H234</f>
        <v>0.96057939040027085</v>
      </c>
      <c r="J235" s="53">
        <f>SQRT(SUM(P229:P233))/100</f>
        <v>8.1837663234569716E-3</v>
      </c>
      <c r="M235" s="1"/>
      <c r="N235" s="9"/>
      <c r="T235" s="57">
        <f>T64</f>
        <v>153.24521739130435</v>
      </c>
      <c r="U235" s="57">
        <f>U64</f>
        <v>356.82999999999993</v>
      </c>
      <c r="V235" s="57">
        <f>V64</f>
        <v>25552.409291894353</v>
      </c>
      <c r="W235" s="57">
        <f>W64</f>
        <v>28911.754850914713</v>
      </c>
      <c r="X235" s="57">
        <f>X64</f>
        <v>7354.5506397996369</v>
      </c>
      <c r="AB235">
        <v>14</v>
      </c>
      <c r="AC235">
        <v>437</v>
      </c>
      <c r="AD235">
        <v>432</v>
      </c>
      <c r="AE235">
        <v>421</v>
      </c>
      <c r="AH235" s="78"/>
      <c r="AJ235" t="s">
        <v>644</v>
      </c>
      <c r="AK235">
        <v>19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/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BF235">
        <v>0.96270481344881897</v>
      </c>
      <c r="BG235" s="1">
        <v>172</v>
      </c>
      <c r="BH235">
        <f t="shared" si="41"/>
        <v>1.0671754102700386</v>
      </c>
      <c r="BI235">
        <f t="shared" si="42"/>
        <v>7.5578128235676445E-2</v>
      </c>
      <c r="BJ235">
        <f t="shared" si="40"/>
        <v>7.275942784393781E-2</v>
      </c>
    </row>
    <row r="236" spans="1:62" x14ac:dyDescent="0.3">
      <c r="B236" s="1" t="s">
        <v>30</v>
      </c>
      <c r="C236" s="17">
        <f>C229/C234*100</f>
        <v>100</v>
      </c>
      <c r="D236" s="17">
        <f>D230/D234*100</f>
        <v>100</v>
      </c>
      <c r="E236" s="17">
        <f>E231/E234*100</f>
        <v>98.852965829024726</v>
      </c>
      <c r="F236" s="17">
        <f>F232/F234*100</f>
        <v>95.857603911013513</v>
      </c>
      <c r="G236" s="17">
        <f>G233/G234*100</f>
        <v>87.152832283743038</v>
      </c>
      <c r="H236" s="1"/>
      <c r="T236" s="57">
        <f>T74</f>
        <v>159.56582608695649</v>
      </c>
      <c r="U236" s="57">
        <f>U74</f>
        <v>345.31</v>
      </c>
      <c r="V236" s="57">
        <f>V74</f>
        <v>25017.46960724044</v>
      </c>
      <c r="W236" s="57">
        <f>W74</f>
        <v>29042.017268175339</v>
      </c>
      <c r="X236" s="57">
        <f>X74</f>
        <v>7764.4172984972674</v>
      </c>
      <c r="AB236">
        <v>15</v>
      </c>
      <c r="AC236">
        <v>466</v>
      </c>
      <c r="AD236">
        <v>461</v>
      </c>
      <c r="AE236">
        <v>450</v>
      </c>
      <c r="AI236" s="78"/>
      <c r="AQ236" s="1"/>
      <c r="AR236" s="1"/>
      <c r="BF236">
        <v>0.96289362016469704</v>
      </c>
      <c r="BG236" s="1">
        <v>173</v>
      </c>
      <c r="BH236">
        <f t="shared" si="41"/>
        <v>1.0895642944538471</v>
      </c>
      <c r="BI236">
        <f t="shared" si="42"/>
        <v>7.7163725077220427E-2</v>
      </c>
      <c r="BJ236">
        <f t="shared" si="40"/>
        <v>7.4300458584998189E-2</v>
      </c>
    </row>
    <row r="237" spans="1:62" x14ac:dyDescent="0.3">
      <c r="B237" s="16" t="s">
        <v>39</v>
      </c>
      <c r="C237" s="18">
        <f>SQRT((C240+C241)/(C234*C234))</f>
        <v>0</v>
      </c>
      <c r="D237" s="18">
        <f>SQRT((D240+D241)/(D234*D234))</f>
        <v>0</v>
      </c>
      <c r="E237" s="18">
        <f>SQRT((E240+E241)/(E234*E234))</f>
        <v>0.7880052521542561</v>
      </c>
      <c r="F237" s="18">
        <f>SQRT((F240+F241)/(F234*F234))</f>
        <v>0.92381276029376369</v>
      </c>
      <c r="G237" s="18">
        <f>SQRT((G240+G241)/(G234*G234))</f>
        <v>5.8469273626558698</v>
      </c>
      <c r="H237" s="1"/>
      <c r="I237" s="14"/>
      <c r="T237" s="57">
        <f>T84</f>
        <v>155.62486956521738</v>
      </c>
      <c r="U237" s="57">
        <f>U84</f>
        <v>374.83</v>
      </c>
      <c r="V237" s="57">
        <f>V84</f>
        <v>25502.311914845173</v>
      </c>
      <c r="W237" s="57">
        <f>W84</f>
        <v>28616.210578977585</v>
      </c>
      <c r="X237" s="57">
        <f>X84</f>
        <v>7679.8026366120212</v>
      </c>
      <c r="AB237">
        <v>16</v>
      </c>
      <c r="AC237">
        <v>495</v>
      </c>
      <c r="AD237">
        <v>490</v>
      </c>
      <c r="AE237">
        <v>479</v>
      </c>
      <c r="AH237" s="78"/>
      <c r="AQ237" s="1"/>
      <c r="AR237" s="1"/>
      <c r="BF237">
        <v>0.962970614366776</v>
      </c>
      <c r="BG237" s="1">
        <v>174</v>
      </c>
      <c r="BH237">
        <f t="shared" si="41"/>
        <v>1.1125130950141264</v>
      </c>
      <c r="BI237">
        <f t="shared" si="42"/>
        <v>7.8788975598276648E-2</v>
      </c>
      <c r="BJ237">
        <f t="shared" si="40"/>
        <v>7.5871468237201381E-2</v>
      </c>
    </row>
    <row r="238" spans="1:62" x14ac:dyDescent="0.3">
      <c r="B238" s="1" t="s">
        <v>37</v>
      </c>
      <c r="C238" s="18">
        <f>100-C236</f>
        <v>0</v>
      </c>
      <c r="D238" s="18">
        <f>100-D236</f>
        <v>0</v>
      </c>
      <c r="E238" s="18">
        <f>100-E236</f>
        <v>1.1470341709752745</v>
      </c>
      <c r="F238" s="18">
        <f>100-F236</f>
        <v>4.1423960889864873</v>
      </c>
      <c r="G238" s="18">
        <f>100-G236</f>
        <v>12.847167716256962</v>
      </c>
      <c r="T238" s="57">
        <f>T94</f>
        <v>157.76608695652175</v>
      </c>
      <c r="U238" s="57">
        <f>U94</f>
        <v>382.04</v>
      </c>
      <c r="V238" s="57">
        <f>V94</f>
        <v>25725.35865437159</v>
      </c>
      <c r="W238" s="57">
        <f>W94</f>
        <v>28388.950265502492</v>
      </c>
      <c r="X238" s="57">
        <f>X94</f>
        <v>7674.6649931693983</v>
      </c>
      <c r="AB238">
        <v>17</v>
      </c>
      <c r="AC238">
        <v>524</v>
      </c>
      <c r="AD238">
        <v>519</v>
      </c>
      <c r="AE238">
        <v>508</v>
      </c>
      <c r="AI238" s="78"/>
      <c r="BF238">
        <v>0.96313713197234618</v>
      </c>
      <c r="BG238" s="1">
        <v>175</v>
      </c>
      <c r="BH238">
        <f t="shared" si="41"/>
        <v>1.1360632660214303</v>
      </c>
      <c r="BI238">
        <f t="shared" si="42"/>
        <v>8.0456815605864276E-2</v>
      </c>
      <c r="BJ238">
        <f t="shared" si="40"/>
        <v>7.749094663026003E-2</v>
      </c>
    </row>
    <row r="239" spans="1:62" ht="15.6" x14ac:dyDescent="0.35">
      <c r="B239" s="1" t="s">
        <v>25</v>
      </c>
      <c r="C239" s="1">
        <f>C223</f>
        <v>114</v>
      </c>
      <c r="D239" s="1">
        <f>D223</f>
        <v>15</v>
      </c>
      <c r="E239" s="1">
        <f>E223</f>
        <v>182</v>
      </c>
      <c r="F239" s="1">
        <f>F223</f>
        <v>175</v>
      </c>
      <c r="G239" s="1">
        <f>G223</f>
        <v>210</v>
      </c>
      <c r="T239" s="57">
        <f>T104</f>
        <v>153.5522608695652</v>
      </c>
      <c r="U239" s="57">
        <f>U104</f>
        <v>310.37999999999994</v>
      </c>
      <c r="V239" s="57">
        <f>V104</f>
        <v>25664.602613843348</v>
      </c>
      <c r="W239" s="57">
        <f>W104</f>
        <v>28925.351664449194</v>
      </c>
      <c r="X239" s="57">
        <f>X104</f>
        <v>7274.8934608378868</v>
      </c>
      <c r="AB239">
        <v>18</v>
      </c>
      <c r="AC239">
        <v>553</v>
      </c>
      <c r="AD239">
        <v>548</v>
      </c>
      <c r="AE239">
        <v>537</v>
      </c>
      <c r="AH239" s="78"/>
      <c r="BF239">
        <v>0.96358021920894998</v>
      </c>
      <c r="BG239" s="1">
        <v>176</v>
      </c>
      <c r="BH239">
        <f t="shared" si="41"/>
        <v>1.1602609659441347</v>
      </c>
      <c r="BI239">
        <f t="shared" si="42"/>
        <v>8.217051407583166E-2</v>
      </c>
      <c r="BJ239">
        <f t="shared" si="40"/>
        <v>7.9177881965701982E-2</v>
      </c>
    </row>
    <row r="240" spans="1:62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0</v>
      </c>
      <c r="E240" s="18">
        <f>(O231*O231*(100-E236)*(100-E236)*(I231)*(100-I231))/((L231-1)*100)</f>
        <v>0</v>
      </c>
      <c r="F240" s="18">
        <f>(O232*O232*(100-F236)*(100-F236)*(I232)*(100-I232))/((L232-1)*100)</f>
        <v>994.52092696937666</v>
      </c>
      <c r="G240" s="18">
        <f>(O233*O233*(100-G236)*(100-G236)*(I233)*(100-I233))/((L233-1)*100)</f>
        <v>1488.0717513243665</v>
      </c>
      <c r="T240" s="57">
        <f>T114</f>
        <v>158.83669565217394</v>
      </c>
      <c r="U240" s="57">
        <f>U114</f>
        <v>271.85000000000002</v>
      </c>
      <c r="V240" s="57">
        <f>V114</f>
        <v>26333.564166666663</v>
      </c>
      <c r="W240" s="57">
        <f>W114</f>
        <v>27696.161221014496</v>
      </c>
      <c r="X240" s="57">
        <f>X114</f>
        <v>7868.3579166666677</v>
      </c>
      <c r="AB240">
        <v>19</v>
      </c>
      <c r="AC240">
        <v>582</v>
      </c>
      <c r="AD240">
        <v>577</v>
      </c>
      <c r="AE240">
        <v>566</v>
      </c>
      <c r="AI240" s="78"/>
      <c r="BF240">
        <v>0.96359714254561901</v>
      </c>
      <c r="BG240" s="1">
        <v>177</v>
      </c>
      <c r="BH240">
        <f t="shared" si="41"/>
        <v>1.1851578135117353</v>
      </c>
      <c r="BI240">
        <f t="shared" si="42"/>
        <v>8.3933726683637216E-2</v>
      </c>
      <c r="BJ240">
        <f t="shared" si="40"/>
        <v>8.0878299195557793E-2</v>
      </c>
    </row>
    <row r="241" spans="1:62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0</v>
      </c>
      <c r="E241" s="18">
        <f>E236*E236*(SUM((H229*E229*(1-E218/H218))/(H218-1),(H230*E230*(1-E219/H219))/(H219-1), (H232*E232*(1-E221/H221))/(H221-1),(H233*E233*(1-E222/H222))/(H222-1)))</f>
        <v>1057.8006955881219</v>
      </c>
      <c r="F241" s="18">
        <f>F236*F236*(SUM((H229*F229*(1-F218/H218))/(H218-1),(H230*F230*(1-F219/H219))/(H219-1), (H231*F231*(1-F220/H220))/(H220-1),(H233*F233*(1-F222/H222))/(H222-1)))</f>
        <v>775.9521576411023</v>
      </c>
      <c r="G241" s="18">
        <f>G236*G236*(SUM((H229*G229*(1-G218/H218))/(H218-1),(H230*G230*(1-G219/H219))/(H219-1), (H231*G231*(1-G220/H220))/(H220-1),(H232*G232*(1-G221/H221))/(H221-1)))</f>
        <v>3695.116695936536</v>
      </c>
      <c r="T241" s="57">
        <f>T124</f>
        <v>165.97408695652177</v>
      </c>
      <c r="U241" s="57">
        <f>U124</f>
        <v>342.07</v>
      </c>
      <c r="V241" s="57">
        <f>V124</f>
        <v>25559.825910746804</v>
      </c>
      <c r="W241" s="57">
        <f>W124</f>
        <v>29015.821131622717</v>
      </c>
      <c r="X241" s="57">
        <f>X124</f>
        <v>7245.0888706739524</v>
      </c>
      <c r="AB241">
        <v>20</v>
      </c>
      <c r="AC241">
        <v>611</v>
      </c>
      <c r="AD241">
        <v>606</v>
      </c>
      <c r="AE241">
        <v>595</v>
      </c>
      <c r="AH241" s="78"/>
      <c r="BF241">
        <v>0.96364234376565705</v>
      </c>
      <c r="BG241" s="1">
        <v>178</v>
      </c>
      <c r="BH241">
        <f t="shared" si="41"/>
        <v>1.2108118029801551</v>
      </c>
      <c r="BI241">
        <f t="shared" si="42"/>
        <v>8.5750560624095334E-2</v>
      </c>
      <c r="BJ241">
        <f t="shared" si="40"/>
        <v>8.2632871219022297E-2</v>
      </c>
    </row>
    <row r="242" spans="1:62" x14ac:dyDescent="0.3">
      <c r="T242" s="57">
        <f>T134</f>
        <v>156.69547826086958</v>
      </c>
      <c r="U242" s="57">
        <f>U134</f>
        <v>371.95</v>
      </c>
      <c r="V242" s="57">
        <f>V134</f>
        <v>25785.159048269576</v>
      </c>
      <c r="W242" s="57">
        <f>W134</f>
        <v>28615.694002613443</v>
      </c>
      <c r="X242" s="57">
        <f>X134</f>
        <v>7399.2714708561034</v>
      </c>
      <c r="AB242">
        <v>21</v>
      </c>
      <c r="AC242">
        <v>640</v>
      </c>
      <c r="AD242">
        <v>635</v>
      </c>
      <c r="AE242">
        <v>624</v>
      </c>
      <c r="AI242" s="78"/>
      <c r="BF242">
        <v>0.96371203660855598</v>
      </c>
      <c r="BG242" s="1">
        <v>179</v>
      </c>
      <c r="BH242">
        <f t="shared" si="41"/>
        <v>1.2372884211694737</v>
      </c>
      <c r="BI242">
        <f t="shared" si="42"/>
        <v>8.7625653720789745E-2</v>
      </c>
      <c r="BJ242">
        <f t="shared" si="40"/>
        <v>8.4445897206418374E-2</v>
      </c>
    </row>
    <row r="243" spans="1:62" x14ac:dyDescent="0.3">
      <c r="T243" s="57">
        <f>T144</f>
        <v>158.83669565217394</v>
      </c>
      <c r="U243" s="57">
        <f>U144</f>
        <v>330.89999999999992</v>
      </c>
      <c r="V243" s="57">
        <f>V144</f>
        <v>25413.953964025499</v>
      </c>
      <c r="W243" s="57">
        <f>W144</f>
        <v>29016.992008810481</v>
      </c>
      <c r="X243" s="57">
        <f>X144</f>
        <v>7408.0873315118406</v>
      </c>
      <c r="AB243">
        <v>22</v>
      </c>
      <c r="AC243">
        <v>669</v>
      </c>
      <c r="AD243">
        <v>664</v>
      </c>
      <c r="AE243">
        <v>653</v>
      </c>
      <c r="AH243" s="78"/>
      <c r="BF243">
        <v>0.96410432886530595</v>
      </c>
      <c r="BG243" s="1">
        <v>180</v>
      </c>
      <c r="BH243">
        <f t="shared" si="41"/>
        <v>1.2646620224523379</v>
      </c>
      <c r="BI243">
        <f t="shared" si="42"/>
        <v>8.9564271803739284E-2</v>
      </c>
      <c r="BJ243">
        <f t="shared" si="40"/>
        <v>8.6349302157653907E-2</v>
      </c>
    </row>
    <row r="244" spans="1:62" x14ac:dyDescent="0.3">
      <c r="A244" s="348">
        <v>1977</v>
      </c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 t="s">
        <v>81</v>
      </c>
      <c r="M244" s="348"/>
      <c r="N244" s="348"/>
      <c r="O244" s="348"/>
      <c r="P244" s="348"/>
      <c r="T244" s="57">
        <f>T154</f>
        <v>162.76226086956521</v>
      </c>
      <c r="U244" s="57">
        <f>U154</f>
        <v>428.84</v>
      </c>
      <c r="V244" s="57">
        <f>V154</f>
        <v>25419.364067622948</v>
      </c>
      <c r="W244" s="57">
        <f>W154</f>
        <v>28699.114890769786</v>
      </c>
      <c r="X244" s="57">
        <f>X154</f>
        <v>7618.6887807377043</v>
      </c>
      <c r="AB244">
        <v>23</v>
      </c>
      <c r="AC244">
        <v>698</v>
      </c>
      <c r="AD244">
        <v>693</v>
      </c>
      <c r="AE244">
        <v>682</v>
      </c>
      <c r="AI244" s="78"/>
      <c r="BF244">
        <v>0.96420692145567399</v>
      </c>
      <c r="BG244" s="1">
        <v>181</v>
      </c>
      <c r="BH244">
        <f t="shared" si="41"/>
        <v>1.2930175370911461</v>
      </c>
      <c r="BI244">
        <f t="shared" si="42"/>
        <v>9.1572429695063032E-2</v>
      </c>
      <c r="BJ244">
        <f t="shared" si="40"/>
        <v>8.8294770526492872E-2</v>
      </c>
    </row>
    <row r="245" spans="1:62" x14ac:dyDescent="0.3">
      <c r="A245" t="s">
        <v>315</v>
      </c>
      <c r="B245" t="s">
        <v>21</v>
      </c>
      <c r="I245" s="1" t="s">
        <v>53</v>
      </c>
      <c r="O245" s="350"/>
      <c r="P245" s="350"/>
      <c r="T245" s="57">
        <f>T164</f>
        <v>164.87191304347826</v>
      </c>
      <c r="U245" s="57">
        <f>U164</f>
        <v>313.97999999999996</v>
      </c>
      <c r="V245" s="57">
        <f>V164</f>
        <v>25807.155331284146</v>
      </c>
      <c r="W245" s="57">
        <f>W164</f>
        <v>28396.051017284382</v>
      </c>
      <c r="X245" s="57">
        <f>X164</f>
        <v>7646.7217383879797</v>
      </c>
      <c r="AB245">
        <v>24</v>
      </c>
      <c r="AC245">
        <v>727</v>
      </c>
      <c r="AD245">
        <v>722</v>
      </c>
      <c r="AE245">
        <v>711</v>
      </c>
      <c r="AH245" s="78"/>
      <c r="BF245">
        <v>0.96423018184353004</v>
      </c>
      <c r="BG245" s="1">
        <v>182</v>
      </c>
      <c r="BH245">
        <f t="shared" si="41"/>
        <v>1.3224526154698777</v>
      </c>
      <c r="BI245">
        <f t="shared" si="42"/>
        <v>9.3657043065016932E-2</v>
      </c>
      <c r="BJ245">
        <f t="shared" si="40"/>
        <v>9.0306947665508605E-2</v>
      </c>
    </row>
    <row r="246" spans="1:62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51</v>
      </c>
      <c r="T246" s="57">
        <f>T174</f>
        <v>154.19739130434786</v>
      </c>
      <c r="U246" s="57">
        <f>U174</f>
        <v>335.59</v>
      </c>
      <c r="V246" s="57">
        <f>V174</f>
        <v>26034.778716985431</v>
      </c>
      <c r="W246" s="57">
        <f>W174</f>
        <v>28641.111523768515</v>
      </c>
      <c r="X246" s="57">
        <f>X174</f>
        <v>7163.1023679417131</v>
      </c>
      <c r="AB246">
        <v>25</v>
      </c>
      <c r="AC246">
        <v>756</v>
      </c>
      <c r="AD246">
        <v>751</v>
      </c>
      <c r="AE246">
        <v>740</v>
      </c>
      <c r="AI246" s="78"/>
      <c r="BF246">
        <v>0.96446497180832402</v>
      </c>
      <c r="BG246" s="1">
        <v>183</v>
      </c>
      <c r="BH246">
        <f t="shared" si="41"/>
        <v>1.3530803497322956</v>
      </c>
      <c r="BI246">
        <f t="shared" si="42"/>
        <v>9.5826121180363974E-2</v>
      </c>
      <c r="BJ246">
        <f t="shared" si="40"/>
        <v>9.2420937262720784E-2</v>
      </c>
    </row>
    <row r="247" spans="1:62" x14ac:dyDescent="0.3">
      <c r="A247" t="s">
        <v>3</v>
      </c>
      <c r="B247" s="13">
        <v>0</v>
      </c>
      <c r="C247" s="26">
        <v>113</v>
      </c>
      <c r="D247" s="3">
        <v>0</v>
      </c>
      <c r="E247" s="3">
        <v>0</v>
      </c>
      <c r="F247" s="3">
        <v>2</v>
      </c>
      <c r="G247" s="4">
        <v>0</v>
      </c>
      <c r="H247" s="1">
        <f>SUM(C247:G247)</f>
        <v>115</v>
      </c>
      <c r="I247" s="10">
        <f>C247/H247</f>
        <v>0.9826086956521739</v>
      </c>
      <c r="J247" s="11">
        <f>1-I247</f>
        <v>1.7391304347826098E-2</v>
      </c>
      <c r="K247">
        <f>H247-C252</f>
        <v>2</v>
      </c>
      <c r="N247" s="10">
        <f>2*(C253*I247)/(C253+I247)</f>
        <v>0.99122807017543857</v>
      </c>
      <c r="T247" s="57">
        <f>T184</f>
        <v>158.47982608695651</v>
      </c>
      <c r="U247" s="57">
        <f>U184</f>
        <v>266.81</v>
      </c>
      <c r="V247" s="57">
        <f>V184</f>
        <v>25940.560102459014</v>
      </c>
      <c r="W247" s="57">
        <f>W184</f>
        <v>28582.610634978617</v>
      </c>
      <c r="X247" s="57">
        <f>X184</f>
        <v>7380.3194364754099</v>
      </c>
      <c r="AB247">
        <v>26</v>
      </c>
      <c r="AC247">
        <v>785</v>
      </c>
      <c r="AD247">
        <v>780</v>
      </c>
      <c r="AE247">
        <v>769</v>
      </c>
      <c r="AH247" s="78"/>
      <c r="BF247">
        <v>0.96461966746458605</v>
      </c>
      <c r="BG247" s="1">
        <v>184</v>
      </c>
      <c r="BH247">
        <f t="shared" si="41"/>
        <v>1.3850327712601831</v>
      </c>
      <c r="BI247">
        <f t="shared" si="42"/>
        <v>9.8089014598292334E-2</v>
      </c>
      <c r="BJ247">
        <f t="shared" si="40"/>
        <v>9.4618592643733679E-2</v>
      </c>
    </row>
    <row r="248" spans="1:62" x14ac:dyDescent="0.3">
      <c r="A248" t="s">
        <v>4</v>
      </c>
      <c r="B248" s="13">
        <v>1</v>
      </c>
      <c r="C248" s="5">
        <v>0</v>
      </c>
      <c r="D248" s="27">
        <v>15</v>
      </c>
      <c r="E248" s="1">
        <v>0</v>
      </c>
      <c r="F248" s="1">
        <v>0</v>
      </c>
      <c r="G248" s="6">
        <v>0</v>
      </c>
      <c r="H248" s="1">
        <f>SUM(C248:G248)</f>
        <v>15</v>
      </c>
      <c r="I248" s="10">
        <f>D248/H248</f>
        <v>1</v>
      </c>
      <c r="J248" s="11">
        <f>1-I248</f>
        <v>0</v>
      </c>
      <c r="K248">
        <f>H248-D252</f>
        <v>0</v>
      </c>
      <c r="N248" s="10">
        <f>2*(D253*I248)/(D253+I248)</f>
        <v>1</v>
      </c>
      <c r="T248" s="57">
        <f>T194</f>
        <v>160.26417391304346</v>
      </c>
      <c r="U248" s="57">
        <f>U194</f>
        <v>311.45999999999998</v>
      </c>
      <c r="V248" s="57">
        <f>V194</f>
        <v>25533.18075705829</v>
      </c>
      <c r="W248" s="57">
        <f>W194</f>
        <v>28761.114827680765</v>
      </c>
      <c r="X248" s="57">
        <f>X194</f>
        <v>7562.7702413479037</v>
      </c>
      <c r="AB248">
        <v>27</v>
      </c>
      <c r="AC248">
        <v>814</v>
      </c>
      <c r="AD248">
        <v>809</v>
      </c>
      <c r="AE248">
        <v>798</v>
      </c>
      <c r="AI248" s="78"/>
      <c r="BF248">
        <v>0.96483893612685001</v>
      </c>
      <c r="BG248" s="1">
        <v>185</v>
      </c>
      <c r="BH248">
        <f t="shared" si="41"/>
        <v>1.4184654072104084</v>
      </c>
      <c r="BI248">
        <f t="shared" si="42"/>
        <v>0.10045673786363954</v>
      </c>
      <c r="BJ248">
        <f t="shared" si="40"/>
        <v>9.6924572087127819E-2</v>
      </c>
    </row>
    <row r="249" spans="1:62" x14ac:dyDescent="0.3">
      <c r="A249" t="s">
        <v>5</v>
      </c>
      <c r="B249" s="13">
        <v>2</v>
      </c>
      <c r="C249" s="5">
        <v>0</v>
      </c>
      <c r="D249" s="1">
        <v>0</v>
      </c>
      <c r="E249" s="27">
        <v>178</v>
      </c>
      <c r="F249" s="1">
        <v>0</v>
      </c>
      <c r="G249" s="6">
        <v>0</v>
      </c>
      <c r="H249" s="1">
        <f>SUM(C249:G249)</f>
        <v>178</v>
      </c>
      <c r="I249" s="10">
        <f>E249/H249</f>
        <v>1</v>
      </c>
      <c r="J249" s="11">
        <f>1-I249</f>
        <v>0</v>
      </c>
      <c r="K249">
        <f>H249-E252</f>
        <v>-5</v>
      </c>
      <c r="N249" s="10">
        <f>2*(E253*I249)/(E253+I249)</f>
        <v>0.98614958448753465</v>
      </c>
      <c r="T249" s="57">
        <f>T204</f>
        <v>157.05234782608699</v>
      </c>
      <c r="U249" s="57">
        <f>U204</f>
        <v>341.35</v>
      </c>
      <c r="V249" s="57">
        <f>V204</f>
        <v>25215.926196493627</v>
      </c>
      <c r="W249" s="57">
        <f>W204</f>
        <v>29358.269571572826</v>
      </c>
      <c r="X249" s="57">
        <f>X204</f>
        <v>7256.1818841074682</v>
      </c>
      <c r="AB249">
        <v>28</v>
      </c>
      <c r="AC249">
        <v>843</v>
      </c>
      <c r="AD249">
        <v>838</v>
      </c>
      <c r="AE249">
        <v>827</v>
      </c>
      <c r="AH249" s="78"/>
      <c r="BF249">
        <v>0.96513306985930103</v>
      </c>
      <c r="BG249" s="1">
        <v>186</v>
      </c>
      <c r="BH249">
        <f t="shared" si="41"/>
        <v>1.4535633083711834</v>
      </c>
      <c r="BI249">
        <f t="shared" si="42"/>
        <v>0.10294239640599756</v>
      </c>
      <c r="BJ249">
        <f t="shared" si="40"/>
        <v>9.9353111061993502E-2</v>
      </c>
    </row>
    <row r="250" spans="1:62" x14ac:dyDescent="0.3">
      <c r="A250" t="s">
        <v>6</v>
      </c>
      <c r="B250" s="13">
        <v>3</v>
      </c>
      <c r="C250" s="5">
        <v>0</v>
      </c>
      <c r="D250" s="1">
        <v>0</v>
      </c>
      <c r="E250" s="1">
        <v>2</v>
      </c>
      <c r="F250" s="27">
        <v>137</v>
      </c>
      <c r="G250" s="6">
        <v>5</v>
      </c>
      <c r="H250" s="1">
        <f>SUM(C250:G250)</f>
        <v>144</v>
      </c>
      <c r="I250" s="10">
        <f>F250/H250</f>
        <v>0.95138888888888884</v>
      </c>
      <c r="J250" s="11">
        <f>1-I250</f>
        <v>4.861111111111116E-2</v>
      </c>
      <c r="K250">
        <f>H250-F252</f>
        <v>-35</v>
      </c>
      <c r="N250" s="10">
        <f>2*(F253*I250)/(F253+I250)</f>
        <v>0.84829721362229105</v>
      </c>
      <c r="T250" s="57">
        <f>T214</f>
        <v>154.55426086956521</v>
      </c>
      <c r="U250" s="57">
        <f>U214</f>
        <v>304.62000000000006</v>
      </c>
      <c r="V250" s="57">
        <f>V214</f>
        <v>26066.276860200363</v>
      </c>
      <c r="W250" s="57">
        <f>W214</f>
        <v>28396.275076562135</v>
      </c>
      <c r="X250" s="57">
        <f>X214</f>
        <v>7407.0538023679428</v>
      </c>
      <c r="AB250">
        <v>29</v>
      </c>
      <c r="AC250">
        <v>872</v>
      </c>
      <c r="AD250">
        <v>867</v>
      </c>
      <c r="AE250">
        <v>856</v>
      </c>
      <c r="AI250" s="78"/>
      <c r="BF250">
        <v>0.96547642208551598</v>
      </c>
      <c r="BG250" s="1">
        <v>187</v>
      </c>
      <c r="BH250">
        <f t="shared" si="41"/>
        <v>1.490549161785536</v>
      </c>
      <c r="BI250">
        <f t="shared" si="42"/>
        <v>0.10556176108152784</v>
      </c>
      <c r="BJ250">
        <f t="shared" si="40"/>
        <v>0.10191739139803957</v>
      </c>
    </row>
    <row r="251" spans="1:62" x14ac:dyDescent="0.3">
      <c r="A251" t="s">
        <v>7</v>
      </c>
      <c r="B251" s="13">
        <v>4</v>
      </c>
      <c r="C251" s="7">
        <v>0</v>
      </c>
      <c r="D251" s="8">
        <v>0</v>
      </c>
      <c r="E251" s="8">
        <v>3</v>
      </c>
      <c r="F251" s="8">
        <v>40</v>
      </c>
      <c r="G251" s="28">
        <v>201</v>
      </c>
      <c r="H251" s="1">
        <f>SUM(C251:G251)</f>
        <v>244</v>
      </c>
      <c r="I251" s="10">
        <f>G251/H251</f>
        <v>0.82377049180327866</v>
      </c>
      <c r="J251" s="11">
        <f>1-I251</f>
        <v>0.17622950819672134</v>
      </c>
      <c r="K251">
        <f>H251-G252</f>
        <v>38</v>
      </c>
      <c r="N251" s="10">
        <f>2*(G253*I251)/(G253+I251)</f>
        <v>0.89333333333333331</v>
      </c>
      <c r="AH251" s="78"/>
      <c r="BF251">
        <v>0.96552349188203002</v>
      </c>
      <c r="BG251" s="1">
        <v>188</v>
      </c>
      <c r="BH251">
        <f t="shared" si="41"/>
        <v>1.5296944238710337</v>
      </c>
      <c r="BI251">
        <f t="shared" si="42"/>
        <v>0.10833405662848791</v>
      </c>
      <c r="BJ251">
        <f t="shared" si="40"/>
        <v>0.10459907664568323</v>
      </c>
    </row>
    <row r="252" spans="1:62" ht="15.6" x14ac:dyDescent="0.35">
      <c r="B252" s="1" t="s">
        <v>19</v>
      </c>
      <c r="C252" s="1">
        <f>SUM(C247:C251)</f>
        <v>113</v>
      </c>
      <c r="D252" s="1">
        <f>SUM(D247:D251)</f>
        <v>15</v>
      </c>
      <c r="E252" s="1">
        <f>SUM(E247:E251)</f>
        <v>183</v>
      </c>
      <c r="F252" s="1">
        <f>SUM(F247:F251)</f>
        <v>179</v>
      </c>
      <c r="G252" s="1">
        <f>SUM(G247:G251)</f>
        <v>206</v>
      </c>
      <c r="H252" s="1">
        <f>SUM(H246:H251)</f>
        <v>696</v>
      </c>
      <c r="I252" s="13" t="s">
        <v>12</v>
      </c>
      <c r="N252" s="16" t="s">
        <v>36</v>
      </c>
      <c r="AI252" s="78"/>
      <c r="BF252">
        <v>0.96569845224940698</v>
      </c>
      <c r="BG252" s="1">
        <v>189</v>
      </c>
      <c r="BH252">
        <f t="shared" si="41"/>
        <v>1.571334942107838</v>
      </c>
      <c r="BI252">
        <f t="shared" si="42"/>
        <v>0.11128306800638769</v>
      </c>
      <c r="BJ252">
        <f t="shared" si="40"/>
        <v>0.10746588653533409</v>
      </c>
    </row>
    <row r="253" spans="1:62" x14ac:dyDescent="0.3">
      <c r="A253" s="1" t="s">
        <v>316</v>
      </c>
      <c r="B253" s="1" t="s">
        <v>2</v>
      </c>
      <c r="C253" s="10">
        <f>C247/C252</f>
        <v>1</v>
      </c>
      <c r="D253" s="10">
        <f>D248/D252</f>
        <v>1</v>
      </c>
      <c r="E253" s="10">
        <f>E249/E252</f>
        <v>0.97267759562841527</v>
      </c>
      <c r="F253" s="10">
        <f>F250/F252</f>
        <v>0.76536312849162014</v>
      </c>
      <c r="G253" s="10">
        <f>G251/G252</f>
        <v>0.97572815533980584</v>
      </c>
      <c r="H253" s="10"/>
      <c r="I253" s="14">
        <f>(C247+D248+E249+F250+G251)/H252</f>
        <v>0.92528735632183912</v>
      </c>
      <c r="AH253" s="78"/>
      <c r="BF253">
        <v>0.96574853529817295</v>
      </c>
      <c r="BG253" s="1">
        <v>190</v>
      </c>
      <c r="BH253">
        <f t="shared" si="41"/>
        <v>1.6158934440722883</v>
      </c>
      <c r="BI253">
        <f t="shared" si="42"/>
        <v>0.11443873308548347</v>
      </c>
      <c r="BJ253">
        <f t="shared" si="40"/>
        <v>0.11051903885868422</v>
      </c>
    </row>
    <row r="254" spans="1:62" x14ac:dyDescent="0.3">
      <c r="B254" s="1" t="s">
        <v>14</v>
      </c>
      <c r="C254" s="11">
        <f>1-C253</f>
        <v>0</v>
      </c>
      <c r="D254" s="11">
        <f>1-D253</f>
        <v>0</v>
      </c>
      <c r="E254" s="11">
        <f>1-E253</f>
        <v>2.732240437158473E-2</v>
      </c>
      <c r="F254" s="11">
        <f>1-F253</f>
        <v>0.23463687150837986</v>
      </c>
      <c r="G254" s="11">
        <f>1-G253</f>
        <v>2.4271844660194164E-2</v>
      </c>
      <c r="AI254" s="78"/>
      <c r="BF254">
        <v>0.96576434298386205</v>
      </c>
      <c r="BG254" s="1">
        <v>191</v>
      </c>
      <c r="BH254">
        <f t="shared" si="41"/>
        <v>1.6639128949712361</v>
      </c>
      <c r="BI254">
        <f t="shared" si="42"/>
        <v>0.11783950505129283</v>
      </c>
      <c r="BJ254">
        <f t="shared" si="40"/>
        <v>0.11380519217340532</v>
      </c>
    </row>
    <row r="255" spans="1:62" x14ac:dyDescent="0.3">
      <c r="C255" s="2"/>
      <c r="AH255" s="78"/>
      <c r="BF255">
        <v>0.96591016180875899</v>
      </c>
      <c r="BG255" s="1">
        <v>192</v>
      </c>
      <c r="BH255">
        <f t="shared" si="41"/>
        <v>1.7161077551573309</v>
      </c>
      <c r="BI255">
        <f t="shared" si="42"/>
        <v>0.12153598249860366</v>
      </c>
      <c r="BJ255">
        <f t="shared" si="40"/>
        <v>0.11739284052081277</v>
      </c>
    </row>
    <row r="256" spans="1:62" ht="15.6" x14ac:dyDescent="0.35">
      <c r="A256" t="s">
        <v>317</v>
      </c>
      <c r="B256" s="15" t="s">
        <v>23</v>
      </c>
      <c r="N256" s="12" t="s">
        <v>17</v>
      </c>
      <c r="O256" s="1" t="s">
        <v>27</v>
      </c>
      <c r="P256" s="1" t="s">
        <v>33</v>
      </c>
      <c r="AI256" s="78"/>
      <c r="BF256">
        <v>0.96622592453153899</v>
      </c>
      <c r="BG256" s="1">
        <v>193</v>
      </c>
      <c r="BH256">
        <f t="shared" si="41"/>
        <v>1.7734461562988943</v>
      </c>
      <c r="BI256">
        <f t="shared" si="42"/>
        <v>0.12559672920678464</v>
      </c>
      <c r="BJ256">
        <f t="shared" si="40"/>
        <v>0.12135481579596283</v>
      </c>
    </row>
    <row r="257" spans="1:62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H257" s="78"/>
      <c r="BF257">
        <v>0.96627129911736498</v>
      </c>
      <c r="BG257" s="1">
        <v>194</v>
      </c>
      <c r="BH257">
        <f t="shared" si="41"/>
        <v>1.8372886748302386</v>
      </c>
      <c r="BI257">
        <f t="shared" si="42"/>
        <v>0.13011810217510436</v>
      </c>
      <c r="BJ257">
        <f t="shared" ref="BJ257:BJ263" si="50">BI257*BF257</f>
        <v>0.12572938762742414</v>
      </c>
    </row>
    <row r="258" spans="1:62" x14ac:dyDescent="0.3">
      <c r="A258" t="s">
        <v>3</v>
      </c>
      <c r="B258" s="13">
        <v>0</v>
      </c>
      <c r="C258" s="29">
        <f t="shared" ref="C258:G262" si="51">(C247/$L258)*$O258</f>
        <v>0.2463585214880914</v>
      </c>
      <c r="D258" s="31">
        <f t="shared" si="51"/>
        <v>0</v>
      </c>
      <c r="E258" s="31">
        <f t="shared" si="51"/>
        <v>0</v>
      </c>
      <c r="F258" s="31">
        <f t="shared" si="51"/>
        <v>4.3603278139485203E-3</v>
      </c>
      <c r="G258" s="32">
        <f t="shared" si="51"/>
        <v>0</v>
      </c>
      <c r="H258" s="17">
        <f>SUM(C258:G258)</f>
        <v>0.25071884930203991</v>
      </c>
      <c r="I258" s="17">
        <f>C258/H258*100</f>
        <v>98.260869565217391</v>
      </c>
      <c r="J258" s="17">
        <f>SQRT(I258*(100-I258)/(L258-1))</f>
        <v>1.2243453990683941</v>
      </c>
      <c r="K258" s="18">
        <f>100-I258</f>
        <v>1.7391304347826093</v>
      </c>
      <c r="L258" s="1">
        <f>H247</f>
        <v>115</v>
      </c>
      <c r="M258">
        <v>0</v>
      </c>
      <c r="N258" s="1">
        <v>156.27000000000001</v>
      </c>
      <c r="O258" s="17">
        <f>N258/N263*100</f>
        <v>0.25071884930203991</v>
      </c>
      <c r="P258" s="52">
        <f>((O258*O258*(I258/100)*(K258/100))/(L258-1))</f>
        <v>9.4228413460329789E-6</v>
      </c>
      <c r="AI258" s="78"/>
      <c r="BF258">
        <v>0.96680486702364399</v>
      </c>
      <c r="BG258" s="1">
        <v>195</v>
      </c>
      <c r="BH258">
        <f t="shared" si="41"/>
        <v>1.9096384934921886</v>
      </c>
      <c r="BI258">
        <f t="shared" si="42"/>
        <v>0.13524196824251794</v>
      </c>
      <c r="BJ258">
        <f t="shared" si="50"/>
        <v>0.13075259312272344</v>
      </c>
    </row>
    <row r="259" spans="1:62" x14ac:dyDescent="0.3">
      <c r="A259" t="s">
        <v>4</v>
      </c>
      <c r="B259" s="13">
        <v>1</v>
      </c>
      <c r="C259" s="33">
        <f t="shared" si="51"/>
        <v>0</v>
      </c>
      <c r="D259" s="34">
        <f t="shared" si="51"/>
        <v>0.49797220481453347</v>
      </c>
      <c r="E259" s="19">
        <f t="shared" si="51"/>
        <v>0</v>
      </c>
      <c r="F259" s="18">
        <f t="shared" si="51"/>
        <v>0</v>
      </c>
      <c r="G259" s="20">
        <f t="shared" si="51"/>
        <v>0</v>
      </c>
      <c r="H259" s="17">
        <f>SUM(C259:G259)</f>
        <v>0.49797220481453347</v>
      </c>
      <c r="I259" s="17">
        <f>D259/H259*100</f>
        <v>100</v>
      </c>
      <c r="J259" s="17">
        <f>SQRT(I259*(100-I259)/(L259-1))</f>
        <v>0</v>
      </c>
      <c r="K259" s="18">
        <f>100-I259</f>
        <v>0</v>
      </c>
      <c r="L259" s="1">
        <f>H248</f>
        <v>15</v>
      </c>
      <c r="M259">
        <v>1</v>
      </c>
      <c r="N259" s="1">
        <v>310.38</v>
      </c>
      <c r="O259" s="17">
        <f>N259/N263*100</f>
        <v>0.49797220481453347</v>
      </c>
      <c r="P259" s="52">
        <f>((O259*O259*(I259/100)*(K259/100))/(L259-1))</f>
        <v>0</v>
      </c>
      <c r="AH259" s="78"/>
      <c r="BF259">
        <v>0.96702964079456399</v>
      </c>
      <c r="BG259" s="1">
        <v>196</v>
      </c>
      <c r="BH259">
        <f>_xlfn.NORM.S.INV((BG259-0.375)/($BI$61+0.25))</f>
        <v>1.9936322372681397</v>
      </c>
      <c r="BI259">
        <f>BH259/SQRT($BL$65)</f>
        <v>0.14119046544082486</v>
      </c>
      <c r="BJ259">
        <f t="shared" si="50"/>
        <v>0.13653536507885816</v>
      </c>
    </row>
    <row r="260" spans="1:62" x14ac:dyDescent="0.3">
      <c r="A260" t="s">
        <v>5</v>
      </c>
      <c r="B260" s="13">
        <v>2</v>
      </c>
      <c r="C260" s="33">
        <f t="shared" si="51"/>
        <v>0</v>
      </c>
      <c r="D260" s="19">
        <f t="shared" si="51"/>
        <v>0</v>
      </c>
      <c r="E260" s="34">
        <f t="shared" si="51"/>
        <v>40.377928141702753</v>
      </c>
      <c r="F260" s="19">
        <f t="shared" si="51"/>
        <v>0</v>
      </c>
      <c r="G260" s="20">
        <f t="shared" si="51"/>
        <v>0</v>
      </c>
      <c r="H260" s="17">
        <f>SUM(C260:G260)</f>
        <v>40.377928141702753</v>
      </c>
      <c r="I260" s="17">
        <f>E260/H260*100</f>
        <v>100</v>
      </c>
      <c r="J260" s="17">
        <f>SQRT(I260*(100-I260)/(L260-1))</f>
        <v>0</v>
      </c>
      <c r="K260" s="18">
        <f>100-I260</f>
        <v>0</v>
      </c>
      <c r="L260" s="1">
        <f>H249</f>
        <v>178</v>
      </c>
      <c r="M260">
        <v>2</v>
      </c>
      <c r="N260" s="1">
        <v>25167.07</v>
      </c>
      <c r="O260" s="17">
        <f>N260/N263*100</f>
        <v>40.377928141702753</v>
      </c>
      <c r="P260" s="52">
        <f>((O260*O260*(I260/100)*(K260/100))/(L260-1))</f>
        <v>0</v>
      </c>
      <c r="AI260" s="78"/>
      <c r="BF260">
        <v>0.96792265829323298</v>
      </c>
      <c r="BG260" s="1">
        <v>197</v>
      </c>
      <c r="BH260">
        <f>_xlfn.NORM.S.INV((BG260-0.375)/($BI$61+0.25))</f>
        <v>2.0946204699384201</v>
      </c>
      <c r="BI260">
        <f>BH260/SQRT($BL$65)</f>
        <v>0.14834252453588728</v>
      </c>
      <c r="BJ260">
        <f t="shared" si="50"/>
        <v>0.14358409068670516</v>
      </c>
    </row>
    <row r="261" spans="1:62" x14ac:dyDescent="0.3">
      <c r="A261" t="s">
        <v>6</v>
      </c>
      <c r="B261" s="13">
        <v>3</v>
      </c>
      <c r="C261" s="33">
        <f t="shared" si="51"/>
        <v>0</v>
      </c>
      <c r="D261" s="19">
        <f t="shared" si="51"/>
        <v>0</v>
      </c>
      <c r="E261" s="19">
        <f t="shared" si="51"/>
        <v>0.64822025680235962</v>
      </c>
      <c r="F261" s="34">
        <f t="shared" si="51"/>
        <v>44.403087590961633</v>
      </c>
      <c r="G261" s="20">
        <f t="shared" si="51"/>
        <v>1.6205506420058993</v>
      </c>
      <c r="H261" s="17">
        <f>SUM(C261:G261)</f>
        <v>46.671858489769896</v>
      </c>
      <c r="I261" s="17">
        <f>F261/H261*100</f>
        <v>95.138888888888886</v>
      </c>
      <c r="J261" s="17">
        <f>SQRT(I261*(100-I261)/(L261-1))</f>
        <v>1.7983689383153578</v>
      </c>
      <c r="K261" s="18">
        <f>100-I261</f>
        <v>4.8611111111111143</v>
      </c>
      <c r="L261" s="1">
        <f>H250</f>
        <v>144</v>
      </c>
      <c r="M261">
        <v>3</v>
      </c>
      <c r="N261" s="1">
        <v>29090</v>
      </c>
      <c r="O261" s="17">
        <f>N261/N263*100</f>
        <v>46.671858489769896</v>
      </c>
      <c r="P261" s="52">
        <f>((O261*O261*(I261/100)*(K261/100))/(L261-1))</f>
        <v>0.70447855205320242</v>
      </c>
      <c r="AH261" s="78"/>
      <c r="BF261">
        <v>0.96844626599290795</v>
      </c>
      <c r="BG261" s="1">
        <v>198</v>
      </c>
      <c r="BH261">
        <f>_xlfn.NORM.S.INV((BG261-0.375)/($BI$61+0.25))</f>
        <v>2.2229788158905439</v>
      </c>
      <c r="BI261">
        <f>BH261/SQRT($BL$65)</f>
        <v>0.15743295469116433</v>
      </c>
      <c r="BJ261">
        <f t="shared" si="50"/>
        <v>0.15246535711488876</v>
      </c>
    </row>
    <row r="262" spans="1:62" x14ac:dyDescent="0.3">
      <c r="A262" t="s">
        <v>7</v>
      </c>
      <c r="B262" s="13">
        <v>4</v>
      </c>
      <c r="C262" s="35">
        <f t="shared" si="51"/>
        <v>0</v>
      </c>
      <c r="D262" s="36">
        <f t="shared" si="51"/>
        <v>0</v>
      </c>
      <c r="E262" s="21">
        <f t="shared" si="51"/>
        <v>0.15001871698046035</v>
      </c>
      <c r="F262" s="21">
        <f t="shared" si="51"/>
        <v>2.0002495597394714</v>
      </c>
      <c r="G262" s="37">
        <f t="shared" si="51"/>
        <v>10.051254037690843</v>
      </c>
      <c r="H262" s="17">
        <f>SUM(C262:G262)</f>
        <v>12.201522314410774</v>
      </c>
      <c r="I262" s="17">
        <f>G262/H262*100</f>
        <v>82.377049180327873</v>
      </c>
      <c r="J262" s="17">
        <f>SQRT(I262*(100-I262)/(L262-1))</f>
        <v>2.4442143716429219</v>
      </c>
      <c r="K262" s="18">
        <f>100-I262</f>
        <v>17.622950819672127</v>
      </c>
      <c r="L262" s="1">
        <f>H251</f>
        <v>244</v>
      </c>
      <c r="M262">
        <v>4</v>
      </c>
      <c r="N262" s="1">
        <v>7605.06</v>
      </c>
      <c r="O262" s="17">
        <f>N262/N263*100</f>
        <v>12.201522314410775</v>
      </c>
      <c r="P262" s="52">
        <f>((O262*O262*(I262/100)*(K262/100))/(L262-1))</f>
        <v>8.8941945261315811E-2</v>
      </c>
      <c r="AI262" s="78"/>
      <c r="BF262">
        <v>0.97009629244819595</v>
      </c>
      <c r="BG262" s="27">
        <v>199</v>
      </c>
      <c r="BH262" s="84">
        <f>_xlfn.NORM.S.INV((BG262-0.375)/($BI$61+0.25))</f>
        <v>2.4037084127855812</v>
      </c>
      <c r="BI262" s="84">
        <f>-3.562633*($BL$63)^5+5.682633*($BL$63)^4-1.752461*($BL$63)^3-0.293762*($BL$63)^2+0.042981*$BL$63+BH262*($BL$64^-0.5)</f>
        <v>0.17254128536790717</v>
      </c>
      <c r="BJ262">
        <f t="shared" si="50"/>
        <v>0.16738166122965289</v>
      </c>
    </row>
    <row r="263" spans="1:62" x14ac:dyDescent="0.3">
      <c r="B263" t="s">
        <v>28</v>
      </c>
      <c r="C263" s="17">
        <f>SUM(C258:C262)</f>
        <v>0.2463585214880914</v>
      </c>
      <c r="D263" s="17">
        <f>SUM(D258:D262)</f>
        <v>0.49797220481453347</v>
      </c>
      <c r="E263" s="17">
        <f>SUM(E258:E262)</f>
        <v>41.176167115485576</v>
      </c>
      <c r="F263" s="17">
        <f>SUM(F258:F262)</f>
        <v>46.407697478515054</v>
      </c>
      <c r="G263" s="17">
        <f>SUM(G258:G262)</f>
        <v>11.671804679696741</v>
      </c>
      <c r="H263" s="1">
        <f>SUM(H257:H262)</f>
        <v>100</v>
      </c>
      <c r="I263" s="13" t="s">
        <v>24</v>
      </c>
      <c r="J263" s="12" t="s">
        <v>29</v>
      </c>
      <c r="N263" s="1">
        <f>SUM(N258:N262)</f>
        <v>62328.78</v>
      </c>
      <c r="O263" s="17">
        <f>SUM(O258:O262)</f>
        <v>100.00000000000001</v>
      </c>
      <c r="AH263" s="78"/>
      <c r="BF263">
        <v>0.97060358908859401</v>
      </c>
      <c r="BG263" s="27">
        <v>200</v>
      </c>
      <c r="BH263" s="84">
        <f>_xlfn.NORM.S.INV((BG263-0.375)/($BI$61+0.25))</f>
        <v>2.7347800424613049</v>
      </c>
      <c r="BI263" s="84">
        <f>-2.70605*($BL$63)^5+4.4334685*($BL$63)^4-2.07119*($BL$63)^3-0.147981*($BL$63)^2+0.221157*$BL$63+BH263*($BL$64^-0.5)</f>
        <v>0.20934182212459215</v>
      </c>
      <c r="BJ263">
        <f t="shared" si="50"/>
        <v>0.20318792390047519</v>
      </c>
    </row>
    <row r="264" spans="1:62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3.0562891871022137E-3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0.46323471772125574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0.88499892898197541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0.77173629835755708</v>
      </c>
      <c r="H264" s="1"/>
      <c r="I264" s="56">
        <f>(C258+D259+E260+F261+G262)/H263</f>
        <v>0.95576600496657849</v>
      </c>
      <c r="J264" s="53">
        <f>SQRT(SUM(P258:P262))/100</f>
        <v>8.9074683280709124E-3</v>
      </c>
      <c r="M264" s="1"/>
      <c r="N264" s="9"/>
      <c r="AI264" s="78"/>
      <c r="BI264" t="s">
        <v>342</v>
      </c>
      <c r="BJ264">
        <f>SUM(BJ64:BJ263)</f>
        <v>7.3960763109687383E-2</v>
      </c>
    </row>
    <row r="265" spans="1:62" x14ac:dyDescent="0.3">
      <c r="B265" s="1" t="s">
        <v>30</v>
      </c>
      <c r="C265" s="17">
        <f>C258/C263*100</f>
        <v>100</v>
      </c>
      <c r="D265" s="17">
        <f>D259/D263*100</f>
        <v>100</v>
      </c>
      <c r="E265" s="17">
        <f>E260/E263*100</f>
        <v>98.061405347554512</v>
      </c>
      <c r="F265" s="17">
        <f>F261/F263*100</f>
        <v>95.680436659281625</v>
      </c>
      <c r="G265" s="17">
        <f>G262/G263*100</f>
        <v>86.115680595436388</v>
      </c>
      <c r="H265" s="1"/>
      <c r="AH265" s="78"/>
    </row>
    <row r="266" spans="1:62" x14ac:dyDescent="0.3">
      <c r="B266" s="16" t="s">
        <v>39</v>
      </c>
      <c r="C266" s="18">
        <f>SQRT((C269+C270)/(C263*C263))</f>
        <v>0</v>
      </c>
      <c r="D266" s="18">
        <f>SQRT((D269+D270)/(D263*D263))</f>
        <v>0</v>
      </c>
      <c r="E266" s="18">
        <f>SQRT((E269+E270)/(E263*E263))</f>
        <v>1.1069935594446703</v>
      </c>
      <c r="F266" s="18">
        <f>SQRT((F269+F270)/(F263*F263))</f>
        <v>0.98352253489852004</v>
      </c>
      <c r="G266" s="18">
        <f>SQRT((G269+G270)/(G263*G263))</f>
        <v>6.3543637047554311</v>
      </c>
      <c r="H266" s="1"/>
      <c r="I266" s="14"/>
      <c r="AI266" s="78"/>
    </row>
    <row r="267" spans="1:62" x14ac:dyDescent="0.3">
      <c r="B267" s="1" t="s">
        <v>37</v>
      </c>
      <c r="C267" s="18">
        <f>100-C265</f>
        <v>0</v>
      </c>
      <c r="D267" s="18">
        <f>100-D265</f>
        <v>0</v>
      </c>
      <c r="E267" s="18">
        <f>100-E265</f>
        <v>1.938594652445488</v>
      </c>
      <c r="F267" s="18">
        <f>100-F265</f>
        <v>4.3195633407183749</v>
      </c>
      <c r="G267" s="18">
        <f>100-G265</f>
        <v>13.884319404563612</v>
      </c>
      <c r="AH267" s="78"/>
    </row>
    <row r="268" spans="1:62" ht="15.6" x14ac:dyDescent="0.35">
      <c r="B268" s="1" t="s">
        <v>25</v>
      </c>
      <c r="C268" s="1">
        <f>C252</f>
        <v>113</v>
      </c>
      <c r="D268" s="1">
        <f>D252</f>
        <v>15</v>
      </c>
      <c r="E268" s="1">
        <f>E252</f>
        <v>183</v>
      </c>
      <c r="F268" s="1">
        <f>F252</f>
        <v>179</v>
      </c>
      <c r="G268" s="1">
        <f>G252</f>
        <v>206</v>
      </c>
      <c r="AI268" s="78"/>
    </row>
    <row r="269" spans="1:62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0</v>
      </c>
      <c r="E269" s="18">
        <f>(O260*O260*(100-E265)*(100-E265)*(I260)*(100-I260))/((L260-1)*100)</f>
        <v>0</v>
      </c>
      <c r="F269" s="18">
        <f>(O261*O261*(100-F265)*(100-F265)*(I261)*(100-I261))/((L261-1)*100)</f>
        <v>1314.4602852430853</v>
      </c>
      <c r="G269" s="18">
        <f>(O262*O262*(100-G265)*(100-G265)*(I262)*(100-I262))/((L262-1)*100)</f>
        <v>1714.5723491104877</v>
      </c>
      <c r="AH269" s="78"/>
    </row>
    <row r="270" spans="1:62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0</v>
      </c>
      <c r="E270" s="18">
        <f>E265*E265*(SUM((H258*E258*(1-E247/H247))/(H247-1),(H259*E259*(1-E248/H248))/(H248-1), (H261*E261*(1-E250/H250))/(H250-1),(H262*E262*(1-E251/H251))/(H251-1)))</f>
        <v>2077.6960971075714</v>
      </c>
      <c r="F270" s="18">
        <f>F265*F265*(SUM((H258*F258*(1-F247/H247))/(H247-1),(H259*F259*(1-F248/H248))/(H248-1), (H260*F260*(1-F249/H249))/(H249-1),(H262*F262*(1-F251/H251))/(H251-1)))</f>
        <v>768.82464832978405</v>
      </c>
      <c r="G270" s="18">
        <f>G265*G265*(SUM((H258*G258*(1-G247/H247))/(H247-1),(H259*G259*(1-G248/H248))/(H248-1), (H260*G260*(1-G249/H249))/(H249-1),(H261*G261*(1-G250/H250))/(H250-1)))</f>
        <v>3786.155523635357</v>
      </c>
      <c r="AI270" s="78"/>
    </row>
    <row r="271" spans="1:62" x14ac:dyDescent="0.3">
      <c r="AH271" s="78"/>
    </row>
    <row r="272" spans="1:62" x14ac:dyDescent="0.3">
      <c r="T272" s="2"/>
      <c r="AI272" s="78"/>
    </row>
    <row r="273" spans="1:35" x14ac:dyDescent="0.3">
      <c r="A273" s="348">
        <v>1977</v>
      </c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 t="s">
        <v>82</v>
      </c>
      <c r="M273" s="348"/>
      <c r="N273" s="348"/>
      <c r="O273" s="348"/>
      <c r="P273" s="348"/>
      <c r="AH273" s="78"/>
    </row>
    <row r="274" spans="1:35" ht="15" thickBot="1" x14ac:dyDescent="0.35">
      <c r="A274" t="s">
        <v>315</v>
      </c>
      <c r="B274" t="s">
        <v>21</v>
      </c>
      <c r="I274" s="1" t="s">
        <v>53</v>
      </c>
      <c r="O274" s="350"/>
      <c r="P274" s="350"/>
      <c r="R274" s="59" t="s">
        <v>73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72</v>
      </c>
      <c r="AA274" s="12" t="s">
        <v>29</v>
      </c>
      <c r="AI274" s="78"/>
    </row>
    <row r="275" spans="1:35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51</v>
      </c>
      <c r="S275" t="s">
        <v>28</v>
      </c>
      <c r="T275" s="57">
        <f t="shared" ref="T275:X276" si="52">AVERAGE(T16,T26,T36,T46,T56)</f>
        <v>0.25122333107812078</v>
      </c>
      <c r="U275" s="57">
        <f t="shared" si="52"/>
        <v>0.50976125521530913</v>
      </c>
      <c r="V275" s="57">
        <f t="shared" si="52"/>
        <v>41.518682236204192</v>
      </c>
      <c r="W275" s="57">
        <f t="shared" si="52"/>
        <v>45.801873162655717</v>
      </c>
      <c r="X275" s="57">
        <f t="shared" si="52"/>
        <v>11.918460014846655</v>
      </c>
      <c r="Z275" s="14">
        <f>AVERAGE(AE16,AE17,AE18,AE19,AE20)</f>
        <v>0.95834352572636339</v>
      </c>
      <c r="AA275" s="72">
        <f>AVERAGE(AF16,AF17,AF18,AF19,AF20)</f>
        <v>8.3125402934649574E-3</v>
      </c>
      <c r="AH275" s="78"/>
    </row>
    <row r="276" spans="1:35" x14ac:dyDescent="0.3">
      <c r="A276" t="s">
        <v>3</v>
      </c>
      <c r="B276" s="13">
        <v>0</v>
      </c>
      <c r="C276" s="26">
        <v>114</v>
      </c>
      <c r="D276" s="3">
        <v>0</v>
      </c>
      <c r="E276" s="3">
        <v>0</v>
      </c>
      <c r="F276" s="3">
        <v>1</v>
      </c>
      <c r="G276" s="4">
        <v>0</v>
      </c>
      <c r="H276" s="1">
        <f>SUM(C276:G276)</f>
        <v>115</v>
      </c>
      <c r="I276" s="10">
        <f>C276/H276</f>
        <v>0.99130434782608701</v>
      </c>
      <c r="J276" s="11">
        <f>1-I276</f>
        <v>8.6956521739129933E-3</v>
      </c>
      <c r="K276">
        <f>H276-C281</f>
        <v>1</v>
      </c>
      <c r="N276" s="10">
        <f>2*(C282*I276)/(C282+I276)</f>
        <v>0.99563318777292575</v>
      </c>
      <c r="S276" t="s">
        <v>39</v>
      </c>
      <c r="T276" s="57">
        <f t="shared" si="52"/>
        <v>2.8899004976612945E-3</v>
      </c>
      <c r="U276" s="57">
        <f t="shared" si="52"/>
        <v>0</v>
      </c>
      <c r="V276" s="57">
        <f t="shared" si="52"/>
        <v>0.38136865284171556</v>
      </c>
      <c r="W276" s="57">
        <f t="shared" si="52"/>
        <v>0.82444831372807426</v>
      </c>
      <c r="X276" s="57">
        <f t="shared" si="52"/>
        <v>0.74741685912649425</v>
      </c>
      <c r="AI276" s="78"/>
    </row>
    <row r="277" spans="1:35" x14ac:dyDescent="0.3">
      <c r="A277" t="s">
        <v>4</v>
      </c>
      <c r="B277" s="13">
        <v>1</v>
      </c>
      <c r="C277" s="5">
        <v>0</v>
      </c>
      <c r="D277" s="27">
        <v>15</v>
      </c>
      <c r="E277" s="1">
        <v>0</v>
      </c>
      <c r="F277" s="1">
        <v>0</v>
      </c>
      <c r="G277" s="6">
        <v>0</v>
      </c>
      <c r="H277" s="1">
        <f>SUM(C277:G277)</f>
        <v>15</v>
      </c>
      <c r="I277" s="10">
        <f>D277/H277</f>
        <v>1</v>
      </c>
      <c r="J277" s="11">
        <f>1-I277</f>
        <v>0</v>
      </c>
      <c r="K277">
        <f>H277-D281</f>
        <v>0</v>
      </c>
      <c r="N277" s="10">
        <f>2*(D282*I277)/(D282+I277)</f>
        <v>1</v>
      </c>
      <c r="S277" s="66" t="s">
        <v>60</v>
      </c>
      <c r="T277" s="67">
        <f>1.96*T276</f>
        <v>5.6642049754161367E-3</v>
      </c>
      <c r="U277" s="67">
        <f>1.96*U276</f>
        <v>0</v>
      </c>
      <c r="V277" s="67">
        <f>1.96*V276</f>
        <v>0.74748255956976251</v>
      </c>
      <c r="W277" s="67">
        <f>1.96*W276</f>
        <v>1.6159186949070254</v>
      </c>
      <c r="X277" s="67">
        <f>1.96*X276</f>
        <v>1.4649370438879288</v>
      </c>
      <c r="AH277" s="78"/>
    </row>
    <row r="278" spans="1:35" x14ac:dyDescent="0.3">
      <c r="A278" t="s">
        <v>5</v>
      </c>
      <c r="B278" s="13">
        <v>2</v>
      </c>
      <c r="C278" s="5">
        <v>0</v>
      </c>
      <c r="D278" s="1">
        <v>0</v>
      </c>
      <c r="E278" s="27">
        <v>178</v>
      </c>
      <c r="F278" s="1">
        <v>0</v>
      </c>
      <c r="G278" s="6">
        <v>0</v>
      </c>
      <c r="H278" s="1">
        <f>SUM(C278:G278)</f>
        <v>178</v>
      </c>
      <c r="I278" s="10">
        <f>E278/H278</f>
        <v>1</v>
      </c>
      <c r="J278" s="11">
        <f>1-I278</f>
        <v>0</v>
      </c>
      <c r="K278">
        <f>H278-E281</f>
        <v>-6</v>
      </c>
      <c r="N278" s="10">
        <f>2*(E282*I278)/(E282+I278)</f>
        <v>0.98342541436464082</v>
      </c>
      <c r="S278" t="s">
        <v>30</v>
      </c>
      <c r="T278" s="57">
        <f t="shared" ref="T278:X279" si="53">AVERAGE(T18,T28,T38,T48,T58)</f>
        <v>100</v>
      </c>
      <c r="U278" s="57">
        <f t="shared" si="53"/>
        <v>100</v>
      </c>
      <c r="V278" s="57">
        <f t="shared" si="53"/>
        <v>98.465996924738889</v>
      </c>
      <c r="W278" s="57">
        <f t="shared" si="53"/>
        <v>95.637641534858659</v>
      </c>
      <c r="X278" s="57">
        <f t="shared" si="53"/>
        <v>87.240423342405805</v>
      </c>
    </row>
    <row r="279" spans="1:35" x14ac:dyDescent="0.3">
      <c r="A279" t="s">
        <v>6</v>
      </c>
      <c r="B279" s="13">
        <v>3</v>
      </c>
      <c r="C279" s="5">
        <v>0</v>
      </c>
      <c r="D279" s="1">
        <v>0</v>
      </c>
      <c r="E279" s="1">
        <v>2</v>
      </c>
      <c r="F279" s="27">
        <v>137</v>
      </c>
      <c r="G279" s="6">
        <v>5</v>
      </c>
      <c r="H279" s="1">
        <f>SUM(C279:G279)</f>
        <v>144</v>
      </c>
      <c r="I279" s="10">
        <f>F279/H279</f>
        <v>0.95138888888888884</v>
      </c>
      <c r="J279" s="11">
        <f>1-I279</f>
        <v>4.861111111111116E-2</v>
      </c>
      <c r="K279">
        <f>H279-F281</f>
        <v>-31</v>
      </c>
      <c r="N279" s="10">
        <f>2*(F282*I279)/(F282+I279)</f>
        <v>0.85893416927899668</v>
      </c>
      <c r="S279" t="s">
        <v>39</v>
      </c>
      <c r="T279" s="57">
        <f t="shared" si="53"/>
        <v>0</v>
      </c>
      <c r="U279" s="57">
        <f t="shared" si="53"/>
        <v>0</v>
      </c>
      <c r="V279" s="57">
        <f t="shared" si="53"/>
        <v>0.90527904570805173</v>
      </c>
      <c r="W279" s="57">
        <f t="shared" si="53"/>
        <v>0.95772790288692811</v>
      </c>
      <c r="X279" s="57">
        <f t="shared" si="53"/>
        <v>5.9863344121464781</v>
      </c>
      <c r="AH279" s="78"/>
    </row>
    <row r="280" spans="1:35" x14ac:dyDescent="0.3">
      <c r="A280" t="s">
        <v>7</v>
      </c>
      <c r="B280" s="13">
        <v>4</v>
      </c>
      <c r="C280" s="7">
        <v>0</v>
      </c>
      <c r="D280" s="8">
        <v>0</v>
      </c>
      <c r="E280" s="8">
        <v>4</v>
      </c>
      <c r="F280" s="8">
        <v>37</v>
      </c>
      <c r="G280" s="28">
        <v>203</v>
      </c>
      <c r="H280" s="1">
        <f>SUM(C280:G280)</f>
        <v>244</v>
      </c>
      <c r="I280" s="10">
        <f>G280/H280</f>
        <v>0.83196721311475408</v>
      </c>
      <c r="J280" s="11">
        <f>1-I280</f>
        <v>0.16803278688524592</v>
      </c>
      <c r="K280">
        <f>H280-G281</f>
        <v>36</v>
      </c>
      <c r="N280" s="10">
        <f>2*(G282*I280)/(G282+I280)</f>
        <v>0.89823008849557517</v>
      </c>
      <c r="S280" s="66" t="s">
        <v>60</v>
      </c>
      <c r="T280" s="67">
        <f>1.96*T279</f>
        <v>0</v>
      </c>
      <c r="U280" s="67">
        <f>1.96*U279</f>
        <v>0</v>
      </c>
      <c r="V280" s="67">
        <f>1.96*V279</f>
        <v>1.7743469295877814</v>
      </c>
      <c r="W280" s="67">
        <f>1.96*W279</f>
        <v>1.8771466896583791</v>
      </c>
      <c r="X280" s="67">
        <f>1.96*X279</f>
        <v>11.733215447807098</v>
      </c>
    </row>
    <row r="281" spans="1:35" ht="15.6" x14ac:dyDescent="0.35">
      <c r="B281" s="1" t="s">
        <v>19</v>
      </c>
      <c r="C281" s="1">
        <f>SUM(C276:C280)</f>
        <v>114</v>
      </c>
      <c r="D281" s="1">
        <f>SUM(D276:D280)</f>
        <v>15</v>
      </c>
      <c r="E281" s="1">
        <f>SUM(E276:E280)</f>
        <v>184</v>
      </c>
      <c r="F281" s="1">
        <f>SUM(F276:F280)</f>
        <v>175</v>
      </c>
      <c r="G281" s="1">
        <f>SUM(G276:G280)</f>
        <v>208</v>
      </c>
      <c r="H281" s="1">
        <f>SUM(H275:H280)</f>
        <v>696</v>
      </c>
      <c r="I281" s="13" t="s">
        <v>12</v>
      </c>
      <c r="N281" s="16" t="s">
        <v>36</v>
      </c>
      <c r="S281" t="s">
        <v>31</v>
      </c>
      <c r="T281" s="57">
        <f t="shared" ref="T281:X282" si="54">AVERAGE(T20,T30,T40,T50,T60)</f>
        <v>98.434782608695656</v>
      </c>
      <c r="U281" s="57">
        <f t="shared" si="54"/>
        <v>100</v>
      </c>
      <c r="V281" s="57">
        <f t="shared" si="54"/>
        <v>100</v>
      </c>
      <c r="W281" s="57">
        <f t="shared" si="54"/>
        <v>95.694444444444457</v>
      </c>
      <c r="X281" s="57">
        <f t="shared" si="54"/>
        <v>82.540983606557376</v>
      </c>
      <c r="AH281" s="78"/>
    </row>
    <row r="282" spans="1:35" x14ac:dyDescent="0.3">
      <c r="A282" s="1" t="s">
        <v>316</v>
      </c>
      <c r="B282" s="1" t="s">
        <v>2</v>
      </c>
      <c r="C282" s="10">
        <f>C276/C281</f>
        <v>1</v>
      </c>
      <c r="D282" s="10">
        <f>D277/D281</f>
        <v>1</v>
      </c>
      <c r="E282" s="10">
        <f>E278/E281</f>
        <v>0.96739130434782605</v>
      </c>
      <c r="F282" s="10">
        <f>F279/F281</f>
        <v>0.78285714285714281</v>
      </c>
      <c r="G282" s="10">
        <f>G280/G281</f>
        <v>0.97596153846153844</v>
      </c>
      <c r="H282" s="10"/>
      <c r="I282" s="14">
        <f>(C276+D277+E278+F279+G280)/H281</f>
        <v>0.9295977011494253</v>
      </c>
      <c r="S282" t="s">
        <v>39</v>
      </c>
      <c r="T282" s="57">
        <f t="shared" si="54"/>
        <v>1.136136446680905</v>
      </c>
      <c r="U282" s="57">
        <f t="shared" si="54"/>
        <v>0</v>
      </c>
      <c r="V282" s="57">
        <f t="shared" si="54"/>
        <v>0</v>
      </c>
      <c r="W282" s="57">
        <f t="shared" si="54"/>
        <v>1.6893629213710923</v>
      </c>
      <c r="X282" s="57">
        <f t="shared" si="54"/>
        <v>2.4284215903682398</v>
      </c>
    </row>
    <row r="283" spans="1:35" x14ac:dyDescent="0.3">
      <c r="B283" s="1" t="s">
        <v>14</v>
      </c>
      <c r="C283" s="11">
        <f>1-C282</f>
        <v>0</v>
      </c>
      <c r="D283" s="11">
        <f>1-D282</f>
        <v>0</v>
      </c>
      <c r="E283" s="11">
        <f>1-E282</f>
        <v>3.2608695652173947E-2</v>
      </c>
      <c r="F283" s="11">
        <f>1-F282</f>
        <v>0.21714285714285719</v>
      </c>
      <c r="G283" s="11">
        <f>1-G282</f>
        <v>2.4038461538461564E-2</v>
      </c>
      <c r="S283" s="66" t="s">
        <v>60</v>
      </c>
      <c r="T283" s="67">
        <f>1.96*T282</f>
        <v>2.2268274354945738</v>
      </c>
      <c r="U283" s="67">
        <f>1.96*U282</f>
        <v>0</v>
      </c>
      <c r="V283" s="67">
        <f>1.96*V282</f>
        <v>0</v>
      </c>
      <c r="W283" s="67">
        <f>1.96*W282</f>
        <v>3.3111513258873408</v>
      </c>
      <c r="X283" s="67">
        <f>1.96*X282</f>
        <v>4.7597063171217497</v>
      </c>
      <c r="AH283" s="78"/>
    </row>
    <row r="284" spans="1:35" x14ac:dyDescent="0.3">
      <c r="C284" s="2"/>
      <c r="S284" t="s">
        <v>51</v>
      </c>
      <c r="T284" s="57">
        <f>AVERAGE(T22,T32,T42,T52,T62)</f>
        <v>99.21013313731784</v>
      </c>
      <c r="U284" s="57">
        <f>AVERAGE(U22,U32,U42,U52,U62)</f>
        <v>100</v>
      </c>
      <c r="V284" s="57">
        <f>AVERAGE(V22,V32,V42,V52,V62)</f>
        <v>98.56168581644468</v>
      </c>
      <c r="W284" s="57">
        <f>AVERAGE(W22,W32,W42,W52,W62)</f>
        <v>85.505909943567218</v>
      </c>
      <c r="X284" s="57">
        <f>AVERAGE(X22,X32,X42,X52,X62)</f>
        <v>89.456767841759003</v>
      </c>
    </row>
    <row r="285" spans="1:35" ht="15.6" x14ac:dyDescent="0.35">
      <c r="A285" t="s">
        <v>317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0.36995169714566317</v>
      </c>
      <c r="U285" s="57">
        <f>_xlfn.STDEV.S(U22,U32,U42,U52,U62)</f>
        <v>0</v>
      </c>
      <c r="V285" s="57">
        <f>_xlfn.STDEV.S(V22,V32,V42,V52,V62)</f>
        <v>0.40529558677645317</v>
      </c>
      <c r="W285" s="57">
        <f>_xlfn.STDEV.S(W22,W32,W42,W52,W62)</f>
        <v>1.4841817749216455</v>
      </c>
      <c r="X285" s="57">
        <f>_xlfn.STDEV.S(X22,X32,X42,X52,X62)</f>
        <v>1.3698316981582253</v>
      </c>
      <c r="AH285" s="78"/>
    </row>
    <row r="286" spans="1:35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60</v>
      </c>
      <c r="T286" s="67">
        <f>1.96*T285</f>
        <v>0.72510532640549985</v>
      </c>
      <c r="U286" s="67">
        <f>1.96*U285</f>
        <v>0</v>
      </c>
      <c r="V286" s="67">
        <f>1.96*V285</f>
        <v>0.79437935008184823</v>
      </c>
      <c r="W286" s="67">
        <f>1.96*W285</f>
        <v>2.9089962788464252</v>
      </c>
      <c r="X286" s="67">
        <f>1.96*X285</f>
        <v>2.6848701283901213</v>
      </c>
    </row>
    <row r="287" spans="1:35" x14ac:dyDescent="0.3">
      <c r="A287" t="s">
        <v>3</v>
      </c>
      <c r="B287" s="13">
        <v>0</v>
      </c>
      <c r="C287" s="29">
        <f t="shared" ref="C287:G291" si="55">(C276/$L287)*$O287</f>
        <v>0.25483688455936787</v>
      </c>
      <c r="D287" s="31">
        <f t="shared" si="55"/>
        <v>0</v>
      </c>
      <c r="E287" s="31">
        <f t="shared" si="55"/>
        <v>0</v>
      </c>
      <c r="F287" s="31">
        <f t="shared" si="55"/>
        <v>2.23541126806463E-3</v>
      </c>
      <c r="G287" s="32">
        <f t="shared" si="55"/>
        <v>0</v>
      </c>
      <c r="H287" s="17">
        <f>SUM(C287:G287)</f>
        <v>0.25707229582743252</v>
      </c>
      <c r="I287" s="17">
        <f>C287/H287*100</f>
        <v>99.130434782608688</v>
      </c>
      <c r="J287" s="17">
        <f>SQRT(I287*(100-I287)/(L287-1))</f>
        <v>0.8695652173913081</v>
      </c>
      <c r="K287" s="18">
        <f>100-I287</f>
        <v>0.86956521739131176</v>
      </c>
      <c r="L287" s="1">
        <f>H276</f>
        <v>115</v>
      </c>
      <c r="M287">
        <v>0</v>
      </c>
      <c r="N287" s="1">
        <v>160.22999999999999</v>
      </c>
      <c r="O287" s="17">
        <f>N287/N292*100</f>
        <v>0.25707229582743246</v>
      </c>
      <c r="P287" s="52">
        <f>((O287*O287*(I287/100)*(K287/100))/(L287-1))</f>
        <v>4.9970635373903595E-6</v>
      </c>
      <c r="R287" s="16" t="s">
        <v>70</v>
      </c>
      <c r="S287" t="s">
        <v>9</v>
      </c>
      <c r="T287" s="57">
        <f>AVERAGE(T23,T33,T43,T53,T63)</f>
        <v>159.078</v>
      </c>
      <c r="U287" s="57">
        <f>AVERAGE(U23,U33,U43,U53,U63)</f>
        <v>317.72800000000001</v>
      </c>
      <c r="V287" s="57">
        <f>AVERAGE(V23,V33,V43,V53,V63)</f>
        <v>25479.401999999998</v>
      </c>
      <c r="W287" s="57">
        <f>AVERAGE(W23,W33,W43,W53,W63)</f>
        <v>28525.55</v>
      </c>
      <c r="X287" s="57">
        <f>AVERAGE(X23,X33,X43,X53,X63)</f>
        <v>7847.0280000000002</v>
      </c>
      <c r="Z287" t="s">
        <v>36</v>
      </c>
      <c r="AA287" s="57">
        <f>AVERAGE(AA23,AA33,AA43,AA53,AA63)</f>
        <v>62328.786</v>
      </c>
      <c r="AH287" s="78"/>
    </row>
    <row r="288" spans="1:35" x14ac:dyDescent="0.3">
      <c r="A288" t="s">
        <v>4</v>
      </c>
      <c r="B288" s="13">
        <v>1</v>
      </c>
      <c r="C288" s="33">
        <f t="shared" si="55"/>
        <v>0</v>
      </c>
      <c r="D288" s="34">
        <f t="shared" si="55"/>
        <v>0.43615492492471775</v>
      </c>
      <c r="E288" s="19">
        <f t="shared" si="55"/>
        <v>0</v>
      </c>
      <c r="F288" s="18">
        <f t="shared" si="55"/>
        <v>0</v>
      </c>
      <c r="G288" s="20">
        <f t="shared" si="55"/>
        <v>0</v>
      </c>
      <c r="H288" s="17">
        <f>SUM(C288:G288)</f>
        <v>0.43615492492471775</v>
      </c>
      <c r="I288" s="17">
        <f>D288/H288*100</f>
        <v>100</v>
      </c>
      <c r="J288" s="17">
        <f>SQRT(I288*(100-I288)/(L288-1))</f>
        <v>0</v>
      </c>
      <c r="K288" s="18">
        <f>100-I288</f>
        <v>0</v>
      </c>
      <c r="L288" s="1">
        <f>H277</f>
        <v>15</v>
      </c>
      <c r="M288">
        <v>1</v>
      </c>
      <c r="N288" s="1">
        <v>271.85000000000002</v>
      </c>
      <c r="O288" s="17">
        <f>N288/N292*100</f>
        <v>0.43615492492471775</v>
      </c>
      <c r="P288" s="52">
        <f>((O288*O288*(I288/100)*(K288/100))/(L288-1))</f>
        <v>0</v>
      </c>
      <c r="S288" t="s">
        <v>29</v>
      </c>
      <c r="T288" s="57">
        <f>_xlfn.STDEV.S(T23,T33,T43,T53,T63)</f>
        <v>3.8723016411431592</v>
      </c>
      <c r="U288" s="57">
        <f>_xlfn.STDEV.S(U23,U33,U43,U53,U63)</f>
        <v>52.526408310486651</v>
      </c>
      <c r="V288" s="57">
        <f>_xlfn.STDEV.S(V23,V33,V43,V53,V63)</f>
        <v>436.58541944274805</v>
      </c>
      <c r="W288" s="57">
        <f>_xlfn.STDEV.S(W23,W33,W43,W53,W63)</f>
        <v>443.49927857889497</v>
      </c>
      <c r="X288" s="57">
        <f>_xlfn.STDEV.S(X23,X33,X43,X53,X63)</f>
        <v>129.41793005607835</v>
      </c>
      <c r="Z288" t="s">
        <v>29</v>
      </c>
      <c r="AA288" s="57">
        <f>_xlfn.STDEV.S(AA23,AA33,AA43,AA53,AA63)</f>
        <v>5.4772255755033174E-3</v>
      </c>
    </row>
    <row r="289" spans="1:34" x14ac:dyDescent="0.3">
      <c r="A289" t="s">
        <v>5</v>
      </c>
      <c r="B289" s="13">
        <v>2</v>
      </c>
      <c r="C289" s="33">
        <f t="shared" si="55"/>
        <v>0</v>
      </c>
      <c r="D289" s="19">
        <f t="shared" si="55"/>
        <v>0</v>
      </c>
      <c r="E289" s="34">
        <f t="shared" si="55"/>
        <v>41.412015671093776</v>
      </c>
      <c r="F289" s="19">
        <f t="shared" si="55"/>
        <v>0</v>
      </c>
      <c r="G289" s="20">
        <f t="shared" si="55"/>
        <v>0</v>
      </c>
      <c r="H289" s="17">
        <f>SUM(C289:G289)</f>
        <v>41.412015671093776</v>
      </c>
      <c r="I289" s="17">
        <f>E289/H289*100</f>
        <v>100</v>
      </c>
      <c r="J289" s="17">
        <f>SQRT(I289*(100-I289)/(L289-1))</f>
        <v>0</v>
      </c>
      <c r="K289" s="18">
        <f>100-I289</f>
        <v>0</v>
      </c>
      <c r="L289" s="1">
        <f>H278</f>
        <v>178</v>
      </c>
      <c r="M289">
        <v>2</v>
      </c>
      <c r="N289" s="1">
        <v>25811.599999999999</v>
      </c>
      <c r="O289" s="17">
        <f>N289/N292*100</f>
        <v>41.412015671093776</v>
      </c>
      <c r="P289" s="52">
        <f>((O289*O289*(I289/100)*(K289/100))/(L289-1))</f>
        <v>0</v>
      </c>
      <c r="S289" t="s">
        <v>60</v>
      </c>
      <c r="T289" s="57">
        <f>1.96*T288</f>
        <v>7.589711216640592</v>
      </c>
      <c r="U289" s="57">
        <f>1.96*U288</f>
        <v>102.95176028855383</v>
      </c>
      <c r="V289" s="57">
        <f>1.96*V288</f>
        <v>855.70742210778621</v>
      </c>
      <c r="W289" s="57">
        <f>1.96*W288</f>
        <v>869.25858601463415</v>
      </c>
      <c r="X289" s="57">
        <f>1.96*X288</f>
        <v>253.65914290991356</v>
      </c>
      <c r="AH289" s="78"/>
    </row>
    <row r="290" spans="1:34" x14ac:dyDescent="0.3">
      <c r="A290" t="s">
        <v>6</v>
      </c>
      <c r="B290" s="13">
        <v>3</v>
      </c>
      <c r="C290" s="33">
        <f t="shared" si="55"/>
        <v>0</v>
      </c>
      <c r="D290" s="19">
        <f t="shared" si="55"/>
        <v>0</v>
      </c>
      <c r="E290" s="19">
        <f t="shared" si="55"/>
        <v>0.61919105200803193</v>
      </c>
      <c r="F290" s="34">
        <f t="shared" si="55"/>
        <v>42.41458706255019</v>
      </c>
      <c r="G290" s="20">
        <f t="shared" si="55"/>
        <v>1.54797763002008</v>
      </c>
      <c r="H290" s="17">
        <f>SUM(C290:G290)</f>
        <v>44.581755744578302</v>
      </c>
      <c r="I290" s="17">
        <f>F290/H290*100</f>
        <v>95.138888888888886</v>
      </c>
      <c r="J290" s="17">
        <f>SQRT(I290*(100-I290)/(L290-1))</f>
        <v>1.7983689383153578</v>
      </c>
      <c r="K290" s="18">
        <f>100-I290</f>
        <v>4.8611111111111143</v>
      </c>
      <c r="L290" s="1">
        <f>H279</f>
        <v>144</v>
      </c>
      <c r="M290">
        <v>3</v>
      </c>
      <c r="N290" s="1">
        <v>27787.26</v>
      </c>
      <c r="O290" s="17">
        <f>N290/N292*100</f>
        <v>44.581755744578302</v>
      </c>
      <c r="P290" s="52">
        <f>((O290*O290*(I290/100)*(K290/100))/(L290-1))</f>
        <v>0.64279415904275217</v>
      </c>
      <c r="R290" s="16" t="s">
        <v>69</v>
      </c>
      <c r="S290" t="s">
        <v>9</v>
      </c>
      <c r="T290" s="57">
        <f>AVERAGE(T24,T34,T44,T54,T64)</f>
        <v>156.58445217391304</v>
      </c>
      <c r="U290" s="57">
        <f>AVERAGE(U24,U34,U44,U54,U64)</f>
        <v>317.72800000000001</v>
      </c>
      <c r="V290" s="57">
        <f>AVERAGE(V24,V34,V44,V54,V64)</f>
        <v>25878.090598588344</v>
      </c>
      <c r="W290" s="57">
        <f>AVERAGE(W24,W34,W44,W54,W64)</f>
        <v>28547.751529838839</v>
      </c>
      <c r="X290" s="57">
        <f>AVERAGE(X24,X34,X44,X54,X64)</f>
        <v>7428.6314193989074</v>
      </c>
      <c r="Z290" t="s">
        <v>36</v>
      </c>
      <c r="AA290" s="24">
        <f>SUM(T290:X290)</f>
        <v>62328.786000000007</v>
      </c>
    </row>
    <row r="291" spans="1:34" x14ac:dyDescent="0.3">
      <c r="A291" t="s">
        <v>7</v>
      </c>
      <c r="B291" s="13">
        <v>4</v>
      </c>
      <c r="C291" s="35">
        <f t="shared" si="55"/>
        <v>0</v>
      </c>
      <c r="D291" s="36">
        <f t="shared" si="55"/>
        <v>0</v>
      </c>
      <c r="E291" s="21">
        <f t="shared" si="55"/>
        <v>0.21824592399304529</v>
      </c>
      <c r="F291" s="21">
        <f t="shared" si="55"/>
        <v>2.0187747969356686</v>
      </c>
      <c r="G291" s="37">
        <f t="shared" si="55"/>
        <v>11.075980642647048</v>
      </c>
      <c r="H291" s="17">
        <f>SUM(C291:G291)</f>
        <v>13.313001363575761</v>
      </c>
      <c r="I291" s="17">
        <f>G291/H291*100</f>
        <v>83.196721311475414</v>
      </c>
      <c r="J291" s="17">
        <f>SQRT(I291*(100-I291)/(L291-1))</f>
        <v>2.398540103105788</v>
      </c>
      <c r="K291" s="18">
        <f>100-I291</f>
        <v>16.803278688524586</v>
      </c>
      <c r="L291" s="1">
        <f>H280</f>
        <v>244</v>
      </c>
      <c r="M291">
        <v>4</v>
      </c>
      <c r="N291" s="1">
        <v>8297.83</v>
      </c>
      <c r="O291" s="17">
        <f>N291/N292*100</f>
        <v>13.313001363575761</v>
      </c>
      <c r="P291" s="52">
        <f>((O291*O291*(I291/100)*(K291/100))/(L291-1))</f>
        <v>0.10196377860990444</v>
      </c>
      <c r="S291" t="s">
        <v>29</v>
      </c>
      <c r="T291" s="57">
        <f>_xlfn.STDEV.S(T24,T34,T44,T54,T64)</f>
        <v>3.799051138822358</v>
      </c>
      <c r="U291" s="57">
        <f>_xlfn.STDEV.S(U24,U34,U44,U54,U64)</f>
        <v>52.526408310486651</v>
      </c>
      <c r="V291" s="57">
        <f>_xlfn.STDEV.S(V24,V34,V44,V54,V64)</f>
        <v>542.68560637344012</v>
      </c>
      <c r="W291" s="57">
        <f>_xlfn.STDEV.S(W24,W34,W44,W54,W64)</f>
        <v>778.92898449943414</v>
      </c>
      <c r="X291" s="57">
        <f>_xlfn.STDEV.S(X24,X34,X44,X54,X64)</f>
        <v>348.11916149540104</v>
      </c>
      <c r="AH291" s="78"/>
    </row>
    <row r="292" spans="1:34" x14ac:dyDescent="0.3">
      <c r="B292" t="s">
        <v>28</v>
      </c>
      <c r="C292" s="17">
        <f>SUM(C287:C291)</f>
        <v>0.25483688455936787</v>
      </c>
      <c r="D292" s="17">
        <f>SUM(D287:D291)</f>
        <v>0.43615492492471775</v>
      </c>
      <c r="E292" s="17">
        <f>SUM(E287:E291)</f>
        <v>42.249452647094856</v>
      </c>
      <c r="F292" s="17">
        <f>SUM(F287:F291)</f>
        <v>44.435597270753924</v>
      </c>
      <c r="G292" s="17">
        <f>SUM(G287:G291)</f>
        <v>12.623958272667128</v>
      </c>
      <c r="H292" s="1">
        <f>SUM(H286:H291)</f>
        <v>99.999999999999986</v>
      </c>
      <c r="I292" s="13" t="s">
        <v>24</v>
      </c>
      <c r="J292" s="12" t="s">
        <v>29</v>
      </c>
      <c r="N292" s="1">
        <f>SUM(N287:N291)</f>
        <v>62328.770000000004</v>
      </c>
      <c r="O292" s="17">
        <f>SUM(O287:O291)</f>
        <v>99.999999999999986</v>
      </c>
      <c r="S292" s="66" t="s">
        <v>60</v>
      </c>
      <c r="T292" s="67">
        <f>1.96*T291</f>
        <v>7.446140232091822</v>
      </c>
      <c r="U292" s="67">
        <f>1.96*U291</f>
        <v>102.95176028855383</v>
      </c>
      <c r="V292" s="67">
        <f>1.96*V291</f>
        <v>1063.6637884919426</v>
      </c>
      <c r="W292" s="67">
        <f>1.96*W291</f>
        <v>1526.7008096188908</v>
      </c>
      <c r="X292" s="67">
        <f>1.96*X291</f>
        <v>682.31355653098603</v>
      </c>
    </row>
    <row r="293" spans="1:34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2.2256708676212968E-3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0.44805011667541711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0.85544136925153214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0.75110074146611594</v>
      </c>
      <c r="H293" s="1"/>
      <c r="I293" s="56">
        <f>(C287+D288+E289+F290+G291)/H292</f>
        <v>0.95593575185775126</v>
      </c>
      <c r="J293" s="53">
        <f>SQRT(SUM(P287:P291))/100</f>
        <v>8.6299648592343299E-3</v>
      </c>
      <c r="M293" s="1"/>
      <c r="N293" s="9"/>
      <c r="AH293" s="78"/>
    </row>
    <row r="294" spans="1:34" x14ac:dyDescent="0.3">
      <c r="B294" s="1" t="s">
        <v>30</v>
      </c>
      <c r="C294" s="17">
        <f>C287/C292*100</f>
        <v>100</v>
      </c>
      <c r="D294" s="17">
        <f>D288/D292*100</f>
        <v>100</v>
      </c>
      <c r="E294" s="17">
        <f>E289/E292*100</f>
        <v>98.017874969893455</v>
      </c>
      <c r="F294" s="17">
        <f>F290/F292*100</f>
        <v>95.451821664758185</v>
      </c>
      <c r="G294" s="17">
        <f>G291/G292*100</f>
        <v>87.737779256038124</v>
      </c>
      <c r="H294" s="1"/>
    </row>
    <row r="295" spans="1:34" x14ac:dyDescent="0.3">
      <c r="B295" s="16" t="s">
        <v>39</v>
      </c>
      <c r="C295" s="18">
        <f>SQRT((C298+C299)/(C292*C292))</f>
        <v>0</v>
      </c>
      <c r="D295" s="18">
        <f>SQRT((D298+D299)/(D292*D292))</f>
        <v>0</v>
      </c>
      <c r="E295" s="18">
        <f>SQRT((E298+E299)/(E292*E292))</f>
        <v>1.0430084056304847</v>
      </c>
      <c r="F295" s="18">
        <f>SQRT((F298+F299)/(F292*F292))</f>
        <v>1.0518545456838877</v>
      </c>
      <c r="G295" s="18">
        <f>SQRT((G298+G299)/(G292*G292))</f>
        <v>5.667658784261369</v>
      </c>
      <c r="H295" s="1"/>
      <c r="AH295" s="78"/>
    </row>
    <row r="296" spans="1:34" x14ac:dyDescent="0.3">
      <c r="B296" s="1" t="s">
        <v>37</v>
      </c>
      <c r="C296" s="18">
        <f>100-C294</f>
        <v>0</v>
      </c>
      <c r="D296" s="18">
        <f>100-D294</f>
        <v>0</v>
      </c>
      <c r="E296" s="18">
        <f>100-E294</f>
        <v>1.9821250301065447</v>
      </c>
      <c r="F296" s="18">
        <f>100-F294</f>
        <v>4.5481783352418148</v>
      </c>
      <c r="G296" s="18">
        <f>100-G294</f>
        <v>12.262220743961876</v>
      </c>
    </row>
    <row r="297" spans="1:34" ht="15.6" x14ac:dyDescent="0.35">
      <c r="B297" s="1" t="s">
        <v>25</v>
      </c>
      <c r="C297" s="1">
        <f>C281</f>
        <v>114</v>
      </c>
      <c r="D297" s="1">
        <f>D281</f>
        <v>15</v>
      </c>
      <c r="E297" s="1">
        <f>E281</f>
        <v>184</v>
      </c>
      <c r="F297" s="1">
        <f>F281</f>
        <v>175</v>
      </c>
      <c r="G297" s="1">
        <f>G281</f>
        <v>208</v>
      </c>
      <c r="AH297" s="78"/>
    </row>
    <row r="298" spans="1:34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0</v>
      </c>
      <c r="E298" s="18">
        <f>(O289*O289*(100-E294)*(100-E294)*(I289)*(100-I289))/((L289-1)*100)</f>
        <v>0</v>
      </c>
      <c r="F298" s="18">
        <f>(O290*O290*(100-F294)*(100-F294)*(I290)*(100-I290))/((L290-1)*100)</f>
        <v>1329.6792515927596</v>
      </c>
      <c r="G298" s="18">
        <f>(O291*O291*(100-G294)*(100-G294)*(I291)*(100-I291))/((L291-1)*100)</f>
        <v>1533.1483549769243</v>
      </c>
    </row>
    <row r="299" spans="1:34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0</v>
      </c>
      <c r="E299" s="18">
        <f>E294*E294*(SUM((H287*E287*(1-E276/H276))/(H276-1),(H288*E288*(1-E277/H277))/(H277-1), (H290*E290*(1-E279/H279))/(H279-1),(H291*E291*(1-E280/H280))/(H280-1)))</f>
        <v>1941.859440295874</v>
      </c>
      <c r="F299" s="18">
        <f>F294*F294*(SUM((H287*F287*(1-F276/H276))/(H276-1),(H288*F288*(1-F277/H277))/(H277-1), (H289*F289*(1-F278/H278))/(H278-1),(H291*F291*(1-F280/H280))/(H280-1)))</f>
        <v>854.92824832975634</v>
      </c>
      <c r="G299" s="18">
        <f>G294*G294*(SUM((H287*G287*(1-G276/H276))/(H276-1),(H288*G288*(1-G277/H277))/(H277-1), (H289*G289*(1-G278/H278))/(H278-1),(H290*G290*(1-G279/H279))/(H279-1)))</f>
        <v>3586.0091602146631</v>
      </c>
      <c r="AH299" s="78"/>
    </row>
    <row r="301" spans="1:34" x14ac:dyDescent="0.3">
      <c r="AH301" s="78"/>
    </row>
    <row r="302" spans="1:34" x14ac:dyDescent="0.3">
      <c r="A302" s="348">
        <v>1977</v>
      </c>
      <c r="B302" s="348"/>
      <c r="C302" s="348"/>
      <c r="D302" s="348"/>
      <c r="E302" s="348"/>
      <c r="F302" s="348"/>
      <c r="G302" s="348"/>
      <c r="H302" s="348"/>
      <c r="I302" s="348"/>
      <c r="J302" s="348"/>
      <c r="K302" s="348"/>
      <c r="L302" s="348" t="s">
        <v>83</v>
      </c>
      <c r="M302" s="348"/>
      <c r="N302" s="348"/>
      <c r="O302" s="348"/>
      <c r="P302" s="348"/>
    </row>
    <row r="303" spans="1:34" x14ac:dyDescent="0.3">
      <c r="A303" t="s">
        <v>315</v>
      </c>
      <c r="B303" t="s">
        <v>21</v>
      </c>
      <c r="I303" s="1" t="s">
        <v>53</v>
      </c>
      <c r="O303" s="350"/>
      <c r="P303" s="350"/>
      <c r="AH303" s="78"/>
    </row>
    <row r="304" spans="1:34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51</v>
      </c>
    </row>
    <row r="305" spans="1:34" x14ac:dyDescent="0.3">
      <c r="A305" t="s">
        <v>3</v>
      </c>
      <c r="B305" s="13">
        <v>0</v>
      </c>
      <c r="C305" s="26">
        <v>114</v>
      </c>
      <c r="D305" s="3">
        <v>0</v>
      </c>
      <c r="E305" s="3">
        <v>0</v>
      </c>
      <c r="F305" s="3">
        <v>1</v>
      </c>
      <c r="G305" s="4">
        <v>0</v>
      </c>
      <c r="H305" s="1">
        <f>SUM(C305:G305)</f>
        <v>115</v>
      </c>
      <c r="I305" s="10">
        <f>C305/H305</f>
        <v>0.99130434782608701</v>
      </c>
      <c r="J305" s="11">
        <f>1-I305</f>
        <v>8.6956521739129933E-3</v>
      </c>
      <c r="K305">
        <f>H305-C310</f>
        <v>1</v>
      </c>
      <c r="N305" s="10">
        <f>2*(C311*I305)/(C311+I305)</f>
        <v>0.99563318777292575</v>
      </c>
      <c r="AH305" s="78"/>
    </row>
    <row r="306" spans="1:34" x14ac:dyDescent="0.3">
      <c r="A306" t="s">
        <v>4</v>
      </c>
      <c r="B306" s="13">
        <v>1</v>
      </c>
      <c r="C306" s="5">
        <v>0</v>
      </c>
      <c r="D306" s="27">
        <v>15</v>
      </c>
      <c r="E306" s="1">
        <v>0</v>
      </c>
      <c r="F306" s="1">
        <v>0</v>
      </c>
      <c r="G306" s="6">
        <v>0</v>
      </c>
      <c r="H306" s="1">
        <f>SUM(C306:G306)</f>
        <v>15</v>
      </c>
      <c r="I306" s="10">
        <f>D306/H306</f>
        <v>1</v>
      </c>
      <c r="J306" s="11">
        <f>1-I306</f>
        <v>0</v>
      </c>
      <c r="K306">
        <f>H306-D310</f>
        <v>0</v>
      </c>
      <c r="N306" s="10">
        <f>2*(D311*I306)/(D311+I306)</f>
        <v>1</v>
      </c>
    </row>
    <row r="307" spans="1:34" x14ac:dyDescent="0.3">
      <c r="A307" t="s">
        <v>5</v>
      </c>
      <c r="B307" s="13">
        <v>2</v>
      </c>
      <c r="C307" s="5">
        <v>0</v>
      </c>
      <c r="D307" s="1">
        <v>0</v>
      </c>
      <c r="E307" s="27">
        <v>178</v>
      </c>
      <c r="F307" s="1">
        <v>0</v>
      </c>
      <c r="G307" s="6">
        <v>0</v>
      </c>
      <c r="H307" s="1">
        <f>SUM(C307:G307)</f>
        <v>178</v>
      </c>
      <c r="I307" s="10">
        <f>E307/H307</f>
        <v>1</v>
      </c>
      <c r="J307" s="11">
        <f>1-I307</f>
        <v>0</v>
      </c>
      <c r="K307">
        <f>H307-E310</f>
        <v>-6</v>
      </c>
      <c r="N307" s="10">
        <f>2*(E311*I307)/(E311+I307)</f>
        <v>0.98342541436464082</v>
      </c>
      <c r="AH307" s="78"/>
    </row>
    <row r="308" spans="1:34" x14ac:dyDescent="0.3">
      <c r="A308" t="s">
        <v>6</v>
      </c>
      <c r="B308" s="13">
        <v>3</v>
      </c>
      <c r="C308" s="5">
        <v>0</v>
      </c>
      <c r="D308" s="1">
        <v>0</v>
      </c>
      <c r="E308" s="1">
        <v>2</v>
      </c>
      <c r="F308" s="27">
        <v>138</v>
      </c>
      <c r="G308" s="6">
        <v>4</v>
      </c>
      <c r="H308" s="1">
        <f>SUM(C308:G308)</f>
        <v>144</v>
      </c>
      <c r="I308" s="10">
        <f>F308/H308</f>
        <v>0.95833333333333337</v>
      </c>
      <c r="J308" s="11">
        <f>1-I308</f>
        <v>4.166666666666663E-2</v>
      </c>
      <c r="K308">
        <f>H308-F310</f>
        <v>-35</v>
      </c>
      <c r="N308" s="10">
        <f>2*(F311*I308)/(F311+I308)</f>
        <v>0.8544891640866874</v>
      </c>
    </row>
    <row r="309" spans="1:34" x14ac:dyDescent="0.3">
      <c r="A309" t="s">
        <v>7</v>
      </c>
      <c r="B309" s="13">
        <v>4</v>
      </c>
      <c r="C309" s="7">
        <v>0</v>
      </c>
      <c r="D309" s="8">
        <v>0</v>
      </c>
      <c r="E309" s="8">
        <v>4</v>
      </c>
      <c r="F309" s="8">
        <v>40</v>
      </c>
      <c r="G309" s="28">
        <v>200</v>
      </c>
      <c r="H309" s="1">
        <f>SUM(C309:G309)</f>
        <v>244</v>
      </c>
      <c r="I309" s="10">
        <f>G309/H309</f>
        <v>0.81967213114754101</v>
      </c>
      <c r="J309" s="11">
        <f>1-I309</f>
        <v>0.18032786885245899</v>
      </c>
      <c r="K309">
        <f>H309-G310</f>
        <v>40</v>
      </c>
      <c r="N309" s="10">
        <f>2*(G311*I309)/(G311+I309)</f>
        <v>0.89285714285714279</v>
      </c>
      <c r="AH309" s="78"/>
    </row>
    <row r="310" spans="1:34" ht="15.6" x14ac:dyDescent="0.35">
      <c r="B310" s="1" t="s">
        <v>19</v>
      </c>
      <c r="C310" s="1">
        <f>SUM(C305:C309)</f>
        <v>114</v>
      </c>
      <c r="D310" s="1">
        <f>SUM(D305:D309)</f>
        <v>15</v>
      </c>
      <c r="E310" s="1">
        <f>SUM(E305:E309)</f>
        <v>184</v>
      </c>
      <c r="F310" s="1">
        <f>SUM(F305:F309)</f>
        <v>179</v>
      </c>
      <c r="G310" s="1">
        <f>SUM(G305:G309)</f>
        <v>204</v>
      </c>
      <c r="H310" s="1">
        <f>SUM(H304:H309)</f>
        <v>696</v>
      </c>
      <c r="I310" s="13" t="s">
        <v>12</v>
      </c>
      <c r="N310" s="16" t="s">
        <v>36</v>
      </c>
    </row>
    <row r="311" spans="1:34" x14ac:dyDescent="0.3">
      <c r="A311" s="1" t="s">
        <v>316</v>
      </c>
      <c r="B311" s="1" t="s">
        <v>2</v>
      </c>
      <c r="C311" s="10">
        <f>C305/C310</f>
        <v>1</v>
      </c>
      <c r="D311" s="10">
        <f>D306/D310</f>
        <v>1</v>
      </c>
      <c r="E311" s="10">
        <f>E307/E310</f>
        <v>0.96739130434782605</v>
      </c>
      <c r="F311" s="10">
        <f>F308/F310</f>
        <v>0.77094972067039103</v>
      </c>
      <c r="G311" s="10">
        <f>G309/G310</f>
        <v>0.98039215686274506</v>
      </c>
      <c r="H311" s="10"/>
      <c r="I311" s="14">
        <f>(C305+D306+E307+F308+G309)/H310</f>
        <v>0.92672413793103448</v>
      </c>
      <c r="AH311" s="78"/>
    </row>
    <row r="312" spans="1:34" x14ac:dyDescent="0.3">
      <c r="B312" s="1" t="s">
        <v>14</v>
      </c>
      <c r="C312" s="11">
        <f>1-C311</f>
        <v>0</v>
      </c>
      <c r="D312" s="11">
        <f>1-D311</f>
        <v>0</v>
      </c>
      <c r="E312" s="11">
        <f>1-E311</f>
        <v>3.2608695652173947E-2</v>
      </c>
      <c r="F312" s="11">
        <f>1-F311</f>
        <v>0.22905027932960897</v>
      </c>
      <c r="G312" s="11">
        <f>1-G311</f>
        <v>1.9607843137254943E-2</v>
      </c>
      <c r="Q312" s="25"/>
    </row>
    <row r="313" spans="1:34" x14ac:dyDescent="0.3">
      <c r="C313" s="2"/>
      <c r="Q313" s="25"/>
      <c r="AH313" s="78"/>
    </row>
    <row r="314" spans="1:34" ht="15.6" x14ac:dyDescent="0.35">
      <c r="A314" t="s">
        <v>317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34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</row>
    <row r="316" spans="1:34" x14ac:dyDescent="0.3">
      <c r="A316" t="s">
        <v>3</v>
      </c>
      <c r="B316" s="13">
        <v>0</v>
      </c>
      <c r="C316" s="29">
        <f t="shared" ref="C316:G320" si="56">(C305/$L316)*$O316</f>
        <v>0.26628804054326394</v>
      </c>
      <c r="D316" s="31">
        <f t="shared" si="56"/>
        <v>0</v>
      </c>
      <c r="E316" s="31">
        <f t="shared" si="56"/>
        <v>0</v>
      </c>
      <c r="F316" s="31">
        <f t="shared" si="56"/>
        <v>2.3358600047654727E-3</v>
      </c>
      <c r="G316" s="32">
        <f t="shared" si="56"/>
        <v>0</v>
      </c>
      <c r="H316" s="17">
        <f>SUM(C316:G316)</f>
        <v>0.26862390054802943</v>
      </c>
      <c r="I316" s="17">
        <f>C316/H316*100</f>
        <v>99.130434782608688</v>
      </c>
      <c r="J316" s="17">
        <f>SQRT(I316*(100-I316)/(L316-1))</f>
        <v>0.8695652173913081</v>
      </c>
      <c r="K316" s="18">
        <f>100-I316</f>
        <v>0.86956521739131176</v>
      </c>
      <c r="L316" s="1">
        <f>H305</f>
        <v>115</v>
      </c>
      <c r="M316">
        <v>0</v>
      </c>
      <c r="N316" s="1">
        <v>167.43</v>
      </c>
      <c r="O316" s="17">
        <f>N316/N321*100</f>
        <v>0.26862390054802937</v>
      </c>
      <c r="P316" s="52">
        <f>((O316*O316*(I316/100)*(K316/100))/(L316-1))</f>
        <v>5.4562419618630008E-6</v>
      </c>
    </row>
    <row r="317" spans="1:34" x14ac:dyDescent="0.3">
      <c r="A317" t="s">
        <v>4</v>
      </c>
      <c r="B317" s="13">
        <v>1</v>
      </c>
      <c r="C317" s="33">
        <f t="shared" si="56"/>
        <v>0</v>
      </c>
      <c r="D317" s="34">
        <f t="shared" si="56"/>
        <v>0.54881549101394256</v>
      </c>
      <c r="E317" s="19">
        <f t="shared" si="56"/>
        <v>0</v>
      </c>
      <c r="F317" s="18">
        <f t="shared" si="56"/>
        <v>0</v>
      </c>
      <c r="G317" s="20">
        <f t="shared" si="56"/>
        <v>0</v>
      </c>
      <c r="H317" s="17">
        <f>SUM(C317:G317)</f>
        <v>0.54881549101394256</v>
      </c>
      <c r="I317" s="17">
        <f>D317/H317*100</f>
        <v>100</v>
      </c>
      <c r="J317" s="17">
        <f>SQRT(I317*(100-I317)/(L317-1))</f>
        <v>0</v>
      </c>
      <c r="K317" s="18">
        <f>100-I317</f>
        <v>0</v>
      </c>
      <c r="L317" s="1">
        <f>H306</f>
        <v>15</v>
      </c>
      <c r="M317">
        <v>1</v>
      </c>
      <c r="N317" s="1">
        <v>342.07</v>
      </c>
      <c r="O317" s="17">
        <f>N317/N321*100</f>
        <v>0.54881549101394256</v>
      </c>
      <c r="P317" s="52">
        <f>((O317*O317*(I317/100)*(K317/100))/(L317-1))</f>
        <v>0</v>
      </c>
    </row>
    <row r="318" spans="1:34" x14ac:dyDescent="0.3">
      <c r="A318" t="s">
        <v>5</v>
      </c>
      <c r="B318" s="13">
        <v>2</v>
      </c>
      <c r="C318" s="33">
        <f t="shared" si="56"/>
        <v>0</v>
      </c>
      <c r="D318" s="19">
        <f t="shared" si="56"/>
        <v>0</v>
      </c>
      <c r="E318" s="34">
        <f t="shared" si="56"/>
        <v>40.156682033564586</v>
      </c>
      <c r="F318" s="19">
        <f t="shared" si="56"/>
        <v>0</v>
      </c>
      <c r="G318" s="20">
        <f t="shared" si="56"/>
        <v>0</v>
      </c>
      <c r="H318" s="17">
        <f>SUM(C318:G318)</f>
        <v>40.156682033564586</v>
      </c>
      <c r="I318" s="17">
        <f>E318/H318*100</f>
        <v>100</v>
      </c>
      <c r="J318" s="17">
        <f>SQRT(I318*(100-I318)/(L318-1))</f>
        <v>0</v>
      </c>
      <c r="K318" s="18">
        <f>100-I318</f>
        <v>0</v>
      </c>
      <c r="L318" s="1">
        <f>H307</f>
        <v>178</v>
      </c>
      <c r="M318">
        <v>2</v>
      </c>
      <c r="N318" s="1">
        <v>25029.17</v>
      </c>
      <c r="O318" s="17">
        <f>N318/N321*100</f>
        <v>40.156682033564586</v>
      </c>
      <c r="P318" s="52">
        <f>((O318*O318*(I318/100)*(K318/100))/(L318-1))</f>
        <v>0</v>
      </c>
    </row>
    <row r="319" spans="1:34" x14ac:dyDescent="0.3">
      <c r="A319" t="s">
        <v>6</v>
      </c>
      <c r="B319" s="13">
        <v>3</v>
      </c>
      <c r="C319" s="33">
        <f t="shared" si="56"/>
        <v>0</v>
      </c>
      <c r="D319" s="19">
        <f t="shared" si="56"/>
        <v>0</v>
      </c>
      <c r="E319" s="19">
        <f t="shared" si="56"/>
        <v>0.64468969587118863</v>
      </c>
      <c r="F319" s="34">
        <f t="shared" si="56"/>
        <v>44.483589015112017</v>
      </c>
      <c r="G319" s="20">
        <f t="shared" si="56"/>
        <v>1.2893793917423773</v>
      </c>
      <c r="H319" s="17">
        <f>SUM(C319:G319)</f>
        <v>46.417658102725582</v>
      </c>
      <c r="I319" s="17">
        <f>F319/H319*100</f>
        <v>95.833333333333343</v>
      </c>
      <c r="J319" s="17">
        <f>SQRT(I319*(100-I319)/(L319-1))</f>
        <v>1.6710315802959967</v>
      </c>
      <c r="K319" s="18">
        <f>100-I319</f>
        <v>4.1666666666666572</v>
      </c>
      <c r="L319" s="1">
        <f>H308</f>
        <v>144</v>
      </c>
      <c r="M319">
        <v>3</v>
      </c>
      <c r="N319" s="1">
        <v>28931.56</v>
      </c>
      <c r="O319" s="17">
        <f>N319/N321*100</f>
        <v>46.417658102725582</v>
      </c>
      <c r="P319" s="52">
        <f>((O319*O319*(I319/100)*(K319/100))/(L319-1))</f>
        <v>0.60163870223940108</v>
      </c>
    </row>
    <row r="320" spans="1:34" x14ac:dyDescent="0.3">
      <c r="A320" t="s">
        <v>7</v>
      </c>
      <c r="B320" s="13">
        <v>4</v>
      </c>
      <c r="C320" s="35">
        <f t="shared" si="56"/>
        <v>0</v>
      </c>
      <c r="D320" s="36">
        <f t="shared" si="56"/>
        <v>0</v>
      </c>
      <c r="E320" s="21">
        <f t="shared" si="56"/>
        <v>0.20669213888766985</v>
      </c>
      <c r="F320" s="21">
        <f t="shared" si="56"/>
        <v>2.0669213888766982</v>
      </c>
      <c r="G320" s="37">
        <f t="shared" si="56"/>
        <v>10.334606944383491</v>
      </c>
      <c r="H320" s="17">
        <f>SUM(C320:G320)</f>
        <v>12.60822047214786</v>
      </c>
      <c r="I320" s="17">
        <f>G320/H320*100</f>
        <v>81.967213114754102</v>
      </c>
      <c r="J320" s="17">
        <f>SQRT(I320*(100-I320)/(L320-1))</f>
        <v>2.4663140269083059</v>
      </c>
      <c r="K320" s="18">
        <f>100-I320</f>
        <v>18.032786885245898</v>
      </c>
      <c r="L320" s="1">
        <f>H309</f>
        <v>244</v>
      </c>
      <c r="M320">
        <v>4</v>
      </c>
      <c r="N320" s="1">
        <v>7858.55</v>
      </c>
      <c r="O320" s="17">
        <f>N320/N321*100</f>
        <v>12.60822047214786</v>
      </c>
      <c r="P320" s="52">
        <f>((O320*O320*(I320/100)*(K320/100))/(L320-1))</f>
        <v>9.6695070587974816E-2</v>
      </c>
    </row>
    <row r="321" spans="1:16" x14ac:dyDescent="0.3">
      <c r="B321" t="s">
        <v>28</v>
      </c>
      <c r="C321" s="17">
        <f t="shared" ref="C321:H321" si="57">SUM(C316:C320)</f>
        <v>0.26628804054326394</v>
      </c>
      <c r="D321" s="17">
        <f t="shared" si="57"/>
        <v>0.54881549101394256</v>
      </c>
      <c r="E321" s="17">
        <f t="shared" si="57"/>
        <v>41.00806386832344</v>
      </c>
      <c r="F321" s="17">
        <f t="shared" si="57"/>
        <v>46.55284626399348</v>
      </c>
      <c r="G321" s="17">
        <f t="shared" si="57"/>
        <v>11.623986336125869</v>
      </c>
      <c r="H321" s="18">
        <f t="shared" si="57"/>
        <v>100</v>
      </c>
      <c r="I321" s="13" t="s">
        <v>24</v>
      </c>
      <c r="J321" s="12" t="s">
        <v>29</v>
      </c>
      <c r="N321" s="1">
        <f>SUM(N316:N320)</f>
        <v>62328.78</v>
      </c>
      <c r="O321" s="17">
        <f>SUM(O316:O320)</f>
        <v>100</v>
      </c>
    </row>
    <row r="322" spans="1:16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2.3256819171128683E-3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0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0.46414592532975923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0.82871062272724294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0.70737433501234448</v>
      </c>
      <c r="H322" s="1"/>
      <c r="I322" s="14">
        <f>(C316+D317+E318+F319+G320)/H321</f>
        <v>0.95789981524617307</v>
      </c>
      <c r="J322" s="53">
        <f>SQRT(SUM(P316:P320))/100</f>
        <v>8.3566693668550626E-3</v>
      </c>
      <c r="M322" s="1"/>
      <c r="N322" s="9"/>
    </row>
    <row r="323" spans="1:16" x14ac:dyDescent="0.3">
      <c r="B323" s="1" t="s">
        <v>30</v>
      </c>
      <c r="C323" s="17">
        <f>C316/C321*100</f>
        <v>100</v>
      </c>
      <c r="D323" s="17">
        <f>D317/D321*100</f>
        <v>100</v>
      </c>
      <c r="E323" s="17">
        <f>E318/E321*100</f>
        <v>97.923867272806064</v>
      </c>
      <c r="F323" s="17">
        <f>F319/F321*100</f>
        <v>95.555036018319811</v>
      </c>
      <c r="G323" s="17">
        <f>G320/G321*100</f>
        <v>88.907597149050744</v>
      </c>
      <c r="H323" s="1"/>
    </row>
    <row r="324" spans="1:16" x14ac:dyDescent="0.3">
      <c r="B324" s="16" t="s">
        <v>39</v>
      </c>
      <c r="C324" s="18">
        <f>SQRT((C327+C328)/(C321*C321))</f>
        <v>0</v>
      </c>
      <c r="D324" s="18">
        <f>SQRT((D327+D328)/(D321*D321))</f>
        <v>0</v>
      </c>
      <c r="E324" s="18">
        <f>SQRT((E327+E328)/(E321*E321))</f>
        <v>1.11213317909025</v>
      </c>
      <c r="F324" s="18">
        <f>SQRT((F327+F328)/(F321*F321))</f>
        <v>0.9624427917859506</v>
      </c>
      <c r="G324" s="18">
        <f>SQRT((G327+G328)/(G321*G321))</f>
        <v>5.7105107361761256</v>
      </c>
      <c r="H324" s="1"/>
      <c r="I324" s="14"/>
    </row>
    <row r="325" spans="1:16" x14ac:dyDescent="0.3">
      <c r="B325" s="1" t="s">
        <v>37</v>
      </c>
      <c r="C325" s="18">
        <f>100-C323</f>
        <v>0</v>
      </c>
      <c r="D325" s="18">
        <f>100-D323</f>
        <v>0</v>
      </c>
      <c r="E325" s="18">
        <f>100-E323</f>
        <v>2.0761327271939365</v>
      </c>
      <c r="F325" s="18">
        <f>100-F323</f>
        <v>4.4449639816801891</v>
      </c>
      <c r="G325" s="18">
        <f>100-G323</f>
        <v>11.092402850949256</v>
      </c>
    </row>
    <row r="326" spans="1:16" ht="15.6" x14ac:dyDescent="0.35">
      <c r="B326" s="1" t="s">
        <v>25</v>
      </c>
      <c r="C326" s="1">
        <f>C310</f>
        <v>114</v>
      </c>
      <c r="D326" s="1">
        <f>D310</f>
        <v>15</v>
      </c>
      <c r="E326" s="1">
        <f>E310</f>
        <v>184</v>
      </c>
      <c r="F326" s="1">
        <f>F310</f>
        <v>179</v>
      </c>
      <c r="G326" s="1">
        <f>G310</f>
        <v>204</v>
      </c>
    </row>
    <row r="327" spans="1:16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0</v>
      </c>
      <c r="E327" s="18">
        <f>(O318*O318*(100-E323)*(100-E323)*(I318)*(100-I318))/((L318-1)*100)</f>
        <v>0</v>
      </c>
      <c r="F327" s="18">
        <f>(O319*O319*(100-F323)*(100-F323)*(I319)*(100-I319))/((L319-1)*100)</f>
        <v>1188.6999874159139</v>
      </c>
      <c r="G327" s="18">
        <f>(O320*O320*(100-G323)*(100-G323)*(I320)*(100-I320))/((L320-1)*100)</f>
        <v>1189.7496955687432</v>
      </c>
    </row>
    <row r="328" spans="1:16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0</v>
      </c>
      <c r="E328" s="18">
        <f>E323*E323*(SUM((H316*E316*(1-E305/H305))/(H305-1),(H317*E317*(1-E306/H306))/(H306-1), (H319*E319*(1-E308/H308))/(H308-1),(H320*E320*(1-E309/H309))/(H309-1)))</f>
        <v>2079.9463148899863</v>
      </c>
      <c r="F328" s="18">
        <f>F323*F323*(SUM((H316*F316*(1-F305/H305))/(H305-1),(H317*F317*(1-F306/H306))/(H306-1), (H318*F318*(1-F307/H307))/(H307-1),(H320*F320*(1-F309/H309))/(H309-1)))</f>
        <v>818.7388710198145</v>
      </c>
      <c r="G328" s="18">
        <f>G323*G323*(SUM((H316*G316*(1-G305/H305))/(H305-1),(H317*G317*(1-G306/H306))/(H306-1), (H318*G318*(1-G307/H307))/(H307-1),(H319*G319*(1-G308/H308))/(H308-1)))</f>
        <v>3216.4085062975691</v>
      </c>
    </row>
    <row r="331" spans="1:16" x14ac:dyDescent="0.3">
      <c r="A331" s="348">
        <v>1977</v>
      </c>
      <c r="B331" s="348"/>
      <c r="C331" s="348"/>
      <c r="D331" s="348"/>
      <c r="E331" s="348"/>
      <c r="F331" s="348"/>
      <c r="G331" s="348"/>
      <c r="H331" s="348"/>
      <c r="I331" s="348"/>
      <c r="J331" s="348"/>
      <c r="K331" s="348"/>
      <c r="L331" s="348" t="s">
        <v>84</v>
      </c>
      <c r="M331" s="348"/>
      <c r="N331" s="348"/>
      <c r="O331" s="348"/>
      <c r="P331" s="348"/>
    </row>
    <row r="332" spans="1:16" x14ac:dyDescent="0.3">
      <c r="A332" t="s">
        <v>315</v>
      </c>
      <c r="B332" t="s">
        <v>21</v>
      </c>
      <c r="I332" s="1" t="s">
        <v>53</v>
      </c>
      <c r="O332" s="350"/>
      <c r="P332" s="350"/>
    </row>
    <row r="333" spans="1:16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51</v>
      </c>
    </row>
    <row r="334" spans="1:16" x14ac:dyDescent="0.3">
      <c r="A334" t="s">
        <v>3</v>
      </c>
      <c r="B334" s="13">
        <v>0</v>
      </c>
      <c r="C334" s="26">
        <v>114</v>
      </c>
      <c r="D334" s="3">
        <v>0</v>
      </c>
      <c r="E334" s="3">
        <v>0</v>
      </c>
      <c r="F334" s="3">
        <v>1</v>
      </c>
      <c r="G334" s="4">
        <v>0</v>
      </c>
      <c r="H334" s="1">
        <f>SUM(C334:G334)</f>
        <v>115</v>
      </c>
      <c r="I334" s="10">
        <f>C334/H334</f>
        <v>0.99130434782608701</v>
      </c>
      <c r="J334" s="11">
        <f>1-I334</f>
        <v>8.6956521739129933E-3</v>
      </c>
      <c r="K334">
        <f>H334-C339</f>
        <v>1</v>
      </c>
      <c r="N334" s="10">
        <f>2*(C340*I334)/(C340+I334)</f>
        <v>0.99563318777292575</v>
      </c>
    </row>
    <row r="335" spans="1:16" x14ac:dyDescent="0.3">
      <c r="A335" t="s">
        <v>4</v>
      </c>
      <c r="B335" s="13">
        <v>1</v>
      </c>
      <c r="C335" s="5">
        <v>0</v>
      </c>
      <c r="D335" s="27">
        <v>15</v>
      </c>
      <c r="E335" s="1">
        <v>0</v>
      </c>
      <c r="F335" s="1">
        <v>0</v>
      </c>
      <c r="G335" s="6">
        <v>0</v>
      </c>
      <c r="H335" s="1">
        <f>SUM(C335:G335)</f>
        <v>15</v>
      </c>
      <c r="I335" s="10">
        <f>D335/H335</f>
        <v>1</v>
      </c>
      <c r="J335" s="11">
        <f>1-I335</f>
        <v>0</v>
      </c>
      <c r="K335">
        <f>H335-D339</f>
        <v>0</v>
      </c>
      <c r="N335" s="10">
        <f>2*(D340*I335)/(D340+I335)</f>
        <v>1</v>
      </c>
    </row>
    <row r="336" spans="1:16" x14ac:dyDescent="0.3">
      <c r="A336" t="s">
        <v>5</v>
      </c>
      <c r="B336" s="13">
        <v>2</v>
      </c>
      <c r="C336" s="5">
        <v>0</v>
      </c>
      <c r="D336" s="1">
        <v>0</v>
      </c>
      <c r="E336" s="27">
        <v>178</v>
      </c>
      <c r="F336" s="1">
        <v>0</v>
      </c>
      <c r="G336" s="6">
        <v>0</v>
      </c>
      <c r="H336" s="1">
        <f>SUM(C336:G336)</f>
        <v>178</v>
      </c>
      <c r="I336" s="10">
        <f>E336/H336</f>
        <v>1</v>
      </c>
      <c r="J336" s="11">
        <f>1-I336</f>
        <v>0</v>
      </c>
      <c r="K336">
        <f>H336-E339</f>
        <v>-4</v>
      </c>
      <c r="N336" s="10">
        <f>2*(E340*I336)/(E340+I336)</f>
        <v>0.98888888888888882</v>
      </c>
    </row>
    <row r="337" spans="1:16" x14ac:dyDescent="0.3">
      <c r="A337" t="s">
        <v>6</v>
      </c>
      <c r="B337" s="13">
        <v>3</v>
      </c>
      <c r="C337" s="5">
        <v>0</v>
      </c>
      <c r="D337" s="1">
        <v>0</v>
      </c>
      <c r="E337" s="1">
        <v>1</v>
      </c>
      <c r="F337" s="27">
        <v>138</v>
      </c>
      <c r="G337" s="6">
        <v>5</v>
      </c>
      <c r="H337" s="1">
        <f>SUM(C337:G337)</f>
        <v>144</v>
      </c>
      <c r="I337" s="10">
        <f>F337/H337</f>
        <v>0.95833333333333337</v>
      </c>
      <c r="J337" s="11">
        <f>1-I337</f>
        <v>4.166666666666663E-2</v>
      </c>
      <c r="K337">
        <f>H337-F339</f>
        <v>-41</v>
      </c>
      <c r="N337" s="10">
        <f>2*(F340*I337)/(F340+I337)</f>
        <v>0.83890577507598785</v>
      </c>
    </row>
    <row r="338" spans="1:16" x14ac:dyDescent="0.3">
      <c r="A338" t="s">
        <v>7</v>
      </c>
      <c r="B338" s="13">
        <v>4</v>
      </c>
      <c r="C338" s="7">
        <v>0</v>
      </c>
      <c r="D338" s="8">
        <v>0</v>
      </c>
      <c r="E338" s="8">
        <v>3</v>
      </c>
      <c r="F338" s="8">
        <v>46</v>
      </c>
      <c r="G338" s="28">
        <v>195</v>
      </c>
      <c r="H338" s="1">
        <f>SUM(C338:G338)</f>
        <v>244</v>
      </c>
      <c r="I338" s="10">
        <f>G338/H338</f>
        <v>0.79918032786885251</v>
      </c>
      <c r="J338" s="11">
        <f>1-I338</f>
        <v>0.20081967213114749</v>
      </c>
      <c r="K338">
        <f>H338-G339</f>
        <v>44</v>
      </c>
      <c r="N338" s="10">
        <f>2*(G340*I338)/(G340+I338)</f>
        <v>0.8783783783783784</v>
      </c>
    </row>
    <row r="339" spans="1:16" ht="15.6" x14ac:dyDescent="0.35">
      <c r="B339" s="1" t="s">
        <v>19</v>
      </c>
      <c r="C339" s="1">
        <f>SUM(C334:C338)</f>
        <v>114</v>
      </c>
      <c r="D339" s="1">
        <f>SUM(D334:D338)</f>
        <v>15</v>
      </c>
      <c r="E339" s="1">
        <f>SUM(E334:E338)</f>
        <v>182</v>
      </c>
      <c r="F339" s="1">
        <f>SUM(F334:F338)</f>
        <v>185</v>
      </c>
      <c r="G339" s="1">
        <f>SUM(G334:G338)</f>
        <v>200</v>
      </c>
      <c r="H339" s="1">
        <f>SUM(H333:H338)</f>
        <v>696</v>
      </c>
      <c r="I339" s="13" t="s">
        <v>12</v>
      </c>
      <c r="N339" s="16" t="s">
        <v>36</v>
      </c>
    </row>
    <row r="340" spans="1:16" x14ac:dyDescent="0.3">
      <c r="A340" s="1" t="s">
        <v>316</v>
      </c>
      <c r="B340" s="1" t="s">
        <v>2</v>
      </c>
      <c r="C340" s="10">
        <f>C334/C339</f>
        <v>1</v>
      </c>
      <c r="D340" s="10">
        <f>D335/D339</f>
        <v>1</v>
      </c>
      <c r="E340" s="10">
        <f>E336/E339</f>
        <v>0.97802197802197799</v>
      </c>
      <c r="F340" s="10">
        <f>F337/F339</f>
        <v>0.74594594594594599</v>
      </c>
      <c r="G340" s="10">
        <f>G338/G339</f>
        <v>0.97499999999999998</v>
      </c>
      <c r="H340" s="10"/>
      <c r="I340" s="14">
        <f>(C334+D335+E336+F337+G338)/H339</f>
        <v>0.91954022988505746</v>
      </c>
    </row>
    <row r="341" spans="1:16" x14ac:dyDescent="0.3">
      <c r="B341" s="1" t="s">
        <v>14</v>
      </c>
      <c r="C341" s="11">
        <f>1-C340</f>
        <v>0</v>
      </c>
      <c r="D341" s="11">
        <f>1-D340</f>
        <v>0</v>
      </c>
      <c r="E341" s="11">
        <f>1-E340</f>
        <v>2.1978021978022011E-2</v>
      </c>
      <c r="F341" s="11">
        <f>1-F340</f>
        <v>0.25405405405405401</v>
      </c>
      <c r="G341" s="11">
        <f>1-G340</f>
        <v>2.5000000000000022E-2</v>
      </c>
    </row>
    <row r="342" spans="1:16" x14ac:dyDescent="0.3">
      <c r="C342" s="2"/>
    </row>
    <row r="343" spans="1:16" ht="15.6" x14ac:dyDescent="0.35">
      <c r="A343" t="s">
        <v>317</v>
      </c>
      <c r="B343" s="15" t="s">
        <v>23</v>
      </c>
      <c r="N343" s="12" t="s">
        <v>17</v>
      </c>
      <c r="O343" s="1" t="s">
        <v>27</v>
      </c>
      <c r="P343" s="1" t="s">
        <v>33</v>
      </c>
    </row>
    <row r="344" spans="1:16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16" x14ac:dyDescent="0.3">
      <c r="A345" t="s">
        <v>3</v>
      </c>
      <c r="B345" s="13">
        <v>0</v>
      </c>
      <c r="C345" s="29">
        <f t="shared" ref="C345:G349" si="58">(C334/$L345)*$O345</f>
        <v>0.25140152494725881</v>
      </c>
      <c r="D345" s="31">
        <f t="shared" si="58"/>
        <v>0</v>
      </c>
      <c r="E345" s="31">
        <f t="shared" si="58"/>
        <v>0</v>
      </c>
      <c r="F345" s="31">
        <f t="shared" si="58"/>
        <v>2.2052765346250772E-3</v>
      </c>
      <c r="G345" s="32">
        <f t="shared" si="58"/>
        <v>0</v>
      </c>
      <c r="H345" s="17">
        <f>SUM(C345:G345)</f>
        <v>0.25360680148188391</v>
      </c>
      <c r="I345" s="17">
        <f>C345/H345*100</f>
        <v>99.130434782608688</v>
      </c>
      <c r="J345" s="17">
        <f>SQRT(I345*(100-I345)/(L345-1))</f>
        <v>0.8695652173913081</v>
      </c>
      <c r="K345" s="18">
        <f>100-I345</f>
        <v>0.86956521739131176</v>
      </c>
      <c r="L345" s="1">
        <f>H334</f>
        <v>115</v>
      </c>
      <c r="M345">
        <v>0</v>
      </c>
      <c r="N345" s="1">
        <v>158.07</v>
      </c>
      <c r="O345" s="17">
        <f>N345/N350*100</f>
        <v>0.25360680148188386</v>
      </c>
      <c r="P345" s="52">
        <f>((O345*O345*(I345/100)*(K345/100))/(L345-1))</f>
        <v>4.8632445941680302E-6</v>
      </c>
    </row>
    <row r="346" spans="1:16" x14ac:dyDescent="0.3">
      <c r="A346" t="s">
        <v>4</v>
      </c>
      <c r="B346" s="13">
        <v>1</v>
      </c>
      <c r="C346" s="33">
        <f t="shared" si="58"/>
        <v>0</v>
      </c>
      <c r="D346" s="34">
        <f t="shared" si="58"/>
        <v>0.59675491751241039</v>
      </c>
      <c r="E346" s="19">
        <f t="shared" si="58"/>
        <v>0</v>
      </c>
      <c r="F346" s="18">
        <f t="shared" si="58"/>
        <v>0</v>
      </c>
      <c r="G346" s="20">
        <f t="shared" si="58"/>
        <v>0</v>
      </c>
      <c r="H346" s="17">
        <f>SUM(C346:G346)</f>
        <v>0.59675491751241039</v>
      </c>
      <c r="I346" s="17">
        <f>D346/H346*100</f>
        <v>100</v>
      </c>
      <c r="J346" s="17">
        <f>SQRT(I346*(100-I346)/(L346-1))</f>
        <v>0</v>
      </c>
      <c r="K346" s="18">
        <f>100-I346</f>
        <v>0</v>
      </c>
      <c r="L346" s="1">
        <f>H335</f>
        <v>15</v>
      </c>
      <c r="M346">
        <v>1</v>
      </c>
      <c r="N346" s="1">
        <v>371.95</v>
      </c>
      <c r="O346" s="17">
        <f>N346/N350*100</f>
        <v>0.59675491751241039</v>
      </c>
      <c r="P346" s="52">
        <f>((O346*O346*(I346/100)*(K346/100))/(L346-1))</f>
        <v>0</v>
      </c>
    </row>
    <row r="347" spans="1:16" x14ac:dyDescent="0.3">
      <c r="A347" t="s">
        <v>5</v>
      </c>
      <c r="B347" s="13">
        <v>2</v>
      </c>
      <c r="C347" s="33">
        <f t="shared" si="58"/>
        <v>0</v>
      </c>
      <c r="D347" s="19">
        <f t="shared" si="58"/>
        <v>0</v>
      </c>
      <c r="E347" s="34">
        <f t="shared" si="58"/>
        <v>40.896122288310835</v>
      </c>
      <c r="F347" s="19">
        <f t="shared" si="58"/>
        <v>0</v>
      </c>
      <c r="G347" s="20">
        <f t="shared" si="58"/>
        <v>0</v>
      </c>
      <c r="H347" s="17">
        <f>SUM(C347:G347)</f>
        <v>40.896122288310835</v>
      </c>
      <c r="I347" s="17">
        <f>E347/H347*100</f>
        <v>100</v>
      </c>
      <c r="J347" s="17">
        <f>SQRT(I347*(100-I347)/(L347-1))</f>
        <v>0</v>
      </c>
      <c r="K347" s="18">
        <f>100-I347</f>
        <v>0</v>
      </c>
      <c r="L347" s="1">
        <f>H336</f>
        <v>178</v>
      </c>
      <c r="M347">
        <v>2</v>
      </c>
      <c r="N347" s="1">
        <v>25490.05</v>
      </c>
      <c r="O347" s="17">
        <f>N347/N350*100</f>
        <v>40.896122288310835</v>
      </c>
      <c r="P347" s="52">
        <f>((O347*O347*(I347/100)*(K347/100))/(L347-1))</f>
        <v>0</v>
      </c>
    </row>
    <row r="348" spans="1:16" x14ac:dyDescent="0.3">
      <c r="A348" t="s">
        <v>6</v>
      </c>
      <c r="B348" s="13">
        <v>3</v>
      </c>
      <c r="C348" s="33">
        <f t="shared" si="58"/>
        <v>0</v>
      </c>
      <c r="D348" s="19">
        <f t="shared" si="58"/>
        <v>0</v>
      </c>
      <c r="E348" s="19">
        <f t="shared" si="58"/>
        <v>0.3150716399148864</v>
      </c>
      <c r="F348" s="34">
        <f t="shared" si="58"/>
        <v>43.479886308254329</v>
      </c>
      <c r="G348" s="20">
        <f t="shared" si="58"/>
        <v>1.5753581995744321</v>
      </c>
      <c r="H348" s="17">
        <f>SUM(C348:G348)</f>
        <v>45.370316147743644</v>
      </c>
      <c r="I348" s="17">
        <f>F348/H348*100</f>
        <v>95.833333333333343</v>
      </c>
      <c r="J348" s="17">
        <f>SQRT(I348*(100-I348)/(L348-1))</f>
        <v>1.6710315802959967</v>
      </c>
      <c r="K348" s="18">
        <f>100-I348</f>
        <v>4.1666666666666572</v>
      </c>
      <c r="L348" s="1">
        <f>H337</f>
        <v>144</v>
      </c>
      <c r="M348">
        <v>3</v>
      </c>
      <c r="N348" s="1">
        <v>28278.76</v>
      </c>
      <c r="O348" s="17">
        <f>N348/N350*100</f>
        <v>45.370316147743644</v>
      </c>
      <c r="P348" s="52">
        <f>((O348*O348*(I348/100)*(K348/100))/(L348-1))</f>
        <v>0.57479492653655151</v>
      </c>
    </row>
    <row r="349" spans="1:16" x14ac:dyDescent="0.3">
      <c r="A349" t="s">
        <v>7</v>
      </c>
      <c r="B349" s="13">
        <v>4</v>
      </c>
      <c r="C349" s="35">
        <f t="shared" si="58"/>
        <v>0</v>
      </c>
      <c r="D349" s="36">
        <f t="shared" si="58"/>
        <v>0</v>
      </c>
      <c r="E349" s="21">
        <f t="shared" si="58"/>
        <v>0.15839999809366248</v>
      </c>
      <c r="F349" s="21">
        <f t="shared" si="58"/>
        <v>2.4287999707694912</v>
      </c>
      <c r="G349" s="37">
        <f t="shared" si="58"/>
        <v>10.295999876088063</v>
      </c>
      <c r="H349" s="17">
        <f>SUM(C349:G349)</f>
        <v>12.883199844951216</v>
      </c>
      <c r="I349" s="17">
        <f>G349/H349*100</f>
        <v>79.918032786885249</v>
      </c>
      <c r="J349" s="17">
        <f>SQRT(I349*(100-I349)/(L349-1))</f>
        <v>2.5699364407144736</v>
      </c>
      <c r="K349" s="18">
        <f>100-I349</f>
        <v>20.081967213114751</v>
      </c>
      <c r="L349" s="1">
        <f>H338</f>
        <v>244</v>
      </c>
      <c r="M349">
        <v>4</v>
      </c>
      <c r="N349" s="1">
        <v>8029.94</v>
      </c>
      <c r="O349" s="17">
        <f>N349/N350*100</f>
        <v>12.883199844951216</v>
      </c>
      <c r="P349" s="52">
        <f>((O349*O349*(I349/100)*(K349/100))/(L349-1))</f>
        <v>0.10962061958366284</v>
      </c>
    </row>
    <row r="350" spans="1:16" x14ac:dyDescent="0.3">
      <c r="B350" t="s">
        <v>28</v>
      </c>
      <c r="C350" s="17">
        <f t="shared" ref="C350:H350" si="59">SUM(C345:C349)</f>
        <v>0.25140152494725881</v>
      </c>
      <c r="D350" s="17">
        <f t="shared" si="59"/>
        <v>0.59675491751241039</v>
      </c>
      <c r="E350" s="17">
        <f t="shared" si="59"/>
        <v>41.369593926319382</v>
      </c>
      <c r="F350" s="17">
        <f t="shared" si="59"/>
        <v>45.910891555558443</v>
      </c>
      <c r="G350" s="17">
        <f t="shared" si="59"/>
        <v>11.871358075662496</v>
      </c>
      <c r="H350" s="18">
        <f t="shared" si="59"/>
        <v>99.999999999999986</v>
      </c>
      <c r="I350" s="13" t="s">
        <v>24</v>
      </c>
      <c r="J350" s="12" t="s">
        <v>29</v>
      </c>
      <c r="N350" s="1">
        <f>SUM(N345:N349)</f>
        <v>62328.770000000004</v>
      </c>
      <c r="O350" s="17">
        <f>SUM(O345:O349)</f>
        <v>99.999999999999986</v>
      </c>
    </row>
    <row r="351" spans="1:16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2.1956674408344155E-3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0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0.32686610707691743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0.82150607998639047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0.76699911808024368</v>
      </c>
      <c r="H351" s="1"/>
      <c r="I351" s="14">
        <f>(C345+D346+E347+F348+G349)/H350</f>
        <v>0.95520164915112904</v>
      </c>
      <c r="J351" s="53">
        <f>SQRT(SUM(P345:P349))/100</f>
        <v>8.2729705025752914E-3</v>
      </c>
      <c r="M351" s="1"/>
      <c r="N351" s="9"/>
    </row>
    <row r="352" spans="1:16" x14ac:dyDescent="0.3">
      <c r="B352" s="1" t="s">
        <v>30</v>
      </c>
      <c r="C352" s="17">
        <f>C345/C350*100</f>
        <v>100</v>
      </c>
      <c r="D352" s="17">
        <f>D346/D350*100</f>
        <v>100</v>
      </c>
      <c r="E352" s="17">
        <f>E347/E350*100</f>
        <v>98.855508132731941</v>
      </c>
      <c r="F352" s="17">
        <f>F348/F350*100</f>
        <v>94.704948727989162</v>
      </c>
      <c r="G352" s="17">
        <f>G349/G350*100</f>
        <v>86.72975585831179</v>
      </c>
      <c r="H352" s="1"/>
    </row>
    <row r="353" spans="1:16" x14ac:dyDescent="0.3">
      <c r="B353" s="16" t="s">
        <v>39</v>
      </c>
      <c r="C353" s="18">
        <f>SQRT((C356+C357)/(C350*C350))</f>
        <v>0</v>
      </c>
      <c r="D353" s="18">
        <f>SQRT((D356+D357)/(D350*D350))</f>
        <v>0</v>
      </c>
      <c r="E353" s="18">
        <f>SQRT((E356+E357)/(E350*E350))</f>
        <v>0.78370884323141221</v>
      </c>
      <c r="F353" s="18">
        <f>SQRT((F356+F357)/(F350*F350))</f>
        <v>1.0996492295809184</v>
      </c>
      <c r="G353" s="18">
        <f>SQRT((G356+G357)/(G350*G350))</f>
        <v>6.2808652968393766</v>
      </c>
      <c r="H353" s="1"/>
      <c r="I353" s="14"/>
    </row>
    <row r="354" spans="1:16" x14ac:dyDescent="0.3">
      <c r="B354" s="1" t="s">
        <v>37</v>
      </c>
      <c r="C354" s="18">
        <f>100-C352</f>
        <v>0</v>
      </c>
      <c r="D354" s="18">
        <f>100-D352</f>
        <v>0</v>
      </c>
      <c r="E354" s="18">
        <f>100-E352</f>
        <v>1.1444918672680586</v>
      </c>
      <c r="F354" s="18">
        <f>100-F352</f>
        <v>5.2950512720108378</v>
      </c>
      <c r="G354" s="18">
        <f>100-G352</f>
        <v>13.27024414168821</v>
      </c>
    </row>
    <row r="355" spans="1:16" ht="15.6" x14ac:dyDescent="0.35">
      <c r="B355" s="1" t="s">
        <v>25</v>
      </c>
      <c r="C355" s="1">
        <f>C339</f>
        <v>114</v>
      </c>
      <c r="D355" s="1">
        <f>D339</f>
        <v>15</v>
      </c>
      <c r="E355" s="1">
        <f>E339</f>
        <v>182</v>
      </c>
      <c r="F355" s="1">
        <f>F339</f>
        <v>185</v>
      </c>
      <c r="G355" s="1">
        <f>G339</f>
        <v>200</v>
      </c>
    </row>
    <row r="356" spans="1:16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0</v>
      </c>
      <c r="E356" s="18">
        <f>(O347*O347*(100-E352)*(100-E352)*(I347)*(100-I347))/((L347-1)*100)</f>
        <v>0</v>
      </c>
      <c r="F356" s="18">
        <f>(O348*O348*(100-F352)*(100-F352)*(I348)*(100-I348))/((L348-1)*100)</f>
        <v>1611.5851823432622</v>
      </c>
      <c r="G356" s="18">
        <f>(O349*O349*(100-G352)*(100-G352)*(I349)*(100-I349))/((L349-1)*100)</f>
        <v>1930.4123097859347</v>
      </c>
    </row>
    <row r="357" spans="1:16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0</v>
      </c>
      <c r="E357" s="18">
        <f>E352*E352*(SUM((H345*E345*(1-E334/H334))/(H334-1),(H346*E346*(1-E335/H335))/(H335-1), (H348*E348*(1-E337/H337))/(H337-1),(H349*E349*(1-E338/H338))/(H338-1)))</f>
        <v>1051.167707352253</v>
      </c>
      <c r="F357" s="18">
        <f>F352*F352*(SUM((H345*F345*(1-F334/H334))/(H334-1),(H346*F346*(1-F335/H335))/(H335-1), (H347*F347*(1-F336/H336))/(H336-1),(H349*F349*(1-F338/H338))/(H338-1)))</f>
        <v>937.23854650192254</v>
      </c>
      <c r="G357" s="18">
        <f>G352*G352*(SUM((H345*G345*(1-G334/H334))/(H334-1),(H346*G346*(1-G335/H335))/(H335-1), (H347*G347*(1-G336/H336))/(H336-1),(H348*G348*(1-G337/H337))/(H337-1)))</f>
        <v>3629.1393276979315</v>
      </c>
    </row>
    <row r="360" spans="1:16" x14ac:dyDescent="0.3">
      <c r="A360" s="348">
        <v>1977</v>
      </c>
      <c r="B360" s="348"/>
      <c r="C360" s="348"/>
      <c r="D360" s="348"/>
      <c r="E360" s="348"/>
      <c r="F360" s="348"/>
      <c r="G360" s="348"/>
      <c r="H360" s="348"/>
      <c r="I360" s="348"/>
      <c r="J360" s="348"/>
      <c r="K360" s="348"/>
      <c r="L360" s="348" t="s">
        <v>85</v>
      </c>
      <c r="M360" s="348"/>
      <c r="N360" s="348"/>
      <c r="O360" s="348"/>
      <c r="P360" s="348"/>
    </row>
    <row r="361" spans="1:16" x14ac:dyDescent="0.3">
      <c r="A361" t="s">
        <v>15</v>
      </c>
      <c r="B361" t="s">
        <v>21</v>
      </c>
      <c r="I361" s="1" t="s">
        <v>53</v>
      </c>
      <c r="O361" s="350"/>
      <c r="P361" s="350"/>
    </row>
    <row r="362" spans="1:16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51</v>
      </c>
    </row>
    <row r="363" spans="1:16" x14ac:dyDescent="0.3">
      <c r="A363" t="s">
        <v>3</v>
      </c>
      <c r="B363" s="13">
        <v>0</v>
      </c>
      <c r="C363" s="26">
        <v>114</v>
      </c>
      <c r="D363" s="3">
        <v>0</v>
      </c>
      <c r="E363" s="3">
        <v>0</v>
      </c>
      <c r="F363" s="3">
        <v>1</v>
      </c>
      <c r="G363" s="4">
        <v>0</v>
      </c>
      <c r="H363" s="1">
        <f>SUM(C363:G363)</f>
        <v>115</v>
      </c>
      <c r="I363" s="10">
        <f>C363/H363</f>
        <v>0.99130434782608701</v>
      </c>
      <c r="J363" s="11">
        <f>1-I363</f>
        <v>8.6956521739129933E-3</v>
      </c>
      <c r="K363">
        <f>H363-C368</f>
        <v>1</v>
      </c>
      <c r="N363" s="10">
        <f>2*(C369*I363)/(C369+I363)</f>
        <v>0.99563318777292575</v>
      </c>
    </row>
    <row r="364" spans="1:16" x14ac:dyDescent="0.3">
      <c r="A364" t="s">
        <v>4</v>
      </c>
      <c r="B364" s="13">
        <v>1</v>
      </c>
      <c r="C364" s="5">
        <v>0</v>
      </c>
      <c r="D364" s="27">
        <v>15</v>
      </c>
      <c r="E364" s="1">
        <v>0</v>
      </c>
      <c r="F364" s="1">
        <v>0</v>
      </c>
      <c r="G364" s="6">
        <v>0</v>
      </c>
      <c r="H364" s="1">
        <f>SUM(C364:G364)</f>
        <v>15</v>
      </c>
      <c r="I364" s="10">
        <f>D364/H364</f>
        <v>1</v>
      </c>
      <c r="J364" s="11">
        <f>1-I364</f>
        <v>0</v>
      </c>
      <c r="K364">
        <f>H364-D368</f>
        <v>0</v>
      </c>
      <c r="N364" s="10">
        <f>2*(D369*I364)/(D369+I364)</f>
        <v>1</v>
      </c>
    </row>
    <row r="365" spans="1:16" x14ac:dyDescent="0.3">
      <c r="A365" t="s">
        <v>5</v>
      </c>
      <c r="B365" s="13">
        <v>2</v>
      </c>
      <c r="C365" s="5">
        <v>0</v>
      </c>
      <c r="D365" s="1">
        <v>0</v>
      </c>
      <c r="E365" s="27">
        <v>178</v>
      </c>
      <c r="F365" s="1">
        <v>0</v>
      </c>
      <c r="G365" s="6">
        <v>0</v>
      </c>
      <c r="H365" s="1">
        <f>SUM(C365:G365)</f>
        <v>178</v>
      </c>
      <c r="I365" s="10">
        <f>E365/H365</f>
        <v>1</v>
      </c>
      <c r="J365" s="11">
        <f>1-I365</f>
        <v>0</v>
      </c>
      <c r="K365">
        <f>H365-E368</f>
        <v>-4</v>
      </c>
      <c r="N365" s="10">
        <f>2*(E369*I365)/(E369+I365)</f>
        <v>0.98888888888888882</v>
      </c>
    </row>
    <row r="366" spans="1:16" x14ac:dyDescent="0.3">
      <c r="A366" t="s">
        <v>6</v>
      </c>
      <c r="B366" s="13">
        <v>3</v>
      </c>
      <c r="C366" s="5">
        <v>0</v>
      </c>
      <c r="D366" s="1">
        <v>0</v>
      </c>
      <c r="E366" s="1">
        <v>1</v>
      </c>
      <c r="F366" s="27">
        <v>139</v>
      </c>
      <c r="G366" s="6">
        <v>4</v>
      </c>
      <c r="H366" s="1">
        <f>SUM(C366:G366)</f>
        <v>144</v>
      </c>
      <c r="I366" s="10">
        <f>F366/H366</f>
        <v>0.96527777777777779</v>
      </c>
      <c r="J366" s="11">
        <f>1-I366</f>
        <v>3.472222222222221E-2</v>
      </c>
      <c r="K366">
        <f>H366-F368</f>
        <v>-33</v>
      </c>
      <c r="N366" s="10">
        <f>2*(F369*I366)/(F369+I366)</f>
        <v>0.86604361370716521</v>
      </c>
    </row>
    <row r="367" spans="1:16" x14ac:dyDescent="0.3">
      <c r="A367" t="s">
        <v>7</v>
      </c>
      <c r="B367" s="13">
        <v>4</v>
      </c>
      <c r="C367" s="7">
        <v>0</v>
      </c>
      <c r="D367" s="8">
        <v>0</v>
      </c>
      <c r="E367" s="8">
        <v>3</v>
      </c>
      <c r="F367" s="8">
        <v>37</v>
      </c>
      <c r="G367" s="28">
        <v>204</v>
      </c>
      <c r="H367" s="1">
        <f>SUM(C367:G367)</f>
        <v>244</v>
      </c>
      <c r="I367" s="10">
        <f>G367/H367</f>
        <v>0.83606557377049184</v>
      </c>
      <c r="J367" s="11">
        <f>1-I367</f>
        <v>0.16393442622950816</v>
      </c>
      <c r="K367">
        <f>H367-G368</f>
        <v>36</v>
      </c>
      <c r="N367" s="10">
        <f>2*(G369*I367)/(G369+I367)</f>
        <v>0.90265486725663724</v>
      </c>
    </row>
    <row r="368" spans="1:16" ht="15.6" x14ac:dyDescent="0.35">
      <c r="B368" s="1" t="s">
        <v>19</v>
      </c>
      <c r="C368" s="1">
        <f>SUM(C363:C367)</f>
        <v>114</v>
      </c>
      <c r="D368" s="1">
        <f>SUM(D363:D367)</f>
        <v>15</v>
      </c>
      <c r="E368" s="1">
        <f>SUM(E363:E367)</f>
        <v>182</v>
      </c>
      <c r="F368" s="1">
        <f>SUM(F363:F367)</f>
        <v>177</v>
      </c>
      <c r="G368" s="1">
        <f>SUM(G363:G367)</f>
        <v>208</v>
      </c>
      <c r="H368" s="1">
        <f>SUM(H362:H367)</f>
        <v>696</v>
      </c>
      <c r="I368" s="13" t="s">
        <v>12</v>
      </c>
      <c r="N368" s="16" t="s">
        <v>36</v>
      </c>
    </row>
    <row r="369" spans="1:16" x14ac:dyDescent="0.3">
      <c r="A369" s="1" t="s">
        <v>52</v>
      </c>
      <c r="B369" s="1" t="s">
        <v>2</v>
      </c>
      <c r="C369" s="10">
        <f>C363/C368</f>
        <v>1</v>
      </c>
      <c r="D369" s="10">
        <f>D364/D368</f>
        <v>1</v>
      </c>
      <c r="E369" s="10">
        <f>E365/E368</f>
        <v>0.97802197802197799</v>
      </c>
      <c r="F369" s="10">
        <f>F366/F368</f>
        <v>0.78531073446327682</v>
      </c>
      <c r="G369" s="10">
        <f>G367/G368</f>
        <v>0.98076923076923073</v>
      </c>
      <c r="H369" s="10"/>
      <c r="I369" s="14">
        <f>(C363+D364+E365+F366+G367)/H368</f>
        <v>0.93390804597701149</v>
      </c>
    </row>
    <row r="370" spans="1:16" x14ac:dyDescent="0.3">
      <c r="B370" s="1" t="s">
        <v>14</v>
      </c>
      <c r="C370" s="11">
        <f>1-C369</f>
        <v>0</v>
      </c>
      <c r="D370" s="11">
        <f>1-D369</f>
        <v>0</v>
      </c>
      <c r="E370" s="11">
        <f>1-E369</f>
        <v>2.1978021978022011E-2</v>
      </c>
      <c r="F370" s="11">
        <f>1-F369</f>
        <v>0.21468926553672318</v>
      </c>
      <c r="G370" s="11">
        <f>1-G369</f>
        <v>1.9230769230769273E-2</v>
      </c>
    </row>
    <row r="371" spans="1:16" x14ac:dyDescent="0.3">
      <c r="C371" s="2"/>
    </row>
    <row r="372" spans="1:16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16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</row>
    <row r="374" spans="1:16" x14ac:dyDescent="0.3">
      <c r="A374" t="s">
        <v>3</v>
      </c>
      <c r="B374" s="13">
        <v>0</v>
      </c>
      <c r="C374" s="29">
        <f t="shared" ref="C374:G378" si="60">(C363/$L374)*$O374</f>
        <v>0.25483688455936793</v>
      </c>
      <c r="D374" s="31">
        <f t="shared" si="60"/>
        <v>0</v>
      </c>
      <c r="E374" s="31">
        <f t="shared" si="60"/>
        <v>0</v>
      </c>
      <c r="F374" s="31">
        <f t="shared" si="60"/>
        <v>2.2354112680646305E-3</v>
      </c>
      <c r="G374" s="32">
        <f t="shared" si="60"/>
        <v>0</v>
      </c>
      <c r="H374" s="17">
        <f>SUM(C374:G374)</f>
        <v>0.25707229582743257</v>
      </c>
      <c r="I374" s="17">
        <f>C374/H374*100</f>
        <v>99.130434782608688</v>
      </c>
      <c r="J374" s="17">
        <f>SQRT(I374*(100-I374)/(L374-1))</f>
        <v>0.8695652173913081</v>
      </c>
      <c r="K374" s="18">
        <f>100-I374</f>
        <v>0.86956521739131176</v>
      </c>
      <c r="L374" s="1">
        <f>H363</f>
        <v>115</v>
      </c>
      <c r="M374">
        <v>0</v>
      </c>
      <c r="N374" s="1">
        <v>160.22999999999999</v>
      </c>
      <c r="O374" s="17">
        <f>N374/N379*100</f>
        <v>0.25707229582743252</v>
      </c>
      <c r="P374" s="52">
        <f>((O374*O374*(I374/100)*(K374/100))/(L374-1))</f>
        <v>4.9970635373903621E-6</v>
      </c>
    </row>
    <row r="375" spans="1:16" x14ac:dyDescent="0.3">
      <c r="A375" t="s">
        <v>4</v>
      </c>
      <c r="B375" s="13">
        <v>1</v>
      </c>
      <c r="C375" s="33">
        <f t="shared" si="60"/>
        <v>0</v>
      </c>
      <c r="D375" s="34">
        <f t="shared" si="60"/>
        <v>0.53089448099168324</v>
      </c>
      <c r="E375" s="19">
        <f t="shared" si="60"/>
        <v>0</v>
      </c>
      <c r="F375" s="18">
        <f t="shared" si="60"/>
        <v>0</v>
      </c>
      <c r="G375" s="20">
        <f t="shared" si="60"/>
        <v>0</v>
      </c>
      <c r="H375" s="17">
        <f>SUM(C375:G375)</f>
        <v>0.53089448099168324</v>
      </c>
      <c r="I375" s="17">
        <f>D375/H375*100</f>
        <v>100</v>
      </c>
      <c r="J375" s="17">
        <f>SQRT(I375*(100-I375)/(L375-1))</f>
        <v>0</v>
      </c>
      <c r="K375" s="18">
        <f>100-I375</f>
        <v>0</v>
      </c>
      <c r="L375" s="1">
        <f>H364</f>
        <v>15</v>
      </c>
      <c r="M375">
        <v>1</v>
      </c>
      <c r="N375" s="1">
        <v>330.9</v>
      </c>
      <c r="O375" s="17">
        <f>N375/N379*100</f>
        <v>0.53089448099168324</v>
      </c>
      <c r="P375" s="52">
        <f>((O375*O375*(I375/100)*(K375/100))/(L375-1))</f>
        <v>0</v>
      </c>
    </row>
    <row r="376" spans="1:16" x14ac:dyDescent="0.3">
      <c r="A376" t="s">
        <v>5</v>
      </c>
      <c r="B376" s="13">
        <v>2</v>
      </c>
      <c r="C376" s="33">
        <f t="shared" si="60"/>
        <v>0</v>
      </c>
      <c r="D376" s="19">
        <f t="shared" si="60"/>
        <v>0</v>
      </c>
      <c r="E376" s="34">
        <f t="shared" si="60"/>
        <v>40.29705704123473</v>
      </c>
      <c r="F376" s="19">
        <f t="shared" si="60"/>
        <v>0</v>
      </c>
      <c r="G376" s="20">
        <f t="shared" si="60"/>
        <v>0</v>
      </c>
      <c r="H376" s="17">
        <f>SUM(C376:G376)</f>
        <v>40.29705704123473</v>
      </c>
      <c r="I376" s="17">
        <f>E376/H376*100</f>
        <v>100</v>
      </c>
      <c r="J376" s="17">
        <f>SQRT(I376*(100-I376)/(L376-1))</f>
        <v>0</v>
      </c>
      <c r="K376" s="18">
        <f>100-I376</f>
        <v>0</v>
      </c>
      <c r="L376" s="1">
        <f>H365</f>
        <v>178</v>
      </c>
      <c r="M376">
        <v>2</v>
      </c>
      <c r="N376" s="1">
        <v>25116.66</v>
      </c>
      <c r="O376" s="17">
        <f>N376/N379*100</f>
        <v>40.29705704123473</v>
      </c>
      <c r="P376" s="52">
        <f>((O376*O376*(I376/100)*(K376/100))/(L376-1))</f>
        <v>0</v>
      </c>
    </row>
    <row r="377" spans="1:16" x14ac:dyDescent="0.3">
      <c r="A377" t="s">
        <v>6</v>
      </c>
      <c r="B377" s="13">
        <v>3</v>
      </c>
      <c r="C377" s="33">
        <f t="shared" si="60"/>
        <v>0</v>
      </c>
      <c r="D377" s="19">
        <f t="shared" si="60"/>
        <v>0</v>
      </c>
      <c r="E377" s="19">
        <f t="shared" si="60"/>
        <v>0.32107720435077125</v>
      </c>
      <c r="F377" s="34">
        <f t="shared" si="60"/>
        <v>44.629731404757202</v>
      </c>
      <c r="G377" s="20">
        <f t="shared" si="60"/>
        <v>1.284308817403085</v>
      </c>
      <c r="H377" s="17">
        <f>SUM(C377:G377)</f>
        <v>46.23511742651106</v>
      </c>
      <c r="I377" s="17">
        <f>F377/H377*100</f>
        <v>96.527777777777771</v>
      </c>
      <c r="J377" s="17">
        <f>SQRT(I377*(100-I377)/(L377-1))</f>
        <v>1.5309531175003757</v>
      </c>
      <c r="K377" s="18">
        <f>100-I377</f>
        <v>3.4722222222222285</v>
      </c>
      <c r="L377" s="1">
        <f>H366</f>
        <v>144</v>
      </c>
      <c r="M377">
        <v>3</v>
      </c>
      <c r="N377" s="1">
        <v>28817.78</v>
      </c>
      <c r="O377" s="17">
        <f>N377/N379*100</f>
        <v>46.23511742651106</v>
      </c>
      <c r="P377" s="52">
        <f>((O377*O377*(I377/100)*(K377/100))/(L377-1))</f>
        <v>0.50103459406871642</v>
      </c>
    </row>
    <row r="378" spans="1:16" x14ac:dyDescent="0.3">
      <c r="A378" t="s">
        <v>7</v>
      </c>
      <c r="B378" s="13">
        <v>4</v>
      </c>
      <c r="C378" s="35">
        <f t="shared" si="60"/>
        <v>0</v>
      </c>
      <c r="D378" s="36">
        <f t="shared" si="60"/>
        <v>0</v>
      </c>
      <c r="E378" s="21">
        <f t="shared" si="60"/>
        <v>0.15589990273075932</v>
      </c>
      <c r="F378" s="21">
        <f t="shared" si="60"/>
        <v>1.9227654670126983</v>
      </c>
      <c r="G378" s="37">
        <f t="shared" si="60"/>
        <v>10.601193385691635</v>
      </c>
      <c r="H378" s="17">
        <f>SUM(C378:G378)</f>
        <v>12.679858755435093</v>
      </c>
      <c r="I378" s="17">
        <f>G378/H378*100</f>
        <v>83.606557377049185</v>
      </c>
      <c r="J378" s="17">
        <f>SQRT(I378*(100-I378)/(L378-1))</f>
        <v>2.3749371239353909</v>
      </c>
      <c r="K378" s="18">
        <f>100-I378</f>
        <v>16.393442622950815</v>
      </c>
      <c r="L378" s="1">
        <f>H367</f>
        <v>244</v>
      </c>
      <c r="M378">
        <v>4</v>
      </c>
      <c r="N378" s="1">
        <v>7903.2</v>
      </c>
      <c r="O378" s="17">
        <f>N378/N379*100</f>
        <v>12.679858755435092</v>
      </c>
      <c r="P378" s="52">
        <f>((O378*O378*(I378/100)*(K378/100))/(L378-1))</f>
        <v>9.0684500283088859E-2</v>
      </c>
    </row>
    <row r="379" spans="1:16" x14ac:dyDescent="0.3">
      <c r="B379" t="s">
        <v>28</v>
      </c>
      <c r="C379" s="17">
        <f t="shared" ref="C379:H379" si="61">SUM(C374:C378)</f>
        <v>0.25483688455936793</v>
      </c>
      <c r="D379" s="17">
        <f t="shared" si="61"/>
        <v>0.53089448099168324</v>
      </c>
      <c r="E379" s="17">
        <f t="shared" si="61"/>
        <v>40.774034148316261</v>
      </c>
      <c r="F379" s="17">
        <f t="shared" si="61"/>
        <v>46.554732283037964</v>
      </c>
      <c r="G379" s="17">
        <f t="shared" si="61"/>
        <v>11.88550220309472</v>
      </c>
      <c r="H379" s="18">
        <f t="shared" si="61"/>
        <v>100</v>
      </c>
      <c r="I379" s="13" t="s">
        <v>24</v>
      </c>
      <c r="J379" s="12" t="s">
        <v>29</v>
      </c>
      <c r="N379" s="1">
        <f>SUM(N374:N378)</f>
        <v>62328.77</v>
      </c>
      <c r="O379" s="17">
        <f>SUM(O374:O378)</f>
        <v>100</v>
      </c>
    </row>
    <row r="380" spans="1:16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2.2256708676212972E-3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0.33222981184814249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0.76310421330780764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0.70087132856459722</v>
      </c>
      <c r="H380" s="1"/>
      <c r="I380" s="14">
        <f>(C374+D375+E376+F377+G378)/H379</f>
        <v>0.96313713197234618</v>
      </c>
      <c r="J380" s="53">
        <f>SQRT(SUM(P374:P378))/100</f>
        <v>7.6923604401727217E-3</v>
      </c>
      <c r="M380" s="1"/>
      <c r="N380" s="9"/>
    </row>
    <row r="381" spans="1:16" x14ac:dyDescent="0.3">
      <c r="B381" s="1" t="s">
        <v>30</v>
      </c>
      <c r="C381" s="17">
        <f>C374/C379*100</f>
        <v>100</v>
      </c>
      <c r="D381" s="17">
        <f>D375/D379*100</f>
        <v>100</v>
      </c>
      <c r="E381" s="17">
        <f>E376/E379*100</f>
        <v>98.830193977504123</v>
      </c>
      <c r="F381" s="17">
        <f>F377/F379*100</f>
        <v>95.865080124234481</v>
      </c>
      <c r="G381" s="17">
        <f>G378/G379*100</f>
        <v>89.194324350310751</v>
      </c>
      <c r="H381" s="1"/>
    </row>
    <row r="382" spans="1:16" x14ac:dyDescent="0.3">
      <c r="B382" s="16" t="s">
        <v>39</v>
      </c>
      <c r="C382" s="18">
        <f>SQRT((C385+C386)/(C379*C379))</f>
        <v>0</v>
      </c>
      <c r="D382" s="18">
        <f>SQRT((D385+D386)/(D379*D379))</f>
        <v>0</v>
      </c>
      <c r="E382" s="18">
        <f>SQRT((E385+E386)/(E379*E379))</f>
        <v>0.80800267654378521</v>
      </c>
      <c r="F382" s="18">
        <f>SQRT((F385+F386)/(F379*F379))</f>
        <v>0.86959245934905693</v>
      </c>
      <c r="G382" s="18">
        <f>SQRT((G385+G386)/(G379*G379))</f>
        <v>5.4983019702833946</v>
      </c>
      <c r="H382" s="1"/>
      <c r="I382" s="14"/>
    </row>
    <row r="383" spans="1:16" x14ac:dyDescent="0.3">
      <c r="B383" s="1" t="s">
        <v>37</v>
      </c>
      <c r="C383" s="18">
        <f>100-C381</f>
        <v>0</v>
      </c>
      <c r="D383" s="18">
        <f>100-D381</f>
        <v>0</v>
      </c>
      <c r="E383" s="18">
        <f>100-E381</f>
        <v>1.1698060224958766</v>
      </c>
      <c r="F383" s="18">
        <f>100-F381</f>
        <v>4.1349198757655188</v>
      </c>
      <c r="G383" s="18">
        <f>100-G381</f>
        <v>10.805675649689249</v>
      </c>
    </row>
    <row r="384" spans="1:16" ht="15.6" x14ac:dyDescent="0.35">
      <c r="B384" s="1" t="s">
        <v>25</v>
      </c>
      <c r="C384" s="1">
        <f>C368</f>
        <v>114</v>
      </c>
      <c r="D384" s="1">
        <f>D368</f>
        <v>15</v>
      </c>
      <c r="E384" s="1">
        <f>E368</f>
        <v>182</v>
      </c>
      <c r="F384" s="1">
        <f>F368</f>
        <v>177</v>
      </c>
      <c r="G384" s="1">
        <f>G368</f>
        <v>208</v>
      </c>
    </row>
    <row r="385" spans="1:24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0</v>
      </c>
      <c r="E385" s="18">
        <f>(O376*O376*(100-E381)*(100-E381)*(I376)*(100-I376))/((L376-1)*100)</f>
        <v>0</v>
      </c>
      <c r="F385" s="18">
        <f>(O377*O377*(100-F381)*(100-F381)*(I377)*(100-I377))/((L377-1)*100)</f>
        <v>856.64702261271884</v>
      </c>
      <c r="G385" s="18">
        <f>(O378*O378*(100-G381)*(100-G381)*(I378)*(100-I378))/((L378-1)*100)</f>
        <v>1058.8560412885629</v>
      </c>
    </row>
    <row r="386" spans="1:24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0</v>
      </c>
      <c r="E386" s="18">
        <f>E381*E381*(SUM((H374*E374*(1-E363/H363))/(H363-1),(H375*E375*(1-E364/H364))/(H364-1), (H377*E377*(1-E366/H366))/(H366-1),(H378*E378*(1-E367/H367))/(H367-1)))</f>
        <v>1085.407862991362</v>
      </c>
      <c r="F386" s="18">
        <f>F381*F381*(SUM((H374*F374*(1-F363/H363))/(H363-1),(H375*F375*(1-F364/H364))/(H364-1), (H376*F376*(1-F365/H365))/(H365-1),(H378*F378*(1-F367/H367))/(H367-1)))</f>
        <v>782.27842026928397</v>
      </c>
      <c r="G386" s="18">
        <f>G381*G381*(SUM((H374*G374*(1-G363/H363))/(H363-1),(H375*G375*(1-G364/H364))/(H364-1), (H376*G376*(1-G365/H365))/(H365-1),(H377*G377*(1-G366/H366))/(H366-1)))</f>
        <v>3211.7769383854575</v>
      </c>
      <c r="U386">
        <v>1</v>
      </c>
      <c r="V386" s="49">
        <v>0.92</v>
      </c>
      <c r="W386" s="49">
        <v>0.90235427086730691</v>
      </c>
    </row>
    <row r="387" spans="1:24" x14ac:dyDescent="0.3">
      <c r="U387">
        <v>2</v>
      </c>
      <c r="V387" s="49">
        <v>0.91649122807017547</v>
      </c>
      <c r="W387" s="49">
        <v>0.89795836516810512</v>
      </c>
    </row>
    <row r="388" spans="1:24" x14ac:dyDescent="0.3">
      <c r="U388">
        <v>3</v>
      </c>
      <c r="V388" s="49">
        <v>0.92350877192982461</v>
      </c>
      <c r="W388" s="49">
        <v>0.90473596497959374</v>
      </c>
    </row>
    <row r="389" spans="1:24" x14ac:dyDescent="0.3">
      <c r="A389" s="348">
        <v>1977</v>
      </c>
      <c r="B389" s="348"/>
      <c r="C389" s="348"/>
      <c r="D389" s="348"/>
      <c r="E389" s="348"/>
      <c r="F389" s="348"/>
      <c r="G389" s="348"/>
      <c r="H389" s="348"/>
      <c r="I389" s="348"/>
      <c r="J389" s="348"/>
      <c r="K389" s="348"/>
      <c r="L389" s="348" t="s">
        <v>86</v>
      </c>
      <c r="M389" s="348"/>
      <c r="N389" s="348"/>
      <c r="O389" s="348"/>
      <c r="P389" s="348"/>
      <c r="U389">
        <v>4</v>
      </c>
      <c r="V389" s="49">
        <v>0.91964912280701749</v>
      </c>
      <c r="W389" s="49">
        <v>0.89656686523174989</v>
      </c>
    </row>
    <row r="390" spans="1:24" x14ac:dyDescent="0.3">
      <c r="A390" t="s">
        <v>15</v>
      </c>
      <c r="B390" t="s">
        <v>21</v>
      </c>
      <c r="I390" s="1" t="s">
        <v>53</v>
      </c>
      <c r="O390" s="350"/>
      <c r="P390" s="350"/>
      <c r="U390" t="s">
        <v>76</v>
      </c>
      <c r="V390" s="49">
        <f>MIN(V386:V389)</f>
        <v>0.91649122807017547</v>
      </c>
      <c r="W390" s="49">
        <f>MIN(W386:W389)</f>
        <v>0.89656686523174989</v>
      </c>
    </row>
    <row r="391" spans="1:24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51</v>
      </c>
      <c r="U391" t="s">
        <v>74</v>
      </c>
      <c r="V391" s="49">
        <f>_xlfn.QUARTILE.EXC(V386:V389,1)</f>
        <v>0.91728070175438603</v>
      </c>
      <c r="W391" s="49">
        <f>_xlfn.QUARTILE.EXC(W386:W389,1)</f>
        <v>0.89691474021583872</v>
      </c>
    </row>
    <row r="392" spans="1:24" x14ac:dyDescent="0.3">
      <c r="A392" t="s">
        <v>3</v>
      </c>
      <c r="B392" s="13">
        <v>0</v>
      </c>
      <c r="C392" s="26">
        <v>114</v>
      </c>
      <c r="D392" s="3">
        <v>0</v>
      </c>
      <c r="E392" s="3">
        <v>0</v>
      </c>
      <c r="F392" s="3">
        <v>1</v>
      </c>
      <c r="G392" s="4">
        <v>0</v>
      </c>
      <c r="H392" s="1">
        <f>SUM(C392:G392)</f>
        <v>115</v>
      </c>
      <c r="I392" s="10">
        <f>C392/H392</f>
        <v>0.99130434782608701</v>
      </c>
      <c r="J392" s="11">
        <f>1-I392</f>
        <v>8.6956521739129933E-3</v>
      </c>
      <c r="K392">
        <f>H392-C397</f>
        <v>1</v>
      </c>
      <c r="N392" s="10">
        <f>2*(C398*I392)/(C398+I392)</f>
        <v>0.99563318777292575</v>
      </c>
      <c r="U392" t="s">
        <v>77</v>
      </c>
      <c r="V392" s="49">
        <f>MEDIAN(V386:V389)</f>
        <v>0.91982456140350877</v>
      </c>
      <c r="W392" s="49">
        <f>MEDIAN(W386:W389)</f>
        <v>0.90015631801770601</v>
      </c>
    </row>
    <row r="393" spans="1:24" x14ac:dyDescent="0.3">
      <c r="A393" t="s">
        <v>4</v>
      </c>
      <c r="B393" s="13">
        <v>1</v>
      </c>
      <c r="C393" s="5">
        <v>0</v>
      </c>
      <c r="D393" s="27">
        <v>15</v>
      </c>
      <c r="E393" s="1">
        <v>0</v>
      </c>
      <c r="F393" s="1">
        <v>0</v>
      </c>
      <c r="G393" s="6">
        <v>0</v>
      </c>
      <c r="H393" s="1">
        <f>SUM(C393:G393)</f>
        <v>15</v>
      </c>
      <c r="I393" s="10">
        <f>D393/H393</f>
        <v>1</v>
      </c>
      <c r="J393" s="11">
        <f>1-I393</f>
        <v>0</v>
      </c>
      <c r="K393">
        <f>H393-D397</f>
        <v>0</v>
      </c>
      <c r="N393" s="10">
        <f>2*(D398*I393)/(D398+I393)</f>
        <v>1</v>
      </c>
      <c r="U393" t="s">
        <v>75</v>
      </c>
      <c r="V393" s="49">
        <f>_xlfn.QUARTILE.INC(V386:V389,3)</f>
        <v>0.92087719298245618</v>
      </c>
      <c r="W393" s="49">
        <f>_xlfn.QUARTILE.INC(W386:W389,3)</f>
        <v>0.90294969439537864</v>
      </c>
    </row>
    <row r="394" spans="1:24" x14ac:dyDescent="0.3">
      <c r="A394" t="s">
        <v>5</v>
      </c>
      <c r="B394" s="13">
        <v>2</v>
      </c>
      <c r="C394" s="5">
        <v>0</v>
      </c>
      <c r="D394" s="1">
        <v>0</v>
      </c>
      <c r="E394" s="27">
        <v>178</v>
      </c>
      <c r="F394" s="1">
        <v>0</v>
      </c>
      <c r="G394" s="6">
        <v>0</v>
      </c>
      <c r="H394" s="1">
        <f>SUM(C394:G394)</f>
        <v>178</v>
      </c>
      <c r="I394" s="10">
        <f>E394/H394</f>
        <v>1</v>
      </c>
      <c r="J394" s="11">
        <f>1-I394</f>
        <v>0</v>
      </c>
      <c r="K394">
        <f>H394-E397</f>
        <v>-4</v>
      </c>
      <c r="N394" s="10">
        <f>2*(E398*I394)/(E398+I394)</f>
        <v>0.98888888888888882</v>
      </c>
      <c r="V394" s="1"/>
      <c r="W394" s="1"/>
    </row>
    <row r="395" spans="1:24" x14ac:dyDescent="0.3">
      <c r="A395" t="s">
        <v>6</v>
      </c>
      <c r="B395" s="13">
        <v>3</v>
      </c>
      <c r="C395" s="5">
        <v>0</v>
      </c>
      <c r="D395" s="1">
        <v>0</v>
      </c>
      <c r="E395" s="1">
        <v>1</v>
      </c>
      <c r="F395" s="27">
        <v>138</v>
      </c>
      <c r="G395" s="6">
        <v>5</v>
      </c>
      <c r="H395" s="1">
        <f>SUM(C395:G395)</f>
        <v>144</v>
      </c>
      <c r="I395" s="10">
        <f>F395/H395</f>
        <v>0.95833333333333337</v>
      </c>
      <c r="J395" s="11">
        <f>1-I395</f>
        <v>4.166666666666663E-2</v>
      </c>
      <c r="K395">
        <f>H395-F397</f>
        <v>-35</v>
      </c>
      <c r="N395" s="10">
        <f>2*(F398*I395)/(F398+I395)</f>
        <v>0.8544891640866874</v>
      </c>
      <c r="V395" s="49"/>
      <c r="W395" s="49"/>
      <c r="X395" s="49"/>
    </row>
    <row r="396" spans="1:24" x14ac:dyDescent="0.3">
      <c r="A396" t="s">
        <v>7</v>
      </c>
      <c r="B396" s="13">
        <v>4</v>
      </c>
      <c r="C396" s="7">
        <v>0</v>
      </c>
      <c r="D396" s="8">
        <v>0</v>
      </c>
      <c r="E396" s="8">
        <v>3</v>
      </c>
      <c r="F396" s="8">
        <v>40</v>
      </c>
      <c r="G396" s="28">
        <v>201</v>
      </c>
      <c r="H396" s="1">
        <f>SUM(C396:G396)</f>
        <v>244</v>
      </c>
      <c r="I396" s="10">
        <f>G396/H396</f>
        <v>0.82377049180327866</v>
      </c>
      <c r="J396" s="11">
        <f>1-I396</f>
        <v>0.17622950819672134</v>
      </c>
      <c r="K396">
        <f>H396-G397</f>
        <v>38</v>
      </c>
      <c r="N396" s="10">
        <f>2*(G398*I396)/(G398+I396)</f>
        <v>0.89333333333333331</v>
      </c>
    </row>
    <row r="397" spans="1:24" ht="15.6" x14ac:dyDescent="0.35">
      <c r="B397" s="1" t="s">
        <v>19</v>
      </c>
      <c r="C397" s="1">
        <f>SUM(C392:C396)</f>
        <v>114</v>
      </c>
      <c r="D397" s="1">
        <f>SUM(D392:D396)</f>
        <v>15</v>
      </c>
      <c r="E397" s="1">
        <f>SUM(E392:E396)</f>
        <v>182</v>
      </c>
      <c r="F397" s="1">
        <f>SUM(F392:F396)</f>
        <v>179</v>
      </c>
      <c r="G397" s="1">
        <f>SUM(G392:G396)</f>
        <v>206</v>
      </c>
      <c r="H397" s="1">
        <f>SUM(H391:H396)</f>
        <v>696</v>
      </c>
      <c r="I397" s="13" t="s">
        <v>12</v>
      </c>
      <c r="N397" s="16" t="s">
        <v>36</v>
      </c>
    </row>
    <row r="398" spans="1:24" x14ac:dyDescent="0.3">
      <c r="A398" s="1" t="s">
        <v>52</v>
      </c>
      <c r="B398" s="1" t="s">
        <v>2</v>
      </c>
      <c r="C398" s="10">
        <f>C392/C397</f>
        <v>1</v>
      </c>
      <c r="D398" s="10">
        <f>D393/D397</f>
        <v>1</v>
      </c>
      <c r="E398" s="10">
        <f>E394/E397</f>
        <v>0.97802197802197799</v>
      </c>
      <c r="F398" s="10">
        <f>F395/F397</f>
        <v>0.77094972067039103</v>
      </c>
      <c r="G398" s="10">
        <f>G396/G397</f>
        <v>0.97572815533980584</v>
      </c>
      <c r="H398" s="10"/>
      <c r="I398" s="14">
        <f>(C392+D393+E394+F395+G396)/H397</f>
        <v>0.92816091954022983</v>
      </c>
    </row>
    <row r="399" spans="1:24" x14ac:dyDescent="0.3">
      <c r="B399" s="1" t="s">
        <v>14</v>
      </c>
      <c r="C399" s="11">
        <f>1-C398</f>
        <v>0</v>
      </c>
      <c r="D399" s="11">
        <f>1-D398</f>
        <v>0</v>
      </c>
      <c r="E399" s="11">
        <f>1-E398</f>
        <v>2.1978021978022011E-2</v>
      </c>
      <c r="F399" s="11">
        <f>1-F398</f>
        <v>0.22905027932960897</v>
      </c>
      <c r="G399" s="11">
        <f>1-G398</f>
        <v>2.4271844660194164E-2</v>
      </c>
    </row>
    <row r="400" spans="1:24" x14ac:dyDescent="0.3">
      <c r="C400" s="2"/>
    </row>
    <row r="401" spans="1:16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</row>
    <row r="402" spans="1:16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16" x14ac:dyDescent="0.3">
      <c r="A403" t="s">
        <v>3</v>
      </c>
      <c r="B403" s="13">
        <v>0</v>
      </c>
      <c r="C403" s="29">
        <f t="shared" ref="C403:G407" si="62">(C392/$L403)*$O403</f>
        <v>0.26113504384823449</v>
      </c>
      <c r="D403" s="31">
        <f t="shared" si="62"/>
        <v>0</v>
      </c>
      <c r="E403" s="31">
        <f t="shared" si="62"/>
        <v>0</v>
      </c>
      <c r="F403" s="31">
        <f t="shared" si="62"/>
        <v>2.2906582793704778E-3</v>
      </c>
      <c r="G403" s="32">
        <f t="shared" si="62"/>
        <v>0</v>
      </c>
      <c r="H403" s="17">
        <f>SUM(C403:G403)</f>
        <v>0.26342570212760497</v>
      </c>
      <c r="I403" s="17">
        <f>C403/H403*100</f>
        <v>99.130434782608702</v>
      </c>
      <c r="J403" s="17">
        <f>SQRT(I403*(100-I403)/(L403-1))</f>
        <v>0.86956521739130099</v>
      </c>
      <c r="K403" s="18">
        <f>100-I403</f>
        <v>0.86956521739129755</v>
      </c>
      <c r="L403" s="1">
        <f>H392</f>
        <v>115</v>
      </c>
      <c r="M403">
        <v>0</v>
      </c>
      <c r="N403" s="1">
        <v>164.19</v>
      </c>
      <c r="O403" s="17">
        <f>N403/N408*100</f>
        <v>0.26342570212760497</v>
      </c>
      <c r="P403" s="52">
        <f>((O403*O403*(I403/100)*(K403/100))/(L403-1))</f>
        <v>5.2471153528484771E-6</v>
      </c>
    </row>
    <row r="404" spans="1:16" x14ac:dyDescent="0.3">
      <c r="A404" t="s">
        <v>4</v>
      </c>
      <c r="B404" s="13">
        <v>1</v>
      </c>
      <c r="C404" s="33">
        <f t="shared" si="62"/>
        <v>0</v>
      </c>
      <c r="D404" s="34">
        <f t="shared" si="62"/>
        <v>0.68802897923382733</v>
      </c>
      <c r="E404" s="19">
        <f t="shared" si="62"/>
        <v>0</v>
      </c>
      <c r="F404" s="18">
        <f t="shared" si="62"/>
        <v>0</v>
      </c>
      <c r="G404" s="20">
        <f t="shared" si="62"/>
        <v>0</v>
      </c>
      <c r="H404" s="17">
        <f>SUM(C404:G404)</f>
        <v>0.68802897923382733</v>
      </c>
      <c r="I404" s="17">
        <f>D404/H404*100</f>
        <v>100</v>
      </c>
      <c r="J404" s="17">
        <f>SQRT(I404*(100-I404)/(L404-1))</f>
        <v>0</v>
      </c>
      <c r="K404" s="18">
        <f>100-I404</f>
        <v>0</v>
      </c>
      <c r="L404" s="1">
        <f>H393</f>
        <v>15</v>
      </c>
      <c r="M404">
        <v>1</v>
      </c>
      <c r="N404" s="1">
        <v>428.84</v>
      </c>
      <c r="O404" s="17">
        <f>N404/N408*100</f>
        <v>0.68802897923382733</v>
      </c>
      <c r="P404" s="52">
        <f>((O404*O404*(I404/100)*(K404/100))/(L404-1))</f>
        <v>0</v>
      </c>
    </row>
    <row r="405" spans="1:16" x14ac:dyDescent="0.3">
      <c r="A405" t="s">
        <v>5</v>
      </c>
      <c r="B405" s="13">
        <v>2</v>
      </c>
      <c r="C405" s="33">
        <f t="shared" si="62"/>
        <v>0</v>
      </c>
      <c r="D405" s="19">
        <f t="shared" si="62"/>
        <v>0</v>
      </c>
      <c r="E405" s="34">
        <f t="shared" si="62"/>
        <v>40.305720777098607</v>
      </c>
      <c r="F405" s="19">
        <f t="shared" si="62"/>
        <v>0</v>
      </c>
      <c r="G405" s="20">
        <f t="shared" si="62"/>
        <v>0</v>
      </c>
      <c r="H405" s="17">
        <f>SUM(C405:G405)</f>
        <v>40.305720777098607</v>
      </c>
      <c r="I405" s="17">
        <f>E405/H405*100</f>
        <v>100</v>
      </c>
      <c r="J405" s="17">
        <f>SQRT(I405*(100-I405)/(L405-1))</f>
        <v>0</v>
      </c>
      <c r="K405" s="18">
        <f>100-I405</f>
        <v>0</v>
      </c>
      <c r="L405" s="1">
        <f>H394</f>
        <v>178</v>
      </c>
      <c r="M405">
        <v>2</v>
      </c>
      <c r="N405" s="1">
        <v>25122.06</v>
      </c>
      <c r="O405" s="17">
        <f>N405/N408*100</f>
        <v>40.305720777098607</v>
      </c>
      <c r="P405" s="52">
        <f>((O405*O405*(I405/100)*(K405/100))/(L405-1))</f>
        <v>0</v>
      </c>
    </row>
    <row r="406" spans="1:16" x14ac:dyDescent="0.3">
      <c r="A406" t="s">
        <v>6</v>
      </c>
      <c r="B406" s="13">
        <v>3</v>
      </c>
      <c r="C406" s="33">
        <f t="shared" si="62"/>
        <v>0</v>
      </c>
      <c r="D406" s="19">
        <f t="shared" si="62"/>
        <v>0</v>
      </c>
      <c r="E406" s="19">
        <f t="shared" si="62"/>
        <v>0.31830906497914208</v>
      </c>
      <c r="F406" s="34">
        <f t="shared" si="62"/>
        <v>43.92665096712161</v>
      </c>
      <c r="G406" s="20">
        <f t="shared" si="62"/>
        <v>1.5915453248957105</v>
      </c>
      <c r="H406" s="17">
        <f>SUM(C406:G406)</f>
        <v>45.836505356996462</v>
      </c>
      <c r="I406" s="17">
        <f>F406/H406*100</f>
        <v>95.833333333333343</v>
      </c>
      <c r="J406" s="17">
        <f>SQRT(I406*(100-I406)/(L406-1))</f>
        <v>1.6710315802959967</v>
      </c>
      <c r="K406" s="18">
        <f>100-I406</f>
        <v>4.1666666666666572</v>
      </c>
      <c r="L406" s="1">
        <f>H395</f>
        <v>144</v>
      </c>
      <c r="M406">
        <v>3</v>
      </c>
      <c r="N406" s="1">
        <v>28569.33</v>
      </c>
      <c r="O406" s="17">
        <f>N406/N408*100</f>
        <v>45.836505356996462</v>
      </c>
      <c r="P406" s="52">
        <f>((O406*O406*(I406/100)*(K406/100))/(L406-1))</f>
        <v>0.58666788239201018</v>
      </c>
    </row>
    <row r="407" spans="1:16" x14ac:dyDescent="0.3">
      <c r="A407" t="s">
        <v>7</v>
      </c>
      <c r="B407" s="13">
        <v>4</v>
      </c>
      <c r="C407" s="35">
        <f t="shared" si="62"/>
        <v>0</v>
      </c>
      <c r="D407" s="36">
        <f t="shared" si="62"/>
        <v>0</v>
      </c>
      <c r="E407" s="21">
        <f t="shared" si="62"/>
        <v>0.15868425226897759</v>
      </c>
      <c r="F407" s="21">
        <f t="shared" si="62"/>
        <v>2.1157900302530344</v>
      </c>
      <c r="G407" s="37">
        <f t="shared" si="62"/>
        <v>10.631844902021498</v>
      </c>
      <c r="H407" s="17">
        <f>SUM(C407:G407)</f>
        <v>12.906319184543511</v>
      </c>
      <c r="I407" s="17">
        <f>G407/H407*100</f>
        <v>82.377049180327873</v>
      </c>
      <c r="J407" s="17">
        <f>SQRT(I407*(100-I407)/(L407-1))</f>
        <v>2.4442143716429219</v>
      </c>
      <c r="K407" s="18">
        <f>100-I407</f>
        <v>17.622950819672127</v>
      </c>
      <c r="L407" s="1">
        <f>H396</f>
        <v>244</v>
      </c>
      <c r="M407">
        <v>4</v>
      </c>
      <c r="N407" s="1">
        <v>8044.35</v>
      </c>
      <c r="O407" s="17">
        <f>N407/N408*100</f>
        <v>12.906319184543511</v>
      </c>
      <c r="P407" s="52">
        <f>((O407*O407*(I407/100)*(K407/100))/(L407-1))</f>
        <v>9.9513818129261966E-2</v>
      </c>
    </row>
    <row r="408" spans="1:16" x14ac:dyDescent="0.3">
      <c r="B408" t="s">
        <v>28</v>
      </c>
      <c r="C408" s="17">
        <f t="shared" ref="C408:H408" si="63">SUM(C403:C407)</f>
        <v>0.26113504384823449</v>
      </c>
      <c r="D408" s="17">
        <f t="shared" si="63"/>
        <v>0.68802897923382733</v>
      </c>
      <c r="E408" s="17">
        <f t="shared" si="63"/>
        <v>40.782714094346723</v>
      </c>
      <c r="F408" s="17">
        <f t="shared" si="63"/>
        <v>46.044731655654019</v>
      </c>
      <c r="G408" s="17">
        <f t="shared" si="63"/>
        <v>12.223390226917209</v>
      </c>
      <c r="H408" s="18">
        <f t="shared" si="63"/>
        <v>100.00000000000001</v>
      </c>
      <c r="I408" s="13" t="s">
        <v>24</v>
      </c>
      <c r="J408" s="12" t="s">
        <v>29</v>
      </c>
      <c r="N408" s="1">
        <f>SUM(N403:N407)</f>
        <v>62328.77</v>
      </c>
      <c r="O408" s="17">
        <f>SUM(O403:O407)</f>
        <v>100.00000000000001</v>
      </c>
    </row>
    <row r="409" spans="1:16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2.2806771500639275E-3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0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0.33001122642001579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0.82229349976033439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0.76688909650842085</v>
      </c>
      <c r="H409" s="1"/>
      <c r="I409" s="56">
        <f>(C403+D404+E405+F406+G407)/H408</f>
        <v>0.95813380669323767</v>
      </c>
      <c r="J409" s="53">
        <f>SQRT(SUM(P403:P407))/100</f>
        <v>8.2836401879646179E-3</v>
      </c>
      <c r="M409" s="1"/>
      <c r="N409" s="9"/>
    </row>
    <row r="410" spans="1:16" x14ac:dyDescent="0.3">
      <c r="B410" s="1" t="s">
        <v>30</v>
      </c>
      <c r="C410" s="17">
        <f>C403/C408*100</f>
        <v>100</v>
      </c>
      <c r="D410" s="17">
        <f>D404/D408*100</f>
        <v>100</v>
      </c>
      <c r="E410" s="17">
        <f>E405/E408*100</f>
        <v>98.830403204297184</v>
      </c>
      <c r="F410" s="17">
        <f>F406/F408*100</f>
        <v>95.399949978267884</v>
      </c>
      <c r="G410" s="17">
        <f>G407/G408*100</f>
        <v>86.979509813971603</v>
      </c>
      <c r="H410" s="1"/>
    </row>
    <row r="411" spans="1:16" x14ac:dyDescent="0.3">
      <c r="B411" s="16" t="s">
        <v>39</v>
      </c>
      <c r="C411" s="18">
        <f>SQRT((C414+C415)/(C408*C408))</f>
        <v>0</v>
      </c>
      <c r="D411" s="18">
        <f>SQRT((D414+D415)/(D408*D408))</f>
        <v>0</v>
      </c>
      <c r="E411" s="18">
        <f>SQRT((E414+E415)/(E408*E408))</f>
        <v>0.80243366308208397</v>
      </c>
      <c r="F411" s="18">
        <f>SQRT((F414+F415)/(F408*F408))</f>
        <v>0.99442435925141492</v>
      </c>
      <c r="G411" s="18">
        <f>SQRT((G414+G415)/(G408*G408))</f>
        <v>6.018794633299863</v>
      </c>
      <c r="H411" s="1"/>
      <c r="I411" s="14"/>
    </row>
    <row r="412" spans="1:16" x14ac:dyDescent="0.3">
      <c r="B412" s="1" t="s">
        <v>37</v>
      </c>
      <c r="C412" s="18">
        <f>100-C410</f>
        <v>0</v>
      </c>
      <c r="D412" s="18">
        <f>100-D410</f>
        <v>0</v>
      </c>
      <c r="E412" s="18">
        <f>100-E410</f>
        <v>1.1695967957028159</v>
      </c>
      <c r="F412" s="18">
        <f>100-F410</f>
        <v>4.6000500217321161</v>
      </c>
      <c r="G412" s="18">
        <f>100-G410</f>
        <v>13.020490186028397</v>
      </c>
    </row>
    <row r="413" spans="1:16" ht="15.6" x14ac:dyDescent="0.35">
      <c r="B413" s="1" t="s">
        <v>25</v>
      </c>
      <c r="C413" s="1">
        <f>C397</f>
        <v>114</v>
      </c>
      <c r="D413" s="1">
        <f>D397</f>
        <v>15</v>
      </c>
      <c r="E413" s="1">
        <f>E397</f>
        <v>182</v>
      </c>
      <c r="F413" s="1">
        <f>F397</f>
        <v>179</v>
      </c>
      <c r="G413" s="1">
        <f>G397</f>
        <v>206</v>
      </c>
    </row>
    <row r="414" spans="1:16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0</v>
      </c>
      <c r="E414" s="18">
        <f>(O405*O405*(100-E410)*(100-E410)*(I405)*(100-I405))/((L405-1)*100)</f>
        <v>0</v>
      </c>
      <c r="F414" s="18">
        <f>(O406*O406*(100-F410)*(100-F410)*(I406)*(100-I406))/((L406-1)*100)</f>
        <v>1241.4162377404498</v>
      </c>
      <c r="G414" s="18">
        <f>(O407*O407*(100-G410)*(100-G410)*(I407)*(100-I407))/((L407-1)*100)</f>
        <v>1687.0892517287748</v>
      </c>
    </row>
    <row r="415" spans="1:16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0</v>
      </c>
      <c r="E415" s="18">
        <f>E410*E410*(SUM((H403*E403*(1-E392/H392))/(H392-1),(H404*E404*(1-E393/H393))/(H393-1), (H406*E406*(1-E395/H395))/(H395-1),(H407*E407*(1-E396/H396))/(H396-1)))</f>
        <v>1070.9532883513011</v>
      </c>
      <c r="F415" s="18">
        <f>F410*F410*(SUM((H403*F403*(1-F392/H392))/(H392-1),(H404*F404*(1-F393/H393))/(H393-1), (H405*F405*(1-F394/H394))/(H394-1),(H407*F407*(1-F396/H396))/(H396-1)))</f>
        <v>855.1249602526533</v>
      </c>
      <c r="G415" s="18">
        <f>G410*G410*(SUM((H403*G403*(1-G392/H392))/(H392-1),(H404*G404*(1-G393/H393))/(H393-1), (H405*G405*(1-G394/H394))/(H394-1),(H406*G406*(1-G395/H395))/(H395-1)))</f>
        <v>3725.4667571261107</v>
      </c>
    </row>
    <row r="418" spans="1:16" x14ac:dyDescent="0.3">
      <c r="A418" s="348">
        <v>1977</v>
      </c>
      <c r="B418" s="348"/>
      <c r="C418" s="348"/>
      <c r="D418" s="348"/>
      <c r="E418" s="348"/>
      <c r="F418" s="348"/>
      <c r="G418" s="348"/>
      <c r="H418" s="348"/>
      <c r="I418" s="348"/>
      <c r="J418" s="348"/>
      <c r="K418" s="348"/>
      <c r="L418" s="348" t="s">
        <v>87</v>
      </c>
      <c r="M418" s="348"/>
      <c r="N418" s="348"/>
      <c r="O418" s="348"/>
      <c r="P418" s="348"/>
    </row>
    <row r="419" spans="1:16" x14ac:dyDescent="0.3">
      <c r="A419" t="s">
        <v>15</v>
      </c>
      <c r="B419" t="s">
        <v>21</v>
      </c>
      <c r="I419" s="1" t="s">
        <v>53</v>
      </c>
      <c r="O419" s="350"/>
      <c r="P419" s="350"/>
    </row>
    <row r="420" spans="1:16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51</v>
      </c>
    </row>
    <row r="421" spans="1:16" x14ac:dyDescent="0.3">
      <c r="A421" t="s">
        <v>3</v>
      </c>
      <c r="B421" s="13">
        <v>0</v>
      </c>
      <c r="C421" s="26">
        <v>113</v>
      </c>
      <c r="D421" s="3">
        <v>0</v>
      </c>
      <c r="E421" s="3">
        <v>0</v>
      </c>
      <c r="F421" s="3">
        <v>2</v>
      </c>
      <c r="G421" s="4">
        <v>0</v>
      </c>
      <c r="H421" s="1">
        <f>SUM(C421:G421)</f>
        <v>115</v>
      </c>
      <c r="I421" s="10">
        <f>C421/H421</f>
        <v>0.9826086956521739</v>
      </c>
      <c r="J421" s="11">
        <f>1-I421</f>
        <v>1.7391304347826098E-2</v>
      </c>
      <c r="K421">
        <f>H421-C426</f>
        <v>2</v>
      </c>
      <c r="N421" s="10">
        <f>2*(C427*I421)/(C427+I421)</f>
        <v>0.99122807017543857</v>
      </c>
    </row>
    <row r="422" spans="1:16" x14ac:dyDescent="0.3">
      <c r="A422" t="s">
        <v>4</v>
      </c>
      <c r="B422" s="13">
        <v>1</v>
      </c>
      <c r="C422" s="5">
        <v>0</v>
      </c>
      <c r="D422" s="27">
        <v>15</v>
      </c>
      <c r="E422" s="1">
        <v>0</v>
      </c>
      <c r="F422" s="1">
        <v>0</v>
      </c>
      <c r="G422" s="6">
        <v>0</v>
      </c>
      <c r="H422" s="1">
        <f>SUM(C422:G422)</f>
        <v>15</v>
      </c>
      <c r="I422" s="10">
        <f>D422/H422</f>
        <v>1</v>
      </c>
      <c r="J422" s="11">
        <f>1-I422</f>
        <v>0</v>
      </c>
      <c r="K422">
        <f>H422-D426</f>
        <v>0</v>
      </c>
      <c r="N422" s="10">
        <f>2*(D427*I422)/(D427+I422)</f>
        <v>1</v>
      </c>
    </row>
    <row r="423" spans="1:16" x14ac:dyDescent="0.3">
      <c r="A423" t="s">
        <v>5</v>
      </c>
      <c r="B423" s="13">
        <v>2</v>
      </c>
      <c r="C423" s="5">
        <v>0</v>
      </c>
      <c r="D423" s="1">
        <v>0</v>
      </c>
      <c r="E423" s="27">
        <v>178</v>
      </c>
      <c r="F423" s="1">
        <v>0</v>
      </c>
      <c r="G423" s="6">
        <v>0</v>
      </c>
      <c r="H423" s="1">
        <f>SUM(C423:G423)</f>
        <v>178</v>
      </c>
      <c r="I423" s="10">
        <f>E423/H423</f>
        <v>1</v>
      </c>
      <c r="J423" s="11">
        <f>1-I423</f>
        <v>0</v>
      </c>
      <c r="K423">
        <f>H423-E426</f>
        <v>-4</v>
      </c>
      <c r="N423" s="10">
        <f>2*(E427*I423)/(E427+I423)</f>
        <v>0.98888888888888882</v>
      </c>
    </row>
    <row r="424" spans="1:16" x14ac:dyDescent="0.3">
      <c r="A424" t="s">
        <v>6</v>
      </c>
      <c r="B424" s="13">
        <v>3</v>
      </c>
      <c r="C424" s="5">
        <v>0</v>
      </c>
      <c r="D424" s="1">
        <v>0</v>
      </c>
      <c r="E424" s="1">
        <v>1</v>
      </c>
      <c r="F424" s="27">
        <v>138</v>
      </c>
      <c r="G424" s="6">
        <v>5</v>
      </c>
      <c r="H424" s="1">
        <f>SUM(C424:G424)</f>
        <v>144</v>
      </c>
      <c r="I424" s="10">
        <f>F424/H424</f>
        <v>0.95833333333333337</v>
      </c>
      <c r="J424" s="11">
        <f>1-I424</f>
        <v>4.166666666666663E-2</v>
      </c>
      <c r="K424">
        <f>H424-F426</f>
        <v>-37</v>
      </c>
      <c r="N424" s="10">
        <f>2*(F427*I424)/(F427+I424)</f>
        <v>0.84923076923076923</v>
      </c>
    </row>
    <row r="425" spans="1:16" x14ac:dyDescent="0.3">
      <c r="A425" t="s">
        <v>7</v>
      </c>
      <c r="B425" s="13">
        <v>4</v>
      </c>
      <c r="C425" s="7">
        <v>0</v>
      </c>
      <c r="D425" s="8">
        <v>0</v>
      </c>
      <c r="E425" s="8">
        <v>3</v>
      </c>
      <c r="F425" s="8">
        <v>41</v>
      </c>
      <c r="G425" s="28">
        <v>200</v>
      </c>
      <c r="H425" s="1">
        <f>SUM(C425:G425)</f>
        <v>244</v>
      </c>
      <c r="I425" s="10">
        <f>G425/H425</f>
        <v>0.81967213114754101</v>
      </c>
      <c r="J425" s="11">
        <f>1-I425</f>
        <v>0.18032786885245899</v>
      </c>
      <c r="K425">
        <f>H425-G426</f>
        <v>39</v>
      </c>
      <c r="N425" s="10">
        <f>2*(G427*I425)/(G427+I425)</f>
        <v>0.89086859688195996</v>
      </c>
    </row>
    <row r="426" spans="1:16" ht="15.6" x14ac:dyDescent="0.35">
      <c r="B426" s="1" t="s">
        <v>19</v>
      </c>
      <c r="C426" s="1">
        <f>SUM(C421:C425)</f>
        <v>113</v>
      </c>
      <c r="D426" s="1">
        <f>SUM(D421:D425)</f>
        <v>15</v>
      </c>
      <c r="E426" s="1">
        <f>SUM(E421:E425)</f>
        <v>182</v>
      </c>
      <c r="F426" s="1">
        <f>SUM(F421:F425)</f>
        <v>181</v>
      </c>
      <c r="G426" s="1">
        <f>SUM(G421:G425)</f>
        <v>205</v>
      </c>
      <c r="H426" s="1">
        <f>SUM(H420:H425)</f>
        <v>696</v>
      </c>
      <c r="I426" s="13" t="s">
        <v>12</v>
      </c>
      <c r="N426" s="16" t="s">
        <v>36</v>
      </c>
    </row>
    <row r="427" spans="1:16" x14ac:dyDescent="0.3">
      <c r="A427" s="1" t="s">
        <v>52</v>
      </c>
      <c r="B427" s="1" t="s">
        <v>2</v>
      </c>
      <c r="C427" s="10">
        <f>C421/C426</f>
        <v>1</v>
      </c>
      <c r="D427" s="10">
        <f>D422/D426</f>
        <v>1</v>
      </c>
      <c r="E427" s="10">
        <f>E423/E426</f>
        <v>0.97802197802197799</v>
      </c>
      <c r="F427" s="10">
        <f>F424/F426</f>
        <v>0.76243093922651939</v>
      </c>
      <c r="G427" s="10">
        <f>G425/G426</f>
        <v>0.97560975609756095</v>
      </c>
      <c r="H427" s="10"/>
      <c r="I427" s="14">
        <f>(C421+D422+E423+F424+G425)/H426</f>
        <v>0.92528735632183912</v>
      </c>
    </row>
    <row r="428" spans="1:16" x14ac:dyDescent="0.3">
      <c r="B428" s="1" t="s">
        <v>14</v>
      </c>
      <c r="C428" s="11">
        <f>1-C427</f>
        <v>0</v>
      </c>
      <c r="D428" s="11">
        <f>1-D427</f>
        <v>0</v>
      </c>
      <c r="E428" s="11">
        <f>1-E427</f>
        <v>2.1978021978022011E-2</v>
      </c>
      <c r="F428" s="11">
        <f>1-F427</f>
        <v>0.23756906077348061</v>
      </c>
      <c r="G428" s="11">
        <f>1-G427</f>
        <v>2.4390243902439046E-2</v>
      </c>
    </row>
    <row r="429" spans="1:16" x14ac:dyDescent="0.3">
      <c r="C429" s="2"/>
    </row>
    <row r="430" spans="1:16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16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</row>
    <row r="432" spans="1:16" x14ac:dyDescent="0.3">
      <c r="A432" t="s">
        <v>3</v>
      </c>
      <c r="B432" s="13">
        <v>0</v>
      </c>
      <c r="C432" s="29">
        <f t="shared" ref="C432:G436" si="64">(C421/$L432)*$O432</f>
        <v>0.26451971792722123</v>
      </c>
      <c r="D432" s="31">
        <f t="shared" si="64"/>
        <v>0</v>
      </c>
      <c r="E432" s="31">
        <f t="shared" si="64"/>
        <v>0</v>
      </c>
      <c r="F432" s="31">
        <f t="shared" si="64"/>
        <v>4.6817649190658622E-3</v>
      </c>
      <c r="G432" s="32">
        <f t="shared" si="64"/>
        <v>0</v>
      </c>
      <c r="H432" s="17">
        <f>SUM(C432:G432)</f>
        <v>0.26920148284628709</v>
      </c>
      <c r="I432" s="17">
        <f>C432/H432*100</f>
        <v>98.260869565217391</v>
      </c>
      <c r="J432" s="17">
        <f>SQRT(I432*(100-I432)/(L432-1))</f>
        <v>1.2243453990683941</v>
      </c>
      <c r="K432" s="18">
        <f>100-I432</f>
        <v>1.7391304347826093</v>
      </c>
      <c r="L432" s="1">
        <f>H421</f>
        <v>115</v>
      </c>
      <c r="M432">
        <v>0</v>
      </c>
      <c r="N432" s="1">
        <v>167.79</v>
      </c>
      <c r="O432" s="17">
        <f>N432/N437*100</f>
        <v>0.26920148284628709</v>
      </c>
      <c r="P432" s="52">
        <f>((O432*O432*(I432/100)*(K432/100))/(L432-1))</f>
        <v>1.0863325752568966E-5</v>
      </c>
    </row>
    <row r="433" spans="1:16" x14ac:dyDescent="0.3">
      <c r="A433" t="s">
        <v>4</v>
      </c>
      <c r="B433" s="13">
        <v>1</v>
      </c>
      <c r="C433" s="33">
        <f t="shared" si="64"/>
        <v>0</v>
      </c>
      <c r="D433" s="34">
        <f t="shared" si="64"/>
        <v>0.5037480277971107</v>
      </c>
      <c r="E433" s="19">
        <f t="shared" si="64"/>
        <v>0</v>
      </c>
      <c r="F433" s="18">
        <f t="shared" si="64"/>
        <v>0</v>
      </c>
      <c r="G433" s="20">
        <f t="shared" si="64"/>
        <v>0</v>
      </c>
      <c r="H433" s="17">
        <f>SUM(C433:G433)</f>
        <v>0.5037480277971107</v>
      </c>
      <c r="I433" s="17">
        <f>D433/H433*100</f>
        <v>100</v>
      </c>
      <c r="J433" s="17">
        <f>SQRT(I433*(100-I433)/(L433-1))</f>
        <v>0</v>
      </c>
      <c r="K433" s="18">
        <f>100-I433</f>
        <v>0</v>
      </c>
      <c r="L433" s="1">
        <f>H422</f>
        <v>15</v>
      </c>
      <c r="M433">
        <v>1</v>
      </c>
      <c r="N433" s="1">
        <v>313.98</v>
      </c>
      <c r="O433" s="17">
        <f>N433/N437*100</f>
        <v>0.5037480277971107</v>
      </c>
      <c r="P433" s="52">
        <f>((O433*O433*(I433/100)*(K433/100))/(L433-1))</f>
        <v>0</v>
      </c>
    </row>
    <row r="434" spans="1:16" x14ac:dyDescent="0.3">
      <c r="A434" t="s">
        <v>5</v>
      </c>
      <c r="B434" s="13">
        <v>2</v>
      </c>
      <c r="C434" s="33">
        <f t="shared" si="64"/>
        <v>0</v>
      </c>
      <c r="D434" s="19">
        <f t="shared" si="64"/>
        <v>0</v>
      </c>
      <c r="E434" s="34">
        <f t="shared" si="64"/>
        <v>40.930209126506242</v>
      </c>
      <c r="F434" s="19">
        <f t="shared" si="64"/>
        <v>0</v>
      </c>
      <c r="G434" s="20">
        <f t="shared" si="64"/>
        <v>0</v>
      </c>
      <c r="H434" s="17">
        <f>SUM(C434:G434)</f>
        <v>40.930209126506242</v>
      </c>
      <c r="I434" s="17">
        <f>E434/H434*100</f>
        <v>100</v>
      </c>
      <c r="J434" s="17">
        <f>SQRT(I434*(100-I434)/(L434-1))</f>
        <v>0</v>
      </c>
      <c r="K434" s="18">
        <f>100-I434</f>
        <v>0</v>
      </c>
      <c r="L434" s="1">
        <f>H423</f>
        <v>178</v>
      </c>
      <c r="M434">
        <v>2</v>
      </c>
      <c r="N434" s="1">
        <v>25511.3</v>
      </c>
      <c r="O434" s="17">
        <f>N434/N437*100</f>
        <v>40.930209126506242</v>
      </c>
      <c r="P434" s="52">
        <f>((O434*O434*(I434/100)*(K434/100))/(L434-1))</f>
        <v>0</v>
      </c>
    </row>
    <row r="435" spans="1:16" x14ac:dyDescent="0.3">
      <c r="A435" t="s">
        <v>6</v>
      </c>
      <c r="B435" s="13">
        <v>3</v>
      </c>
      <c r="C435" s="33">
        <f t="shared" si="64"/>
        <v>0</v>
      </c>
      <c r="D435" s="19">
        <f t="shared" si="64"/>
        <v>0</v>
      </c>
      <c r="E435" s="19">
        <f t="shared" si="64"/>
        <v>0.31420911548939884</v>
      </c>
      <c r="F435" s="34">
        <f t="shared" si="64"/>
        <v>43.360857937537041</v>
      </c>
      <c r="G435" s="20">
        <f t="shared" si="64"/>
        <v>1.5710455774469942</v>
      </c>
      <c r="H435" s="17">
        <f>SUM(C435:G435)</f>
        <v>45.246112630473434</v>
      </c>
      <c r="I435" s="17">
        <f>F435/H435*100</f>
        <v>95.833333333333343</v>
      </c>
      <c r="J435" s="17">
        <f>SQRT(I435*(100-I435)/(L435-1))</f>
        <v>1.6710315802959967</v>
      </c>
      <c r="K435" s="18">
        <f>100-I435</f>
        <v>4.1666666666666572</v>
      </c>
      <c r="L435" s="1">
        <f>H424</f>
        <v>144</v>
      </c>
      <c r="M435">
        <v>3</v>
      </c>
      <c r="N435" s="1">
        <v>28201.35</v>
      </c>
      <c r="O435" s="17">
        <f>N435/N437*100</f>
        <v>45.246112630473434</v>
      </c>
      <c r="P435" s="52">
        <f>((O435*O435*(I435/100)*(K435/100))/(L435-1))</f>
        <v>0.57165217424118731</v>
      </c>
    </row>
    <row r="436" spans="1:16" x14ac:dyDescent="0.3">
      <c r="A436" t="s">
        <v>7</v>
      </c>
      <c r="B436" s="13">
        <v>4</v>
      </c>
      <c r="C436" s="35">
        <f t="shared" si="64"/>
        <v>0</v>
      </c>
      <c r="D436" s="36">
        <f t="shared" si="64"/>
        <v>0</v>
      </c>
      <c r="E436" s="21">
        <f t="shared" si="64"/>
        <v>0.16045977949643755</v>
      </c>
      <c r="F436" s="21">
        <f t="shared" si="64"/>
        <v>2.1929503197846465</v>
      </c>
      <c r="G436" s="37">
        <f t="shared" si="64"/>
        <v>10.697318633095838</v>
      </c>
      <c r="H436" s="17">
        <f>SUM(C436:G436)</f>
        <v>13.050728732376921</v>
      </c>
      <c r="I436" s="17">
        <f>G436/H436*100</f>
        <v>81.967213114754117</v>
      </c>
      <c r="J436" s="17">
        <f>SQRT(I436*(100-I436)/(L436-1))</f>
        <v>2.466314026908305</v>
      </c>
      <c r="K436" s="18">
        <f>100-I436</f>
        <v>18.032786885245883</v>
      </c>
      <c r="L436" s="1">
        <f>H425</f>
        <v>244</v>
      </c>
      <c r="M436">
        <v>4</v>
      </c>
      <c r="N436" s="1">
        <v>8134.36</v>
      </c>
      <c r="O436" s="17">
        <f>N436/N437*100</f>
        <v>13.050728732376921</v>
      </c>
      <c r="P436" s="52">
        <f>((O436*O436*(I436/100)*(K436/100))/(L436-1))</f>
        <v>0.10360155434714174</v>
      </c>
    </row>
    <row r="437" spans="1:16" x14ac:dyDescent="0.3">
      <c r="B437" t="s">
        <v>28</v>
      </c>
      <c r="C437" s="17">
        <f t="shared" ref="C437:H437" si="65">SUM(C432:C436)</f>
        <v>0.26451971792722123</v>
      </c>
      <c r="D437" s="17">
        <f t="shared" si="65"/>
        <v>0.5037480277971107</v>
      </c>
      <c r="E437" s="17">
        <f t="shared" si="65"/>
        <v>41.404878021492074</v>
      </c>
      <c r="F437" s="17">
        <f t="shared" si="65"/>
        <v>45.558490022240747</v>
      </c>
      <c r="G437" s="17">
        <f t="shared" si="65"/>
        <v>12.268364210542833</v>
      </c>
      <c r="H437" s="18">
        <f t="shared" si="65"/>
        <v>100</v>
      </c>
      <c r="I437" s="13" t="s">
        <v>24</v>
      </c>
      <c r="J437" s="12" t="s">
        <v>29</v>
      </c>
      <c r="N437" s="1">
        <f>SUM(N432:N436)</f>
        <v>62328.78</v>
      </c>
      <c r="O437" s="17">
        <f>SUM(O432:O436)</f>
        <v>100</v>
      </c>
    </row>
    <row r="438" spans="1:16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3.2815944372168717E-3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0.32637200644249825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0.81564540950769415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0.76136300868637863</v>
      </c>
      <c r="H438" s="1"/>
      <c r="I438" s="56">
        <f>(C432+D433+E434+F435+G436)/H437</f>
        <v>0.95756653442863449</v>
      </c>
      <c r="J438" s="53">
        <f>SQRT(SUM(P432:P436))/100</f>
        <v>8.217448459917967E-3</v>
      </c>
      <c r="M438" s="1"/>
      <c r="N438" s="9"/>
    </row>
    <row r="439" spans="1:16" x14ac:dyDescent="0.3">
      <c r="B439" s="1" t="s">
        <v>30</v>
      </c>
      <c r="C439" s="17">
        <f>C432/C437*100</f>
        <v>100</v>
      </c>
      <c r="D439" s="17">
        <f>D433/D437*100</f>
        <v>100</v>
      </c>
      <c r="E439" s="17">
        <f>E434/E437*100</f>
        <v>98.853591852777726</v>
      </c>
      <c r="F439" s="17">
        <f>F435/F437*100</f>
        <v>95.176240293234343</v>
      </c>
      <c r="G439" s="17">
        <f>G436/G437*100</f>
        <v>87.194335361376744</v>
      </c>
      <c r="H439" s="1"/>
    </row>
    <row r="440" spans="1:16" x14ac:dyDescent="0.3">
      <c r="B440" s="16" t="s">
        <v>39</v>
      </c>
      <c r="C440" s="18">
        <f>SQRT((C443+C444)/(C437*C437))</f>
        <v>0</v>
      </c>
      <c r="D440" s="18">
        <f>SQRT((D443+D444)/(D437*D437))</f>
        <v>0</v>
      </c>
      <c r="E440" s="18">
        <f>SQRT((E443+E444)/(E437*E437))</f>
        <v>0.78183963365214981</v>
      </c>
      <c r="F440" s="18">
        <f>SQRT((F443+F444)/(F437*F437))</f>
        <v>1.0337083801965756</v>
      </c>
      <c r="G440" s="18">
        <f>SQRT((G443+G444)/(G437*G437))</f>
        <v>5.9602920861466622</v>
      </c>
      <c r="H440" s="1"/>
      <c r="I440" s="14"/>
    </row>
    <row r="441" spans="1:16" x14ac:dyDescent="0.3">
      <c r="B441" s="1" t="s">
        <v>37</v>
      </c>
      <c r="C441" s="18">
        <f>100-C439</f>
        <v>0</v>
      </c>
      <c r="D441" s="18">
        <f>100-D439</f>
        <v>0</v>
      </c>
      <c r="E441" s="18">
        <f>100-E439</f>
        <v>1.1464081472222745</v>
      </c>
      <c r="F441" s="18">
        <f>100-F439</f>
        <v>4.8237597067656566</v>
      </c>
      <c r="G441" s="18">
        <f>100-G439</f>
        <v>12.805664638623256</v>
      </c>
    </row>
    <row r="442" spans="1:16" ht="15.6" x14ac:dyDescent="0.35">
      <c r="B442" s="1" t="s">
        <v>25</v>
      </c>
      <c r="C442" s="1">
        <f>C426</f>
        <v>113</v>
      </c>
      <c r="D442" s="1">
        <f>D426</f>
        <v>15</v>
      </c>
      <c r="E442" s="1">
        <f>E426</f>
        <v>182</v>
      </c>
      <c r="F442" s="1">
        <f>F426</f>
        <v>181</v>
      </c>
      <c r="G442" s="1">
        <f>G426</f>
        <v>205</v>
      </c>
    </row>
    <row r="443" spans="1:16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0</v>
      </c>
      <c r="E443" s="18">
        <f>(O434*O434*(100-E439)*(100-E439)*(I434)*(100-I434))/((L434-1)*100)</f>
        <v>0</v>
      </c>
      <c r="F443" s="18">
        <f>(O435*O435*(100-F439)*(100-F439)*(I435)*(100-I435))/((L435-1)*100)</f>
        <v>1330.1578770804238</v>
      </c>
      <c r="G443" s="18">
        <f>(O436*O436*(100-G439)*(100-G439)*(I436)*(100-I436))/((L436-1)*100)</f>
        <v>1698.9105741990238</v>
      </c>
    </row>
    <row r="444" spans="1:16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0</v>
      </c>
      <c r="E444" s="18">
        <f>E439*E439*(SUM((H432*E432*(1-E421/H421))/(H421-1),(H433*E433*(1-E422/H422))/(H422-1), (H435*E435*(1-E424/H424))/(H424-1),(H436*E436*(1-E425/H425))/(H425-1)))</f>
        <v>1047.9447436295209</v>
      </c>
      <c r="F444" s="18">
        <f>F439*F439*(SUM((H432*F432*(1-F421/H421))/(H421-1),(H433*F433*(1-F422/H422))/(H422-1), (H434*F434*(1-F423/H423))/(H423-1),(H436*F436*(1-F425/H425))/(H425-1)))</f>
        <v>887.70513018539339</v>
      </c>
      <c r="G444" s="18">
        <f>G439*G439*(SUM((H432*G432*(1-G421/H421))/(H421-1),(H433*G433*(1-G422/H422))/(H422-1), (H434*G434*(1-G423/H423))/(H423-1),(H435*G435*(1-G424/H424))/(H424-1)))</f>
        <v>3648.0675438474541</v>
      </c>
    </row>
    <row r="447" spans="1:16" x14ac:dyDescent="0.3">
      <c r="A447" s="348">
        <v>1977</v>
      </c>
      <c r="B447" s="348"/>
      <c r="C447" s="348"/>
      <c r="D447" s="348"/>
      <c r="E447" s="348"/>
      <c r="F447" s="348"/>
      <c r="G447" s="348"/>
      <c r="H447" s="348"/>
      <c r="I447" s="348"/>
      <c r="J447" s="348"/>
      <c r="K447" s="348"/>
      <c r="L447" s="348" t="s">
        <v>88</v>
      </c>
      <c r="M447" s="348"/>
      <c r="N447" s="348"/>
      <c r="O447" s="348"/>
      <c r="P447" s="348"/>
    </row>
    <row r="448" spans="1:16" x14ac:dyDescent="0.3">
      <c r="A448" t="s">
        <v>15</v>
      </c>
      <c r="B448" t="s">
        <v>21</v>
      </c>
      <c r="I448" s="1" t="s">
        <v>53</v>
      </c>
      <c r="O448" s="350"/>
      <c r="P448" s="350"/>
    </row>
    <row r="449" spans="1:16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51</v>
      </c>
    </row>
    <row r="450" spans="1:16" x14ac:dyDescent="0.3">
      <c r="A450" t="s">
        <v>3</v>
      </c>
      <c r="B450" s="13">
        <v>0</v>
      </c>
      <c r="C450" s="26">
        <v>114</v>
      </c>
      <c r="D450" s="3">
        <v>0</v>
      </c>
      <c r="E450" s="3">
        <v>0</v>
      </c>
      <c r="F450" s="3">
        <v>1</v>
      </c>
      <c r="G450" s="4">
        <v>0</v>
      </c>
      <c r="H450" s="1">
        <f>SUM(C450:G450)</f>
        <v>115</v>
      </c>
      <c r="I450" s="10">
        <f>C450/H450</f>
        <v>0.99130434782608701</v>
      </c>
      <c r="J450" s="11">
        <f>1-I450</f>
        <v>8.6956521739129933E-3</v>
      </c>
      <c r="K450">
        <f>H450-C455</f>
        <v>1</v>
      </c>
      <c r="N450" s="10">
        <f>2*(C456*I450)/(C456+I450)</f>
        <v>0.99563318777292575</v>
      </c>
    </row>
    <row r="451" spans="1:16" x14ac:dyDescent="0.3">
      <c r="A451" t="s">
        <v>4</v>
      </c>
      <c r="B451" s="13">
        <v>1</v>
      </c>
      <c r="C451" s="5">
        <v>0</v>
      </c>
      <c r="D451" s="27">
        <v>15</v>
      </c>
      <c r="E451" s="1">
        <v>0</v>
      </c>
      <c r="F451" s="1">
        <v>0</v>
      </c>
      <c r="G451" s="6">
        <v>0</v>
      </c>
      <c r="H451" s="1">
        <f>SUM(C451:G451)</f>
        <v>15</v>
      </c>
      <c r="I451" s="10">
        <f>D451/H451</f>
        <v>1</v>
      </c>
      <c r="J451" s="11">
        <f>1-I451</f>
        <v>0</v>
      </c>
      <c r="K451">
        <f>H451-D455</f>
        <v>0</v>
      </c>
      <c r="N451" s="10">
        <f>2*(D456*I451)/(D456+I451)</f>
        <v>1</v>
      </c>
    </row>
    <row r="452" spans="1:16" x14ac:dyDescent="0.3">
      <c r="A452" t="s">
        <v>5</v>
      </c>
      <c r="B452" s="13">
        <v>2</v>
      </c>
      <c r="C452" s="5">
        <v>0</v>
      </c>
      <c r="D452" s="1">
        <v>0</v>
      </c>
      <c r="E452" s="27">
        <v>178</v>
      </c>
      <c r="F452" s="1">
        <v>0</v>
      </c>
      <c r="G452" s="6">
        <v>0</v>
      </c>
      <c r="H452" s="1">
        <f>SUM(C452:G452)</f>
        <v>178</v>
      </c>
      <c r="I452" s="10">
        <f>E452/H452</f>
        <v>1</v>
      </c>
      <c r="J452" s="11">
        <f>1-I452</f>
        <v>0</v>
      </c>
      <c r="K452">
        <f>H452-E455</f>
        <v>-4</v>
      </c>
      <c r="N452" s="10">
        <f>2*(E456*I452)/(E456+I452)</f>
        <v>0.98888888888888882</v>
      </c>
    </row>
    <row r="453" spans="1:16" x14ac:dyDescent="0.3">
      <c r="A453" t="s">
        <v>6</v>
      </c>
      <c r="B453" s="13">
        <v>3</v>
      </c>
      <c r="C453" s="5">
        <v>0</v>
      </c>
      <c r="D453" s="1">
        <v>0</v>
      </c>
      <c r="E453" s="1">
        <v>1</v>
      </c>
      <c r="F453" s="27">
        <v>139</v>
      </c>
      <c r="G453" s="6">
        <v>4</v>
      </c>
      <c r="H453" s="1">
        <f>SUM(C453:G453)</f>
        <v>144</v>
      </c>
      <c r="I453" s="10">
        <f>F453/H453</f>
        <v>0.96527777777777779</v>
      </c>
      <c r="J453" s="11">
        <f>1-I453</f>
        <v>3.472222222222221E-2</v>
      </c>
      <c r="K453">
        <f>H453-F455</f>
        <v>-42</v>
      </c>
      <c r="N453" s="10">
        <f>2*(F456*I453)/(F456+I453)</f>
        <v>0.8424242424242423</v>
      </c>
    </row>
    <row r="454" spans="1:16" x14ac:dyDescent="0.3">
      <c r="A454" t="s">
        <v>7</v>
      </c>
      <c r="B454" s="13">
        <v>4</v>
      </c>
      <c r="C454" s="7">
        <v>0</v>
      </c>
      <c r="D454" s="8">
        <v>0</v>
      </c>
      <c r="E454" s="8">
        <v>3</v>
      </c>
      <c r="F454" s="8">
        <v>46</v>
      </c>
      <c r="G454" s="28">
        <v>195</v>
      </c>
      <c r="H454" s="1">
        <f>SUM(C454:G454)</f>
        <v>244</v>
      </c>
      <c r="I454" s="10">
        <f>G454/H454</f>
        <v>0.79918032786885251</v>
      </c>
      <c r="J454" s="11">
        <f>1-I454</f>
        <v>0.20081967213114749</v>
      </c>
      <c r="K454">
        <f>H454-G455</f>
        <v>45</v>
      </c>
      <c r="N454" s="10">
        <f>2*(G456*I454)/(G456+I454)</f>
        <v>0.88036117381489842</v>
      </c>
    </row>
    <row r="455" spans="1:16" ht="15.6" x14ac:dyDescent="0.35">
      <c r="B455" s="1" t="s">
        <v>19</v>
      </c>
      <c r="C455" s="1">
        <f>SUM(C450:C454)</f>
        <v>114</v>
      </c>
      <c r="D455" s="1">
        <f>SUM(D450:D454)</f>
        <v>15</v>
      </c>
      <c r="E455" s="1">
        <f>SUM(E450:E454)</f>
        <v>182</v>
      </c>
      <c r="F455" s="1">
        <f>SUM(F450:F454)</f>
        <v>186</v>
      </c>
      <c r="G455" s="1">
        <f>SUM(G450:G454)</f>
        <v>199</v>
      </c>
      <c r="H455" s="1">
        <f>SUM(H449:H454)</f>
        <v>696</v>
      </c>
      <c r="I455" s="13" t="s">
        <v>12</v>
      </c>
      <c r="N455" s="16" t="s">
        <v>36</v>
      </c>
    </row>
    <row r="456" spans="1:16" x14ac:dyDescent="0.3">
      <c r="A456" s="1" t="s">
        <v>52</v>
      </c>
      <c r="B456" s="1" t="s">
        <v>2</v>
      </c>
      <c r="C456" s="10">
        <f>C450/C455</f>
        <v>1</v>
      </c>
      <c r="D456" s="10">
        <f>D451/D455</f>
        <v>1</v>
      </c>
      <c r="E456" s="10">
        <f>E452/E455</f>
        <v>0.97802197802197799</v>
      </c>
      <c r="F456" s="10">
        <f>F453/F455</f>
        <v>0.74731182795698925</v>
      </c>
      <c r="G456" s="10">
        <f>G454/G455</f>
        <v>0.97989949748743721</v>
      </c>
      <c r="H456" s="10"/>
      <c r="I456" s="14">
        <f>(C450+D451+E452+F453+G454)/H455</f>
        <v>0.92097701149425293</v>
      </c>
    </row>
    <row r="457" spans="1:16" x14ac:dyDescent="0.3">
      <c r="B457" s="1" t="s">
        <v>14</v>
      </c>
      <c r="C457" s="11">
        <f>1-C456</f>
        <v>0</v>
      </c>
      <c r="D457" s="11">
        <f>1-D456</f>
        <v>0</v>
      </c>
      <c r="E457" s="11">
        <f>1-E456</f>
        <v>2.1978021978022011E-2</v>
      </c>
      <c r="F457" s="11">
        <f>1-F456</f>
        <v>0.25268817204301075</v>
      </c>
      <c r="G457" s="11">
        <f>1-G456</f>
        <v>2.010050251256279E-2</v>
      </c>
    </row>
    <row r="458" spans="1:16" x14ac:dyDescent="0.3">
      <c r="C458" s="2"/>
    </row>
    <row r="459" spans="1:16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</row>
    <row r="460" spans="1:16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16" x14ac:dyDescent="0.3">
      <c r="A461" t="s">
        <v>3</v>
      </c>
      <c r="B461" s="13">
        <v>0</v>
      </c>
      <c r="C461" s="29">
        <f t="shared" ref="C461:G465" si="66">(C450/$L461)*$O461</f>
        <v>0.24739356570808516</v>
      </c>
      <c r="D461" s="31">
        <f t="shared" si="66"/>
        <v>0</v>
      </c>
      <c r="E461" s="31">
        <f t="shared" si="66"/>
        <v>0</v>
      </c>
      <c r="F461" s="31">
        <f t="shared" si="66"/>
        <v>2.1701189974393433E-3</v>
      </c>
      <c r="G461" s="32">
        <f t="shared" si="66"/>
        <v>0</v>
      </c>
      <c r="H461" s="17">
        <f>SUM(C461:G461)</f>
        <v>0.24956368470552451</v>
      </c>
      <c r="I461" s="17">
        <f>C461/H461*100</f>
        <v>99.130434782608688</v>
      </c>
      <c r="J461" s="17">
        <f>SQRT(I461*(100-I461)/(L461-1))</f>
        <v>0.8695652173913081</v>
      </c>
      <c r="K461" s="18">
        <f>100-I461</f>
        <v>0.86956521739131176</v>
      </c>
      <c r="L461" s="1">
        <f>H450</f>
        <v>115</v>
      </c>
      <c r="M461">
        <v>0</v>
      </c>
      <c r="N461" s="1">
        <v>155.55000000000001</v>
      </c>
      <c r="O461" s="17">
        <f>N461/N466*100</f>
        <v>0.24956368470552448</v>
      </c>
      <c r="P461" s="52">
        <f>((O461*O461*(I461/100)*(K461/100))/(L461-1))</f>
        <v>4.70941646304718E-6</v>
      </c>
    </row>
    <row r="462" spans="1:16" x14ac:dyDescent="0.3">
      <c r="A462" t="s">
        <v>4</v>
      </c>
      <c r="B462" s="13">
        <v>1</v>
      </c>
      <c r="C462" s="33">
        <f t="shared" si="66"/>
        <v>0</v>
      </c>
      <c r="D462" s="34">
        <f t="shared" si="66"/>
        <v>0.53841900964530343</v>
      </c>
      <c r="E462" s="19">
        <f t="shared" si="66"/>
        <v>0</v>
      </c>
      <c r="F462" s="18">
        <f t="shared" si="66"/>
        <v>0</v>
      </c>
      <c r="G462" s="20">
        <f t="shared" si="66"/>
        <v>0</v>
      </c>
      <c r="H462" s="17">
        <f>SUM(C462:G462)</f>
        <v>0.53841900964530343</v>
      </c>
      <c r="I462" s="17">
        <f>D462/H462*100</f>
        <v>100</v>
      </c>
      <c r="J462" s="17">
        <f>SQRT(I462*(100-I462)/(L462-1))</f>
        <v>0</v>
      </c>
      <c r="K462" s="18">
        <f>100-I462</f>
        <v>0</v>
      </c>
      <c r="L462" s="1">
        <f>H451</f>
        <v>15</v>
      </c>
      <c r="M462">
        <v>1</v>
      </c>
      <c r="N462" s="1">
        <v>335.59</v>
      </c>
      <c r="O462" s="17">
        <f>N462/N466*100</f>
        <v>0.53841900964530343</v>
      </c>
      <c r="P462" s="52">
        <f>((O462*O462*(I462/100)*(K462/100))/(L462-1))</f>
        <v>0</v>
      </c>
    </row>
    <row r="463" spans="1:16" x14ac:dyDescent="0.3">
      <c r="A463" t="s">
        <v>5</v>
      </c>
      <c r="B463" s="13">
        <v>2</v>
      </c>
      <c r="C463" s="33">
        <f t="shared" si="66"/>
        <v>0</v>
      </c>
      <c r="D463" s="19">
        <f t="shared" si="66"/>
        <v>0</v>
      </c>
      <c r="E463" s="34">
        <f t="shared" si="66"/>
        <v>41.299348390903845</v>
      </c>
      <c r="F463" s="19">
        <f t="shared" si="66"/>
        <v>0</v>
      </c>
      <c r="G463" s="20">
        <f t="shared" si="66"/>
        <v>0</v>
      </c>
      <c r="H463" s="17">
        <f>SUM(C463:G463)</f>
        <v>41.299348390903845</v>
      </c>
      <c r="I463" s="17">
        <f>E463/H463*100</f>
        <v>100</v>
      </c>
      <c r="J463" s="17">
        <f>SQRT(I463*(100-I463)/(L463-1))</f>
        <v>0</v>
      </c>
      <c r="K463" s="18">
        <f>100-I463</f>
        <v>0</v>
      </c>
      <c r="L463" s="1">
        <f>H452</f>
        <v>178</v>
      </c>
      <c r="M463">
        <v>2</v>
      </c>
      <c r="N463" s="1">
        <v>25741.38</v>
      </c>
      <c r="O463" s="17">
        <f>N463/N466*100</f>
        <v>41.299348390903845</v>
      </c>
      <c r="P463" s="52">
        <f>((O463*O463*(I463/100)*(K463/100))/(L463-1))</f>
        <v>0</v>
      </c>
    </row>
    <row r="464" spans="1:16" x14ac:dyDescent="0.3">
      <c r="A464" t="s">
        <v>6</v>
      </c>
      <c r="B464" s="13">
        <v>3</v>
      </c>
      <c r="C464" s="33">
        <f t="shared" si="66"/>
        <v>0</v>
      </c>
      <c r="D464" s="19">
        <f t="shared" si="66"/>
        <v>0</v>
      </c>
      <c r="E464" s="19">
        <f t="shared" si="66"/>
        <v>0.3131941126465887</v>
      </c>
      <c r="F464" s="34">
        <f t="shared" si="66"/>
        <v>43.533981657875827</v>
      </c>
      <c r="G464" s="20">
        <f t="shared" si="66"/>
        <v>1.2527764505863548</v>
      </c>
      <c r="H464" s="17">
        <f>SUM(C464:G464)</f>
        <v>45.099952221108772</v>
      </c>
      <c r="I464" s="17">
        <f>F464/H464*100</f>
        <v>96.527777777777786</v>
      </c>
      <c r="J464" s="17">
        <f>SQRT(I464*(100-I464)/(L464-1))</f>
        <v>1.5309531175003726</v>
      </c>
      <c r="K464" s="18">
        <f>100-I464</f>
        <v>3.4722222222222143</v>
      </c>
      <c r="L464" s="1">
        <f>H453</f>
        <v>144</v>
      </c>
      <c r="M464">
        <v>3</v>
      </c>
      <c r="N464" s="1">
        <v>28110.25</v>
      </c>
      <c r="O464" s="17">
        <f>N464/N466*100</f>
        <v>45.099952221108772</v>
      </c>
      <c r="P464" s="52">
        <f>((O464*O464*(I464/100)*(K464/100))/(L464-1))</f>
        <v>0.47673380263326076</v>
      </c>
    </row>
    <row r="465" spans="1:16" x14ac:dyDescent="0.3">
      <c r="A465" t="s">
        <v>7</v>
      </c>
      <c r="B465" s="13">
        <v>4</v>
      </c>
      <c r="C465" s="35">
        <f t="shared" si="66"/>
        <v>0</v>
      </c>
      <c r="D465" s="36">
        <f t="shared" si="66"/>
        <v>0</v>
      </c>
      <c r="E465" s="21">
        <f t="shared" si="66"/>
        <v>0.15753340197094118</v>
      </c>
      <c r="F465" s="21">
        <f t="shared" si="66"/>
        <v>2.4155121635544314</v>
      </c>
      <c r="G465" s="37">
        <f t="shared" si="66"/>
        <v>10.239671128111178</v>
      </c>
      <c r="H465" s="17">
        <f>SUM(C465:G465)</f>
        <v>12.812716693636551</v>
      </c>
      <c r="I465" s="17">
        <f>G465/H465*100</f>
        <v>79.918032786885249</v>
      </c>
      <c r="J465" s="17">
        <f>SQRT(I465*(100-I465)/(L465-1))</f>
        <v>2.5699364407144736</v>
      </c>
      <c r="K465" s="18">
        <f>100-I465</f>
        <v>20.081967213114751</v>
      </c>
      <c r="L465" s="1">
        <f>H454</f>
        <v>244</v>
      </c>
      <c r="M465">
        <v>4</v>
      </c>
      <c r="N465" s="1">
        <v>7986.01</v>
      </c>
      <c r="O465" s="17">
        <f>N465/N466*100</f>
        <v>12.812716693636549</v>
      </c>
      <c r="P465" s="52">
        <f>((O465*O465*(I465/100)*(K465/100))/(L465-1))</f>
        <v>0.10842444604372284</v>
      </c>
    </row>
    <row r="466" spans="1:16" x14ac:dyDescent="0.3">
      <c r="B466" t="s">
        <v>28</v>
      </c>
      <c r="C466" s="17">
        <f t="shared" ref="C466:H466" si="67">SUM(C461:C465)</f>
        <v>0.24739356570808516</v>
      </c>
      <c r="D466" s="17">
        <f t="shared" si="67"/>
        <v>0.53841900964530343</v>
      </c>
      <c r="E466" s="17">
        <f t="shared" si="67"/>
        <v>41.770075905521381</v>
      </c>
      <c r="F466" s="17">
        <f t="shared" si="67"/>
        <v>45.9516639404277</v>
      </c>
      <c r="G466" s="17">
        <f t="shared" si="67"/>
        <v>11.492447578697533</v>
      </c>
      <c r="H466" s="18">
        <f t="shared" si="67"/>
        <v>99.999999999999986</v>
      </c>
      <c r="I466" s="13" t="s">
        <v>24</v>
      </c>
      <c r="J466" s="12" t="s">
        <v>29</v>
      </c>
      <c r="N466" s="1">
        <f>SUM(N461:N465)</f>
        <v>62328.780000000006</v>
      </c>
      <c r="O466" s="17">
        <f>SUM(O461:O465)</f>
        <v>99.999999999999986</v>
      </c>
    </row>
    <row r="467" spans="1:16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2.16066309626058E-3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0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0.32493063459774141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0.75918140236490494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0.6996022742257344</v>
      </c>
      <c r="H467" s="1"/>
      <c r="I467" s="14">
        <f>(C461+D462+E463+F464+G465)/H466</f>
        <v>0.95858813752244254</v>
      </c>
      <c r="J467" s="53">
        <f>SQRT(SUM(P461:P465))/100</f>
        <v>7.649594486595003E-3</v>
      </c>
      <c r="M467" s="1"/>
      <c r="N467" s="9"/>
    </row>
    <row r="468" spans="1:16" x14ac:dyDescent="0.3">
      <c r="B468" s="1" t="s">
        <v>30</v>
      </c>
      <c r="C468" s="17">
        <f>C461/C466*100</f>
        <v>100</v>
      </c>
      <c r="D468" s="17">
        <f>D462/D466*100</f>
        <v>100</v>
      </c>
      <c r="E468" s="17">
        <f>E463/E466*100</f>
        <v>98.873050851805345</v>
      </c>
      <c r="F468" s="17">
        <f>F464/F466*100</f>
        <v>94.738640398993638</v>
      </c>
      <c r="G468" s="17">
        <f>G465/G466*100</f>
        <v>89.099132782571843</v>
      </c>
      <c r="H468" s="1"/>
    </row>
    <row r="469" spans="1:16" x14ac:dyDescent="0.3">
      <c r="B469" s="16" t="s">
        <v>39</v>
      </c>
      <c r="C469" s="18">
        <f>SQRT((C472+C473)/(C466*C466))</f>
        <v>0</v>
      </c>
      <c r="D469" s="18">
        <f>SQRT((D472+D473)/(D466*D466))</f>
        <v>0</v>
      </c>
      <c r="E469" s="18">
        <f>SQRT((E472+E473)/(E466*E466))</f>
        <v>0.77173558760165095</v>
      </c>
      <c r="F469" s="18">
        <f>SQRT((F472+F473)/(F466*F466))</f>
        <v>1.031656461754729</v>
      </c>
      <c r="G469" s="18">
        <f>SQRT((G472+G473)/(G466*G466))</f>
        <v>5.7309437265505583</v>
      </c>
      <c r="H469" s="1"/>
      <c r="I469" s="14"/>
    </row>
    <row r="470" spans="1:16" x14ac:dyDescent="0.3">
      <c r="B470" s="1" t="s">
        <v>37</v>
      </c>
      <c r="C470" s="18">
        <f>100-C468</f>
        <v>0</v>
      </c>
      <c r="D470" s="18">
        <f>100-D468</f>
        <v>0</v>
      </c>
      <c r="E470" s="18">
        <f>100-E468</f>
        <v>1.1269491481946545</v>
      </c>
      <c r="F470" s="18">
        <f>100-F468</f>
        <v>5.2613596010063617</v>
      </c>
      <c r="G470" s="18">
        <f>100-G468</f>
        <v>10.900867217428157</v>
      </c>
    </row>
    <row r="471" spans="1:16" ht="15.6" x14ac:dyDescent="0.35">
      <c r="B471" s="1" t="s">
        <v>25</v>
      </c>
      <c r="C471" s="1">
        <f>C455</f>
        <v>114</v>
      </c>
      <c r="D471" s="1">
        <f>D455</f>
        <v>15</v>
      </c>
      <c r="E471" s="1">
        <f>E455</f>
        <v>182</v>
      </c>
      <c r="F471" s="1">
        <f>F455</f>
        <v>186</v>
      </c>
      <c r="G471" s="1">
        <f>G455</f>
        <v>199</v>
      </c>
    </row>
    <row r="472" spans="1:16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0</v>
      </c>
      <c r="E472" s="18">
        <f>(O463*O463*(100-E468)*(100-E468)*(I463)*(100-I463))/((L463-1)*100)</f>
        <v>0</v>
      </c>
      <c r="F472" s="18">
        <f>(O464*O464*(100-F468)*(100-F468)*(I464)*(100-I464))/((L464-1)*100)</f>
        <v>1319.6899763797883</v>
      </c>
      <c r="G472" s="18">
        <f>(O465*O465*(100-G468)*(100-G468)*(I465)*(100-I465))/((L465-1)*100)</f>
        <v>1288.3958317006652</v>
      </c>
    </row>
    <row r="473" spans="1:16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0</v>
      </c>
      <c r="E473" s="18">
        <f>E468*E468*(SUM((H461*E461*(1-E450/H450))/(H450-1),(H462*E462*(1-E451/H451))/(H451-1), (H464*E464*(1-E453/H453))/(H453-1),(H465*E465*(1-E454/H454))/(H454-1)))</f>
        <v>1039.1244992997842</v>
      </c>
      <c r="F473" s="18">
        <f>F468*F468*(SUM((H461*F461*(1-F450/H450))/(H450-1),(H462*F462*(1-F451/H451))/(H451-1), (H463*F463*(1-F452/H452))/(H452-1),(H465*F465*(1-F454/H454))/(H454-1)))</f>
        <v>927.6702455854612</v>
      </c>
      <c r="G473" s="18">
        <f>G468*G468*(SUM((H461*G461*(1-G450/H450))/(H450-1),(H462*G462*(1-G451/H451))/(H451-1), (H463*G463*(1-G452/H452))/(H452-1),(H464*G464*(1-G453/H453))/(H453-1)))</f>
        <v>3049.4823419148838</v>
      </c>
    </row>
    <row r="476" spans="1:16" x14ac:dyDescent="0.3">
      <c r="A476" s="348">
        <v>1977</v>
      </c>
      <c r="B476" s="348"/>
      <c r="C476" s="348"/>
      <c r="D476" s="348"/>
      <c r="E476" s="348"/>
      <c r="F476" s="348"/>
      <c r="G476" s="348"/>
      <c r="H476" s="348"/>
      <c r="I476" s="348"/>
      <c r="J476" s="348"/>
      <c r="K476" s="348"/>
      <c r="L476" s="348" t="s">
        <v>89</v>
      </c>
      <c r="M476" s="348"/>
      <c r="N476" s="348"/>
      <c r="O476" s="348"/>
      <c r="P476" s="348"/>
    </row>
    <row r="477" spans="1:16" x14ac:dyDescent="0.3">
      <c r="A477" t="s">
        <v>15</v>
      </c>
      <c r="B477" t="s">
        <v>21</v>
      </c>
      <c r="I477" s="1" t="s">
        <v>53</v>
      </c>
      <c r="O477" s="350"/>
      <c r="P477" s="350"/>
    </row>
    <row r="478" spans="1:16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51</v>
      </c>
    </row>
    <row r="479" spans="1:16" x14ac:dyDescent="0.3">
      <c r="A479" t="s">
        <v>3</v>
      </c>
      <c r="B479" s="13">
        <v>0</v>
      </c>
      <c r="C479" s="26">
        <v>114</v>
      </c>
      <c r="D479" s="3">
        <v>0</v>
      </c>
      <c r="E479" s="3">
        <v>0</v>
      </c>
      <c r="F479" s="3">
        <v>1</v>
      </c>
      <c r="G479" s="4">
        <v>0</v>
      </c>
      <c r="H479" s="1">
        <f>SUM(C479:G479)</f>
        <v>115</v>
      </c>
      <c r="I479" s="10">
        <f>C479/H479</f>
        <v>0.99130434782608701</v>
      </c>
      <c r="J479" s="11">
        <f>1-I479</f>
        <v>8.6956521739129933E-3</v>
      </c>
      <c r="K479">
        <f>H479-C484</f>
        <v>1</v>
      </c>
      <c r="N479" s="10">
        <f>2*(C485*I479)/(C485+I479)</f>
        <v>0.99563318777292575</v>
      </c>
    </row>
    <row r="480" spans="1:16" x14ac:dyDescent="0.3">
      <c r="A480" t="s">
        <v>4</v>
      </c>
      <c r="B480" s="13">
        <v>1</v>
      </c>
      <c r="C480" s="5">
        <v>0</v>
      </c>
      <c r="D480" s="27">
        <v>15</v>
      </c>
      <c r="E480" s="1">
        <v>0</v>
      </c>
      <c r="F480" s="1">
        <v>0</v>
      </c>
      <c r="G480" s="6">
        <v>0</v>
      </c>
      <c r="H480" s="1">
        <f>SUM(C480:G480)</f>
        <v>15</v>
      </c>
      <c r="I480" s="10">
        <f>D480/H480</f>
        <v>1</v>
      </c>
      <c r="J480" s="11">
        <f>1-I480</f>
        <v>0</v>
      </c>
      <c r="K480">
        <f>H480-D484</f>
        <v>0</v>
      </c>
      <c r="N480" s="10">
        <f>2*(D485*I480)/(D485+I480)</f>
        <v>1</v>
      </c>
    </row>
    <row r="481" spans="1:16" x14ac:dyDescent="0.3">
      <c r="A481" t="s">
        <v>5</v>
      </c>
      <c r="B481" s="13">
        <v>2</v>
      </c>
      <c r="C481" s="5">
        <v>0</v>
      </c>
      <c r="D481" s="1">
        <v>0</v>
      </c>
      <c r="E481" s="27">
        <v>178</v>
      </c>
      <c r="F481" s="1">
        <v>0</v>
      </c>
      <c r="G481" s="6">
        <v>0</v>
      </c>
      <c r="H481" s="1">
        <f>SUM(C481:G481)</f>
        <v>178</v>
      </c>
      <c r="I481" s="10">
        <f>E481/H481</f>
        <v>1</v>
      </c>
      <c r="J481" s="11">
        <f>1-I481</f>
        <v>0</v>
      </c>
      <c r="K481">
        <f>H481-E484</f>
        <v>-5</v>
      </c>
      <c r="N481" s="10">
        <f>2*(E485*I481)/(E485+I481)</f>
        <v>0.98614958448753465</v>
      </c>
    </row>
    <row r="482" spans="1:16" x14ac:dyDescent="0.3">
      <c r="A482" t="s">
        <v>6</v>
      </c>
      <c r="B482" s="13">
        <v>3</v>
      </c>
      <c r="C482" s="5">
        <v>0</v>
      </c>
      <c r="D482" s="1">
        <v>0</v>
      </c>
      <c r="E482" s="1">
        <v>2</v>
      </c>
      <c r="F482" s="27">
        <v>137</v>
      </c>
      <c r="G482" s="6">
        <v>5</v>
      </c>
      <c r="H482" s="1">
        <f>SUM(C482:G482)</f>
        <v>144</v>
      </c>
      <c r="I482" s="10">
        <f>F482/H482</f>
        <v>0.95138888888888884</v>
      </c>
      <c r="J482" s="11">
        <f>1-I482</f>
        <v>4.861111111111116E-2</v>
      </c>
      <c r="K482">
        <f>H482-F484</f>
        <v>-38</v>
      </c>
      <c r="N482" s="10">
        <f>2*(F485*I482)/(F485+I482)</f>
        <v>0.84049079754601219</v>
      </c>
    </row>
    <row r="483" spans="1:16" x14ac:dyDescent="0.3">
      <c r="A483" t="s">
        <v>7</v>
      </c>
      <c r="B483" s="13">
        <v>4</v>
      </c>
      <c r="C483" s="7">
        <v>0</v>
      </c>
      <c r="D483" s="8">
        <v>0</v>
      </c>
      <c r="E483" s="8">
        <v>3</v>
      </c>
      <c r="F483" s="8">
        <v>44</v>
      </c>
      <c r="G483" s="28">
        <v>197</v>
      </c>
      <c r="H483" s="1">
        <f>SUM(C483:G483)</f>
        <v>244</v>
      </c>
      <c r="I483" s="10">
        <f>G483/H483</f>
        <v>0.80737704918032782</v>
      </c>
      <c r="J483" s="11">
        <f>1-I483</f>
        <v>0.19262295081967218</v>
      </c>
      <c r="K483">
        <f>H483-G484</f>
        <v>42</v>
      </c>
      <c r="N483" s="10">
        <f>2*(G485*I483)/(G485+I483)</f>
        <v>0.88340807174887892</v>
      </c>
    </row>
    <row r="484" spans="1:16" ht="15.6" x14ac:dyDescent="0.35">
      <c r="B484" s="1" t="s">
        <v>19</v>
      </c>
      <c r="C484" s="1">
        <f>SUM(C479:C483)</f>
        <v>114</v>
      </c>
      <c r="D484" s="1">
        <f>SUM(D479:D483)</f>
        <v>15</v>
      </c>
      <c r="E484" s="1">
        <f>SUM(E479:E483)</f>
        <v>183</v>
      </c>
      <c r="F484" s="1">
        <f>SUM(F479:F483)</f>
        <v>182</v>
      </c>
      <c r="G484" s="1">
        <f>SUM(G479:G483)</f>
        <v>202</v>
      </c>
      <c r="H484" s="1">
        <f>SUM(H478:H483)</f>
        <v>696</v>
      </c>
      <c r="I484" s="13" t="s">
        <v>12</v>
      </c>
      <c r="N484" s="16" t="s">
        <v>36</v>
      </c>
    </row>
    <row r="485" spans="1:16" x14ac:dyDescent="0.3">
      <c r="A485" s="1" t="s">
        <v>52</v>
      </c>
      <c r="B485" s="1" t="s">
        <v>2</v>
      </c>
      <c r="C485" s="10">
        <f>C479/C484</f>
        <v>1</v>
      </c>
      <c r="D485" s="10">
        <f>D480/D484</f>
        <v>1</v>
      </c>
      <c r="E485" s="10">
        <f>E481/E484</f>
        <v>0.97267759562841527</v>
      </c>
      <c r="F485" s="10">
        <f>F482/F484</f>
        <v>0.75274725274725274</v>
      </c>
      <c r="G485" s="10">
        <f>G483/G484</f>
        <v>0.97524752475247523</v>
      </c>
      <c r="H485" s="10"/>
      <c r="I485" s="14">
        <f>(C479+D480+E481+F482+G483)/H484</f>
        <v>0.92097701149425293</v>
      </c>
    </row>
    <row r="486" spans="1:16" x14ac:dyDescent="0.3">
      <c r="B486" s="1" t="s">
        <v>14</v>
      </c>
      <c r="C486" s="11">
        <f>1-C485</f>
        <v>0</v>
      </c>
      <c r="D486" s="11">
        <f>1-D485</f>
        <v>0</v>
      </c>
      <c r="E486" s="11">
        <f>1-E485</f>
        <v>2.732240437158473E-2</v>
      </c>
      <c r="F486" s="11">
        <f>1-F485</f>
        <v>0.24725274725274726</v>
      </c>
      <c r="G486" s="11">
        <f>1-G485</f>
        <v>2.4752475247524774E-2</v>
      </c>
    </row>
    <row r="487" spans="1:16" x14ac:dyDescent="0.3">
      <c r="C487" s="2"/>
    </row>
    <row r="488" spans="1:16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16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</row>
    <row r="490" spans="1:16" x14ac:dyDescent="0.3">
      <c r="A490" t="s">
        <v>3</v>
      </c>
      <c r="B490" s="13">
        <v>0</v>
      </c>
      <c r="C490" s="29">
        <f t="shared" ref="C490:G494" si="68">(C479/$L490)*$O490</f>
        <v>0.2542642838299683</v>
      </c>
      <c r="D490" s="31">
        <f t="shared" si="68"/>
        <v>0</v>
      </c>
      <c r="E490" s="31">
        <f t="shared" si="68"/>
        <v>0</v>
      </c>
      <c r="F490" s="31">
        <f t="shared" si="68"/>
        <v>2.2303884546488449E-3</v>
      </c>
      <c r="G490" s="32">
        <f t="shared" si="68"/>
        <v>0</v>
      </c>
      <c r="H490" s="17">
        <f>SUM(C490:G490)</f>
        <v>0.25649467228461714</v>
      </c>
      <c r="I490" s="17">
        <f>C490/H490*100</f>
        <v>99.130434782608688</v>
      </c>
      <c r="J490" s="17">
        <f>SQRT(I490*(100-I490)/(L490-1))</f>
        <v>0.8695652173913081</v>
      </c>
      <c r="K490" s="18">
        <f>100-I490</f>
        <v>0.86956521739131176</v>
      </c>
      <c r="L490" s="1">
        <f>H479</f>
        <v>115</v>
      </c>
      <c r="M490">
        <v>0</v>
      </c>
      <c r="N490" s="1">
        <v>159.87</v>
      </c>
      <c r="O490" s="17">
        <f>N490/N495*100</f>
        <v>0.25649467228461714</v>
      </c>
      <c r="P490" s="52">
        <f>((O490*O490*(I490/100)*(K490/100))/(L490-1))</f>
        <v>4.9746326586309035E-6</v>
      </c>
    </row>
    <row r="491" spans="1:16" x14ac:dyDescent="0.3">
      <c r="A491" t="s">
        <v>4</v>
      </c>
      <c r="B491" s="13">
        <v>1</v>
      </c>
      <c r="C491" s="33">
        <f t="shared" si="68"/>
        <v>0</v>
      </c>
      <c r="D491" s="34">
        <f t="shared" si="68"/>
        <v>0.42806870277261966</v>
      </c>
      <c r="E491" s="19">
        <f t="shared" si="68"/>
        <v>0</v>
      </c>
      <c r="F491" s="18">
        <f t="shared" si="68"/>
        <v>0</v>
      </c>
      <c r="G491" s="20">
        <f t="shared" si="68"/>
        <v>0</v>
      </c>
      <c r="H491" s="17">
        <f>SUM(C491:G491)</f>
        <v>0.42806870277261966</v>
      </c>
      <c r="I491" s="17">
        <f>D491/H491*100</f>
        <v>100</v>
      </c>
      <c r="J491" s="17">
        <f>SQRT(I491*(100-I491)/(L491-1))</f>
        <v>0</v>
      </c>
      <c r="K491" s="18">
        <f>100-I491</f>
        <v>0</v>
      </c>
      <c r="L491" s="1">
        <f>H480</f>
        <v>15</v>
      </c>
      <c r="M491">
        <v>1</v>
      </c>
      <c r="N491" s="1">
        <v>266.81</v>
      </c>
      <c r="O491" s="17">
        <f>N491/N495*100</f>
        <v>0.42806870277261966</v>
      </c>
      <c r="P491" s="52">
        <f>((O491*O491*(I491/100)*(K491/100))/(L491-1))</f>
        <v>0</v>
      </c>
    </row>
    <row r="492" spans="1:16" x14ac:dyDescent="0.3">
      <c r="A492" t="s">
        <v>5</v>
      </c>
      <c r="B492" s="13">
        <v>2</v>
      </c>
      <c r="C492" s="33">
        <f t="shared" si="68"/>
        <v>0</v>
      </c>
      <c r="D492" s="19">
        <f t="shared" si="68"/>
        <v>0</v>
      </c>
      <c r="E492" s="34">
        <f t="shared" si="68"/>
        <v>40.826805851165382</v>
      </c>
      <c r="F492" s="19">
        <f t="shared" si="68"/>
        <v>0</v>
      </c>
      <c r="G492" s="20">
        <f t="shared" si="68"/>
        <v>0</v>
      </c>
      <c r="H492" s="17">
        <f>SUM(C492:G492)</f>
        <v>40.826805851165382</v>
      </c>
      <c r="I492" s="17">
        <f>E492/H492*100</f>
        <v>100</v>
      </c>
      <c r="J492" s="17">
        <f>SQRT(I492*(100-I492)/(L492-1))</f>
        <v>0</v>
      </c>
      <c r="K492" s="18">
        <f>100-I492</f>
        <v>0</v>
      </c>
      <c r="L492" s="1">
        <f>H481</f>
        <v>178</v>
      </c>
      <c r="M492">
        <v>2</v>
      </c>
      <c r="N492" s="1">
        <v>25446.85</v>
      </c>
      <c r="O492" s="17">
        <f>N492/N495*100</f>
        <v>40.826805851165382</v>
      </c>
      <c r="P492" s="52">
        <f>((O492*O492*(I492/100)*(K492/100))/(L492-1))</f>
        <v>0</v>
      </c>
    </row>
    <row r="493" spans="1:16" x14ac:dyDescent="0.3">
      <c r="A493" t="s">
        <v>6</v>
      </c>
      <c r="B493" s="13">
        <v>3</v>
      </c>
      <c r="C493" s="33">
        <f t="shared" si="68"/>
        <v>0</v>
      </c>
      <c r="D493" s="19">
        <f t="shared" si="68"/>
        <v>0</v>
      </c>
      <c r="E493" s="19">
        <f t="shared" si="68"/>
        <v>0.6360003356394911</v>
      </c>
      <c r="F493" s="34">
        <f t="shared" si="68"/>
        <v>43.56602299130514</v>
      </c>
      <c r="G493" s="20">
        <f t="shared" si="68"/>
        <v>1.5900008390987279</v>
      </c>
      <c r="H493" s="17">
        <f>SUM(C493:G493)</f>
        <v>45.792024166043362</v>
      </c>
      <c r="I493" s="17">
        <f>F493/H493*100</f>
        <v>95.138888888888886</v>
      </c>
      <c r="J493" s="17">
        <f>SQRT(I493*(100-I493)/(L493-1))</f>
        <v>1.7983689383153578</v>
      </c>
      <c r="K493" s="18">
        <f>100-I493</f>
        <v>4.8611111111111143</v>
      </c>
      <c r="L493" s="1">
        <f>H482</f>
        <v>144</v>
      </c>
      <c r="M493">
        <v>3</v>
      </c>
      <c r="N493" s="1">
        <v>28541.61</v>
      </c>
      <c r="O493" s="17">
        <f>N493/N495*100</f>
        <v>45.792024166043362</v>
      </c>
      <c r="P493" s="52">
        <f>((O493*O493*(I493/100)*(K493/100))/(L493-1))</f>
        <v>0.67816796054068229</v>
      </c>
    </row>
    <row r="494" spans="1:16" x14ac:dyDescent="0.3">
      <c r="A494" t="s">
        <v>7</v>
      </c>
      <c r="B494" s="13">
        <v>4</v>
      </c>
      <c r="C494" s="35">
        <f t="shared" si="68"/>
        <v>0</v>
      </c>
      <c r="D494" s="36">
        <f t="shared" si="68"/>
        <v>0</v>
      </c>
      <c r="E494" s="21">
        <f t="shared" si="68"/>
        <v>0.15610581894754944</v>
      </c>
      <c r="F494" s="21">
        <f t="shared" si="68"/>
        <v>2.2895520112307253</v>
      </c>
      <c r="G494" s="37">
        <f t="shared" si="68"/>
        <v>10.250948777555745</v>
      </c>
      <c r="H494" s="17">
        <f>SUM(C494:G494)</f>
        <v>12.69660660773402</v>
      </c>
      <c r="I494" s="17">
        <f>G494/H494*100</f>
        <v>80.737704918032776</v>
      </c>
      <c r="J494" s="17">
        <f>SQRT(I494*(100-I494)/(L494-1))</f>
        <v>2.5298168384486917</v>
      </c>
      <c r="K494" s="18">
        <f>100-I494</f>
        <v>19.262295081967224</v>
      </c>
      <c r="L494" s="1">
        <f>H483</f>
        <v>244</v>
      </c>
      <c r="M494">
        <v>4</v>
      </c>
      <c r="N494" s="1">
        <v>7913.64</v>
      </c>
      <c r="O494" s="17">
        <f>N494/N495*100</f>
        <v>12.69660660773402</v>
      </c>
      <c r="P494" s="52">
        <f>((O494*O494*(I494/100)*(K494/100))/(L494-1))</f>
        <v>0.10317001294068159</v>
      </c>
    </row>
    <row r="495" spans="1:16" x14ac:dyDescent="0.3">
      <c r="B495" t="s">
        <v>28</v>
      </c>
      <c r="C495" s="17">
        <f t="shared" ref="C495:H495" si="69">SUM(C490:C494)</f>
        <v>0.2542642838299683</v>
      </c>
      <c r="D495" s="17">
        <f t="shared" si="69"/>
        <v>0.42806870277261966</v>
      </c>
      <c r="E495" s="17">
        <f t="shared" si="69"/>
        <v>41.618912005752428</v>
      </c>
      <c r="F495" s="17">
        <f t="shared" si="69"/>
        <v>45.857805390990514</v>
      </c>
      <c r="G495" s="17">
        <f t="shared" si="69"/>
        <v>11.840949616654473</v>
      </c>
      <c r="H495" s="18">
        <f t="shared" si="69"/>
        <v>100</v>
      </c>
      <c r="I495" s="13" t="s">
        <v>24</v>
      </c>
      <c r="J495" s="12" t="s">
        <v>29</v>
      </c>
      <c r="N495" s="1">
        <f>SUM(N490:N494)</f>
        <v>62328.78</v>
      </c>
      <c r="O495" s="17">
        <f>SUM(O490:O494)</f>
        <v>100</v>
      </c>
    </row>
    <row r="496" spans="1:16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2.2206699402068856E-3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0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0.45548034682603755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0.8781327070175674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0.7686426023553623</v>
      </c>
      <c r="H496" s="1"/>
      <c r="I496" s="14">
        <f>(C490+D491+E492+F493+G494)/H495</f>
        <v>0.95326110606628855</v>
      </c>
      <c r="J496" s="53">
        <f>SQRT(SUM(P490:P494))/100</f>
        <v>8.8393605431276671E-3</v>
      </c>
      <c r="M496" s="1"/>
      <c r="N496" s="9"/>
    </row>
    <row r="497" spans="1:16" x14ac:dyDescent="0.3">
      <c r="B497" s="1" t="s">
        <v>30</v>
      </c>
      <c r="C497" s="17">
        <f>C490/C495*100</f>
        <v>100</v>
      </c>
      <c r="D497" s="17">
        <f>D491/D495*100</f>
        <v>100</v>
      </c>
      <c r="E497" s="17">
        <f>E492/E495*100</f>
        <v>98.096763907529436</v>
      </c>
      <c r="F497" s="17">
        <f>F493/F495*100</f>
        <v>95.002415880687494</v>
      </c>
      <c r="G497" s="17">
        <f>G494/G495*100</f>
        <v>86.57201583847322</v>
      </c>
      <c r="H497" s="1"/>
    </row>
    <row r="498" spans="1:16" x14ac:dyDescent="0.3">
      <c r="B498" s="16" t="s">
        <v>39</v>
      </c>
      <c r="C498" s="18">
        <f>SQRT((C501+C502)/(C495*C495))</f>
        <v>0</v>
      </c>
      <c r="D498" s="18">
        <f>SQRT((D501+D502)/(D495*D495))</f>
        <v>0</v>
      </c>
      <c r="E498" s="18">
        <f>SQRT((E501+E502)/(E495*E495))</f>
        <v>1.0772656891435621</v>
      </c>
      <c r="F498" s="18">
        <f>SQRT((F501+F502)/(F495*F495))</f>
        <v>1.1073820933870457</v>
      </c>
      <c r="G498" s="18">
        <f>SQRT((G501+G502)/(G495*G495))</f>
        <v>6.2880387786127665</v>
      </c>
      <c r="H498" s="1"/>
      <c r="I498" s="14"/>
    </row>
    <row r="499" spans="1:16" x14ac:dyDescent="0.3">
      <c r="B499" s="1" t="s">
        <v>37</v>
      </c>
      <c r="C499" s="18">
        <f>100-C497</f>
        <v>0</v>
      </c>
      <c r="D499" s="18">
        <f>100-D497</f>
        <v>0</v>
      </c>
      <c r="E499" s="18">
        <f>100-E497</f>
        <v>1.9032360924705642</v>
      </c>
      <c r="F499" s="18">
        <f>100-F497</f>
        <v>4.9975841193125063</v>
      </c>
      <c r="G499" s="18">
        <f>100-G497</f>
        <v>13.42798416152678</v>
      </c>
    </row>
    <row r="500" spans="1:16" ht="15.6" x14ac:dyDescent="0.35">
      <c r="B500" s="1" t="s">
        <v>25</v>
      </c>
      <c r="C500" s="1">
        <f>C484</f>
        <v>114</v>
      </c>
      <c r="D500" s="1">
        <f>D484</f>
        <v>15</v>
      </c>
      <c r="E500" s="1">
        <f>E484</f>
        <v>183</v>
      </c>
      <c r="F500" s="1">
        <f>F484</f>
        <v>182</v>
      </c>
      <c r="G500" s="1">
        <f>G484</f>
        <v>202</v>
      </c>
    </row>
    <row r="501" spans="1:16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0</v>
      </c>
      <c r="E501" s="18">
        <f>(O492*O492*(100-E497)*(100-E497)*(I492)*(100-I492))/((L492-1)*100)</f>
        <v>0</v>
      </c>
      <c r="F501" s="18">
        <f>(O493*O493*(100-F497)*(100-F497)*(I493)*(100-I493))/((L493-1)*100)</f>
        <v>1693.7819242842979</v>
      </c>
      <c r="G501" s="18">
        <f>(O494*O494*(100-G497)*(100-G497)*(I494)*(100-I494))/((L494-1)*100)</f>
        <v>1860.2663302461342</v>
      </c>
    </row>
    <row r="502" spans="1:16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0</v>
      </c>
      <c r="E502" s="18">
        <f>E497*E497*(SUM((H490*E490*(1-E479/H479))/(H479-1),(H491*E491*(1-E480/H480))/(H480-1), (H493*E493*(1-E482/H482))/(H482-1),(H494*E494*(1-E483/H483))/(H483-1)))</f>
        <v>2010.1436816806449</v>
      </c>
      <c r="F502" s="18">
        <f>F497*F497*(SUM((H490*F490*(1-F479/H479))/(H479-1),(H491*F491*(1-F480/H480))/(H480-1), (H492*F492*(1-F481/H481))/(H481-1),(H494*F494*(1-F483/H483))/(H483-1)))</f>
        <v>885.04102892951278</v>
      </c>
      <c r="G502" s="18">
        <f>G497*G497*(SUM((H490*G490*(1-G479/H479))/(H479-1),(H491*G491*(1-G480/H480))/(H480-1), (H492*G492*(1-G481/H481))/(H481-1),(H493*G493*(1-G482/H482))/(H482-1)))</f>
        <v>3683.4817794478636</v>
      </c>
    </row>
    <row r="505" spans="1:16" x14ac:dyDescent="0.3">
      <c r="A505" s="348">
        <v>1977</v>
      </c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 t="s">
        <v>90</v>
      </c>
      <c r="M505" s="348"/>
      <c r="N505" s="348"/>
      <c r="O505" s="348"/>
      <c r="P505" s="348"/>
    </row>
    <row r="506" spans="1:16" x14ac:dyDescent="0.3">
      <c r="A506" t="s">
        <v>15</v>
      </c>
      <c r="B506" t="s">
        <v>21</v>
      </c>
      <c r="I506" s="1" t="s">
        <v>53</v>
      </c>
      <c r="O506" s="350"/>
      <c r="P506" s="350"/>
    </row>
    <row r="507" spans="1:16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51</v>
      </c>
    </row>
    <row r="508" spans="1:16" x14ac:dyDescent="0.3">
      <c r="A508" t="s">
        <v>3</v>
      </c>
      <c r="B508" s="13">
        <v>0</v>
      </c>
      <c r="C508" s="26">
        <v>114</v>
      </c>
      <c r="D508" s="3">
        <v>0</v>
      </c>
      <c r="E508" s="3">
        <v>0</v>
      </c>
      <c r="F508" s="3">
        <v>1</v>
      </c>
      <c r="G508" s="4">
        <v>0</v>
      </c>
      <c r="H508" s="1">
        <f>SUM(C508:G508)</f>
        <v>115</v>
      </c>
      <c r="I508" s="10">
        <f>C508/H508</f>
        <v>0.99130434782608701</v>
      </c>
      <c r="J508" s="11">
        <f>1-I508</f>
        <v>8.6956521739129933E-3</v>
      </c>
      <c r="K508">
        <f>H508-C513</f>
        <v>1</v>
      </c>
      <c r="N508" s="10">
        <f>2*(C514*I508)/(C514+I508)</f>
        <v>0.99563318777292575</v>
      </c>
    </row>
    <row r="509" spans="1:16" x14ac:dyDescent="0.3">
      <c r="A509" t="s">
        <v>4</v>
      </c>
      <c r="B509" s="13">
        <v>1</v>
      </c>
      <c r="C509" s="5">
        <v>0</v>
      </c>
      <c r="D509" s="27">
        <v>15</v>
      </c>
      <c r="E509" s="1">
        <v>0</v>
      </c>
      <c r="F509" s="1">
        <v>0</v>
      </c>
      <c r="G509" s="6">
        <v>0</v>
      </c>
      <c r="H509" s="1">
        <f>SUM(C509:G509)</f>
        <v>15</v>
      </c>
      <c r="I509" s="10">
        <f>D509/H509</f>
        <v>1</v>
      </c>
      <c r="J509" s="11">
        <f>1-I509</f>
        <v>0</v>
      </c>
      <c r="K509">
        <f>H509-D513</f>
        <v>0</v>
      </c>
      <c r="N509" s="10">
        <f>2*(D514*I509)/(D514+I509)</f>
        <v>1</v>
      </c>
    </row>
    <row r="510" spans="1:16" x14ac:dyDescent="0.3">
      <c r="A510" t="s">
        <v>5</v>
      </c>
      <c r="B510" s="13">
        <v>2</v>
      </c>
      <c r="C510" s="5">
        <v>0</v>
      </c>
      <c r="D510" s="1">
        <v>0</v>
      </c>
      <c r="E510" s="27">
        <v>178</v>
      </c>
      <c r="F510" s="1">
        <v>0</v>
      </c>
      <c r="G510" s="6">
        <v>0</v>
      </c>
      <c r="H510" s="1">
        <f>SUM(C510:G510)</f>
        <v>178</v>
      </c>
      <c r="I510" s="10">
        <f>E510/H510</f>
        <v>1</v>
      </c>
      <c r="J510" s="11">
        <f>1-I510</f>
        <v>0</v>
      </c>
      <c r="K510">
        <f>H510-E513</f>
        <v>-4</v>
      </c>
      <c r="N510" s="10">
        <f>2*(E514*I510)/(E514+I510)</f>
        <v>0.98888888888888882</v>
      </c>
    </row>
    <row r="511" spans="1:16" x14ac:dyDescent="0.3">
      <c r="A511" t="s">
        <v>6</v>
      </c>
      <c r="B511" s="13">
        <v>3</v>
      </c>
      <c r="C511" s="5">
        <v>0</v>
      </c>
      <c r="D511" s="1">
        <v>0</v>
      </c>
      <c r="E511" s="1">
        <v>1</v>
      </c>
      <c r="F511" s="27">
        <v>139</v>
      </c>
      <c r="G511" s="6">
        <v>4</v>
      </c>
      <c r="H511" s="1">
        <f>SUM(C511:G511)</f>
        <v>144</v>
      </c>
      <c r="I511" s="10">
        <f>F511/H511</f>
        <v>0.96527777777777779</v>
      </c>
      <c r="J511" s="11">
        <f>1-I511</f>
        <v>3.472222222222221E-2</v>
      </c>
      <c r="K511">
        <f>H511-F513</f>
        <v>-38</v>
      </c>
      <c r="N511" s="10">
        <f>2*(F514*I511)/(F514+I511)</f>
        <v>0.85276073619631898</v>
      </c>
    </row>
    <row r="512" spans="1:16" x14ac:dyDescent="0.3">
      <c r="A512" t="s">
        <v>7</v>
      </c>
      <c r="B512" s="13">
        <v>4</v>
      </c>
      <c r="C512" s="7">
        <v>0</v>
      </c>
      <c r="D512" s="8">
        <v>0</v>
      </c>
      <c r="E512" s="8">
        <v>3</v>
      </c>
      <c r="F512" s="8">
        <v>42</v>
      </c>
      <c r="G512" s="28">
        <v>199</v>
      </c>
      <c r="H512" s="1">
        <f>SUM(C512:G512)</f>
        <v>244</v>
      </c>
      <c r="I512" s="10">
        <f>G512/H512</f>
        <v>0.81557377049180324</v>
      </c>
      <c r="J512" s="11">
        <f>1-I512</f>
        <v>0.18442622950819676</v>
      </c>
      <c r="K512">
        <f>H512-G513</f>
        <v>41</v>
      </c>
      <c r="N512" s="10">
        <f>2*(G514*I512)/(G514+I512)</f>
        <v>0.89038031319910504</v>
      </c>
    </row>
    <row r="513" spans="1:16" ht="15.6" x14ac:dyDescent="0.35">
      <c r="B513" s="1" t="s">
        <v>19</v>
      </c>
      <c r="C513" s="1">
        <f>SUM(C508:C512)</f>
        <v>114</v>
      </c>
      <c r="D513" s="1">
        <f>SUM(D508:D512)</f>
        <v>15</v>
      </c>
      <c r="E513" s="1">
        <f>SUM(E508:E512)</f>
        <v>182</v>
      </c>
      <c r="F513" s="1">
        <f>SUM(F508:F512)</f>
        <v>182</v>
      </c>
      <c r="G513" s="1">
        <f>SUM(G508:G512)</f>
        <v>203</v>
      </c>
      <c r="H513" s="1">
        <f>SUM(H507:H512)</f>
        <v>696</v>
      </c>
      <c r="I513" s="13" t="s">
        <v>12</v>
      </c>
      <c r="N513" s="16" t="s">
        <v>36</v>
      </c>
    </row>
    <row r="514" spans="1:16" x14ac:dyDescent="0.3">
      <c r="A514" s="1" t="s">
        <v>52</v>
      </c>
      <c r="B514" s="1" t="s">
        <v>2</v>
      </c>
      <c r="C514" s="10">
        <f>C508/C513</f>
        <v>1</v>
      </c>
      <c r="D514" s="10">
        <f>D509/D513</f>
        <v>1</v>
      </c>
      <c r="E514" s="10">
        <f>E510/E513</f>
        <v>0.97802197802197799</v>
      </c>
      <c r="F514" s="10">
        <f>F511/F513</f>
        <v>0.76373626373626369</v>
      </c>
      <c r="G514" s="10">
        <f>G512/G513</f>
        <v>0.98029556650246308</v>
      </c>
      <c r="H514" s="10"/>
      <c r="I514" s="14">
        <f>(C508+D509+E510+F511+G512)/H513</f>
        <v>0.92672413793103448</v>
      </c>
    </row>
    <row r="515" spans="1:16" x14ac:dyDescent="0.3">
      <c r="B515" s="1" t="s">
        <v>14</v>
      </c>
      <c r="C515" s="11">
        <f>1-C514</f>
        <v>0</v>
      </c>
      <c r="D515" s="11">
        <f>1-D514</f>
        <v>0</v>
      </c>
      <c r="E515" s="11">
        <f>1-E514</f>
        <v>2.1978021978022011E-2</v>
      </c>
      <c r="F515" s="11">
        <f>1-F514</f>
        <v>0.23626373626373631</v>
      </c>
      <c r="G515" s="11">
        <f>1-G514</f>
        <v>1.9704433497536922E-2</v>
      </c>
    </row>
    <row r="516" spans="1:16" x14ac:dyDescent="0.3">
      <c r="C516" s="2"/>
    </row>
    <row r="517" spans="1:16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</row>
    <row r="518" spans="1:16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16" x14ac:dyDescent="0.3">
      <c r="A519" t="s">
        <v>3</v>
      </c>
      <c r="B519" s="13">
        <v>0</v>
      </c>
      <c r="C519" s="29">
        <f t="shared" ref="C519:G523" si="70">(C508/$L519)*$O519</f>
        <v>0.25712704179407858</v>
      </c>
      <c r="D519" s="31">
        <f t="shared" si="70"/>
        <v>0</v>
      </c>
      <c r="E519" s="31">
        <f t="shared" si="70"/>
        <v>0</v>
      </c>
      <c r="F519" s="31">
        <f t="shared" si="70"/>
        <v>2.2555003666147244E-3</v>
      </c>
      <c r="G519" s="32">
        <f t="shared" si="70"/>
        <v>0</v>
      </c>
      <c r="H519" s="17">
        <f>SUM(C519:G519)</f>
        <v>0.25938254216069329</v>
      </c>
      <c r="I519" s="17">
        <f>C519/H519*100</f>
        <v>99.130434782608702</v>
      </c>
      <c r="J519" s="17">
        <f>SQRT(I519*(100-I519)/(L519-1))</f>
        <v>0.86956521739130099</v>
      </c>
      <c r="K519" s="18">
        <f>100-I519</f>
        <v>0.86956521739129755</v>
      </c>
      <c r="L519" s="1">
        <f>H508</f>
        <v>115</v>
      </c>
      <c r="M519">
        <v>0</v>
      </c>
      <c r="N519" s="1">
        <v>161.66999999999999</v>
      </c>
      <c r="O519" s="17">
        <f>N519/N524*100</f>
        <v>0.25938254216069329</v>
      </c>
      <c r="P519" s="52">
        <f>((O519*O519*(I519/100)*(K519/100))/(L519-1))</f>
        <v>5.087281903799116E-6</v>
      </c>
    </row>
    <row r="520" spans="1:16" x14ac:dyDescent="0.3">
      <c r="A520" t="s">
        <v>4</v>
      </c>
      <c r="B520" s="13">
        <v>1</v>
      </c>
      <c r="C520" s="33">
        <f t="shared" si="70"/>
        <v>0</v>
      </c>
      <c r="D520" s="34">
        <f t="shared" si="70"/>
        <v>0.4997048715368933</v>
      </c>
      <c r="E520" s="19">
        <f t="shared" si="70"/>
        <v>0</v>
      </c>
      <c r="F520" s="18">
        <f t="shared" si="70"/>
        <v>0</v>
      </c>
      <c r="G520" s="20">
        <f t="shared" si="70"/>
        <v>0</v>
      </c>
      <c r="H520" s="17">
        <f>SUM(C520:G520)</f>
        <v>0.4997048715368933</v>
      </c>
      <c r="I520" s="17">
        <f>D520/H520*100</f>
        <v>100</v>
      </c>
      <c r="J520" s="17">
        <f>SQRT(I520*(100-I520)/(L520-1))</f>
        <v>0</v>
      </c>
      <c r="K520" s="18">
        <f>100-I520</f>
        <v>0</v>
      </c>
      <c r="L520" s="1">
        <f>H509</f>
        <v>15</v>
      </c>
      <c r="M520">
        <v>1</v>
      </c>
      <c r="N520" s="1">
        <v>311.45999999999998</v>
      </c>
      <c r="O520" s="17">
        <f>N520/N524*100</f>
        <v>0.4997048715368933</v>
      </c>
      <c r="P520" s="52">
        <f>((O520*O520*(I520/100)*(K520/100))/(L520-1))</f>
        <v>0</v>
      </c>
    </row>
    <row r="521" spans="1:16" x14ac:dyDescent="0.3">
      <c r="A521" t="s">
        <v>5</v>
      </c>
      <c r="B521" s="13">
        <v>2</v>
      </c>
      <c r="C521" s="33">
        <f t="shared" si="70"/>
        <v>0</v>
      </c>
      <c r="D521" s="19">
        <f t="shared" si="70"/>
        <v>0</v>
      </c>
      <c r="E521" s="34">
        <f t="shared" si="70"/>
        <v>40.485961623833866</v>
      </c>
      <c r="F521" s="19">
        <f t="shared" si="70"/>
        <v>0</v>
      </c>
      <c r="G521" s="20">
        <f t="shared" si="70"/>
        <v>0</v>
      </c>
      <c r="H521" s="17">
        <f>SUM(C521:G521)</f>
        <v>40.485961623833866</v>
      </c>
      <c r="I521" s="17">
        <f>E521/H521*100</f>
        <v>100</v>
      </c>
      <c r="J521" s="17">
        <f>SQRT(I521*(100-I521)/(L521-1))</f>
        <v>0</v>
      </c>
      <c r="K521" s="18">
        <f>100-I521</f>
        <v>0</v>
      </c>
      <c r="L521" s="1">
        <f>H510</f>
        <v>178</v>
      </c>
      <c r="M521">
        <v>2</v>
      </c>
      <c r="N521" s="1">
        <v>25234.41</v>
      </c>
      <c r="O521" s="17">
        <f>N521/N524*100</f>
        <v>40.485961623833866</v>
      </c>
      <c r="P521" s="52">
        <f>((O521*O521*(I521/100)*(K521/100))/(L521-1))</f>
        <v>0</v>
      </c>
    </row>
    <row r="522" spans="1:16" x14ac:dyDescent="0.3">
      <c r="A522" t="s">
        <v>6</v>
      </c>
      <c r="B522" s="13">
        <v>3</v>
      </c>
      <c r="C522" s="33">
        <f t="shared" si="70"/>
        <v>0</v>
      </c>
      <c r="D522" s="19">
        <f t="shared" si="70"/>
        <v>0</v>
      </c>
      <c r="E522" s="19">
        <f t="shared" si="70"/>
        <v>0.31544868305998275</v>
      </c>
      <c r="F522" s="34">
        <f t="shared" si="70"/>
        <v>43.847366945337605</v>
      </c>
      <c r="G522" s="20">
        <f t="shared" si="70"/>
        <v>1.261794732239931</v>
      </c>
      <c r="H522" s="17">
        <f>SUM(C522:G522)</f>
        <v>45.424610360637516</v>
      </c>
      <c r="I522" s="17">
        <f>F522/H522*100</f>
        <v>96.527777777777786</v>
      </c>
      <c r="J522" s="17">
        <f>SQRT(I522*(100-I522)/(L522-1))</f>
        <v>1.5309531175003726</v>
      </c>
      <c r="K522" s="18">
        <f>100-I522</f>
        <v>3.4722222222222143</v>
      </c>
      <c r="L522" s="1">
        <f>H511</f>
        <v>144</v>
      </c>
      <c r="M522">
        <v>3</v>
      </c>
      <c r="N522" s="1">
        <v>28312.61</v>
      </c>
      <c r="O522" s="17">
        <f>N522/N524*100</f>
        <v>45.424610360637516</v>
      </c>
      <c r="P522" s="52">
        <f>((O522*O522*(I522/100)*(K522/100))/(L522-1))</f>
        <v>0.48362217337603269</v>
      </c>
    </row>
    <row r="523" spans="1:16" x14ac:dyDescent="0.3">
      <c r="A523" t="s">
        <v>7</v>
      </c>
      <c r="B523" s="13">
        <v>4</v>
      </c>
      <c r="C523" s="35">
        <f t="shared" si="70"/>
        <v>0</v>
      </c>
      <c r="D523" s="36">
        <f t="shared" si="70"/>
        <v>0</v>
      </c>
      <c r="E523" s="21">
        <f t="shared" si="70"/>
        <v>0.16389763035038152</v>
      </c>
      <c r="F523" s="21">
        <f t="shared" si="70"/>
        <v>2.2945668249053415</v>
      </c>
      <c r="G523" s="37">
        <f t="shared" si="70"/>
        <v>10.871876146575307</v>
      </c>
      <c r="H523" s="17">
        <f>SUM(C523:G523)</f>
        <v>13.330340601831029</v>
      </c>
      <c r="I523" s="17">
        <f>G523/H523*100</f>
        <v>81.557377049180332</v>
      </c>
      <c r="J523" s="17">
        <f>SQRT(I523*(100-I523)/(L523-1))</f>
        <v>2.4879395955642503</v>
      </c>
      <c r="K523" s="18">
        <f>100-I523</f>
        <v>18.442622950819668</v>
      </c>
      <c r="L523" s="1">
        <f>H512</f>
        <v>244</v>
      </c>
      <c r="M523">
        <v>4</v>
      </c>
      <c r="N523" s="1">
        <v>8308.64</v>
      </c>
      <c r="O523" s="17">
        <f>N523/N524*100</f>
        <v>13.330340601831031</v>
      </c>
      <c r="P523" s="52">
        <f>((O523*O523*(I523/100)*(K523/100))/(L523-1))</f>
        <v>0.10999226777077345</v>
      </c>
    </row>
    <row r="524" spans="1:16" x14ac:dyDescent="0.3">
      <c r="B524" t="s">
        <v>28</v>
      </c>
      <c r="C524" s="17">
        <f>SUM(C519:C523)</f>
        <v>0.25712704179407858</v>
      </c>
      <c r="D524" s="17">
        <f>SUM(D519:D523)</f>
        <v>0.4997048715368933</v>
      </c>
      <c r="E524" s="17">
        <f>SUM(E519:E523)</f>
        <v>40.965307937244233</v>
      </c>
      <c r="F524" s="17">
        <f>SUM(F519:F523)</f>
        <v>46.144189270609559</v>
      </c>
      <c r="G524" s="17">
        <f>SUM(G519:G523)</f>
        <v>12.133670878815238</v>
      </c>
      <c r="H524" s="1">
        <f>SUM(H518:H523)</f>
        <v>99.999999999999986</v>
      </c>
      <c r="I524" s="13" t="s">
        <v>24</v>
      </c>
      <c r="J524" s="12" t="s">
        <v>29</v>
      </c>
      <c r="N524" s="1">
        <f>SUM(N519:N523)</f>
        <v>62328.79</v>
      </c>
      <c r="O524" s="17">
        <f>SUM(O519:O523)</f>
        <v>99.999999999999986</v>
      </c>
    </row>
    <row r="525" spans="1:16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2.2456724315565368E-3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0.32811720044804632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0.7642308098521603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0.70463929508828738</v>
      </c>
      <c r="H525" s="1"/>
      <c r="I525" s="14">
        <f>(C519+D520+E521+F522+G523)/H524</f>
        <v>0.95962036629077763</v>
      </c>
      <c r="J525" s="53">
        <f>SQRT(SUM(P519:P523))/100</f>
        <v>7.7046708458487047E-3</v>
      </c>
      <c r="M525" s="1"/>
      <c r="N525" s="9"/>
    </row>
    <row r="526" spans="1:16" x14ac:dyDescent="0.3">
      <c r="B526" s="1" t="s">
        <v>30</v>
      </c>
      <c r="C526" s="17">
        <f>C519/C524*100</f>
        <v>100</v>
      </c>
      <c r="D526" s="17">
        <f>D520/D524*100</f>
        <v>100</v>
      </c>
      <c r="E526" s="17">
        <f>E521/E524*100</f>
        <v>98.829872549366186</v>
      </c>
      <c r="F526" s="17">
        <f>F522/F524*100</f>
        <v>95.022510176086556</v>
      </c>
      <c r="G526" s="17">
        <f>G523/G524*100</f>
        <v>89.600882166311607</v>
      </c>
      <c r="H526" s="1"/>
    </row>
    <row r="527" spans="1:16" x14ac:dyDescent="0.3">
      <c r="B527" s="16" t="s">
        <v>39</v>
      </c>
      <c r="C527" s="18">
        <f>SQRT((C530+C531)/(C524*C524))</f>
        <v>0</v>
      </c>
      <c r="D527" s="18">
        <f>SQRT((D530+D531)/(D524*D524))</f>
        <v>0</v>
      </c>
      <c r="E527" s="18">
        <f>SQRT((E530+E531)/(E524*E524))</f>
        <v>0.79426102645284125</v>
      </c>
      <c r="F527" s="18">
        <f>SQRT((F530+F531)/(F524*F524))</f>
        <v>1.0023145029031653</v>
      </c>
      <c r="G527" s="18">
        <f>SQRT((G530+G531)/(G524*G524))</f>
        <v>5.4156058102567277</v>
      </c>
      <c r="H527" s="1"/>
      <c r="I527" s="14"/>
    </row>
    <row r="528" spans="1:16" x14ac:dyDescent="0.3">
      <c r="B528" s="1" t="s">
        <v>37</v>
      </c>
      <c r="C528" s="18">
        <f>100-C526</f>
        <v>0</v>
      </c>
      <c r="D528" s="18">
        <f>100-D526</f>
        <v>0</v>
      </c>
      <c r="E528" s="18">
        <f>100-E526</f>
        <v>1.1701274506338137</v>
      </c>
      <c r="F528" s="18">
        <f>100-F526</f>
        <v>4.9774898239134444</v>
      </c>
      <c r="G528" s="18">
        <f>100-G526</f>
        <v>10.399117833688393</v>
      </c>
    </row>
    <row r="529" spans="1:19" ht="15.6" x14ac:dyDescent="0.35">
      <c r="B529" s="1" t="s">
        <v>25</v>
      </c>
      <c r="C529" s="1">
        <f>C513</f>
        <v>114</v>
      </c>
      <c r="D529" s="1">
        <f>D513</f>
        <v>15</v>
      </c>
      <c r="E529" s="1">
        <f>E513</f>
        <v>182</v>
      </c>
      <c r="F529" s="1">
        <f>F513</f>
        <v>182</v>
      </c>
      <c r="G529" s="1">
        <f>G513</f>
        <v>203</v>
      </c>
    </row>
    <row r="530" spans="1:19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0</v>
      </c>
      <c r="E530" s="18">
        <f>(O521*O521*(100-E526)*(100-E526)*(I521)*(100-I521))/((L521-1)*100)</f>
        <v>0</v>
      </c>
      <c r="F530" s="18">
        <f>(O522*O522*(100-F526)*(100-F526)*(I522)*(100-I522))/((L522-1)*100)</f>
        <v>1198.1935186817741</v>
      </c>
      <c r="G530" s="18">
        <f>(O523*O523*(100-G526)*(100-G526)*(I523)*(100-I523))/((L523-1)*100)</f>
        <v>1189.4745513042931</v>
      </c>
    </row>
    <row r="531" spans="1:19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0</v>
      </c>
      <c r="E531" s="18">
        <f>E526*E526*(SUM((H519*E519*(1-E508/H508))/(H508-1),(H520*E520*(1-E509/H509))/(H509-1), (H522*E522*(1-E511/H511))/(H511-1),(H523*E523*(1-E512/H512))/(H512-1)))</f>
        <v>1058.6659694665752</v>
      </c>
      <c r="F531" s="18">
        <f>F526*F526*(SUM((H519*F519*(1-F508/H508))/(H508-1),(H520*F520*(1-F509/H509))/(H509-1), (H521*F521*(1-F510/H510))/(H510-1),(H523*F523*(1-F512/H512))/(H512-1)))</f>
        <v>940.96056938283925</v>
      </c>
      <c r="G531" s="18">
        <f>G526*G526*(SUM((H519*G519*(1-G508/H508))/(H508-1),(H520*G520*(1-G509/H509))/(H509-1), (H521*G521*(1-G510/H510))/(H510-1),(H522*G522*(1-G511/H511))/(H511-1)))</f>
        <v>3128.4844300073978</v>
      </c>
    </row>
    <row r="534" spans="1:19" x14ac:dyDescent="0.3">
      <c r="A534" s="348">
        <v>1977</v>
      </c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 t="s">
        <v>91</v>
      </c>
      <c r="M534" s="348"/>
      <c r="N534" s="348"/>
      <c r="O534" s="348"/>
      <c r="P534" s="348"/>
    </row>
    <row r="535" spans="1:19" x14ac:dyDescent="0.3">
      <c r="A535" t="s">
        <v>15</v>
      </c>
      <c r="B535" t="s">
        <v>21</v>
      </c>
      <c r="I535" s="1" t="s">
        <v>53</v>
      </c>
      <c r="O535" s="350"/>
      <c r="P535" s="350"/>
    </row>
    <row r="536" spans="1:19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51</v>
      </c>
    </row>
    <row r="537" spans="1:19" x14ac:dyDescent="0.3">
      <c r="A537" t="s">
        <v>3</v>
      </c>
      <c r="B537" s="13">
        <v>0</v>
      </c>
      <c r="C537" s="26">
        <v>114</v>
      </c>
      <c r="D537" s="3">
        <v>0</v>
      </c>
      <c r="E537" s="3">
        <v>0</v>
      </c>
      <c r="F537" s="3">
        <v>1</v>
      </c>
      <c r="G537" s="4">
        <v>0</v>
      </c>
      <c r="H537" s="1">
        <f>SUM(C537:G537)</f>
        <v>115</v>
      </c>
      <c r="I537" s="10">
        <f>C537/H537</f>
        <v>0.99130434782608701</v>
      </c>
      <c r="J537" s="11">
        <f>1-I537</f>
        <v>8.6956521739129933E-3</v>
      </c>
      <c r="K537">
        <f>H537-C542</f>
        <v>1</v>
      </c>
      <c r="N537" s="10">
        <f>2*(C543*I537)/(C543+I537)</f>
        <v>0.99563318777292575</v>
      </c>
      <c r="R537" s="1"/>
      <c r="S537" s="1"/>
    </row>
    <row r="538" spans="1:19" x14ac:dyDescent="0.3">
      <c r="A538" t="s">
        <v>4</v>
      </c>
      <c r="B538" s="13">
        <v>1</v>
      </c>
      <c r="C538" s="5">
        <v>0</v>
      </c>
      <c r="D538" s="27">
        <v>15</v>
      </c>
      <c r="E538" s="1">
        <v>0</v>
      </c>
      <c r="F538" s="1">
        <v>0</v>
      </c>
      <c r="G538" s="6">
        <v>0</v>
      </c>
      <c r="H538" s="1">
        <f>SUM(C538:G538)</f>
        <v>15</v>
      </c>
      <c r="I538" s="10">
        <f>D538/H538</f>
        <v>1</v>
      </c>
      <c r="J538" s="11">
        <f>1-I538</f>
        <v>0</v>
      </c>
      <c r="K538">
        <f>H538-D542</f>
        <v>0</v>
      </c>
      <c r="N538" s="10">
        <f>2*(D543*I538)/(D543+I538)</f>
        <v>1</v>
      </c>
      <c r="R538" s="1"/>
      <c r="S538" s="1"/>
    </row>
    <row r="539" spans="1:19" x14ac:dyDescent="0.3">
      <c r="A539" t="s">
        <v>5</v>
      </c>
      <c r="B539" s="13">
        <v>2</v>
      </c>
      <c r="C539" s="5">
        <v>0</v>
      </c>
      <c r="D539" s="1">
        <v>0</v>
      </c>
      <c r="E539" s="27">
        <v>178</v>
      </c>
      <c r="F539" s="1">
        <v>0</v>
      </c>
      <c r="G539" s="6">
        <v>0</v>
      </c>
      <c r="H539" s="1">
        <f>SUM(C539:G539)</f>
        <v>178</v>
      </c>
      <c r="I539" s="10">
        <f>E539/H539</f>
        <v>1</v>
      </c>
      <c r="J539" s="11">
        <f>1-I539</f>
        <v>0</v>
      </c>
      <c r="K539">
        <f>H539-E542</f>
        <v>-5</v>
      </c>
      <c r="N539" s="10">
        <f>2*(E543*I539)/(E543+I539)</f>
        <v>0.98614958448753465</v>
      </c>
      <c r="R539" s="1"/>
      <c r="S539" s="1"/>
    </row>
    <row r="540" spans="1:19" x14ac:dyDescent="0.3">
      <c r="A540" t="s">
        <v>6</v>
      </c>
      <c r="B540" s="13">
        <v>3</v>
      </c>
      <c r="C540" s="5">
        <v>0</v>
      </c>
      <c r="D540" s="1">
        <v>0</v>
      </c>
      <c r="E540" s="1">
        <v>1</v>
      </c>
      <c r="F540" s="27">
        <v>138</v>
      </c>
      <c r="G540" s="6">
        <v>5</v>
      </c>
      <c r="H540" s="1">
        <f>SUM(C540:G540)</f>
        <v>144</v>
      </c>
      <c r="I540" s="10">
        <f>F540/H540</f>
        <v>0.95833333333333337</v>
      </c>
      <c r="J540" s="11">
        <f>1-I540</f>
        <v>4.166666666666663E-2</v>
      </c>
      <c r="K540">
        <f>H540-F542</f>
        <v>-41</v>
      </c>
      <c r="N540" s="10">
        <f>2*(F543*I540)/(F543+I540)</f>
        <v>0.83890577507598785</v>
      </c>
      <c r="R540" s="1"/>
      <c r="S540" s="1"/>
    </row>
    <row r="541" spans="1:19" x14ac:dyDescent="0.3">
      <c r="A541" t="s">
        <v>7</v>
      </c>
      <c r="B541" s="13">
        <v>4</v>
      </c>
      <c r="C541" s="7">
        <v>0</v>
      </c>
      <c r="D541" s="8">
        <v>0</v>
      </c>
      <c r="E541" s="8">
        <v>4</v>
      </c>
      <c r="F541" s="8">
        <v>46</v>
      </c>
      <c r="G541" s="28">
        <v>194</v>
      </c>
      <c r="H541" s="1">
        <f>SUM(C541:G541)</f>
        <v>244</v>
      </c>
      <c r="I541" s="10">
        <f>G541/H541</f>
        <v>0.79508196721311475</v>
      </c>
      <c r="J541" s="11">
        <f>1-I541</f>
        <v>0.20491803278688525</v>
      </c>
      <c r="K541">
        <f>H541-G542</f>
        <v>45</v>
      </c>
      <c r="N541" s="10">
        <f>2*(G543*I541)/(G543+I541)</f>
        <v>0.87584650112866824</v>
      </c>
      <c r="R541" s="1"/>
      <c r="S541" s="1"/>
    </row>
    <row r="542" spans="1:19" ht="15.6" x14ac:dyDescent="0.35">
      <c r="B542" s="1" t="s">
        <v>19</v>
      </c>
      <c r="C542" s="1">
        <f>SUM(C537:C541)</f>
        <v>114</v>
      </c>
      <c r="D542" s="1">
        <f>SUM(D537:D541)</f>
        <v>15</v>
      </c>
      <c r="E542" s="1">
        <f>SUM(E537:E541)</f>
        <v>183</v>
      </c>
      <c r="F542" s="1">
        <f>SUM(F537:F541)</f>
        <v>185</v>
      </c>
      <c r="G542" s="1">
        <f>SUM(G537:G541)</f>
        <v>199</v>
      </c>
      <c r="H542" s="1">
        <f>SUM(H536:H541)</f>
        <v>696</v>
      </c>
      <c r="I542" s="13" t="s">
        <v>12</v>
      </c>
      <c r="N542" s="16" t="s">
        <v>36</v>
      </c>
    </row>
    <row r="543" spans="1:19" x14ac:dyDescent="0.3">
      <c r="A543" s="1" t="s">
        <v>52</v>
      </c>
      <c r="B543" s="1" t="s">
        <v>2</v>
      </c>
      <c r="C543" s="10">
        <f>C537/C542</f>
        <v>1</v>
      </c>
      <c r="D543" s="10">
        <f>D538/D542</f>
        <v>1</v>
      </c>
      <c r="E543" s="10">
        <f>E539/E542</f>
        <v>0.97267759562841527</v>
      </c>
      <c r="F543" s="10">
        <f>F540/F542</f>
        <v>0.74594594594594599</v>
      </c>
      <c r="G543" s="10">
        <f>G541/G542</f>
        <v>0.97487437185929648</v>
      </c>
      <c r="H543" s="10"/>
      <c r="I543" s="14">
        <f>(C537+D538+E539+F540+G541)/H542</f>
        <v>0.9181034482758621</v>
      </c>
      <c r="R543" s="1"/>
      <c r="S543" s="1"/>
    </row>
    <row r="544" spans="1:19" x14ac:dyDescent="0.3">
      <c r="B544" s="1" t="s">
        <v>14</v>
      </c>
      <c r="C544" s="11">
        <f>1-C543</f>
        <v>0</v>
      </c>
      <c r="D544" s="11">
        <f>1-D543</f>
        <v>0</v>
      </c>
      <c r="E544" s="11">
        <f>1-E543</f>
        <v>2.732240437158473E-2</v>
      </c>
      <c r="F544" s="11">
        <f>1-F543</f>
        <v>0.25405405405405401</v>
      </c>
      <c r="G544" s="11">
        <f>1-G543</f>
        <v>2.5125628140703515E-2</v>
      </c>
      <c r="R544" s="1"/>
      <c r="S544" s="1"/>
    </row>
    <row r="545" spans="1:19" x14ac:dyDescent="0.3">
      <c r="C545" s="2"/>
      <c r="R545" s="1"/>
      <c r="S545" s="1"/>
    </row>
    <row r="546" spans="1:19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  <c r="R546" s="1"/>
      <c r="S546" s="1"/>
    </row>
    <row r="547" spans="1:19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  <c r="R547" s="1"/>
      <c r="S547" s="1"/>
    </row>
    <row r="548" spans="1:19" x14ac:dyDescent="0.3">
      <c r="A548" t="s">
        <v>3</v>
      </c>
      <c r="B548" s="13">
        <v>0</v>
      </c>
      <c r="C548" s="29">
        <f t="shared" ref="C548:G552" si="71">(C537/$L548)*$O548</f>
        <v>0.2519740444560073</v>
      </c>
      <c r="D548" s="31">
        <f t="shared" si="71"/>
        <v>0</v>
      </c>
      <c r="E548" s="31">
        <f t="shared" si="71"/>
        <v>0</v>
      </c>
      <c r="F548" s="31">
        <f t="shared" si="71"/>
        <v>2.2102986355790112E-3</v>
      </c>
      <c r="G548" s="32">
        <f t="shared" si="71"/>
        <v>0</v>
      </c>
      <c r="H548" s="17">
        <f>SUM(C548:G548)</f>
        <v>0.25418434309158633</v>
      </c>
      <c r="I548" s="17">
        <f>C548/H548*100</f>
        <v>99.130434782608688</v>
      </c>
      <c r="J548" s="17">
        <f>SQRT(I548*(100-I548)/(L548-1))</f>
        <v>0.8695652173913081</v>
      </c>
      <c r="K548" s="18">
        <f>100-I548</f>
        <v>0.86956521739131176</v>
      </c>
      <c r="L548" s="1">
        <f>H537</f>
        <v>115</v>
      </c>
      <c r="M548">
        <v>0</v>
      </c>
      <c r="N548" s="1">
        <v>158.43</v>
      </c>
      <c r="O548" s="17">
        <f>N548/N553*100</f>
        <v>0.25418434309158627</v>
      </c>
      <c r="P548" s="52">
        <f>((O548*O548*(I548/100)*(K548/100))/(L548-1))</f>
        <v>4.8854200584424794E-6</v>
      </c>
    </row>
    <row r="549" spans="1:19" x14ac:dyDescent="0.3">
      <c r="A549" t="s">
        <v>4</v>
      </c>
      <c r="B549" s="13">
        <v>1</v>
      </c>
      <c r="C549" s="33">
        <f t="shared" si="71"/>
        <v>0</v>
      </c>
      <c r="D549" s="34">
        <f t="shared" si="71"/>
        <v>0.54766032641742712</v>
      </c>
      <c r="E549" s="19">
        <f t="shared" si="71"/>
        <v>0</v>
      </c>
      <c r="F549" s="18">
        <f t="shared" si="71"/>
        <v>0</v>
      </c>
      <c r="G549" s="20">
        <f t="shared" si="71"/>
        <v>0</v>
      </c>
      <c r="H549" s="17">
        <f>SUM(C549:G549)</f>
        <v>0.54766032641742712</v>
      </c>
      <c r="I549" s="17">
        <f>D549/H549*100</f>
        <v>100</v>
      </c>
      <c r="J549" s="17">
        <f>SQRT(I549*(100-I549)/(L549-1))</f>
        <v>0</v>
      </c>
      <c r="K549" s="18">
        <f>100-I549</f>
        <v>0</v>
      </c>
      <c r="L549" s="1">
        <f>H538</f>
        <v>15</v>
      </c>
      <c r="M549">
        <v>1</v>
      </c>
      <c r="N549" s="1">
        <v>341.35</v>
      </c>
      <c r="O549" s="17">
        <f>N549/N553*100</f>
        <v>0.54766032641742712</v>
      </c>
      <c r="P549" s="52">
        <f>((O549*O549*(I549/100)*(K549/100))/(L549-1))</f>
        <v>0</v>
      </c>
    </row>
    <row r="550" spans="1:19" x14ac:dyDescent="0.3">
      <c r="A550" t="s">
        <v>5</v>
      </c>
      <c r="B550" s="13">
        <v>2</v>
      </c>
      <c r="C550" s="33">
        <f t="shared" si="71"/>
        <v>0</v>
      </c>
      <c r="D550" s="19">
        <f t="shared" si="71"/>
        <v>0</v>
      </c>
      <c r="E550" s="34">
        <f t="shared" si="71"/>
        <v>39.925600982403317</v>
      </c>
      <c r="F550" s="19">
        <f t="shared" si="71"/>
        <v>0</v>
      </c>
      <c r="G550" s="20">
        <f t="shared" si="71"/>
        <v>0</v>
      </c>
      <c r="H550" s="17">
        <f>SUM(C550:G550)</f>
        <v>39.925600982403317</v>
      </c>
      <c r="I550" s="17">
        <f>E550/H550*100</f>
        <v>100</v>
      </c>
      <c r="J550" s="17">
        <f>SQRT(I550*(100-I550)/(L550-1))</f>
        <v>0</v>
      </c>
      <c r="K550" s="18">
        <f>100-I550</f>
        <v>0</v>
      </c>
      <c r="L550" s="1">
        <f>H539</f>
        <v>178</v>
      </c>
      <c r="M550">
        <v>2</v>
      </c>
      <c r="N550" s="1">
        <v>24885.14</v>
      </c>
      <c r="O550" s="17">
        <f>N550/N553*100</f>
        <v>39.925600982403317</v>
      </c>
      <c r="P550" s="52">
        <f>((O550*O550*(I550/100)*(K550/100))/(L550-1))</f>
        <v>0</v>
      </c>
    </row>
    <row r="551" spans="1:19" x14ac:dyDescent="0.3">
      <c r="A551" t="s">
        <v>6</v>
      </c>
      <c r="B551" s="13">
        <v>3</v>
      </c>
      <c r="C551" s="33">
        <f t="shared" si="71"/>
        <v>0</v>
      </c>
      <c r="D551" s="19">
        <f t="shared" si="71"/>
        <v>0</v>
      </c>
      <c r="E551" s="19">
        <f t="shared" si="71"/>
        <v>0.32408595105574733</v>
      </c>
      <c r="F551" s="34">
        <f t="shared" si="71"/>
        <v>44.723861245693136</v>
      </c>
      <c r="G551" s="20">
        <f t="shared" si="71"/>
        <v>1.620429755278737</v>
      </c>
      <c r="H551" s="17">
        <f>SUM(C551:G551)</f>
        <v>46.668376952027621</v>
      </c>
      <c r="I551" s="17">
        <f>F551/H551*100</f>
        <v>95.833333333333329</v>
      </c>
      <c r="J551" s="17">
        <f>SQRT(I551*(100-I551)/(L551-1))</f>
        <v>1.6710315802959994</v>
      </c>
      <c r="K551" s="18">
        <f>100-I551</f>
        <v>4.1666666666666714</v>
      </c>
      <c r="L551" s="1">
        <f>H540</f>
        <v>144</v>
      </c>
      <c r="M551">
        <v>3</v>
      </c>
      <c r="N551" s="1">
        <v>29087.83</v>
      </c>
      <c r="O551" s="17">
        <f>N551/N553*100</f>
        <v>46.668376952027621</v>
      </c>
      <c r="P551" s="52">
        <f>((O551*O551*(I551/100)*(K551/100))/(L551-1))</f>
        <v>0.6081555988823395</v>
      </c>
    </row>
    <row r="552" spans="1:19" x14ac:dyDescent="0.3">
      <c r="A552" t="s">
        <v>7</v>
      </c>
      <c r="B552" s="13">
        <v>4</v>
      </c>
      <c r="C552" s="35">
        <f t="shared" si="71"/>
        <v>0</v>
      </c>
      <c r="D552" s="36">
        <f t="shared" si="71"/>
        <v>0</v>
      </c>
      <c r="E552" s="21">
        <f t="shared" si="71"/>
        <v>0.20662585895180419</v>
      </c>
      <c r="F552" s="21">
        <f t="shared" si="71"/>
        <v>2.3761973779457479</v>
      </c>
      <c r="G552" s="37">
        <f t="shared" si="71"/>
        <v>10.021354159162502</v>
      </c>
      <c r="H552" s="17">
        <f>SUM(C552:G552)</f>
        <v>12.604177396060054</v>
      </c>
      <c r="I552" s="17">
        <f>G552/H552*100</f>
        <v>79.508196721311478</v>
      </c>
      <c r="J552" s="17">
        <f>SQRT(I552*(100-I552)/(L552-1))</f>
        <v>2.5893627973940467</v>
      </c>
      <c r="K552" s="18">
        <f>100-I552</f>
        <v>20.491803278688522</v>
      </c>
      <c r="L552" s="1">
        <f>H541</f>
        <v>244</v>
      </c>
      <c r="M552">
        <v>4</v>
      </c>
      <c r="N552" s="1">
        <v>7856.03</v>
      </c>
      <c r="O552" s="17">
        <f>N552/N553*100</f>
        <v>12.604177396060054</v>
      </c>
      <c r="P552" s="52">
        <f>((O552*O552*(I552/100)*(K552/100))/(L552-1))</f>
        <v>0.10651599336405282</v>
      </c>
    </row>
    <row r="553" spans="1:19" x14ac:dyDescent="0.3">
      <c r="B553" t="s">
        <v>28</v>
      </c>
      <c r="C553" s="17">
        <f>SUM(C548:C552)</f>
        <v>0.2519740444560073</v>
      </c>
      <c r="D553" s="17">
        <f>SUM(D548:D552)</f>
        <v>0.54766032641742712</v>
      </c>
      <c r="E553" s="17">
        <f>SUM(E548:E552)</f>
        <v>40.45631279241087</v>
      </c>
      <c r="F553" s="17">
        <f>SUM(F548:F552)</f>
        <v>47.102268922274469</v>
      </c>
      <c r="G553" s="17">
        <f>SUM(G548:G552)</f>
        <v>11.641783914441239</v>
      </c>
      <c r="H553" s="1">
        <f>SUM(H547:H552)</f>
        <v>100.00000000000001</v>
      </c>
      <c r="I553" s="13" t="s">
        <v>24</v>
      </c>
      <c r="J553" s="12" t="s">
        <v>29</v>
      </c>
      <c r="N553" s="1">
        <f>SUM(N548:N552)</f>
        <v>62328.78</v>
      </c>
      <c r="O553" s="17">
        <f>SUM(O548:O552)</f>
        <v>100.00000000000001</v>
      </c>
    </row>
    <row r="554" spans="1:19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2.2006676588914274E-3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0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0.33882281773989925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0.8387743820917748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0.78294527266587799</v>
      </c>
      <c r="H554" s="1"/>
      <c r="I554" s="56">
        <f>(C548+D549+E550+F551+G552)/H553</f>
        <v>0.95470450758132375</v>
      </c>
      <c r="J554" s="53">
        <f>SQRT(SUM(P548:P552))/100</f>
        <v>8.4538540185317302E-3</v>
      </c>
      <c r="M554" s="1"/>
      <c r="N554" s="9"/>
    </row>
    <row r="555" spans="1:19" x14ac:dyDescent="0.3">
      <c r="B555" s="1" t="s">
        <v>30</v>
      </c>
      <c r="C555" s="17">
        <f>C548/C553*100</f>
        <v>100</v>
      </c>
      <c r="D555" s="17">
        <f>D549/D553*100</f>
        <v>100</v>
      </c>
      <c r="E555" s="17">
        <f>E550/E553*100</f>
        <v>98.68818541934175</v>
      </c>
      <c r="F555" s="17">
        <f>F551/F553*100</f>
        <v>94.950545417448893</v>
      </c>
      <c r="G555" s="17">
        <f>G552/G553*100</f>
        <v>86.080915371838771</v>
      </c>
      <c r="H555" s="1"/>
    </row>
    <row r="556" spans="1:19" x14ac:dyDescent="0.3">
      <c r="B556" s="16" t="s">
        <v>39</v>
      </c>
      <c r="C556" s="18">
        <f>SQRT((C559+C560)/(C553*C553))</f>
        <v>0</v>
      </c>
      <c r="D556" s="18">
        <f>SQRT((D559+D560)/(D553*D553))</f>
        <v>0</v>
      </c>
      <c r="E556" s="18">
        <f>SQRT((E559+E560)/(E553*E553))</f>
        <v>0.82929297088718334</v>
      </c>
      <c r="F556" s="18">
        <f>SQRT((F559+F560)/(F553*F553))</f>
        <v>1.0513562607804054</v>
      </c>
      <c r="G556" s="18">
        <f>SQRT((G559+G560)/(G553*G553))</f>
        <v>6.5677521939410797</v>
      </c>
      <c r="H556" s="1"/>
      <c r="I556" s="14"/>
    </row>
    <row r="557" spans="1:19" x14ac:dyDescent="0.3">
      <c r="B557" s="1" t="s">
        <v>37</v>
      </c>
      <c r="C557" s="18">
        <f>100-C555</f>
        <v>0</v>
      </c>
      <c r="D557" s="18">
        <f>100-D555</f>
        <v>0</v>
      </c>
      <c r="E557" s="18">
        <f>100-E555</f>
        <v>1.3118145806582504</v>
      </c>
      <c r="F557" s="18">
        <f>100-F555</f>
        <v>5.0494545825511068</v>
      </c>
      <c r="G557" s="18">
        <f>100-G555</f>
        <v>13.919084628161229</v>
      </c>
    </row>
    <row r="558" spans="1:19" ht="15.6" x14ac:dyDescent="0.35">
      <c r="B558" s="1" t="s">
        <v>25</v>
      </c>
      <c r="C558" s="1">
        <f>C542</f>
        <v>114</v>
      </c>
      <c r="D558" s="1">
        <f>D542</f>
        <v>15</v>
      </c>
      <c r="E558" s="1">
        <f>E542</f>
        <v>183</v>
      </c>
      <c r="F558" s="1">
        <f>F542</f>
        <v>185</v>
      </c>
      <c r="G558" s="1">
        <f>G542</f>
        <v>199</v>
      </c>
    </row>
    <row r="559" spans="1:19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0</v>
      </c>
      <c r="E559" s="18">
        <f>(O550*O550*(100-E555)*(100-E555)*(I550)*(100-I550))/((L550-1)*100)</f>
        <v>0</v>
      </c>
      <c r="F559" s="18">
        <f>(O551*O551*(100-F555)*(100-F555)*(I551)*(100-I551))/((L551-1)*100)</f>
        <v>1550.6138184790857</v>
      </c>
      <c r="G559" s="18">
        <f>(O552*O552*(100-G555)*(100-G555)*(I552)*(100-I552))/((L552-1)*100)</f>
        <v>2063.6506217365545</v>
      </c>
    </row>
    <row r="560" spans="1:19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0</v>
      </c>
      <c r="E560" s="18">
        <f>E555*E555*(SUM((H548*E548*(1-E537/H537))/(H537-1),(H549*E549*(1-E538/H538))/(H538-1), (H551*E551*(1-E540/H540))/(H540-1),(H552*E552*(1-E541/H541))/(H541-1)))</f>
        <v>1125.6116139940161</v>
      </c>
      <c r="F560" s="18">
        <f>F555*F555*(SUM((H548*F548*(1-F537/H537))/(H537-1),(H549*F549*(1-F538/H538))/(H538-1), (H550*F550*(1-F539/H539))/(H539-1),(H552*F552*(1-F541/H541))/(H541-1)))</f>
        <v>901.74190124626944</v>
      </c>
      <c r="G560" s="18">
        <f>G555*G555*(SUM((H548*G548*(1-G537/H537))/(H537-1),(H549*G549*(1-G538/H538))/(H538-1), (H550*G550*(1-G539/H539))/(H539-1),(H551*G551*(1-G540/H540))/(H540-1)))</f>
        <v>3782.5347825948948</v>
      </c>
    </row>
    <row r="563" spans="1:16" x14ac:dyDescent="0.3">
      <c r="A563" s="348">
        <v>1977</v>
      </c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 t="s">
        <v>92</v>
      </c>
      <c r="M563" s="348"/>
      <c r="N563" s="348"/>
      <c r="O563" s="348"/>
      <c r="P563" s="348"/>
    </row>
    <row r="564" spans="1:16" x14ac:dyDescent="0.3">
      <c r="A564" t="s">
        <v>15</v>
      </c>
      <c r="B564" t="s">
        <v>21</v>
      </c>
      <c r="I564" s="1" t="s">
        <v>53</v>
      </c>
      <c r="O564" s="350"/>
      <c r="P564" s="350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51</v>
      </c>
    </row>
    <row r="566" spans="1:16" x14ac:dyDescent="0.3">
      <c r="A566" t="s">
        <v>3</v>
      </c>
      <c r="B566" s="13">
        <v>0</v>
      </c>
      <c r="C566" s="26">
        <v>114</v>
      </c>
      <c r="D566" s="3">
        <v>0</v>
      </c>
      <c r="E566" s="3">
        <v>0</v>
      </c>
      <c r="F566" s="3">
        <v>1</v>
      </c>
      <c r="G566" s="4">
        <v>0</v>
      </c>
      <c r="H566" s="1">
        <f>SUM(C566:G566)</f>
        <v>115</v>
      </c>
      <c r="I566" s="10">
        <f>C566/H566</f>
        <v>0.99130434782608701</v>
      </c>
      <c r="J566" s="11">
        <f>1-I566</f>
        <v>8.6956521739129933E-3</v>
      </c>
      <c r="K566">
        <f>H566-C571</f>
        <v>1</v>
      </c>
      <c r="N566" s="10">
        <f>2*(C572*I566)/(C572+I566)</f>
        <v>0.99563318777292575</v>
      </c>
    </row>
    <row r="567" spans="1:16" x14ac:dyDescent="0.3">
      <c r="A567" t="s">
        <v>4</v>
      </c>
      <c r="B567" s="13">
        <v>1</v>
      </c>
      <c r="C567" s="5">
        <v>0</v>
      </c>
      <c r="D567" s="27">
        <v>15</v>
      </c>
      <c r="E567" s="1">
        <v>0</v>
      </c>
      <c r="F567" s="1">
        <v>0</v>
      </c>
      <c r="G567" s="6">
        <v>0</v>
      </c>
      <c r="H567" s="1">
        <f>SUM(C567:G567)</f>
        <v>15</v>
      </c>
      <c r="I567" s="10">
        <f>D567/H567</f>
        <v>1</v>
      </c>
      <c r="J567" s="11">
        <f>1-I567</f>
        <v>0</v>
      </c>
      <c r="K567">
        <f>H567-D571</f>
        <v>0</v>
      </c>
      <c r="N567" s="10">
        <f>2*(D572*I567)/(D572+I567)</f>
        <v>1</v>
      </c>
    </row>
    <row r="568" spans="1:16" x14ac:dyDescent="0.3">
      <c r="A568" t="s">
        <v>5</v>
      </c>
      <c r="B568" s="13">
        <v>2</v>
      </c>
      <c r="C568" s="5">
        <v>0</v>
      </c>
      <c r="D568" s="1">
        <v>0</v>
      </c>
      <c r="E568" s="27">
        <v>178</v>
      </c>
      <c r="F568" s="1">
        <v>0</v>
      </c>
      <c r="G568" s="6">
        <v>0</v>
      </c>
      <c r="H568" s="1">
        <f>SUM(C568:G568)</f>
        <v>178</v>
      </c>
      <c r="I568" s="10">
        <f>E568/H568</f>
        <v>1</v>
      </c>
      <c r="J568" s="11">
        <f>1-I568</f>
        <v>0</v>
      </c>
      <c r="K568">
        <f>H568-E571</f>
        <v>-6</v>
      </c>
      <c r="N568" s="10">
        <f>2*(E572*I568)/(E572+I568)</f>
        <v>0.98342541436464082</v>
      </c>
    </row>
    <row r="569" spans="1:16" x14ac:dyDescent="0.3">
      <c r="A569" t="s">
        <v>6</v>
      </c>
      <c r="B569" s="13">
        <v>3</v>
      </c>
      <c r="C569" s="5">
        <v>0</v>
      </c>
      <c r="D569" s="1">
        <v>0</v>
      </c>
      <c r="E569" s="1">
        <v>2</v>
      </c>
      <c r="F569" s="27">
        <v>138</v>
      </c>
      <c r="G569" s="6">
        <v>4</v>
      </c>
      <c r="H569" s="1">
        <f>SUM(C569:G569)</f>
        <v>144</v>
      </c>
      <c r="I569" s="10">
        <f>F569/H569</f>
        <v>0.95833333333333337</v>
      </c>
      <c r="J569" s="11">
        <f>1-I569</f>
        <v>4.166666666666663E-2</v>
      </c>
      <c r="K569">
        <f>H569-F571</f>
        <v>-38</v>
      </c>
      <c r="N569" s="10">
        <f>2*(F572*I569)/(F572+I569)</f>
        <v>0.84662576687116553</v>
      </c>
    </row>
    <row r="570" spans="1:16" x14ac:dyDescent="0.3">
      <c r="A570" t="s">
        <v>7</v>
      </c>
      <c r="B570" s="13">
        <v>4</v>
      </c>
      <c r="C570" s="7">
        <v>0</v>
      </c>
      <c r="D570" s="8">
        <v>0</v>
      </c>
      <c r="E570" s="8">
        <v>4</v>
      </c>
      <c r="F570" s="8">
        <v>43</v>
      </c>
      <c r="G570" s="28">
        <v>197</v>
      </c>
      <c r="H570" s="1">
        <f>SUM(C570:G570)</f>
        <v>244</v>
      </c>
      <c r="I570" s="10">
        <f>G570/H570</f>
        <v>0.80737704918032782</v>
      </c>
      <c r="J570" s="11">
        <f>1-I570</f>
        <v>0.19262295081967218</v>
      </c>
      <c r="K570">
        <f>H570-G571</f>
        <v>43</v>
      </c>
      <c r="N570" s="10">
        <f>2*(G572*I570)/(G572+I570)</f>
        <v>0.88539325842696626</v>
      </c>
    </row>
    <row r="571" spans="1:16" ht="15.6" x14ac:dyDescent="0.35">
      <c r="B571" s="1" t="s">
        <v>19</v>
      </c>
      <c r="C571" s="1">
        <f>SUM(C566:C570)</f>
        <v>114</v>
      </c>
      <c r="D571" s="1">
        <f>SUM(D566:D570)</f>
        <v>15</v>
      </c>
      <c r="E571" s="1">
        <f>SUM(E566:E570)</f>
        <v>184</v>
      </c>
      <c r="F571" s="1">
        <f>SUM(F566:F570)</f>
        <v>182</v>
      </c>
      <c r="G571" s="1">
        <f>SUM(G566:G570)</f>
        <v>201</v>
      </c>
      <c r="H571" s="1">
        <f>SUM(H565:H570)</f>
        <v>696</v>
      </c>
      <c r="I571" s="13" t="s">
        <v>12</v>
      </c>
      <c r="N571" s="16" t="s">
        <v>36</v>
      </c>
    </row>
    <row r="572" spans="1:16" x14ac:dyDescent="0.3">
      <c r="A572" s="1" t="s">
        <v>52</v>
      </c>
      <c r="B572" s="1" t="s">
        <v>2</v>
      </c>
      <c r="C572" s="10">
        <f>C566/C571</f>
        <v>1</v>
      </c>
      <c r="D572" s="10">
        <f>D567/D571</f>
        <v>1</v>
      </c>
      <c r="E572" s="10">
        <f>E568/E571</f>
        <v>0.96739130434782605</v>
      </c>
      <c r="F572" s="10">
        <f>F569/F571</f>
        <v>0.75824175824175821</v>
      </c>
      <c r="G572" s="10">
        <f>G570/G571</f>
        <v>0.98009950248756217</v>
      </c>
      <c r="H572" s="10"/>
      <c r="I572" s="14">
        <f>(C566+D567+E568+F569+G570)/H571</f>
        <v>0.92241379310344829</v>
      </c>
    </row>
    <row r="573" spans="1:16" x14ac:dyDescent="0.3">
      <c r="B573" s="1" t="s">
        <v>14</v>
      </c>
      <c r="C573" s="11">
        <f>1-C572</f>
        <v>0</v>
      </c>
      <c r="D573" s="11">
        <f>1-D572</f>
        <v>0</v>
      </c>
      <c r="E573" s="11">
        <f>1-E572</f>
        <v>3.2608695652173947E-2</v>
      </c>
      <c r="F573" s="11">
        <f>1-F572</f>
        <v>0.24175824175824179</v>
      </c>
      <c r="G573" s="11">
        <f>1-G572</f>
        <v>1.9900497512437831E-2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 t="shared" ref="C577:G581" si="72">(C566/$L577)*$O577</f>
        <v>0.24796612555157541</v>
      </c>
      <c r="D577" s="31">
        <f t="shared" si="72"/>
        <v>0</v>
      </c>
      <c r="E577" s="31">
        <f t="shared" si="72"/>
        <v>0</v>
      </c>
      <c r="F577" s="31">
        <f t="shared" si="72"/>
        <v>2.1751414522068017E-3</v>
      </c>
      <c r="G577" s="32">
        <f t="shared" si="72"/>
        <v>0</v>
      </c>
      <c r="H577" s="17">
        <f>SUM(C577:G577)</f>
        <v>0.2501412670037822</v>
      </c>
      <c r="I577" s="17">
        <f>C577/H577*100</f>
        <v>99.130434782608702</v>
      </c>
      <c r="J577" s="17">
        <f>SQRT(I577*(100-I577)/(L577-1))</f>
        <v>0.86956521739130099</v>
      </c>
      <c r="K577" s="18">
        <f>100-I577</f>
        <v>0.86956521739129755</v>
      </c>
      <c r="L577" s="1">
        <f>H566</f>
        <v>115</v>
      </c>
      <c r="M577">
        <v>0</v>
      </c>
      <c r="N577" s="1">
        <v>155.91</v>
      </c>
      <c r="O577" s="17">
        <f>N577/N582*100</f>
        <v>0.2501412670037822</v>
      </c>
      <c r="P577" s="52">
        <f>((O577*O577*(I577/100)*(K577/100))/(L577-1))</f>
        <v>4.7312403371082777E-6</v>
      </c>
    </row>
    <row r="578" spans="1:16" x14ac:dyDescent="0.3">
      <c r="A578" t="s">
        <v>4</v>
      </c>
      <c r="B578" s="13">
        <v>1</v>
      </c>
      <c r="C578" s="33">
        <f t="shared" si="72"/>
        <v>0</v>
      </c>
      <c r="D578" s="34">
        <f t="shared" si="72"/>
        <v>0.48873088804240999</v>
      </c>
      <c r="E578" s="19">
        <f t="shared" si="72"/>
        <v>0</v>
      </c>
      <c r="F578" s="18">
        <f t="shared" si="72"/>
        <v>0</v>
      </c>
      <c r="G578" s="20">
        <f t="shared" si="72"/>
        <v>0</v>
      </c>
      <c r="H578" s="17">
        <f>SUM(C578:G578)</f>
        <v>0.48873088804240999</v>
      </c>
      <c r="I578" s="17">
        <f>D578/H578*100</f>
        <v>100</v>
      </c>
      <c r="J578" s="17">
        <f>SQRT(I578*(100-I578)/(L578-1))</f>
        <v>0</v>
      </c>
      <c r="K578" s="18">
        <f>100-I578</f>
        <v>0</v>
      </c>
      <c r="L578" s="1">
        <f>H567</f>
        <v>15</v>
      </c>
      <c r="M578">
        <v>1</v>
      </c>
      <c r="N578" s="1">
        <v>304.62</v>
      </c>
      <c r="O578" s="17">
        <f>N578/N582*100</f>
        <v>0.48873088804240999</v>
      </c>
      <c r="P578" s="52">
        <f>((O578*O578*(I578/100)*(K578/100))/(L578-1))</f>
        <v>0</v>
      </c>
    </row>
    <row r="579" spans="1:16" x14ac:dyDescent="0.3">
      <c r="A579" t="s">
        <v>5</v>
      </c>
      <c r="B579" s="13">
        <v>2</v>
      </c>
      <c r="C579" s="33">
        <f t="shared" si="72"/>
        <v>0</v>
      </c>
      <c r="D579" s="19">
        <f t="shared" si="72"/>
        <v>0</v>
      </c>
      <c r="E579" s="34">
        <f t="shared" si="72"/>
        <v>40.978148457261639</v>
      </c>
      <c r="F579" s="19">
        <f t="shared" si="72"/>
        <v>0</v>
      </c>
      <c r="G579" s="20">
        <f t="shared" si="72"/>
        <v>0</v>
      </c>
      <c r="H579" s="17">
        <f>SUM(C579:G579)</f>
        <v>40.978148457261639</v>
      </c>
      <c r="I579" s="17">
        <f>E579/H579*100</f>
        <v>100</v>
      </c>
      <c r="J579" s="17">
        <f>SQRT(I579*(100-I579)/(L579-1))</f>
        <v>0</v>
      </c>
      <c r="K579" s="18">
        <f>100-I579</f>
        <v>0</v>
      </c>
      <c r="L579" s="1">
        <f>H568</f>
        <v>178</v>
      </c>
      <c r="M579">
        <v>2</v>
      </c>
      <c r="N579" s="1">
        <v>25541.18</v>
      </c>
      <c r="O579" s="17">
        <f>N579/N582*100</f>
        <v>40.978148457261639</v>
      </c>
      <c r="P579" s="52">
        <f>((O579*O579*(I579/100)*(K579/100))/(L579-1))</f>
        <v>0</v>
      </c>
    </row>
    <row r="580" spans="1:16" x14ac:dyDescent="0.3">
      <c r="A580" t="s">
        <v>6</v>
      </c>
      <c r="B580" s="13">
        <v>3</v>
      </c>
      <c r="C580" s="33">
        <f t="shared" si="72"/>
        <v>0</v>
      </c>
      <c r="D580" s="19">
        <f t="shared" si="72"/>
        <v>0</v>
      </c>
      <c r="E580" s="19">
        <f t="shared" si="72"/>
        <v>0.62661284063138878</v>
      </c>
      <c r="F580" s="34">
        <f t="shared" si="72"/>
        <v>43.23628600356583</v>
      </c>
      <c r="G580" s="20">
        <f t="shared" si="72"/>
        <v>1.2532256812627776</v>
      </c>
      <c r="H580" s="17">
        <f>SUM(C580:G580)</f>
        <v>45.116124525459995</v>
      </c>
      <c r="I580" s="17">
        <f>F580/H580*100</f>
        <v>95.833333333333343</v>
      </c>
      <c r="J580" s="17">
        <f>SQRT(I580*(100-I580)/(L580-1))</f>
        <v>1.6710315802959967</v>
      </c>
      <c r="K580" s="18">
        <f>100-I580</f>
        <v>4.1666666666666572</v>
      </c>
      <c r="L580" s="1">
        <f>H569</f>
        <v>144</v>
      </c>
      <c r="M580">
        <v>3</v>
      </c>
      <c r="N580" s="1">
        <v>28120.33</v>
      </c>
      <c r="O580" s="17">
        <f>N580/N582*100</f>
        <v>45.116124525459995</v>
      </c>
      <c r="P580" s="52">
        <f>((O580*O580*(I580/100)*(K580/100))/(L580-1))</f>
        <v>0.56837227953242275</v>
      </c>
    </row>
    <row r="581" spans="1:16" x14ac:dyDescent="0.3">
      <c r="A581" t="s">
        <v>7</v>
      </c>
      <c r="B581" s="13">
        <v>4</v>
      </c>
      <c r="C581" s="35">
        <f t="shared" si="72"/>
        <v>0</v>
      </c>
      <c r="D581" s="36">
        <f t="shared" si="72"/>
        <v>0</v>
      </c>
      <c r="E581" s="21">
        <f t="shared" si="72"/>
        <v>0.21585007970872433</v>
      </c>
      <c r="F581" s="21">
        <f t="shared" si="72"/>
        <v>2.3203883568687864</v>
      </c>
      <c r="G581" s="37">
        <f t="shared" si="72"/>
        <v>10.630616425654672</v>
      </c>
      <c r="H581" s="17">
        <f>SUM(C581:G581)</f>
        <v>13.166854862232183</v>
      </c>
      <c r="I581" s="17">
        <f>G581/H581*100</f>
        <v>80.737704918032776</v>
      </c>
      <c r="J581" s="17">
        <f>SQRT(I581*(100-I581)/(L581-1))</f>
        <v>2.5298168384486917</v>
      </c>
      <c r="K581" s="18">
        <f>100-I581</f>
        <v>19.262295081967224</v>
      </c>
      <c r="L581" s="1">
        <f>H570</f>
        <v>244</v>
      </c>
      <c r="M581">
        <v>4</v>
      </c>
      <c r="N581" s="1">
        <v>8206.74</v>
      </c>
      <c r="O581" s="17">
        <f>N581/N582*100</f>
        <v>13.166854862232183</v>
      </c>
      <c r="P581" s="52">
        <f>((O581*O581*(I581/100)*(K581/100))/(L581-1))</f>
        <v>0.11095381886114246</v>
      </c>
    </row>
    <row r="582" spans="1:16" x14ac:dyDescent="0.3">
      <c r="B582" t="s">
        <v>28</v>
      </c>
      <c r="C582" s="17">
        <f t="shared" ref="C582:H582" si="73">SUM(C577:C581)</f>
        <v>0.24796612555157541</v>
      </c>
      <c r="D582" s="17">
        <f t="shared" si="73"/>
        <v>0.48873088804240999</v>
      </c>
      <c r="E582" s="17">
        <f t="shared" si="73"/>
        <v>41.82061137760175</v>
      </c>
      <c r="F582" s="17">
        <f t="shared" si="73"/>
        <v>45.558849501886826</v>
      </c>
      <c r="G582" s="17">
        <f t="shared" si="73"/>
        <v>11.88384210691745</v>
      </c>
      <c r="H582" s="18">
        <f t="shared" si="73"/>
        <v>100.00000000000001</v>
      </c>
      <c r="I582" s="13" t="s">
        <v>24</v>
      </c>
      <c r="J582" s="12" t="s">
        <v>29</v>
      </c>
      <c r="N582" s="1">
        <f>SUM(N577:N581)</f>
        <v>62328.78</v>
      </c>
      <c r="O582" s="17">
        <f>SUM(O577:O581)</f>
        <v>100.00000000000001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2.1656636665894373E-3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0.45282667815327327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0.81705418467829982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0.70159530644604451</v>
      </c>
      <c r="H583" s="1"/>
      <c r="I583" s="56">
        <f>(C577+D578+E579+F580+G581)/H582</f>
        <v>0.95581747900076108</v>
      </c>
      <c r="J583" s="53">
        <f>SQRT(SUM(P577:P581))/100</f>
        <v>8.2421528112132346E-3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100</v>
      </c>
      <c r="E584" s="17">
        <f>E579/E582*100</f>
        <v>97.985531792604746</v>
      </c>
      <c r="F584" s="17">
        <f>F580/F582*100</f>
        <v>94.902058494201427</v>
      </c>
      <c r="G584" s="17">
        <f>G581/G582*100</f>
        <v>89.454372836767249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0</v>
      </c>
      <c r="E585" s="18">
        <f>SQRT((E588+E589)/(E582*E582))</f>
        <v>1.0645893901789616</v>
      </c>
      <c r="F585" s="18">
        <f>SQRT((F588+F589)/(F582*F582))</f>
        <v>1.0775453006970985</v>
      </c>
      <c r="G585" s="18">
        <f>SQRT((G588+G589)/(G582*G582))</f>
        <v>5.5243397809150157</v>
      </c>
      <c r="H585" s="1"/>
      <c r="I585" s="14"/>
    </row>
    <row r="586" spans="1:16" x14ac:dyDescent="0.3">
      <c r="B586" s="1" t="s">
        <v>37</v>
      </c>
      <c r="C586" s="18">
        <f>100-C584</f>
        <v>0</v>
      </c>
      <c r="D586" s="18">
        <f>100-D584</f>
        <v>0</v>
      </c>
      <c r="E586" s="18">
        <f>100-E584</f>
        <v>2.0144682073952538</v>
      </c>
      <c r="F586" s="18">
        <f>100-F584</f>
        <v>5.0979415057985733</v>
      </c>
      <c r="G586" s="18">
        <f>100-G584</f>
        <v>10.545627163232751</v>
      </c>
    </row>
    <row r="587" spans="1:16" ht="15.6" x14ac:dyDescent="0.35">
      <c r="B587" s="1" t="s">
        <v>25</v>
      </c>
      <c r="C587" s="1">
        <f>C571</f>
        <v>114</v>
      </c>
      <c r="D587" s="1">
        <f>D571</f>
        <v>15</v>
      </c>
      <c r="E587" s="1">
        <f>E571</f>
        <v>184</v>
      </c>
      <c r="F587" s="1">
        <f>F571</f>
        <v>182</v>
      </c>
      <c r="G587" s="1">
        <f>G571</f>
        <v>201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0</v>
      </c>
      <c r="E588" s="18">
        <f>(O579*O579*(100-E584)*(100-E584)*(I579)*(100-I579))/((L579-1)*100)</f>
        <v>0</v>
      </c>
      <c r="F588" s="18">
        <f>(O580*O580*(100-F584)*(100-F584)*(I580)*(100-I580))/((L580-1)*100)</f>
        <v>1477.1431490433063</v>
      </c>
      <c r="G588" s="18">
        <f>(O581*O581*(100-G584)*(100-G584)*(I581)*(100-I581))/((L581-1)*100)</f>
        <v>1233.920218541401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0</v>
      </c>
      <c r="E589" s="18">
        <f>E584*E584*(SUM((H577*E577*(1-E566/H566))/(H566-1),(H578*E578*(1-E567/H567))/(H567-1), (H580*E580*(1-E569/H569))/(H569-1),(H581*E581*(1-E570/H570))/(H570-1)))</f>
        <v>1982.1888198738811</v>
      </c>
      <c r="F589" s="18">
        <f>F584*F584*(SUM((H577*F577*(1-F566/H566))/(H566-1),(H578*F578*(1-F567/H567))/(H567-1), (H579*F579*(1-F568/H568))/(H568-1),(H581*F581*(1-F570/H570))/(H570-1)))</f>
        <v>932.85423450357814</v>
      </c>
      <c r="G589" s="18">
        <f>G584*G584*(SUM((H577*G577*(1-G566/H566))/(H566-1),(H578*G578*(1-G567/H567))/(H567-1), (H579*G579*(1-G568/H568))/(H568-1),(H580*G580*(1-G569/H569))/(H569-1)))</f>
        <v>3076.0523989924668</v>
      </c>
    </row>
    <row r="592" spans="1:16" x14ac:dyDescent="0.3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48"/>
      <c r="B998" s="348"/>
      <c r="C998" s="348"/>
      <c r="D998" s="348"/>
      <c r="E998" s="348"/>
      <c r="F998" s="348"/>
      <c r="G998" s="348"/>
      <c r="H998" s="348"/>
      <c r="I998" s="348"/>
      <c r="J998" s="348"/>
      <c r="K998" s="348"/>
      <c r="L998" s="348"/>
      <c r="M998" s="348"/>
      <c r="N998" s="348"/>
      <c r="O998" s="348"/>
      <c r="P998" s="348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48"/>
      <c r="B1027" s="348"/>
      <c r="C1027" s="348"/>
      <c r="D1027" s="348"/>
      <c r="E1027" s="348"/>
      <c r="F1027" s="348"/>
      <c r="G1027" s="348"/>
      <c r="H1027" s="348"/>
      <c r="I1027" s="348"/>
      <c r="J1027" s="348"/>
      <c r="K1027" s="348"/>
      <c r="L1027" s="348"/>
      <c r="M1027" s="348"/>
      <c r="N1027" s="348"/>
      <c r="O1027" s="348"/>
      <c r="P1027" s="348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48"/>
      <c r="B1056" s="348"/>
      <c r="C1056" s="348"/>
      <c r="D1056" s="348"/>
      <c r="E1056" s="348"/>
      <c r="F1056" s="348"/>
      <c r="G1056" s="348"/>
      <c r="H1056" s="348"/>
      <c r="I1056" s="348"/>
      <c r="J1056" s="348"/>
      <c r="K1056" s="348"/>
      <c r="L1056" s="348"/>
      <c r="M1056" s="348"/>
      <c r="N1056" s="348"/>
      <c r="O1056" s="348"/>
      <c r="P1056" s="348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48"/>
      <c r="B1085" s="348"/>
      <c r="C1085" s="348"/>
      <c r="D1085" s="348"/>
      <c r="E1085" s="348"/>
      <c r="F1085" s="348"/>
      <c r="G1085" s="348"/>
      <c r="H1085" s="348"/>
      <c r="I1085" s="348"/>
      <c r="J1085" s="348"/>
      <c r="K1085" s="348"/>
      <c r="L1085" s="348"/>
      <c r="M1085" s="348"/>
      <c r="N1085" s="348"/>
      <c r="O1085" s="348"/>
      <c r="P1085" s="348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48"/>
      <c r="B1114" s="348"/>
      <c r="C1114" s="348"/>
      <c r="D1114" s="348"/>
      <c r="E1114" s="348"/>
      <c r="F1114" s="348"/>
      <c r="G1114" s="348"/>
      <c r="H1114" s="348"/>
      <c r="I1114" s="348"/>
      <c r="J1114" s="348"/>
      <c r="K1114" s="348"/>
      <c r="L1114" s="348"/>
      <c r="M1114" s="348"/>
      <c r="N1114" s="348"/>
      <c r="O1114" s="348"/>
      <c r="P1114" s="348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48"/>
      <c r="B1143" s="348"/>
      <c r="C1143" s="348"/>
      <c r="D1143" s="348"/>
      <c r="E1143" s="348"/>
      <c r="F1143" s="348"/>
      <c r="G1143" s="348"/>
      <c r="H1143" s="348"/>
      <c r="I1143" s="348"/>
      <c r="J1143" s="348"/>
      <c r="K1143" s="348"/>
      <c r="L1143" s="348"/>
      <c r="M1143" s="348"/>
      <c r="N1143" s="348"/>
      <c r="O1143" s="348"/>
      <c r="P1143" s="348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48"/>
      <c r="B1172" s="348"/>
      <c r="C1172" s="348"/>
      <c r="D1172" s="348"/>
      <c r="E1172" s="348"/>
      <c r="F1172" s="348"/>
      <c r="G1172" s="348"/>
      <c r="H1172" s="348"/>
      <c r="I1172" s="348"/>
      <c r="J1172" s="348"/>
      <c r="K1172" s="348"/>
      <c r="L1172" s="348"/>
      <c r="M1172" s="348"/>
      <c r="N1172" s="348"/>
      <c r="O1172" s="348"/>
      <c r="P1172" s="348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48"/>
      <c r="B1201" s="348"/>
      <c r="C1201" s="348"/>
      <c r="D1201" s="348"/>
      <c r="E1201" s="348"/>
      <c r="F1201" s="348"/>
      <c r="G1201" s="348"/>
      <c r="H1201" s="348"/>
      <c r="I1201" s="348"/>
      <c r="J1201" s="348"/>
      <c r="K1201" s="348"/>
      <c r="L1201" s="348"/>
      <c r="M1201" s="348"/>
      <c r="N1201" s="348"/>
      <c r="O1201" s="348"/>
      <c r="P1201" s="348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48"/>
      <c r="B1230" s="348"/>
      <c r="C1230" s="348"/>
      <c r="D1230" s="348"/>
      <c r="E1230" s="348"/>
      <c r="F1230" s="348"/>
      <c r="G1230" s="348"/>
      <c r="H1230" s="348"/>
      <c r="I1230" s="348"/>
      <c r="J1230" s="348"/>
      <c r="K1230" s="348"/>
      <c r="L1230" s="348"/>
      <c r="M1230" s="348"/>
      <c r="N1230" s="348"/>
      <c r="O1230" s="348"/>
      <c r="P1230" s="348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48"/>
      <c r="B1259" s="348"/>
      <c r="C1259" s="348"/>
      <c r="D1259" s="348"/>
      <c r="E1259" s="348"/>
      <c r="F1259" s="348"/>
      <c r="G1259" s="348"/>
      <c r="H1259" s="348"/>
      <c r="I1259" s="348"/>
      <c r="J1259" s="348"/>
      <c r="K1259" s="348"/>
      <c r="L1259" s="348"/>
      <c r="M1259" s="348"/>
      <c r="N1259" s="348"/>
      <c r="O1259" s="348"/>
      <c r="P1259" s="348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48"/>
      <c r="B1288" s="348"/>
      <c r="C1288" s="348"/>
      <c r="D1288" s="348"/>
      <c r="E1288" s="348"/>
      <c r="F1288" s="348"/>
      <c r="G1288" s="348"/>
      <c r="H1288" s="348"/>
      <c r="I1288" s="348"/>
      <c r="J1288" s="348"/>
      <c r="K1288" s="348"/>
      <c r="L1288" s="348"/>
      <c r="M1288" s="348"/>
      <c r="N1288" s="348"/>
      <c r="O1288" s="348"/>
      <c r="P1288" s="348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48"/>
      <c r="B1317" s="348"/>
      <c r="C1317" s="348"/>
      <c r="D1317" s="348"/>
      <c r="E1317" s="348"/>
      <c r="F1317" s="348"/>
      <c r="G1317" s="348"/>
      <c r="H1317" s="348"/>
      <c r="I1317" s="348"/>
      <c r="J1317" s="348"/>
      <c r="K1317" s="348"/>
      <c r="L1317" s="348"/>
      <c r="M1317" s="348"/>
      <c r="N1317" s="348"/>
      <c r="O1317" s="348"/>
      <c r="P1317" s="348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48"/>
      <c r="B1346" s="348"/>
      <c r="C1346" s="348"/>
      <c r="D1346" s="348"/>
      <c r="E1346" s="348"/>
      <c r="F1346" s="348"/>
      <c r="G1346" s="348"/>
      <c r="H1346" s="348"/>
      <c r="I1346" s="348"/>
      <c r="J1346" s="348"/>
      <c r="K1346" s="348"/>
      <c r="L1346" s="348"/>
      <c r="M1346" s="348"/>
      <c r="N1346" s="348"/>
      <c r="O1346" s="348"/>
      <c r="P1346" s="348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48"/>
      <c r="B1375" s="348"/>
      <c r="C1375" s="348"/>
      <c r="D1375" s="348"/>
      <c r="E1375" s="348"/>
      <c r="F1375" s="348"/>
      <c r="G1375" s="348"/>
      <c r="H1375" s="348"/>
      <c r="I1375" s="348"/>
      <c r="J1375" s="348"/>
      <c r="K1375" s="348"/>
      <c r="L1375" s="348"/>
      <c r="M1375" s="348"/>
      <c r="N1375" s="348"/>
      <c r="O1375" s="348"/>
      <c r="P1375" s="348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48"/>
      <c r="B1404" s="348"/>
      <c r="C1404" s="348"/>
      <c r="D1404" s="348"/>
      <c r="E1404" s="348"/>
      <c r="F1404" s="348"/>
      <c r="G1404" s="348"/>
      <c r="H1404" s="348"/>
      <c r="I1404" s="348"/>
      <c r="J1404" s="348"/>
      <c r="K1404" s="348"/>
      <c r="L1404" s="348"/>
      <c r="M1404" s="348"/>
      <c r="N1404" s="348"/>
      <c r="O1404" s="348"/>
      <c r="P1404" s="348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48"/>
      <c r="B1433" s="348"/>
      <c r="C1433" s="348"/>
      <c r="D1433" s="348"/>
      <c r="E1433" s="348"/>
      <c r="F1433" s="348"/>
      <c r="G1433" s="348"/>
      <c r="H1433" s="348"/>
      <c r="I1433" s="348"/>
      <c r="J1433" s="348"/>
      <c r="K1433" s="348"/>
      <c r="L1433" s="348"/>
      <c r="M1433" s="348"/>
      <c r="N1433" s="348"/>
      <c r="O1433" s="348"/>
      <c r="P1433" s="348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sortState xmlns:xlrd2="http://schemas.microsoft.com/office/spreadsheetml/2017/richdata2" ref="BE64:BE263">
    <sortCondition ref="BE64:BE263"/>
  </sortState>
  <mergeCells count="123">
    <mergeCell ref="O448:P448"/>
    <mergeCell ref="O477:P477"/>
    <mergeCell ref="O506:P506"/>
    <mergeCell ref="O535:P535"/>
    <mergeCell ref="O564:P564"/>
    <mergeCell ref="O129:P129"/>
    <mergeCell ref="O158:P158"/>
    <mergeCell ref="O187:P187"/>
    <mergeCell ref="O216:P216"/>
    <mergeCell ref="O245:P245"/>
    <mergeCell ref="O274:P274"/>
    <mergeCell ref="O303:P303"/>
    <mergeCell ref="O332:P332"/>
    <mergeCell ref="O361:P361"/>
    <mergeCell ref="A99:K99"/>
    <mergeCell ref="L99:P99"/>
    <mergeCell ref="A128:K128"/>
    <mergeCell ref="L128:P128"/>
    <mergeCell ref="L273:P273"/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  <mergeCell ref="A215:K215"/>
    <mergeCell ref="L215:P215"/>
    <mergeCell ref="A244:K244"/>
    <mergeCell ref="L244:P244"/>
    <mergeCell ref="A273:K273"/>
    <mergeCell ref="O13:P13"/>
    <mergeCell ref="O42:P42"/>
    <mergeCell ref="O71:P71"/>
    <mergeCell ref="O100:P100"/>
    <mergeCell ref="A389:K389"/>
    <mergeCell ref="L389:P389"/>
    <mergeCell ref="A418:K418"/>
    <mergeCell ref="L418:P418"/>
    <mergeCell ref="A447:K447"/>
    <mergeCell ref="L447:P447"/>
    <mergeCell ref="A302:K302"/>
    <mergeCell ref="L302:P302"/>
    <mergeCell ref="A331:K331"/>
    <mergeCell ref="L331:P331"/>
    <mergeCell ref="A360:K360"/>
    <mergeCell ref="L360:P360"/>
    <mergeCell ref="O390:P390"/>
    <mergeCell ref="O419:P419"/>
    <mergeCell ref="A563:K563"/>
    <mergeCell ref="L563:P563"/>
    <mergeCell ref="A592:K592"/>
    <mergeCell ref="L592:P592"/>
    <mergeCell ref="A621:K621"/>
    <mergeCell ref="L621:P621"/>
    <mergeCell ref="A476:K476"/>
    <mergeCell ref="L476:P476"/>
    <mergeCell ref="A505:K505"/>
    <mergeCell ref="L505:P505"/>
    <mergeCell ref="A534:K534"/>
    <mergeCell ref="L534:P534"/>
    <mergeCell ref="A737:K737"/>
    <mergeCell ref="L737:P737"/>
    <mergeCell ref="A766:K766"/>
    <mergeCell ref="L766:P766"/>
    <mergeCell ref="A795:K795"/>
    <mergeCell ref="L795:P795"/>
    <mergeCell ref="A650:K650"/>
    <mergeCell ref="L650:P650"/>
    <mergeCell ref="A679:K679"/>
    <mergeCell ref="L679:P679"/>
    <mergeCell ref="A708:K708"/>
    <mergeCell ref="L708:P708"/>
    <mergeCell ref="A911:K911"/>
    <mergeCell ref="L911:P911"/>
    <mergeCell ref="A940:K940"/>
    <mergeCell ref="L940:P940"/>
    <mergeCell ref="A969:K969"/>
    <mergeCell ref="L969:P969"/>
    <mergeCell ref="A824:K824"/>
    <mergeCell ref="L824:P824"/>
    <mergeCell ref="A853:K853"/>
    <mergeCell ref="L853:P853"/>
    <mergeCell ref="A882:K882"/>
    <mergeCell ref="L882:P882"/>
    <mergeCell ref="L1085:P1085"/>
    <mergeCell ref="A1114:K1114"/>
    <mergeCell ref="L1114:P1114"/>
    <mergeCell ref="A1143:K1143"/>
    <mergeCell ref="L1143:P1143"/>
    <mergeCell ref="A998:K998"/>
    <mergeCell ref="L998:P998"/>
    <mergeCell ref="A1027:K1027"/>
    <mergeCell ref="L1027:P1027"/>
    <mergeCell ref="A1056:K1056"/>
    <mergeCell ref="L1056:P1056"/>
    <mergeCell ref="A1433:K1433"/>
    <mergeCell ref="L1433:P1433"/>
    <mergeCell ref="BF5:BN5"/>
    <mergeCell ref="AJ80:AT80"/>
    <mergeCell ref="AU80:AY80"/>
    <mergeCell ref="A1346:K1346"/>
    <mergeCell ref="L1346:P1346"/>
    <mergeCell ref="A1375:K1375"/>
    <mergeCell ref="L1375:P1375"/>
    <mergeCell ref="A1404:K1404"/>
    <mergeCell ref="L1404:P1404"/>
    <mergeCell ref="A1259:K1259"/>
    <mergeCell ref="L1259:P1259"/>
    <mergeCell ref="A1288:K1288"/>
    <mergeCell ref="L1288:P1288"/>
    <mergeCell ref="A1317:K1317"/>
    <mergeCell ref="L1317:P1317"/>
    <mergeCell ref="A1172:K1172"/>
    <mergeCell ref="L1172:P1172"/>
    <mergeCell ref="A1201:K1201"/>
    <mergeCell ref="L1201:P1201"/>
    <mergeCell ref="A1230:K1230"/>
    <mergeCell ref="L1230:P1230"/>
    <mergeCell ref="A1085:K1085"/>
  </mergeCells>
  <phoneticPr fontId="4" type="noConversion"/>
  <pageMargins left="0.7" right="0.7" top="0.75" bottom="0.75" header="0.3" footer="0.3"/>
  <ignoredErrors>
    <ignoredError sqref="F107:G107" formulaRange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3FCC7-AE0C-49AD-88F2-48C32EB794EB}">
  <dimension ref="A1:BN1459"/>
  <sheetViews>
    <sheetView topLeftCell="AE107" zoomScale="80" zoomScaleNormal="80" workbookViewId="0">
      <selection activeCell="AH122" sqref="AH122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  <col min="63" max="64" width="12" bestFit="1" customWidth="1"/>
    <col min="65" max="65" width="8.5546875" bestFit="1" customWidth="1"/>
  </cols>
  <sheetData>
    <row r="1" spans="1:66" x14ac:dyDescent="0.3">
      <c r="A1" s="12"/>
      <c r="B1" s="12" t="s">
        <v>10</v>
      </c>
      <c r="C1" s="12"/>
      <c r="D1" s="12"/>
      <c r="E1" s="12"/>
      <c r="F1" s="12"/>
    </row>
    <row r="2" spans="1:66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AG2" s="51" t="s">
        <v>122</v>
      </c>
      <c r="AH2" s="51" t="s">
        <v>126</v>
      </c>
    </row>
    <row r="3" spans="1:66" x14ac:dyDescent="0.3">
      <c r="A3" s="12" t="s">
        <v>3</v>
      </c>
      <c r="B3" s="103">
        <v>51.51</v>
      </c>
      <c r="C3" s="22">
        <f>B3/$B$8</f>
        <v>7.4793088427472038E-2</v>
      </c>
      <c r="D3" s="85">
        <v>0.01</v>
      </c>
      <c r="E3" s="86">
        <f>D3-C3</f>
        <v>-6.4793088427472043E-2</v>
      </c>
      <c r="F3" s="12"/>
      <c r="G3" t="s">
        <v>46</v>
      </c>
      <c r="AG3" s="51" t="s">
        <v>123</v>
      </c>
      <c r="AH3" s="51" t="s">
        <v>129</v>
      </c>
    </row>
    <row r="4" spans="1:66" x14ac:dyDescent="0.3">
      <c r="A4" s="12" t="s">
        <v>4</v>
      </c>
      <c r="B4" s="103">
        <v>20.98</v>
      </c>
      <c r="C4" s="22">
        <f>B4/$B$8</f>
        <v>3.0463191520255551E-2</v>
      </c>
      <c r="D4" s="85">
        <v>0.01</v>
      </c>
      <c r="E4" s="86">
        <f>D4-C4</f>
        <v>-2.0463191520255553E-2</v>
      </c>
      <c r="F4" s="12"/>
      <c r="G4" t="s">
        <v>635</v>
      </c>
      <c r="AG4" s="51" t="s">
        <v>124</v>
      </c>
      <c r="AH4" s="51" t="s">
        <v>127</v>
      </c>
    </row>
    <row r="5" spans="1:66" ht="18" x14ac:dyDescent="0.35">
      <c r="A5" s="12" t="s">
        <v>5</v>
      </c>
      <c r="B5" s="103">
        <v>234.23</v>
      </c>
      <c r="C5" s="22">
        <f>B5/$B$8</f>
        <v>0.34010454479454039</v>
      </c>
      <c r="D5" s="85">
        <v>0.42</v>
      </c>
      <c r="E5" s="86">
        <f>D5-C5</f>
        <v>7.9895455205459598E-2</v>
      </c>
      <c r="F5" s="12" t="s">
        <v>45</v>
      </c>
      <c r="AG5" s="51" t="s">
        <v>125</v>
      </c>
      <c r="AH5" s="51" t="s">
        <v>128</v>
      </c>
      <c r="BF5" s="349" t="s">
        <v>337</v>
      </c>
      <c r="BG5" s="349"/>
      <c r="BH5" s="349"/>
      <c r="BI5" s="349"/>
      <c r="BJ5" s="349"/>
      <c r="BK5" s="349"/>
      <c r="BL5" s="349"/>
      <c r="BM5" s="349"/>
      <c r="BN5" s="349"/>
    </row>
    <row r="6" spans="1:66" x14ac:dyDescent="0.3">
      <c r="A6" s="12" t="s">
        <v>6</v>
      </c>
      <c r="B6" s="103">
        <v>206.92</v>
      </c>
      <c r="C6" s="22">
        <f>B6/$B$8</f>
        <v>0.30045012342093796</v>
      </c>
      <c r="D6" s="85">
        <v>0.35</v>
      </c>
      <c r="E6" s="86">
        <f>D6-C6</f>
        <v>4.9549876579062013E-2</v>
      </c>
      <c r="F6" s="12" t="s">
        <v>45</v>
      </c>
      <c r="I6" s="12"/>
      <c r="J6" s="12" t="s">
        <v>50</v>
      </c>
      <c r="K6" s="12"/>
      <c r="AG6" s="51" t="s">
        <v>150</v>
      </c>
      <c r="AH6" s="51" t="s">
        <v>152</v>
      </c>
      <c r="BF6" s="12" t="s">
        <v>353</v>
      </c>
    </row>
    <row r="7" spans="1:66" x14ac:dyDescent="0.3">
      <c r="A7" s="12" t="s">
        <v>7</v>
      </c>
      <c r="B7" s="103">
        <v>175.06</v>
      </c>
      <c r="C7" s="22">
        <f>B7/$B$8</f>
        <v>0.25418905183679397</v>
      </c>
      <c r="D7" s="85">
        <v>0.21</v>
      </c>
      <c r="E7" s="86">
        <f>D7-C7</f>
        <v>-4.4189051836793974E-2</v>
      </c>
      <c r="F7" s="12"/>
      <c r="I7" s="12"/>
      <c r="J7" s="12">
        <v>2171</v>
      </c>
      <c r="K7" s="12"/>
      <c r="AG7" s="51" t="s">
        <v>151</v>
      </c>
      <c r="AH7" s="51" t="s">
        <v>153</v>
      </c>
    </row>
    <row r="8" spans="1:66" ht="18" x14ac:dyDescent="0.35">
      <c r="A8" s="12"/>
      <c r="B8" s="103">
        <f>SUM(B3:B7)</f>
        <v>688.7</v>
      </c>
      <c r="C8" s="61">
        <f>SUM(C3:C7)</f>
        <v>0.99999999999999989</v>
      </c>
      <c r="D8" s="12"/>
      <c r="E8" s="12" t="s">
        <v>16</v>
      </c>
      <c r="F8" s="134">
        <v>91646.32</v>
      </c>
      <c r="I8" s="12" t="s">
        <v>55</v>
      </c>
      <c r="J8" s="12" t="s">
        <v>50</v>
      </c>
      <c r="K8" s="12" t="s">
        <v>54</v>
      </c>
      <c r="AG8" s="51" t="s">
        <v>205</v>
      </c>
      <c r="AH8" s="51" t="s">
        <v>210</v>
      </c>
      <c r="BF8" s="83"/>
    </row>
    <row r="9" spans="1:66" x14ac:dyDescent="0.3">
      <c r="A9" s="12"/>
      <c r="B9" s="87">
        <f>B8/0.36</f>
        <v>1913.0555555555557</v>
      </c>
      <c r="C9" s="12" t="s">
        <v>44</v>
      </c>
      <c r="D9" s="12"/>
      <c r="E9" s="12" t="s">
        <v>47</v>
      </c>
      <c r="F9" s="88">
        <f>B8/F8</f>
        <v>7.5147589123054801E-3</v>
      </c>
      <c r="G9" s="46"/>
      <c r="I9" s="12">
        <v>660</v>
      </c>
      <c r="J9" s="12">
        <v>2148</v>
      </c>
      <c r="K9" s="89">
        <f>(J7-J9)/J7</f>
        <v>1.0594196222938737E-2</v>
      </c>
      <c r="AG9" s="51" t="s">
        <v>206</v>
      </c>
      <c r="AH9" s="51" t="s">
        <v>211</v>
      </c>
    </row>
    <row r="10" spans="1:66" x14ac:dyDescent="0.3">
      <c r="A10" s="129" t="s">
        <v>636</v>
      </c>
      <c r="B10" s="130">
        <v>24756</v>
      </c>
      <c r="F10" s="46"/>
      <c r="I10" s="89">
        <f>I9/(I9+J9)</f>
        <v>0.23504273504273504</v>
      </c>
      <c r="J10" s="89">
        <f>J9/(J9+I9)</f>
        <v>0.7649572649572649</v>
      </c>
      <c r="K10" s="12"/>
      <c r="AG10" s="51" t="s">
        <v>207</v>
      </c>
      <c r="AH10" s="51" t="s">
        <v>212</v>
      </c>
      <c r="BF10" s="82"/>
      <c r="BG10" s="1"/>
      <c r="BH10" s="59"/>
      <c r="BI10" s="1"/>
      <c r="BJ10" s="59"/>
      <c r="BK10" s="1"/>
    </row>
    <row r="11" spans="1:66" x14ac:dyDescent="0.3">
      <c r="B11" s="18"/>
      <c r="F11" s="46"/>
      <c r="I11" s="45"/>
      <c r="J11" s="45"/>
      <c r="AG11" s="51" t="s">
        <v>208</v>
      </c>
      <c r="AH11" s="51" t="s">
        <v>213</v>
      </c>
      <c r="BJ11" s="13"/>
      <c r="BK11" s="13"/>
    </row>
    <row r="12" spans="1:66" x14ac:dyDescent="0.3">
      <c r="A12" s="348">
        <v>1988</v>
      </c>
      <c r="B12" s="348"/>
      <c r="C12" s="348"/>
      <c r="D12" s="348"/>
      <c r="E12" s="348"/>
      <c r="F12" s="348"/>
      <c r="G12" s="348"/>
      <c r="H12" s="348"/>
      <c r="I12" s="348"/>
      <c r="J12" s="348"/>
      <c r="K12" s="348"/>
      <c r="L12" s="348" t="s">
        <v>48</v>
      </c>
      <c r="M12" s="348"/>
      <c r="N12" s="348"/>
      <c r="O12" s="348"/>
      <c r="P12" s="348"/>
      <c r="R12" s="47">
        <v>1988</v>
      </c>
      <c r="S12" s="47" t="s">
        <v>633</v>
      </c>
      <c r="T12" s="47"/>
      <c r="U12" s="47"/>
      <c r="V12" s="47"/>
      <c r="W12" s="47"/>
      <c r="X12" s="47"/>
      <c r="Y12" s="47"/>
      <c r="Z12" s="47"/>
      <c r="AA12" s="47"/>
      <c r="AB12" s="47" t="s">
        <v>58</v>
      </c>
      <c r="AC12" s="47"/>
      <c r="AD12" s="47"/>
      <c r="AE12" s="47"/>
      <c r="AF12" s="47"/>
      <c r="AG12" s="51" t="s">
        <v>209</v>
      </c>
      <c r="AH12" s="51" t="s">
        <v>214</v>
      </c>
      <c r="AW12" s="66"/>
      <c r="AX12" s="77" t="s">
        <v>323</v>
      </c>
      <c r="AY12" s="77" t="s">
        <v>326</v>
      </c>
      <c r="AZ12" s="77" t="s">
        <v>324</v>
      </c>
      <c r="BA12" s="77" t="s">
        <v>325</v>
      </c>
      <c r="BB12" s="77" t="s">
        <v>327</v>
      </c>
      <c r="BC12" s="77" t="s">
        <v>328</v>
      </c>
      <c r="BD12" s="77" t="s">
        <v>349</v>
      </c>
      <c r="BE12" s="13"/>
      <c r="BF12" s="12"/>
      <c r="BH12" s="59"/>
      <c r="BI12" s="49"/>
      <c r="BJ12" s="1"/>
      <c r="BK12" s="1"/>
    </row>
    <row r="13" spans="1:66" x14ac:dyDescent="0.3">
      <c r="A13" t="s">
        <v>315</v>
      </c>
      <c r="B13" t="s">
        <v>21</v>
      </c>
      <c r="I13" s="1" t="s">
        <v>53</v>
      </c>
      <c r="O13" s="350" t="s">
        <v>377</v>
      </c>
      <c r="P13" s="350"/>
      <c r="AG13" s="51" t="s">
        <v>319</v>
      </c>
      <c r="AH13" s="51" t="s">
        <v>321</v>
      </c>
      <c r="AW13" s="51" t="s">
        <v>126</v>
      </c>
      <c r="AX13" s="80">
        <f>MIN($AE$16:$AE$20)</f>
        <v>0.92494401695941386</v>
      </c>
      <c r="AY13" s="80">
        <f>_xlfn.QUARTILE.EXC($AE$16:$AE$20,1)</f>
        <v>0.92867185085526671</v>
      </c>
      <c r="AZ13" s="80">
        <f>MEDIAN($AE$16:$AE$20)</f>
        <v>0.93370217441103076</v>
      </c>
      <c r="BA13" s="80">
        <f>AVERAGE($AE$16:$AE$20)</f>
        <v>0.93341911683364065</v>
      </c>
      <c r="BB13" s="80">
        <f>_xlfn.QUARTILE.EXC(AE16:AE20,3)</f>
        <v>0.93802485402331925</v>
      </c>
      <c r="BC13" s="80">
        <f>MAX(AE16:AE20)</f>
        <v>0.94039241050058953</v>
      </c>
      <c r="BD13" s="80">
        <f>(BB13-AY13)/AZ13</f>
        <v>1.0017116190130237E-2</v>
      </c>
      <c r="BE13" s="80"/>
      <c r="BF13" s="48"/>
      <c r="BH13" s="59"/>
      <c r="BI13" s="49"/>
      <c r="BJ13" s="1"/>
      <c r="BK13" s="1"/>
    </row>
    <row r="14" spans="1:66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51</v>
      </c>
      <c r="O14" s="13" t="s">
        <v>644</v>
      </c>
      <c r="P14" s="13" t="s">
        <v>633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320</v>
      </c>
      <c r="AH14" s="51" t="s">
        <v>322</v>
      </c>
      <c r="AW14" s="51" t="s">
        <v>129</v>
      </c>
      <c r="AX14" s="80">
        <f>MIN($AE$16:$AE$25)</f>
        <v>0.92494401695941386</v>
      </c>
      <c r="AY14" s="80">
        <f>_xlfn.QUARTILE.EXC($AE$16:$AE$25,1)</f>
        <v>0.93143934526163696</v>
      </c>
      <c r="AZ14" s="80">
        <f>MEDIAN($AE$16:$AE$25)</f>
        <v>0.93474390375601346</v>
      </c>
      <c r="BA14" s="80">
        <f>AVERAGE($AE$16:$AE$25)</f>
        <v>0.93403890882300666</v>
      </c>
      <c r="BB14" s="80">
        <f>_xlfn.QUARTILE.EXC($AE$16:$AE$25,3)</f>
        <v>0.93709299958453585</v>
      </c>
      <c r="BC14" s="80">
        <f>MAX($AE$16:$AE$25)</f>
        <v>0.94039241050058953</v>
      </c>
      <c r="BD14" s="80">
        <f t="shared" ref="BD14:BD25" si="0">(BB14-AY14)/AZ14</f>
        <v>6.048345755646241E-3</v>
      </c>
      <c r="BE14" s="80"/>
      <c r="BF14" s="48"/>
      <c r="BH14" s="59"/>
      <c r="BI14" s="49"/>
      <c r="BJ14" s="1"/>
      <c r="BK14" s="1"/>
    </row>
    <row r="15" spans="1:66" x14ac:dyDescent="0.3">
      <c r="A15" t="s">
        <v>3</v>
      </c>
      <c r="B15" s="13">
        <v>0</v>
      </c>
      <c r="C15" s="26">
        <v>115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115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O15" s="1"/>
      <c r="P15" s="1"/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72</v>
      </c>
      <c r="AF15" s="12" t="s">
        <v>29</v>
      </c>
      <c r="AH15" t="s">
        <v>120</v>
      </c>
      <c r="AI15" t="s">
        <v>121</v>
      </c>
      <c r="AW15" s="51" t="s">
        <v>127</v>
      </c>
      <c r="AX15" s="80">
        <f>MIN($AE$16:$AE$35)</f>
        <v>0.92387741722361616</v>
      </c>
      <c r="AY15" s="80">
        <f>_xlfn.QUARTILE.EXC($AE$16:$AE$35,1)</f>
        <v>0.93166035522941515</v>
      </c>
      <c r="AZ15" s="126">
        <f>MEDIAN($AE$16:$AE$35)</f>
        <v>0.93474390375601346</v>
      </c>
      <c r="BA15" s="126">
        <f>AVERAGE($AE$16:$AE$35)</f>
        <v>0.93452007111565083</v>
      </c>
      <c r="BB15" s="80">
        <f>_xlfn.QUARTILE.EXC($AE$16:$AE$35,3)</f>
        <v>0.93892412071366471</v>
      </c>
      <c r="BC15" s="80">
        <f>MAX($AE$16:$AE$35)</f>
        <v>0.94348705264572319</v>
      </c>
      <c r="BD15" s="80">
        <f t="shared" si="0"/>
        <v>7.7708615750924949E-3</v>
      </c>
      <c r="BE15" s="80"/>
      <c r="BF15" s="48"/>
      <c r="BH15" s="59"/>
      <c r="BI15" s="49"/>
      <c r="BJ15" s="1"/>
      <c r="BK15" s="1"/>
    </row>
    <row r="16" spans="1:66" x14ac:dyDescent="0.3">
      <c r="A16" t="s">
        <v>4</v>
      </c>
      <c r="B16" s="13">
        <v>1</v>
      </c>
      <c r="C16" s="5">
        <v>0</v>
      </c>
      <c r="D16" s="27">
        <v>7</v>
      </c>
      <c r="E16" s="1">
        <v>8</v>
      </c>
      <c r="F16" s="1">
        <v>0</v>
      </c>
      <c r="G16" s="6">
        <v>0</v>
      </c>
      <c r="H16" s="1">
        <f>SUM(C16:G16)</f>
        <v>15</v>
      </c>
      <c r="I16" s="10">
        <f>D16/H16</f>
        <v>0.46666666666666667</v>
      </c>
      <c r="J16" s="11">
        <f>1-I16</f>
        <v>0.53333333333333333</v>
      </c>
      <c r="K16">
        <f>H16-D20</f>
        <v>8</v>
      </c>
      <c r="N16" s="10">
        <f>2*(D21*I16)/(D21+I16)</f>
        <v>0.63636363636363635</v>
      </c>
      <c r="O16" s="1"/>
      <c r="P16" s="1"/>
      <c r="R16" t="s">
        <v>65</v>
      </c>
      <c r="S16" t="s">
        <v>28</v>
      </c>
      <c r="T16" s="57">
        <f t="shared" ref="T16:X19" si="1">C31</f>
        <v>1.0533319832154744</v>
      </c>
      <c r="U16" s="57">
        <f t="shared" si="1"/>
        <v>0.4409247783580762</v>
      </c>
      <c r="V16" s="57">
        <f t="shared" si="1"/>
        <v>58.482485738960712</v>
      </c>
      <c r="W16" s="57">
        <f t="shared" si="1"/>
        <v>23.206276222680888</v>
      </c>
      <c r="X16" s="57">
        <f t="shared" si="1"/>
        <v>16.816981276784841</v>
      </c>
      <c r="AC16" t="s">
        <v>65</v>
      </c>
      <c r="AD16" s="51">
        <f>I21</f>
        <v>0.91515151515151516</v>
      </c>
      <c r="AE16" s="55">
        <f>I32</f>
        <v>0.93565729754604898</v>
      </c>
      <c r="AF16" s="55">
        <f>J32</f>
        <v>1.0266392018337069E-2</v>
      </c>
      <c r="AH16">
        <v>21</v>
      </c>
      <c r="AI16">
        <v>32</v>
      </c>
      <c r="AW16" s="51" t="s">
        <v>128</v>
      </c>
      <c r="AX16" s="80">
        <f>MIN($AE$16:$AE$45)</f>
        <v>0.92387741722361616</v>
      </c>
      <c r="AY16" s="80">
        <f>_xlfn.QUARTILE.EXC($AE$16:$AE$45,1)</f>
        <v>0.93160572304044564</v>
      </c>
      <c r="AZ16" s="80">
        <f>MEDIAN($AE$16:$AE$45)</f>
        <v>0.93425597323080845</v>
      </c>
      <c r="BA16" s="80">
        <f>AVERAGE($AE$16:$AE$45)</f>
        <v>0.93433895628995123</v>
      </c>
      <c r="BB16" s="80">
        <f>_xlfn.QUARTILE.EXC($AE$16:$AE$45,3)</f>
        <v>0.93876474388182063</v>
      </c>
      <c r="BC16" s="80">
        <f>MAX($AE$16:$AE$45)</f>
        <v>0.94348705264572319</v>
      </c>
      <c r="BD16" s="80">
        <f t="shared" si="0"/>
        <v>7.662804463125809E-3</v>
      </c>
      <c r="BE16" s="80"/>
      <c r="BF16" s="48"/>
      <c r="BH16" s="59"/>
      <c r="BI16" s="49"/>
      <c r="BJ16" s="1"/>
      <c r="BK16" s="1"/>
    </row>
    <row r="17" spans="1:66" x14ac:dyDescent="0.3">
      <c r="A17" t="s">
        <v>5</v>
      </c>
      <c r="B17" s="13">
        <v>2</v>
      </c>
      <c r="C17" s="5">
        <v>0</v>
      </c>
      <c r="D17" s="1">
        <v>0</v>
      </c>
      <c r="E17" s="27">
        <v>139</v>
      </c>
      <c r="F17" s="1">
        <v>0</v>
      </c>
      <c r="G17" s="6">
        <v>3</v>
      </c>
      <c r="H17" s="1">
        <f>SUM(C17:G17)</f>
        <v>142</v>
      </c>
      <c r="I17" s="10">
        <f>E17/H17</f>
        <v>0.97887323943661975</v>
      </c>
      <c r="J17" s="11">
        <f>1-I17</f>
        <v>2.1126760563380254E-2</v>
      </c>
      <c r="K17">
        <f>H17-E20</f>
        <v>-19</v>
      </c>
      <c r="N17" s="10">
        <f>2*(E21*I17)/(E21+I17)</f>
        <v>0.91749174917491749</v>
      </c>
      <c r="O17" s="1"/>
      <c r="P17" s="1"/>
      <c r="S17" s="66" t="s">
        <v>39</v>
      </c>
      <c r="T17" s="67">
        <f t="shared" si="1"/>
        <v>0</v>
      </c>
      <c r="U17" s="67">
        <f t="shared" si="1"/>
        <v>0.12170680152222776</v>
      </c>
      <c r="V17" s="67">
        <f t="shared" si="1"/>
        <v>0.83760482747502518</v>
      </c>
      <c r="W17" s="67">
        <f t="shared" si="1"/>
        <v>0.72195865174011264</v>
      </c>
      <c r="X17" s="67">
        <f t="shared" si="1"/>
        <v>0.94176679622082249</v>
      </c>
      <c r="AC17" t="s">
        <v>66</v>
      </c>
      <c r="AD17" s="51">
        <f>I50</f>
        <v>0.88636363636363635</v>
      </c>
      <c r="AE17" s="55">
        <f>I61</f>
        <v>0.92494401695941386</v>
      </c>
      <c r="AF17" s="55">
        <f>J61</f>
        <v>1.0094254441762518E-2</v>
      </c>
      <c r="AH17">
        <v>50</v>
      </c>
      <c r="AI17">
        <v>61</v>
      </c>
      <c r="AW17" s="51" t="s">
        <v>152</v>
      </c>
      <c r="AX17" s="80">
        <f>MIN($AE$16:$AE$55)</f>
        <v>0.92387741722361616</v>
      </c>
      <c r="AY17" s="80">
        <f>_xlfn.QUARTILE.EXC($AE$16:$AE$55,1)</f>
        <v>0.93100143028633631</v>
      </c>
      <c r="AZ17" s="80">
        <f>MEDIAN($AE$16:$AE$55)</f>
        <v>0.93425597323080845</v>
      </c>
      <c r="BA17" s="80">
        <f>AVERAGE($AE$16:$AE$55)</f>
        <v>0.93406051210630436</v>
      </c>
      <c r="BB17" s="80">
        <f>_xlfn.QUARTILE.EXC($AE$16:$AE$55,3)</f>
        <v>0.93823349679687573</v>
      </c>
      <c r="BC17" s="80">
        <f>MAX($AE$16:$AE$55)</f>
        <v>0.94348705264572319</v>
      </c>
      <c r="BD17" s="80">
        <f t="shared" si="0"/>
        <v>7.7409903899568E-3</v>
      </c>
      <c r="BE17" s="80"/>
      <c r="BF17" s="48"/>
      <c r="BH17" s="59"/>
      <c r="BI17" s="49"/>
      <c r="BJ17" s="1"/>
      <c r="BK17" s="1"/>
    </row>
    <row r="18" spans="1:66" x14ac:dyDescent="0.3">
      <c r="A18" t="s">
        <v>6</v>
      </c>
      <c r="B18" s="13">
        <v>3</v>
      </c>
      <c r="C18" s="5">
        <v>0</v>
      </c>
      <c r="D18" s="1">
        <v>0</v>
      </c>
      <c r="E18" s="1">
        <v>6</v>
      </c>
      <c r="F18" s="27">
        <v>127</v>
      </c>
      <c r="G18" s="6">
        <v>11</v>
      </c>
      <c r="H18" s="1">
        <f>SUM(C18:G18)</f>
        <v>144</v>
      </c>
      <c r="I18" s="10">
        <f>F18/H18</f>
        <v>0.88194444444444442</v>
      </c>
      <c r="J18" s="11">
        <f>1-I18</f>
        <v>0.11805555555555558</v>
      </c>
      <c r="K18">
        <f>H18-F20</f>
        <v>-3</v>
      </c>
      <c r="N18" s="10">
        <f>2*(F21*I18)/(F21+I18)</f>
        <v>0.87285223367697595</v>
      </c>
      <c r="O18" s="1"/>
      <c r="P18" s="1"/>
      <c r="S18" s="70" t="s">
        <v>30</v>
      </c>
      <c r="T18" s="64">
        <f t="shared" si="1"/>
        <v>100</v>
      </c>
      <c r="U18" s="64">
        <f t="shared" si="1"/>
        <v>100</v>
      </c>
      <c r="V18" s="64">
        <f t="shared" si="1"/>
        <v>96.498587835940043</v>
      </c>
      <c r="W18" s="64">
        <f t="shared" si="1"/>
        <v>94.53419156972376</v>
      </c>
      <c r="X18" s="64">
        <f t="shared" si="1"/>
        <v>81.458344262662067</v>
      </c>
      <c r="AC18" t="s">
        <v>67</v>
      </c>
      <c r="AD18" s="51">
        <f>I79</f>
        <v>0.91515151515151516</v>
      </c>
      <c r="AE18" s="55">
        <f>I90</f>
        <v>0.94039241050058953</v>
      </c>
      <c r="AF18" s="55">
        <f>J90</f>
        <v>8.7598464435818413E-3</v>
      </c>
      <c r="AH18">
        <v>79</v>
      </c>
      <c r="AI18">
        <v>90</v>
      </c>
      <c r="AW18" s="51" t="s">
        <v>153</v>
      </c>
      <c r="AX18" s="80">
        <f>MIN($AE$16:$AE$65)</f>
        <v>0.92055363802871104</v>
      </c>
      <c r="AY18" s="80">
        <f>_xlfn.QUARTILE.EXC($AE$16:$AE$65,1)</f>
        <v>0.93082742095526005</v>
      </c>
      <c r="AZ18" s="80">
        <f>MEDIAN($AE$16:$AE$65)</f>
        <v>0.93467290810831682</v>
      </c>
      <c r="BA18" s="80">
        <f>AVERAGE($AE$16:$AE$65)</f>
        <v>0.93404313273992745</v>
      </c>
      <c r="BB18" s="80">
        <f>_xlfn.QUARTILE.EXC($AE$16:$AE$65,3)</f>
        <v>0.93805325050150112</v>
      </c>
      <c r="BC18" s="80">
        <f>MAX($AE$16:$AE$65)</f>
        <v>0.94348705264572319</v>
      </c>
      <c r="BD18" s="80">
        <f t="shared" si="0"/>
        <v>7.7308644377693751E-3</v>
      </c>
      <c r="BE18" s="80"/>
      <c r="BF18" s="48"/>
      <c r="BH18" s="59"/>
      <c r="BI18" s="49"/>
      <c r="BJ18" s="1"/>
      <c r="BK18" s="1"/>
    </row>
    <row r="19" spans="1:66" x14ac:dyDescent="0.3">
      <c r="A19" t="s">
        <v>7</v>
      </c>
      <c r="B19" s="13">
        <v>4</v>
      </c>
      <c r="C19" s="7">
        <v>0</v>
      </c>
      <c r="D19" s="8">
        <v>0</v>
      </c>
      <c r="E19" s="8">
        <v>8</v>
      </c>
      <c r="F19" s="8">
        <v>20</v>
      </c>
      <c r="G19" s="28">
        <v>216</v>
      </c>
      <c r="H19" s="1">
        <f>SUM(C19:G19)</f>
        <v>244</v>
      </c>
      <c r="I19" s="10">
        <f>G19/H19</f>
        <v>0.88524590163934425</v>
      </c>
      <c r="J19" s="11">
        <f>1-I19</f>
        <v>0.11475409836065575</v>
      </c>
      <c r="K19">
        <f>H19-G20</f>
        <v>14</v>
      </c>
      <c r="N19" s="10">
        <f>2*(G21*I19)/(G21+I19)</f>
        <v>0.91139240506329111</v>
      </c>
      <c r="O19" s="1"/>
      <c r="P19" s="1"/>
      <c r="S19" s="66" t="s">
        <v>39</v>
      </c>
      <c r="T19" s="67">
        <f t="shared" si="1"/>
        <v>0</v>
      </c>
      <c r="U19" s="67">
        <f t="shared" si="1"/>
        <v>0</v>
      </c>
      <c r="V19" s="67">
        <f t="shared" si="1"/>
        <v>0.87945512549684379</v>
      </c>
      <c r="W19" s="67">
        <f t="shared" si="1"/>
        <v>1.9312476678033423</v>
      </c>
      <c r="X19" s="67">
        <f t="shared" si="1"/>
        <v>5.547068790919889</v>
      </c>
      <c r="AC19" t="s">
        <v>68</v>
      </c>
      <c r="AD19" s="51">
        <f>I108</f>
        <v>0.90151515151515149</v>
      </c>
      <c r="AE19" s="73">
        <f>I119</f>
        <v>0.93370217441103076</v>
      </c>
      <c r="AF19" s="73">
        <f>J119</f>
        <v>9.6630484220449238E-3</v>
      </c>
      <c r="AH19">
        <v>108</v>
      </c>
      <c r="AI19">
        <v>119</v>
      </c>
      <c r="AW19" s="51" t="s">
        <v>210</v>
      </c>
      <c r="AX19" s="80">
        <f>MIN($AE$16:$AE$75)</f>
        <v>0.92055363802871104</v>
      </c>
      <c r="AY19" s="80">
        <f>_xlfn.QUARTILE.EXC($AE$16:$AE$75,1)</f>
        <v>0.93092848632277203</v>
      </c>
      <c r="AZ19" s="80">
        <f>MEDIAN($AE$16:$AE$75)</f>
        <v>0.93458165505322532</v>
      </c>
      <c r="BA19" s="80">
        <f>AVERAGE($AE$16:$AE$75)</f>
        <v>0.93412005644054807</v>
      </c>
      <c r="BB19" s="80">
        <f>_xlfn.QUARTILE.EXC($AE$16:$AE$75,3)</f>
        <v>0.93778633672092804</v>
      </c>
      <c r="BC19" s="80">
        <f>MAX($AE$16:$AE$75)</f>
        <v>0.94425700537282797</v>
      </c>
      <c r="BD19" s="80">
        <f t="shared" si="0"/>
        <v>7.3378825285902336E-3</v>
      </c>
      <c r="BE19" s="80"/>
      <c r="BF19" s="48"/>
      <c r="BH19" s="59"/>
      <c r="BI19" s="49"/>
      <c r="BJ19" s="1"/>
      <c r="BK19" s="1"/>
    </row>
    <row r="20" spans="1:66" ht="15.6" x14ac:dyDescent="0.35">
      <c r="B20" s="1" t="s">
        <v>19</v>
      </c>
      <c r="C20" s="1">
        <f>SUM(C15:C19)</f>
        <v>115</v>
      </c>
      <c r="D20" s="1">
        <f>SUM(D15:D19)</f>
        <v>7</v>
      </c>
      <c r="E20" s="1">
        <f>SUM(E15:E19)</f>
        <v>161</v>
      </c>
      <c r="F20" s="1">
        <f>SUM(F15:F19)</f>
        <v>147</v>
      </c>
      <c r="G20" s="1">
        <f>SUM(G15:G19)</f>
        <v>230</v>
      </c>
      <c r="H20" s="1">
        <f>SUM(H14:H19)</f>
        <v>660</v>
      </c>
      <c r="I20" s="13" t="s">
        <v>12</v>
      </c>
      <c r="N20" s="16" t="s">
        <v>36</v>
      </c>
      <c r="O20" s="1">
        <f>SUM(O15:O19)</f>
        <v>0</v>
      </c>
      <c r="P20" s="1">
        <f>SUM(P15:P19)</f>
        <v>0</v>
      </c>
      <c r="S20" s="70" t="s">
        <v>31</v>
      </c>
      <c r="T20" s="64">
        <f>I26</f>
        <v>100</v>
      </c>
      <c r="U20" s="64">
        <f>I27</f>
        <v>46.666666666666664</v>
      </c>
      <c r="V20" s="64">
        <f>I28</f>
        <v>97.887323943661968</v>
      </c>
      <c r="W20" s="64">
        <f>I29</f>
        <v>88.194444444444443</v>
      </c>
      <c r="X20" s="64">
        <f>I30</f>
        <v>88.52459016393442</v>
      </c>
      <c r="AC20" t="s">
        <v>71</v>
      </c>
      <c r="AD20" s="51">
        <f>I137</f>
        <v>0.90151515151515149</v>
      </c>
      <c r="AE20" s="73">
        <f>I148</f>
        <v>0.93239968475111956</v>
      </c>
      <c r="AF20" s="73">
        <f>J148</f>
        <v>9.1742673341315799E-3</v>
      </c>
      <c r="AH20">
        <v>137</v>
      </c>
      <c r="AI20">
        <v>148</v>
      </c>
      <c r="AW20" s="51" t="s">
        <v>211</v>
      </c>
      <c r="AX20" s="80">
        <f>MIN($AE$16:$AE$85)</f>
        <v>0.92055363802871104</v>
      </c>
      <c r="AY20" s="80">
        <f>_xlfn.QUARTILE.EXC($AE$16:$AE$85,1)</f>
        <v>0.93054667522702317</v>
      </c>
      <c r="AZ20" s="80">
        <f>MEDIAN($AE$16:$AE$85)</f>
        <v>0.93458165505322532</v>
      </c>
      <c r="BA20" s="80">
        <f>AVERAGE($AE$16:$AE$85)</f>
        <v>0.93373168547987895</v>
      </c>
      <c r="BB20" s="80">
        <f>_xlfn.QUARTILE.EXC($AE$16:$AE$85,3)</f>
        <v>0.93767371246937992</v>
      </c>
      <c r="BC20" s="80">
        <f>MAX($AE$16:$AE$85)</f>
        <v>0.94425700537282797</v>
      </c>
      <c r="BD20" s="80">
        <f t="shared" si="0"/>
        <v>7.6259117689944991E-3</v>
      </c>
      <c r="BE20" s="80"/>
      <c r="BF20" s="48"/>
      <c r="BH20" s="59"/>
      <c r="BI20" s="49"/>
      <c r="BJ20" s="1"/>
      <c r="BK20" s="1"/>
    </row>
    <row r="21" spans="1:66" x14ac:dyDescent="0.3">
      <c r="A21" s="1" t="s">
        <v>316</v>
      </c>
      <c r="B21" s="1" t="s">
        <v>2</v>
      </c>
      <c r="C21" s="10">
        <f>C15/C20</f>
        <v>1</v>
      </c>
      <c r="D21" s="10">
        <f>D16/D20</f>
        <v>1</v>
      </c>
      <c r="E21" s="10">
        <f>E17/E20</f>
        <v>0.86335403726708071</v>
      </c>
      <c r="F21" s="10">
        <f>F18/F20</f>
        <v>0.86394557823129248</v>
      </c>
      <c r="G21" s="10">
        <f>G19/G20</f>
        <v>0.93913043478260871</v>
      </c>
      <c r="H21" s="10"/>
      <c r="I21" s="14">
        <f>(C15+D16+E17+F18+G19)/H20</f>
        <v>0.91515151515151516</v>
      </c>
      <c r="S21" s="66" t="s">
        <v>39</v>
      </c>
      <c r="T21" s="67">
        <f>J26</f>
        <v>0</v>
      </c>
      <c r="U21" s="67">
        <f>J27</f>
        <v>13.333333333333334</v>
      </c>
      <c r="V21" s="67">
        <f>J28</f>
        <v>1.2110724557236938</v>
      </c>
      <c r="W21" s="67">
        <f>J29</f>
        <v>2.6983346503309322</v>
      </c>
      <c r="X21" s="67">
        <f>J30</f>
        <v>2.0446215228272906</v>
      </c>
      <c r="AC21" t="s">
        <v>93</v>
      </c>
      <c r="AD21" s="51">
        <f>I166</f>
        <v>0.89393939393939392</v>
      </c>
      <c r="AE21" s="55">
        <f>I177</f>
        <v>0.92855832679318939</v>
      </c>
      <c r="AF21" s="55">
        <f>J177</f>
        <v>9.790959886538381E-3</v>
      </c>
      <c r="AH21">
        <v>166</v>
      </c>
      <c r="AI21">
        <v>177</v>
      </c>
      <c r="AW21" s="51" t="s">
        <v>212</v>
      </c>
      <c r="AX21" s="80">
        <f>MIN($AE$16:$AE$95)</f>
        <v>0.92055363802871104</v>
      </c>
      <c r="AY21" s="80">
        <f>_xlfn.QUARTILE.EXC($AE$16:$AE$95,1)</f>
        <v>0.93053939112611372</v>
      </c>
      <c r="AZ21" s="80">
        <f>MEDIAN($AE$16:$AE$95)</f>
        <v>0.93466477373932999</v>
      </c>
      <c r="BA21" s="80">
        <f>AVERAGE($AE$16:$AE$95)</f>
        <v>0.9337647114045714</v>
      </c>
      <c r="BB21" s="80">
        <f>_xlfn.QUARTILE.EXC($AE$16:$AE$95,3)</f>
        <v>0.93778633672092804</v>
      </c>
      <c r="BC21" s="80">
        <f>MAX($AE$16:$AE$95)</f>
        <v>0.94425700537282797</v>
      </c>
      <c r="BD21" s="80">
        <f t="shared" si="0"/>
        <v>7.7535238284645409E-3</v>
      </c>
      <c r="BE21" s="80"/>
      <c r="BF21" s="48"/>
      <c r="BH21" s="59"/>
      <c r="BI21" s="49"/>
      <c r="BJ21" s="1"/>
      <c r="BK21" s="1"/>
      <c r="BM21" s="1"/>
      <c r="BN21" s="1"/>
    </row>
    <row r="22" spans="1:66" x14ac:dyDescent="0.3">
      <c r="B22" s="1" t="s">
        <v>14</v>
      </c>
      <c r="C22" s="11">
        <f>1-C21</f>
        <v>0</v>
      </c>
      <c r="D22" s="11">
        <f>1-D21</f>
        <v>0</v>
      </c>
      <c r="E22" s="11">
        <f>1-E21</f>
        <v>0.13664596273291929</v>
      </c>
      <c r="F22" s="11">
        <f>1-F21</f>
        <v>0.13605442176870752</v>
      </c>
      <c r="G22" s="11">
        <f>1-G21</f>
        <v>6.0869565217391286E-2</v>
      </c>
      <c r="S22" s="68" t="s">
        <v>51</v>
      </c>
      <c r="T22" s="65">
        <f>N15*100</f>
        <v>100</v>
      </c>
      <c r="U22" s="65">
        <f>N16*100</f>
        <v>63.636363636363633</v>
      </c>
      <c r="V22" s="65">
        <f>N17*100</f>
        <v>91.749174917491743</v>
      </c>
      <c r="W22" s="65">
        <f>N18*100</f>
        <v>87.285223367697597</v>
      </c>
      <c r="X22" s="65">
        <f>N19*100</f>
        <v>91.139240506329116</v>
      </c>
      <c r="Y22" s="46"/>
      <c r="Z22" s="46"/>
      <c r="AA22" s="46"/>
      <c r="AC22" t="s">
        <v>94</v>
      </c>
      <c r="AD22" s="51">
        <f>I195</f>
        <v>0.91363636363636369</v>
      </c>
      <c r="AE22" s="55">
        <f>I206</f>
        <v>0.93868505546589853</v>
      </c>
      <c r="AF22" s="55">
        <f>J206</f>
        <v>8.9226522677139774E-3</v>
      </c>
      <c r="AH22">
        <v>195</v>
      </c>
      <c r="AI22">
        <v>206</v>
      </c>
      <c r="AW22" s="51" t="s">
        <v>213</v>
      </c>
      <c r="AX22" s="80">
        <f>MIN($AE$16:$AE$105)</f>
        <v>0.92055363802871104</v>
      </c>
      <c r="AY22" s="80">
        <f>_xlfn.QUARTILE.EXC($AE$16:$AE$105,1)</f>
        <v>0.93054667522702317</v>
      </c>
      <c r="AZ22" s="80">
        <f>MEDIAN($AE$16:$AE$105)</f>
        <v>0.93458165505322532</v>
      </c>
      <c r="BA22" s="80">
        <f>AVERAGE($AE$16:$AE$105)</f>
        <v>0.93376519140287051</v>
      </c>
      <c r="BB22" s="80">
        <f>_xlfn.QUARTILE.EXC($AE$16:$AE$105,3)</f>
        <v>0.93767371246937992</v>
      </c>
      <c r="BC22" s="80">
        <f>MAX($AE$16:$AE$105)</f>
        <v>0.94425700537282797</v>
      </c>
      <c r="BD22" s="80">
        <f t="shared" si="0"/>
        <v>7.6259117689944991E-3</v>
      </c>
      <c r="BE22" s="80"/>
      <c r="BF22" s="48"/>
      <c r="BI22" s="1"/>
      <c r="BJ22" s="13"/>
      <c r="BK22" s="1"/>
      <c r="BM22" s="1"/>
      <c r="BN22" s="81"/>
    </row>
    <row r="23" spans="1:66" x14ac:dyDescent="0.3">
      <c r="C23" s="2"/>
      <c r="R23" s="16" t="s">
        <v>61</v>
      </c>
      <c r="S23" t="s">
        <v>9</v>
      </c>
      <c r="T23" s="30">
        <f>N26</f>
        <v>965.34</v>
      </c>
      <c r="U23" s="30">
        <f>N27</f>
        <v>865.91</v>
      </c>
      <c r="V23" s="30">
        <f>N28</f>
        <v>52836.66</v>
      </c>
      <c r="W23" s="30">
        <f>N29</f>
        <v>22796.5</v>
      </c>
      <c r="X23" s="30">
        <f>N30</f>
        <v>14181.91</v>
      </c>
      <c r="Z23" t="s">
        <v>36</v>
      </c>
      <c r="AA23" s="1">
        <f>N31</f>
        <v>91646.32</v>
      </c>
      <c r="AC23" t="s">
        <v>95</v>
      </c>
      <c r="AD23" s="51">
        <f>I224</f>
        <v>0.90303030303030307</v>
      </c>
      <c r="AE23" s="55">
        <f>I235</f>
        <v>0.93453976302543362</v>
      </c>
      <c r="AF23" s="55">
        <f>J235</f>
        <v>9.5523051761087722E-3</v>
      </c>
      <c r="AH23">
        <v>224</v>
      </c>
      <c r="AI23">
        <v>235</v>
      </c>
      <c r="AW23" s="51" t="s">
        <v>214</v>
      </c>
      <c r="AX23" s="80">
        <f>MIN($AE$16:$AE$115)</f>
        <v>0.92055363802871104</v>
      </c>
      <c r="AY23" s="80">
        <f>_xlfn.QUARTILE.EXC($AE$16:$AE$115,1)</f>
        <v>0.9307664087829578</v>
      </c>
      <c r="AZ23" s="80">
        <f>MEDIAN($AE$16:$AE$115)</f>
        <v>0.93458165505322532</v>
      </c>
      <c r="BA23" s="80">
        <f>AVERAGE($AE$16:$AE$115)</f>
        <v>0.93388077779501955</v>
      </c>
      <c r="BB23" s="80">
        <f>_xlfn.QUARTILE.EXC($AE$16:$AE$115,3)</f>
        <v>0.93778633672092804</v>
      </c>
      <c r="BC23" s="80">
        <f>MAX($AE$16:$AE$115)</f>
        <v>0.94425700537282797</v>
      </c>
      <c r="BD23" s="80">
        <f t="shared" si="0"/>
        <v>7.5113050850227174E-3</v>
      </c>
      <c r="BE23" s="80"/>
      <c r="BF23" s="48"/>
      <c r="BI23" s="1"/>
      <c r="BJ23" s="1"/>
      <c r="BK23" s="1"/>
      <c r="BM23" s="23"/>
      <c r="BN23" s="1"/>
    </row>
    <row r="24" spans="1:66" ht="15.6" x14ac:dyDescent="0.35">
      <c r="A24" t="s">
        <v>317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318</v>
      </c>
      <c r="S24" t="s">
        <v>63</v>
      </c>
      <c r="T24" s="57">
        <f>$AA23*T16/100</f>
        <v>965.34</v>
      </c>
      <c r="U24" s="57">
        <f>$AA23*U16/100</f>
        <v>404.0913333333333</v>
      </c>
      <c r="V24" s="57">
        <f>$AA23*V16/100</f>
        <v>53597.046024282303</v>
      </c>
      <c r="W24" s="57">
        <f>$AA23*W16/100</f>
        <v>21267.698167122038</v>
      </c>
      <c r="X24" s="57">
        <f>$AA23*X16/100</f>
        <v>15412.144475262321</v>
      </c>
      <c r="Z24" t="s">
        <v>36</v>
      </c>
      <c r="AA24" s="25">
        <f>SUM(T24:X24)</f>
        <v>91646.319999999992</v>
      </c>
      <c r="AC24" t="s">
        <v>96</v>
      </c>
      <c r="AD24" s="51">
        <f>I253</f>
        <v>0.89848484848484844</v>
      </c>
      <c r="AE24" s="55">
        <f>I264</f>
        <v>0.93494804448659319</v>
      </c>
      <c r="AF24" s="55">
        <f>J264</f>
        <v>9.4359611463014637E-3</v>
      </c>
      <c r="AH24">
        <v>253</v>
      </c>
      <c r="AI24">
        <v>264</v>
      </c>
      <c r="AW24" s="51" t="s">
        <v>321</v>
      </c>
      <c r="AX24" s="80">
        <f>MIN($AE$16:$AE$165)</f>
        <v>0.919904617058803</v>
      </c>
      <c r="AY24" s="80">
        <f>_xlfn.QUARTILE.EXC($AE$16:$AE$165,1)</f>
        <v>0.9308718995377373</v>
      </c>
      <c r="AZ24" s="80">
        <f>MEDIAN($AE$16:$AE$165)</f>
        <v>0.93398720249623868</v>
      </c>
      <c r="BA24" s="80">
        <f>AVERAGE($AE$16:$AE$165)</f>
        <v>0.93374480600437282</v>
      </c>
      <c r="BB24" s="80">
        <f>_xlfn.QUARTILE.EXC($AE$16:$AE$165,3)</f>
        <v>0.93747103622933303</v>
      </c>
      <c r="BC24" s="80">
        <f>MAX($AE$16:$AE$165)</f>
        <v>0.94425700537282797</v>
      </c>
      <c r="BD24" s="80">
        <f t="shared" si="0"/>
        <v>7.0655536542239793E-3</v>
      </c>
      <c r="BE24" s="80"/>
      <c r="BF24" s="48"/>
      <c r="BI24" s="1"/>
      <c r="BJ24" s="13"/>
      <c r="BK24" s="1"/>
      <c r="BM24" s="23"/>
      <c r="BN24" s="1"/>
    </row>
    <row r="25" spans="1:66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62</v>
      </c>
      <c r="T25" s="67">
        <f>$AA23*T17/100</f>
        <v>0</v>
      </c>
      <c r="U25" s="67">
        <f>$AA23*U17/100</f>
        <v>111.53980478482573</v>
      </c>
      <c r="V25" s="67">
        <f>$AA23*V17/100</f>
        <v>767.63400052320958</v>
      </c>
      <c r="W25" s="67">
        <f>$AA23*W17/100</f>
        <v>661.64853624142927</v>
      </c>
      <c r="X25" s="67">
        <f>$AA23*X17/100</f>
        <v>863.09461171828298</v>
      </c>
      <c r="AA25" s="1"/>
      <c r="AC25" t="s">
        <v>97</v>
      </c>
      <c r="AD25" s="51">
        <f>I282</f>
        <v>0.91060606060606064</v>
      </c>
      <c r="AE25" s="55">
        <f>I293</f>
        <v>0.93656231429074832</v>
      </c>
      <c r="AF25" s="55">
        <f>J293</f>
        <v>9.5615762230545943E-3</v>
      </c>
      <c r="AH25">
        <v>282</v>
      </c>
      <c r="AI25">
        <v>293</v>
      </c>
      <c r="AW25" s="51" t="s">
        <v>322</v>
      </c>
      <c r="AX25" s="80">
        <f>MIN($AE$16:$AE$215)</f>
        <v>0.91531237460222203</v>
      </c>
      <c r="AY25" s="80">
        <f>_xlfn.QUARTILE.EXC($AE$16:$AE$215,1)</f>
        <v>0.93059115380950042</v>
      </c>
      <c r="AZ25" s="126">
        <f>MEDIAN($AE$16:$AE$215)</f>
        <v>0.93387833368180617</v>
      </c>
      <c r="BA25" s="126">
        <f>AVERAGE($AE$16:$AE$215)</f>
        <v>0.93362825627997181</v>
      </c>
      <c r="BB25" s="80">
        <f>_xlfn.QUARTILE.EXC($AE$16:$AE$215,3)</f>
        <v>0.93710962272296228</v>
      </c>
      <c r="BC25" s="80">
        <f>MAX($AE$16:$AE$215)</f>
        <v>0.94451934087813605</v>
      </c>
      <c r="BD25" s="80">
        <f t="shared" si="0"/>
        <v>6.9799980129776236E-3</v>
      </c>
      <c r="BE25" s="80"/>
      <c r="BF25" s="48"/>
      <c r="BJ25" s="12"/>
    </row>
    <row r="26" spans="1:66" x14ac:dyDescent="0.3">
      <c r="A26" t="s">
        <v>3</v>
      </c>
      <c r="B26" s="13">
        <v>0</v>
      </c>
      <c r="C26" s="29">
        <f>(C15/$L26)*$O26</f>
        <v>1.0533319832154744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1.0533319832154744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115</v>
      </c>
      <c r="M26">
        <v>0</v>
      </c>
      <c r="N26" s="1">
        <v>965.34</v>
      </c>
      <c r="O26" s="17">
        <f>N26/N31*100</f>
        <v>1.0533319832154744</v>
      </c>
      <c r="P26" s="52">
        <f>((O26*O26*(I26/100)*(K26/100))/(L26-1))</f>
        <v>0</v>
      </c>
      <c r="R26" t="s">
        <v>66</v>
      </c>
      <c r="S26" s="70" t="s">
        <v>28</v>
      </c>
      <c r="T26" s="64">
        <f t="shared" ref="T26:X29" si="3">C60</f>
        <v>1.0749367786944417</v>
      </c>
      <c r="U26" s="64">
        <f t="shared" si="3"/>
        <v>0.29354588378453167</v>
      </c>
      <c r="V26" s="64">
        <f t="shared" si="3"/>
        <v>59.45186326468675</v>
      </c>
      <c r="W26" s="64">
        <f t="shared" si="3"/>
        <v>23.405148117121026</v>
      </c>
      <c r="X26" s="64">
        <f t="shared" si="3"/>
        <v>15.774505955713234</v>
      </c>
      <c r="Y26" s="13"/>
      <c r="Z26" s="74"/>
      <c r="AA26" s="12"/>
      <c r="AC26" t="s">
        <v>98</v>
      </c>
      <c r="AD26" s="51">
        <f>I311</f>
        <v>0.88484848484848488</v>
      </c>
      <c r="AE26" s="55">
        <f>I322</f>
        <v>0.92387741722361616</v>
      </c>
      <c r="AF26" s="55">
        <f>J322</f>
        <v>9.473470471899342E-3</v>
      </c>
      <c r="AH26">
        <v>311</v>
      </c>
      <c r="AI26">
        <v>322</v>
      </c>
      <c r="BF26" s="48"/>
      <c r="BJ26" s="13"/>
      <c r="BK26" s="13"/>
    </row>
    <row r="27" spans="1:66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0.4409247783580762</v>
      </c>
      <c r="E27" s="19">
        <f t="shared" si="2"/>
        <v>0.50391403240922994</v>
      </c>
      <c r="F27" s="18">
        <f t="shared" si="2"/>
        <v>0</v>
      </c>
      <c r="G27" s="20">
        <f t="shared" si="2"/>
        <v>0</v>
      </c>
      <c r="H27" s="17">
        <f>SUM(C27:G27)</f>
        <v>0.94483881076730614</v>
      </c>
      <c r="I27" s="17">
        <f>D27/H27*100</f>
        <v>46.666666666666664</v>
      </c>
      <c r="J27" s="17">
        <f>SQRT(I27*(100-I27)/(L27-1))</f>
        <v>13.333333333333334</v>
      </c>
      <c r="K27" s="18">
        <f>100-I27</f>
        <v>53.333333333333336</v>
      </c>
      <c r="L27" s="1">
        <f>H16</f>
        <v>15</v>
      </c>
      <c r="M27">
        <v>1</v>
      </c>
      <c r="N27" s="1">
        <v>865.91</v>
      </c>
      <c r="O27" s="17">
        <f>N27/N31*100</f>
        <v>0.94483881076730614</v>
      </c>
      <c r="P27" s="52">
        <f>((O27*O27*(I27/100)*(K27/100))/(L27-1))</f>
        <v>1.5870584503683151E-2</v>
      </c>
      <c r="S27" s="66" t="s">
        <v>39</v>
      </c>
      <c r="T27" s="67">
        <f t="shared" si="3"/>
        <v>0</v>
      </c>
      <c r="U27" s="67">
        <f t="shared" si="3"/>
        <v>9.2827359052620767E-2</v>
      </c>
      <c r="V27" s="67">
        <f t="shared" si="3"/>
        <v>0.74697874440728984</v>
      </c>
      <c r="W27" s="67">
        <f t="shared" si="3"/>
        <v>0.78769495364640529</v>
      </c>
      <c r="X27" s="67">
        <f t="shared" si="3"/>
        <v>0.94022535103138394</v>
      </c>
      <c r="AC27" t="s">
        <v>99</v>
      </c>
      <c r="AD27" s="51">
        <f>I340</f>
        <v>0.90454545454545454</v>
      </c>
      <c r="AE27" s="55">
        <f>I351</f>
        <v>0.93900380912958681</v>
      </c>
      <c r="AF27" s="55">
        <f>J351</f>
        <v>8.6145094446068767E-3</v>
      </c>
      <c r="AH27">
        <v>340</v>
      </c>
      <c r="AI27">
        <v>351</v>
      </c>
      <c r="BF27" s="48"/>
    </row>
    <row r="28" spans="1:66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0</v>
      </c>
      <c r="E28" s="34">
        <f t="shared" si="2"/>
        <v>56.434772869452111</v>
      </c>
      <c r="F28" s="19">
        <f t="shared" si="2"/>
        <v>0</v>
      </c>
      <c r="G28" s="20">
        <f t="shared" si="2"/>
        <v>1.2180166806356569</v>
      </c>
      <c r="H28" s="17">
        <f>SUM(C28:G28)</f>
        <v>57.652789550087768</v>
      </c>
      <c r="I28" s="17">
        <f>E28/H28*100</f>
        <v>97.887323943661968</v>
      </c>
      <c r="J28" s="17">
        <f>SQRT(I28*(100-I28)/(L28-1))</f>
        <v>1.2110724557236938</v>
      </c>
      <c r="K28" s="18">
        <f>100-I28</f>
        <v>2.1126760563380316</v>
      </c>
      <c r="L28" s="1">
        <f>H17</f>
        <v>142</v>
      </c>
      <c r="M28">
        <v>2</v>
      </c>
      <c r="N28" s="1">
        <v>52836.66</v>
      </c>
      <c r="O28" s="17">
        <f>N28/N31*100</f>
        <v>57.652789550087768</v>
      </c>
      <c r="P28" s="52">
        <f>((O28*O28*(I28/100)*(K28/100))/(L28-1))</f>
        <v>0.4875070547721802</v>
      </c>
      <c r="S28" t="s">
        <v>30</v>
      </c>
      <c r="T28" s="57">
        <f t="shared" si="3"/>
        <v>100</v>
      </c>
      <c r="U28" s="57">
        <f t="shared" si="3"/>
        <v>100</v>
      </c>
      <c r="V28" s="57">
        <f t="shared" si="3"/>
        <v>95.59511292463813</v>
      </c>
      <c r="W28" s="57">
        <f t="shared" si="3"/>
        <v>93.955239116839067</v>
      </c>
      <c r="X28" s="57">
        <f t="shared" si="3"/>
        <v>77.989639518545545</v>
      </c>
      <c r="AC28" t="s">
        <v>100</v>
      </c>
      <c r="AD28" s="51">
        <f>I369</f>
        <v>0.90151515151515149</v>
      </c>
      <c r="AE28" s="55">
        <f>I380</f>
        <v>0.9314139120555136</v>
      </c>
      <c r="AF28" s="55">
        <f>J380</f>
        <v>9.758283937306711E-3</v>
      </c>
      <c r="AH28">
        <v>369</v>
      </c>
      <c r="AI28">
        <v>380</v>
      </c>
      <c r="BF28" s="48"/>
    </row>
    <row r="29" spans="1:66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0</v>
      </c>
      <c r="E29" s="19">
        <f t="shared" si="2"/>
        <v>1.0364345962463812</v>
      </c>
      <c r="F29" s="34">
        <f t="shared" si="2"/>
        <v>21.937865620548404</v>
      </c>
      <c r="G29" s="20">
        <f t="shared" si="2"/>
        <v>1.9001300931183658</v>
      </c>
      <c r="H29" s="17">
        <f>SUM(C29:G29)</f>
        <v>24.874430309913151</v>
      </c>
      <c r="I29" s="17">
        <f>F29/H29*100</f>
        <v>88.194444444444443</v>
      </c>
      <c r="J29" s="17">
        <f>SQRT(I29*(100-I29)/(L29-1))</f>
        <v>2.6983346503309322</v>
      </c>
      <c r="K29" s="18">
        <f>100-I29</f>
        <v>11.805555555555557</v>
      </c>
      <c r="L29" s="1">
        <f>H18</f>
        <v>144</v>
      </c>
      <c r="M29">
        <v>3</v>
      </c>
      <c r="N29" s="1">
        <v>22796.5</v>
      </c>
      <c r="O29" s="17">
        <f>N29/N31*100</f>
        <v>24.874430309913151</v>
      </c>
      <c r="P29" s="52">
        <f>((O29*O29*(I29/100)*(K29/100))/(L29-1))</f>
        <v>0.45050322756175731</v>
      </c>
      <c r="S29" s="66" t="s">
        <v>39</v>
      </c>
      <c r="T29" s="67">
        <f t="shared" si="3"/>
        <v>0</v>
      </c>
      <c r="U29" s="67">
        <f t="shared" si="3"/>
        <v>0</v>
      </c>
      <c r="V29" s="67">
        <f t="shared" si="3"/>
        <v>0.88726795169931605</v>
      </c>
      <c r="W29" s="67">
        <f t="shared" si="3"/>
        <v>2.2166455838175905</v>
      </c>
      <c r="X29" s="67">
        <f t="shared" si="3"/>
        <v>6.714086934013836</v>
      </c>
      <c r="AC29" t="s">
        <v>101</v>
      </c>
      <c r="AD29" s="51">
        <f>I398</f>
        <v>0.9</v>
      </c>
      <c r="AE29" s="55">
        <f>I409</f>
        <v>0.93687882078980733</v>
      </c>
      <c r="AF29" s="55">
        <f>J409</f>
        <v>8.7519164865812217E-3</v>
      </c>
      <c r="AH29">
        <v>398</v>
      </c>
      <c r="AI29">
        <v>409</v>
      </c>
      <c r="BF29" s="48"/>
    </row>
    <row r="30" spans="1:66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0</v>
      </c>
      <c r="E30" s="21">
        <f t="shared" si="2"/>
        <v>0.50736424085299325</v>
      </c>
      <c r="F30" s="21">
        <f t="shared" si="2"/>
        <v>1.268410602132483</v>
      </c>
      <c r="G30" s="37">
        <f t="shared" si="2"/>
        <v>13.698834503030817</v>
      </c>
      <c r="H30" s="17">
        <f>SUM(C30:G30)</f>
        <v>15.474609346016294</v>
      </c>
      <c r="I30" s="17">
        <f>G30/H30*100</f>
        <v>88.52459016393442</v>
      </c>
      <c r="J30" s="17">
        <f>SQRT(I30*(100-I30)/(L30-1))</f>
        <v>2.0446215228272906</v>
      </c>
      <c r="K30" s="18">
        <f>100-I30</f>
        <v>11.47540983606558</v>
      </c>
      <c r="L30" s="1">
        <f>H19</f>
        <v>244</v>
      </c>
      <c r="M30">
        <v>4</v>
      </c>
      <c r="N30" s="1">
        <v>14181.91</v>
      </c>
      <c r="O30" s="17">
        <f>N30/N31*100</f>
        <v>15.474609346016294</v>
      </c>
      <c r="P30" s="52">
        <f>((O30*O30*(I30/100)*(K30/100))/(L30-1))</f>
        <v>0.10010718390413001</v>
      </c>
      <c r="S30" t="s">
        <v>31</v>
      </c>
      <c r="T30" s="57">
        <f>I55</f>
        <v>100</v>
      </c>
      <c r="U30" s="57">
        <f>I56</f>
        <v>40</v>
      </c>
      <c r="V30" s="57">
        <f>I57</f>
        <v>98.591549295774655</v>
      </c>
      <c r="W30" s="57">
        <f>I58</f>
        <v>86.1111111111111</v>
      </c>
      <c r="X30" s="57">
        <f>I59</f>
        <v>81.967213114754102</v>
      </c>
      <c r="AC30" t="s">
        <v>102</v>
      </c>
      <c r="AD30" s="51">
        <f>I427</f>
        <v>0.90606060606060601</v>
      </c>
      <c r="AE30" s="55">
        <f>I438</f>
        <v>0.93397218343618338</v>
      </c>
      <c r="AF30" s="55">
        <f>J438</f>
        <v>9.7112204728497294E-3</v>
      </c>
      <c r="AH30">
        <v>427</v>
      </c>
      <c r="AI30">
        <v>438</v>
      </c>
      <c r="BF30" s="48"/>
    </row>
    <row r="31" spans="1:66" x14ac:dyDescent="0.3">
      <c r="B31" t="s">
        <v>28</v>
      </c>
      <c r="C31" s="17">
        <f>SUM(C26:C30)</f>
        <v>1.0533319832154744</v>
      </c>
      <c r="D31" s="17">
        <f>SUM(D26:D30)</f>
        <v>0.4409247783580762</v>
      </c>
      <c r="E31" s="17">
        <f>SUM(E26:E30)</f>
        <v>58.482485738960712</v>
      </c>
      <c r="F31" s="17">
        <f>SUM(F26:F30)</f>
        <v>23.206276222680888</v>
      </c>
      <c r="G31" s="17">
        <f>SUM(G26:G30)</f>
        <v>16.816981276784841</v>
      </c>
      <c r="H31" s="1">
        <f>SUM(H25:H30)</f>
        <v>99.999999999999986</v>
      </c>
      <c r="I31" s="13" t="s">
        <v>24</v>
      </c>
      <c r="J31" s="12" t="s">
        <v>29</v>
      </c>
      <c r="N31" s="1">
        <f>SUM(N26:N30)</f>
        <v>91646.32</v>
      </c>
      <c r="O31" s="17">
        <f>SUM(O26:O30)</f>
        <v>99.999999999999986</v>
      </c>
      <c r="S31" s="66" t="s">
        <v>39</v>
      </c>
      <c r="T31" s="67">
        <f>J55</f>
        <v>0</v>
      </c>
      <c r="U31" s="67">
        <f>J56</f>
        <v>13.093073414159543</v>
      </c>
      <c r="V31" s="67">
        <f>J57</f>
        <v>0.99238711073976715</v>
      </c>
      <c r="W31" s="67">
        <f>J58</f>
        <v>2.8919802956134921</v>
      </c>
      <c r="X31" s="67">
        <f>J59</f>
        <v>2.4663140269083059</v>
      </c>
      <c r="AC31" t="s">
        <v>103</v>
      </c>
      <c r="AD31" s="51">
        <f>I456</f>
        <v>0.9</v>
      </c>
      <c r="AE31" s="55">
        <f>I467</f>
        <v>0.92961752566489775</v>
      </c>
      <c r="AF31" s="55">
        <f>J467</f>
        <v>9.2923296721994682E-3</v>
      </c>
      <c r="AH31">
        <v>456</v>
      </c>
      <c r="AI31">
        <v>467</v>
      </c>
      <c r="BF31" s="48"/>
    </row>
    <row r="32" spans="1:66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0.12170680152222776</v>
      </c>
      <c r="E32" s="18">
        <f>SQRT(SUM((O26*O26*(E26/O26)*(1-E26/O26))/L26,(O27*O27*(E27/O27)*(1-E27/O27))/L27,(O28*O28*(E28/O28)*(1-E28/O28))/L28,(O29*O29*(E29/O29)*(1-E29/O29))/L29,(O30*O30*(E30/O30)*(1-E30/O30))/L30))</f>
        <v>0.83760482747502518</v>
      </c>
      <c r="F32" s="18">
        <f>SQRT(SUM((O26*O26*(F26/O26)*(1-F26/O26))/L26,(O27*O27*(F27/O27)*(1-F27/O27))/L27,(O28*O28*(F28/O28)*(1-F28/O28))/L28,(O29*O29*(F29/O29)*(1-F29/O29))/L29,(O30*O30*(F30/O30)*(1-F30/O30))/L30))</f>
        <v>0.72195865174011264</v>
      </c>
      <c r="G32" s="18">
        <f>SQRT(SUM((O26*O26*(G26/O26)*(1-G26/O26))/L26,(O27*O27*(G27/O27)*(1-G27/O27))/L27,(O28*O28*(G28/O28)*(1-G28/O28))/L28,(O29*O29*(G29/O29)*(1-G29/O29))/L29,(O30*O30*(G30/O30)*(1-G30/O30))/L30))</f>
        <v>0.94176679622082249</v>
      </c>
      <c r="H32" s="1"/>
      <c r="I32" s="14">
        <f>(C26+D27+E28+F29+G30)/H31</f>
        <v>0.93565729754604898</v>
      </c>
      <c r="J32" s="53">
        <f>SQRT(SUM(P26:P30))/100</f>
        <v>1.0266392018337069E-2</v>
      </c>
      <c r="M32" s="1"/>
      <c r="N32" s="9"/>
      <c r="S32" s="66" t="s">
        <v>51</v>
      </c>
      <c r="T32" s="67">
        <f>N44*100</f>
        <v>100</v>
      </c>
      <c r="U32" s="67">
        <f>N45*100</f>
        <v>57.142857142857153</v>
      </c>
      <c r="V32" s="67">
        <f>N46*100</f>
        <v>88.328075709779185</v>
      </c>
      <c r="W32" s="67">
        <f>N47*100</f>
        <v>85.223367697594512</v>
      </c>
      <c r="X32" s="67">
        <f>N48*100</f>
        <v>86.767895878524953</v>
      </c>
      <c r="AC32" t="s">
        <v>104</v>
      </c>
      <c r="AD32" s="51">
        <f>I485</f>
        <v>0.90454545454545454</v>
      </c>
      <c r="AE32" s="55">
        <f>I496</f>
        <v>0.93292660445155662</v>
      </c>
      <c r="AF32" s="55">
        <f>J496</f>
        <v>9.7766184479588028E-3</v>
      </c>
      <c r="AH32">
        <v>485</v>
      </c>
      <c r="AI32">
        <v>496</v>
      </c>
      <c r="BF32" s="48"/>
    </row>
    <row r="33" spans="1:65" x14ac:dyDescent="0.3">
      <c r="B33" s="1" t="s">
        <v>30</v>
      </c>
      <c r="C33" s="17">
        <f>C26/C31*100</f>
        <v>100</v>
      </c>
      <c r="D33" s="17">
        <f>D27/D31*100</f>
        <v>100</v>
      </c>
      <c r="E33" s="17">
        <f>E28/E31*100</f>
        <v>96.498587835940043</v>
      </c>
      <c r="F33" s="17">
        <f>F29/F31*100</f>
        <v>94.53419156972376</v>
      </c>
      <c r="G33" s="17">
        <f>G30/G31*100</f>
        <v>81.458344262662067</v>
      </c>
      <c r="H33" s="1"/>
      <c r="R33" s="16" t="s">
        <v>61</v>
      </c>
      <c r="S33" t="s">
        <v>9</v>
      </c>
      <c r="T33" s="30">
        <f>N55</f>
        <v>985.14</v>
      </c>
      <c r="U33" s="30">
        <f>N56</f>
        <v>672.56</v>
      </c>
      <c r="V33" s="30">
        <f>N57</f>
        <v>52829.5</v>
      </c>
      <c r="W33" s="30">
        <f>N58</f>
        <v>23403.9</v>
      </c>
      <c r="X33" s="30">
        <f>N59</f>
        <v>13755.22</v>
      </c>
      <c r="Z33" t="s">
        <v>36</v>
      </c>
      <c r="AA33" s="1">
        <f>N60</f>
        <v>91646.32</v>
      </c>
      <c r="AC33" t="s">
        <v>105</v>
      </c>
      <c r="AD33" s="51">
        <f>I514</f>
        <v>0.91363636363636369</v>
      </c>
      <c r="AE33" s="55">
        <f>I525</f>
        <v>0.93924461545708327</v>
      </c>
      <c r="AF33" s="55">
        <f>J525</f>
        <v>9.4249857462827321E-3</v>
      </c>
      <c r="AH33">
        <v>514</v>
      </c>
      <c r="AI33">
        <v>525</v>
      </c>
    </row>
    <row r="34" spans="1:65" ht="18" x14ac:dyDescent="0.35">
      <c r="B34" s="16" t="s">
        <v>39</v>
      </c>
      <c r="C34" s="18">
        <f>SQRT((C37+C38)/(C31*C31))</f>
        <v>0</v>
      </c>
      <c r="D34" s="18">
        <f>SQRT((D37+D38)/(D31*D31))</f>
        <v>0</v>
      </c>
      <c r="E34" s="18">
        <f>SQRT((E37+E38)/(E31*E31))</f>
        <v>0.87945512549684379</v>
      </c>
      <c r="F34" s="18">
        <f>SQRT((F37+F38)/(F31*F31))</f>
        <v>1.9312476678033423</v>
      </c>
      <c r="G34" s="18">
        <f>SQRT((G37+G38)/(G31*G31))</f>
        <v>5.547068790919889</v>
      </c>
      <c r="H34" s="1"/>
      <c r="I34" s="14"/>
      <c r="R34" s="16" t="s">
        <v>318</v>
      </c>
      <c r="S34" t="s">
        <v>63</v>
      </c>
      <c r="T34" s="57">
        <f>$AA33*T26/100</f>
        <v>985.14</v>
      </c>
      <c r="U34" s="57">
        <f>$AA33*U26/100</f>
        <v>269.024</v>
      </c>
      <c r="V34" s="57">
        <f>$AA33*V26/100</f>
        <v>54485.444853517271</v>
      </c>
      <c r="W34" s="57">
        <f>$AA33*W26/100</f>
        <v>21449.956939890712</v>
      </c>
      <c r="X34" s="57">
        <f>$AA33*X26/100</f>
        <v>14456.75420659201</v>
      </c>
      <c r="Z34" t="s">
        <v>36</v>
      </c>
      <c r="AA34" s="25">
        <f>SUM(T34:X34)</f>
        <v>91646.319999999992</v>
      </c>
      <c r="AB34" s="25"/>
      <c r="AC34" t="s">
        <v>106</v>
      </c>
      <c r="AD34" s="51">
        <f>I543</f>
        <v>0.91060606060606064</v>
      </c>
      <c r="AE34" s="55">
        <f>I554</f>
        <v>0.94348705264572319</v>
      </c>
      <c r="AF34" s="55">
        <f>J554</f>
        <v>8.3610124932689944E-3</v>
      </c>
      <c r="AH34">
        <v>543</v>
      </c>
      <c r="AI34">
        <v>554</v>
      </c>
      <c r="BF34" s="83" t="s">
        <v>338</v>
      </c>
    </row>
    <row r="35" spans="1:65" x14ac:dyDescent="0.3">
      <c r="B35" s="1" t="s">
        <v>37</v>
      </c>
      <c r="C35" s="18">
        <f>100-C33</f>
        <v>0</v>
      </c>
      <c r="D35" s="18">
        <f>100-D33</f>
        <v>0</v>
      </c>
      <c r="E35" s="18">
        <f>100-E33</f>
        <v>3.5014121640599569</v>
      </c>
      <c r="F35" s="18">
        <f>100-F33</f>
        <v>5.4658084302762404</v>
      </c>
      <c r="G35" s="18">
        <f>100-G33</f>
        <v>18.541655737337933</v>
      </c>
      <c r="R35" s="66"/>
      <c r="S35" s="66" t="s">
        <v>62</v>
      </c>
      <c r="T35" s="67">
        <f>$AA33*T27/100</f>
        <v>0</v>
      </c>
      <c r="U35" s="67">
        <f>$AA33*U27/100</f>
        <v>85.072858524913812</v>
      </c>
      <c r="V35" s="67">
        <f>$AA33*V27/100</f>
        <v>684.57853043148702</v>
      </c>
      <c r="W35" s="67">
        <f>$AA33*W27/100</f>
        <v>721.89343784263633</v>
      </c>
      <c r="X35" s="67">
        <f>$AA33*X27/100</f>
        <v>861.68193392734554</v>
      </c>
      <c r="AA35" s="1"/>
      <c r="AB35" s="25"/>
      <c r="AC35" s="58" t="s">
        <v>107</v>
      </c>
      <c r="AD35" s="120">
        <f>I572</f>
        <v>0.90606060606060601</v>
      </c>
      <c r="AE35" s="121">
        <f>I583</f>
        <v>0.93959039322898374</v>
      </c>
      <c r="AF35" s="121">
        <f>J583</f>
        <v>8.6489292080345163E-3</v>
      </c>
      <c r="AH35">
        <v>572</v>
      </c>
      <c r="AI35">
        <v>583</v>
      </c>
    </row>
    <row r="36" spans="1:65" ht="15.6" x14ac:dyDescent="0.35">
      <c r="B36" s="1" t="s">
        <v>25</v>
      </c>
      <c r="C36" s="1">
        <f>C20</f>
        <v>115</v>
      </c>
      <c r="D36" s="1">
        <f>D20</f>
        <v>7</v>
      </c>
      <c r="E36" s="1">
        <f>E20</f>
        <v>161</v>
      </c>
      <c r="F36" s="1">
        <f>F20</f>
        <v>147</v>
      </c>
      <c r="G36" s="1">
        <f>G20</f>
        <v>230</v>
      </c>
      <c r="R36" t="s">
        <v>67</v>
      </c>
      <c r="S36" t="s">
        <v>28</v>
      </c>
      <c r="T36" s="57">
        <f t="shared" ref="T36:X39" si="4">C89</f>
        <v>1.0965416938226973</v>
      </c>
      <c r="U36" s="57">
        <f t="shared" si="4"/>
        <v>0.45229025951326718</v>
      </c>
      <c r="V36" s="57">
        <f t="shared" si="4"/>
        <v>59.191539828244913</v>
      </c>
      <c r="W36" s="57">
        <f t="shared" si="4"/>
        <v>22.597523901064857</v>
      </c>
      <c r="X36" s="57">
        <f t="shared" si="4"/>
        <v>16.662104317354274</v>
      </c>
      <c r="Y36" s="13"/>
      <c r="Z36" s="74"/>
      <c r="AA36" s="12"/>
      <c r="AC36" t="s">
        <v>108</v>
      </c>
      <c r="AD36" s="51">
        <v>0.9</v>
      </c>
      <c r="AE36" s="51">
        <v>0.93236059101534297</v>
      </c>
      <c r="AH36">
        <v>601</v>
      </c>
      <c r="AI36">
        <v>612</v>
      </c>
      <c r="BF36" s="82" t="s">
        <v>330</v>
      </c>
      <c r="BG36" s="1">
        <v>0.05</v>
      </c>
      <c r="BH36" s="59" t="s">
        <v>331</v>
      </c>
      <c r="BI36" s="1">
        <v>20</v>
      </c>
      <c r="BJ36" s="59" t="s">
        <v>332</v>
      </c>
      <c r="BK36" s="1">
        <f>_xlfn.VAR.S(BF39:BF58)*(BI36-1)</f>
        <v>4.9377968125021419E-4</v>
      </c>
    </row>
    <row r="37" spans="1:6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0</v>
      </c>
      <c r="E37" s="18">
        <f>(O28*O28*(100-E33)*(100-E33)*(I28)*(100-I28))/((L28-1)*100)</f>
        <v>597.67814727414225</v>
      </c>
      <c r="F37" s="18">
        <f>(O29*O29*(100-F33)*(100-F33)*(I29)*(100-I29))/((L29-1)*100)</f>
        <v>1345.8811762920661</v>
      </c>
      <c r="G37" s="18">
        <f>(O30*O30*(100-G33)*(100-G33)*(I30)*(100-I30))/((L30-1)*100)</f>
        <v>3441.6148823878339</v>
      </c>
      <c r="S37" s="66" t="s">
        <v>39</v>
      </c>
      <c r="T37" s="67">
        <f t="shared" si="4"/>
        <v>0</v>
      </c>
      <c r="U37" s="67">
        <f t="shared" si="4"/>
        <v>0.12484397236644851</v>
      </c>
      <c r="V37" s="67">
        <f t="shared" si="4"/>
        <v>0.59315508386069948</v>
      </c>
      <c r="W37" s="67">
        <f t="shared" si="4"/>
        <v>0.74510973343505449</v>
      </c>
      <c r="X37" s="67">
        <f t="shared" si="4"/>
        <v>0.79602875398540263</v>
      </c>
      <c r="AC37" t="s">
        <v>109</v>
      </c>
      <c r="AD37" s="51">
        <v>0.89242424242424201</v>
      </c>
      <c r="AE37" s="51">
        <v>0.92725911530084504</v>
      </c>
      <c r="AH37">
        <v>630</v>
      </c>
      <c r="AI37">
        <v>641</v>
      </c>
    </row>
    <row r="38" spans="1:65" ht="15.6" x14ac:dyDescent="0.35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0</v>
      </c>
      <c r="E38" s="18">
        <f>E33*E33*(SUM((H26*E26*(1-E15/H15))/(H15-1),(H27*E27*(1-E16/H16))/(H16-1), (H29*E29*(1-E18/H18))/(H18-1),(H30*E30*(1-E19/H19))/(H19-1)))</f>
        <v>2047.6467280746356</v>
      </c>
      <c r="F38" s="18">
        <f>F33*F33*(SUM((H26*F26*(1-F15/H15))/(H15-1),(H27*F27*(1-F16/H16))/(H16-1), (H28*F28*(1-F17/H17))/(H17-1),(H30*F30*(1-F19/H19))/(H19-1)))</f>
        <v>662.68830326209275</v>
      </c>
      <c r="G38" s="18">
        <f>G33*G33*(SUM((H26*G26*(1-G15/H15))/(H15-1),(H27*G27*(1-G16/H16))/(H16-1), (H28*G28*(1-G17/H17))/(H17-1),(H29*G29*(1-G18/H18))/(H18-1)))</f>
        <v>5260.4673868696336</v>
      </c>
      <c r="S38" t="s">
        <v>30</v>
      </c>
      <c r="T38" s="57">
        <f t="shared" si="4"/>
        <v>100</v>
      </c>
      <c r="U38" s="57">
        <f t="shared" si="4"/>
        <v>100</v>
      </c>
      <c r="V38" s="57">
        <f t="shared" si="4"/>
        <v>96.818650981788522</v>
      </c>
      <c r="W38" s="57">
        <f t="shared" si="4"/>
        <v>94.317403935222274</v>
      </c>
      <c r="X38" s="57">
        <f t="shared" si="4"/>
        <v>83.23414965118053</v>
      </c>
      <c r="Z38" s="50"/>
      <c r="AA38" s="54"/>
      <c r="AC38" t="s">
        <v>110</v>
      </c>
      <c r="AD38" s="51">
        <v>0.90303030303030296</v>
      </c>
      <c r="AE38" s="51">
        <v>0.93493427381319505</v>
      </c>
      <c r="AH38">
        <v>659</v>
      </c>
      <c r="AI38">
        <v>670</v>
      </c>
      <c r="BF38" s="12" t="s">
        <v>329</v>
      </c>
      <c r="BG38" s="13" t="s">
        <v>339</v>
      </c>
      <c r="BH38" s="13" t="s">
        <v>344</v>
      </c>
      <c r="BI38" s="13" t="s">
        <v>345</v>
      </c>
      <c r="BJ38" s="13" t="s">
        <v>346</v>
      </c>
      <c r="BK38" s="13" t="s">
        <v>340</v>
      </c>
      <c r="BL38">
        <f>1/(SQRT(BI36))</f>
        <v>0.22360679774997896</v>
      </c>
    </row>
    <row r="39" spans="1:65" x14ac:dyDescent="0.3">
      <c r="S39" s="66" t="s">
        <v>39</v>
      </c>
      <c r="T39" s="67">
        <f t="shared" si="4"/>
        <v>0</v>
      </c>
      <c r="U39" s="67">
        <f t="shared" si="4"/>
        <v>0</v>
      </c>
      <c r="V39" s="67">
        <f t="shared" si="4"/>
        <v>0.74574005561010825</v>
      </c>
      <c r="W39" s="67">
        <f t="shared" si="4"/>
        <v>2.0922262813334842</v>
      </c>
      <c r="X39" s="67">
        <f t="shared" si="4"/>
        <v>4.8728088506391325</v>
      </c>
      <c r="AC39" t="s">
        <v>111</v>
      </c>
      <c r="AD39" s="51">
        <v>0.90303030303030296</v>
      </c>
      <c r="AE39" s="51">
        <v>0.93240360941996203</v>
      </c>
      <c r="AH39">
        <v>688</v>
      </c>
      <c r="AI39">
        <v>699</v>
      </c>
      <c r="BF39">
        <v>0.92387741722361616</v>
      </c>
      <c r="BG39" s="27">
        <v>1</v>
      </c>
      <c r="BH39" s="84">
        <f>_xlfn.NORM.S.INV((BG39-0.375)/($BI$36+0.25))</f>
        <v>-1.8682416548639302</v>
      </c>
      <c r="BI39" s="84">
        <f>-BI58</f>
        <v>-0.47336806621893501</v>
      </c>
      <c r="BJ39">
        <f>BI39*BF39</f>
        <v>-0.43733406641448741</v>
      </c>
      <c r="BK39" s="13" t="s">
        <v>335</v>
      </c>
      <c r="BL39">
        <f>SUMSQ(BH39:BH58)</f>
        <v>17.633567020527028</v>
      </c>
    </row>
    <row r="40" spans="1:65" x14ac:dyDescent="0.3">
      <c r="S40" t="s">
        <v>31</v>
      </c>
      <c r="T40" s="57">
        <f>I84</f>
        <v>100</v>
      </c>
      <c r="U40" s="57">
        <f>I85</f>
        <v>46.666666666666664</v>
      </c>
      <c r="V40" s="57">
        <f>I86</f>
        <v>99.295774647887328</v>
      </c>
      <c r="W40" s="57">
        <f>I87</f>
        <v>86.805555555555557</v>
      </c>
      <c r="X40" s="57">
        <f>I88</f>
        <v>88.52459016393442</v>
      </c>
      <c r="AC40" t="s">
        <v>112</v>
      </c>
      <c r="AD40" s="51">
        <v>0.90757575757575704</v>
      </c>
      <c r="AE40" s="51">
        <v>0.93123178639996396</v>
      </c>
      <c r="AH40">
        <v>717</v>
      </c>
      <c r="AI40">
        <v>728</v>
      </c>
      <c r="BF40">
        <v>0.92494401695941386</v>
      </c>
      <c r="BG40" s="27">
        <v>2</v>
      </c>
      <c r="BH40" s="84">
        <f t="shared" ref="BH40:BH58" si="5">_xlfn.NORM.S.INV((BG40-0.375)/($BI$36+0.25))</f>
        <v>-1.4034126358514019</v>
      </c>
      <c r="BI40" s="84">
        <f>-BI57</f>
        <v>-0.32175145499838514</v>
      </c>
      <c r="BJ40">
        <f t="shared" ref="BJ40:BJ58" si="6">BI40*BF40</f>
        <v>-0.29760208324874243</v>
      </c>
      <c r="BK40" s="74" t="s">
        <v>341</v>
      </c>
      <c r="BL40">
        <f>(BL39-2*(BH58^2)-2*(BH57^2))/(1-2*(BI58^2)-2*(BI57^2))</f>
        <v>19.471667059296756</v>
      </c>
    </row>
    <row r="41" spans="1:65" x14ac:dyDescent="0.3">
      <c r="A41" s="348">
        <v>1988</v>
      </c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 t="s">
        <v>49</v>
      </c>
      <c r="M41" s="348"/>
      <c r="N41" s="348"/>
      <c r="O41" s="348"/>
      <c r="P41" s="348"/>
      <c r="S41" s="66" t="s">
        <v>39</v>
      </c>
      <c r="T41" s="67">
        <f>J84</f>
        <v>0</v>
      </c>
      <c r="U41" s="67">
        <f>J85</f>
        <v>13.333333333333334</v>
      </c>
      <c r="V41" s="67">
        <f>J86</f>
        <v>0.70422535211267423</v>
      </c>
      <c r="W41" s="67">
        <f>J87</f>
        <v>2.830096838204442</v>
      </c>
      <c r="X41" s="67">
        <f>J88</f>
        <v>2.0446215228272906</v>
      </c>
      <c r="AC41" t="s">
        <v>113</v>
      </c>
      <c r="AD41" s="51">
        <v>0.90606060606060601</v>
      </c>
      <c r="AE41" s="51">
        <v>0.93480605319120003</v>
      </c>
      <c r="AH41">
        <v>746</v>
      </c>
      <c r="AI41">
        <v>757</v>
      </c>
      <c r="BF41">
        <v>0.92855832679318939</v>
      </c>
      <c r="BG41" s="1">
        <v>3</v>
      </c>
      <c r="BH41">
        <f t="shared" si="5"/>
        <v>-1.1281436452787641</v>
      </c>
      <c r="BI41">
        <f t="shared" ref="BI41:BI56" si="7">BH41/SQRT($BL$40)</f>
        <v>-0.25566002901309814</v>
      </c>
      <c r="BJ41">
        <f t="shared" si="6"/>
        <v>-0.23739524876830068</v>
      </c>
      <c r="BK41" s="74" t="s">
        <v>333</v>
      </c>
      <c r="BL41" s="48">
        <f>CORREL(BF39:BF58,BI39:BI58)^2</f>
        <v>0.96956523074050671</v>
      </c>
      <c r="BM41" s="48">
        <f>(BJ59^2)/BK36</f>
        <v>0.9695652307404774</v>
      </c>
    </row>
    <row r="42" spans="1:65" x14ac:dyDescent="0.3">
      <c r="A42" t="s">
        <v>315</v>
      </c>
      <c r="B42" t="s">
        <v>21</v>
      </c>
      <c r="I42" s="1" t="s">
        <v>53</v>
      </c>
      <c r="O42" s="350" t="s">
        <v>377</v>
      </c>
      <c r="P42" s="350"/>
      <c r="S42" s="66" t="s">
        <v>51</v>
      </c>
      <c r="T42" s="67">
        <f>N73*100</f>
        <v>100</v>
      </c>
      <c r="U42" s="67">
        <f>N74*100</f>
        <v>63.636363636363633</v>
      </c>
      <c r="V42" s="67">
        <f>N75*100</f>
        <v>92.763157894736835</v>
      </c>
      <c r="W42" s="67">
        <f>N76*100</f>
        <v>86.505190311418687</v>
      </c>
      <c r="X42" s="67">
        <f>N77*100</f>
        <v>90.947368421052616</v>
      </c>
      <c r="AC42" t="s">
        <v>114</v>
      </c>
      <c r="AD42" s="51">
        <v>0.898484848484848</v>
      </c>
      <c r="AE42" s="51">
        <v>0.93166966003542295</v>
      </c>
      <c r="AH42">
        <v>775</v>
      </c>
      <c r="AI42">
        <v>786</v>
      </c>
      <c r="BF42">
        <v>0.92961752566489775</v>
      </c>
      <c r="BG42" s="1">
        <v>4</v>
      </c>
      <c r="BH42">
        <f t="shared" si="5"/>
        <v>-0.91913552204621074</v>
      </c>
      <c r="BI42">
        <f t="shared" si="7"/>
        <v>-0.20829458661289388</v>
      </c>
      <c r="BJ42">
        <f t="shared" si="6"/>
        <v>-0.19363429821647113</v>
      </c>
      <c r="BK42" s="74" t="s">
        <v>73</v>
      </c>
      <c r="BL42">
        <f>0.0038915*(LN(BI36)^3)-0.083751*(LN(BI36)^2)-0.31082*LN(BI36)-1.5861</f>
        <v>-3.1642267470723917</v>
      </c>
    </row>
    <row r="43" spans="1:6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51</v>
      </c>
      <c r="O43" s="13" t="s">
        <v>644</v>
      </c>
      <c r="P43" s="13" t="s">
        <v>633</v>
      </c>
      <c r="R43" s="16" t="s">
        <v>61</v>
      </c>
      <c r="S43" t="s">
        <v>9</v>
      </c>
      <c r="T43" s="30">
        <f>N84</f>
        <v>1004.94</v>
      </c>
      <c r="U43" s="30">
        <f>N85</f>
        <v>888.23</v>
      </c>
      <c r="V43" s="30">
        <f>N86</f>
        <v>52893.57</v>
      </c>
      <c r="W43" s="30">
        <f>N87</f>
        <v>22501.95</v>
      </c>
      <c r="X43" s="30">
        <f>N88</f>
        <v>14357.62</v>
      </c>
      <c r="Z43" t="s">
        <v>36</v>
      </c>
      <c r="AA43" s="1">
        <f>N89</f>
        <v>91646.31</v>
      </c>
      <c r="AC43" t="s">
        <v>115</v>
      </c>
      <c r="AD43" s="51">
        <v>0.90757575757575704</v>
      </c>
      <c r="AE43" s="51">
        <v>0.93928103062472001</v>
      </c>
      <c r="AH43">
        <v>804</v>
      </c>
      <c r="AI43">
        <v>815</v>
      </c>
      <c r="BF43">
        <v>0.9314139120555136</v>
      </c>
      <c r="BG43" s="1">
        <v>5</v>
      </c>
      <c r="BH43">
        <f t="shared" si="5"/>
        <v>-0.74414274222016763</v>
      </c>
      <c r="BI43">
        <f t="shared" si="7"/>
        <v>-0.16863770483667825</v>
      </c>
      <c r="BJ43">
        <f t="shared" si="6"/>
        <v>-0.15707150438199349</v>
      </c>
      <c r="BK43" s="74" t="s">
        <v>347</v>
      </c>
      <c r="BL43">
        <f>EXP(0.0030301*(LN(BI36)^2)-0.082676*LN(BI36)-0.4803)</f>
        <v>0.49619722706220387</v>
      </c>
    </row>
    <row r="44" spans="1:65" ht="15.6" x14ac:dyDescent="0.35">
      <c r="A44" t="s">
        <v>3</v>
      </c>
      <c r="B44" s="13">
        <v>0</v>
      </c>
      <c r="C44" s="26">
        <v>115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115</v>
      </c>
      <c r="I44" s="10">
        <f>C44/H44</f>
        <v>1</v>
      </c>
      <c r="J44" s="11">
        <f>1-I44</f>
        <v>0</v>
      </c>
      <c r="K44">
        <f>H44-C49</f>
        <v>0</v>
      </c>
      <c r="N44" s="10">
        <f>2*(C50*I44)/(C50+I44)</f>
        <v>1</v>
      </c>
      <c r="O44" s="1"/>
      <c r="P44" s="1"/>
      <c r="R44" s="16" t="s">
        <v>318</v>
      </c>
      <c r="S44" t="s">
        <v>63</v>
      </c>
      <c r="T44" s="57">
        <f>$AA43*T36/100</f>
        <v>1004.94</v>
      </c>
      <c r="U44" s="57">
        <f>$AA43*U36/100</f>
        <v>414.50733333333329</v>
      </c>
      <c r="V44" s="57">
        <f>$AA43*V36/100</f>
        <v>54246.862084766806</v>
      </c>
      <c r="W44" s="57">
        <f>$AA43*W36/100</f>
        <v>20709.796806693994</v>
      </c>
      <c r="X44" s="57">
        <f>$AA43*X36/100</f>
        <v>15270.203775205882</v>
      </c>
      <c r="Z44" t="s">
        <v>36</v>
      </c>
      <c r="AA44" s="25">
        <f>SUM(T44:X44)</f>
        <v>91646.310000000012</v>
      </c>
      <c r="AC44" t="s">
        <v>116</v>
      </c>
      <c r="AD44" s="51">
        <v>0.90303030303030296</v>
      </c>
      <c r="AE44" s="51">
        <v>0.93344341478731097</v>
      </c>
      <c r="AH44">
        <v>833</v>
      </c>
      <c r="AI44">
        <v>844</v>
      </c>
      <c r="BF44">
        <v>0.93239968475111956</v>
      </c>
      <c r="BG44" s="1">
        <v>6</v>
      </c>
      <c r="BH44">
        <f t="shared" si="5"/>
        <v>-0.58945579784977842</v>
      </c>
      <c r="BI44">
        <f t="shared" si="7"/>
        <v>-0.13358253358150615</v>
      </c>
      <c r="BJ44">
        <f t="shared" si="6"/>
        <v>-0.12455231219965218</v>
      </c>
      <c r="BK44" s="74" t="s">
        <v>343</v>
      </c>
      <c r="BL44">
        <f>(LN(1-BL41)-BL42)/BL43</f>
        <v>-0.66091230165444725</v>
      </c>
    </row>
    <row r="45" spans="1:65" x14ac:dyDescent="0.3">
      <c r="A45" t="s">
        <v>4</v>
      </c>
      <c r="B45" s="13">
        <v>1</v>
      </c>
      <c r="C45" s="5">
        <v>0</v>
      </c>
      <c r="D45" s="27">
        <v>6</v>
      </c>
      <c r="E45" s="1">
        <v>9</v>
      </c>
      <c r="F45" s="1">
        <v>0</v>
      </c>
      <c r="G45" s="6">
        <v>0</v>
      </c>
      <c r="H45" s="1">
        <f>SUM(C45:G45)</f>
        <v>15</v>
      </c>
      <c r="I45" s="10">
        <f>D45/H45</f>
        <v>0.4</v>
      </c>
      <c r="J45" s="11">
        <f>1-I45</f>
        <v>0.6</v>
      </c>
      <c r="K45">
        <f>H45-D49</f>
        <v>9</v>
      </c>
      <c r="N45" s="10">
        <f>2*(D50*I45)/(D50+I45)</f>
        <v>0.57142857142857151</v>
      </c>
      <c r="O45" s="1"/>
      <c r="P45" s="1"/>
      <c r="R45" s="66"/>
      <c r="S45" s="66" t="s">
        <v>62</v>
      </c>
      <c r="T45" s="67">
        <f>$AA43*T37/100</f>
        <v>0</v>
      </c>
      <c r="U45" s="67">
        <f>$AA43*U37/100</f>
        <v>114.41489393126973</v>
      </c>
      <c r="V45" s="67">
        <f>$AA43*V37/100</f>
        <v>543.60474693573667</v>
      </c>
      <c r="W45" s="67">
        <f>$AA43*W37/100</f>
        <v>682.86557614406365</v>
      </c>
      <c r="X45" s="67">
        <f>$AA43*X37/100</f>
        <v>729.5309795665994</v>
      </c>
      <c r="AA45" s="1"/>
      <c r="AC45" t="s">
        <v>117</v>
      </c>
      <c r="AD45" s="51">
        <v>0.90909090909090895</v>
      </c>
      <c r="AE45" s="51">
        <v>0.94237773179756301</v>
      </c>
      <c r="AH45">
        <v>862</v>
      </c>
      <c r="AI45">
        <v>873</v>
      </c>
      <c r="BF45">
        <v>0.93292660445155662</v>
      </c>
      <c r="BG45" s="1">
        <v>7</v>
      </c>
      <c r="BH45">
        <f t="shared" si="5"/>
        <v>-0.44776751848294888</v>
      </c>
      <c r="BI45">
        <f t="shared" si="7"/>
        <v>-0.10147312112739562</v>
      </c>
      <c r="BJ45">
        <f t="shared" si="6"/>
        <v>-9.4666974336482704E-2</v>
      </c>
      <c r="BK45" s="74" t="s">
        <v>334</v>
      </c>
      <c r="BL45">
        <f>1-NORMSDIST(BL44)</f>
        <v>0.74566572175726564</v>
      </c>
    </row>
    <row r="46" spans="1:65" x14ac:dyDescent="0.3">
      <c r="A46" t="s">
        <v>5</v>
      </c>
      <c r="B46" s="13">
        <v>2</v>
      </c>
      <c r="C46" s="5">
        <v>0</v>
      </c>
      <c r="D46" s="1">
        <v>0</v>
      </c>
      <c r="E46" s="27">
        <v>140</v>
      </c>
      <c r="F46" s="1">
        <v>0</v>
      </c>
      <c r="G46" s="6">
        <v>2</v>
      </c>
      <c r="H46" s="1">
        <f>SUM(C46:G46)</f>
        <v>142</v>
      </c>
      <c r="I46" s="10">
        <f>E46/H46</f>
        <v>0.9859154929577465</v>
      </c>
      <c r="J46" s="11">
        <f>1-I46</f>
        <v>1.4084507042253502E-2</v>
      </c>
      <c r="K46">
        <f>H46-E49</f>
        <v>-33</v>
      </c>
      <c r="N46" s="10">
        <f>2*(E50*I46)/(E50+I46)</f>
        <v>0.88328075709779186</v>
      </c>
      <c r="O46" s="1"/>
      <c r="P46" s="1"/>
      <c r="R46" t="s">
        <v>68</v>
      </c>
      <c r="S46" t="s">
        <v>28</v>
      </c>
      <c r="T46" s="57">
        <f t="shared" ref="T46:X49" si="8">C118</f>
        <v>1.0030409298530405</v>
      </c>
      <c r="U46" s="57">
        <f t="shared" si="8"/>
        <v>0.26177813378410986</v>
      </c>
      <c r="V46" s="57">
        <f t="shared" si="8"/>
        <v>59.772749642213832</v>
      </c>
      <c r="W46" s="57">
        <f t="shared" si="8"/>
        <v>22.923099484937012</v>
      </c>
      <c r="X46" s="57">
        <f t="shared" si="8"/>
        <v>16.039331809212008</v>
      </c>
      <c r="Y46" s="60"/>
      <c r="Z46" s="74"/>
      <c r="AA46" s="12"/>
      <c r="AC46" t="s">
        <v>130</v>
      </c>
      <c r="AD46" s="51">
        <v>0.89696969696969697</v>
      </c>
      <c r="AE46" s="51">
        <v>0.93654319729563895</v>
      </c>
      <c r="AH46">
        <v>891</v>
      </c>
      <c r="AI46">
        <v>902</v>
      </c>
      <c r="BF46">
        <v>0.93370217441103076</v>
      </c>
      <c r="BG46" s="1">
        <v>8</v>
      </c>
      <c r="BH46">
        <f t="shared" si="5"/>
        <v>-0.31457229183888502</v>
      </c>
      <c r="BI46">
        <f t="shared" si="7"/>
        <v>-7.1288405155509674E-2</v>
      </c>
      <c r="BJ46">
        <f t="shared" si="6"/>
        <v>-6.6562138903993914E-2</v>
      </c>
      <c r="BK46" s="13" t="s">
        <v>336</v>
      </c>
      <c r="BL46" s="13" t="str">
        <f>IF(GESTEP(BL45,BG36)=0,"YES","NO")</f>
        <v>NO</v>
      </c>
    </row>
    <row r="47" spans="1:65" x14ac:dyDescent="0.3">
      <c r="A47" t="s">
        <v>6</v>
      </c>
      <c r="B47" s="13">
        <v>3</v>
      </c>
      <c r="C47" s="5">
        <v>0</v>
      </c>
      <c r="D47" s="1">
        <v>0</v>
      </c>
      <c r="E47" s="1">
        <v>5</v>
      </c>
      <c r="F47" s="27">
        <v>124</v>
      </c>
      <c r="G47" s="6">
        <v>15</v>
      </c>
      <c r="H47" s="1">
        <f>SUM(C47:G47)</f>
        <v>144</v>
      </c>
      <c r="I47" s="10">
        <f>F47/H47</f>
        <v>0.86111111111111116</v>
      </c>
      <c r="J47" s="11">
        <f>1-I47</f>
        <v>0.13888888888888884</v>
      </c>
      <c r="K47">
        <f>H47-F49</f>
        <v>-3</v>
      </c>
      <c r="N47" s="10">
        <f>2*(F50*I47)/(F50+I47)</f>
        <v>0.8522336769759451</v>
      </c>
      <c r="O47" s="1"/>
      <c r="P47" s="1"/>
      <c r="S47" s="66" t="s">
        <v>39</v>
      </c>
      <c r="T47" s="67">
        <f t="shared" si="8"/>
        <v>0</v>
      </c>
      <c r="U47" s="67">
        <f t="shared" si="8"/>
        <v>9.5587859290108129E-2</v>
      </c>
      <c r="V47" s="67">
        <f t="shared" si="8"/>
        <v>0.73840951337226224</v>
      </c>
      <c r="W47" s="67">
        <f t="shared" si="8"/>
        <v>0.73207944193840047</v>
      </c>
      <c r="X47" s="67">
        <f t="shared" si="8"/>
        <v>0.89460617847280899</v>
      </c>
      <c r="AC47" t="s">
        <v>131</v>
      </c>
      <c r="AD47" s="51">
        <v>0.89696969696969697</v>
      </c>
      <c r="AE47" s="51">
        <v>0.926705725107691</v>
      </c>
      <c r="AH47">
        <v>920</v>
      </c>
      <c r="AI47">
        <v>931</v>
      </c>
      <c r="BF47">
        <v>0.93397218343618338</v>
      </c>
      <c r="BG47" s="1">
        <v>9</v>
      </c>
      <c r="BH47">
        <f t="shared" si="5"/>
        <v>-0.18675612106373712</v>
      </c>
      <c r="BI47">
        <f t="shared" si="7"/>
        <v>-4.2322691378304626E-2</v>
      </c>
      <c r="BJ47">
        <f t="shared" si="6"/>
        <v>-3.9528216475490908E-2</v>
      </c>
    </row>
    <row r="48" spans="1:65" x14ac:dyDescent="0.3">
      <c r="A48" t="s">
        <v>7</v>
      </c>
      <c r="B48" s="13">
        <v>4</v>
      </c>
      <c r="C48" s="7">
        <v>0</v>
      </c>
      <c r="D48" s="8">
        <v>0</v>
      </c>
      <c r="E48" s="8">
        <v>21</v>
      </c>
      <c r="F48" s="8">
        <v>23</v>
      </c>
      <c r="G48" s="28">
        <v>200</v>
      </c>
      <c r="H48" s="1">
        <f>SUM(C48:G48)</f>
        <v>244</v>
      </c>
      <c r="I48" s="10">
        <f>G48/H48</f>
        <v>0.81967213114754101</v>
      </c>
      <c r="J48" s="11">
        <f>1-I48</f>
        <v>0.18032786885245899</v>
      </c>
      <c r="K48">
        <f>H48-G49</f>
        <v>27</v>
      </c>
      <c r="N48" s="10">
        <f>2*(G50*I48)/(G50+I48)</f>
        <v>0.86767895878524948</v>
      </c>
      <c r="O48" s="1"/>
      <c r="P48" s="1"/>
      <c r="S48" t="s">
        <v>30</v>
      </c>
      <c r="T48" s="57">
        <f t="shared" si="8"/>
        <v>100</v>
      </c>
      <c r="U48" s="57">
        <f t="shared" si="8"/>
        <v>100</v>
      </c>
      <c r="V48" s="57">
        <f t="shared" si="8"/>
        <v>95.911359271340501</v>
      </c>
      <c r="W48" s="57">
        <f t="shared" si="8"/>
        <v>95.126844313886622</v>
      </c>
      <c r="X48" s="57">
        <f t="shared" si="8"/>
        <v>80.86696326938312</v>
      </c>
      <c r="AC48" t="s">
        <v>132</v>
      </c>
      <c r="AD48" s="51">
        <v>0.90606060606060601</v>
      </c>
      <c r="AE48" s="51">
        <v>0.94078014228695594</v>
      </c>
      <c r="AH48">
        <v>949</v>
      </c>
      <c r="AI48">
        <v>960</v>
      </c>
      <c r="BF48">
        <v>0.93453976302543362</v>
      </c>
      <c r="BG48" s="1">
        <v>10</v>
      </c>
      <c r="BH48">
        <f t="shared" si="5"/>
        <v>-6.1931623455317261E-2</v>
      </c>
      <c r="BI48">
        <f t="shared" si="7"/>
        <v>-1.4034950882076937E-2</v>
      </c>
      <c r="BJ48">
        <f t="shared" si="6"/>
        <v>-1.311621967140978E-2</v>
      </c>
    </row>
    <row r="49" spans="1:64" ht="15.6" x14ac:dyDescent="0.35">
      <c r="B49" s="1" t="s">
        <v>19</v>
      </c>
      <c r="C49" s="1">
        <f>SUM(C44:C48)</f>
        <v>115</v>
      </c>
      <c r="D49" s="1">
        <f>SUM(D44:D48)</f>
        <v>6</v>
      </c>
      <c r="E49" s="1">
        <f>SUM(E44:E48)</f>
        <v>175</v>
      </c>
      <c r="F49" s="1">
        <f>SUM(F44:F48)</f>
        <v>147</v>
      </c>
      <c r="G49" s="1">
        <f>SUM(G44:G48)</f>
        <v>217</v>
      </c>
      <c r="H49" s="1">
        <f>SUM(H43:H48)</f>
        <v>660</v>
      </c>
      <c r="I49" s="13" t="s">
        <v>12</v>
      </c>
      <c r="N49" s="16" t="s">
        <v>36</v>
      </c>
      <c r="O49" s="1">
        <f>SUM(O44:O48)</f>
        <v>0</v>
      </c>
      <c r="P49" s="1">
        <f>SUM(P44:P48)</f>
        <v>0</v>
      </c>
      <c r="S49" s="66" t="s">
        <v>39</v>
      </c>
      <c r="T49" s="67">
        <f t="shared" si="8"/>
        <v>0</v>
      </c>
      <c r="U49" s="67">
        <f t="shared" si="8"/>
        <v>0</v>
      </c>
      <c r="V49" s="67">
        <f t="shared" si="8"/>
        <v>0.84456240235570545</v>
      </c>
      <c r="W49" s="67">
        <f t="shared" si="8"/>
        <v>1.8047566242808164</v>
      </c>
      <c r="X49" s="67">
        <f t="shared" si="8"/>
        <v>5.8334523607484821</v>
      </c>
      <c r="AC49" t="s">
        <v>133</v>
      </c>
      <c r="AD49" s="51">
        <v>0.90151515151515105</v>
      </c>
      <c r="AE49" s="51">
        <v>0.93606825189606802</v>
      </c>
      <c r="AH49">
        <v>978</v>
      </c>
      <c r="AI49">
        <v>989</v>
      </c>
      <c r="BF49">
        <v>0.93494804448659319</v>
      </c>
      <c r="BG49" s="1">
        <v>11</v>
      </c>
      <c r="BH49">
        <f t="shared" si="5"/>
        <v>6.1931623455317261E-2</v>
      </c>
      <c r="BI49">
        <f t="shared" si="7"/>
        <v>1.4034950882076937E-2</v>
      </c>
      <c r="BJ49">
        <f t="shared" si="6"/>
        <v>1.3121949881663219E-2</v>
      </c>
    </row>
    <row r="50" spans="1:64" x14ac:dyDescent="0.3">
      <c r="A50" s="1" t="s">
        <v>316</v>
      </c>
      <c r="B50" s="1" t="s">
        <v>2</v>
      </c>
      <c r="C50" s="10">
        <f>C44/C49</f>
        <v>1</v>
      </c>
      <c r="D50" s="10">
        <f>D45/D49</f>
        <v>1</v>
      </c>
      <c r="E50" s="10">
        <f>E46/E49</f>
        <v>0.8</v>
      </c>
      <c r="F50" s="10">
        <f>F47/F49</f>
        <v>0.84353741496598644</v>
      </c>
      <c r="G50" s="10">
        <f>G48/G49</f>
        <v>0.92165898617511521</v>
      </c>
      <c r="H50" s="10"/>
      <c r="I50" s="14">
        <f>(C44+D45+E46+F47+G48)/H49</f>
        <v>0.88636363636363635</v>
      </c>
      <c r="S50" s="15" t="s">
        <v>31</v>
      </c>
      <c r="T50" s="71">
        <f>I113</f>
        <v>100</v>
      </c>
      <c r="U50" s="71">
        <f>I114</f>
        <v>33.333333333333329</v>
      </c>
      <c r="V50" s="71">
        <f>I115</f>
        <v>98.591549295774655</v>
      </c>
      <c r="W50" s="71">
        <f>I116</f>
        <v>87.500000000000014</v>
      </c>
      <c r="X50" s="71">
        <f>I117</f>
        <v>85.655737704918039</v>
      </c>
      <c r="AC50" t="s">
        <v>134</v>
      </c>
      <c r="AD50" s="51">
        <v>0.90454545454545399</v>
      </c>
      <c r="AE50" s="51">
        <v>0.93497798814367195</v>
      </c>
      <c r="AH50">
        <v>1007</v>
      </c>
      <c r="AI50">
        <v>1018</v>
      </c>
      <c r="BF50">
        <v>0.93565729754604898</v>
      </c>
      <c r="BG50" s="1">
        <v>12</v>
      </c>
      <c r="BH50">
        <f t="shared" si="5"/>
        <v>0.18675612106373712</v>
      </c>
      <c r="BI50">
        <f t="shared" si="7"/>
        <v>4.2322691378304626E-2</v>
      </c>
      <c r="BJ50">
        <f t="shared" si="6"/>
        <v>3.959953503989997E-2</v>
      </c>
    </row>
    <row r="51" spans="1:64" x14ac:dyDescent="0.3">
      <c r="B51" s="1" t="s">
        <v>14</v>
      </c>
      <c r="C51" s="11">
        <f>1-C50</f>
        <v>0</v>
      </c>
      <c r="D51" s="11">
        <f>1-D50</f>
        <v>0</v>
      </c>
      <c r="E51" s="11">
        <f>1-E50</f>
        <v>0.19999999999999996</v>
      </c>
      <c r="F51" s="11">
        <f>1-F50</f>
        <v>0.15646258503401356</v>
      </c>
      <c r="G51" s="11">
        <f>1-G50</f>
        <v>7.8341013824884786E-2</v>
      </c>
      <c r="S51" s="75" t="s">
        <v>39</v>
      </c>
      <c r="T51" s="76">
        <f>J113</f>
        <v>0</v>
      </c>
      <c r="U51" s="76">
        <f>J114</f>
        <v>12.598815766974241</v>
      </c>
      <c r="V51" s="76">
        <f>J115</f>
        <v>0.99238711073976715</v>
      </c>
      <c r="W51" s="76">
        <f>J116</f>
        <v>2.7656104929294347</v>
      </c>
      <c r="X51" s="76">
        <f>J117</f>
        <v>2.2486103332811194</v>
      </c>
      <c r="AC51" t="s">
        <v>135</v>
      </c>
      <c r="AD51" s="51">
        <v>0.9</v>
      </c>
      <c r="AE51" s="51">
        <v>0.92758119488808599</v>
      </c>
      <c r="AH51">
        <v>1036</v>
      </c>
      <c r="AI51">
        <v>1047</v>
      </c>
      <c r="BF51">
        <v>0.93656231429074832</v>
      </c>
      <c r="BG51" s="1">
        <v>13</v>
      </c>
      <c r="BH51">
        <f t="shared" si="5"/>
        <v>0.31457229183888502</v>
      </c>
      <c r="BI51">
        <f t="shared" si="7"/>
        <v>7.1288405155509674E-2</v>
      </c>
      <c r="BJ51">
        <f t="shared" si="6"/>
        <v>6.6766033714540651E-2</v>
      </c>
    </row>
    <row r="52" spans="1:64" x14ac:dyDescent="0.3">
      <c r="C52" s="2"/>
      <c r="S52" s="66" t="s">
        <v>51</v>
      </c>
      <c r="T52" s="67">
        <f>N102*100</f>
        <v>100</v>
      </c>
      <c r="U52" s="67">
        <f>N103*100</f>
        <v>50</v>
      </c>
      <c r="V52" s="67">
        <f>N104*100</f>
        <v>89.171974522292999</v>
      </c>
      <c r="W52" s="67">
        <f>N105*100</f>
        <v>87.5</v>
      </c>
      <c r="X52" s="67">
        <f>N106*100</f>
        <v>89.316239316239304</v>
      </c>
      <c r="AC52" t="s">
        <v>136</v>
      </c>
      <c r="AD52" s="51">
        <v>0.91060606060605997</v>
      </c>
      <c r="AE52" s="51">
        <v>0.94018172474934003</v>
      </c>
      <c r="AH52">
        <v>1065</v>
      </c>
      <c r="AI52">
        <v>1076</v>
      </c>
      <c r="BF52">
        <v>0.93687882078980733</v>
      </c>
      <c r="BG52" s="1">
        <v>14</v>
      </c>
      <c r="BH52">
        <f t="shared" si="5"/>
        <v>0.44776751848294888</v>
      </c>
      <c r="BI52">
        <f t="shared" si="7"/>
        <v>0.10147312112739562</v>
      </c>
      <c r="BJ52">
        <f t="shared" si="6"/>
        <v>9.5068018063695692E-2</v>
      </c>
    </row>
    <row r="53" spans="1:64" ht="15.6" x14ac:dyDescent="0.35">
      <c r="A53" t="s">
        <v>317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61</v>
      </c>
      <c r="S53" t="s">
        <v>9</v>
      </c>
      <c r="T53" s="30">
        <f>N113</f>
        <v>919.25</v>
      </c>
      <c r="U53" s="30">
        <f>N114</f>
        <v>719.73</v>
      </c>
      <c r="V53" s="30">
        <f>N115</f>
        <v>53290.35</v>
      </c>
      <c r="W53" s="30">
        <f>N116</f>
        <v>22839.33</v>
      </c>
      <c r="X53" s="30">
        <f>N117</f>
        <v>13877.65</v>
      </c>
      <c r="Z53" t="s">
        <v>36</v>
      </c>
      <c r="AA53" s="1">
        <f>N118</f>
        <v>91646.31</v>
      </c>
      <c r="AC53" t="s">
        <v>137</v>
      </c>
      <c r="AD53" s="51">
        <v>0.89696969696969697</v>
      </c>
      <c r="AE53" s="51">
        <v>0.93053574907565895</v>
      </c>
      <c r="AH53">
        <v>1094</v>
      </c>
      <c r="AI53">
        <v>1105</v>
      </c>
      <c r="BF53">
        <v>0.93868505546589853</v>
      </c>
      <c r="BG53" s="1">
        <v>15</v>
      </c>
      <c r="BH53">
        <f t="shared" si="5"/>
        <v>0.58945579784977842</v>
      </c>
      <c r="BI53">
        <f t="shared" si="7"/>
        <v>0.13358253358150615</v>
      </c>
      <c r="BJ53">
        <f t="shared" si="6"/>
        <v>0.12539192794423135</v>
      </c>
    </row>
    <row r="54" spans="1:64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318</v>
      </c>
      <c r="S54" t="s">
        <v>63</v>
      </c>
      <c r="T54" s="57">
        <f>$AA53*T46/100</f>
        <v>919.25</v>
      </c>
      <c r="U54" s="57">
        <f>$AA53*U46/100</f>
        <v>239.91000000000003</v>
      </c>
      <c r="V54" s="57">
        <f>$AA53*V46/100</f>
        <v>54779.519432627174</v>
      </c>
      <c r="W54" s="57">
        <f>$AA53*W46/100</f>
        <v>21008.174815573777</v>
      </c>
      <c r="X54" s="57">
        <f>$AA53*X46/100</f>
        <v>14699.455751799045</v>
      </c>
      <c r="Z54" t="s">
        <v>36</v>
      </c>
      <c r="AA54" s="25">
        <f>SUM(T54:X54)</f>
        <v>91646.31</v>
      </c>
      <c r="AC54" t="s">
        <v>138</v>
      </c>
      <c r="AD54" s="51">
        <v>0.90454545454545399</v>
      </c>
      <c r="AE54" s="51">
        <v>0.93092464491512705</v>
      </c>
      <c r="AH54">
        <v>1123</v>
      </c>
      <c r="AI54">
        <v>1134</v>
      </c>
      <c r="BF54">
        <v>0.93900380912958681</v>
      </c>
      <c r="BG54" s="1">
        <v>16</v>
      </c>
      <c r="BH54">
        <f t="shared" si="5"/>
        <v>0.74414274222016763</v>
      </c>
      <c r="BI54">
        <f t="shared" si="7"/>
        <v>0.16863770483667825</v>
      </c>
      <c r="BJ54">
        <f t="shared" si="6"/>
        <v>0.15835144720451183</v>
      </c>
    </row>
    <row r="55" spans="1:64" x14ac:dyDescent="0.3">
      <c r="A55" t="s">
        <v>3</v>
      </c>
      <c r="B55" s="13">
        <v>0</v>
      </c>
      <c r="C55" s="29">
        <f>(C44/$L55)*$O55</f>
        <v>1.0749367786944417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1.0749367786944417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115</v>
      </c>
      <c r="M55">
        <v>0</v>
      </c>
      <c r="N55" s="1">
        <v>985.14</v>
      </c>
      <c r="O55" s="17">
        <f>N55/N60*100</f>
        <v>1.0749367786944417</v>
      </c>
      <c r="P55" s="52">
        <f>((O55*O55*(I55/100)*(K55/100))/(L55-1))</f>
        <v>0</v>
      </c>
      <c r="R55" s="66"/>
      <c r="S55" s="66" t="s">
        <v>62</v>
      </c>
      <c r="T55" s="67">
        <f>$AA53*T47/100</f>
        <v>0</v>
      </c>
      <c r="U55" s="67">
        <f>$AA53*U47/100</f>
        <v>87.602745847376298</v>
      </c>
      <c r="V55" s="67">
        <f>$AA53*V47/100</f>
        <v>676.72507169463483</v>
      </c>
      <c r="W55" s="67">
        <f>$AA53*W47/100</f>
        <v>670.92379480513637</v>
      </c>
      <c r="X55" s="67">
        <f>$AA53*X47/100</f>
        <v>819.87355160234381</v>
      </c>
      <c r="AA55" s="1"/>
      <c r="AC55" t="s">
        <v>139</v>
      </c>
      <c r="AD55" s="51">
        <v>0.88787878787878705</v>
      </c>
      <c r="AE55" s="51">
        <v>0.92795317719540105</v>
      </c>
      <c r="AH55">
        <v>1152</v>
      </c>
      <c r="AI55">
        <v>1163</v>
      </c>
      <c r="BF55">
        <v>0.93924461545708327</v>
      </c>
      <c r="BG55" s="1">
        <v>17</v>
      </c>
      <c r="BH55">
        <f t="shared" si="5"/>
        <v>0.91913552204621074</v>
      </c>
      <c r="BI55">
        <f t="shared" si="7"/>
        <v>0.20829458661289388</v>
      </c>
      <c r="BJ55">
        <f t="shared" si="6"/>
        <v>0.19563956890501963</v>
      </c>
    </row>
    <row r="56" spans="1:64" x14ac:dyDescent="0.3">
      <c r="A56" t="s">
        <v>4</v>
      </c>
      <c r="B56" s="13">
        <v>1</v>
      </c>
      <c r="C56" s="33">
        <f t="shared" ref="C56:G59" si="9">(C45/$L56)*$O56</f>
        <v>0</v>
      </c>
      <c r="D56" s="34">
        <f t="shared" si="9"/>
        <v>0.29354588378453167</v>
      </c>
      <c r="E56" s="19">
        <f t="shared" si="9"/>
        <v>0.44031882567679742</v>
      </c>
      <c r="F56" s="18">
        <f t="shared" si="9"/>
        <v>0</v>
      </c>
      <c r="G56" s="20">
        <f t="shared" si="9"/>
        <v>0</v>
      </c>
      <c r="H56" s="17">
        <f>SUM(C56:G56)</f>
        <v>0.73386470946132909</v>
      </c>
      <c r="I56" s="17">
        <f>D56/H56*100</f>
        <v>40</v>
      </c>
      <c r="J56" s="17">
        <f>SQRT(I56*(100-I56)/(L56-1))</f>
        <v>13.093073414159543</v>
      </c>
      <c r="K56" s="18">
        <f>100-I56</f>
        <v>60</v>
      </c>
      <c r="L56" s="1">
        <f>H45</f>
        <v>15</v>
      </c>
      <c r="M56">
        <v>1</v>
      </c>
      <c r="N56" s="1">
        <v>672.56</v>
      </c>
      <c r="O56" s="17">
        <f>N56/N60*100</f>
        <v>0.73386470946132909</v>
      </c>
      <c r="P56" s="52">
        <f>((O56*O56*(I56/100)*(K56/100))/(L56-1))</f>
        <v>9.2324127735901873E-3</v>
      </c>
      <c r="R56" t="s">
        <v>71</v>
      </c>
      <c r="S56" t="s">
        <v>28</v>
      </c>
      <c r="T56" s="57">
        <f t="shared" ref="T56:X59" si="10">C147</f>
        <v>1.1122650642164353</v>
      </c>
      <c r="U56" s="57">
        <f t="shared" si="10"/>
        <v>0.28744562065703594</v>
      </c>
      <c r="V56" s="57">
        <f t="shared" si="10"/>
        <v>59.820149665962617</v>
      </c>
      <c r="W56" s="57">
        <f t="shared" si="10"/>
        <v>22.395044288348036</v>
      </c>
      <c r="X56" s="57">
        <f t="shared" si="10"/>
        <v>16.385095360815871</v>
      </c>
      <c r="Y56" s="13"/>
      <c r="Z56" s="74"/>
      <c r="AA56" s="12"/>
      <c r="AC56" t="s">
        <v>140</v>
      </c>
      <c r="AD56" s="51">
        <v>0.90757575757575704</v>
      </c>
      <c r="AE56" s="51">
        <v>0.93784264884670199</v>
      </c>
      <c r="AH56">
        <v>1181</v>
      </c>
      <c r="AI56">
        <v>1192</v>
      </c>
      <c r="BF56">
        <v>0.93959039322898374</v>
      </c>
      <c r="BG56" s="1">
        <v>18</v>
      </c>
      <c r="BH56">
        <f t="shared" si="5"/>
        <v>1.1281436452787641</v>
      </c>
      <c r="BI56">
        <f t="shared" si="7"/>
        <v>0.25566002901309814</v>
      </c>
      <c r="BJ56">
        <f t="shared" si="6"/>
        <v>0.24021570719335028</v>
      </c>
    </row>
    <row r="57" spans="1:64" x14ac:dyDescent="0.3">
      <c r="A57" t="s">
        <v>5</v>
      </c>
      <c r="B57" s="13">
        <v>2</v>
      </c>
      <c r="C57" s="33">
        <f t="shared" si="9"/>
        <v>0</v>
      </c>
      <c r="D57" s="19">
        <f t="shared" si="9"/>
        <v>0</v>
      </c>
      <c r="E57" s="34">
        <f t="shared" si="9"/>
        <v>56.833075823678747</v>
      </c>
      <c r="F57" s="19">
        <f t="shared" si="9"/>
        <v>0</v>
      </c>
      <c r="G57" s="20">
        <f t="shared" si="9"/>
        <v>0.81190108319541066</v>
      </c>
      <c r="H57" s="17">
        <f>SUM(C57:G57)</f>
        <v>57.644976906874156</v>
      </c>
      <c r="I57" s="17">
        <f>E57/H57*100</f>
        <v>98.591549295774655</v>
      </c>
      <c r="J57" s="17">
        <f>SQRT(I57*(100-I57)/(L57-1))</f>
        <v>0.99238711073976715</v>
      </c>
      <c r="K57" s="18">
        <f>100-I57</f>
        <v>1.4084507042253449</v>
      </c>
      <c r="L57" s="1">
        <f>H46</f>
        <v>142</v>
      </c>
      <c r="M57">
        <v>2</v>
      </c>
      <c r="N57" s="1">
        <v>52829.5</v>
      </c>
      <c r="O57" s="17">
        <f>N57/N60*100</f>
        <v>57.644976906874156</v>
      </c>
      <c r="P57" s="52">
        <f>((O57*O57*(I57/100)*(K57/100))/(L57-1))</f>
        <v>0.32725415477001019</v>
      </c>
      <c r="S57" s="66" t="s">
        <v>39</v>
      </c>
      <c r="T57" s="67">
        <f t="shared" si="10"/>
        <v>0</v>
      </c>
      <c r="U57" s="67">
        <f t="shared" si="10"/>
        <v>0.10496030032662103</v>
      </c>
      <c r="V57" s="67">
        <f t="shared" si="10"/>
        <v>0.61683862962787417</v>
      </c>
      <c r="W57" s="67">
        <f t="shared" si="10"/>
        <v>0.79451199262726935</v>
      </c>
      <c r="X57" s="67">
        <f t="shared" si="10"/>
        <v>0.83308719124548303</v>
      </c>
      <c r="AC57" t="s">
        <v>141</v>
      </c>
      <c r="AD57" s="51">
        <v>0.89393939393939303</v>
      </c>
      <c r="AE57" s="51">
        <v>0.92754238601872097</v>
      </c>
      <c r="AH57">
        <v>1210</v>
      </c>
      <c r="AI57">
        <v>1221</v>
      </c>
      <c r="BF57">
        <v>0.94039241050058953</v>
      </c>
      <c r="BG57" s="27">
        <v>19</v>
      </c>
      <c r="BH57" s="84">
        <f t="shared" si="5"/>
        <v>1.4034126358514019</v>
      </c>
      <c r="BI57" s="84">
        <f>-3.562633*($BL$38)^5+5.682633*($BL$38)^4-1.752461*($BL$38)^3-0.293762*($BL$38)^2+0.042981*$BL$38+BH57*($BL$39^-0.5)</f>
        <v>0.32175145499838514</v>
      </c>
      <c r="BJ57">
        <f t="shared" si="6"/>
        <v>0.30257262634800336</v>
      </c>
    </row>
    <row r="58" spans="1:64" x14ac:dyDescent="0.3">
      <c r="A58" t="s">
        <v>6</v>
      </c>
      <c r="B58" s="13">
        <v>3</v>
      </c>
      <c r="C58" s="33">
        <f t="shared" si="9"/>
        <v>0</v>
      </c>
      <c r="D58" s="19">
        <f t="shared" si="9"/>
        <v>0</v>
      </c>
      <c r="E58" s="19">
        <f t="shared" si="9"/>
        <v>0.88670818060852485</v>
      </c>
      <c r="F58" s="34">
        <f t="shared" si="9"/>
        <v>21.990362879091418</v>
      </c>
      <c r="G58" s="20">
        <f t="shared" si="9"/>
        <v>2.6601245418255743</v>
      </c>
      <c r="H58" s="17">
        <f>SUM(C58:G58)</f>
        <v>25.537195601525518</v>
      </c>
      <c r="I58" s="17">
        <f>F58/H58*100</f>
        <v>86.1111111111111</v>
      </c>
      <c r="J58" s="17">
        <f>SQRT(I58*(100-I58)/(L58-1))</f>
        <v>2.8919802956134921</v>
      </c>
      <c r="K58" s="18">
        <f>100-I58</f>
        <v>13.8888888888889</v>
      </c>
      <c r="L58" s="1">
        <f>H47</f>
        <v>144</v>
      </c>
      <c r="M58">
        <v>3</v>
      </c>
      <c r="N58" s="1">
        <v>23403.9</v>
      </c>
      <c r="O58" s="17">
        <f>N58/N60*100</f>
        <v>25.537195601525514</v>
      </c>
      <c r="P58" s="52">
        <f>((O58*O58*(I58/100)*(K58/100))/(L58-1))</f>
        <v>0.54542754292140994</v>
      </c>
      <c r="S58" t="s">
        <v>30</v>
      </c>
      <c r="T58" s="57">
        <f t="shared" si="10"/>
        <v>100</v>
      </c>
      <c r="U58" s="57">
        <f t="shared" si="10"/>
        <v>100</v>
      </c>
      <c r="V58" s="57">
        <f t="shared" si="10"/>
        <v>96.37705738527859</v>
      </c>
      <c r="W58" s="57">
        <f t="shared" si="10"/>
        <v>93.592138390005644</v>
      </c>
      <c r="X58" s="57">
        <f t="shared" si="10"/>
        <v>80.727982868460785</v>
      </c>
      <c r="AC58" t="s">
        <v>142</v>
      </c>
      <c r="AD58" s="51">
        <v>0.91060606060605997</v>
      </c>
      <c r="AE58" s="51">
        <v>0.93761740034360597</v>
      </c>
      <c r="AH58">
        <v>1239</v>
      </c>
      <c r="AI58">
        <v>1250</v>
      </c>
      <c r="BF58">
        <v>0.94348705264572319</v>
      </c>
      <c r="BG58" s="27">
        <v>20</v>
      </c>
      <c r="BH58" s="84">
        <f t="shared" si="5"/>
        <v>1.8682416548639302</v>
      </c>
      <c r="BI58" s="84">
        <f>-2.70605*($BL$38)^5+4.4334685*($BL$38)^4-2.07119*($BL$38)^3-0.147981*($BL$38)^2+0.221157*$BL$38+BH58*($BL$39^-0.5)</f>
        <v>0.47336806621893501</v>
      </c>
      <c r="BJ58">
        <f t="shared" si="6"/>
        <v>0.4466166416135085</v>
      </c>
    </row>
    <row r="59" spans="1:64" x14ac:dyDescent="0.3">
      <c r="A59" t="s">
        <v>7</v>
      </c>
      <c r="B59" s="13">
        <v>4</v>
      </c>
      <c r="C59" s="35">
        <f t="shared" si="9"/>
        <v>0</v>
      </c>
      <c r="D59" s="36">
        <f t="shared" si="9"/>
        <v>0</v>
      </c>
      <c r="E59" s="21">
        <f t="shared" si="9"/>
        <v>1.2917604347226861</v>
      </c>
      <c r="F59" s="21">
        <f t="shared" si="9"/>
        <v>1.4147852380296086</v>
      </c>
      <c r="G59" s="37">
        <f t="shared" si="9"/>
        <v>12.30248033069225</v>
      </c>
      <c r="H59" s="17">
        <f>SUM(C59:G59)</f>
        <v>15.009026003444545</v>
      </c>
      <c r="I59" s="17">
        <f>G59/H59*100</f>
        <v>81.967213114754102</v>
      </c>
      <c r="J59" s="17">
        <f>SQRT(I59*(100-I59)/(L59-1))</f>
        <v>2.4663140269083059</v>
      </c>
      <c r="K59" s="18">
        <f>100-I59</f>
        <v>18.032786885245898</v>
      </c>
      <c r="L59" s="1">
        <f>H48</f>
        <v>244</v>
      </c>
      <c r="M59">
        <v>4</v>
      </c>
      <c r="N59" s="1">
        <v>13755.22</v>
      </c>
      <c r="O59" s="17">
        <f>N59/N60*100</f>
        <v>15.009026003444545</v>
      </c>
      <c r="P59" s="52">
        <f>((O59*O59*(I59/100)*(K59/100))/(L59-1))</f>
        <v>0.13702561688541287</v>
      </c>
      <c r="S59" s="66" t="s">
        <v>39</v>
      </c>
      <c r="T59" s="67">
        <f t="shared" si="10"/>
        <v>0</v>
      </c>
      <c r="U59" s="67">
        <f t="shared" si="10"/>
        <v>0</v>
      </c>
      <c r="V59" s="67">
        <f t="shared" si="10"/>
        <v>0.78963915279560537</v>
      </c>
      <c r="W59" s="67">
        <f t="shared" si="10"/>
        <v>2.440855863219543</v>
      </c>
      <c r="X59" s="67">
        <f t="shared" si="10"/>
        <v>5.4180298668964779</v>
      </c>
      <c r="AC59" t="s">
        <v>143</v>
      </c>
      <c r="AD59" s="51">
        <v>0.91363636363636302</v>
      </c>
      <c r="AE59" s="51">
        <v>0.94197013743134195</v>
      </c>
      <c r="AH59">
        <v>1268</v>
      </c>
      <c r="AI59">
        <v>1279</v>
      </c>
      <c r="BI59" t="s">
        <v>342</v>
      </c>
      <c r="BJ59">
        <f>SUM(BJ39:BJ58)</f>
        <v>2.1880393291399569E-2</v>
      </c>
    </row>
    <row r="60" spans="1:64" x14ac:dyDescent="0.3">
      <c r="B60" t="s">
        <v>28</v>
      </c>
      <c r="C60" s="17">
        <f>SUM(C55:C59)</f>
        <v>1.0749367786944417</v>
      </c>
      <c r="D60" s="17">
        <f>SUM(D55:D59)</f>
        <v>0.29354588378453167</v>
      </c>
      <c r="E60" s="17">
        <f>SUM(E55:E59)</f>
        <v>59.45186326468675</v>
      </c>
      <c r="F60" s="17">
        <f>SUM(F55:F59)</f>
        <v>23.405148117121026</v>
      </c>
      <c r="G60" s="17">
        <f>SUM(G55:G59)</f>
        <v>15.774505955713234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91646.32</v>
      </c>
      <c r="O60" s="17">
        <f>SUM(O55:O59)</f>
        <v>99.999999999999986</v>
      </c>
      <c r="S60" s="15" t="s">
        <v>31</v>
      </c>
      <c r="T60" s="71">
        <f>I142</f>
        <v>100</v>
      </c>
      <c r="U60" s="71">
        <f>I143</f>
        <v>33.333333333333329</v>
      </c>
      <c r="V60" s="71">
        <f>I144</f>
        <v>99.295774647887328</v>
      </c>
      <c r="W60" s="71">
        <f>I145</f>
        <v>84.722222222222214</v>
      </c>
      <c r="X60" s="71">
        <f>I146</f>
        <v>86.885245901639337</v>
      </c>
      <c r="AC60" t="s">
        <v>144</v>
      </c>
      <c r="AD60" s="51">
        <v>0.89090909090908998</v>
      </c>
      <c r="AE60" s="51">
        <v>0.92055363802871104</v>
      </c>
      <c r="AH60">
        <v>1297</v>
      </c>
      <c r="AI60">
        <v>1308</v>
      </c>
    </row>
    <row r="61" spans="1:64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0</v>
      </c>
      <c r="D61" s="18">
        <f>SQRT(SUM((O55*O55*(D55/O55)*(1-D55/O55))/L55,(O56*O56*(D56/O56)*(1-D56/O56))/L56,(O57*O57*(D57/O57)*(1-D57/O57))/L57,(O58*O58*(D58/O58)*(1-D58/O58))/L58,(O59*O59*(D59/O59)*(1-D59/O59))/L59))</f>
        <v>9.2827359052620767E-2</v>
      </c>
      <c r="E61" s="18">
        <f>SQRT(SUM((O55*O55*(E55/O55)*(1-E55/O55))/L55,(O56*O56*(E56/O56)*(1-E56/O56))/L56,(O57*O57*(E57/O57)*(1-E57/O57))/L57,(O58*O58*(E58/O58)*(1-E58/O58))/L58,(O59*O59*(E59/O59)*(1-E59/O59))/L59))</f>
        <v>0.74697874440728984</v>
      </c>
      <c r="F61" s="18">
        <f>SQRT(SUM((O55*O55*(F55/O55)*(1-F55/O55))/L55,(O56*O56*(F56/O56)*(1-F56/O56))/L56,(O57*O57*(F57/O57)*(1-F57/O57))/L57,(O58*O58*(F58/O58)*(1-F58/O58))/L58,(O59*O59*(F59/O59)*(1-F59/O59))/L59))</f>
        <v>0.78769495364640529</v>
      </c>
      <c r="G61" s="18">
        <f>SQRT(SUM((O55*O55*(G55/O55)*(1-G55/O55))/L55,(O56*O56*(G56/O56)*(1-G56/O56))/L56,(O57*O57*(G57/O57)*(1-G57/O57))/L57,(O58*O58*(G58/O58)*(1-G58/O58))/L58,(O59*O59*(G59/O59)*(1-G59/O59))/L59))</f>
        <v>0.94022535103138394</v>
      </c>
      <c r="H61" s="1"/>
      <c r="I61" s="14">
        <f>(C55+D56+E57+F58+G59)/H60</f>
        <v>0.92494401695941386</v>
      </c>
      <c r="J61" s="53">
        <f>SQRT(SUM(P55:P59))/100</f>
        <v>1.0094254441762518E-2</v>
      </c>
      <c r="M61" s="1"/>
      <c r="N61" s="9"/>
      <c r="S61" s="75" t="s">
        <v>39</v>
      </c>
      <c r="T61" s="76">
        <f>J142</f>
        <v>0</v>
      </c>
      <c r="U61" s="76">
        <f>J143</f>
        <v>12.598815766974241</v>
      </c>
      <c r="V61" s="76">
        <f>J144</f>
        <v>0.70422535211267423</v>
      </c>
      <c r="W61" s="76">
        <f>J145</f>
        <v>3.0085743248565655</v>
      </c>
      <c r="X61" s="76">
        <f>J146</f>
        <v>2.165458955692412</v>
      </c>
      <c r="AC61" t="s">
        <v>145</v>
      </c>
      <c r="AD61" s="51">
        <v>0.90757575757575704</v>
      </c>
      <c r="AE61" s="51">
        <v>0.93696753014437295</v>
      </c>
      <c r="AH61">
        <v>1326</v>
      </c>
      <c r="AI61">
        <v>1337</v>
      </c>
      <c r="BF61" s="82" t="s">
        <v>330</v>
      </c>
      <c r="BG61" s="1">
        <v>0.05</v>
      </c>
      <c r="BH61" s="59" t="s">
        <v>331</v>
      </c>
      <c r="BI61" s="1">
        <v>200</v>
      </c>
      <c r="BJ61" s="59" t="s">
        <v>332</v>
      </c>
      <c r="BK61" s="1">
        <f>_xlfn.VAR.S(BF64:BF263)*(BI61-1)</f>
        <v>5.0858633387761282E-3</v>
      </c>
    </row>
    <row r="62" spans="1:64" x14ac:dyDescent="0.3">
      <c r="B62" s="1" t="s">
        <v>30</v>
      </c>
      <c r="C62" s="17">
        <f>C55/C60*100</f>
        <v>100</v>
      </c>
      <c r="D62" s="17">
        <f>D56/D60*100</f>
        <v>100</v>
      </c>
      <c r="E62" s="17">
        <f>E57/E60*100</f>
        <v>95.59511292463813</v>
      </c>
      <c r="F62" s="17">
        <f>F58/F60*100</f>
        <v>93.955239116839067</v>
      </c>
      <c r="G62" s="17">
        <f>G59/G60*100</f>
        <v>77.989639518545545</v>
      </c>
      <c r="H62" s="1"/>
      <c r="S62" s="66" t="s">
        <v>51</v>
      </c>
      <c r="T62" s="67">
        <f>N131*100</f>
        <v>100</v>
      </c>
      <c r="U62" s="67">
        <f>N132*100</f>
        <v>50</v>
      </c>
      <c r="V62" s="67">
        <f>N133*100</f>
        <v>91.558441558441544</v>
      </c>
      <c r="W62" s="67">
        <f>N134*100</f>
        <v>84.429065743944633</v>
      </c>
      <c r="X62" s="67">
        <f>N135*100</f>
        <v>89.640591966173361</v>
      </c>
      <c r="AC62" t="s">
        <v>146</v>
      </c>
      <c r="AD62" s="51">
        <v>0.90757575757575704</v>
      </c>
      <c r="AE62" s="51">
        <v>0.94048648978860905</v>
      </c>
      <c r="AH62">
        <v>1355</v>
      </c>
      <c r="AI62">
        <v>1366</v>
      </c>
    </row>
    <row r="63" spans="1:64" ht="15.6" x14ac:dyDescent="0.35">
      <c r="B63" s="16" t="s">
        <v>39</v>
      </c>
      <c r="C63" s="18">
        <f>SQRT((C66+C67)/(C60*C60))</f>
        <v>0</v>
      </c>
      <c r="D63" s="18">
        <f>SQRT((D66+D67)/(D60*D60))</f>
        <v>0</v>
      </c>
      <c r="E63" s="18">
        <f>SQRT((E66+E67)/(E60*E60))</f>
        <v>0.88726795169931605</v>
      </c>
      <c r="F63" s="18">
        <f>SQRT((F66+F67)/(F60*F60))</f>
        <v>2.2166455838175905</v>
      </c>
      <c r="G63" s="18">
        <f>SQRT((G66+G67)/(G60*G60))</f>
        <v>6.714086934013836</v>
      </c>
      <c r="H63" s="1"/>
      <c r="I63" s="14"/>
      <c r="R63" s="16" t="s">
        <v>61</v>
      </c>
      <c r="S63" t="s">
        <v>9</v>
      </c>
      <c r="T63" s="30">
        <f>N142</f>
        <v>1019.35</v>
      </c>
      <c r="U63" s="30">
        <f>N143</f>
        <v>790.3</v>
      </c>
      <c r="V63" s="30">
        <f>N144</f>
        <v>53211.49</v>
      </c>
      <c r="W63" s="30">
        <f>N145</f>
        <v>22673</v>
      </c>
      <c r="X63" s="30">
        <f>N146</f>
        <v>13952.18</v>
      </c>
      <c r="Z63" t="s">
        <v>36</v>
      </c>
      <c r="AA63" s="1">
        <f>N147</f>
        <v>91646.32</v>
      </c>
      <c r="AC63" t="s">
        <v>147</v>
      </c>
      <c r="AD63" s="51">
        <v>0.90303030303030296</v>
      </c>
      <c r="AE63" s="51">
        <v>0.92910253470313497</v>
      </c>
      <c r="AH63">
        <v>1384</v>
      </c>
      <c r="AI63">
        <v>1395</v>
      </c>
      <c r="BF63" s="12" t="s">
        <v>329</v>
      </c>
      <c r="BG63" s="13" t="s">
        <v>339</v>
      </c>
      <c r="BH63" s="13" t="s">
        <v>344</v>
      </c>
      <c r="BI63" s="13" t="s">
        <v>345</v>
      </c>
      <c r="BJ63" s="13" t="s">
        <v>346</v>
      </c>
      <c r="BK63" s="13" t="s">
        <v>340</v>
      </c>
      <c r="BL63">
        <f>1/(SQRT(BI61))</f>
        <v>7.0710678118654752E-2</v>
      </c>
    </row>
    <row r="64" spans="1:64" ht="15.6" x14ac:dyDescent="0.35">
      <c r="B64" s="1" t="s">
        <v>37</v>
      </c>
      <c r="C64" s="18">
        <f>100-C62</f>
        <v>0</v>
      </c>
      <c r="D64" s="18">
        <f>100-D62</f>
        <v>0</v>
      </c>
      <c r="E64" s="18">
        <f>100-E62</f>
        <v>4.4048870753618701</v>
      </c>
      <c r="F64" s="18">
        <f>100-F62</f>
        <v>6.044760883160933</v>
      </c>
      <c r="G64" s="18">
        <f>100-G62</f>
        <v>22.010360481454455</v>
      </c>
      <c r="R64" s="16" t="s">
        <v>318</v>
      </c>
      <c r="S64" t="s">
        <v>63</v>
      </c>
      <c r="T64" s="57">
        <f>$AA63*T56/100</f>
        <v>1019.3499999999999</v>
      </c>
      <c r="U64" s="57">
        <f>$AA63*U56/100</f>
        <v>263.43333333333328</v>
      </c>
      <c r="V64" s="57">
        <f>$AA63*V56/100</f>
        <v>54822.965787347035</v>
      </c>
      <c r="W64" s="57">
        <f>$AA63*W56/100</f>
        <v>20524.233952641167</v>
      </c>
      <c r="X64" s="57">
        <f>$AA63*X56/100</f>
        <v>15016.336926678468</v>
      </c>
      <c r="Z64" t="s">
        <v>36</v>
      </c>
      <c r="AA64" s="25">
        <f>SUM(T64:X64)</f>
        <v>91646.32</v>
      </c>
      <c r="AC64" t="s">
        <v>148</v>
      </c>
      <c r="AD64" s="51">
        <v>0.89242424242424201</v>
      </c>
      <c r="AE64" s="51">
        <v>0.93130955390196501</v>
      </c>
      <c r="AH64">
        <v>1413</v>
      </c>
      <c r="AI64">
        <v>1424</v>
      </c>
      <c r="BF64">
        <v>0.91531237460222203</v>
      </c>
      <c r="BG64" s="27">
        <v>1</v>
      </c>
      <c r="BH64" s="84">
        <f>_xlfn.NORM.S.INV((BG64-0.375)/($BI$61+0.25))</f>
        <v>-2.7347800424613062</v>
      </c>
      <c r="BI64" s="84">
        <f>-BI263</f>
        <v>-0.20934182212459215</v>
      </c>
      <c r="BJ64">
        <f>BI64*BF64</f>
        <v>-0.19161316031241643</v>
      </c>
      <c r="BK64" s="13" t="s">
        <v>335</v>
      </c>
      <c r="BL64">
        <f>SUMSQ(BH64:BH263)</f>
        <v>196.54625623244561</v>
      </c>
    </row>
    <row r="65" spans="1:65" ht="15.6" x14ac:dyDescent="0.35">
      <c r="B65" s="1" t="s">
        <v>25</v>
      </c>
      <c r="C65" s="1">
        <f>C49</f>
        <v>115</v>
      </c>
      <c r="D65" s="1">
        <f>D49</f>
        <v>6</v>
      </c>
      <c r="E65" s="1">
        <f>E49</f>
        <v>175</v>
      </c>
      <c r="F65" s="1">
        <f>F49</f>
        <v>147</v>
      </c>
      <c r="G65" s="1">
        <f>G49</f>
        <v>217</v>
      </c>
      <c r="R65" s="66"/>
      <c r="S65" s="66" t="s">
        <v>62</v>
      </c>
      <c r="T65" s="67">
        <f>$AA63*T57/100</f>
        <v>0</v>
      </c>
      <c r="U65" s="67">
        <f>$AA63*U57/100</f>
        <v>96.19225271029616</v>
      </c>
      <c r="V65" s="67">
        <f>$AA63*V57/100</f>
        <v>565.30990439237644</v>
      </c>
      <c r="W65" s="67">
        <f>$AA63*W57/100</f>
        <v>728.14100320156376</v>
      </c>
      <c r="X65" s="67">
        <f>$AA63*X57/100</f>
        <v>763.49375316784744</v>
      </c>
      <c r="AA65" s="1"/>
      <c r="AC65" t="s">
        <v>149</v>
      </c>
      <c r="AD65" s="51">
        <v>0.90909090909090895</v>
      </c>
      <c r="AE65" s="51">
        <v>0.936343833537022</v>
      </c>
      <c r="AH65">
        <v>1442</v>
      </c>
      <c r="AI65">
        <v>1453</v>
      </c>
      <c r="BF65">
        <v>0.919904617058803</v>
      </c>
      <c r="BG65" s="27">
        <v>2</v>
      </c>
      <c r="BH65" s="84">
        <f>_xlfn.NORM.S.INV((BG65-0.375)/($BI$61+0.25))</f>
        <v>-2.4037084127855821</v>
      </c>
      <c r="BI65" s="84">
        <f>-BI262</f>
        <v>-0.17254128536790717</v>
      </c>
      <c r="BJ65">
        <f t="shared" ref="BJ65:BJ128" si="11">BI65*BF65</f>
        <v>-0.15872152504319828</v>
      </c>
      <c r="BK65" s="74" t="s">
        <v>341</v>
      </c>
      <c r="BL65">
        <f>(BL64-2*(BH263^2)-2*(BH262^2))/(1-2*(BI263^2)-2*(BI262^2))</f>
        <v>199.37897338378195</v>
      </c>
    </row>
    <row r="66" spans="1:65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0</v>
      </c>
      <c r="E66" s="18">
        <f>(O57*O57*(100-E62)*(100-E62)*(I57)*(100-I57))/((L57-1)*100)</f>
        <v>634.97222306320805</v>
      </c>
      <c r="F66" s="18">
        <f>(O58*O58*(100-F62)*(100-F62)*(I58)*(100-I58))/((L58-1)*100)</f>
        <v>1992.9450151506626</v>
      </c>
      <c r="G66" s="18">
        <f>(O59*O59*(100-G62)*(100-G62)*(I59)*(100-I59))/((L59-1)*100)</f>
        <v>6638.287794076261</v>
      </c>
      <c r="R66" t="s">
        <v>93</v>
      </c>
      <c r="S66" t="s">
        <v>28</v>
      </c>
      <c r="T66" s="57">
        <f>C176</f>
        <v>1.2678414146907371</v>
      </c>
      <c r="U66" s="57">
        <f t="shared" ref="U66:X69" si="12">D176</f>
        <v>0.30381652713024004</v>
      </c>
      <c r="V66" s="57">
        <f t="shared" si="12"/>
        <v>60.291331708946764</v>
      </c>
      <c r="W66" s="57">
        <f t="shared" si="12"/>
        <v>21.915363027678794</v>
      </c>
      <c r="X66" s="57">
        <f t="shared" si="12"/>
        <v>16.221647321553462</v>
      </c>
      <c r="Y66" s="13"/>
      <c r="Z66" s="74"/>
      <c r="AA66" s="12"/>
      <c r="AC66" t="s">
        <v>158</v>
      </c>
      <c r="AD66" s="51">
        <v>0.9</v>
      </c>
      <c r="AE66" s="51">
        <v>0.92571490574075899</v>
      </c>
      <c r="AH66" s="78"/>
      <c r="BF66">
        <v>0.92055363802871104</v>
      </c>
      <c r="BG66" s="1">
        <v>3</v>
      </c>
      <c r="BH66">
        <f>_xlfn.NORM.S.INV((BG66-0.375)/($BI$61+0.25))</f>
        <v>-2.2229788158905457</v>
      </c>
      <c r="BI66">
        <f>BH66/SQRT($BL$65)</f>
        <v>-0.15743295469116447</v>
      </c>
      <c r="BJ66">
        <f t="shared" si="11"/>
        <v>-0.14492547918656068</v>
      </c>
      <c r="BK66" s="74" t="s">
        <v>333</v>
      </c>
      <c r="BL66" s="48">
        <f>CORREL(BF64:BF263,BI64:BI263)^2</f>
        <v>0.98875651836278244</v>
      </c>
      <c r="BM66" s="48">
        <f>(BJ264^2)/BK61</f>
        <v>0.98875651836278677</v>
      </c>
    </row>
    <row r="67" spans="1:65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0</v>
      </c>
      <c r="E67" s="18">
        <f>E62*E62*(SUM((H55*E55*(1-E44/H44))/(H44-1),(H56*E56*(1-E45/H45))/(H45-1), (H58*E58*(1-E47/H47))/(H47-1),(H59*E59*(1-E48/H48))/(H48-1)))</f>
        <v>2147.5621025543687</v>
      </c>
      <c r="F67" s="18">
        <f>F62*F62*(SUM((H55*F55*(1-F44/H44))/(H44-1),(H56*F56*(1-F45/H45))/(H45-1), (H57*F57*(1-F46/H46))/(H46-1),(H59*F59*(1-F48/H48))/(H48-1)))</f>
        <v>698.68465941241539</v>
      </c>
      <c r="G67" s="18">
        <f>G62*G62*(SUM((H55*G55*(1-G44/H44))/(H44-1),(H56*G56*(1-G45/H45))/(H45-1), (H57*G57*(1-G46/H46))/(H46-1),(H58*G58*(1-G47/H47))/(H47-1)))</f>
        <v>4578.937772605741</v>
      </c>
      <c r="S67" s="66" t="s">
        <v>39</v>
      </c>
      <c r="T67" s="67">
        <f>C177</f>
        <v>0</v>
      </c>
      <c r="U67" s="67">
        <f t="shared" si="12"/>
        <v>0.11093811016807519</v>
      </c>
      <c r="V67" s="67">
        <f t="shared" si="12"/>
        <v>0.73952231963078863</v>
      </c>
      <c r="W67" s="67">
        <f t="shared" si="12"/>
        <v>0.74175834327694756</v>
      </c>
      <c r="X67" s="67">
        <f t="shared" si="12"/>
        <v>0.91329494480755236</v>
      </c>
      <c r="AC67" t="s">
        <v>159</v>
      </c>
      <c r="AD67" s="51">
        <v>0.90606060606060601</v>
      </c>
      <c r="AE67" s="51">
        <v>0.93527099417945003</v>
      </c>
      <c r="AI67" s="78"/>
      <c r="BF67">
        <v>0.92255261354570905</v>
      </c>
      <c r="BG67" s="1">
        <v>4</v>
      </c>
      <c r="BH67">
        <f t="shared" ref="BH67:BH130" si="13">_xlfn.NORM.S.INV((BG67-0.375)/($BI$61+0.25))</f>
        <v>-2.0946204699384201</v>
      </c>
      <c r="BI67">
        <f t="shared" ref="BI67:BI130" si="14">BH67/SQRT($BL$65)</f>
        <v>-0.14834252453588728</v>
      </c>
      <c r="BJ67">
        <f t="shared" si="11"/>
        <v>-0.13685378371055129</v>
      </c>
      <c r="BK67" s="74" t="s">
        <v>73</v>
      </c>
      <c r="BL67">
        <f>0.0038915*(LN(BI61)^3)-0.083751*(LN(BI61)^2)-0.31082*LN(BI61)-1.5861</f>
        <v>-5.00519183191303</v>
      </c>
    </row>
    <row r="68" spans="1:65" x14ac:dyDescent="0.3">
      <c r="S68" t="s">
        <v>30</v>
      </c>
      <c r="T68" s="57">
        <f>C178</f>
        <v>100</v>
      </c>
      <c r="U68" s="57">
        <f t="shared" si="12"/>
        <v>100</v>
      </c>
      <c r="V68" s="57">
        <f t="shared" si="12"/>
        <v>95.741034032355969</v>
      </c>
      <c r="W68" s="57">
        <f t="shared" si="12"/>
        <v>94.286294605448902</v>
      </c>
      <c r="X68" s="57">
        <f t="shared" si="12"/>
        <v>79.507625358166337</v>
      </c>
      <c r="AC68" t="s">
        <v>160</v>
      </c>
      <c r="AD68" s="51">
        <v>0.90151515151515105</v>
      </c>
      <c r="AE68" s="51">
        <v>0.93668844148019403</v>
      </c>
      <c r="AI68" s="78"/>
      <c r="BF68">
        <v>0.92311252559142098</v>
      </c>
      <c r="BG68" s="1">
        <v>5</v>
      </c>
      <c r="BH68">
        <f t="shared" si="13"/>
        <v>-1.9936322372681392</v>
      </c>
      <c r="BI68">
        <f t="shared" si="14"/>
        <v>-0.14119046544082484</v>
      </c>
      <c r="BJ68">
        <f t="shared" si="11"/>
        <v>-0.13033468714250807</v>
      </c>
      <c r="BK68" s="74" t="s">
        <v>347</v>
      </c>
      <c r="BL68">
        <f>EXP(0.0030301*(LN(BI61)^2)-0.082676*LN(BI61)-0.4803)</f>
        <v>0.43462042560966935</v>
      </c>
    </row>
    <row r="69" spans="1:65" x14ac:dyDescent="0.3">
      <c r="S69" s="66" t="s">
        <v>39</v>
      </c>
      <c r="T69" s="67">
        <f>C179</f>
        <v>0</v>
      </c>
      <c r="U69" s="67">
        <f t="shared" si="12"/>
        <v>0</v>
      </c>
      <c r="V69" s="67">
        <f t="shared" si="12"/>
        <v>0.84113177256352534</v>
      </c>
      <c r="W69" s="67">
        <f t="shared" si="12"/>
        <v>2.1473476151677633</v>
      </c>
      <c r="X69" s="67">
        <f t="shared" si="12"/>
        <v>6.1064092164053578</v>
      </c>
      <c r="AC69" t="s">
        <v>161</v>
      </c>
      <c r="AD69" s="51">
        <v>0.90303030303030296</v>
      </c>
      <c r="AE69" s="51">
        <v>0.93462354708101703</v>
      </c>
      <c r="BF69">
        <v>0.92352925153260002</v>
      </c>
      <c r="BG69" s="1">
        <v>6</v>
      </c>
      <c r="BH69">
        <f t="shared" si="13"/>
        <v>-1.9096384934921877</v>
      </c>
      <c r="BI69">
        <f t="shared" si="14"/>
        <v>-0.13524196824251786</v>
      </c>
      <c r="BJ69">
        <f t="shared" si="11"/>
        <v>-0.12489991370680818</v>
      </c>
      <c r="BK69" s="74" t="s">
        <v>343</v>
      </c>
      <c r="BL69">
        <f>(LN(1-BL66)-BL67)/BL68</f>
        <v>1.1900616564622251</v>
      </c>
    </row>
    <row r="70" spans="1:65" x14ac:dyDescent="0.3">
      <c r="A70" s="348">
        <v>1988</v>
      </c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 t="s">
        <v>56</v>
      </c>
      <c r="M70" s="348"/>
      <c r="N70" s="348"/>
      <c r="O70" s="348"/>
      <c r="P70" s="348"/>
      <c r="S70" s="15" t="s">
        <v>31</v>
      </c>
      <c r="T70" s="71">
        <f>I171</f>
        <v>100</v>
      </c>
      <c r="U70" s="71">
        <f>I172</f>
        <v>33.333333333333329</v>
      </c>
      <c r="V70" s="71">
        <f>I173</f>
        <v>98.591549295774655</v>
      </c>
      <c r="W70" s="71">
        <f>I174</f>
        <v>86.1111111111111</v>
      </c>
      <c r="X70" s="71">
        <f>I175</f>
        <v>84.426229508196712</v>
      </c>
      <c r="AC70" t="s">
        <v>162</v>
      </c>
      <c r="AD70" s="51">
        <v>0.88939393939393896</v>
      </c>
      <c r="AE70" s="51">
        <v>0.93094001054570696</v>
      </c>
      <c r="AI70" s="78"/>
      <c r="BF70">
        <v>0.92387741722361616</v>
      </c>
      <c r="BG70" s="1">
        <v>7</v>
      </c>
      <c r="BH70">
        <f t="shared" si="13"/>
        <v>-1.8372886748302382</v>
      </c>
      <c r="BI70">
        <f t="shared" si="14"/>
        <v>-0.13011810217510433</v>
      </c>
      <c r="BJ70">
        <f t="shared" si="11"/>
        <v>-0.12021317617157398</v>
      </c>
      <c r="BK70" s="74" t="s">
        <v>334</v>
      </c>
      <c r="BL70">
        <f>1-NORMSDIST(BL69)</f>
        <v>0.11701107970890146</v>
      </c>
    </row>
    <row r="71" spans="1:65" x14ac:dyDescent="0.3">
      <c r="A71" t="s">
        <v>315</v>
      </c>
      <c r="B71" t="s">
        <v>21</v>
      </c>
      <c r="I71" s="1" t="s">
        <v>53</v>
      </c>
      <c r="O71" s="350" t="s">
        <v>377</v>
      </c>
      <c r="P71" s="350"/>
      <c r="S71" s="75" t="s">
        <v>39</v>
      </c>
      <c r="T71" s="76">
        <f>J171</f>
        <v>0</v>
      </c>
      <c r="U71" s="76">
        <f>J172</f>
        <v>12.598815766974241</v>
      </c>
      <c r="V71" s="76">
        <f>J173</f>
        <v>0.99238711073976715</v>
      </c>
      <c r="W71" s="76">
        <f>J174</f>
        <v>2.8919802956134921</v>
      </c>
      <c r="X71" s="76">
        <f>J175</f>
        <v>2.3261217673941141</v>
      </c>
      <c r="AC71" t="s">
        <v>163</v>
      </c>
      <c r="AD71" s="51">
        <v>0.90606060606060601</v>
      </c>
      <c r="AE71" s="51">
        <v>0.93444039481781205</v>
      </c>
      <c r="BF71">
        <v>0.92413260384029705</v>
      </c>
      <c r="BG71" s="1">
        <v>8</v>
      </c>
      <c r="BH71">
        <f t="shared" si="13"/>
        <v>-1.7734461562988939</v>
      </c>
      <c r="BI71">
        <f t="shared" si="14"/>
        <v>-0.12559672920678461</v>
      </c>
      <c r="BJ71">
        <f t="shared" si="11"/>
        <v>-0.11606803239569055</v>
      </c>
      <c r="BK71" s="13" t="s">
        <v>336</v>
      </c>
      <c r="BL71" s="13" t="str">
        <f>IF(GESTEP(BL70,BG61)=0,"YES","NO")</f>
        <v>NO</v>
      </c>
    </row>
    <row r="72" spans="1:65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51</v>
      </c>
      <c r="O72" s="13" t="s">
        <v>644</v>
      </c>
      <c r="P72" s="13" t="s">
        <v>633</v>
      </c>
      <c r="S72" s="66" t="s">
        <v>51</v>
      </c>
      <c r="T72" s="67">
        <f>N160*100</f>
        <v>100</v>
      </c>
      <c r="U72" s="67">
        <f>N161*100</f>
        <v>50</v>
      </c>
      <c r="V72" s="67">
        <f>N162*100</f>
        <v>88.8888888888889</v>
      </c>
      <c r="W72" s="67">
        <f>N163*100</f>
        <v>86.111111111111114</v>
      </c>
      <c r="X72" s="67">
        <f>N164*100</f>
        <v>88.222698072805144</v>
      </c>
      <c r="AC72" t="s">
        <v>154</v>
      </c>
      <c r="AD72" s="51">
        <v>0.90303030303030296</v>
      </c>
      <c r="AE72" s="51">
        <v>0.93323168968459402</v>
      </c>
      <c r="AI72" s="78"/>
      <c r="BF72">
        <v>0.92435721358840806</v>
      </c>
      <c r="BG72" s="1">
        <v>9</v>
      </c>
      <c r="BH72">
        <f t="shared" si="13"/>
        <v>-1.7161077551573309</v>
      </c>
      <c r="BI72">
        <f t="shared" si="14"/>
        <v>-0.12153598249860366</v>
      </c>
      <c r="BJ72">
        <f t="shared" si="11"/>
        <v>-0.1123426621331388</v>
      </c>
    </row>
    <row r="73" spans="1:65" x14ac:dyDescent="0.3">
      <c r="A73" t="s">
        <v>3</v>
      </c>
      <c r="B73" s="13">
        <v>0</v>
      </c>
      <c r="C73" s="26">
        <v>115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115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/>
      <c r="P73" s="1"/>
      <c r="R73" s="16" t="s">
        <v>61</v>
      </c>
      <c r="S73" t="s">
        <v>9</v>
      </c>
      <c r="T73" s="1">
        <f>N171</f>
        <v>1161.93</v>
      </c>
      <c r="U73" s="1">
        <f>N172</f>
        <v>835.31</v>
      </c>
      <c r="V73" s="1">
        <f>N173</f>
        <v>53657.24</v>
      </c>
      <c r="W73" s="1">
        <f>N174</f>
        <v>21991.41</v>
      </c>
      <c r="X73" s="1">
        <f>N175</f>
        <v>14000.43</v>
      </c>
      <c r="Z73" t="s">
        <v>36</v>
      </c>
      <c r="AA73" s="1">
        <f>N176</f>
        <v>91646.32</v>
      </c>
      <c r="AC73" t="s">
        <v>164</v>
      </c>
      <c r="AD73" s="51">
        <v>0.90151515151515105</v>
      </c>
      <c r="AE73" s="51">
        <v>0.939329443256677</v>
      </c>
      <c r="BF73">
        <v>0.92461413421277405</v>
      </c>
      <c r="BG73" s="1">
        <v>10</v>
      </c>
      <c r="BH73">
        <f t="shared" si="13"/>
        <v>-1.6639128949712361</v>
      </c>
      <c r="BI73">
        <f t="shared" si="14"/>
        <v>-0.11783950505129283</v>
      </c>
      <c r="BJ73">
        <f t="shared" si="11"/>
        <v>-0.10895607193906293</v>
      </c>
    </row>
    <row r="74" spans="1:65" ht="15.6" x14ac:dyDescent="0.35">
      <c r="A74" t="s">
        <v>4</v>
      </c>
      <c r="B74" s="13">
        <v>1</v>
      </c>
      <c r="C74" s="5">
        <v>0</v>
      </c>
      <c r="D74" s="27">
        <v>7</v>
      </c>
      <c r="E74" s="1">
        <v>8</v>
      </c>
      <c r="F74" s="1">
        <v>0</v>
      </c>
      <c r="G74" s="6">
        <v>0</v>
      </c>
      <c r="H74" s="1">
        <f>SUM(C74:G74)</f>
        <v>15</v>
      </c>
      <c r="I74" s="10">
        <f>D74/H74</f>
        <v>0.46666666666666667</v>
      </c>
      <c r="J74" s="11">
        <f>1-I74</f>
        <v>0.53333333333333333</v>
      </c>
      <c r="K74">
        <f>H74-D78</f>
        <v>8</v>
      </c>
      <c r="N74" s="10">
        <f>2*(D79*I74)/(D79+I74)</f>
        <v>0.63636363636363635</v>
      </c>
      <c r="O74" s="1"/>
      <c r="P74" s="1"/>
      <c r="R74" s="16" t="s">
        <v>318</v>
      </c>
      <c r="S74" t="s">
        <v>63</v>
      </c>
      <c r="T74" s="57">
        <f>$AA73*T66/100</f>
        <v>1161.93</v>
      </c>
      <c r="U74" s="57">
        <f>$AA73*U66/100</f>
        <v>278.43666666666667</v>
      </c>
      <c r="V74" s="57">
        <f>$AA73*V66/100</f>
        <v>55254.786790242826</v>
      </c>
      <c r="W74" s="57">
        <f>$AA73*W66/100</f>
        <v>20084.623729508199</v>
      </c>
      <c r="X74" s="57">
        <f>$AA73*X66/100</f>
        <v>14866.542813582315</v>
      </c>
      <c r="Z74" t="s">
        <v>36</v>
      </c>
      <c r="AA74" s="25">
        <f>SUM(T74:X74)</f>
        <v>91646.32</v>
      </c>
      <c r="AC74" t="s">
        <v>165</v>
      </c>
      <c r="AD74" s="51">
        <v>0.90757575757575704</v>
      </c>
      <c r="AE74" s="51">
        <v>0.94425700537282797</v>
      </c>
      <c r="AI74" s="78"/>
      <c r="BF74">
        <v>0.924654751731663</v>
      </c>
      <c r="BG74" s="1">
        <v>11</v>
      </c>
      <c r="BH74">
        <f t="shared" si="13"/>
        <v>-1.6158934440722883</v>
      </c>
      <c r="BI74">
        <f t="shared" si="14"/>
        <v>-0.11443873308548347</v>
      </c>
      <c r="BJ74">
        <f t="shared" si="11"/>
        <v>-0.10581631832964376</v>
      </c>
    </row>
    <row r="75" spans="1:65" x14ac:dyDescent="0.3">
      <c r="A75" t="s">
        <v>5</v>
      </c>
      <c r="B75" s="13">
        <v>2</v>
      </c>
      <c r="C75" s="5">
        <v>0</v>
      </c>
      <c r="D75" s="1">
        <v>0</v>
      </c>
      <c r="E75" s="27">
        <v>141</v>
      </c>
      <c r="F75" s="1">
        <v>0</v>
      </c>
      <c r="G75" s="6">
        <v>1</v>
      </c>
      <c r="H75" s="1">
        <f>SUM(C75:G75)</f>
        <v>142</v>
      </c>
      <c r="I75" s="10">
        <f>E75/H75</f>
        <v>0.99295774647887325</v>
      </c>
      <c r="J75" s="11">
        <f>1-I75</f>
        <v>7.0422535211267512E-3</v>
      </c>
      <c r="K75">
        <f>H75-E78</f>
        <v>-20</v>
      </c>
      <c r="N75" s="10">
        <f>2*(E79*I75)/(E79+I75)</f>
        <v>0.92763157894736836</v>
      </c>
      <c r="O75" s="1"/>
      <c r="P75" s="1"/>
      <c r="R75" s="66"/>
      <c r="S75" s="66" t="s">
        <v>62</v>
      </c>
      <c r="T75" s="67">
        <f>$AA73*T67/100</f>
        <v>0</v>
      </c>
      <c r="U75" s="67">
        <f>$AA73*U67/100</f>
        <v>101.67069544658672</v>
      </c>
      <c r="V75" s="67">
        <f>$AA73*V67/100</f>
        <v>677.74499152025544</v>
      </c>
      <c r="W75" s="67">
        <f>$AA73*W67/100</f>
        <v>679.79422490628986</v>
      </c>
      <c r="X75" s="67">
        <f>$AA73*X67/100</f>
        <v>837.00120766215286</v>
      </c>
      <c r="AA75" s="1"/>
      <c r="AC75" t="s">
        <v>166</v>
      </c>
      <c r="AD75" s="51">
        <v>0.90151515151515105</v>
      </c>
      <c r="AE75" s="51">
        <v>0.93055031727747795</v>
      </c>
      <c r="BF75">
        <v>0.92494401695941386</v>
      </c>
      <c r="BG75" s="1">
        <v>12</v>
      </c>
      <c r="BH75">
        <f t="shared" si="13"/>
        <v>-1.5713349421078384</v>
      </c>
      <c r="BI75">
        <f t="shared" si="14"/>
        <v>-0.11128306800638772</v>
      </c>
      <c r="BJ75">
        <f t="shared" si="11"/>
        <v>-0.10293060794139589</v>
      </c>
    </row>
    <row r="76" spans="1:65" x14ac:dyDescent="0.3">
      <c r="A76" t="s">
        <v>6</v>
      </c>
      <c r="B76" s="13">
        <v>3</v>
      </c>
      <c r="C76" s="5">
        <v>0</v>
      </c>
      <c r="D76" s="1">
        <v>0</v>
      </c>
      <c r="E76" s="1">
        <v>5</v>
      </c>
      <c r="F76" s="27">
        <v>125</v>
      </c>
      <c r="G76" s="6">
        <v>14</v>
      </c>
      <c r="H76" s="1">
        <f>SUM(C76:G76)</f>
        <v>144</v>
      </c>
      <c r="I76" s="10">
        <f>F76/H76</f>
        <v>0.86805555555555558</v>
      </c>
      <c r="J76" s="11">
        <f>1-I76</f>
        <v>0.13194444444444442</v>
      </c>
      <c r="K76">
        <f>H76-F78</f>
        <v>-1</v>
      </c>
      <c r="N76" s="10">
        <f>2*(F79*I76)/(F79+I76)</f>
        <v>0.86505190311418689</v>
      </c>
      <c r="O76" s="1"/>
      <c r="P76" s="1"/>
      <c r="R76" t="s">
        <v>94</v>
      </c>
      <c r="S76" t="s">
        <v>28</v>
      </c>
      <c r="T76" s="57">
        <f>C205</f>
        <v>1.1236565610428699</v>
      </c>
      <c r="U76" s="57">
        <f t="shared" ref="U76:X79" si="15">D205</f>
        <v>0.49445163374931017</v>
      </c>
      <c r="V76" s="57">
        <f t="shared" si="15"/>
        <v>59.087276917581711</v>
      </c>
      <c r="W76" s="57">
        <f t="shared" si="15"/>
        <v>22.524256224374003</v>
      </c>
      <c r="X76" s="57">
        <f t="shared" si="15"/>
        <v>16.770358663252104</v>
      </c>
      <c r="AC76" t="s">
        <v>167</v>
      </c>
      <c r="AD76" s="51">
        <v>0.90151515151515105</v>
      </c>
      <c r="AE76" s="51">
        <v>0.93655384722931201</v>
      </c>
      <c r="AI76" s="78"/>
      <c r="BF76">
        <v>0.925650060567351</v>
      </c>
      <c r="BG76" s="1">
        <v>13</v>
      </c>
      <c r="BH76">
        <f t="shared" si="13"/>
        <v>-1.5296944238710335</v>
      </c>
      <c r="BI76">
        <f t="shared" si="14"/>
        <v>-0.1083340566284879</v>
      </c>
      <c r="BJ76">
        <f t="shared" si="11"/>
        <v>-0.10027942607966665</v>
      </c>
    </row>
    <row r="77" spans="1:65" x14ac:dyDescent="0.3">
      <c r="A77" t="s">
        <v>7</v>
      </c>
      <c r="B77" s="13">
        <v>4</v>
      </c>
      <c r="C77" s="7">
        <v>0</v>
      </c>
      <c r="D77" s="8">
        <v>0</v>
      </c>
      <c r="E77" s="8">
        <v>8</v>
      </c>
      <c r="F77" s="8">
        <v>20</v>
      </c>
      <c r="G77" s="28">
        <v>216</v>
      </c>
      <c r="H77" s="1">
        <f>SUM(C77:G77)</f>
        <v>244</v>
      </c>
      <c r="I77" s="10">
        <f>G77/H77</f>
        <v>0.88524590163934425</v>
      </c>
      <c r="J77" s="11">
        <f>1-I77</f>
        <v>0.11475409836065575</v>
      </c>
      <c r="K77">
        <f>H77-G78</f>
        <v>13</v>
      </c>
      <c r="N77" s="10">
        <f>2*(G79*I77)/(G79+I77)</f>
        <v>0.90947368421052621</v>
      </c>
      <c r="O77" s="1"/>
      <c r="P77" s="1"/>
      <c r="S77" s="66" t="s">
        <v>39</v>
      </c>
      <c r="T77" s="67">
        <f>C206</f>
        <v>0</v>
      </c>
      <c r="U77" s="67">
        <f t="shared" si="15"/>
        <v>0.13484673931959512</v>
      </c>
      <c r="V77" s="67">
        <f t="shared" si="15"/>
        <v>0.59666625997534883</v>
      </c>
      <c r="W77" s="67">
        <f t="shared" si="15"/>
        <v>0.76134395157652912</v>
      </c>
      <c r="X77" s="67">
        <f t="shared" si="15"/>
        <v>0.81447772303865928</v>
      </c>
      <c r="AC77" t="s">
        <v>168</v>
      </c>
      <c r="AD77" s="51">
        <v>0.91060606060605997</v>
      </c>
      <c r="AE77" s="51">
        <v>0.93470600039764296</v>
      </c>
      <c r="BF77">
        <v>0.92571490574075899</v>
      </c>
      <c r="BG77" s="1">
        <v>14</v>
      </c>
      <c r="BH77">
        <f t="shared" si="13"/>
        <v>-1.4905491617855362</v>
      </c>
      <c r="BI77">
        <f t="shared" si="14"/>
        <v>-0.10556176108152786</v>
      </c>
      <c r="BJ77">
        <f t="shared" si="11"/>
        <v>-9.7720095709415075E-2</v>
      </c>
    </row>
    <row r="78" spans="1:65" ht="15.6" x14ac:dyDescent="0.35">
      <c r="B78" s="1" t="s">
        <v>19</v>
      </c>
      <c r="C78" s="1">
        <f>SUM(C73:C77)</f>
        <v>115</v>
      </c>
      <c r="D78" s="1">
        <f>SUM(D73:D77)</f>
        <v>7</v>
      </c>
      <c r="E78" s="1">
        <f>SUM(E73:E77)</f>
        <v>162</v>
      </c>
      <c r="F78" s="1">
        <f>SUM(F73:F77)</f>
        <v>145</v>
      </c>
      <c r="G78" s="1">
        <f>SUM(G73:G77)</f>
        <v>231</v>
      </c>
      <c r="H78" s="1">
        <f>SUM(H72:H77)</f>
        <v>660</v>
      </c>
      <c r="I78" s="13" t="s">
        <v>12</v>
      </c>
      <c r="N78" s="16" t="s">
        <v>36</v>
      </c>
      <c r="O78" s="1">
        <f>SUM(O73:O77)</f>
        <v>0</v>
      </c>
      <c r="P78" s="1">
        <f>SUM(P73:P77)</f>
        <v>0</v>
      </c>
      <c r="S78" s="70" t="s">
        <v>30</v>
      </c>
      <c r="T78" s="64">
        <f>C207</f>
        <v>100</v>
      </c>
      <c r="U78" s="64">
        <f t="shared" si="15"/>
        <v>87.098343025927022</v>
      </c>
      <c r="V78" s="64">
        <f t="shared" si="15"/>
        <v>96.736608509497373</v>
      </c>
      <c r="W78" s="64">
        <f t="shared" si="15"/>
        <v>94.902099519006171</v>
      </c>
      <c r="X78" s="64">
        <f t="shared" si="15"/>
        <v>82.163836048570545</v>
      </c>
      <c r="AC78" t="s">
        <v>169</v>
      </c>
      <c r="AD78" s="51">
        <v>0.88939393939393896</v>
      </c>
      <c r="AE78" s="51">
        <v>0.92435721358840806</v>
      </c>
      <c r="BF78">
        <v>0.925903348227339</v>
      </c>
      <c r="BG78" s="1">
        <v>15</v>
      </c>
      <c r="BH78">
        <f t="shared" si="13"/>
        <v>-1.4535633083711825</v>
      </c>
      <c r="BI78">
        <f t="shared" si="14"/>
        <v>-0.1029423964059975</v>
      </c>
      <c r="BJ78">
        <f t="shared" si="11"/>
        <v>-9.531470950685908E-2</v>
      </c>
    </row>
    <row r="79" spans="1:65" x14ac:dyDescent="0.3">
      <c r="A79" s="1" t="s">
        <v>316</v>
      </c>
      <c r="B79" s="1" t="s">
        <v>2</v>
      </c>
      <c r="C79" s="10">
        <f>C73/C78</f>
        <v>1</v>
      </c>
      <c r="D79" s="10">
        <f>D74/D78</f>
        <v>1</v>
      </c>
      <c r="E79" s="10">
        <f>E75/E78</f>
        <v>0.87037037037037035</v>
      </c>
      <c r="F79" s="10">
        <f>F76/F78</f>
        <v>0.86206896551724133</v>
      </c>
      <c r="G79" s="10">
        <f>G77/G78</f>
        <v>0.93506493506493504</v>
      </c>
      <c r="H79" s="10"/>
      <c r="I79" s="14">
        <f>(C73+D74+E75+F76+G77)/H78</f>
        <v>0.91515151515151516</v>
      </c>
      <c r="S79" s="66" t="s">
        <v>39</v>
      </c>
      <c r="T79" s="67">
        <f>C208</f>
        <v>0</v>
      </c>
      <c r="U79" s="67">
        <f t="shared" si="15"/>
        <v>34.015786286804996</v>
      </c>
      <c r="V79" s="67">
        <f t="shared" si="15"/>
        <v>0.7568170501396686</v>
      </c>
      <c r="W79" s="67">
        <f t="shared" si="15"/>
        <v>1.9619887318389146</v>
      </c>
      <c r="X79" s="67">
        <f t="shared" si="15"/>
        <v>5.0053692380790711</v>
      </c>
      <c r="AC79" t="s">
        <v>170</v>
      </c>
      <c r="AD79" s="51">
        <v>0.88787878787878705</v>
      </c>
      <c r="AE79" s="51">
        <v>0.93071366340556805</v>
      </c>
      <c r="BF79">
        <v>0.92611669252903694</v>
      </c>
      <c r="BG79" s="1">
        <v>16</v>
      </c>
      <c r="BH79">
        <f t="shared" si="13"/>
        <v>-1.4184654072104084</v>
      </c>
      <c r="BI79">
        <f t="shared" si="14"/>
        <v>-0.10045673786363954</v>
      </c>
      <c r="BJ79">
        <f t="shared" si="11"/>
        <v>-9.3034661812530325E-2</v>
      </c>
    </row>
    <row r="80" spans="1:65" x14ac:dyDescent="0.3">
      <c r="B80" s="1" t="s">
        <v>14</v>
      </c>
      <c r="C80" s="11">
        <f>1-C79</f>
        <v>0</v>
      </c>
      <c r="D80" s="11">
        <f>1-D79</f>
        <v>0</v>
      </c>
      <c r="E80" s="11">
        <f>1-E79</f>
        <v>0.12962962962962965</v>
      </c>
      <c r="F80" s="11">
        <f>1-F79</f>
        <v>0.13793103448275867</v>
      </c>
      <c r="G80" s="11">
        <f>1-G79</f>
        <v>6.4935064935064957E-2</v>
      </c>
      <c r="S80" s="70" t="s">
        <v>31</v>
      </c>
      <c r="T80" s="64">
        <f>I200</f>
        <v>100</v>
      </c>
      <c r="U80" s="64">
        <f>I201</f>
        <v>46.666666666666664</v>
      </c>
      <c r="V80" s="64">
        <f>I202</f>
        <v>99.295774647887328</v>
      </c>
      <c r="W80" s="64">
        <f>I203</f>
        <v>86.111111111111114</v>
      </c>
      <c r="X80" s="64">
        <f>I204</f>
        <v>88.524590163934434</v>
      </c>
      <c r="AC80" t="s">
        <v>171</v>
      </c>
      <c r="AD80" s="51">
        <v>0.91060606060605997</v>
      </c>
      <c r="AE80" s="51">
        <v>0.93841167534660697</v>
      </c>
      <c r="AI80" s="78"/>
      <c r="AJ80" s="348" t="s">
        <v>366</v>
      </c>
      <c r="AK80" s="348"/>
      <c r="AL80" s="348"/>
      <c r="AM80" s="348"/>
      <c r="AN80" s="348"/>
      <c r="AO80" s="348"/>
      <c r="AP80" s="348"/>
      <c r="AQ80" s="348"/>
      <c r="AR80" s="348"/>
      <c r="AS80" s="348"/>
      <c r="AT80" s="348"/>
      <c r="AU80" s="348" t="s">
        <v>351</v>
      </c>
      <c r="AV80" s="348"/>
      <c r="AW80" s="348"/>
      <c r="AX80" s="348"/>
      <c r="AY80" s="348"/>
      <c r="BF80">
        <v>0.926705725107691</v>
      </c>
      <c r="BG80" s="1">
        <v>17</v>
      </c>
      <c r="BH80">
        <f t="shared" si="13"/>
        <v>-1.3850327712601831</v>
      </c>
      <c r="BI80">
        <f t="shared" si="14"/>
        <v>-9.8089014598292334E-2</v>
      </c>
      <c r="BJ80">
        <f t="shared" si="11"/>
        <v>-9.0899651398409387E-2</v>
      </c>
    </row>
    <row r="81" spans="1:62" x14ac:dyDescent="0.3">
      <c r="C81" s="2"/>
      <c r="S81" s="66" t="s">
        <v>39</v>
      </c>
      <c r="T81" s="67">
        <f>J200</f>
        <v>0</v>
      </c>
      <c r="U81" s="67">
        <f>J201</f>
        <v>13.333333333333334</v>
      </c>
      <c r="V81" s="67">
        <f>J202</f>
        <v>0.70422535211267423</v>
      </c>
      <c r="W81" s="67">
        <f>J203</f>
        <v>2.8919802956134912</v>
      </c>
      <c r="X81" s="67">
        <f>J204</f>
        <v>2.0446215228272897</v>
      </c>
      <c r="AC81" t="s">
        <v>172</v>
      </c>
      <c r="AD81" s="51">
        <v>0.90151515151515105</v>
      </c>
      <c r="AE81" s="51">
        <v>0.92611669252903694</v>
      </c>
      <c r="AJ81" t="s">
        <v>315</v>
      </c>
      <c r="AK81" t="s">
        <v>21</v>
      </c>
      <c r="AR81" s="1" t="s">
        <v>53</v>
      </c>
      <c r="BF81">
        <v>0.92683049157837905</v>
      </c>
      <c r="BG81" s="1">
        <v>18</v>
      </c>
      <c r="BH81">
        <f t="shared" si="13"/>
        <v>-1.3530803497322956</v>
      </c>
      <c r="BI81">
        <f t="shared" si="14"/>
        <v>-9.5826121180363974E-2</v>
      </c>
      <c r="BJ81">
        <f t="shared" si="11"/>
        <v>-8.8814570999646056E-2</v>
      </c>
    </row>
    <row r="82" spans="1:62" ht="15.6" x14ac:dyDescent="0.35">
      <c r="A82" t="s">
        <v>317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51</v>
      </c>
      <c r="T82" s="65">
        <f>N189*100</f>
        <v>100</v>
      </c>
      <c r="U82" s="65">
        <f>N190*100</f>
        <v>60.869565217391298</v>
      </c>
      <c r="V82" s="65">
        <f>N191*100</f>
        <v>92.45901639344261</v>
      </c>
      <c r="W82" s="65">
        <f>N192*100</f>
        <v>86.713286713286706</v>
      </c>
      <c r="X82" s="65">
        <f>N193*100</f>
        <v>90.756302521008394</v>
      </c>
      <c r="Z82" s="46"/>
      <c r="AA82" s="46"/>
      <c r="AC82" t="s">
        <v>173</v>
      </c>
      <c r="AD82" s="51">
        <v>0.90909090909090895</v>
      </c>
      <c r="AE82" s="51">
        <v>0.93827343560561804</v>
      </c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51</v>
      </c>
      <c r="BF82">
        <v>0.92685027735543701</v>
      </c>
      <c r="BG82" s="1">
        <v>19</v>
      </c>
      <c r="BH82">
        <f t="shared" si="13"/>
        <v>-1.3224526154698777</v>
      </c>
      <c r="BI82">
        <f t="shared" si="14"/>
        <v>-9.3657043065016932E-2</v>
      </c>
      <c r="BJ82">
        <f t="shared" si="11"/>
        <v>-8.6806056341101057E-2</v>
      </c>
    </row>
    <row r="83" spans="1:62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61</v>
      </c>
      <c r="S83" t="s">
        <v>9</v>
      </c>
      <c r="T83" s="30">
        <f>N200</f>
        <v>1029.79</v>
      </c>
      <c r="U83" s="30">
        <f>N201</f>
        <v>845.75</v>
      </c>
      <c r="V83" s="30">
        <f>N202</f>
        <v>52755.67</v>
      </c>
      <c r="W83" s="30">
        <f>N203</f>
        <v>22750.04</v>
      </c>
      <c r="X83" s="30">
        <f>N204</f>
        <v>14265.08</v>
      </c>
      <c r="Z83" t="s">
        <v>36</v>
      </c>
      <c r="AA83" s="1">
        <f>N205</f>
        <v>91646.33</v>
      </c>
      <c r="AC83" t="s">
        <v>174</v>
      </c>
      <c r="AD83" s="51">
        <v>0.88030303030303003</v>
      </c>
      <c r="AE83" s="51">
        <v>0.92255261354570905</v>
      </c>
      <c r="AJ83" t="s">
        <v>3</v>
      </c>
      <c r="AK83" s="13">
        <v>0</v>
      </c>
      <c r="AL83" s="26">
        <v>115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115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  <c r="BF83">
        <v>0.92693171907008098</v>
      </c>
      <c r="BG83" s="1">
        <v>20</v>
      </c>
      <c r="BH83">
        <f t="shared" si="13"/>
        <v>-1.2930175370911461</v>
      </c>
      <c r="BI83">
        <f t="shared" si="14"/>
        <v>-9.1572429695063032E-2</v>
      </c>
      <c r="BJ83">
        <f t="shared" si="11"/>
        <v>-8.4881389676668903E-2</v>
      </c>
    </row>
    <row r="84" spans="1:62" ht="15.6" x14ac:dyDescent="0.35">
      <c r="A84" t="s">
        <v>3</v>
      </c>
      <c r="B84" s="13">
        <v>0</v>
      </c>
      <c r="C84" s="29">
        <f>(C73/$L84)*$O84</f>
        <v>1.0965416938226973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1.0965416938226973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115</v>
      </c>
      <c r="M84">
        <v>0</v>
      </c>
      <c r="N84" s="1">
        <v>1004.94</v>
      </c>
      <c r="O84" s="17">
        <f>N84/N89*100</f>
        <v>1.0965416938226973</v>
      </c>
      <c r="P84" s="52">
        <f>((O84*O84*(I84/100)*(K84/100))/(L84-1))</f>
        <v>0</v>
      </c>
      <c r="R84" s="16" t="s">
        <v>318</v>
      </c>
      <c r="S84" t="s">
        <v>63</v>
      </c>
      <c r="T84" s="57">
        <f>$AA83*T76/100</f>
        <v>1029.79</v>
      </c>
      <c r="U84" s="57">
        <f>$AA83*U76/100</f>
        <v>453.14677595628416</v>
      </c>
      <c r="V84" s="57">
        <f>$AA83*V76/100</f>
        <v>54151.320791900762</v>
      </c>
      <c r="W84" s="57">
        <f>$AA83*W76/100</f>
        <v>20642.65418943534</v>
      </c>
      <c r="X84" s="57">
        <f>$AA83*X76/100</f>
        <v>15369.41824270761</v>
      </c>
      <c r="Z84" t="s">
        <v>36</v>
      </c>
      <c r="AA84" s="25">
        <f>SUM(T84:X84)</f>
        <v>91646.33</v>
      </c>
      <c r="AC84" t="s">
        <v>175</v>
      </c>
      <c r="AD84" s="51">
        <v>0.89393939393939303</v>
      </c>
      <c r="AE84" s="51">
        <v>0.92701655764697699</v>
      </c>
      <c r="AI84" s="78"/>
      <c r="AJ84" t="s">
        <v>4</v>
      </c>
      <c r="AK84" s="13">
        <v>1</v>
      </c>
      <c r="AL84" s="5">
        <v>0</v>
      </c>
      <c r="AM84" s="27">
        <v>6</v>
      </c>
      <c r="AN84" s="1">
        <v>9</v>
      </c>
      <c r="AO84" s="1">
        <v>0</v>
      </c>
      <c r="AP84" s="6">
        <v>0</v>
      </c>
      <c r="AQ84" s="1">
        <f>SUM(AL84:AP84)</f>
        <v>15</v>
      </c>
      <c r="AR84" s="10">
        <f>AM84/AQ84</f>
        <v>0.4</v>
      </c>
      <c r="AS84" s="11">
        <f>1-AR84</f>
        <v>0.6</v>
      </c>
      <c r="AT84">
        <f>AQ84-AM88</f>
        <v>9</v>
      </c>
      <c r="AW84" s="10">
        <f>2*(AM89*AR84)/(AM89+AR84)</f>
        <v>0.57142857142857151</v>
      </c>
      <c r="BF84">
        <v>0.92701655764697699</v>
      </c>
      <c r="BG84" s="1">
        <v>21</v>
      </c>
      <c r="BH84">
        <f t="shared" si="13"/>
        <v>-1.2646620224523379</v>
      </c>
      <c r="BI84">
        <f t="shared" si="14"/>
        <v>-8.9564271803739284E-2</v>
      </c>
      <c r="BJ84">
        <f t="shared" si="11"/>
        <v>-8.302756293566059E-2</v>
      </c>
    </row>
    <row r="85" spans="1:62" x14ac:dyDescent="0.3">
      <c r="A85" t="s">
        <v>4</v>
      </c>
      <c r="B85" s="13">
        <v>1</v>
      </c>
      <c r="C85" s="33">
        <f t="shared" ref="C85:G88" si="16">(C74/$L85)*$O85</f>
        <v>0</v>
      </c>
      <c r="D85" s="34">
        <f t="shared" si="16"/>
        <v>0.45229025951326718</v>
      </c>
      <c r="E85" s="19">
        <f t="shared" si="16"/>
        <v>0.51690315372944817</v>
      </c>
      <c r="F85" s="18">
        <f t="shared" si="16"/>
        <v>0</v>
      </c>
      <c r="G85" s="20">
        <f t="shared" si="16"/>
        <v>0</v>
      </c>
      <c r="H85" s="17">
        <f>SUM(C85:G85)</f>
        <v>0.96919341324271535</v>
      </c>
      <c r="I85" s="17">
        <f>D85/H85*100</f>
        <v>46.666666666666664</v>
      </c>
      <c r="J85" s="17">
        <f>SQRT(I85*(100-I85)/(L85-1))</f>
        <v>13.333333333333334</v>
      </c>
      <c r="K85" s="18">
        <f>100-I85</f>
        <v>53.333333333333336</v>
      </c>
      <c r="L85" s="1">
        <f>H74</f>
        <v>15</v>
      </c>
      <c r="M85">
        <v>1</v>
      </c>
      <c r="N85" s="1">
        <v>888.23</v>
      </c>
      <c r="O85" s="17">
        <f>N85/N89*100</f>
        <v>0.96919341324271535</v>
      </c>
      <c r="P85" s="52">
        <f>((O85*O85*(I85/100)*(K85/100))/(L85-1))</f>
        <v>1.6699304395965595E-2</v>
      </c>
      <c r="R85" s="66"/>
      <c r="S85" s="66" t="s">
        <v>62</v>
      </c>
      <c r="T85" s="67">
        <f>$AA83*T77/100</f>
        <v>0</v>
      </c>
      <c r="U85" s="67">
        <f>$AA83*U77/100</f>
        <v>123.58208771107591</v>
      </c>
      <c r="V85" s="67">
        <f>$AA83*V77/100</f>
        <v>546.82272961566605</v>
      </c>
      <c r="W85" s="67">
        <f>$AA83*W77/100</f>
        <v>697.74379029686611</v>
      </c>
      <c r="X85" s="67">
        <f>$AA83*X77/100</f>
        <v>746.43894183249574</v>
      </c>
      <c r="AA85" s="1"/>
      <c r="AC85" t="s">
        <v>176</v>
      </c>
      <c r="AD85" s="51">
        <v>0.90606060606060601</v>
      </c>
      <c r="AE85" s="51">
        <v>0.93531289786377303</v>
      </c>
      <c r="AJ85" t="s">
        <v>5</v>
      </c>
      <c r="AK85" s="13">
        <v>2</v>
      </c>
      <c r="AL85" s="5">
        <v>0</v>
      </c>
      <c r="AM85" s="1">
        <v>0</v>
      </c>
      <c r="AN85" s="27">
        <v>140</v>
      </c>
      <c r="AO85" s="1">
        <v>0</v>
      </c>
      <c r="AP85" s="6">
        <v>2</v>
      </c>
      <c r="AQ85" s="1">
        <f>SUM(AL85:AP85)</f>
        <v>142</v>
      </c>
      <c r="AR85" s="10">
        <f>AN85/AQ85</f>
        <v>0.9859154929577465</v>
      </c>
      <c r="AS85" s="11">
        <f>1-AR85</f>
        <v>1.4084507042253502E-2</v>
      </c>
      <c r="AT85">
        <f>AQ85-AN88</f>
        <v>-23</v>
      </c>
      <c r="AW85" s="10">
        <f>2*(AN89*AR85)/(AN89+AR85)</f>
        <v>0.91205211726384361</v>
      </c>
      <c r="BF85">
        <v>0.92725911530084504</v>
      </c>
      <c r="BG85" s="1">
        <v>22</v>
      </c>
      <c r="BH85">
        <f t="shared" si="13"/>
        <v>-1.2372884211694735</v>
      </c>
      <c r="BI85">
        <f t="shared" si="14"/>
        <v>-8.7625653720789717E-2</v>
      </c>
      <c r="BJ85">
        <f t="shared" si="11"/>
        <v>-8.1251686146797675E-2</v>
      </c>
    </row>
    <row r="86" spans="1:62" x14ac:dyDescent="0.3">
      <c r="A86" t="s">
        <v>5</v>
      </c>
      <c r="B86" s="13">
        <v>2</v>
      </c>
      <c r="C86" s="33">
        <f t="shared" si="16"/>
        <v>0</v>
      </c>
      <c r="D86" s="19">
        <f t="shared" si="16"/>
        <v>0</v>
      </c>
      <c r="E86" s="34">
        <f t="shared" si="16"/>
        <v>57.308450357054788</v>
      </c>
      <c r="F86" s="19">
        <f t="shared" si="16"/>
        <v>0</v>
      </c>
      <c r="G86" s="20">
        <f t="shared" si="16"/>
        <v>0.40644291033372193</v>
      </c>
      <c r="H86" s="17">
        <f>SUM(C86:G86)</f>
        <v>57.714893267388511</v>
      </c>
      <c r="I86" s="17">
        <f>E86/H86*100</f>
        <v>99.295774647887328</v>
      </c>
      <c r="J86" s="17">
        <f>SQRT(I86*(100-I86)/(L86-1))</f>
        <v>0.70422535211267423</v>
      </c>
      <c r="K86" s="18">
        <f>100-I86</f>
        <v>0.70422535211267245</v>
      </c>
      <c r="L86" s="1">
        <f>H75</f>
        <v>142</v>
      </c>
      <c r="M86">
        <v>2</v>
      </c>
      <c r="N86" s="1">
        <v>52893.57</v>
      </c>
      <c r="O86" s="17">
        <f>N86/N89*100</f>
        <v>57.714893267388511</v>
      </c>
      <c r="P86" s="52">
        <f>((O86*O86*(I86/100)*(K86/100))/(L86-1))</f>
        <v>0.16519583936054505</v>
      </c>
      <c r="R86" t="s">
        <v>95</v>
      </c>
      <c r="S86" s="70" t="s">
        <v>28</v>
      </c>
      <c r="T86" s="64">
        <f>C234</f>
        <v>1.0549031259625998</v>
      </c>
      <c r="U86" s="64">
        <f t="shared" ref="U86:X89" si="17">D234</f>
        <v>0.30434024653978686</v>
      </c>
      <c r="V86" s="64">
        <f t="shared" si="17"/>
        <v>59.26007840275026</v>
      </c>
      <c r="W86" s="64">
        <f t="shared" si="17"/>
        <v>23.472051730597581</v>
      </c>
      <c r="X86" s="64">
        <f t="shared" si="17"/>
        <v>15.908626494149768</v>
      </c>
      <c r="AA86" s="12"/>
      <c r="AC86" t="s">
        <v>177</v>
      </c>
      <c r="AD86" s="51">
        <v>0.90151515151515105</v>
      </c>
      <c r="AE86" s="51">
        <v>0.93537220505921204</v>
      </c>
      <c r="AI86" s="78"/>
      <c r="AJ86" t="s">
        <v>6</v>
      </c>
      <c r="AK86" s="13">
        <v>3</v>
      </c>
      <c r="AL86" s="5">
        <v>0</v>
      </c>
      <c r="AM86" s="1">
        <v>0</v>
      </c>
      <c r="AN86" s="1">
        <v>5</v>
      </c>
      <c r="AO86" s="27">
        <v>126</v>
      </c>
      <c r="AP86" s="6">
        <v>13</v>
      </c>
      <c r="AQ86" s="1">
        <f>SUM(AL86:AP86)</f>
        <v>144</v>
      </c>
      <c r="AR86" s="10">
        <f>AO86/AQ86</f>
        <v>0.875</v>
      </c>
      <c r="AS86" s="11">
        <f>1-AR86</f>
        <v>0.125</v>
      </c>
      <c r="AT86">
        <f>AQ86-AO88</f>
        <v>-3</v>
      </c>
      <c r="AW86" s="10">
        <f>2*(AO89*AR86)/(AO89+AR86)</f>
        <v>0.86597938144329889</v>
      </c>
      <c r="BF86">
        <v>0.92754238601872097</v>
      </c>
      <c r="BG86" s="1">
        <v>23</v>
      </c>
      <c r="BH86">
        <f t="shared" si="13"/>
        <v>-1.210811802980156</v>
      </c>
      <c r="BI86">
        <f t="shared" si="14"/>
        <v>-8.5750560624095404E-2</v>
      </c>
      <c r="BJ86">
        <f t="shared" si="11"/>
        <v>-7.9537279603716426E-2</v>
      </c>
    </row>
    <row r="87" spans="1:62" x14ac:dyDescent="0.3">
      <c r="A87" t="s">
        <v>6</v>
      </c>
      <c r="B87" s="13">
        <v>3</v>
      </c>
      <c r="C87" s="33">
        <f t="shared" si="16"/>
        <v>0</v>
      </c>
      <c r="D87" s="19">
        <f t="shared" si="16"/>
        <v>0</v>
      </c>
      <c r="E87" s="19">
        <f t="shared" si="16"/>
        <v>0.85253591588502953</v>
      </c>
      <c r="F87" s="34">
        <f t="shared" si="16"/>
        <v>21.313397897125739</v>
      </c>
      <c r="G87" s="20">
        <f t="shared" si="16"/>
        <v>2.3871005644780827</v>
      </c>
      <c r="H87" s="17">
        <f>SUM(C87:G87)</f>
        <v>24.553034377488849</v>
      </c>
      <c r="I87" s="17">
        <f>F87/H87*100</f>
        <v>86.805555555555557</v>
      </c>
      <c r="J87" s="17">
        <f>SQRT(I87*(100-I87)/(L87-1))</f>
        <v>2.830096838204442</v>
      </c>
      <c r="K87" s="18">
        <f>100-I87</f>
        <v>13.194444444444443</v>
      </c>
      <c r="L87" s="1">
        <f>H76</f>
        <v>144</v>
      </c>
      <c r="M87">
        <v>3</v>
      </c>
      <c r="N87" s="1">
        <v>22501.95</v>
      </c>
      <c r="O87" s="17">
        <f>N87/N89*100</f>
        <v>24.553034377488849</v>
      </c>
      <c r="P87" s="52">
        <f>((O87*O87*(I87/100)*(K87/100))/(L87-1))</f>
        <v>0.48285077865750331</v>
      </c>
      <c r="S87" s="66" t="s">
        <v>39</v>
      </c>
      <c r="T87" s="67">
        <f>C235</f>
        <v>0</v>
      </c>
      <c r="U87" s="67">
        <f t="shared" si="17"/>
        <v>0.11112934545768324</v>
      </c>
      <c r="V87" s="67">
        <f t="shared" si="17"/>
        <v>0.7250142514145731</v>
      </c>
      <c r="W87" s="67">
        <f t="shared" si="17"/>
        <v>0.73001277205975346</v>
      </c>
      <c r="X87" s="67">
        <f t="shared" si="17"/>
        <v>0.87960870503406563</v>
      </c>
      <c r="AC87" t="s">
        <v>178</v>
      </c>
      <c r="AD87" s="51">
        <v>0.90909090909090895</v>
      </c>
      <c r="AE87" s="51">
        <v>0.93730579371661205</v>
      </c>
      <c r="AJ87" t="s">
        <v>7</v>
      </c>
      <c r="AK87" s="13">
        <v>4</v>
      </c>
      <c r="AL87" s="7">
        <v>0</v>
      </c>
      <c r="AM87" s="8">
        <v>0</v>
      </c>
      <c r="AN87" s="8">
        <v>11</v>
      </c>
      <c r="AO87" s="8">
        <v>21</v>
      </c>
      <c r="AP87" s="28">
        <v>212</v>
      </c>
      <c r="AQ87" s="1">
        <f>SUM(AL87:AP87)</f>
        <v>244</v>
      </c>
      <c r="AR87" s="10">
        <f>AP87/AQ87</f>
        <v>0.86885245901639341</v>
      </c>
      <c r="AS87" s="11">
        <f>1-AR87</f>
        <v>0.13114754098360659</v>
      </c>
      <c r="AT87">
        <f>AQ87-AP88</f>
        <v>17</v>
      </c>
      <c r="AW87" s="10">
        <f>2*(AP89*AR87)/(AP89+AR87)</f>
        <v>0.9002123142250531</v>
      </c>
      <c r="BF87">
        <v>0.92754592968001504</v>
      </c>
      <c r="BG87" s="1">
        <v>24</v>
      </c>
      <c r="BH87">
        <f t="shared" si="13"/>
        <v>-1.1851578135117355</v>
      </c>
      <c r="BI87">
        <f t="shared" si="14"/>
        <v>-8.393372668363723E-2</v>
      </c>
      <c r="BJ87">
        <f t="shared" si="11"/>
        <v>-7.7852386548282582E-2</v>
      </c>
    </row>
    <row r="88" spans="1:62" ht="15.6" x14ac:dyDescent="0.35">
      <c r="A88" t="s">
        <v>7</v>
      </c>
      <c r="B88" s="13">
        <v>4</v>
      </c>
      <c r="C88" s="35">
        <f t="shared" si="16"/>
        <v>0</v>
      </c>
      <c r="D88" s="36">
        <f t="shared" si="16"/>
        <v>0</v>
      </c>
      <c r="E88" s="21">
        <f t="shared" si="16"/>
        <v>0.51365040157564701</v>
      </c>
      <c r="F88" s="21">
        <f t="shared" si="16"/>
        <v>1.2841260039391174</v>
      </c>
      <c r="G88" s="37">
        <f t="shared" si="16"/>
        <v>13.868560842542468</v>
      </c>
      <c r="H88" s="17">
        <f>SUM(C88:G88)</f>
        <v>15.666337248057232</v>
      </c>
      <c r="I88" s="17">
        <f>G88/H88*100</f>
        <v>88.52459016393442</v>
      </c>
      <c r="J88" s="17">
        <f>SQRT(I88*(100-I88)/(L88-1))</f>
        <v>2.0446215228272906</v>
      </c>
      <c r="K88" s="18">
        <f>100-I88</f>
        <v>11.47540983606558</v>
      </c>
      <c r="L88" s="1">
        <f>H77</f>
        <v>244</v>
      </c>
      <c r="M88">
        <v>4</v>
      </c>
      <c r="N88" s="1">
        <v>14357.62</v>
      </c>
      <c r="O88" s="17">
        <f>N88/N89*100</f>
        <v>15.666337248057232</v>
      </c>
      <c r="P88" s="52">
        <f>((O88*O88*(I88/100)*(K88/100))/(L88-1))</f>
        <v>0.10260317473732027</v>
      </c>
      <c r="S88" t="s">
        <v>30</v>
      </c>
      <c r="T88" s="57">
        <f>C236</f>
        <v>100</v>
      </c>
      <c r="U88" s="57">
        <f t="shared" si="17"/>
        <v>100</v>
      </c>
      <c r="V88" s="57">
        <f t="shared" si="17"/>
        <v>96.356739546553115</v>
      </c>
      <c r="W88" s="57">
        <f t="shared" si="17"/>
        <v>93.632025421379808</v>
      </c>
      <c r="X88" s="57">
        <f t="shared" si="17"/>
        <v>81.8191066959414</v>
      </c>
      <c r="AC88" t="s">
        <v>179</v>
      </c>
      <c r="AD88" s="51">
        <v>0.90606060606060601</v>
      </c>
      <c r="AE88" s="51">
        <v>0.93840146284590298</v>
      </c>
      <c r="AI88" s="78"/>
      <c r="AK88" s="1" t="s">
        <v>19</v>
      </c>
      <c r="AL88" s="1">
        <f>SUM(AL83:AL87)</f>
        <v>115</v>
      </c>
      <c r="AM88" s="1">
        <f>SUM(AM83:AM87)</f>
        <v>6</v>
      </c>
      <c r="AN88" s="1">
        <f>SUM(AN83:AN87)</f>
        <v>165</v>
      </c>
      <c r="AO88" s="1">
        <f>SUM(AO83:AO87)</f>
        <v>147</v>
      </c>
      <c r="AP88" s="1">
        <f>SUM(AP83:AP87)</f>
        <v>227</v>
      </c>
      <c r="AQ88" s="1">
        <f>SUM(AQ82:AQ87)</f>
        <v>660</v>
      </c>
      <c r="AR88" s="13" t="s">
        <v>12</v>
      </c>
      <c r="BF88">
        <v>0.92758119488808599</v>
      </c>
      <c r="BG88" s="1">
        <v>25</v>
      </c>
      <c r="BH88">
        <f t="shared" si="13"/>
        <v>-1.1602609659441347</v>
      </c>
      <c r="BI88">
        <f t="shared" si="14"/>
        <v>-8.217051407583166E-2</v>
      </c>
      <c r="BJ88">
        <f t="shared" si="11"/>
        <v>-7.6219823631028222E-2</v>
      </c>
    </row>
    <row r="89" spans="1:62" x14ac:dyDescent="0.3">
      <c r="B89" t="s">
        <v>28</v>
      </c>
      <c r="C89" s="17">
        <f>SUM(C84:C88)</f>
        <v>1.0965416938226973</v>
      </c>
      <c r="D89" s="17">
        <f>SUM(D84:D88)</f>
        <v>0.45229025951326718</v>
      </c>
      <c r="E89" s="17">
        <f>SUM(E84:E88)</f>
        <v>59.191539828244913</v>
      </c>
      <c r="F89" s="17">
        <f>SUM(F84:F88)</f>
        <v>22.597523901064857</v>
      </c>
      <c r="G89" s="17">
        <f>SUM(G84:G88)</f>
        <v>16.662104317354274</v>
      </c>
      <c r="H89" s="1">
        <f>SUM(H83:H88)</f>
        <v>100</v>
      </c>
      <c r="I89" s="13" t="s">
        <v>24</v>
      </c>
      <c r="J89" s="12" t="s">
        <v>29</v>
      </c>
      <c r="N89" s="1">
        <f>SUM(N84:N88)</f>
        <v>91646.31</v>
      </c>
      <c r="O89" s="17">
        <f>SUM(O84:O88)</f>
        <v>100</v>
      </c>
      <c r="S89" s="66" t="s">
        <v>39</v>
      </c>
      <c r="T89" s="67">
        <f>C237</f>
        <v>0</v>
      </c>
      <c r="U89" s="67">
        <f t="shared" si="17"/>
        <v>0</v>
      </c>
      <c r="V89" s="67">
        <f t="shared" si="17"/>
        <v>0.80796113157711558</v>
      </c>
      <c r="W89" s="67">
        <f t="shared" si="17"/>
        <v>2.160766595238258</v>
      </c>
      <c r="X89" s="67">
        <f t="shared" si="17"/>
        <v>5.723787871928665</v>
      </c>
      <c r="AC89" t="s">
        <v>180</v>
      </c>
      <c r="AD89" s="51">
        <v>0.90303030303030296</v>
      </c>
      <c r="AE89" s="51">
        <v>0.93178790700227199</v>
      </c>
      <c r="AJ89" s="1" t="s">
        <v>316</v>
      </c>
      <c r="AK89" s="1" t="s">
        <v>2</v>
      </c>
      <c r="AL89" s="10">
        <f>AL83/AL88</f>
        <v>1</v>
      </c>
      <c r="AM89" s="10">
        <f>AM84/AM88</f>
        <v>1</v>
      </c>
      <c r="AN89" s="10">
        <f>AN85/AN88</f>
        <v>0.84848484848484851</v>
      </c>
      <c r="AO89" s="10">
        <f>AO86/AO88</f>
        <v>0.8571428571428571</v>
      </c>
      <c r="AP89" s="10">
        <f>AP87/AP88</f>
        <v>0.93392070484581502</v>
      </c>
      <c r="AQ89" s="10"/>
      <c r="AR89" s="14">
        <f>(AL83+AM84+AN85+AO86+AP87)/AQ88</f>
        <v>0.90757575757575759</v>
      </c>
      <c r="BF89">
        <v>0.92787685258418096</v>
      </c>
      <c r="BG89" s="1">
        <v>26</v>
      </c>
      <c r="BH89">
        <f t="shared" si="13"/>
        <v>-1.1360632660214303</v>
      </c>
      <c r="BI89">
        <f t="shared" si="14"/>
        <v>-8.0456815605864276E-2</v>
      </c>
      <c r="BJ89">
        <f t="shared" si="11"/>
        <v>-7.4654016833315157E-2</v>
      </c>
    </row>
    <row r="90" spans="1:62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0.12484397236644851</v>
      </c>
      <c r="E90" s="18">
        <f>SQRT(SUM((O84*O84*(E84/O84)*(1-E84/O84))/L84,(O85*O85*(E85/O85)*(1-E85/O85))/L85,(O86*O86*(E86/O86)*(1-E86/O86))/L86,(O87*O87*(E87/O87)*(1-E87/O87))/L87,(O88*O88*(E88/O88)*(1-E88/O88))/L88))</f>
        <v>0.59315508386069948</v>
      </c>
      <c r="F90" s="18">
        <f>SQRT(SUM((O84*O84*(F84/O84)*(1-F84/O84))/L84,(O85*O85*(F85/O85)*(1-F85/O85))/L85,(O86*O86*(F86/O86)*(1-F86/O86))/L86,(O87*O87*(F87/O87)*(1-F87/O87))/L87,(O88*O88*(F88/O88)*(1-F88/O88))/L88))</f>
        <v>0.74510973343505449</v>
      </c>
      <c r="G90" s="18">
        <f>SQRT(SUM((O84*O84*(G84/O84)*(1-G84/O84))/L84,(O85*O85*(G85/O85)*(1-G85/O85))/L85,(O86*O86*(G86/O86)*(1-G86/O86))/L86,(O87*O87*(G87/O87)*(1-G87/O87))/L87,(O88*O88*(G88/O88)*(1-G88/O88))/L88))</f>
        <v>0.79602875398540263</v>
      </c>
      <c r="H90" s="1"/>
      <c r="I90" s="14">
        <f>(C84+D85+E86+F87+G88)/H89</f>
        <v>0.94039241050058953</v>
      </c>
      <c r="J90" s="53">
        <f>SQRT(SUM(P84:P88))/100</f>
        <v>8.7598464435818413E-3</v>
      </c>
      <c r="M90" s="1"/>
      <c r="N90" s="9"/>
      <c r="S90" t="s">
        <v>31</v>
      </c>
      <c r="T90" s="57">
        <f>I229</f>
        <v>100</v>
      </c>
      <c r="U90" s="57">
        <f>I230</f>
        <v>33.333333333333329</v>
      </c>
      <c r="V90" s="57">
        <f>I231</f>
        <v>98.591549295774655</v>
      </c>
      <c r="W90" s="57">
        <f>I232</f>
        <v>88.194444444444457</v>
      </c>
      <c r="X90" s="57">
        <f>I233</f>
        <v>85.655737704918039</v>
      </c>
      <c r="AC90" t="s">
        <v>181</v>
      </c>
      <c r="AD90" s="51">
        <v>0.91363636363636302</v>
      </c>
      <c r="AE90" s="51">
        <v>0.94055108914757302</v>
      </c>
      <c r="AI90" s="78"/>
      <c r="AK90" s="1" t="s">
        <v>14</v>
      </c>
      <c r="AL90" s="11">
        <f>1-AL89</f>
        <v>0</v>
      </c>
      <c r="AM90" s="11">
        <f>1-AM89</f>
        <v>0</v>
      </c>
      <c r="AN90" s="11">
        <f>1-AN89</f>
        <v>0.15151515151515149</v>
      </c>
      <c r="AO90" s="11">
        <f>1-AO89</f>
        <v>0.1428571428571429</v>
      </c>
      <c r="AP90" s="11">
        <f>1-AP89</f>
        <v>6.607929515418498E-2</v>
      </c>
      <c r="BF90">
        <v>0.92790836191912096</v>
      </c>
      <c r="BG90" s="1">
        <v>27</v>
      </c>
      <c r="BH90">
        <f t="shared" si="13"/>
        <v>-1.1125130950141264</v>
      </c>
      <c r="BI90">
        <f t="shared" si="14"/>
        <v>-7.8788975598276648E-2</v>
      </c>
      <c r="BJ90">
        <f t="shared" si="11"/>
        <v>-7.3108949284682478E-2</v>
      </c>
    </row>
    <row r="91" spans="1:62" x14ac:dyDescent="0.3">
      <c r="B91" s="1" t="s">
        <v>30</v>
      </c>
      <c r="C91" s="17">
        <f>C84/C89*100</f>
        <v>100</v>
      </c>
      <c r="D91" s="17">
        <f>D85/D89*100</f>
        <v>100</v>
      </c>
      <c r="E91" s="17">
        <f>E86/E89*100</f>
        <v>96.818650981788522</v>
      </c>
      <c r="F91" s="17">
        <f>F87/F89*100</f>
        <v>94.317403935222274</v>
      </c>
      <c r="G91" s="17">
        <f>G88/G89*100</f>
        <v>83.23414965118053</v>
      </c>
      <c r="H91" s="1"/>
      <c r="S91" s="66" t="s">
        <v>39</v>
      </c>
      <c r="T91" s="67">
        <f>J229</f>
        <v>0</v>
      </c>
      <c r="U91" s="67">
        <f>J230</f>
        <v>12.598815766974241</v>
      </c>
      <c r="V91" s="67">
        <f>J231</f>
        <v>0.99238711073976715</v>
      </c>
      <c r="W91" s="67">
        <f>J232</f>
        <v>2.6983346503309305</v>
      </c>
      <c r="X91" s="67">
        <f>J233</f>
        <v>2.2486103332811194</v>
      </c>
      <c r="AC91" t="s">
        <v>182</v>
      </c>
      <c r="AD91" s="51">
        <v>0.88939393939393896</v>
      </c>
      <c r="AE91" s="51">
        <v>0.92413260384029705</v>
      </c>
      <c r="AL91" s="2"/>
      <c r="BF91">
        <v>0.92794936067451805</v>
      </c>
      <c r="BG91" s="1">
        <v>28</v>
      </c>
      <c r="BH91">
        <f t="shared" si="13"/>
        <v>-1.0895642944538471</v>
      </c>
      <c r="BI91">
        <f t="shared" si="14"/>
        <v>-7.7163725077220427E-2</v>
      </c>
      <c r="BJ91">
        <f t="shared" si="11"/>
        <v>-7.1604029352670975E-2</v>
      </c>
    </row>
    <row r="92" spans="1:62" ht="15.6" x14ac:dyDescent="0.35">
      <c r="B92" s="16" t="s">
        <v>39</v>
      </c>
      <c r="C92" s="18">
        <f>SQRT((C95+C96)/(C89*C89))</f>
        <v>0</v>
      </c>
      <c r="D92" s="18">
        <f>SQRT((D95+D96)/(D89*D89))</f>
        <v>0</v>
      </c>
      <c r="E92" s="18">
        <f>SQRT((E95+E96)/(E89*E89))</f>
        <v>0.74574005561010825</v>
      </c>
      <c r="F92" s="18">
        <f>SQRT((F95+F96)/(F89*F89))</f>
        <v>2.0922262813334842</v>
      </c>
      <c r="G92" s="18">
        <f>SQRT((G95+G96)/(G89*G89))</f>
        <v>4.8728088506391325</v>
      </c>
      <c r="H92" s="1"/>
      <c r="I92" s="14"/>
      <c r="S92" s="66" t="s">
        <v>51</v>
      </c>
      <c r="T92" s="67">
        <f>N218*100</f>
        <v>100</v>
      </c>
      <c r="U92" s="67">
        <f>N219*100</f>
        <v>50</v>
      </c>
      <c r="V92" s="67">
        <f>N220*100</f>
        <v>90.909090909090921</v>
      </c>
      <c r="W92" s="67">
        <f>N221*100</f>
        <v>86.101694915254228</v>
      </c>
      <c r="X92" s="67">
        <f>N222*100</f>
        <v>89.507494646680954</v>
      </c>
      <c r="AC92" t="s">
        <v>183</v>
      </c>
      <c r="AD92" s="51">
        <v>0.912121212121212</v>
      </c>
      <c r="AE92" s="51">
        <v>0.93650405149982696</v>
      </c>
      <c r="AI92" s="78"/>
      <c r="AJ92" t="s">
        <v>317</v>
      </c>
      <c r="AK92" s="15" t="s">
        <v>23</v>
      </c>
      <c r="AW92" s="12" t="s">
        <v>17</v>
      </c>
      <c r="AX92" s="1" t="s">
        <v>27</v>
      </c>
      <c r="AY92" s="1" t="s">
        <v>33</v>
      </c>
      <c r="BF92">
        <v>0.92795317719540105</v>
      </c>
      <c r="BG92" s="1">
        <v>29</v>
      </c>
      <c r="BH92">
        <f t="shared" si="13"/>
        <v>-1.0671754102700386</v>
      </c>
      <c r="BI92">
        <f t="shared" si="14"/>
        <v>-7.5578128235676445E-2</v>
      </c>
      <c r="BJ92">
        <f t="shared" si="11"/>
        <v>-7.0132964222777414E-2</v>
      </c>
    </row>
    <row r="93" spans="1:62" ht="15.6" x14ac:dyDescent="0.35">
      <c r="B93" s="1" t="s">
        <v>37</v>
      </c>
      <c r="C93" s="18">
        <f>100-C91</f>
        <v>0</v>
      </c>
      <c r="D93" s="18">
        <f>100-D91</f>
        <v>0</v>
      </c>
      <c r="E93" s="18">
        <f>100-E91</f>
        <v>3.1813490182114776</v>
      </c>
      <c r="F93" s="18">
        <f>100-F91</f>
        <v>5.6825960647777265</v>
      </c>
      <c r="G93" s="18">
        <f>100-G91</f>
        <v>16.76585034881947</v>
      </c>
      <c r="R93" s="16" t="s">
        <v>61</v>
      </c>
      <c r="S93" t="s">
        <v>9</v>
      </c>
      <c r="T93" s="30">
        <f>N229</f>
        <v>966.78</v>
      </c>
      <c r="U93" s="30">
        <f>N230</f>
        <v>836.75</v>
      </c>
      <c r="V93" s="30">
        <f>N231</f>
        <v>53078.63</v>
      </c>
      <c r="W93" s="30">
        <f>N232</f>
        <v>22837.54</v>
      </c>
      <c r="X93" s="30">
        <f>N233</f>
        <v>13926.63</v>
      </c>
      <c r="Z93" t="s">
        <v>36</v>
      </c>
      <c r="AA93" s="1">
        <f>N234</f>
        <v>91646.33</v>
      </c>
      <c r="AC93" t="s">
        <v>184</v>
      </c>
      <c r="AD93" s="51">
        <v>0.90909090909090895</v>
      </c>
      <c r="AE93" s="51">
        <v>0.93966581841790897</v>
      </c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  <c r="BF93">
        <v>0.92803883107009999</v>
      </c>
      <c r="BG93" s="1">
        <v>30</v>
      </c>
      <c r="BH93">
        <f t="shared" si="13"/>
        <v>-1.0453090640125338</v>
      </c>
      <c r="BI93">
        <f t="shared" si="14"/>
        <v>-7.4029537904985426E-2</v>
      </c>
      <c r="BJ93">
        <f t="shared" si="11"/>
        <v>-6.8702285822002329E-2</v>
      </c>
    </row>
    <row r="94" spans="1:62" ht="15.6" x14ac:dyDescent="0.35">
      <c r="B94" s="1" t="s">
        <v>25</v>
      </c>
      <c r="C94" s="1">
        <f>C78</f>
        <v>115</v>
      </c>
      <c r="D94" s="1">
        <f>D78</f>
        <v>7</v>
      </c>
      <c r="E94" s="1">
        <f>E78</f>
        <v>162</v>
      </c>
      <c r="F94" s="1">
        <f>F78</f>
        <v>145</v>
      </c>
      <c r="G94" s="1">
        <f>G78</f>
        <v>231</v>
      </c>
      <c r="R94" s="16" t="s">
        <v>318</v>
      </c>
      <c r="S94" t="s">
        <v>63</v>
      </c>
      <c r="T94" s="57">
        <f>$AA93*T86/100</f>
        <v>966.78</v>
      </c>
      <c r="U94" s="57">
        <f>$AA93*U86/100</f>
        <v>278.91666666666663</v>
      </c>
      <c r="V94" s="57">
        <f>$AA93*V86/100</f>
        <v>54309.687011243237</v>
      </c>
      <c r="W94" s="57">
        <f>$AA93*W86/100</f>
        <v>21511.273986794171</v>
      </c>
      <c r="X94" s="57">
        <f>$AA93*X86/100</f>
        <v>14579.672335295929</v>
      </c>
      <c r="Z94" t="s">
        <v>36</v>
      </c>
      <c r="AA94" s="25">
        <f>SUM(T94:X94)</f>
        <v>91646.33</v>
      </c>
      <c r="AC94" t="s">
        <v>185</v>
      </c>
      <c r="AD94" s="51">
        <v>0.89545454545454495</v>
      </c>
      <c r="AE94" s="51">
        <v>0.92685027735543701</v>
      </c>
      <c r="AI94" s="78"/>
      <c r="AJ94" t="s">
        <v>3</v>
      </c>
      <c r="AK94" s="13">
        <v>0</v>
      </c>
      <c r="AL94" s="29">
        <f>(AL83/$AU94)*$AX94</f>
        <v>1.1118722497531814</v>
      </c>
      <c r="AM94" s="31">
        <f t="shared" ref="AM94:AO95" si="18">(AM83/$AU94)*$AX94</f>
        <v>0</v>
      </c>
      <c r="AN94" s="31">
        <f t="shared" si="18"/>
        <v>0</v>
      </c>
      <c r="AO94" s="31">
        <f t="shared" si="18"/>
        <v>0</v>
      </c>
      <c r="AP94" s="32">
        <f>(AP83/$AU94)*$AX94</f>
        <v>0</v>
      </c>
      <c r="AQ94" s="17">
        <f>SUM(AL94:AP94)</f>
        <v>1.1118722497531814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115</v>
      </c>
      <c r="AV94">
        <v>0</v>
      </c>
      <c r="AW94" s="1">
        <v>1018.99</v>
      </c>
      <c r="AX94" s="17">
        <f>AW94/AW99*100</f>
        <v>1.1118722497531814</v>
      </c>
      <c r="AY94" s="52">
        <f>((AX94*AX94*(AR94/100)*(AT94/100))/(AU94-1))</f>
        <v>0</v>
      </c>
      <c r="BF94">
        <v>0.92819334082275096</v>
      </c>
      <c r="BG94" s="1">
        <v>31</v>
      </c>
      <c r="BH94">
        <f t="shared" si="13"/>
        <v>-1.0239314262560566</v>
      </c>
      <c r="BI94">
        <f t="shared" si="14"/>
        <v>-7.2515558260977289E-2</v>
      </c>
      <c r="BJ94">
        <f t="shared" si="11"/>
        <v>-6.7308458283883349E-2</v>
      </c>
    </row>
    <row r="95" spans="1:62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0</v>
      </c>
      <c r="E95" s="18">
        <f>(O86*O86*(100-E91)*(100-E91)*(I86)*(100-I86))/((L86-1)*100)</f>
        <v>167.19440465462654</v>
      </c>
      <c r="F95" s="18">
        <f>(O87*O87*(100-F91)*(100-F91)*(I87)*(100-I87))/((L87-1)*100)</f>
        <v>1559.2168110734776</v>
      </c>
      <c r="G95" s="18">
        <f>(O88*O88*(100-G91)*(100-G91)*(I88)*(100-I88))/((L88-1)*100)</f>
        <v>2884.1109909270681</v>
      </c>
      <c r="R95" s="66"/>
      <c r="S95" s="66" t="s">
        <v>62</v>
      </c>
      <c r="T95" s="67">
        <f>$AA93*T87/100</f>
        <v>0</v>
      </c>
      <c r="U95" s="67">
        <f>$AA93*U87/100</f>
        <v>101.8459666649884</v>
      </c>
      <c r="V95" s="67">
        <f>$AA93*V87/100</f>
        <v>664.44895339842924</v>
      </c>
      <c r="W95" s="67">
        <f>$AA93*W87/100</f>
        <v>669.02991412402946</v>
      </c>
      <c r="X95" s="67">
        <f>$AA93*X87/100</f>
        <v>806.12909652424639</v>
      </c>
      <c r="AA95" s="1"/>
      <c r="AC95" t="s">
        <v>186</v>
      </c>
      <c r="AD95" s="51">
        <v>0.9</v>
      </c>
      <c r="AE95" s="51">
        <v>0.92938771988913305</v>
      </c>
      <c r="AJ95" t="s">
        <v>4</v>
      </c>
      <c r="AK95" s="13">
        <v>1</v>
      </c>
      <c r="AL95" s="33">
        <f t="shared" ref="AL95:AO98" si="19">(AL84/$AU95)*$AX95</f>
        <v>0</v>
      </c>
      <c r="AM95" s="34">
        <f>(AM84/$AU95)*$AX95</f>
        <v>0.3433634869354274</v>
      </c>
      <c r="AN95" s="19">
        <f t="shared" si="18"/>
        <v>0.5150452304031411</v>
      </c>
      <c r="AO95" s="18">
        <f t="shared" si="18"/>
        <v>0</v>
      </c>
      <c r="AP95" s="20">
        <f>(AP84/$AU95)*$AX95</f>
        <v>0</v>
      </c>
      <c r="AQ95" s="17">
        <f>SUM(AL95:AP95)</f>
        <v>0.85840871733856849</v>
      </c>
      <c r="AR95" s="17">
        <f>AM95/AQ95*100</f>
        <v>40</v>
      </c>
      <c r="AS95" s="17">
        <f>SQRT(AR95*(100-AR95)/(AU95-1))</f>
        <v>13.093073414159543</v>
      </c>
      <c r="AT95" s="18">
        <f>100-AR95</f>
        <v>60</v>
      </c>
      <c r="AU95" s="1">
        <f>AQ84</f>
        <v>15</v>
      </c>
      <c r="AV95">
        <v>1</v>
      </c>
      <c r="AW95" s="1">
        <v>786.7</v>
      </c>
      <c r="AX95" s="17">
        <f>AW95/AW99*100</f>
        <v>0.85840871733856849</v>
      </c>
      <c r="AY95" s="52">
        <f>((AX95*AX95*(AR95/100)*(AT95/100))/(AU95-1))</f>
        <v>1.2631980445763082E-2</v>
      </c>
      <c r="BF95">
        <v>0.92828772099734402</v>
      </c>
      <c r="BG95" s="1">
        <v>32</v>
      </c>
      <c r="BH95">
        <f t="shared" si="13"/>
        <v>-1.0030117728102939</v>
      </c>
      <c r="BI95">
        <f t="shared" si="14"/>
        <v>-7.1034013394449966E-2</v>
      </c>
      <c r="BJ95">
        <f t="shared" si="11"/>
        <v>-6.5940002407228762E-2</v>
      </c>
    </row>
    <row r="96" spans="1:62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0</v>
      </c>
      <c r="E96" s="18">
        <f>E91*E91*(SUM((H84*E84*(1-E73/H73))/(H73-1),(H85*E85*(1-E74/H74))/(H74-1), (H87*E87*(1-E76/H76))/(H76-1),(H88*E88*(1-E77/H77))/(H77-1)))</f>
        <v>1781.2778120972434</v>
      </c>
      <c r="F96" s="18">
        <f>F91*F91*(SUM((H84*F84*(1-F73/H73))/(H73-1),(H85*F85*(1-F74/H74))/(H74-1), (H86*F86*(1-F75/H75))/(H75-1),(H88*F88*(1-F77/H77))/(H77-1)))</f>
        <v>676.09964387461582</v>
      </c>
      <c r="G96" s="18">
        <f>G91*G91*(SUM((H84*G84*(1-G73/H73))/(H73-1),(H85*G85*(1-G74/H74))/(H74-1), (H86*G86*(1-G75/H75))/(H75-1),(H87*G87*(1-G76/H76))/(H76-1)))</f>
        <v>3707.9079862372741</v>
      </c>
      <c r="R96" t="s">
        <v>96</v>
      </c>
      <c r="S96" t="s">
        <v>28</v>
      </c>
      <c r="T96" s="57">
        <f>C263</f>
        <v>1.07100875092516</v>
      </c>
      <c r="U96" s="57">
        <f t="shared" ref="U96:X99" si="20">D263</f>
        <v>0.36630389155875454</v>
      </c>
      <c r="V96" s="57">
        <f t="shared" si="20"/>
        <v>59.603832491117075</v>
      </c>
      <c r="W96" s="57">
        <f t="shared" si="20"/>
        <v>24.009329458852648</v>
      </c>
      <c r="X96" s="57">
        <f t="shared" si="20"/>
        <v>14.949525407546354</v>
      </c>
      <c r="Y96" s="13"/>
      <c r="Z96" s="74"/>
      <c r="AA96" s="12"/>
      <c r="AC96" t="s">
        <v>187</v>
      </c>
      <c r="AD96" s="51">
        <v>0.90909090909090895</v>
      </c>
      <c r="AE96" s="51">
        <v>0.94089455689143298</v>
      </c>
      <c r="AI96" s="78"/>
      <c r="AJ96" t="s">
        <v>5</v>
      </c>
      <c r="AK96" s="13">
        <v>2</v>
      </c>
      <c r="AL96" s="33">
        <f t="shared" si="19"/>
        <v>0</v>
      </c>
      <c r="AM96" s="19">
        <f t="shared" si="19"/>
        <v>0</v>
      </c>
      <c r="AN96" s="34">
        <f t="shared" si="19"/>
        <v>57.296307965752327</v>
      </c>
      <c r="AO96" s="19">
        <f t="shared" si="19"/>
        <v>0</v>
      </c>
      <c r="AP96" s="20">
        <f>(AP85/$AU96)*$AX96</f>
        <v>0.81851868522503324</v>
      </c>
      <c r="AQ96" s="17">
        <f>SUM(AL96:AP96)</f>
        <v>58.114826650977363</v>
      </c>
      <c r="AR96" s="17">
        <f>AN96/AQ96*100</f>
        <v>98.591549295774641</v>
      </c>
      <c r="AS96" s="17">
        <f>SQRT(AR96*(100-AR96)/(AU96-1))</f>
        <v>0.99238711073977215</v>
      </c>
      <c r="AT96" s="18">
        <f>100-AR96</f>
        <v>1.4084507042253591</v>
      </c>
      <c r="AU96" s="1">
        <f>AQ85</f>
        <v>142</v>
      </c>
      <c r="AV96">
        <v>2</v>
      </c>
      <c r="AW96" s="1">
        <v>53260.1</v>
      </c>
      <c r="AX96" s="17">
        <f>AW96/AW99*100</f>
        <v>58.114826650977356</v>
      </c>
      <c r="AY96" s="52">
        <f>((AX96*AX96*(AR96/100)*(AT96/100))/(AU96-1))</f>
        <v>0.33261062882536463</v>
      </c>
      <c r="BF96">
        <v>0.928406063666953</v>
      </c>
      <c r="BG96" s="1">
        <v>33</v>
      </c>
      <c r="BH96">
        <f t="shared" si="13"/>
        <v>-0.98252210852503719</v>
      </c>
      <c r="BI96">
        <f t="shared" si="14"/>
        <v>-6.9582920668779649E-2</v>
      </c>
      <c r="BJ96">
        <f t="shared" si="11"/>
        <v>-6.4601205476551585E-2</v>
      </c>
    </row>
    <row r="97" spans="1:62" x14ac:dyDescent="0.3">
      <c r="S97" s="66" t="s">
        <v>39</v>
      </c>
      <c r="T97" s="67">
        <f>C264</f>
        <v>0</v>
      </c>
      <c r="U97" s="67">
        <f t="shared" si="20"/>
        <v>0.11583546131089899</v>
      </c>
      <c r="V97" s="67">
        <f t="shared" si="20"/>
        <v>0.74686689938052908</v>
      </c>
      <c r="W97" s="67">
        <f t="shared" si="20"/>
        <v>0.69891215504087256</v>
      </c>
      <c r="X97" s="67">
        <f t="shared" si="20"/>
        <v>0.86137560882399833</v>
      </c>
      <c r="AC97" t="s">
        <v>188</v>
      </c>
      <c r="AD97" s="51">
        <v>0.90151515151515105</v>
      </c>
      <c r="AE97" s="51">
        <v>0.93178792097260899</v>
      </c>
      <c r="AJ97" t="s">
        <v>6</v>
      </c>
      <c r="AK97" s="13">
        <v>3</v>
      </c>
      <c r="AL97" s="33">
        <f t="shared" si="19"/>
        <v>0</v>
      </c>
      <c r="AM97" s="19">
        <f t="shared" si="19"/>
        <v>0</v>
      </c>
      <c r="AN97" s="19">
        <f t="shared" si="19"/>
        <v>0.86492304206965309</v>
      </c>
      <c r="AO97" s="34">
        <f t="shared" si="19"/>
        <v>21.796060660155259</v>
      </c>
      <c r="AP97" s="20">
        <f>(AP86/$AU97)*$AX97</f>
        <v>2.248799909381098</v>
      </c>
      <c r="AQ97" s="17">
        <f>SUM(AL97:AP97)</f>
        <v>24.909783611606009</v>
      </c>
      <c r="AR97" s="17">
        <f>AO97/AQ97*100</f>
        <v>87.5</v>
      </c>
      <c r="AS97" s="17">
        <f>SQRT(AR97*(100-AR97)/(AU97-1))</f>
        <v>2.7656104929294361</v>
      </c>
      <c r="AT97" s="18">
        <f>100-AR97</f>
        <v>12.5</v>
      </c>
      <c r="AU97" s="1">
        <f>AQ86</f>
        <v>144</v>
      </c>
      <c r="AV97">
        <v>3</v>
      </c>
      <c r="AW97" s="1">
        <v>22828.9</v>
      </c>
      <c r="AX97" s="17">
        <f>AW97/AW99*100</f>
        <v>24.909783611606009</v>
      </c>
      <c r="AY97" s="52">
        <f>((AX97*AX97*(AR97/100)*(AT97/100))/(AU97-1))</f>
        <v>0.47459366663453317</v>
      </c>
      <c r="BF97">
        <v>0.92855832679318939</v>
      </c>
      <c r="BG97" s="1">
        <v>34</v>
      </c>
      <c r="BH97">
        <f t="shared" si="13"/>
        <v>-0.96243684665105678</v>
      </c>
      <c r="BI97">
        <f t="shared" si="14"/>
        <v>-6.8160468012027825E-2</v>
      </c>
      <c r="BJ97">
        <f t="shared" si="11"/>
        <v>-6.3290970130689267E-2</v>
      </c>
    </row>
    <row r="98" spans="1:62" x14ac:dyDescent="0.3">
      <c r="S98" t="s">
        <v>30</v>
      </c>
      <c r="T98" s="57">
        <f>C265</f>
        <v>100</v>
      </c>
      <c r="U98" s="57">
        <f t="shared" si="20"/>
        <v>100</v>
      </c>
      <c r="V98" s="57">
        <f t="shared" si="20"/>
        <v>95.55474559914127</v>
      </c>
      <c r="W98" s="57">
        <f t="shared" si="20"/>
        <v>94.668480275820272</v>
      </c>
      <c r="X98" s="57">
        <f t="shared" si="20"/>
        <v>82.77141676078439</v>
      </c>
      <c r="AA98" s="54"/>
      <c r="AC98" t="s">
        <v>189</v>
      </c>
      <c r="AD98" s="51">
        <v>0.89090909090908998</v>
      </c>
      <c r="AE98" s="51">
        <v>0.93541316665019902</v>
      </c>
      <c r="AI98" s="78"/>
      <c r="AJ98" t="s">
        <v>7</v>
      </c>
      <c r="AK98" s="13">
        <v>4</v>
      </c>
      <c r="AL98" s="35">
        <f>(AL87/$AU98)*$AX98</f>
        <v>0</v>
      </c>
      <c r="AM98" s="36">
        <f t="shared" si="19"/>
        <v>0</v>
      </c>
      <c r="AN98" s="21">
        <f t="shared" si="19"/>
        <v>0.67645982161300666</v>
      </c>
      <c r="AO98" s="21">
        <f t="shared" si="19"/>
        <v>1.2914232958066489</v>
      </c>
      <c r="AP98" s="37">
        <f>(AP87/$AU98)*$AX98</f>
        <v>13.037225652905217</v>
      </c>
      <c r="AQ98" s="17">
        <f>SUM(AL98:AP98)</f>
        <v>15.005108770324872</v>
      </c>
      <c r="AR98" s="17">
        <f>AP98/AQ98*100</f>
        <v>86.885245901639351</v>
      </c>
      <c r="AS98" s="17">
        <f>SQRT(AR98*(100-AR98)/(AU98-1))</f>
        <v>2.1654589556924106</v>
      </c>
      <c r="AT98" s="18">
        <f>100-AR98</f>
        <v>13.114754098360649</v>
      </c>
      <c r="AU98" s="1">
        <f>AQ87</f>
        <v>244</v>
      </c>
      <c r="AV98">
        <v>4</v>
      </c>
      <c r="AW98" s="1">
        <v>13751.63</v>
      </c>
      <c r="AX98" s="17">
        <f>AW98/AW99*100</f>
        <v>15.005108770324874</v>
      </c>
      <c r="AY98" s="52">
        <f>((AX98*AX98*(AR98/100)*(AT98/100))/(AU98-1))</f>
        <v>0.10557916156519594</v>
      </c>
      <c r="BF98">
        <v>0.92874723898045197</v>
      </c>
      <c r="BG98" s="1">
        <v>35</v>
      </c>
      <c r="BH98">
        <f t="shared" si="13"/>
        <v>-0.94273253415310254</v>
      </c>
      <c r="BI98">
        <f t="shared" si="14"/>
        <v>-6.6764994463410915E-2</v>
      </c>
      <c r="BJ98">
        <f t="shared" si="11"/>
        <v>-6.2007804268438049E-2</v>
      </c>
    </row>
    <row r="99" spans="1:62" x14ac:dyDescent="0.3">
      <c r="A99" s="348">
        <v>1988</v>
      </c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 t="s">
        <v>57</v>
      </c>
      <c r="M99" s="348"/>
      <c r="N99" s="348"/>
      <c r="O99" s="348"/>
      <c r="P99" s="348"/>
      <c r="S99" s="66" t="s">
        <v>39</v>
      </c>
      <c r="T99" s="67">
        <f>C266</f>
        <v>0</v>
      </c>
      <c r="U99" s="67">
        <f t="shared" si="20"/>
        <v>0</v>
      </c>
      <c r="V99" s="67">
        <f t="shared" si="20"/>
        <v>0.88521006550004788</v>
      </c>
      <c r="W99" s="67">
        <f t="shared" si="20"/>
        <v>1.784577599452204</v>
      </c>
      <c r="X99" s="67">
        <f t="shared" si="20"/>
        <v>5.9912458216594375</v>
      </c>
      <c r="AC99" t="s">
        <v>190</v>
      </c>
      <c r="AD99" s="51">
        <v>0.90151515151515105</v>
      </c>
      <c r="AE99" s="51">
        <v>0.93666819595898898</v>
      </c>
      <c r="AK99" t="s">
        <v>28</v>
      </c>
      <c r="AL99" s="17">
        <f t="shared" ref="AL99:AQ99" si="21">SUM(AL94:AL98)</f>
        <v>1.1118722497531814</v>
      </c>
      <c r="AM99" s="17">
        <f t="shared" si="21"/>
        <v>0.3433634869354274</v>
      </c>
      <c r="AN99" s="17">
        <f t="shared" si="21"/>
        <v>59.352736059838129</v>
      </c>
      <c r="AO99" s="17">
        <f t="shared" si="21"/>
        <v>23.087483955961908</v>
      </c>
      <c r="AP99" s="17">
        <f t="shared" si="21"/>
        <v>16.104544247511349</v>
      </c>
      <c r="AQ99" s="18">
        <f t="shared" si="21"/>
        <v>99.999999999999986</v>
      </c>
      <c r="AR99" s="13" t="s">
        <v>24</v>
      </c>
      <c r="AS99" s="12" t="s">
        <v>29</v>
      </c>
      <c r="AW99" s="1">
        <f>SUM(AW94:AW98)</f>
        <v>91646.32</v>
      </c>
      <c r="AX99" s="17">
        <f>SUM(AX94:AX98)</f>
        <v>100</v>
      </c>
      <c r="BF99">
        <v>0.92886696714932204</v>
      </c>
      <c r="BG99" s="1">
        <v>36</v>
      </c>
      <c r="BH99">
        <f t="shared" si="13"/>
        <v>-0.92338761525908586</v>
      </c>
      <c r="BI99">
        <f t="shared" si="14"/>
        <v>-6.5394973427683731E-2</v>
      </c>
      <c r="BJ99">
        <f t="shared" si="11"/>
        <v>-6.074323063458309E-2</v>
      </c>
    </row>
    <row r="100" spans="1:62" x14ac:dyDescent="0.3">
      <c r="A100" t="s">
        <v>315</v>
      </c>
      <c r="B100" t="s">
        <v>21</v>
      </c>
      <c r="I100" s="1" t="s">
        <v>53</v>
      </c>
      <c r="O100" s="350" t="s">
        <v>377</v>
      </c>
      <c r="P100" s="350"/>
      <c r="S100" t="s">
        <v>31</v>
      </c>
      <c r="T100" s="57">
        <f>I258</f>
        <v>100</v>
      </c>
      <c r="U100" s="57">
        <f>I259</f>
        <v>40</v>
      </c>
      <c r="V100" s="57">
        <f>I260</f>
        <v>98.591549295774655</v>
      </c>
      <c r="W100" s="57">
        <f>I261</f>
        <v>89.583333333333329</v>
      </c>
      <c r="X100" s="57">
        <f>I262</f>
        <v>83.196721311475414</v>
      </c>
      <c r="AC100" t="s">
        <v>191</v>
      </c>
      <c r="AD100" s="51">
        <v>0.90454545454545399</v>
      </c>
      <c r="AE100" s="51">
        <v>0.93261316577571596</v>
      </c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0.10858106840534193</v>
      </c>
      <c r="AN100" s="18">
        <f>SQRT(SUM((AX94*AN94-AN94*AN94)/AU94,(AX95*AN95-AN95*AN95)/AU95,(AX96*AN96-AN96*AN96)/AU96,(AX97*AN97-AN97*AN97)/AU97,(AX98*AN98-AN98*AN98)/AU98))</f>
        <v>0.72540047367232352</v>
      </c>
      <c r="AO100" s="18">
        <f>SQRT(SUM((AX94*AO94-AO94*AO94)/AU94,(AX95*AO95-AO95*AO95)/AU95,(AX96*AO96-AO96*AO96)/AU96,(AX97*AO97-AO97*AO97)/AU97,(AX98*AO98-AO98*AO98)/AU98))</f>
        <v>0.73748257814984064</v>
      </c>
      <c r="AP100" s="18">
        <f>SQRT(SUM((AX94*AP94-AP94*AP94)/AU94,(AX95*AP95-AP95*AP95)/AU95,(AX96*AP96-AP96*AP96)/AU96,(AX97*AP97-AP97*AP97)/AU97,(AX98*AP98-AP98*AP98)/AU98))</f>
        <v>0.8884276982921161</v>
      </c>
      <c r="AQ100" s="1"/>
      <c r="AR100" s="56">
        <f>(AL94+AM95+AN96+AO97+AP98)/AQ99</f>
        <v>0.93584830015501419</v>
      </c>
      <c r="AS100" s="53">
        <f>SQRT(SUM(AY94:AY98))/100</f>
        <v>9.6198515449608512E-3</v>
      </c>
      <c r="AV100" s="1"/>
      <c r="AW100" s="9"/>
      <c r="BF100">
        <v>0.92910253470313497</v>
      </c>
      <c r="BG100" s="1">
        <v>37</v>
      </c>
      <c r="BH100">
        <f t="shared" si="13"/>
        <v>-0.90438222700361048</v>
      </c>
      <c r="BI100">
        <f t="shared" si="14"/>
        <v>-6.4048998195385523E-2</v>
      </c>
      <c r="BJ100">
        <f t="shared" si="11"/>
        <v>-5.9508086568529205E-2</v>
      </c>
    </row>
    <row r="101" spans="1:62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51</v>
      </c>
      <c r="O101" s="13" t="s">
        <v>644</v>
      </c>
      <c r="P101" s="13" t="s">
        <v>633</v>
      </c>
      <c r="S101" s="66" t="s">
        <v>39</v>
      </c>
      <c r="T101" s="67">
        <f>J258</f>
        <v>0</v>
      </c>
      <c r="U101" s="67">
        <f>J259</f>
        <v>13.093073414159543</v>
      </c>
      <c r="V101" s="67">
        <f>J260</f>
        <v>0.99238711073976715</v>
      </c>
      <c r="W101" s="67">
        <f>J261</f>
        <v>2.55452392102569</v>
      </c>
      <c r="X101" s="67">
        <f>J262</f>
        <v>2.398540103105788</v>
      </c>
      <c r="AC101" t="s">
        <v>192</v>
      </c>
      <c r="AD101" s="51">
        <v>0.89393939393939303</v>
      </c>
      <c r="AE101" s="51">
        <v>0.92787685258418096</v>
      </c>
      <c r="AK101" s="1" t="s">
        <v>30</v>
      </c>
      <c r="AL101" s="17">
        <f>AL94/AL99*100</f>
        <v>100</v>
      </c>
      <c r="AM101" s="17">
        <f>AM95/AM99*100</f>
        <v>100</v>
      </c>
      <c r="AN101" s="17">
        <f>AN96/AN99*100</f>
        <v>96.535242971760297</v>
      </c>
      <c r="AO101" s="17">
        <f>AO97/AO99*100</f>
        <v>94.406392232822043</v>
      </c>
      <c r="AP101" s="17">
        <f>AP98/AP99*100</f>
        <v>80.953707553194945</v>
      </c>
      <c r="AQ101" s="1"/>
      <c r="BF101">
        <v>0.929380520156733</v>
      </c>
      <c r="BG101" s="1">
        <v>38</v>
      </c>
      <c r="BH101">
        <f t="shared" si="13"/>
        <v>-0.8856980216844178</v>
      </c>
      <c r="BI101">
        <f t="shared" si="14"/>
        <v>-6.2725769369078213E-2</v>
      </c>
      <c r="BJ101">
        <f t="shared" si="11"/>
        <v>-5.8296108163465178E-2</v>
      </c>
    </row>
    <row r="102" spans="1:62" x14ac:dyDescent="0.3">
      <c r="A102" t="s">
        <v>3</v>
      </c>
      <c r="B102" s="13">
        <v>0</v>
      </c>
      <c r="C102" s="26">
        <v>115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115</v>
      </c>
      <c r="I102" s="10">
        <f>C102/H102</f>
        <v>1</v>
      </c>
      <c r="J102" s="11">
        <f>1-I102</f>
        <v>0</v>
      </c>
      <c r="K102">
        <f>H102-C107</f>
        <v>0</v>
      </c>
      <c r="N102" s="10">
        <f>2*(C108*I102)/(C108+I102)</f>
        <v>1</v>
      </c>
      <c r="O102" s="1"/>
      <c r="P102" s="1"/>
      <c r="S102" s="66" t="s">
        <v>51</v>
      </c>
      <c r="T102" s="67">
        <f>N247*100</f>
        <v>100</v>
      </c>
      <c r="U102" s="67">
        <f>N248*100</f>
        <v>57.142857142857153</v>
      </c>
      <c r="V102" s="67">
        <f>N249*100</f>
        <v>88.607594936708864</v>
      </c>
      <c r="W102" s="67">
        <f>N250*100</f>
        <v>87.755102040816325</v>
      </c>
      <c r="X102" s="67">
        <f>N251*100</f>
        <v>88.453159041394329</v>
      </c>
      <c r="AC102" t="s">
        <v>193</v>
      </c>
      <c r="AD102" s="51">
        <v>0.88636363636363602</v>
      </c>
      <c r="AE102" s="51">
        <v>0.93120574438967396</v>
      </c>
      <c r="AI102" s="78"/>
      <c r="AK102" s="16" t="s">
        <v>39</v>
      </c>
      <c r="AL102" s="18">
        <f>SQRT((AL105+AL106)/(AL99*AL99))</f>
        <v>0</v>
      </c>
      <c r="AM102" s="18">
        <f>SQRT((AM105+AM106)/(AM99*AM99))</f>
        <v>0</v>
      </c>
      <c r="AN102" s="18">
        <f>SQRT((AN105+AN106)/(AN99*AN99))</f>
        <v>0.79812800929093619</v>
      </c>
      <c r="AO102" s="18">
        <f>SQRT((AO105+AO106)/(AO99*AO99))</f>
        <v>2.0011076673482431</v>
      </c>
      <c r="AP102" s="18">
        <f>SQRT((AP105+AP106)/(AP99*AP99))</f>
        <v>5.6724398178334381</v>
      </c>
      <c r="AQ102" s="1"/>
      <c r="AR102" s="14"/>
      <c r="BF102">
        <v>0.92938771988913305</v>
      </c>
      <c r="BG102" s="1">
        <v>39</v>
      </c>
      <c r="BH102">
        <f t="shared" si="13"/>
        <v>-0.8673180120699755</v>
      </c>
      <c r="BI102">
        <f t="shared" si="14"/>
        <v>-6.1424083900836604E-2</v>
      </c>
      <c r="BJ102">
        <f t="shared" si="11"/>
        <v>-5.7086789282877339E-2</v>
      </c>
    </row>
    <row r="103" spans="1:62" x14ac:dyDescent="0.3">
      <c r="A103" t="s">
        <v>4</v>
      </c>
      <c r="B103" s="13">
        <v>1</v>
      </c>
      <c r="C103" s="5">
        <v>0</v>
      </c>
      <c r="D103" s="27">
        <v>5</v>
      </c>
      <c r="E103" s="1">
        <v>10</v>
      </c>
      <c r="F103" s="1">
        <v>0</v>
      </c>
      <c r="G103" s="6">
        <v>0</v>
      </c>
      <c r="H103" s="1">
        <f>SUM(C103:G103)</f>
        <v>15</v>
      </c>
      <c r="I103" s="10">
        <f>D103/H103</f>
        <v>0.33333333333333331</v>
      </c>
      <c r="J103" s="11">
        <f>1-I103</f>
        <v>0.66666666666666674</v>
      </c>
      <c r="K103">
        <f>H103-D107</f>
        <v>10</v>
      </c>
      <c r="N103" s="10">
        <f>2*(D108*I103)/(D108+I103)</f>
        <v>0.5</v>
      </c>
      <c r="O103" s="1"/>
      <c r="P103" s="1"/>
      <c r="R103" s="16" t="s">
        <v>61</v>
      </c>
      <c r="S103" t="s">
        <v>9</v>
      </c>
      <c r="T103" s="30">
        <f>N258</f>
        <v>981.54</v>
      </c>
      <c r="U103" s="30">
        <f>N259</f>
        <v>839.26</v>
      </c>
      <c r="V103" s="30">
        <f>N260</f>
        <v>52942.17</v>
      </c>
      <c r="W103" s="30">
        <f>N261</f>
        <v>23252.69</v>
      </c>
      <c r="X103" s="30">
        <f>N262</f>
        <v>13630.65</v>
      </c>
      <c r="Z103" t="s">
        <v>36</v>
      </c>
      <c r="AA103" s="1">
        <f>N263</f>
        <v>91646.31</v>
      </c>
      <c r="AC103" t="s">
        <v>194</v>
      </c>
      <c r="AD103" s="51">
        <v>0.90454545454545399</v>
      </c>
      <c r="AE103" s="51">
        <v>0.93147045223552105</v>
      </c>
      <c r="AK103" s="1" t="s">
        <v>37</v>
      </c>
      <c r="AL103" s="18">
        <f>100-AL101</f>
        <v>0</v>
      </c>
      <c r="AM103" s="18">
        <f>100-AM101</f>
        <v>0</v>
      </c>
      <c r="AN103" s="18">
        <f>100-AN101</f>
        <v>3.4647570282397027</v>
      </c>
      <c r="AO103" s="18">
        <f>100-AO101</f>
        <v>5.5936077671779572</v>
      </c>
      <c r="AP103" s="18">
        <f>100-AP101</f>
        <v>19.046292446805055</v>
      </c>
      <c r="BF103">
        <v>0.92939914210731001</v>
      </c>
      <c r="BG103" s="1">
        <v>40</v>
      </c>
      <c r="BH103">
        <f t="shared" si="13"/>
        <v>-0.84922643593033087</v>
      </c>
      <c r="BI103">
        <f t="shared" si="14"/>
        <v>-6.0142825498226318E-2</v>
      </c>
      <c r="BJ103">
        <f t="shared" si="11"/>
        <v>-5.5896690421961187E-2</v>
      </c>
    </row>
    <row r="104" spans="1:62" ht="15.6" x14ac:dyDescent="0.35">
      <c r="A104" t="s">
        <v>5</v>
      </c>
      <c r="B104" s="13">
        <v>2</v>
      </c>
      <c r="C104" s="5">
        <v>0</v>
      </c>
      <c r="D104" s="1">
        <v>0</v>
      </c>
      <c r="E104" s="27">
        <v>140</v>
      </c>
      <c r="F104" s="1">
        <v>0</v>
      </c>
      <c r="G104" s="6">
        <v>2</v>
      </c>
      <c r="H104" s="1">
        <f>SUM(C104:G104)</f>
        <v>142</v>
      </c>
      <c r="I104" s="10">
        <f>E104/H104</f>
        <v>0.9859154929577465</v>
      </c>
      <c r="J104" s="11">
        <f>1-I104</f>
        <v>1.4084507042253502E-2</v>
      </c>
      <c r="K104">
        <f>H104-E107</f>
        <v>-30</v>
      </c>
      <c r="N104" s="10">
        <f>2*(E108*I104)/(E108+I104)</f>
        <v>0.89171974522292996</v>
      </c>
      <c r="O104" s="1"/>
      <c r="P104" s="1"/>
      <c r="R104" s="16" t="s">
        <v>318</v>
      </c>
      <c r="S104" t="s">
        <v>63</v>
      </c>
      <c r="T104" s="57">
        <f>$AA103*T96/100</f>
        <v>981.54</v>
      </c>
      <c r="U104" s="57">
        <f>$AA103*U96/100</f>
        <v>335.70400000000001</v>
      </c>
      <c r="V104" s="57">
        <f>$AA103*V96/100</f>
        <v>54624.713096689877</v>
      </c>
      <c r="W104" s="57">
        <f>$AA103*W96/100</f>
        <v>22003.66450478142</v>
      </c>
      <c r="X104" s="57">
        <f>$AA103*X96/100</f>
        <v>13700.688398528695</v>
      </c>
      <c r="Z104" t="s">
        <v>36</v>
      </c>
      <c r="AA104" s="25">
        <f>SUM(T104:X104)</f>
        <v>91646.31</v>
      </c>
      <c r="AC104" t="s">
        <v>195</v>
      </c>
      <c r="AD104" s="51">
        <v>0.91515151515151505</v>
      </c>
      <c r="AE104" s="51">
        <v>0.94089329128501098</v>
      </c>
      <c r="AI104" s="78"/>
      <c r="AK104" s="1" t="s">
        <v>25</v>
      </c>
      <c r="AL104" s="1">
        <f>AL88</f>
        <v>115</v>
      </c>
      <c r="AM104" s="1">
        <f>AM88</f>
        <v>6</v>
      </c>
      <c r="AN104" s="1">
        <f>AN88</f>
        <v>165</v>
      </c>
      <c r="AO104" s="1">
        <f>AO88</f>
        <v>147</v>
      </c>
      <c r="AP104" s="1">
        <f>AP88</f>
        <v>227</v>
      </c>
      <c r="BF104">
        <v>0.92953029344654103</v>
      </c>
      <c r="BG104" s="1">
        <v>41</v>
      </c>
      <c r="BH104">
        <f t="shared" si="13"/>
        <v>-0.83140863705266987</v>
      </c>
      <c r="BI104">
        <f t="shared" si="14"/>
        <v>-5.8880956197740281E-2</v>
      </c>
      <c r="BJ104">
        <f t="shared" si="11"/>
        <v>-5.4731632492898454E-2</v>
      </c>
    </row>
    <row r="105" spans="1:62" x14ac:dyDescent="0.3">
      <c r="A105" t="s">
        <v>6</v>
      </c>
      <c r="B105" s="13">
        <v>3</v>
      </c>
      <c r="C105" s="5">
        <v>0</v>
      </c>
      <c r="D105" s="1">
        <v>0</v>
      </c>
      <c r="E105" s="1">
        <v>5</v>
      </c>
      <c r="F105" s="27">
        <v>126</v>
      </c>
      <c r="G105" s="6">
        <v>13</v>
      </c>
      <c r="H105" s="1">
        <f>SUM(C105:G105)</f>
        <v>144</v>
      </c>
      <c r="I105" s="10">
        <f>F105/H105</f>
        <v>0.875</v>
      </c>
      <c r="J105" s="11">
        <f>1-I105</f>
        <v>0.125</v>
      </c>
      <c r="K105">
        <f>H105-F107</f>
        <v>0</v>
      </c>
      <c r="N105" s="10">
        <f>2*(F108*I105)/(F108+I105)</f>
        <v>0.875</v>
      </c>
      <c r="O105" s="1"/>
      <c r="P105" s="1"/>
      <c r="R105" s="66"/>
      <c r="S105" s="66" t="s">
        <v>62</v>
      </c>
      <c r="T105" s="67">
        <f>$AA103*T97/100</f>
        <v>0</v>
      </c>
      <c r="U105" s="67">
        <f>$AA103*U97/100</f>
        <v>106.15892596291654</v>
      </c>
      <c r="V105" s="67">
        <f>$AA103*V97/100</f>
        <v>684.47595389366779</v>
      </c>
      <c r="W105" s="67">
        <f>$AA103*W97/100</f>
        <v>640.5272002364386</v>
      </c>
      <c r="X105" s="67">
        <f>$AA103*X97/100</f>
        <v>789.41896072722886</v>
      </c>
      <c r="AA105" s="1"/>
      <c r="AC105" t="s">
        <v>196</v>
      </c>
      <c r="AD105" s="51">
        <v>0.898484848484848</v>
      </c>
      <c r="AE105" s="51">
        <v>0.92886696714932204</v>
      </c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0</v>
      </c>
      <c r="AN105" s="18">
        <f>(AX96*AX96*(100-AN101)*(100-AN101)*(AR96)*(100-AR96))/((AU96-1)*100)</f>
        <v>399.28380188240175</v>
      </c>
      <c r="AO105" s="18">
        <f>(AX97*AX97*(100-AO101)*(100-AO101)*(AR97)*(100-AR97))/((AU97-1)*100)</f>
        <v>1484.9299189874589</v>
      </c>
      <c r="AP105" s="18">
        <f>(AX98*AX98*(100-AP101)*(100-AP101)*(AR98)*(100-AR98))/((AU98-1)*100)</f>
        <v>3830.0029253568018</v>
      </c>
      <c r="BF105">
        <v>0.92961752566489775</v>
      </c>
      <c r="BG105" s="1">
        <v>42</v>
      </c>
      <c r="BH105">
        <f t="shared" si="13"/>
        <v>-0.81385096037908278</v>
      </c>
      <c r="BI105">
        <f t="shared" si="14"/>
        <v>-5.7637508938380051E-2</v>
      </c>
      <c r="BJ105">
        <f t="shared" si="11"/>
        <v>-5.3580838444785291E-2</v>
      </c>
    </row>
    <row r="106" spans="1:62" x14ac:dyDescent="0.3">
      <c r="A106" t="s">
        <v>7</v>
      </c>
      <c r="B106" s="13">
        <v>4</v>
      </c>
      <c r="C106" s="7">
        <v>0</v>
      </c>
      <c r="D106" s="8">
        <v>0</v>
      </c>
      <c r="E106" s="8">
        <v>17</v>
      </c>
      <c r="F106" s="8">
        <v>18</v>
      </c>
      <c r="G106" s="28">
        <v>209</v>
      </c>
      <c r="H106" s="1">
        <f>SUM(C106:G106)</f>
        <v>244</v>
      </c>
      <c r="I106" s="10">
        <f>G106/H106</f>
        <v>0.85655737704918034</v>
      </c>
      <c r="J106" s="11">
        <f>1-I106</f>
        <v>0.14344262295081966</v>
      </c>
      <c r="K106">
        <f>H106-G107</f>
        <v>20</v>
      </c>
      <c r="N106" s="10">
        <f>2*(G108*I106)/(G108+I106)</f>
        <v>0.8931623931623931</v>
      </c>
      <c r="O106" s="1"/>
      <c r="P106" s="1"/>
      <c r="R106" t="s">
        <v>97</v>
      </c>
      <c r="S106" t="s">
        <v>28</v>
      </c>
      <c r="T106" s="57">
        <f>C292</f>
        <v>1.1554745290946185</v>
      </c>
      <c r="U106" s="57">
        <f t="shared" ref="U106:X109" si="22">D292</f>
        <v>0.37156852954725778</v>
      </c>
      <c r="V106" s="57">
        <f t="shared" si="22"/>
        <v>59.176002507926995</v>
      </c>
      <c r="W106" s="57">
        <f t="shared" si="22"/>
        <v>22.829587746471134</v>
      </c>
      <c r="X106" s="57">
        <f t="shared" si="22"/>
        <v>16.467366686960013</v>
      </c>
      <c r="Y106" s="60"/>
      <c r="Z106" s="74"/>
      <c r="AA106" s="12"/>
      <c r="AC106" t="s">
        <v>197</v>
      </c>
      <c r="AD106" s="51">
        <v>0.90757575757575704</v>
      </c>
      <c r="AE106" s="51">
        <v>0.94216126464846295</v>
      </c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0</v>
      </c>
      <c r="AN106" s="18">
        <f>AN101*AN101*(SUM((AQ94*AN94*(1-AN83/AQ83))/(AQ83-1),(AQ95*AN95*(1-AN84/AQ84))/(AQ84-1), (AQ97*AN97*(1-AN86/AQ86))/(AQ86-1),(AQ98*AN98*(1-AN87/AQ87))/(AQ87-1)))</f>
        <v>1844.735520560052</v>
      </c>
      <c r="AO106" s="18">
        <f>AO101*AO101*(SUM((AQ94*AO94*(1-AO83/AQ83))/(AQ83-1),(AQ95*AO95*(1-AO84/AQ84))/(AQ84-1), (AQ96*AO96*(1-AO85/AQ85))/(AQ85-1),(AQ98*AO98*(1-AO87/AQ87))/(AQ87-1)))</f>
        <v>649.56008486407393</v>
      </c>
      <c r="AP106" s="18">
        <f>AP101*AP101*(SUM((AQ94*AP94*(1-AP83/AQ83))/(AQ83-1),(AQ95*AP95*(1-AP84/AQ84))/(AQ84-1), (AQ96*AP96*(1-AP85/AQ85))/(AQ85-1),(AQ97*AP97*(1-AP86/AQ86))/(AQ86-1)))</f>
        <v>4515.195582356243</v>
      </c>
      <c r="BF106">
        <v>0.929624324937257</v>
      </c>
      <c r="BG106" s="1">
        <v>43</v>
      </c>
      <c r="BH106">
        <f t="shared" si="13"/>
        <v>-0.79654065929088214</v>
      </c>
      <c r="BI106">
        <f t="shared" si="14"/>
        <v>-5.6411580995464693E-2</v>
      </c>
      <c r="BJ106">
        <f t="shared" si="11"/>
        <v>-5.244157790155226E-2</v>
      </c>
    </row>
    <row r="107" spans="1:62" ht="15.6" x14ac:dyDescent="0.35">
      <c r="B107" s="1" t="s">
        <v>19</v>
      </c>
      <c r="C107" s="1">
        <f>SUM(C102:C106)</f>
        <v>115</v>
      </c>
      <c r="D107" s="1">
        <f>SUM(D102:D106)</f>
        <v>5</v>
      </c>
      <c r="E107" s="1">
        <f>SUM(E102:E106)</f>
        <v>172</v>
      </c>
      <c r="F107" s="1">
        <f>SUM(F102:F106)</f>
        <v>144</v>
      </c>
      <c r="G107" s="1">
        <f>SUM(G102:G106)</f>
        <v>224</v>
      </c>
      <c r="H107" s="1">
        <f>SUM(H101:H106)</f>
        <v>660</v>
      </c>
      <c r="I107" s="13" t="s">
        <v>12</v>
      </c>
      <c r="N107" s="16" t="s">
        <v>36</v>
      </c>
      <c r="O107" s="1">
        <f>SUM(O102:O106)</f>
        <v>0</v>
      </c>
      <c r="P107" s="1">
        <f>SUM(P102:P106)</f>
        <v>0</v>
      </c>
      <c r="S107" s="66" t="s">
        <v>39</v>
      </c>
      <c r="T107" s="67">
        <f>C293</f>
        <v>0</v>
      </c>
      <c r="U107" s="67">
        <f t="shared" si="22"/>
        <v>0.12892558116922576</v>
      </c>
      <c r="V107" s="67">
        <f t="shared" si="22"/>
        <v>0.72180449320724038</v>
      </c>
      <c r="W107" s="67">
        <f t="shared" si="22"/>
        <v>0.72960515483825295</v>
      </c>
      <c r="X107" s="67">
        <f t="shared" si="22"/>
        <v>0.88211726256933665</v>
      </c>
      <c r="AC107" t="s">
        <v>198</v>
      </c>
      <c r="AD107" s="51">
        <v>0.898484848484848</v>
      </c>
      <c r="AE107" s="51">
        <v>0.93265656052215795</v>
      </c>
      <c r="BF107">
        <v>0.92973438938806396</v>
      </c>
      <c r="BG107" s="1">
        <v>44</v>
      </c>
      <c r="BH107">
        <f t="shared" si="13"/>
        <v>-0.77946581337961318</v>
      </c>
      <c r="BI107">
        <f t="shared" si="14"/>
        <v>-5.5202328157114761E-2</v>
      </c>
      <c r="BJ107">
        <f t="shared" si="11"/>
        <v>-5.1323502861954619E-2</v>
      </c>
    </row>
    <row r="108" spans="1:62" x14ac:dyDescent="0.3">
      <c r="A108" s="1" t="s">
        <v>316</v>
      </c>
      <c r="B108" s="1" t="s">
        <v>2</v>
      </c>
      <c r="C108" s="10">
        <f>C102/C107</f>
        <v>1</v>
      </c>
      <c r="D108" s="10">
        <f>D103/D107</f>
        <v>1</v>
      </c>
      <c r="E108" s="10">
        <f>E104/E107</f>
        <v>0.81395348837209303</v>
      </c>
      <c r="F108" s="10">
        <f>F105/F107</f>
        <v>0.875</v>
      </c>
      <c r="G108" s="10">
        <f>G106/G107</f>
        <v>0.9330357142857143</v>
      </c>
      <c r="H108" s="10"/>
      <c r="I108" s="14">
        <f>(C102+D103+E104+F105+G106)/H107</f>
        <v>0.90151515151515149</v>
      </c>
      <c r="S108" t="s">
        <v>30</v>
      </c>
      <c r="T108" s="57">
        <f>C294</f>
        <v>100</v>
      </c>
      <c r="U108" s="57">
        <f t="shared" si="22"/>
        <v>83.21074933373697</v>
      </c>
      <c r="V108" s="57">
        <f t="shared" si="22"/>
        <v>96.445211112528</v>
      </c>
      <c r="W108" s="57">
        <f t="shared" si="22"/>
        <v>95.081364125898276</v>
      </c>
      <c r="X108" s="57">
        <f t="shared" si="22"/>
        <v>81.448771967213219</v>
      </c>
      <c r="AC108" t="s">
        <v>199</v>
      </c>
      <c r="AD108" s="51">
        <v>0.89090909090908998</v>
      </c>
      <c r="AE108" s="51">
        <v>0.924654751731663</v>
      </c>
      <c r="AJ108" s="118" t="s">
        <v>352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  <c r="BF108">
        <v>0.93024253238415899</v>
      </c>
      <c r="BG108" s="1">
        <v>45</v>
      </c>
      <c r="BH108">
        <f t="shared" si="13"/>
        <v>-0.76261525530438468</v>
      </c>
      <c r="BI108">
        <f t="shared" si="14"/>
        <v>-5.400895954423595E-2</v>
      </c>
      <c r="BJ108">
        <f t="shared" si="11"/>
        <v>-5.0241431297863647E-2</v>
      </c>
    </row>
    <row r="109" spans="1:62" x14ac:dyDescent="0.3">
      <c r="B109" s="1" t="s">
        <v>14</v>
      </c>
      <c r="C109" s="11">
        <f>1-C108</f>
        <v>0</v>
      </c>
      <c r="D109" s="11">
        <f>1-D108</f>
        <v>0</v>
      </c>
      <c r="E109" s="11">
        <f>1-E108</f>
        <v>0.18604651162790697</v>
      </c>
      <c r="F109" s="11">
        <f>1-F108</f>
        <v>0.125</v>
      </c>
      <c r="G109" s="11">
        <f>1-G108</f>
        <v>6.6964285714285698E-2</v>
      </c>
      <c r="S109" s="66" t="s">
        <v>39</v>
      </c>
      <c r="T109" s="67">
        <f>C295</f>
        <v>0</v>
      </c>
      <c r="U109" s="67">
        <f t="shared" si="22"/>
        <v>54.620241377440536</v>
      </c>
      <c r="V109" s="67">
        <f t="shared" si="22"/>
        <v>0.79878387685442931</v>
      </c>
      <c r="W109" s="67">
        <f t="shared" si="22"/>
        <v>1.8207291493019298</v>
      </c>
      <c r="X109" s="67">
        <f t="shared" si="22"/>
        <v>5.4214987895738647</v>
      </c>
      <c r="AC109" t="s">
        <v>200</v>
      </c>
      <c r="AD109" s="51">
        <v>0.90303030303030296</v>
      </c>
      <c r="AE109" s="51">
        <v>0.93530779897128402</v>
      </c>
      <c r="AJ109" s="106" t="s">
        <v>658</v>
      </c>
      <c r="AK109" s="107" t="s">
        <v>28</v>
      </c>
      <c r="AL109" s="108">
        <f t="shared" ref="AL109:AP112" si="23">AL99</f>
        <v>1.1118722497531814</v>
      </c>
      <c r="AM109" s="108">
        <f t="shared" si="23"/>
        <v>0.3433634869354274</v>
      </c>
      <c r="AN109" s="108">
        <f t="shared" si="23"/>
        <v>59.352736059838129</v>
      </c>
      <c r="AO109" s="108">
        <f t="shared" si="23"/>
        <v>23.087483955961908</v>
      </c>
      <c r="AP109" s="108">
        <f t="shared" si="23"/>
        <v>16.104544247511349</v>
      </c>
      <c r="AQ109" s="107"/>
      <c r="AR109" s="228" t="s">
        <v>72</v>
      </c>
      <c r="AS109" s="229">
        <f>AR100</f>
        <v>0.93584830015501419</v>
      </c>
      <c r="BF109">
        <v>0.93029006461177799</v>
      </c>
      <c r="BG109" s="1">
        <v>46</v>
      </c>
      <c r="BH109">
        <f t="shared" si="13"/>
        <v>-0.74597850554896161</v>
      </c>
      <c r="BI109">
        <f t="shared" si="14"/>
        <v>-5.2830732989969618E-2</v>
      </c>
      <c r="BJ109">
        <f t="shared" si="11"/>
        <v>-4.914790600672643E-2</v>
      </c>
    </row>
    <row r="110" spans="1:62" x14ac:dyDescent="0.3">
      <c r="C110" s="2"/>
      <c r="S110" s="15" t="s">
        <v>31</v>
      </c>
      <c r="T110" s="71">
        <f>I287</f>
        <v>100</v>
      </c>
      <c r="U110" s="71">
        <f>I288</f>
        <v>33.333333333333329</v>
      </c>
      <c r="V110" s="71">
        <f>I289</f>
        <v>98.591549295774655</v>
      </c>
      <c r="W110" s="71">
        <f>I290</f>
        <v>87.5</v>
      </c>
      <c r="X110" s="71">
        <f>I291</f>
        <v>88.114754098360663</v>
      </c>
      <c r="AC110" t="s">
        <v>201</v>
      </c>
      <c r="AD110" s="51">
        <v>0.91363636363636302</v>
      </c>
      <c r="AE110" s="51">
        <v>0.93888963346184495</v>
      </c>
      <c r="AI110" s="78"/>
      <c r="AJ110" s="107"/>
      <c r="AK110" s="109" t="s">
        <v>39</v>
      </c>
      <c r="AL110" s="110">
        <f t="shared" si="23"/>
        <v>0</v>
      </c>
      <c r="AM110" s="110">
        <f t="shared" si="23"/>
        <v>0.10858106840534193</v>
      </c>
      <c r="AN110" s="110">
        <f t="shared" si="23"/>
        <v>0.72540047367232352</v>
      </c>
      <c r="AO110" s="110">
        <f t="shared" si="23"/>
        <v>0.73748257814984064</v>
      </c>
      <c r="AP110" s="110">
        <f t="shared" si="23"/>
        <v>0.8884276982921161</v>
      </c>
      <c r="AQ110" s="107"/>
      <c r="AR110" s="228" t="s">
        <v>29</v>
      </c>
      <c r="AS110" s="230">
        <f>AS100</f>
        <v>9.6198515449608512E-3</v>
      </c>
      <c r="AX110" s="103" t="s">
        <v>363</v>
      </c>
      <c r="BF110">
        <v>0.93046704399097102</v>
      </c>
      <c r="BG110" s="1">
        <v>47</v>
      </c>
      <c r="BH110">
        <f t="shared" si="13"/>
        <v>-0.7295457140694851</v>
      </c>
      <c r="BI110">
        <f t="shared" si="14"/>
        <v>-5.1666950907142448E-2</v>
      </c>
      <c r="BJ110">
        <f t="shared" si="11"/>
        <v>-4.807439508259545E-2</v>
      </c>
    </row>
    <row r="111" spans="1:62" ht="15.6" x14ac:dyDescent="0.35">
      <c r="A111" t="s">
        <v>317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12.598815766974241</v>
      </c>
      <c r="V111" s="76">
        <f>J289</f>
        <v>0.99238711073976715</v>
      </c>
      <c r="W111" s="76">
        <f>J290</f>
        <v>2.7656104929294361</v>
      </c>
      <c r="X111" s="76">
        <f>J291</f>
        <v>2.0759900409911012</v>
      </c>
      <c r="AC111" t="s">
        <v>155</v>
      </c>
      <c r="AD111" s="51">
        <v>0.89696969696969697</v>
      </c>
      <c r="AE111" s="51">
        <v>0.931304626661275</v>
      </c>
      <c r="AJ111" s="107"/>
      <c r="AK111" s="107" t="s">
        <v>30</v>
      </c>
      <c r="AL111" s="108">
        <f t="shared" si="23"/>
        <v>100</v>
      </c>
      <c r="AM111" s="108">
        <f t="shared" si="23"/>
        <v>100</v>
      </c>
      <c r="AN111" s="108">
        <f t="shared" si="23"/>
        <v>96.535242971760297</v>
      </c>
      <c r="AO111" s="108">
        <f t="shared" si="23"/>
        <v>94.406392232822043</v>
      </c>
      <c r="AP111" s="108">
        <f t="shared" si="23"/>
        <v>80.953707553194945</v>
      </c>
      <c r="AQ111" s="107"/>
      <c r="AR111" s="107"/>
      <c r="AS111" s="107"/>
      <c r="AU111" s="103" t="s">
        <v>363</v>
      </c>
      <c r="AW111" s="101"/>
      <c r="AX111" s="1" t="s">
        <v>357</v>
      </c>
      <c r="AY111" s="96"/>
      <c r="BF111">
        <v>0.93053574907565895</v>
      </c>
      <c r="BG111" s="1">
        <v>48</v>
      </c>
      <c r="BH111">
        <f t="shared" si="13"/>
        <v>-0.7133076079711943</v>
      </c>
      <c r="BI111">
        <f t="shared" si="14"/>
        <v>-5.0516956582694325E-2</v>
      </c>
      <c r="BJ111">
        <f t="shared" si="11"/>
        <v>-4.7007834034700005E-2</v>
      </c>
    </row>
    <row r="112" spans="1:62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51</v>
      </c>
      <c r="T112" s="67">
        <f>N276*100</f>
        <v>100</v>
      </c>
      <c r="U112" s="67">
        <f>N277*100</f>
        <v>47.619047619047613</v>
      </c>
      <c r="V112" s="67">
        <f>N278*100</f>
        <v>91.205211726384363</v>
      </c>
      <c r="W112" s="67">
        <f>N279*100</f>
        <v>87.5</v>
      </c>
      <c r="X112" s="67">
        <f>N280*100</f>
        <v>90.71729957805907</v>
      </c>
      <c r="AC112" t="s">
        <v>202</v>
      </c>
      <c r="AD112" s="51">
        <v>0.90454545454545399</v>
      </c>
      <c r="AE112" s="51">
        <v>0.93956707332502198</v>
      </c>
      <c r="AI112" s="78"/>
      <c r="AJ112" s="107"/>
      <c r="AK112" s="109" t="s">
        <v>39</v>
      </c>
      <c r="AL112" s="110">
        <f t="shared" si="23"/>
        <v>0</v>
      </c>
      <c r="AM112" s="110">
        <f t="shared" si="23"/>
        <v>0</v>
      </c>
      <c r="AN112" s="110">
        <f t="shared" si="23"/>
        <v>0.79812800929093619</v>
      </c>
      <c r="AO112" s="110">
        <f t="shared" si="23"/>
        <v>2.0011076673482431</v>
      </c>
      <c r="AP112" s="110">
        <f t="shared" si="23"/>
        <v>5.6724398178334381</v>
      </c>
      <c r="AQ112" s="107"/>
      <c r="AR112" s="107"/>
      <c r="AS112" s="107"/>
      <c r="AU112" s="93"/>
      <c r="AV112" s="1" t="s">
        <v>357</v>
      </c>
      <c r="AW112" s="97"/>
      <c r="AX112" s="71" t="s">
        <v>358</v>
      </c>
      <c r="AY112" s="95"/>
      <c r="BF112">
        <v>0.93054526266057802</v>
      </c>
      <c r="BG112" s="1">
        <v>49</v>
      </c>
      <c r="BH112">
        <f t="shared" si="13"/>
        <v>-0.69725544447594368</v>
      </c>
      <c r="BI112">
        <f t="shared" si="14"/>
        <v>-4.9380130846804184E-2</v>
      </c>
      <c r="BJ112">
        <f t="shared" si="11"/>
        <v>-4.595044682905311E-2</v>
      </c>
    </row>
    <row r="113" spans="1:62" x14ac:dyDescent="0.3">
      <c r="A113" t="s">
        <v>3</v>
      </c>
      <c r="B113" s="13">
        <v>0</v>
      </c>
      <c r="C113" s="29">
        <f>(C102/$L113)*$O113</f>
        <v>1.0030409298530405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1.0030409298530405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115</v>
      </c>
      <c r="M113">
        <v>0</v>
      </c>
      <c r="N113" s="1">
        <v>919.25</v>
      </c>
      <c r="O113" s="17">
        <f>N113/N118*100</f>
        <v>1.0030409298530405</v>
      </c>
      <c r="P113" s="52">
        <f>((O113*O113*(I113/100)*(K113/100))/(L113-1))</f>
        <v>0</v>
      </c>
      <c r="R113" s="16" t="s">
        <v>61</v>
      </c>
      <c r="S113" t="s">
        <v>9</v>
      </c>
      <c r="T113" s="30">
        <f>N287</f>
        <v>1058.95</v>
      </c>
      <c r="U113" s="30">
        <f>N288</f>
        <v>850.07</v>
      </c>
      <c r="V113" s="30">
        <f>N289</f>
        <v>53051.99</v>
      </c>
      <c r="W113" s="30">
        <f>N290</f>
        <v>22735.29</v>
      </c>
      <c r="X113" s="30">
        <f>N291</f>
        <v>13950.03</v>
      </c>
      <c r="Z113" t="s">
        <v>36</v>
      </c>
      <c r="AA113" s="1">
        <f>N292</f>
        <v>91646.329999999987</v>
      </c>
      <c r="AC113" t="s">
        <v>156</v>
      </c>
      <c r="AD113" s="51">
        <v>0.90757575757575704</v>
      </c>
      <c r="AE113" s="51">
        <v>0.93741801590926899</v>
      </c>
      <c r="AJ113" s="107"/>
      <c r="AK113" s="111" t="s">
        <v>31</v>
      </c>
      <c r="AL113" s="112">
        <f>AR94</f>
        <v>100</v>
      </c>
      <c r="AM113" s="112">
        <f>AR95</f>
        <v>40</v>
      </c>
      <c r="AN113" s="112">
        <f>AR96</f>
        <v>98.591549295774641</v>
      </c>
      <c r="AO113" s="112">
        <f>AR97</f>
        <v>87.5</v>
      </c>
      <c r="AP113" s="112">
        <f>AR98</f>
        <v>86.885245901639351</v>
      </c>
      <c r="AQ113" s="107"/>
      <c r="AR113" s="107"/>
      <c r="AS113" s="107"/>
      <c r="AU113" s="94"/>
      <c r="AV113" s="71" t="s">
        <v>360</v>
      </c>
      <c r="AW113" s="98"/>
      <c r="AX113" s="71" t="s">
        <v>359</v>
      </c>
      <c r="AY113" s="93"/>
      <c r="BF113">
        <v>0.93055031727747795</v>
      </c>
      <c r="BG113" s="1">
        <v>50</v>
      </c>
      <c r="BH113">
        <f t="shared" si="13"/>
        <v>-0.68138096854583952</v>
      </c>
      <c r="BI113">
        <f t="shared" si="14"/>
        <v>-4.8255889071765555E-2</v>
      </c>
      <c r="BJ113">
        <f t="shared" si="11"/>
        <v>-4.4904532886238219E-2</v>
      </c>
    </row>
    <row r="114" spans="1:62" ht="15.6" x14ac:dyDescent="0.35">
      <c r="A114" t="s">
        <v>4</v>
      </c>
      <c r="B114" s="13">
        <v>1</v>
      </c>
      <c r="C114" s="33">
        <f t="shared" ref="C114:G117" si="24">(C103/$L114)*$O114</f>
        <v>0</v>
      </c>
      <c r="D114" s="34">
        <f t="shared" si="24"/>
        <v>0.26177813378410986</v>
      </c>
      <c r="E114" s="19">
        <f t="shared" si="24"/>
        <v>0.52355626756821971</v>
      </c>
      <c r="F114" s="18">
        <f t="shared" si="24"/>
        <v>0</v>
      </c>
      <c r="G114" s="20">
        <f t="shared" si="24"/>
        <v>0</v>
      </c>
      <c r="H114" s="17">
        <f>SUM(C114:G114)</f>
        <v>0.78533440135232957</v>
      </c>
      <c r="I114" s="17">
        <f>D114/H114*100</f>
        <v>33.333333333333329</v>
      </c>
      <c r="J114" s="17">
        <f>SQRT(I114*(100-I114)/(L114-1))</f>
        <v>12.598815766974241</v>
      </c>
      <c r="K114" s="18">
        <f>100-I114</f>
        <v>66.666666666666671</v>
      </c>
      <c r="L114" s="1">
        <f>H103</f>
        <v>15</v>
      </c>
      <c r="M114">
        <v>1</v>
      </c>
      <c r="N114" s="1">
        <v>719.73</v>
      </c>
      <c r="O114" s="17">
        <f>N114/N118*100</f>
        <v>0.78533440135232957</v>
      </c>
      <c r="P114" s="52">
        <f>((O114*O114*(I114/100)*(K114/100))/(L114-1))</f>
        <v>9.7896844753559004E-3</v>
      </c>
      <c r="R114" s="16" t="s">
        <v>318</v>
      </c>
      <c r="S114" t="s">
        <v>63</v>
      </c>
      <c r="T114" s="57">
        <f>$AA113*T106/100</f>
        <v>1058.9499999999998</v>
      </c>
      <c r="U114" s="57">
        <f>$AA113*U106/100</f>
        <v>340.52892076502729</v>
      </c>
      <c r="V114" s="57">
        <f>$AA113*V106/100</f>
        <v>54232.634539223043</v>
      </c>
      <c r="W114" s="57">
        <f>$AA113*W106/100</f>
        <v>20922.479323770494</v>
      </c>
      <c r="X114" s="57">
        <f>$AA113*X106/100</f>
        <v>15091.737216241439</v>
      </c>
      <c r="Z114" t="s">
        <v>36</v>
      </c>
      <c r="AA114" s="25">
        <f>SUM(T114:X114)</f>
        <v>91646.33</v>
      </c>
      <c r="AC114" t="s">
        <v>203</v>
      </c>
      <c r="AD114" s="51">
        <v>0.91060606060605997</v>
      </c>
      <c r="AE114" s="51">
        <v>0.93405446251388602</v>
      </c>
      <c r="AI114" s="78"/>
      <c r="AJ114" s="107"/>
      <c r="AK114" s="113" t="s">
        <v>39</v>
      </c>
      <c r="AL114" s="114">
        <f>AS94</f>
        <v>0</v>
      </c>
      <c r="AM114" s="114">
        <f>AS95</f>
        <v>13.093073414159543</v>
      </c>
      <c r="AN114" s="114">
        <f>AS96</f>
        <v>0.99238711073977215</v>
      </c>
      <c r="AO114" s="114">
        <f>AS97</f>
        <v>2.7656104929294361</v>
      </c>
      <c r="AP114" s="114">
        <f>AS98</f>
        <v>2.1654589556924106</v>
      </c>
      <c r="AQ114" s="107"/>
      <c r="AR114" s="107"/>
      <c r="AS114" s="107"/>
      <c r="AU114" s="95"/>
      <c r="AV114" s="1" t="s">
        <v>361</v>
      </c>
      <c r="AW114" s="99"/>
      <c r="AX114" s="1" t="s">
        <v>364</v>
      </c>
      <c r="AY114" s="99"/>
      <c r="BF114">
        <v>0.93071366340556805</v>
      </c>
      <c r="BG114" s="1">
        <v>51</v>
      </c>
      <c r="BH114">
        <f t="shared" si="13"/>
        <v>-0.66567637461552465</v>
      </c>
      <c r="BI114">
        <f t="shared" si="14"/>
        <v>-4.7143678461839464E-2</v>
      </c>
      <c r="BJ114">
        <f t="shared" si="11"/>
        <v>-4.3877265687632783E-2</v>
      </c>
    </row>
    <row r="115" spans="1:62" x14ac:dyDescent="0.3">
      <c r="A115" t="s">
        <v>5</v>
      </c>
      <c r="B115" s="13">
        <v>2</v>
      </c>
      <c r="C115" s="33">
        <f t="shared" si="24"/>
        <v>0</v>
      </c>
      <c r="D115" s="19">
        <f t="shared" si="24"/>
        <v>0</v>
      </c>
      <c r="E115" s="34">
        <f t="shared" si="24"/>
        <v>57.328856655702602</v>
      </c>
      <c r="F115" s="19">
        <f t="shared" si="24"/>
        <v>0</v>
      </c>
      <c r="G115" s="20">
        <f t="shared" si="24"/>
        <v>0.81898366651003718</v>
      </c>
      <c r="H115" s="17">
        <f>SUM(C115:G115)</f>
        <v>58.147840322212637</v>
      </c>
      <c r="I115" s="17">
        <f>E115/H115*100</f>
        <v>98.591549295774655</v>
      </c>
      <c r="J115" s="17">
        <f>SQRT(I115*(100-I115)/(L115-1))</f>
        <v>0.99238711073976715</v>
      </c>
      <c r="K115" s="18">
        <f>100-I115</f>
        <v>1.4084507042253449</v>
      </c>
      <c r="L115" s="1">
        <f>H104</f>
        <v>142</v>
      </c>
      <c r="M115">
        <v>2</v>
      </c>
      <c r="N115" s="1">
        <v>53290.35</v>
      </c>
      <c r="O115" s="17">
        <f>N115/N118*100</f>
        <v>58.147840322212637</v>
      </c>
      <c r="P115" s="52">
        <f>((O115*O115*(I115/100)*(K115/100))/(L115-1))</f>
        <v>0.33298863277103136</v>
      </c>
      <c r="R115" s="66"/>
      <c r="S115" s="66" t="s">
        <v>62</v>
      </c>
      <c r="T115" s="67">
        <f>$AA113*T107/100</f>
        <v>0</v>
      </c>
      <c r="U115" s="67">
        <f>$AA113*U107/100</f>
        <v>118.15556357276648</v>
      </c>
      <c r="V115" s="67">
        <f>$AA113*V107/100</f>
        <v>661.50732779953501</v>
      </c>
      <c r="W115" s="67">
        <f>$AA113*W107/100</f>
        <v>668.65634790007618</v>
      </c>
      <c r="X115" s="67">
        <f>$AA113*X107/100</f>
        <v>808.42809744126066</v>
      </c>
      <c r="AA115" s="1"/>
      <c r="AC115" t="s">
        <v>204</v>
      </c>
      <c r="AD115" s="51">
        <v>0.90757575757575704</v>
      </c>
      <c r="AE115" s="51">
        <v>0.93319636549874196</v>
      </c>
      <c r="AJ115" s="107"/>
      <c r="AK115" s="109" t="s">
        <v>51</v>
      </c>
      <c r="AL115" s="110">
        <f>AW83*100</f>
        <v>100</v>
      </c>
      <c r="AM115" s="110">
        <f>AW84*100</f>
        <v>57.142857142857153</v>
      </c>
      <c r="AN115" s="110">
        <f>AW85*100</f>
        <v>91.205211726384363</v>
      </c>
      <c r="AO115" s="110">
        <f>AW86*100</f>
        <v>86.597938144329888</v>
      </c>
      <c r="AP115" s="110">
        <f>AW87*100</f>
        <v>90.021231422505309</v>
      </c>
      <c r="AQ115" s="107"/>
      <c r="AR115" s="107"/>
      <c r="AS115" s="107"/>
      <c r="AU115" s="96"/>
      <c r="AV115" s="1" t="s">
        <v>362</v>
      </c>
      <c r="AW115" s="100"/>
      <c r="AX115" s="71" t="s">
        <v>365</v>
      </c>
      <c r="AY115" s="102"/>
      <c r="BF115">
        <v>0.93092464491512705</v>
      </c>
      <c r="BG115" s="1">
        <v>52</v>
      </c>
      <c r="BH115">
        <f t="shared" si="13"/>
        <v>-0.65013427195943652</v>
      </c>
      <c r="BI115">
        <f t="shared" si="14"/>
        <v>-4.6042975600538862E-2</v>
      </c>
      <c r="BJ115">
        <f t="shared" si="11"/>
        <v>-4.2862540711767497E-2</v>
      </c>
    </row>
    <row r="116" spans="1:62" x14ac:dyDescent="0.3">
      <c r="A116" t="s">
        <v>6</v>
      </c>
      <c r="B116" s="13">
        <v>3</v>
      </c>
      <c r="C116" s="33">
        <f t="shared" si="24"/>
        <v>0</v>
      </c>
      <c r="D116" s="19">
        <f t="shared" si="24"/>
        <v>0</v>
      </c>
      <c r="E116" s="19">
        <f t="shared" si="24"/>
        <v>0.86531829995846732</v>
      </c>
      <c r="F116" s="34">
        <f t="shared" si="24"/>
        <v>21.806021158953378</v>
      </c>
      <c r="G116" s="20">
        <f t="shared" si="24"/>
        <v>2.2498275798920151</v>
      </c>
      <c r="H116" s="17">
        <f>SUM(C116:G116)</f>
        <v>24.921167038803858</v>
      </c>
      <c r="I116" s="17">
        <f>F116/H116*100</f>
        <v>87.500000000000014</v>
      </c>
      <c r="J116" s="17">
        <f>SQRT(I116*(100-I116)/(L116-1))</f>
        <v>2.7656104929294347</v>
      </c>
      <c r="K116" s="18">
        <f>100-I116</f>
        <v>12.499999999999986</v>
      </c>
      <c r="L116" s="1">
        <f>H105</f>
        <v>144</v>
      </c>
      <c r="M116">
        <v>3</v>
      </c>
      <c r="N116" s="1">
        <v>22839.33</v>
      </c>
      <c r="O116" s="17">
        <f>N116/N118*100</f>
        <v>24.921167038803858</v>
      </c>
      <c r="P116" s="52">
        <f>((O116*O116*(I116/100)*(K116/100))/(L116-1))</f>
        <v>0.47502753125346853</v>
      </c>
      <c r="R116" t="s">
        <v>98</v>
      </c>
      <c r="S116" t="s">
        <v>28</v>
      </c>
      <c r="T116" s="57">
        <f>C321</f>
        <v>1.0643307881865853</v>
      </c>
      <c r="U116" s="57">
        <f t="shared" ref="U116:X119" si="25">D321</f>
        <v>0.27264960920780379</v>
      </c>
      <c r="V116" s="57">
        <f t="shared" si="25"/>
        <v>60.544932943399694</v>
      </c>
      <c r="W116" s="57">
        <f t="shared" si="25"/>
        <v>21.743684533814641</v>
      </c>
      <c r="X116" s="57">
        <f t="shared" si="25"/>
        <v>16.374402125391295</v>
      </c>
      <c r="Z116" s="74"/>
      <c r="AA116" s="12"/>
      <c r="AC116" t="s">
        <v>215</v>
      </c>
      <c r="AD116" s="51">
        <v>0.89242424242424201</v>
      </c>
      <c r="AE116" s="51">
        <v>0.92819334082275096</v>
      </c>
      <c r="AI116" s="78"/>
      <c r="AJ116" s="115" t="s">
        <v>356</v>
      </c>
      <c r="AK116" s="107" t="s">
        <v>9</v>
      </c>
      <c r="AL116" s="116">
        <f>AW94</f>
        <v>1018.99</v>
      </c>
      <c r="AM116" s="116">
        <f>AW95</f>
        <v>786.7</v>
      </c>
      <c r="AN116" s="116">
        <f>AW96</f>
        <v>53260.1</v>
      </c>
      <c r="AO116" s="116">
        <f>AW97</f>
        <v>22828.9</v>
      </c>
      <c r="AP116" s="116">
        <f>AW98</f>
        <v>13751.63</v>
      </c>
      <c r="AQ116" s="107"/>
      <c r="AR116" s="115" t="s">
        <v>36</v>
      </c>
      <c r="AS116" s="111">
        <f>AW99</f>
        <v>91646.32</v>
      </c>
      <c r="AW116" s="102"/>
      <c r="AX116" s="1" t="s">
        <v>362</v>
      </c>
      <c r="AY116" s="104"/>
      <c r="BF116">
        <v>0.93094001054570696</v>
      </c>
      <c r="BG116" s="1">
        <v>53</v>
      </c>
      <c r="BH116">
        <f t="shared" si="13"/>
        <v>-0.63474765328291094</v>
      </c>
      <c r="BI116">
        <f t="shared" si="14"/>
        <v>-4.4953284226228012E-2</v>
      </c>
      <c r="BJ116">
        <f t="shared" si="11"/>
        <v>-4.1848810891628868E-2</v>
      </c>
    </row>
    <row r="117" spans="1:62" ht="15.6" x14ac:dyDescent="0.35">
      <c r="A117" t="s">
        <v>7</v>
      </c>
      <c r="B117" s="13">
        <v>4</v>
      </c>
      <c r="C117" s="35">
        <f t="shared" si="24"/>
        <v>0</v>
      </c>
      <c r="D117" s="36">
        <f t="shared" si="24"/>
        <v>0</v>
      </c>
      <c r="E117" s="21">
        <f t="shared" si="24"/>
        <v>1.055018418984542</v>
      </c>
      <c r="F117" s="21">
        <f t="shared" si="24"/>
        <v>1.1170783259836325</v>
      </c>
      <c r="G117" s="37">
        <f t="shared" si="24"/>
        <v>12.970520562809957</v>
      </c>
      <c r="H117" s="17">
        <f>SUM(C117:G117)</f>
        <v>15.142617307778131</v>
      </c>
      <c r="I117" s="17">
        <f>G117/H117*100</f>
        <v>85.655737704918039</v>
      </c>
      <c r="J117" s="17">
        <f>SQRT(I117*(100-I117)/(L117-1))</f>
        <v>2.2486103332811194</v>
      </c>
      <c r="K117" s="18">
        <f>100-I117</f>
        <v>14.344262295081961</v>
      </c>
      <c r="L117" s="1">
        <f>H106</f>
        <v>244</v>
      </c>
      <c r="M117">
        <v>4</v>
      </c>
      <c r="N117" s="1">
        <v>13877.65</v>
      </c>
      <c r="O117" s="17">
        <f>N117/N118*100</f>
        <v>15.142617307778131</v>
      </c>
      <c r="P117" s="52">
        <f>((O117*O117*(I117/100)*(K117/100))/(L117-1))</f>
        <v>0.1159391995679929</v>
      </c>
      <c r="S117" s="66" t="s">
        <v>39</v>
      </c>
      <c r="T117" s="67">
        <f>C322</f>
        <v>0</v>
      </c>
      <c r="U117" s="67">
        <f t="shared" si="25"/>
        <v>9.9557560838721595E-2</v>
      </c>
      <c r="V117" s="67">
        <f t="shared" si="25"/>
        <v>0.62398948401830967</v>
      </c>
      <c r="W117" s="67">
        <f t="shared" si="25"/>
        <v>0.80931490320072452</v>
      </c>
      <c r="X117" s="67">
        <f t="shared" si="25"/>
        <v>0.88285752316774069</v>
      </c>
      <c r="AC117" t="s">
        <v>216</v>
      </c>
      <c r="AD117" s="51">
        <v>0.89696969696969697</v>
      </c>
      <c r="AE117" s="51">
        <v>0.93169039471788095</v>
      </c>
      <c r="AH117" s="78"/>
      <c r="AJ117" s="115" t="s">
        <v>355</v>
      </c>
      <c r="AK117" s="107" t="s">
        <v>63</v>
      </c>
      <c r="AL117" s="108">
        <f>$AS116*AL109/100</f>
        <v>1018.99</v>
      </c>
      <c r="AM117" s="108">
        <f>$AS116*AM109/100</f>
        <v>314.68</v>
      </c>
      <c r="AN117" s="108">
        <f>$AS116*AN109/100</f>
        <v>54394.598418154652</v>
      </c>
      <c r="AO117" s="108">
        <f>$AS116*AO109/100</f>
        <v>21158.829426229513</v>
      </c>
      <c r="AP117" s="108">
        <f>$AS116*AP109/100</f>
        <v>14759.222155615844</v>
      </c>
      <c r="AQ117" s="107"/>
      <c r="AR117" s="115" t="s">
        <v>36</v>
      </c>
      <c r="AS117" s="136">
        <f>SUM(AL117:AP117)</f>
        <v>91646.32</v>
      </c>
      <c r="BF117">
        <v>0.93094043767241696</v>
      </c>
      <c r="BG117" s="1">
        <v>54</v>
      </c>
      <c r="BH117">
        <f t="shared" si="13"/>
        <v>-0.6195098661793067</v>
      </c>
      <c r="BI117">
        <f t="shared" si="14"/>
        <v>-4.3874133210695589E-2</v>
      </c>
      <c r="BJ117">
        <f t="shared" si="11"/>
        <v>-4.0844204773662879E-2</v>
      </c>
    </row>
    <row r="118" spans="1:62" x14ac:dyDescent="0.3">
      <c r="B118" t="s">
        <v>28</v>
      </c>
      <c r="C118" s="17">
        <f t="shared" ref="C118:H118" si="26">SUM(C113:C117)</f>
        <v>1.0030409298530405</v>
      </c>
      <c r="D118" s="17">
        <f t="shared" si="26"/>
        <v>0.26177813378410986</v>
      </c>
      <c r="E118" s="17">
        <f t="shared" si="26"/>
        <v>59.772749642213832</v>
      </c>
      <c r="F118" s="17">
        <f t="shared" si="26"/>
        <v>22.923099484937012</v>
      </c>
      <c r="G118" s="17">
        <f t="shared" si="26"/>
        <v>16.039331809212008</v>
      </c>
      <c r="H118" s="18">
        <f t="shared" si="26"/>
        <v>100</v>
      </c>
      <c r="I118" s="13" t="s">
        <v>24</v>
      </c>
      <c r="J118" s="12" t="s">
        <v>29</v>
      </c>
      <c r="N118" s="1">
        <f>SUM(N113:N117)</f>
        <v>91646.31</v>
      </c>
      <c r="O118" s="17">
        <f>SUM(O113:O117)</f>
        <v>100</v>
      </c>
      <c r="S118" t="s">
        <v>30</v>
      </c>
      <c r="T118" s="57">
        <f>C323</f>
        <v>100</v>
      </c>
      <c r="U118" s="57">
        <f t="shared" si="25"/>
        <v>100</v>
      </c>
      <c r="V118" s="57">
        <f t="shared" si="25"/>
        <v>95.622159402357852</v>
      </c>
      <c r="W118" s="57">
        <f t="shared" si="25"/>
        <v>93.94375632423511</v>
      </c>
      <c r="X118" s="57">
        <f t="shared" si="25"/>
        <v>77.740579008270203</v>
      </c>
      <c r="AC118" t="s">
        <v>217</v>
      </c>
      <c r="AD118" s="51">
        <v>0.91060606060605997</v>
      </c>
      <c r="AE118" s="51">
        <v>0.94206669750212801</v>
      </c>
      <c r="AI118" s="78"/>
      <c r="AJ118" s="109"/>
      <c r="AK118" s="109" t="s">
        <v>354</v>
      </c>
      <c r="AL118" s="110">
        <f>$AS116*AL110/100</f>
        <v>0</v>
      </c>
      <c r="AM118" s="110">
        <f>$AS116*AM110/100</f>
        <v>99.510553410178559</v>
      </c>
      <c r="AN118" s="110">
        <f>$AS116*AN110/100</f>
        <v>664.8028393832534</v>
      </c>
      <c r="AO118" s="110">
        <f>$AS116*AO110/100</f>
        <v>675.87564351545313</v>
      </c>
      <c r="AP118" s="110">
        <f>$AS116*AP110/100</f>
        <v>814.2112913454273</v>
      </c>
      <c r="AQ118" s="107"/>
      <c r="AR118" s="107"/>
      <c r="AS118" s="107"/>
      <c r="BF118">
        <v>0.93097633972454397</v>
      </c>
      <c r="BG118" s="1">
        <v>55</v>
      </c>
      <c r="BH118">
        <f t="shared" si="13"/>
        <v>-0.6044145871408374</v>
      </c>
      <c r="BI118">
        <f t="shared" si="14"/>
        <v>-4.2805074718583164E-2</v>
      </c>
      <c r="BJ118">
        <f t="shared" si="11"/>
        <v>-3.9850511783142167E-2</v>
      </c>
    </row>
    <row r="119" spans="1:62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0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9.5587859290108129E-2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0.73840951337226224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0.73207944193840047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0.89460617847280899</v>
      </c>
      <c r="H119" s="1"/>
      <c r="I119" s="56">
        <f>(C113+D114+E115+F116+G117)/H118</f>
        <v>0.93370217441103076</v>
      </c>
      <c r="J119" s="53">
        <f>SQRT(SUM(P113:P117))/100</f>
        <v>9.6630484220449238E-3</v>
      </c>
      <c r="M119" s="1"/>
      <c r="N119" s="9"/>
      <c r="S119" s="66" t="s">
        <v>39</v>
      </c>
      <c r="T119" s="67">
        <f>C324</f>
        <v>0</v>
      </c>
      <c r="U119" s="67">
        <f t="shared" si="25"/>
        <v>0</v>
      </c>
      <c r="V119" s="67">
        <f t="shared" si="25"/>
        <v>0.80420185291594137</v>
      </c>
      <c r="W119" s="67">
        <f t="shared" si="25"/>
        <v>2.4375874050088675</v>
      </c>
      <c r="X119" s="67">
        <f t="shared" si="25"/>
        <v>6.2878087883859086</v>
      </c>
      <c r="AC119" t="s">
        <v>218</v>
      </c>
      <c r="AD119" s="51">
        <v>0.90303030303030296</v>
      </c>
      <c r="AE119" s="51">
        <v>0.92939914210731001</v>
      </c>
      <c r="AH119" s="78"/>
      <c r="AJ119" s="115" t="s">
        <v>376</v>
      </c>
      <c r="AK119" s="122" t="s">
        <v>9</v>
      </c>
      <c r="AL119" s="135">
        <f>AVERAGE(AR195:AR214)</f>
        <v>1019.4185000000001</v>
      </c>
      <c r="AM119" s="135">
        <f>AVERAGE(AS195:AS214)</f>
        <v>818.3304999999998</v>
      </c>
      <c r="AN119" s="135">
        <f>AVERAGE(AT195:AT214)</f>
        <v>53054.420000000006</v>
      </c>
      <c r="AO119" s="135">
        <f>AVERAGE(AU195:AU214)</f>
        <v>22797.716</v>
      </c>
      <c r="AP119" s="135">
        <f>AVERAGE(AV195:AV214)</f>
        <v>13956.434499999999</v>
      </c>
      <c r="AQ119" s="107"/>
      <c r="AR119" s="115" t="s">
        <v>36</v>
      </c>
      <c r="AS119" s="136">
        <f>SUM(AL119:AP119)</f>
        <v>91646.319500000012</v>
      </c>
      <c r="BF119">
        <v>0.93112206601792202</v>
      </c>
      <c r="BG119" s="1">
        <v>56</v>
      </c>
      <c r="BH119">
        <f t="shared" si="13"/>
        <v>-0.58945579784977842</v>
      </c>
      <c r="BI119">
        <f t="shared" si="14"/>
        <v>-4.1745682528311422E-2</v>
      </c>
      <c r="BJ119">
        <f t="shared" si="11"/>
        <v>-3.8870326163089601E-2</v>
      </c>
    </row>
    <row r="120" spans="1:62" x14ac:dyDescent="0.3">
      <c r="B120" s="1" t="s">
        <v>30</v>
      </c>
      <c r="C120" s="17">
        <f>C113/C118*100</f>
        <v>100</v>
      </c>
      <c r="D120" s="17">
        <f>D114/D118*100</f>
        <v>100</v>
      </c>
      <c r="E120" s="17">
        <f>E115/E118*100</f>
        <v>95.911359271340501</v>
      </c>
      <c r="F120" s="17">
        <f>F116/F118*100</f>
        <v>95.126844313886622</v>
      </c>
      <c r="G120" s="17">
        <f>G117/G118*100</f>
        <v>80.86696326938312</v>
      </c>
      <c r="H120" s="1"/>
      <c r="S120" s="15" t="s">
        <v>31</v>
      </c>
      <c r="T120" s="71">
        <f>I316</f>
        <v>100</v>
      </c>
      <c r="U120" s="71">
        <f>I317</f>
        <v>33.333333333333329</v>
      </c>
      <c r="V120" s="71">
        <f>I318</f>
        <v>99.295774647887313</v>
      </c>
      <c r="W120" s="71">
        <f>I319</f>
        <v>83.333333333333343</v>
      </c>
      <c r="X120" s="71">
        <f>I320</f>
        <v>83.196721311475414</v>
      </c>
      <c r="AC120" t="s">
        <v>219</v>
      </c>
      <c r="AD120" s="51">
        <v>0.89393939393939303</v>
      </c>
      <c r="AE120" s="51">
        <v>0.93284039514327499</v>
      </c>
      <c r="AI120" s="78"/>
      <c r="AJ120" s="140"/>
      <c r="AK120" s="128" t="s">
        <v>368</v>
      </c>
      <c r="AL120" s="125">
        <f>_xlfn.STDEV.S(AR195:AR214)/SQRT($AK$108)</f>
        <v>13.170692510166978</v>
      </c>
      <c r="AM120" s="125">
        <f>_xlfn.STDEV.S(AS195:AS214)/SQRT($AK$108)</f>
        <v>16.17566742257609</v>
      </c>
      <c r="AN120" s="125">
        <f>_xlfn.STDEV.S(AT195:AT214)/SQRT($AK$108)</f>
        <v>53.965476698192532</v>
      </c>
      <c r="AO120" s="125">
        <f>_xlfn.STDEV.S(AU195:AU214)/SQRT($AK$108)</f>
        <v>74.777360918930526</v>
      </c>
      <c r="AP120" s="125">
        <f>_xlfn.STDEV.S(AV195:AV214)/SQRT($AK$108)</f>
        <v>62.586600144267457</v>
      </c>
      <c r="AQ120" s="107"/>
      <c r="AR120" s="107"/>
      <c r="AS120" s="107"/>
      <c r="BF120">
        <v>0.93120574438967396</v>
      </c>
      <c r="BG120" s="1">
        <v>57</v>
      </c>
      <c r="BH120">
        <f t="shared" si="13"/>
        <v>-0.57462776351023559</v>
      </c>
      <c r="BI120">
        <f t="shared" si="14"/>
        <v>-4.0695550497520529E-2</v>
      </c>
      <c r="BJ120">
        <f t="shared" si="11"/>
        <v>-3.7895930394391174E-2</v>
      </c>
    </row>
    <row r="121" spans="1:62" x14ac:dyDescent="0.3">
      <c r="B121" s="16" t="s">
        <v>39</v>
      </c>
      <c r="C121" s="18">
        <f>SQRT((C124+C125)/(C118*C118))</f>
        <v>0</v>
      </c>
      <c r="D121" s="18">
        <f>SQRT((D124+D125)/(D118*D118))</f>
        <v>0</v>
      </c>
      <c r="E121" s="18">
        <f>SQRT((E124+E125)/(E118*E118))</f>
        <v>0.84456240235570545</v>
      </c>
      <c r="F121" s="18">
        <f>SQRT((F124+F125)/(F118*F118))</f>
        <v>1.8047566242808164</v>
      </c>
      <c r="G121" s="18">
        <f>SQRT((G124+G125)/(G118*G118))</f>
        <v>5.8334523607484821</v>
      </c>
      <c r="H121" s="1"/>
      <c r="I121" s="14"/>
      <c r="S121" s="75" t="s">
        <v>39</v>
      </c>
      <c r="T121" s="76">
        <f>J316</f>
        <v>0</v>
      </c>
      <c r="U121" s="76">
        <f>J317</f>
        <v>12.598815766974241</v>
      </c>
      <c r="V121" s="76">
        <f>J318</f>
        <v>0.70422535211268134</v>
      </c>
      <c r="W121" s="76">
        <f>J319</f>
        <v>3.1164899666948562</v>
      </c>
      <c r="X121" s="76">
        <f>J320</f>
        <v>2.398540103105788</v>
      </c>
      <c r="AC121" t="s">
        <v>220</v>
      </c>
      <c r="AD121" s="51">
        <v>0.90606060606060601</v>
      </c>
      <c r="AE121" s="51">
        <v>0.93112206601792202</v>
      </c>
      <c r="AH121" s="78"/>
      <c r="AJ121" s="119" t="s">
        <v>695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  <c r="BF121">
        <v>0.93123178639996396</v>
      </c>
      <c r="BG121" s="1">
        <v>58</v>
      </c>
      <c r="BH121">
        <f t="shared" si="13"/>
        <v>-0.5599250130095369</v>
      </c>
      <c r="BI121">
        <f t="shared" si="14"/>
        <v>-3.9654291158085615E-2</v>
      </c>
      <c r="BJ121">
        <f t="shared" si="11"/>
        <v>-3.6927336393568364E-2</v>
      </c>
    </row>
    <row r="122" spans="1:62" x14ac:dyDescent="0.3">
      <c r="B122" s="1" t="s">
        <v>37</v>
      </c>
      <c r="C122" s="18">
        <f>100-C120</f>
        <v>0</v>
      </c>
      <c r="D122" s="18">
        <f>100-D120</f>
        <v>0</v>
      </c>
      <c r="E122" s="18">
        <f>100-E120</f>
        <v>4.0886407286594988</v>
      </c>
      <c r="F122" s="18">
        <f>100-F120</f>
        <v>4.8731556861133782</v>
      </c>
      <c r="G122" s="18">
        <f>100-G120</f>
        <v>19.13303673061688</v>
      </c>
      <c r="S122" s="66" t="s">
        <v>51</v>
      </c>
      <c r="T122" s="67">
        <f>N305*100</f>
        <v>100</v>
      </c>
      <c r="U122" s="67">
        <f>N306*100</f>
        <v>50</v>
      </c>
      <c r="V122" s="67">
        <f>N307*100</f>
        <v>88.679245283018872</v>
      </c>
      <c r="W122" s="67">
        <f>N308*100</f>
        <v>84.210526315789465</v>
      </c>
      <c r="X122" s="67">
        <f>N309*100</f>
        <v>86.937901498929321</v>
      </c>
      <c r="AC122" t="s">
        <v>221</v>
      </c>
      <c r="AD122" s="51">
        <v>0.90757575757575704</v>
      </c>
      <c r="AE122" s="51">
        <v>0.93742224819124198</v>
      </c>
      <c r="AI122" s="78"/>
      <c r="AJ122" s="115" t="s">
        <v>375</v>
      </c>
      <c r="AK122" s="122" t="s">
        <v>9</v>
      </c>
      <c r="AL122" s="135">
        <v>5.04</v>
      </c>
      <c r="AM122" s="135">
        <v>314.64999999999998</v>
      </c>
      <c r="AN122" s="135">
        <v>5284.64</v>
      </c>
      <c r="AO122" s="135">
        <v>455.06</v>
      </c>
      <c r="AP122" s="135">
        <v>259.57</v>
      </c>
      <c r="AQ122" s="107"/>
      <c r="AR122" s="115" t="s">
        <v>36</v>
      </c>
      <c r="AS122" s="136">
        <f>SUM(AL122:AP122)</f>
        <v>6318.96</v>
      </c>
      <c r="AU122">
        <v>1</v>
      </c>
      <c r="AV122">
        <v>68</v>
      </c>
      <c r="BF122">
        <v>0.931304626661275</v>
      </c>
      <c r="BG122" s="1">
        <v>59</v>
      </c>
      <c r="BH122">
        <f t="shared" si="13"/>
        <v>-0.5453423207232565</v>
      </c>
      <c r="BI122">
        <f t="shared" si="14"/>
        <v>-3.8621534427535548E-2</v>
      </c>
      <c r="BJ122">
        <f t="shared" si="11"/>
        <v>-3.5968413701121575E-2</v>
      </c>
    </row>
    <row r="123" spans="1:62" ht="15.6" x14ac:dyDescent="0.35">
      <c r="B123" s="1" t="s">
        <v>25</v>
      </c>
      <c r="C123" s="1">
        <f>C107</f>
        <v>115</v>
      </c>
      <c r="D123" s="1">
        <f>D107</f>
        <v>5</v>
      </c>
      <c r="E123" s="1">
        <f>E107</f>
        <v>172</v>
      </c>
      <c r="F123" s="1">
        <f>F107</f>
        <v>144</v>
      </c>
      <c r="G123" s="1">
        <f>G107</f>
        <v>224</v>
      </c>
      <c r="R123" s="16" t="s">
        <v>61</v>
      </c>
      <c r="S123" t="s">
        <v>9</v>
      </c>
      <c r="T123" s="30">
        <f>N316</f>
        <v>975.42</v>
      </c>
      <c r="U123" s="30">
        <f>N317</f>
        <v>749.62</v>
      </c>
      <c r="V123" s="30">
        <f>N318</f>
        <v>53434.36</v>
      </c>
      <c r="W123" s="30">
        <f>N319</f>
        <v>22464.53</v>
      </c>
      <c r="X123" s="30">
        <f>N320</f>
        <v>14022.39</v>
      </c>
      <c r="Z123" t="s">
        <v>36</v>
      </c>
      <c r="AA123" s="1">
        <f>N321</f>
        <v>91646.319999999992</v>
      </c>
      <c r="AC123" t="s">
        <v>222</v>
      </c>
      <c r="AD123" s="51">
        <v>0.89545454545454495</v>
      </c>
      <c r="AE123" s="51">
        <v>0.93206165075650604</v>
      </c>
      <c r="AH123" s="78"/>
      <c r="AJ123" s="107"/>
      <c r="AK123" s="107" t="s">
        <v>367</v>
      </c>
      <c r="AL123" s="108">
        <f>(AL122/$AS122)*100</f>
        <v>7.9759960499829086E-2</v>
      </c>
      <c r="AM123" s="108">
        <f>(AM122/$AS122)*100</f>
        <v>4.9794586450934961</v>
      </c>
      <c r="AN123" s="108">
        <f>(AN122/$AS122)*100</f>
        <v>83.631483661868415</v>
      </c>
      <c r="AO123" s="108">
        <f>(AO122/$AS122)*100</f>
        <v>7.2015015129071864</v>
      </c>
      <c r="AP123" s="108">
        <f>(AP122/$AS122)*100</f>
        <v>4.1077962196310782</v>
      </c>
      <c r="AQ123" s="107"/>
      <c r="AR123" s="107"/>
      <c r="AS123" s="107"/>
      <c r="AU123">
        <v>2</v>
      </c>
      <c r="AV123">
        <v>97</v>
      </c>
      <c r="BF123">
        <v>0.93130955390196501</v>
      </c>
      <c r="BG123" s="1">
        <v>60</v>
      </c>
      <c r="BH123">
        <f t="shared" si="13"/>
        <v>-0.53087468979951646</v>
      </c>
      <c r="BI123">
        <f t="shared" si="14"/>
        <v>-3.7596926425235176E-2</v>
      </c>
      <c r="BJ123">
        <f t="shared" si="11"/>
        <v>-3.5014376777170772E-2</v>
      </c>
    </row>
    <row r="124" spans="1:62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0</v>
      </c>
      <c r="E124" s="18">
        <f>(O115*O115*(100-E120)*(100-E120)*(I115)*(100-I115))/((L115-1)*100)</f>
        <v>556.65653159082251</v>
      </c>
      <c r="F124" s="18">
        <f>(O116*O116*(100-F120)*(100-F120)*(I116)*(100-I116))/((L116-1)*100)</f>
        <v>1128.0785814492795</v>
      </c>
      <c r="G124" s="18">
        <f>(O117*O117*(100-G120)*(100-G120)*(I117)*(100-I117))/((L117-1)*100)</f>
        <v>4244.2221563781704</v>
      </c>
      <c r="R124" s="16" t="s">
        <v>318</v>
      </c>
      <c r="S124" t="s">
        <v>63</v>
      </c>
      <c r="T124" s="57">
        <f>$AA123*T116/100</f>
        <v>975.42000000000019</v>
      </c>
      <c r="U124" s="57">
        <f>$AA123*U116/100</f>
        <v>249.87333333333333</v>
      </c>
      <c r="V124" s="57">
        <f>$AA123*V116/100</f>
        <v>55487.202989093494</v>
      </c>
      <c r="W124" s="57">
        <f>$AA123*W116/100</f>
        <v>19927.286707650273</v>
      </c>
      <c r="X124" s="57">
        <f>$AA123*X116/100</f>
        <v>15006.536969922907</v>
      </c>
      <c r="Z124" t="s">
        <v>36</v>
      </c>
      <c r="AA124" s="25">
        <f>SUM(T124:X124)</f>
        <v>91646.32</v>
      </c>
      <c r="AC124" t="s">
        <v>223</v>
      </c>
      <c r="AD124" s="51">
        <v>0.912121212121212</v>
      </c>
      <c r="AE124" s="51">
        <v>0.93714136189220099</v>
      </c>
      <c r="AI124" s="78"/>
      <c r="AJ124" s="115" t="s">
        <v>376</v>
      </c>
      <c r="AK124" s="122" t="s">
        <v>9</v>
      </c>
      <c r="AL124" s="135">
        <f>AVERAGE(AR216:AR235)</f>
        <v>4.6440000000000001</v>
      </c>
      <c r="AM124" s="139">
        <f>AVERAGE(AS216:AS235)</f>
        <v>316.666</v>
      </c>
      <c r="AN124" s="135">
        <f>AVERAGE(AT216:AT235)</f>
        <v>5275.6760000000004</v>
      </c>
      <c r="AO124" s="135">
        <f>AVERAGE(AU216:AU235)</f>
        <v>456.14000000000004</v>
      </c>
      <c r="AP124" s="135">
        <f>AVERAGE(AV216:AV235)</f>
        <v>265.83399999999995</v>
      </c>
      <c r="AQ124" s="107"/>
      <c r="AR124" s="115" t="s">
        <v>36</v>
      </c>
      <c r="AS124" s="136">
        <f>SUM(AL124:AP124)</f>
        <v>6318.9600000000009</v>
      </c>
      <c r="AU124">
        <v>3</v>
      </c>
      <c r="AV124">
        <v>126</v>
      </c>
      <c r="BF124">
        <v>0.9314139120555136</v>
      </c>
      <c r="BG124" s="1">
        <v>61</v>
      </c>
      <c r="BH124">
        <f t="shared" si="13"/>
        <v>-0.51651733677697942</v>
      </c>
      <c r="BI124">
        <f t="shared" si="14"/>
        <v>-3.6580128383020535E-2</v>
      </c>
      <c r="BJ124">
        <f t="shared" si="11"/>
        <v>-3.4071240480722083E-2</v>
      </c>
    </row>
    <row r="125" spans="1:62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0</v>
      </c>
      <c r="E125" s="18">
        <f>E120*E120*(SUM((H113*E113*(1-E102/H102))/(H102-1),(H114*E114*(1-E103/H103))/(H103-1), (H116*E116*(1-E105/H105))/(H105-1),(H117*E117*(1-E106/H106))/(H106-1)))</f>
        <v>1991.7573193861169</v>
      </c>
      <c r="F125" s="18">
        <f>F120*F120*(SUM((H113*F113*(1-F102/H102))/(H102-1),(H114*F114*(1-F103/H103))/(H103-1), (H115*F115*(1-F104/H104))/(H104-1),(H117*F117*(1-F106/H106))/(H106-1)))</f>
        <v>583.44925735469587</v>
      </c>
      <c r="G125" s="18">
        <f>G120*G120*(SUM((H113*G113*(1-G102/H102))/(H102-1),(H114*G114*(1-G103/H103))/(H103-1), (H115*G115*(1-G104/H104))/(H104-1),(H116*G116*(1-G105/H105))/(H105-1)))</f>
        <v>4510.1268142270692</v>
      </c>
      <c r="R125" s="66"/>
      <c r="S125" s="66" t="s">
        <v>62</v>
      </c>
      <c r="T125" s="67">
        <f>$AA123*T117/100</f>
        <v>0</v>
      </c>
      <c r="U125" s="67">
        <f>$AA123*U117/100</f>
        <v>91.240840790449468</v>
      </c>
      <c r="V125" s="67">
        <f>$AA123*V117/100</f>
        <v>571.86339928976884</v>
      </c>
      <c r="W125" s="67">
        <f>$AA123*W117/100</f>
        <v>741.70732599502617</v>
      </c>
      <c r="X125" s="67">
        <f>$AA123*X117/100</f>
        <v>809.10643082638171</v>
      </c>
      <c r="AA125" s="1"/>
      <c r="AC125" t="s">
        <v>224</v>
      </c>
      <c r="AD125" s="51">
        <v>0.90757575757575704</v>
      </c>
      <c r="AE125" s="51">
        <v>0.93574173372916003</v>
      </c>
      <c r="AH125" s="78"/>
      <c r="AJ125" s="107"/>
      <c r="AK125" s="128" t="s">
        <v>368</v>
      </c>
      <c r="AL125" s="125">
        <f>_xlfn.STDEV.S(AR216:AR235)/SQRT($AK$108)</f>
        <v>0.18633077549008453</v>
      </c>
      <c r="AM125" s="125">
        <f>_xlfn.STDEV.S(AS216:AS235)/SQRT($AK$108)</f>
        <v>4.2501511056729075</v>
      </c>
      <c r="AN125" s="125">
        <f>_xlfn.STDEV.S(AT216:AT235)/SQRT($AK$108)</f>
        <v>4.9795403719409048</v>
      </c>
      <c r="AO125" s="125">
        <f>_xlfn.STDEV.S(AU216:AU235)/SQRT($AK$108)</f>
        <v>2.2649754268447437</v>
      </c>
      <c r="AP125" s="125">
        <f>_xlfn.STDEV.S(AV216:AV235)/SQRT($AK$108)</f>
        <v>1.7940026403782716</v>
      </c>
      <c r="AQ125" s="107"/>
      <c r="AR125" s="107"/>
      <c r="AS125" s="107"/>
      <c r="AU125">
        <v>4</v>
      </c>
      <c r="AV125">
        <v>155</v>
      </c>
      <c r="BF125">
        <v>0.93142494615951099</v>
      </c>
      <c r="BG125" s="1">
        <v>62</v>
      </c>
      <c r="BH125">
        <f t="shared" si="13"/>
        <v>-0.5022656774073111</v>
      </c>
      <c r="BI125">
        <f t="shared" si="14"/>
        <v>-3.557081564113547E-2</v>
      </c>
      <c r="BJ125">
        <f t="shared" si="11"/>
        <v>-3.3131545043394495E-2</v>
      </c>
    </row>
    <row r="126" spans="1:62" x14ac:dyDescent="0.3">
      <c r="R126" t="s">
        <v>99</v>
      </c>
      <c r="S126" t="s">
        <v>28</v>
      </c>
      <c r="T126" s="57">
        <f>C350</f>
        <v>1.1570459130273862</v>
      </c>
      <c r="U126" s="57">
        <f t="shared" ref="U126:X129" si="27">D350</f>
        <v>0.27566118675941742</v>
      </c>
      <c r="V126" s="57">
        <f t="shared" si="27"/>
        <v>59.678335184904299</v>
      </c>
      <c r="W126" s="57">
        <f t="shared" si="27"/>
        <v>23.297295592337825</v>
      </c>
      <c r="X126" s="57">
        <f t="shared" si="27"/>
        <v>15.591662122971091</v>
      </c>
      <c r="Y126" s="13"/>
      <c r="Z126" s="74"/>
      <c r="AA126" s="12"/>
      <c r="AC126" t="s">
        <v>225</v>
      </c>
      <c r="AD126" s="51">
        <v>0.898484848484848</v>
      </c>
      <c r="AE126" s="51">
        <v>0.93333980631691205</v>
      </c>
      <c r="AI126" s="78"/>
      <c r="AJ126" s="119" t="s">
        <v>659</v>
      </c>
      <c r="AK126" s="107"/>
      <c r="AL126" s="116"/>
      <c r="AM126" s="116"/>
      <c r="AN126" s="116"/>
      <c r="AO126" s="116"/>
      <c r="AP126" s="116"/>
      <c r="AQ126" s="107"/>
      <c r="AR126" s="107"/>
      <c r="AS126" s="107"/>
      <c r="AU126">
        <v>5</v>
      </c>
      <c r="AV126">
        <v>184</v>
      </c>
      <c r="BF126">
        <v>0.93147045223552105</v>
      </c>
      <c r="BG126" s="1">
        <v>63</v>
      </c>
      <c r="BH126">
        <f t="shared" si="13"/>
        <v>-0.48811531356716492</v>
      </c>
      <c r="BI126">
        <f t="shared" si="14"/>
        <v>-3.4568676721328996E-2</v>
      </c>
      <c r="BJ126">
        <f t="shared" si="11"/>
        <v>-3.2199700938799848E-2</v>
      </c>
    </row>
    <row r="127" spans="1:62" x14ac:dyDescent="0.3">
      <c r="S127" s="66" t="s">
        <v>39</v>
      </c>
      <c r="T127" s="67">
        <f>C351</f>
        <v>0</v>
      </c>
      <c r="U127" s="67">
        <f t="shared" si="27"/>
        <v>0.10065723347785159</v>
      </c>
      <c r="V127" s="67">
        <f t="shared" si="27"/>
        <v>0.62142650298590818</v>
      </c>
      <c r="W127" s="67">
        <f t="shared" si="27"/>
        <v>0.72675788950365927</v>
      </c>
      <c r="X127" s="67">
        <f t="shared" si="27"/>
        <v>0.76450687112091154</v>
      </c>
      <c r="AC127" t="s">
        <v>226</v>
      </c>
      <c r="AD127" s="51">
        <v>0.91515151515151505</v>
      </c>
      <c r="AE127" s="51">
        <v>0.93809994789671602</v>
      </c>
      <c r="AH127" s="78"/>
      <c r="AJ127" s="115" t="s">
        <v>375</v>
      </c>
      <c r="AK127" s="122" t="s">
        <v>9</v>
      </c>
      <c r="AL127" s="135">
        <v>838.28</v>
      </c>
      <c r="AM127" s="135">
        <v>111.72</v>
      </c>
      <c r="AN127" s="135">
        <v>2783.46</v>
      </c>
      <c r="AO127" s="135">
        <v>11073.03</v>
      </c>
      <c r="AP127" s="135">
        <v>6786.42</v>
      </c>
      <c r="AQ127" s="107"/>
      <c r="AR127" s="115" t="s">
        <v>36</v>
      </c>
      <c r="AS127" s="136">
        <f>SUM(AL127:AP127)</f>
        <v>21592.910000000003</v>
      </c>
      <c r="AU127">
        <v>6</v>
      </c>
      <c r="AV127">
        <v>213</v>
      </c>
      <c r="BF127">
        <v>0.93163746986920404</v>
      </c>
      <c r="BG127" s="1">
        <v>64</v>
      </c>
      <c r="BH127">
        <f t="shared" si="13"/>
        <v>-0.4740620211572345</v>
      </c>
      <c r="BI127">
        <f t="shared" si="14"/>
        <v>-3.3573412469857518E-2</v>
      </c>
      <c r="BJ127">
        <f t="shared" si="11"/>
        <v>-3.1278249048293245E-2</v>
      </c>
    </row>
    <row r="128" spans="1:62" x14ac:dyDescent="0.3">
      <c r="A128" s="348">
        <v>1988</v>
      </c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 t="s">
        <v>59</v>
      </c>
      <c r="M128" s="348"/>
      <c r="N128" s="348"/>
      <c r="O128" s="348"/>
      <c r="P128" s="348"/>
      <c r="S128" t="s">
        <v>30</v>
      </c>
      <c r="T128" s="57">
        <f>C352</f>
        <v>100</v>
      </c>
      <c r="U128" s="57">
        <f t="shared" si="27"/>
        <v>100</v>
      </c>
      <c r="V128" s="57">
        <f t="shared" si="27"/>
        <v>96.1798882066674</v>
      </c>
      <c r="W128" s="57">
        <f t="shared" si="27"/>
        <v>93.444924537603626</v>
      </c>
      <c r="X128" s="57">
        <f t="shared" si="27"/>
        <v>85.295444182149396</v>
      </c>
      <c r="AC128" t="s">
        <v>227</v>
      </c>
      <c r="AD128" s="51">
        <v>0.90606060606060601</v>
      </c>
      <c r="AE128" s="51">
        <v>0.93473832182489702</v>
      </c>
      <c r="AI128" s="78"/>
      <c r="AJ128" s="107"/>
      <c r="AK128" s="107" t="s">
        <v>367</v>
      </c>
      <c r="AL128" s="108">
        <f>(AL127/$AS127)*100</f>
        <v>3.8822002222025649</v>
      </c>
      <c r="AM128" s="108">
        <f>(AM127/$AS127)*100</f>
        <v>0.51739205137241795</v>
      </c>
      <c r="AN128" s="108">
        <f>(AN127/$AS127)*100</f>
        <v>12.890620115584234</v>
      </c>
      <c r="AO128" s="108">
        <f>(AO127/$AS127)*100</f>
        <v>51.280860245330516</v>
      </c>
      <c r="AP128" s="108">
        <f>(AP127/$AS127)*100</f>
        <v>31.428927365510251</v>
      </c>
      <c r="AQ128" s="107"/>
      <c r="AR128" s="107"/>
      <c r="AS128" s="107"/>
      <c r="AU128">
        <v>7</v>
      </c>
      <c r="AV128">
        <v>242</v>
      </c>
      <c r="BF128">
        <v>0.93166966003542295</v>
      </c>
      <c r="BG128" s="1">
        <v>65</v>
      </c>
      <c r="BH128">
        <f t="shared" si="13"/>
        <v>-0.46010173889686451</v>
      </c>
      <c r="BI128">
        <f t="shared" si="14"/>
        <v>-3.2584735263911119E-2</v>
      </c>
      <c r="BJ128">
        <f t="shared" si="11"/>
        <v>-3.0358209225672329E-2</v>
      </c>
    </row>
    <row r="129" spans="1:62" x14ac:dyDescent="0.3">
      <c r="A129" t="s">
        <v>315</v>
      </c>
      <c r="B129" t="s">
        <v>21</v>
      </c>
      <c r="I129" s="1" t="s">
        <v>53</v>
      </c>
      <c r="O129" s="350" t="s">
        <v>377</v>
      </c>
      <c r="P129" s="350"/>
      <c r="S129" s="66" t="s">
        <v>39</v>
      </c>
      <c r="T129" s="67">
        <f>C353</f>
        <v>0</v>
      </c>
      <c r="U129" s="67">
        <f t="shared" si="27"/>
        <v>0</v>
      </c>
      <c r="V129" s="67">
        <f t="shared" si="27"/>
        <v>0.80556923384837187</v>
      </c>
      <c r="W129" s="67">
        <f t="shared" si="27"/>
        <v>2.219808609545928</v>
      </c>
      <c r="X129" s="67">
        <f t="shared" si="27"/>
        <v>4.9796887306909809</v>
      </c>
      <c r="AC129" t="s">
        <v>228</v>
      </c>
      <c r="AD129" s="51">
        <v>0.9</v>
      </c>
      <c r="AE129" s="51">
        <v>0.93171488674486702</v>
      </c>
      <c r="AH129" s="78"/>
      <c r="AJ129" s="115" t="s">
        <v>376</v>
      </c>
      <c r="AK129" s="122" t="s">
        <v>9</v>
      </c>
      <c r="AL129" s="135">
        <f>AVERAGE(AL195:AL214)</f>
        <v>833.77699999999982</v>
      </c>
      <c r="AM129" s="135">
        <f>AVERAGE(AM195:AM214)</f>
        <v>117.82400000000003</v>
      </c>
      <c r="AN129" s="135">
        <f>AVERAGE(AN195:AN214)</f>
        <v>2765.5274999999992</v>
      </c>
      <c r="AO129" s="135">
        <f>AVERAGE(AO195:AO214)</f>
        <v>11024.2065</v>
      </c>
      <c r="AP129" s="135">
        <f>AVERAGE(AP195:AP214)</f>
        <v>6851.5665000000008</v>
      </c>
      <c r="AQ129" s="107"/>
      <c r="AR129" s="115" t="s">
        <v>36</v>
      </c>
      <c r="AS129" s="136">
        <f>SUM(AL129:AP129)</f>
        <v>21592.9015</v>
      </c>
      <c r="AU129">
        <v>8</v>
      </c>
      <c r="AV129">
        <v>271</v>
      </c>
      <c r="BF129">
        <v>0.93169039471788095</v>
      </c>
      <c r="BG129" s="1">
        <v>66</v>
      </c>
      <c r="BH129">
        <f t="shared" si="13"/>
        <v>-0.44623055793233662</v>
      </c>
      <c r="BI129">
        <f t="shared" si="14"/>
        <v>-3.1602368275664941E-2</v>
      </c>
      <c r="BJ129">
        <f t="shared" ref="BJ129:BJ192" si="28">BI129*BF129</f>
        <v>-2.9443622972774107E-2</v>
      </c>
    </row>
    <row r="130" spans="1:62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51</v>
      </c>
      <c r="O130" s="13" t="s">
        <v>644</v>
      </c>
      <c r="P130" s="13" t="s">
        <v>633</v>
      </c>
      <c r="S130" s="15" t="s">
        <v>31</v>
      </c>
      <c r="T130" s="71">
        <f>I345</f>
        <v>100</v>
      </c>
      <c r="U130" s="71">
        <f>I346</f>
        <v>33.333333333333329</v>
      </c>
      <c r="V130" s="71">
        <f>I347</f>
        <v>99.295774647887313</v>
      </c>
      <c r="W130" s="71">
        <f>I348</f>
        <v>88.194444444444443</v>
      </c>
      <c r="X130" s="71">
        <f>I349</f>
        <v>85.655737704918039</v>
      </c>
      <c r="AC130" t="s">
        <v>229</v>
      </c>
      <c r="AD130" s="51">
        <v>0.88636363636363602</v>
      </c>
      <c r="AE130" s="51">
        <v>0.92874723898045197</v>
      </c>
      <c r="AI130" s="78"/>
      <c r="AJ130" s="107"/>
      <c r="AK130" s="128" t="s">
        <v>368</v>
      </c>
      <c r="AL130" s="125">
        <f>_xlfn.STDEV.S(AL195:AL214)/SQRT($AK$108)</f>
        <v>9.1256648813286887</v>
      </c>
      <c r="AM130" s="125">
        <f>_xlfn.STDEV.S(AM195:AM214)/SQRT($AK$108)</f>
        <v>1.6011864679865235</v>
      </c>
      <c r="AN130" s="125">
        <f>_xlfn.STDEV.S(AN195:AN214)/SQRT($AK$108)</f>
        <v>11.183298493618448</v>
      </c>
      <c r="AO130" s="125">
        <f>_xlfn.STDEV.S(AO195:AO214)/SQRT($AK$108)</f>
        <v>26.13280855125058</v>
      </c>
      <c r="AP130" s="125">
        <f>_xlfn.STDEV.S(AP195:AP214)/SQRT($AK$108)</f>
        <v>27.478360713717233</v>
      </c>
      <c r="AQ130" s="107"/>
      <c r="AR130" s="107"/>
      <c r="AS130" s="107"/>
      <c r="AU130">
        <v>9</v>
      </c>
      <c r="AV130">
        <v>300</v>
      </c>
      <c r="BF130">
        <v>0.93171488674486702</v>
      </c>
      <c r="BG130" s="1">
        <v>67</v>
      </c>
      <c r="BH130">
        <f t="shared" si="13"/>
        <v>-0.43244471218542158</v>
      </c>
      <c r="BI130">
        <f t="shared" si="14"/>
        <v>-3.0626044788756676E-2</v>
      </c>
      <c r="BJ130">
        <f t="shared" si="28"/>
        <v>-2.8534741851799651E-2</v>
      </c>
    </row>
    <row r="131" spans="1:62" x14ac:dyDescent="0.3">
      <c r="A131" t="s">
        <v>3</v>
      </c>
      <c r="B131" s="13">
        <v>0</v>
      </c>
      <c r="C131" s="26">
        <v>115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115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/>
      <c r="P131" s="1"/>
      <c r="S131" s="75" t="s">
        <v>39</v>
      </c>
      <c r="T131" s="76">
        <f>J345</f>
        <v>0</v>
      </c>
      <c r="U131" s="76">
        <f>J346</f>
        <v>12.598815766974241</v>
      </c>
      <c r="V131" s="76">
        <f>J347</f>
        <v>0.70422535211268134</v>
      </c>
      <c r="W131" s="76">
        <f>J348</f>
        <v>2.6983346503309322</v>
      </c>
      <c r="X131" s="76">
        <f>J349</f>
        <v>2.2486103332811194</v>
      </c>
      <c r="AC131" t="s">
        <v>230</v>
      </c>
      <c r="AD131" s="51">
        <v>0.912121212121212</v>
      </c>
      <c r="AE131" s="51">
        <v>0.93400222155629398</v>
      </c>
      <c r="AH131" s="78"/>
      <c r="AJ131" s="119" t="s">
        <v>696</v>
      </c>
      <c r="AK131" s="107"/>
      <c r="AL131" s="116"/>
      <c r="AM131" s="116"/>
      <c r="AN131" s="116"/>
      <c r="AO131" s="116"/>
      <c r="AP131" s="116"/>
      <c r="AQ131" s="107"/>
      <c r="AR131" s="107"/>
      <c r="AS131" s="107"/>
      <c r="AU131">
        <v>10</v>
      </c>
      <c r="AV131">
        <v>329</v>
      </c>
      <c r="BF131">
        <v>0.93178790700227199</v>
      </c>
      <c r="BG131" s="1">
        <v>68</v>
      </c>
      <c r="BH131">
        <f t="shared" ref="BH131:BH194" si="29">_xlfn.NORM.S.INV((BG131-0.375)/($BI$61+0.25))</f>
        <v>-0.41874056937625298</v>
      </c>
      <c r="BI131">
        <f t="shared" ref="BI131:BI194" si="30">BH131/SQRT($BL$65)</f>
        <v>-2.9655507562520094E-2</v>
      </c>
      <c r="BJ131">
        <f t="shared" si="28"/>
        <v>-2.7632643322770645E-2</v>
      </c>
    </row>
    <row r="132" spans="1:62" x14ac:dyDescent="0.3">
      <c r="A132" t="s">
        <v>4</v>
      </c>
      <c r="B132" s="13">
        <v>1</v>
      </c>
      <c r="C132" s="5">
        <v>0</v>
      </c>
      <c r="D132" s="27">
        <v>5</v>
      </c>
      <c r="E132" s="1">
        <v>10</v>
      </c>
      <c r="F132" s="1">
        <v>0</v>
      </c>
      <c r="G132" s="6">
        <v>0</v>
      </c>
      <c r="H132" s="1">
        <f>SUM(C132:G132)</f>
        <v>15</v>
      </c>
      <c r="I132" s="10">
        <f>D132/H132</f>
        <v>0.33333333333333331</v>
      </c>
      <c r="J132" s="11">
        <f>1-I132</f>
        <v>0.66666666666666674</v>
      </c>
      <c r="K132">
        <f>H132-D136</f>
        <v>10</v>
      </c>
      <c r="N132" s="10">
        <f>2*(D137*I132)/(D137+I132)</f>
        <v>0.5</v>
      </c>
      <c r="O132" s="1"/>
      <c r="P132" s="1"/>
      <c r="S132" s="66" t="s">
        <v>51</v>
      </c>
      <c r="T132" s="67">
        <f>N334*100</f>
        <v>100</v>
      </c>
      <c r="U132" s="67">
        <f>N335*100</f>
        <v>50</v>
      </c>
      <c r="V132" s="67">
        <f>N336*100</f>
        <v>90.967741935483886</v>
      </c>
      <c r="W132" s="67">
        <f>N337*100</f>
        <v>86.101694915254228</v>
      </c>
      <c r="X132" s="67">
        <f>N338*100</f>
        <v>89.892473118279568</v>
      </c>
      <c r="AC132" t="s">
        <v>231</v>
      </c>
      <c r="AD132" s="51">
        <v>0.90151515151515105</v>
      </c>
      <c r="AE132" s="51">
        <v>0.93232459352596897</v>
      </c>
      <c r="AI132" s="78"/>
      <c r="AJ132" s="115" t="s">
        <v>375</v>
      </c>
      <c r="AK132" s="122" t="s">
        <v>9</v>
      </c>
      <c r="AL132" s="135">
        <v>2.48</v>
      </c>
      <c r="AM132" s="135">
        <v>4.3099999999999996</v>
      </c>
      <c r="AN132" s="135">
        <v>1122.75</v>
      </c>
      <c r="AO132" s="135">
        <v>246.02</v>
      </c>
      <c r="AP132" s="135">
        <v>86.48</v>
      </c>
      <c r="AQ132" s="107"/>
      <c r="AR132" s="115" t="s">
        <v>36</v>
      </c>
      <c r="AS132" s="136">
        <f>SUM(AL132:AP132)</f>
        <v>1462.04</v>
      </c>
      <c r="AU132">
        <v>11</v>
      </c>
      <c r="AV132">
        <v>358</v>
      </c>
      <c r="BF132">
        <v>0.93178792097260899</v>
      </c>
      <c r="BG132" s="1">
        <v>69</v>
      </c>
      <c r="BH132">
        <f t="shared" si="29"/>
        <v>-0.40511462266119341</v>
      </c>
      <c r="BI132">
        <f t="shared" si="30"/>
        <v>-2.8690508239772695E-2</v>
      </c>
      <c r="BJ132">
        <f t="shared" si="28"/>
        <v>-2.6733469024385306E-2</v>
      </c>
    </row>
    <row r="133" spans="1:62" x14ac:dyDescent="0.3">
      <c r="A133" t="s">
        <v>5</v>
      </c>
      <c r="B133" s="13">
        <v>2</v>
      </c>
      <c r="C133" s="5">
        <v>0</v>
      </c>
      <c r="D133" s="1">
        <v>0</v>
      </c>
      <c r="E133" s="27">
        <v>141</v>
      </c>
      <c r="F133" s="1">
        <v>0</v>
      </c>
      <c r="G133" s="6">
        <v>1</v>
      </c>
      <c r="H133" s="1">
        <f>SUM(C133:G133)</f>
        <v>142</v>
      </c>
      <c r="I133" s="10">
        <f>E133/H133</f>
        <v>0.99295774647887325</v>
      </c>
      <c r="J133" s="11">
        <f>1-I133</f>
        <v>7.0422535211267512E-3</v>
      </c>
      <c r="K133">
        <f>H133-E136</f>
        <v>-24</v>
      </c>
      <c r="N133" s="10">
        <f>2*(E137*I133)/(E137+I133)</f>
        <v>0.9155844155844155</v>
      </c>
      <c r="O133" s="1"/>
      <c r="P133" s="1"/>
      <c r="R133" s="16" t="s">
        <v>61</v>
      </c>
      <c r="S133" t="s">
        <v>9</v>
      </c>
      <c r="T133" s="30">
        <f>N345</f>
        <v>1060.3900000000001</v>
      </c>
      <c r="U133" s="30">
        <f>N346</f>
        <v>757.9</v>
      </c>
      <c r="V133" s="30">
        <f>N347</f>
        <v>52976.74</v>
      </c>
      <c r="W133" s="30">
        <f>N348</f>
        <v>22622.21</v>
      </c>
      <c r="X133" s="30">
        <f>N349</f>
        <v>14229.08</v>
      </c>
      <c r="Z133" t="s">
        <v>36</v>
      </c>
      <c r="AA133" s="1">
        <f>N350</f>
        <v>91646.319999999992</v>
      </c>
      <c r="AC133" t="s">
        <v>232</v>
      </c>
      <c r="AD133" s="51">
        <v>0.898484848484848</v>
      </c>
      <c r="AE133" s="51">
        <v>0.92693171907008098</v>
      </c>
      <c r="AH133" s="78"/>
      <c r="AJ133" s="107"/>
      <c r="AK133" s="107" t="s">
        <v>367</v>
      </c>
      <c r="AL133" s="108">
        <f>(AL132/$AS132)*100</f>
        <v>0.16962600202456843</v>
      </c>
      <c r="AM133" s="108">
        <f>(AM132/$AS132)*100</f>
        <v>0.29479357609914913</v>
      </c>
      <c r="AN133" s="108">
        <f>(AN132/$AS132)*100</f>
        <v>76.793384585921046</v>
      </c>
      <c r="AO133" s="108">
        <f>(AO132/$AS132)*100</f>
        <v>16.827172991163035</v>
      </c>
      <c r="AP133" s="108">
        <f>(AP132/$AS132)*100</f>
        <v>5.9150228447922091</v>
      </c>
      <c r="AQ133" s="107"/>
      <c r="AR133" s="107"/>
      <c r="AS133" s="107"/>
      <c r="AU133">
        <v>12</v>
      </c>
      <c r="AV133">
        <v>387</v>
      </c>
      <c r="BF133">
        <v>0.93195312900369498</v>
      </c>
      <c r="BG133" s="1">
        <v>70</v>
      </c>
      <c r="BH133">
        <f t="shared" si="29"/>
        <v>-0.3915634828322011</v>
      </c>
      <c r="BI133">
        <f t="shared" si="30"/>
        <v>-2.7730806794369258E-2</v>
      </c>
      <c r="BJ133">
        <f t="shared" si="28"/>
        <v>-2.5843812161809355E-2</v>
      </c>
    </row>
    <row r="134" spans="1:62" ht="15.6" x14ac:dyDescent="0.35">
      <c r="A134" t="s">
        <v>6</v>
      </c>
      <c r="B134" s="13">
        <v>3</v>
      </c>
      <c r="C134" s="5">
        <v>0</v>
      </c>
      <c r="D134" s="1">
        <v>0</v>
      </c>
      <c r="E134" s="1">
        <v>6</v>
      </c>
      <c r="F134" s="27">
        <v>122</v>
      </c>
      <c r="G134" s="6">
        <v>16</v>
      </c>
      <c r="H134" s="1">
        <f>SUM(C134:G134)</f>
        <v>144</v>
      </c>
      <c r="I134" s="10">
        <f>F134/H134</f>
        <v>0.84722222222222221</v>
      </c>
      <c r="J134" s="11">
        <f>1-I134</f>
        <v>0.15277777777777779</v>
      </c>
      <c r="K134">
        <f>H134-F136</f>
        <v>-1</v>
      </c>
      <c r="N134" s="10">
        <f>2*(F137*I134)/(F137+I134)</f>
        <v>0.84429065743944631</v>
      </c>
      <c r="O134" s="1"/>
      <c r="P134" s="1"/>
      <c r="R134" s="16" t="s">
        <v>318</v>
      </c>
      <c r="S134" t="s">
        <v>63</v>
      </c>
      <c r="T134" s="57">
        <f>$AA133*T126/100</f>
        <v>1060.3900000000001</v>
      </c>
      <c r="U134" s="57">
        <f>$AA133*U126/100</f>
        <v>252.6333333333333</v>
      </c>
      <c r="V134" s="57">
        <f>$AA133*V126/100</f>
        <v>54692.998034229975</v>
      </c>
      <c r="W134" s="57">
        <f>$AA133*W126/100</f>
        <v>21351.114069899821</v>
      </c>
      <c r="X134" s="57">
        <f>$AA133*X126/100</f>
        <v>14289.184562536879</v>
      </c>
      <c r="Z134" t="s">
        <v>36</v>
      </c>
      <c r="AA134" s="25">
        <f>SUM(T134:X134)</f>
        <v>91646.319999999992</v>
      </c>
      <c r="AC134" t="s">
        <v>233</v>
      </c>
      <c r="AD134" s="51">
        <v>0.89393939393939303</v>
      </c>
      <c r="AE134" s="51">
        <v>0.919904617058803</v>
      </c>
      <c r="AI134" s="78"/>
      <c r="AJ134" s="115" t="s">
        <v>376</v>
      </c>
      <c r="AK134" s="122" t="s">
        <v>9</v>
      </c>
      <c r="AL134" s="135">
        <f>AVERAGE(AL216:AL235)</f>
        <v>2.1435</v>
      </c>
      <c r="AM134" s="135">
        <f>AVERAGE(AM216:AM235)</f>
        <v>4.7725000000000009</v>
      </c>
      <c r="AN134" s="135">
        <f>AVERAGE(AN216:AN235)</f>
        <v>1118.3499999999999</v>
      </c>
      <c r="AO134" s="135">
        <f>AVERAGE(AO216:AO235)</f>
        <v>246.54349999999999</v>
      </c>
      <c r="AP134" s="135">
        <f>AVERAGE(AP216:AP235)</f>
        <v>90.231499999999997</v>
      </c>
      <c r="AQ134" s="107"/>
      <c r="AR134" s="115" t="s">
        <v>36</v>
      </c>
      <c r="AS134" s="136">
        <f>SUM(AL134:AP134)</f>
        <v>1462.0409999999999</v>
      </c>
      <c r="AU134">
        <v>13</v>
      </c>
      <c r="AV134">
        <v>416</v>
      </c>
      <c r="BF134">
        <v>0.93197122644807195</v>
      </c>
      <c r="BG134" s="1">
        <v>71</v>
      </c>
      <c r="BH134">
        <f t="shared" si="29"/>
        <v>-0.37808387102940144</v>
      </c>
      <c r="BI134">
        <f t="shared" si="30"/>
        <v>-2.6776171015100936E-2</v>
      </c>
      <c r="BJ134">
        <f t="shared" si="28"/>
        <v>-2.4954620940526934E-2</v>
      </c>
    </row>
    <row r="135" spans="1:62" x14ac:dyDescent="0.3">
      <c r="A135" t="s">
        <v>7</v>
      </c>
      <c r="B135" s="13">
        <v>4</v>
      </c>
      <c r="C135" s="7">
        <v>0</v>
      </c>
      <c r="D135" s="8">
        <v>0</v>
      </c>
      <c r="E135" s="8">
        <v>9</v>
      </c>
      <c r="F135" s="8">
        <v>23</v>
      </c>
      <c r="G135" s="28">
        <v>212</v>
      </c>
      <c r="H135" s="1">
        <f>SUM(C135:G135)</f>
        <v>244</v>
      </c>
      <c r="I135" s="10">
        <f>G135/H135</f>
        <v>0.86885245901639341</v>
      </c>
      <c r="J135" s="11">
        <f>1-I135</f>
        <v>0.13114754098360659</v>
      </c>
      <c r="K135">
        <f>H135-G136</f>
        <v>15</v>
      </c>
      <c r="N135" s="10">
        <f>2*(G137*I135)/(G137+I135)</f>
        <v>0.89640591966173366</v>
      </c>
      <c r="O135" s="1"/>
      <c r="P135" s="1"/>
      <c r="R135" s="66"/>
      <c r="S135" s="66" t="s">
        <v>62</v>
      </c>
      <c r="T135" s="67">
        <f>$AA133*T127/100</f>
        <v>0</v>
      </c>
      <c r="U135" s="67">
        <f>$AA133*U127/100</f>
        <v>92.248650296258987</v>
      </c>
      <c r="V135" s="67">
        <f>$AA133*V127/100</f>
        <v>569.51452149127499</v>
      </c>
      <c r="W135" s="67">
        <f>$AA133*W127/100</f>
        <v>666.04686103976985</v>
      </c>
      <c r="X135" s="67">
        <f>$AA133*X127/100</f>
        <v>700.64241352945817</v>
      </c>
      <c r="AA135" s="1"/>
      <c r="AC135" t="s">
        <v>234</v>
      </c>
      <c r="AD135" s="51">
        <v>0.90909090909090895</v>
      </c>
      <c r="AE135" s="51">
        <v>0.941365012111127</v>
      </c>
      <c r="AH135" s="78"/>
      <c r="AJ135" s="140"/>
      <c r="AK135" s="128" t="s">
        <v>368</v>
      </c>
      <c r="AL135" s="125">
        <f>_xlfn.STDEV.S(AL216:AL235)/SQRT($AK$108)</f>
        <v>6.1191137129145506E-2</v>
      </c>
      <c r="AM135" s="125">
        <f>_xlfn.STDEV.S(AM216:AM235)/SQRT($AK$108)</f>
        <v>0.1438472782977967</v>
      </c>
      <c r="AN135" s="125">
        <f>_xlfn.STDEV.S(AN216:AN235)/SQRT($AK$108)</f>
        <v>0.86448372180345634</v>
      </c>
      <c r="AO135" s="125">
        <f>_xlfn.STDEV.S(AO216:AO235)/SQRT($AK$108)</f>
        <v>0.67906215318977781</v>
      </c>
      <c r="AP135" s="125">
        <f>_xlfn.STDEV.S(AP216:AP235)/SQRT($AK$108)</f>
        <v>0.80286010939836694</v>
      </c>
      <c r="AQ135" s="107"/>
      <c r="AR135" s="107"/>
      <c r="AS135" s="107"/>
      <c r="AU135">
        <v>14</v>
      </c>
      <c r="AV135">
        <v>445</v>
      </c>
      <c r="BF135">
        <v>0.93206165075650604</v>
      </c>
      <c r="BG135" s="1">
        <v>72</v>
      </c>
      <c r="BH135">
        <f t="shared" si="29"/>
        <v>-0.36467261192316763</v>
      </c>
      <c r="BI135">
        <f t="shared" si="30"/>
        <v>-2.5826376022845311E-2</v>
      </c>
      <c r="BJ135">
        <f t="shared" si="28"/>
        <v>-2.4071774668911448E-2</v>
      </c>
    </row>
    <row r="136" spans="1:62" ht="15.6" x14ac:dyDescent="0.35">
      <c r="B136" s="1" t="s">
        <v>19</v>
      </c>
      <c r="C136" s="1">
        <f>SUM(C131:C135)</f>
        <v>115</v>
      </c>
      <c r="D136" s="1">
        <f>SUM(D131:D135)</f>
        <v>5</v>
      </c>
      <c r="E136" s="1">
        <f>SUM(E131:E135)</f>
        <v>166</v>
      </c>
      <c r="F136" s="1">
        <f>SUM(F131:F135)</f>
        <v>145</v>
      </c>
      <c r="G136" s="1">
        <f>SUM(G131:G135)</f>
        <v>229</v>
      </c>
      <c r="H136" s="1">
        <f>SUM(H130:H135)</f>
        <v>660</v>
      </c>
      <c r="I136" s="13" t="s">
        <v>12</v>
      </c>
      <c r="N136" s="16" t="s">
        <v>36</v>
      </c>
      <c r="O136" s="1">
        <f>SUM(O131:O135)</f>
        <v>0</v>
      </c>
      <c r="P136" s="1">
        <f>SUM(P131:P135)</f>
        <v>0</v>
      </c>
      <c r="R136" t="s">
        <v>100</v>
      </c>
      <c r="S136" t="s">
        <v>28</v>
      </c>
      <c r="T136" s="57">
        <f>C379</f>
        <v>1.0501893529178965</v>
      </c>
      <c r="U136" s="57">
        <f t="shared" ref="U136:X139" si="31">D379</f>
        <v>0.24661471259496512</v>
      </c>
      <c r="V136" s="57">
        <f t="shared" si="31"/>
        <v>59.263752151535662</v>
      </c>
      <c r="W136" s="57">
        <f t="shared" si="31"/>
        <v>23.109177793919702</v>
      </c>
      <c r="X136" s="57">
        <f t="shared" si="31"/>
        <v>16.330265989031769</v>
      </c>
      <c r="Z136" s="74"/>
      <c r="AA136" s="12"/>
      <c r="AC136" t="s">
        <v>235</v>
      </c>
      <c r="AD136" s="51">
        <v>0.90454545454545399</v>
      </c>
      <c r="AE136" s="51">
        <v>0.933129676353318</v>
      </c>
      <c r="AI136" s="78"/>
      <c r="AU136">
        <v>15</v>
      </c>
      <c r="AV136">
        <v>474</v>
      </c>
      <c r="BF136">
        <v>0.93228258300191302</v>
      </c>
      <c r="BG136" s="1">
        <v>73</v>
      </c>
      <c r="BH136">
        <f t="shared" si="29"/>
        <v>-0.35132662732612346</v>
      </c>
      <c r="BI136">
        <f t="shared" si="30"/>
        <v>-2.4881203818163857E-2</v>
      </c>
      <c r="BJ136">
        <f t="shared" si="28"/>
        <v>-2.319631296379486E-2</v>
      </c>
    </row>
    <row r="137" spans="1:62" x14ac:dyDescent="0.3">
      <c r="A137" s="1" t="s">
        <v>316</v>
      </c>
      <c r="B137" s="1" t="s">
        <v>2</v>
      </c>
      <c r="C137" s="10">
        <f>C131/C136</f>
        <v>1</v>
      </c>
      <c r="D137" s="10">
        <f>D132/D136</f>
        <v>1</v>
      </c>
      <c r="E137" s="10">
        <f>E133/E136</f>
        <v>0.8493975903614458</v>
      </c>
      <c r="F137" s="10">
        <f>F134/F136</f>
        <v>0.8413793103448276</v>
      </c>
      <c r="G137" s="10">
        <f>G135/G136</f>
        <v>0.92576419213973804</v>
      </c>
      <c r="H137" s="10"/>
      <c r="I137" s="14">
        <f>(C131+D132+E133+F134+G135)/H136</f>
        <v>0.90151515151515149</v>
      </c>
      <c r="S137" s="66" t="s">
        <v>39</v>
      </c>
      <c r="T137" s="67">
        <f>C380</f>
        <v>0</v>
      </c>
      <c r="U137" s="67">
        <f t="shared" si="31"/>
        <v>0.1055941113534328</v>
      </c>
      <c r="V137" s="67">
        <f t="shared" si="31"/>
        <v>0.74004171957045728</v>
      </c>
      <c r="W137" s="67">
        <f t="shared" si="31"/>
        <v>0.76006285029512088</v>
      </c>
      <c r="X137" s="67">
        <f t="shared" si="31"/>
        <v>0.89100548020256487</v>
      </c>
      <c r="AC137" t="s">
        <v>236</v>
      </c>
      <c r="AD137" s="51">
        <v>0.91363636363636302</v>
      </c>
      <c r="AE137" s="51">
        <v>0.93613842049304996</v>
      </c>
      <c r="AH137" s="78"/>
      <c r="AU137">
        <v>16</v>
      </c>
      <c r="AV137">
        <v>503</v>
      </c>
      <c r="BF137">
        <v>0.93232459352596897</v>
      </c>
      <c r="BG137" s="1">
        <v>74</v>
      </c>
      <c r="BH137">
        <f t="shared" si="29"/>
        <v>-0.33804293019912629</v>
      </c>
      <c r="BI137">
        <f t="shared" si="30"/>
        <v>-2.3940442856801341E-2</v>
      </c>
      <c r="BJ137">
        <f t="shared" si="28"/>
        <v>-2.2320263655298999E-2</v>
      </c>
    </row>
    <row r="138" spans="1:62" x14ac:dyDescent="0.3">
      <c r="B138" s="1" t="s">
        <v>14</v>
      </c>
      <c r="C138" s="11">
        <f>1-C137</f>
        <v>0</v>
      </c>
      <c r="D138" s="11">
        <f>1-D137</f>
        <v>0</v>
      </c>
      <c r="E138" s="11">
        <f>1-E137</f>
        <v>0.1506024096385542</v>
      </c>
      <c r="F138" s="11">
        <f>1-F137</f>
        <v>0.1586206896551724</v>
      </c>
      <c r="G138" s="11">
        <f>1-G137</f>
        <v>7.423580786026196E-2</v>
      </c>
      <c r="S138" t="s">
        <v>30</v>
      </c>
      <c r="T138" s="57">
        <f>C381</f>
        <v>100</v>
      </c>
      <c r="U138" s="57">
        <f t="shared" si="31"/>
        <v>100</v>
      </c>
      <c r="V138" s="57">
        <f t="shared" si="31"/>
        <v>96.040304901236937</v>
      </c>
      <c r="W138" s="57">
        <f t="shared" si="31"/>
        <v>93.743358403456696</v>
      </c>
      <c r="X138" s="57">
        <f t="shared" si="31"/>
        <v>81.224516019843151</v>
      </c>
      <c r="AA138" s="54"/>
      <c r="AC138" t="s">
        <v>237</v>
      </c>
      <c r="AD138" s="51">
        <v>0.90303030303030296</v>
      </c>
      <c r="AE138" s="51">
        <v>0.93793455641549295</v>
      </c>
      <c r="AI138" s="78"/>
      <c r="AU138">
        <v>17</v>
      </c>
      <c r="AV138">
        <v>532</v>
      </c>
      <c r="BF138">
        <v>0.93236059101534297</v>
      </c>
      <c r="BG138" s="1">
        <v>75</v>
      </c>
      <c r="BH138">
        <f t="shared" si="29"/>
        <v>-0.32481861901855619</v>
      </c>
      <c r="BI138">
        <f t="shared" si="30"/>
        <v>-2.3003887650773207E-2</v>
      </c>
      <c r="BJ138">
        <f t="shared" si="28"/>
        <v>-2.1447918285725457E-2</v>
      </c>
    </row>
    <row r="139" spans="1:62" x14ac:dyDescent="0.3">
      <c r="C139" s="2"/>
      <c r="S139" s="66" t="s">
        <v>39</v>
      </c>
      <c r="T139" s="67">
        <f>C382</f>
        <v>0</v>
      </c>
      <c r="U139" s="67">
        <f t="shared" si="31"/>
        <v>0</v>
      </c>
      <c r="V139" s="67">
        <f t="shared" si="31"/>
        <v>0.85706573203467207</v>
      </c>
      <c r="W139" s="67">
        <f t="shared" si="31"/>
        <v>2.2398227796423207</v>
      </c>
      <c r="X139" s="67">
        <f t="shared" si="31"/>
        <v>5.6513415934347488</v>
      </c>
      <c r="AC139" t="s">
        <v>238</v>
      </c>
      <c r="AD139" s="51">
        <v>0.9</v>
      </c>
      <c r="AE139" s="51">
        <v>0.93813138420942099</v>
      </c>
      <c r="AH139" s="78"/>
      <c r="AU139">
        <v>18</v>
      </c>
      <c r="AV139">
        <v>561</v>
      </c>
      <c r="BF139">
        <v>0.93239968475111956</v>
      </c>
      <c r="BG139" s="1">
        <v>76</v>
      </c>
      <c r="BH139">
        <f t="shared" si="29"/>
        <v>-0.31165087247515011</v>
      </c>
      <c r="BI139">
        <f t="shared" si="30"/>
        <v>-2.2071338392933199E-2</v>
      </c>
      <c r="BJ139">
        <f t="shared" si="28"/>
        <v>-2.0579308959606198E-2</v>
      </c>
    </row>
    <row r="140" spans="1:62" ht="15.6" x14ac:dyDescent="0.35">
      <c r="A140" t="s">
        <v>317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26.666666666666668</v>
      </c>
      <c r="V140" s="57">
        <f>I376</f>
        <v>98.591549295774655</v>
      </c>
      <c r="W140" s="57">
        <f>I377</f>
        <v>86.805555555555543</v>
      </c>
      <c r="X140" s="57">
        <f>I378</f>
        <v>86.475409836065566</v>
      </c>
      <c r="AC140" t="s">
        <v>239</v>
      </c>
      <c r="AD140" s="51">
        <v>0.89090909090908998</v>
      </c>
      <c r="AE140" s="51">
        <v>0.92352925153260002</v>
      </c>
      <c r="AI140" s="78"/>
      <c r="AU140">
        <v>19</v>
      </c>
      <c r="AV140">
        <v>590</v>
      </c>
      <c r="BF140">
        <v>0.93240360941996203</v>
      </c>
      <c r="BG140" s="1">
        <v>77</v>
      </c>
      <c r="BH140">
        <f t="shared" si="29"/>
        <v>-0.29853694447722279</v>
      </c>
      <c r="BI140">
        <f t="shared" si="30"/>
        <v>-2.1142600603097896E-2</v>
      </c>
      <c r="BJ140">
        <f t="shared" si="28"/>
        <v>-1.9713437114853145E-2</v>
      </c>
    </row>
    <row r="141" spans="1:62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11.818736805705576</v>
      </c>
      <c r="V141" s="67">
        <f>J376</f>
        <v>0.99238711073976715</v>
      </c>
      <c r="W141" s="67">
        <f>J377</f>
        <v>2.8300968382044434</v>
      </c>
      <c r="X141" s="67">
        <f>J378</f>
        <v>2.1938414335967047</v>
      </c>
      <c r="AC141" t="s">
        <v>240</v>
      </c>
      <c r="AD141" s="51">
        <v>0.90454545454545399</v>
      </c>
      <c r="AE141" s="51">
        <v>0.93432130806345104</v>
      </c>
      <c r="AH141" s="78"/>
      <c r="BF141">
        <v>0.93249473019852003</v>
      </c>
      <c r="BG141" s="1">
        <v>78</v>
      </c>
      <c r="BH141">
        <f t="shared" si="29"/>
        <v>-0.28547415943346122</v>
      </c>
      <c r="BI141">
        <f t="shared" si="30"/>
        <v>-2.0217484793970817E-2</v>
      </c>
      <c r="BJ141">
        <f t="shared" si="28"/>
        <v>-1.88526980282465E-2</v>
      </c>
    </row>
    <row r="142" spans="1:62" x14ac:dyDescent="0.3">
      <c r="A142" t="s">
        <v>3</v>
      </c>
      <c r="B142" s="13">
        <v>0</v>
      </c>
      <c r="C142" s="29">
        <f>(C131/$L142)*$O142</f>
        <v>1.1122650642164353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1.1122650642164353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115</v>
      </c>
      <c r="M142">
        <v>0</v>
      </c>
      <c r="N142" s="1">
        <v>1019.35</v>
      </c>
      <c r="O142" s="17">
        <f>N142/N147*100</f>
        <v>1.1122650642164353</v>
      </c>
      <c r="P142" s="52">
        <f>((O142*O142*(I142/100)*(K142/100))/(L142-1))</f>
        <v>0</v>
      </c>
      <c r="S142" s="66" t="s">
        <v>51</v>
      </c>
      <c r="T142" s="67">
        <f>N363*100</f>
        <v>100</v>
      </c>
      <c r="U142" s="67">
        <f>N364*100</f>
        <v>42.10526315789474</v>
      </c>
      <c r="V142" s="67">
        <f>N365*100</f>
        <v>90.614886731391579</v>
      </c>
      <c r="W142" s="67">
        <f>N366*100</f>
        <v>85.616438356164394</v>
      </c>
      <c r="X142" s="67">
        <f>N367*100</f>
        <v>89.787234042553195</v>
      </c>
      <c r="AC142" t="s">
        <v>241</v>
      </c>
      <c r="AD142" s="51">
        <v>0.90303030303030296</v>
      </c>
      <c r="AE142" s="51">
        <v>0.93781581223829902</v>
      </c>
      <c r="AI142" s="78"/>
      <c r="BF142">
        <v>0.932567263861655</v>
      </c>
      <c r="BG142" s="1">
        <v>79</v>
      </c>
      <c r="BH142">
        <f t="shared" si="29"/>
        <v>-0.27245990779256396</v>
      </c>
      <c r="BI142">
        <f t="shared" si="30"/>
        <v>-1.9295806155256487E-2</v>
      </c>
      <c r="BJ142">
        <f t="shared" si="28"/>
        <v>-1.7994637150212423E-2</v>
      </c>
    </row>
    <row r="143" spans="1:62" x14ac:dyDescent="0.3">
      <c r="A143" t="s">
        <v>4</v>
      </c>
      <c r="B143" s="13">
        <v>1</v>
      </c>
      <c r="C143" s="33">
        <f t="shared" ref="C143:G146" si="32">(C132/$L143)*$O143</f>
        <v>0</v>
      </c>
      <c r="D143" s="34">
        <f t="shared" si="32"/>
        <v>0.28744562065703594</v>
      </c>
      <c r="E143" s="19">
        <f t="shared" si="32"/>
        <v>0.57489124131407188</v>
      </c>
      <c r="F143" s="18">
        <f t="shared" si="32"/>
        <v>0</v>
      </c>
      <c r="G143" s="20">
        <f t="shared" si="32"/>
        <v>0</v>
      </c>
      <c r="H143" s="17">
        <f>SUM(C143:G143)</f>
        <v>0.86233686197110782</v>
      </c>
      <c r="I143" s="17">
        <f>D143/H143*100</f>
        <v>33.333333333333329</v>
      </c>
      <c r="J143" s="17">
        <f>SQRT(I143*(100-I143)/(L143-1))</f>
        <v>12.598815766974241</v>
      </c>
      <c r="K143" s="18">
        <f>100-I143</f>
        <v>66.666666666666671</v>
      </c>
      <c r="L143" s="1">
        <f>H132</f>
        <v>15</v>
      </c>
      <c r="M143">
        <v>1</v>
      </c>
      <c r="N143" s="1">
        <v>790.3</v>
      </c>
      <c r="O143" s="17">
        <f>N143/N147*100</f>
        <v>0.86233686197110782</v>
      </c>
      <c r="P143" s="52">
        <f>((O143*O143*(I143/100)*(K143/100))/(L143-1))</f>
        <v>1.18035692621298E-2</v>
      </c>
      <c r="R143" s="16" t="s">
        <v>61</v>
      </c>
      <c r="S143" t="s">
        <v>9</v>
      </c>
      <c r="T143" s="30">
        <f>N374</f>
        <v>962.46</v>
      </c>
      <c r="U143" s="30">
        <f>N375</f>
        <v>847.55</v>
      </c>
      <c r="V143" s="30">
        <f>N376</f>
        <v>52907.6</v>
      </c>
      <c r="W143" s="30">
        <f>N377</f>
        <v>22871.39</v>
      </c>
      <c r="X143" s="30">
        <f>N378</f>
        <v>14057.33</v>
      </c>
      <c r="Z143" t="s">
        <v>36</v>
      </c>
      <c r="AA143" s="1">
        <f>N379</f>
        <v>91646.33</v>
      </c>
      <c r="AC143" t="s">
        <v>242</v>
      </c>
      <c r="AD143" s="51">
        <v>0.89393939393939303</v>
      </c>
      <c r="AE143" s="51">
        <v>0.93054526266057802</v>
      </c>
      <c r="AH143" s="78"/>
      <c r="BF143">
        <v>0.93258783180003502</v>
      </c>
      <c r="BG143" s="1">
        <v>80</v>
      </c>
      <c r="BH143">
        <f t="shared" si="29"/>
        <v>-0.25949164181888412</v>
      </c>
      <c r="BI143">
        <f t="shared" si="30"/>
        <v>-1.8377384254488437E-2</v>
      </c>
      <c r="BJ143">
        <f t="shared" si="28"/>
        <v>-1.7138524936049476E-2</v>
      </c>
    </row>
    <row r="144" spans="1:62" ht="15.6" x14ac:dyDescent="0.35">
      <c r="A144" t="s">
        <v>5</v>
      </c>
      <c r="B144" s="13">
        <v>2</v>
      </c>
      <c r="C144" s="33">
        <f t="shared" si="32"/>
        <v>0</v>
      </c>
      <c r="D144" s="19">
        <f t="shared" si="32"/>
        <v>0</v>
      </c>
      <c r="E144" s="34">
        <f t="shared" si="32"/>
        <v>57.652899971524334</v>
      </c>
      <c r="F144" s="19">
        <f t="shared" si="32"/>
        <v>0</v>
      </c>
      <c r="G144" s="20">
        <f t="shared" si="32"/>
        <v>0.40888581540088181</v>
      </c>
      <c r="H144" s="17">
        <f>SUM(C144:G144)</f>
        <v>58.061785786925213</v>
      </c>
      <c r="I144" s="17">
        <f>E144/H144*100</f>
        <v>99.295774647887328</v>
      </c>
      <c r="J144" s="17">
        <f>SQRT(I144*(100-I144)/(L144-1))</f>
        <v>0.70422535211267423</v>
      </c>
      <c r="K144" s="18">
        <f>100-I144</f>
        <v>0.70422535211267245</v>
      </c>
      <c r="L144" s="1">
        <f>H133</f>
        <v>142</v>
      </c>
      <c r="M144">
        <v>2</v>
      </c>
      <c r="N144" s="1">
        <v>53211.49</v>
      </c>
      <c r="O144" s="17">
        <f>N144/N147*100</f>
        <v>58.061785786925213</v>
      </c>
      <c r="P144" s="52">
        <f>((O144*O144*(I144/100)*(K144/100))/(L144-1))</f>
        <v>0.1671876100360431</v>
      </c>
      <c r="R144" s="16" t="s">
        <v>318</v>
      </c>
      <c r="S144" t="s">
        <v>63</v>
      </c>
      <c r="T144" s="57">
        <f>$AA143*T136/100</f>
        <v>962.46000000000015</v>
      </c>
      <c r="U144" s="57">
        <f>$AA143*U136/100</f>
        <v>226.01333333333329</v>
      </c>
      <c r="V144" s="57">
        <f>$AA143*V136/100</f>
        <v>54313.053867178474</v>
      </c>
      <c r="W144" s="57">
        <f>$AA143*W136/100</f>
        <v>21178.713341302369</v>
      </c>
      <c r="X144" s="57">
        <f>$AA143*X136/100</f>
        <v>14966.089458185819</v>
      </c>
      <c r="Z144" t="s">
        <v>36</v>
      </c>
      <c r="AA144" s="25">
        <f>SUM(T144:X144)</f>
        <v>91646.33</v>
      </c>
      <c r="AC144" t="s">
        <v>243</v>
      </c>
      <c r="AD144" s="51">
        <v>0.90303030303030296</v>
      </c>
      <c r="AE144" s="51">
        <v>0.93333218875910495</v>
      </c>
      <c r="AI144" s="78"/>
      <c r="BF144">
        <v>0.93261316577571596</v>
      </c>
      <c r="BG144" s="1">
        <v>81</v>
      </c>
      <c r="BH144">
        <f t="shared" si="29"/>
        <v>-0.24656687158492113</v>
      </c>
      <c r="BI144">
        <f t="shared" si="30"/>
        <v>-1.7462042753214592E-2</v>
      </c>
      <c r="BJ144">
        <f t="shared" si="28"/>
        <v>-1.6285330972986359E-2</v>
      </c>
    </row>
    <row r="145" spans="1:62" x14ac:dyDescent="0.3">
      <c r="A145" t="s">
        <v>6</v>
      </c>
      <c r="B145" s="13">
        <v>3</v>
      </c>
      <c r="C145" s="33">
        <f t="shared" si="32"/>
        <v>0</v>
      </c>
      <c r="D145" s="19">
        <f t="shared" si="32"/>
        <v>0</v>
      </c>
      <c r="E145" s="19">
        <f t="shared" si="32"/>
        <v>1.0308197135829711</v>
      </c>
      <c r="F145" s="34">
        <f t="shared" si="32"/>
        <v>20.960000842853749</v>
      </c>
      <c r="G145" s="20">
        <f t="shared" si="32"/>
        <v>2.74885256955459</v>
      </c>
      <c r="H145" s="17">
        <f>SUM(C145:G145)</f>
        <v>24.73967312599131</v>
      </c>
      <c r="I145" s="17">
        <f>F145/H145*100</f>
        <v>84.722222222222214</v>
      </c>
      <c r="J145" s="17">
        <f>SQRT(I145*(100-I145)/(L145-1))</f>
        <v>3.0085743248565655</v>
      </c>
      <c r="K145" s="18">
        <f>100-I145</f>
        <v>15.277777777777786</v>
      </c>
      <c r="L145" s="1">
        <f>H134</f>
        <v>144</v>
      </c>
      <c r="M145">
        <v>3</v>
      </c>
      <c r="N145" s="1">
        <v>22673</v>
      </c>
      <c r="O145" s="17">
        <f>N145/N147*100</f>
        <v>24.73967312599131</v>
      </c>
      <c r="P145" s="52">
        <f>((O145*O145*(I145/100)*(K145/100))/(L145-1))</f>
        <v>0.55399954014177799</v>
      </c>
      <c r="R145" s="66"/>
      <c r="S145" s="66" t="s">
        <v>62</v>
      </c>
      <c r="T145" s="67">
        <f>$AA143*T137/100</f>
        <v>0</v>
      </c>
      <c r="U145" s="67">
        <f>$AA143*U137/100</f>
        <v>96.773127751534489</v>
      </c>
      <c r="V145" s="67">
        <f>$AA143*V137/100</f>
        <v>678.22107645521578</v>
      </c>
      <c r="W145" s="67">
        <f>$AA143*W137/100</f>
        <v>696.56970798887255</v>
      </c>
      <c r="X145" s="67">
        <f>$AA143*X137/100</f>
        <v>816.57382270452729</v>
      </c>
      <c r="AA145" s="1"/>
      <c r="AC145" t="s">
        <v>244</v>
      </c>
      <c r="AD145" s="51">
        <v>0.90303030303030296</v>
      </c>
      <c r="AE145" s="51">
        <v>0.93197122644807195</v>
      </c>
      <c r="AH145" s="78"/>
      <c r="BF145">
        <v>0.93265656052215795</v>
      </c>
      <c r="BG145" s="1">
        <v>82</v>
      </c>
      <c r="BH145">
        <f t="shared" si="29"/>
        <v>-0.23368316116302504</v>
      </c>
      <c r="BI145">
        <f t="shared" si="30"/>
        <v>-1.6549609137291046E-2</v>
      </c>
      <c r="BJ145">
        <f t="shared" si="28"/>
        <v>-1.5435101535971945E-2</v>
      </c>
    </row>
    <row r="146" spans="1:62" x14ac:dyDescent="0.3">
      <c r="A146" t="s">
        <v>7</v>
      </c>
      <c r="B146" s="13">
        <v>4</v>
      </c>
      <c r="C146" s="35">
        <f t="shared" si="32"/>
        <v>0</v>
      </c>
      <c r="D146" s="36">
        <f t="shared" si="32"/>
        <v>0</v>
      </c>
      <c r="E146" s="21">
        <f t="shared" si="32"/>
        <v>0.56153873954124334</v>
      </c>
      <c r="F146" s="21">
        <f t="shared" si="32"/>
        <v>1.4350434454942884</v>
      </c>
      <c r="G146" s="37">
        <f t="shared" si="32"/>
        <v>13.227356975860399</v>
      </c>
      <c r="H146" s="17">
        <f>SUM(C146:G146)</f>
        <v>15.223939160895931</v>
      </c>
      <c r="I146" s="17">
        <f>G146/H146*100</f>
        <v>86.885245901639337</v>
      </c>
      <c r="J146" s="17">
        <f>SQRT(I146*(100-I146)/(L146-1))</f>
        <v>2.165458955692412</v>
      </c>
      <c r="K146" s="18">
        <f>100-I146</f>
        <v>13.114754098360663</v>
      </c>
      <c r="L146" s="1">
        <f>H135</f>
        <v>244</v>
      </c>
      <c r="M146">
        <v>4</v>
      </c>
      <c r="N146" s="1">
        <v>13952.18</v>
      </c>
      <c r="O146" s="17">
        <f>N146/N147*100</f>
        <v>15.223939160895931</v>
      </c>
      <c r="P146" s="52">
        <f>((O146*O146*(I146/100)*(K146/100))/(L146-1))</f>
        <v>0.10868109174118663</v>
      </c>
      <c r="R146" t="s">
        <v>101</v>
      </c>
      <c r="S146" t="s">
        <v>28</v>
      </c>
      <c r="T146" s="57">
        <f>C408</f>
        <v>1.1920173117698563</v>
      </c>
      <c r="U146" s="57">
        <f t="shared" ref="U146:X149" si="33">D408</f>
        <v>0.21120324307620866</v>
      </c>
      <c r="V146" s="57">
        <f t="shared" si="33"/>
        <v>60.103253641638936</v>
      </c>
      <c r="W146" s="57">
        <f t="shared" si="33"/>
        <v>23.051976216114586</v>
      </c>
      <c r="X146" s="57">
        <f t="shared" si="33"/>
        <v>15.441549587400431</v>
      </c>
      <c r="Y146" s="60"/>
      <c r="Z146" s="74"/>
      <c r="AA146" s="12"/>
      <c r="AC146" t="s">
        <v>245</v>
      </c>
      <c r="AD146" s="51">
        <v>0.91060606060605997</v>
      </c>
      <c r="AE146" s="51">
        <v>0.93956334185495805</v>
      </c>
      <c r="AI146" s="78"/>
      <c r="BF146">
        <v>0.93269002249532396</v>
      </c>
      <c r="BG146" s="1">
        <v>83</v>
      </c>
      <c r="BH146">
        <f t="shared" si="29"/>
        <v>-0.2208381250000446</v>
      </c>
      <c r="BI146">
        <f t="shared" si="30"/>
        <v>-1.5639914460132034E-2</v>
      </c>
      <c r="BJ146">
        <f t="shared" si="28"/>
        <v>-1.4587192169645489E-2</v>
      </c>
    </row>
    <row r="147" spans="1:62" x14ac:dyDescent="0.3">
      <c r="B147" t="s">
        <v>28</v>
      </c>
      <c r="C147" s="17">
        <f t="shared" ref="C147:H147" si="34">SUM(C142:C146)</f>
        <v>1.1122650642164353</v>
      </c>
      <c r="D147" s="17">
        <f t="shared" si="34"/>
        <v>0.28744562065703594</v>
      </c>
      <c r="E147" s="17">
        <f t="shared" si="34"/>
        <v>59.820149665962617</v>
      </c>
      <c r="F147" s="17">
        <f t="shared" si="34"/>
        <v>22.395044288348036</v>
      </c>
      <c r="G147" s="17">
        <f t="shared" si="34"/>
        <v>16.385095360815871</v>
      </c>
      <c r="H147" s="18">
        <f t="shared" si="34"/>
        <v>100</v>
      </c>
      <c r="I147" s="13" t="s">
        <v>24</v>
      </c>
      <c r="J147" s="12" t="s">
        <v>29</v>
      </c>
      <c r="N147" s="1">
        <f>SUM(N142:N146)</f>
        <v>91646.32</v>
      </c>
      <c r="O147" s="17">
        <f>SUM(O142:O146)</f>
        <v>100</v>
      </c>
      <c r="S147" s="66" t="s">
        <v>39</v>
      </c>
      <c r="T147" s="67">
        <f>C409</f>
        <v>0</v>
      </c>
      <c r="U147" s="67">
        <f t="shared" si="33"/>
        <v>9.0431825956074866E-2</v>
      </c>
      <c r="V147" s="67">
        <f t="shared" si="33"/>
        <v>0.60978190207846372</v>
      </c>
      <c r="W147" s="67">
        <f t="shared" si="33"/>
        <v>0.73642094754232579</v>
      </c>
      <c r="X147" s="67">
        <f t="shared" si="33"/>
        <v>0.7970092405199769</v>
      </c>
      <c r="AC147" t="s">
        <v>246</v>
      </c>
      <c r="AD147" s="51">
        <v>0.90606060606060601</v>
      </c>
      <c r="AE147" s="51">
        <v>0.932567263861655</v>
      </c>
      <c r="AH147" s="78"/>
      <c r="BF147">
        <v>0.93279902165768902</v>
      </c>
      <c r="BG147" s="1">
        <v>84</v>
      </c>
      <c r="BH147">
        <f t="shared" si="29"/>
        <v>-0.20802942445987585</v>
      </c>
      <c r="BI147">
        <f t="shared" si="30"/>
        <v>-1.4732793097850746E-2</v>
      </c>
      <c r="BJ147">
        <f t="shared" si="28"/>
        <v>-1.3742734987960329E-2</v>
      </c>
    </row>
    <row r="148" spans="1:62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0.10496030032662103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0.61683862962787417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0.79451199262726935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0.83308719124548303</v>
      </c>
      <c r="H148" s="1"/>
      <c r="I148" s="56">
        <f>(C142+D143+E144+F145+G146)/H147</f>
        <v>0.93239968475111956</v>
      </c>
      <c r="J148" s="53">
        <f>SQRT(SUM(P142:P146))/100</f>
        <v>9.1742673341315799E-3</v>
      </c>
      <c r="M148" s="1"/>
      <c r="N148" s="9"/>
      <c r="S148" t="s">
        <v>30</v>
      </c>
      <c r="T148" s="57">
        <f>C410</f>
        <v>100</v>
      </c>
      <c r="U148" s="57">
        <f t="shared" si="33"/>
        <v>100</v>
      </c>
      <c r="V148" s="57">
        <f t="shared" si="33"/>
        <v>96.062656342075243</v>
      </c>
      <c r="W148" s="57">
        <f t="shared" si="33"/>
        <v>94.399682776542022</v>
      </c>
      <c r="X148" s="57">
        <f t="shared" si="33"/>
        <v>82.808315537571673</v>
      </c>
      <c r="AC148" t="s">
        <v>247</v>
      </c>
      <c r="AD148" s="51">
        <v>0.90606060606060601</v>
      </c>
      <c r="AE148" s="51">
        <v>0.93348233034779404</v>
      </c>
      <c r="AI148" s="78"/>
      <c r="BF148">
        <v>0.93281042534579595</v>
      </c>
      <c r="BG148" s="1">
        <v>85</v>
      </c>
      <c r="BH148">
        <f t="shared" si="29"/>
        <v>-0.19525476451997853</v>
      </c>
      <c r="BI148">
        <f t="shared" si="30"/>
        <v>-1.3828082515304235E-2</v>
      </c>
      <c r="BJ148">
        <f t="shared" si="28"/>
        <v>-1.2898979532817708E-2</v>
      </c>
    </row>
    <row r="149" spans="1:62" x14ac:dyDescent="0.3">
      <c r="B149" s="1" t="s">
        <v>30</v>
      </c>
      <c r="C149" s="17">
        <f>C142/C147*100</f>
        <v>100</v>
      </c>
      <c r="D149" s="17">
        <f>D143/D147*100</f>
        <v>100</v>
      </c>
      <c r="E149" s="17">
        <f>E144/E147*100</f>
        <v>96.37705738527859</v>
      </c>
      <c r="F149" s="17">
        <f>F145/F147*100</f>
        <v>93.592138390005644</v>
      </c>
      <c r="G149" s="17">
        <f>G146/G147*100</f>
        <v>80.727982868460785</v>
      </c>
      <c r="H149" s="1"/>
      <c r="S149" s="66" t="s">
        <v>39</v>
      </c>
      <c r="T149" s="67">
        <f>C411</f>
        <v>0</v>
      </c>
      <c r="U149" s="67">
        <f t="shared" si="33"/>
        <v>0</v>
      </c>
      <c r="V149" s="67">
        <f t="shared" si="33"/>
        <v>0.77532676229396347</v>
      </c>
      <c r="W149" s="67">
        <f t="shared" si="33"/>
        <v>2.0033655795379541</v>
      </c>
      <c r="X149" s="67">
        <f t="shared" si="33"/>
        <v>5.4288698145294294</v>
      </c>
      <c r="AC149" t="s">
        <v>248</v>
      </c>
      <c r="AD149" s="51">
        <v>0.89393939393939303</v>
      </c>
      <c r="AE149" s="51">
        <v>0.93548311183292399</v>
      </c>
      <c r="AH149" s="78"/>
      <c r="BF149">
        <v>0.93284039514327499</v>
      </c>
      <c r="BG149" s="1">
        <v>86</v>
      </c>
      <c r="BH149">
        <f t="shared" si="29"/>
        <v>-0.1825118906089187</v>
      </c>
      <c r="BI149">
        <f t="shared" si="30"/>
        <v>-1.2925623042125935E-2</v>
      </c>
      <c r="BJ149">
        <f t="shared" si="28"/>
        <v>-1.2057543306089777E-2</v>
      </c>
    </row>
    <row r="150" spans="1:62" x14ac:dyDescent="0.3">
      <c r="B150" s="16" t="s">
        <v>39</v>
      </c>
      <c r="C150" s="18">
        <f>SQRT((C153+C154)/(C147*C147))</f>
        <v>0</v>
      </c>
      <c r="D150" s="18">
        <f>SQRT((D153+D154)/(D147*D147))</f>
        <v>0</v>
      </c>
      <c r="E150" s="18">
        <f>SQRT((E153+E154)/(E147*E147))</f>
        <v>0.78963915279560537</v>
      </c>
      <c r="F150" s="18">
        <f>SQRT((F153+F154)/(F147*F147))</f>
        <v>2.440855863219543</v>
      </c>
      <c r="G150" s="18">
        <f>SQRT((G153+G154)/(G147*G147))</f>
        <v>5.4180298668964779</v>
      </c>
      <c r="H150" s="1"/>
      <c r="I150" s="14"/>
      <c r="S150" s="15" t="s">
        <v>31</v>
      </c>
      <c r="T150" s="71">
        <f>I403</f>
        <v>100</v>
      </c>
      <c r="U150" s="71">
        <f>I404</f>
        <v>26.666666666666671</v>
      </c>
      <c r="V150" s="71">
        <f>I405</f>
        <v>99.295774647887328</v>
      </c>
      <c r="W150" s="71">
        <f>I406</f>
        <v>87.5</v>
      </c>
      <c r="X150" s="71">
        <f>I407</f>
        <v>85.245901639344268</v>
      </c>
      <c r="AC150" t="s">
        <v>249</v>
      </c>
      <c r="AD150" s="51">
        <v>0.90303030303030296</v>
      </c>
      <c r="AE150" s="51">
        <v>0.93279902165768902</v>
      </c>
      <c r="AI150" s="78"/>
      <c r="BF150">
        <v>0.93286865970277</v>
      </c>
      <c r="BG150" s="1">
        <v>87</v>
      </c>
      <c r="BH150">
        <f t="shared" si="29"/>
        <v>-0.16979858557289609</v>
      </c>
      <c r="BI150">
        <f t="shared" si="30"/>
        <v>-1.2025257657892939E-2</v>
      </c>
      <c r="BJ150">
        <f t="shared" si="28"/>
        <v>-1.1217985993899057E-2</v>
      </c>
    </row>
    <row r="151" spans="1:62" x14ac:dyDescent="0.3">
      <c r="B151" s="1" t="s">
        <v>37</v>
      </c>
      <c r="C151" s="18">
        <f>100-C149</f>
        <v>0</v>
      </c>
      <c r="D151" s="18">
        <f>100-D149</f>
        <v>0</v>
      </c>
      <c r="E151" s="18">
        <f>100-E149</f>
        <v>3.6229426147214099</v>
      </c>
      <c r="F151" s="18">
        <f>100-F149</f>
        <v>6.4078616099943559</v>
      </c>
      <c r="G151" s="18">
        <f>100-G149</f>
        <v>19.272017131539215</v>
      </c>
      <c r="S151" s="75" t="s">
        <v>39</v>
      </c>
      <c r="T151" s="76">
        <f>J403</f>
        <v>0</v>
      </c>
      <c r="U151" s="76">
        <f>J404</f>
        <v>11.818736805705578</v>
      </c>
      <c r="V151" s="76">
        <f>J405</f>
        <v>0.70422535211267423</v>
      </c>
      <c r="W151" s="76">
        <f>J406</f>
        <v>2.7656104929294361</v>
      </c>
      <c r="X151" s="76">
        <f>J407</f>
        <v>2.2750448081597074</v>
      </c>
      <c r="AC151" t="s">
        <v>250</v>
      </c>
      <c r="AD151" s="51">
        <v>0.9</v>
      </c>
      <c r="AE151" s="51">
        <v>0.93029006461177799</v>
      </c>
      <c r="AH151" s="78"/>
      <c r="BF151">
        <v>0.93292660445155662</v>
      </c>
      <c r="BG151" s="1">
        <v>88</v>
      </c>
      <c r="BH151">
        <f t="shared" si="29"/>
        <v>-0.15711266676001351</v>
      </c>
      <c r="BI151">
        <f t="shared" si="30"/>
        <v>-1.1126831785631874E-2</v>
      </c>
      <c r="BJ151">
        <f t="shared" si="28"/>
        <v>-1.0380517396073194E-2</v>
      </c>
    </row>
    <row r="152" spans="1:62" ht="15.6" x14ac:dyDescent="0.35">
      <c r="B152" s="1" t="s">
        <v>25</v>
      </c>
      <c r="C152" s="1">
        <f>C136</f>
        <v>115</v>
      </c>
      <c r="D152" s="1">
        <f>D136</f>
        <v>5</v>
      </c>
      <c r="E152" s="1">
        <f>E136</f>
        <v>166</v>
      </c>
      <c r="F152" s="1">
        <f>F136</f>
        <v>145</v>
      </c>
      <c r="G152" s="1">
        <f>G136</f>
        <v>229</v>
      </c>
      <c r="S152" s="66" t="s">
        <v>51</v>
      </c>
      <c r="T152" s="67">
        <f>N392*100</f>
        <v>100</v>
      </c>
      <c r="U152" s="67">
        <f>N393*100</f>
        <v>42.10526315789474</v>
      </c>
      <c r="V152" s="67">
        <f>N394*100</f>
        <v>89.808917197452232</v>
      </c>
      <c r="W152" s="67">
        <f>N395*100</f>
        <v>86.597938144329888</v>
      </c>
      <c r="X152" s="67">
        <f>N396*100</f>
        <v>89.27038626609442</v>
      </c>
      <c r="AC152" t="s">
        <v>251</v>
      </c>
      <c r="AD152" s="51">
        <v>0.88636363636363602</v>
      </c>
      <c r="AE152" s="51">
        <v>0.92461413421277405</v>
      </c>
      <c r="AI152" s="78"/>
      <c r="BF152">
        <v>0.933129676353318</v>
      </c>
      <c r="BG152" s="1">
        <v>89</v>
      </c>
      <c r="BH152">
        <f t="shared" si="29"/>
        <v>-0.14445198321177469</v>
      </c>
      <c r="BI152">
        <f t="shared" si="30"/>
        <v>-1.0230193092918755E-2</v>
      </c>
      <c r="BJ152">
        <f t="shared" si="28"/>
        <v>-9.5460967698272267E-3</v>
      </c>
    </row>
    <row r="153" spans="1:62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0</v>
      </c>
      <c r="E153" s="18">
        <f>(O144*O144*(100-E149)*(100-E149)*(I144)*(100-I144))/((L144-1)*100)</f>
        <v>219.44566181818413</v>
      </c>
      <c r="F153" s="18">
        <f>(O145*O145*(100-F149)*(100-F149)*(I145)*(100-I145))/((L145-1)*100)</f>
        <v>2274.7603606616976</v>
      </c>
      <c r="G153" s="18">
        <f>(O146*O146*(100-G149)*(100-G149)*(I146)*(100-I146))/((L146-1)*100)</f>
        <v>4036.5314308814859</v>
      </c>
      <c r="R153" s="16" t="s">
        <v>61</v>
      </c>
      <c r="S153" t="s">
        <v>9</v>
      </c>
      <c r="T153" s="30">
        <f>N403</f>
        <v>1092.44</v>
      </c>
      <c r="U153" s="30">
        <f>N404</f>
        <v>725.85</v>
      </c>
      <c r="V153" s="30">
        <f>N405</f>
        <v>53288.91</v>
      </c>
      <c r="W153" s="30">
        <f>N406</f>
        <v>22792.17</v>
      </c>
      <c r="X153" s="30">
        <f>N407</f>
        <v>13746.95</v>
      </c>
      <c r="Z153" t="s">
        <v>36</v>
      </c>
      <c r="AA153" s="1">
        <f>N408</f>
        <v>91646.319999999992</v>
      </c>
      <c r="AC153" t="s">
        <v>252</v>
      </c>
      <c r="AD153" s="51">
        <v>0.91060606060605997</v>
      </c>
      <c r="AE153" s="51">
        <v>0.94321335429016095</v>
      </c>
      <c r="AH153" s="78"/>
      <c r="BF153">
        <v>0.93313189545830799</v>
      </c>
      <c r="BG153" s="1">
        <v>90</v>
      </c>
      <c r="BH153">
        <f t="shared" si="29"/>
        <v>-0.13181441295194157</v>
      </c>
      <c r="BI153">
        <f t="shared" si="30"/>
        <v>-9.3351912998739239E-3</v>
      </c>
      <c r="BJ153">
        <f t="shared" si="28"/>
        <v>-8.7109647521172607E-3</v>
      </c>
    </row>
    <row r="154" spans="1:62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0</v>
      </c>
      <c r="E154" s="18">
        <f>E149*E149*(SUM((H142*E142*(1-E131/H131))/(H131-1),(H143*E143*(1-E132/H132))/(H132-1), (H145*E145*(1-E134/H134))/(H134-1),(H146*E146*(1-E135/H135))/(H135-1)))</f>
        <v>2011.8254275586246</v>
      </c>
      <c r="F154" s="18">
        <f>F149*F149*(SUM((H142*F142*(1-F131/H131))/(H131-1),(H143*F143*(1-F132/H132))/(H132-1), (H144*F144*(1-F133/H133))/(H133-1),(H146*F146*(1-F135/H135))/(H135-1)))</f>
        <v>713.29142509759345</v>
      </c>
      <c r="G154" s="18">
        <f>G149*G149*(SUM((H142*G142*(1-G131/H131))/(H131-1),(H143*G143*(1-G132/H132))/(H132-1), (H144*G144*(1-G133/H133))/(H133-1),(H145*G145*(1-G134/H134))/(H134-1)))</f>
        <v>3844.4578374648449</v>
      </c>
      <c r="R154" s="16" t="s">
        <v>318</v>
      </c>
      <c r="S154" t="s">
        <v>63</v>
      </c>
      <c r="T154" s="57">
        <f>$AA153*T146/100</f>
        <v>1092.44</v>
      </c>
      <c r="U154" s="57">
        <f>$AA153*U146/100</f>
        <v>193.56000000000003</v>
      </c>
      <c r="V154" s="57">
        <f>$AA153*V146/100</f>
        <v>55082.420162828072</v>
      </c>
      <c r="W154" s="57">
        <f>$AA153*W146/100</f>
        <v>21126.287889344265</v>
      </c>
      <c r="X154" s="57">
        <f>$AA153*X146/100</f>
        <v>14151.611947827676</v>
      </c>
      <c r="Z154" t="s">
        <v>36</v>
      </c>
      <c r="AA154" s="25">
        <f>SUM(T154:X154)</f>
        <v>91646.320000000022</v>
      </c>
      <c r="AC154" t="s">
        <v>253</v>
      </c>
      <c r="AD154" s="51">
        <v>0.89393939393939303</v>
      </c>
      <c r="AE154" s="51">
        <v>0.929624324937257</v>
      </c>
      <c r="AI154" s="78"/>
      <c r="BF154">
        <v>0.93319636549874196</v>
      </c>
      <c r="BG154" s="1">
        <v>91</v>
      </c>
      <c r="BH154">
        <f t="shared" si="29"/>
        <v>-0.11919786036346161</v>
      </c>
      <c r="BI154">
        <f t="shared" si="30"/>
        <v>-8.4416779933941481E-3</v>
      </c>
      <c r="BJ154">
        <f t="shared" si="28"/>
        <v>-7.8777432221461326E-3</v>
      </c>
    </row>
    <row r="155" spans="1:62" x14ac:dyDescent="0.3">
      <c r="R155" s="66"/>
      <c r="S155" s="66" t="s">
        <v>62</v>
      </c>
      <c r="T155" s="67">
        <f>$AA153*T147/100</f>
        <v>0</v>
      </c>
      <c r="U155" s="67">
        <f>$AA153*U147/100</f>
        <v>82.877440597547434</v>
      </c>
      <c r="V155" s="67">
        <f>$AA153*V147/100</f>
        <v>558.84267328091551</v>
      </c>
      <c r="W155" s="67">
        <f>$AA153*W147/100</f>
        <v>674.90269813167197</v>
      </c>
      <c r="X155" s="67">
        <f>$AA153*X147/100</f>
        <v>730.42963899650761</v>
      </c>
      <c r="AA155" s="1"/>
      <c r="AC155" t="s">
        <v>254</v>
      </c>
      <c r="AD155" s="51">
        <v>0.89696969696969697</v>
      </c>
      <c r="AE155" s="51">
        <v>0.92683049157837905</v>
      </c>
      <c r="AH155" s="78"/>
      <c r="BF155">
        <v>0.93323168968459402</v>
      </c>
      <c r="BG155" s="1">
        <v>92</v>
      </c>
      <c r="BH155">
        <f t="shared" si="29"/>
        <v>-0.10660025364469777</v>
      </c>
      <c r="BI155">
        <f t="shared" si="30"/>
        <v>-7.5495064470010092E-3</v>
      </c>
      <c r="BJ155">
        <f t="shared" si="28"/>
        <v>-7.0454386578194875E-3</v>
      </c>
    </row>
    <row r="156" spans="1:62" x14ac:dyDescent="0.3">
      <c r="R156" t="s">
        <v>102</v>
      </c>
      <c r="S156" t="s">
        <v>28</v>
      </c>
      <c r="T156" s="57">
        <f>C437</f>
        <v>1.0690445617456326</v>
      </c>
      <c r="U156" s="57">
        <f t="shared" ref="U156:X159" si="35">D437</f>
        <v>0.29071907451748558</v>
      </c>
      <c r="V156" s="57">
        <f t="shared" si="35"/>
        <v>59.430113918861295</v>
      </c>
      <c r="W156" s="57">
        <f t="shared" si="35"/>
        <v>22.741054061868027</v>
      </c>
      <c r="X156" s="57">
        <f t="shared" si="35"/>
        <v>16.469068383007563</v>
      </c>
      <c r="Z156" s="74"/>
      <c r="AA156" s="12"/>
      <c r="AC156" t="s">
        <v>255</v>
      </c>
      <c r="AD156" s="51">
        <v>0.90757575757575704</v>
      </c>
      <c r="AE156" s="51">
        <v>0.93566990501108604</v>
      </c>
      <c r="AI156" s="78"/>
      <c r="BF156">
        <v>0.933326012688244</v>
      </c>
      <c r="BG156" s="1">
        <v>93</v>
      </c>
      <c r="BH156">
        <f t="shared" si="29"/>
        <v>-9.4019542336647222E-2</v>
      </c>
      <c r="BI156">
        <f t="shared" si="30"/>
        <v>-6.6585314457167574E-3</v>
      </c>
      <c r="BJ156">
        <f t="shared" si="28"/>
        <v>-6.2145806045901097E-3</v>
      </c>
    </row>
    <row r="157" spans="1:62" x14ac:dyDescent="0.3">
      <c r="A157" s="348">
        <v>1988</v>
      </c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 t="s">
        <v>78</v>
      </c>
      <c r="M157" s="348"/>
      <c r="N157" s="348"/>
      <c r="O157" s="348"/>
      <c r="P157" s="348"/>
      <c r="S157" s="66" t="s">
        <v>39</v>
      </c>
      <c r="T157" s="67">
        <f>C438</f>
        <v>0</v>
      </c>
      <c r="U157" s="67">
        <f t="shared" si="35"/>
        <v>0.10615559667350144</v>
      </c>
      <c r="V157" s="67">
        <f t="shared" si="35"/>
        <v>0.72701018008350859</v>
      </c>
      <c r="W157" s="67">
        <f t="shared" si="35"/>
        <v>0.74721726409226141</v>
      </c>
      <c r="X157" s="67">
        <f t="shared" si="35"/>
        <v>0.90007919596539376</v>
      </c>
      <c r="AC157" t="s">
        <v>256</v>
      </c>
      <c r="AD157" s="51">
        <v>0.89696969696969697</v>
      </c>
      <c r="AE157" s="51">
        <v>0.93442078232866799</v>
      </c>
      <c r="AH157" s="78"/>
      <c r="BF157">
        <v>0.93333218875910495</v>
      </c>
      <c r="BG157" s="1">
        <v>94</v>
      </c>
      <c r="BH157">
        <f t="shared" si="29"/>
        <v>-8.1453694913247957E-2</v>
      </c>
      <c r="BI157">
        <f t="shared" si="30"/>
        <v>-5.7686091154080963E-3</v>
      </c>
      <c r="BJ157">
        <f t="shared" si="28"/>
        <v>-5.3840285717795628E-3</v>
      </c>
    </row>
    <row r="158" spans="1:62" x14ac:dyDescent="0.3">
      <c r="A158" t="s">
        <v>315</v>
      </c>
      <c r="B158" t="s">
        <v>21</v>
      </c>
      <c r="I158" s="1" t="s">
        <v>53</v>
      </c>
      <c r="O158" s="350" t="s">
        <v>377</v>
      </c>
      <c r="P158" s="350"/>
      <c r="S158" t="s">
        <v>30</v>
      </c>
      <c r="T158" s="57">
        <f>C439</f>
        <v>100</v>
      </c>
      <c r="U158" s="57">
        <f t="shared" si="35"/>
        <v>100</v>
      </c>
      <c r="V158" s="57">
        <f t="shared" si="35"/>
        <v>96.315715388524666</v>
      </c>
      <c r="W158" s="57">
        <f t="shared" si="35"/>
        <v>94.807942157360898</v>
      </c>
      <c r="X158" s="57">
        <f t="shared" si="35"/>
        <v>80.372426912113724</v>
      </c>
      <c r="AC158" t="s">
        <v>257</v>
      </c>
      <c r="AD158" s="51">
        <v>0.90606060606060601</v>
      </c>
      <c r="AE158" s="51">
        <v>0.93972854010297302</v>
      </c>
      <c r="AI158" s="78"/>
      <c r="BF158">
        <v>0.93333980631691205</v>
      </c>
      <c r="BG158" s="1">
        <v>95</v>
      </c>
      <c r="BH158">
        <f t="shared" si="29"/>
        <v>-6.8900696427226377E-2</v>
      </c>
      <c r="BI158">
        <f t="shared" si="30"/>
        <v>-4.8795967560634193E-3</v>
      </c>
      <c r="BJ158">
        <f t="shared" si="28"/>
        <v>-4.5543218912088637E-3</v>
      </c>
    </row>
    <row r="159" spans="1:62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51</v>
      </c>
      <c r="O159" s="13" t="s">
        <v>644</v>
      </c>
      <c r="P159" s="13" t="s">
        <v>633</v>
      </c>
      <c r="S159" s="66" t="s">
        <v>39</v>
      </c>
      <c r="T159" s="67">
        <f>C440</f>
        <v>0</v>
      </c>
      <c r="U159" s="67">
        <f t="shared" si="35"/>
        <v>0</v>
      </c>
      <c r="V159" s="67">
        <f t="shared" si="35"/>
        <v>0.80948808201733047</v>
      </c>
      <c r="W159" s="67">
        <f t="shared" si="35"/>
        <v>1.9381501677712485</v>
      </c>
      <c r="X159" s="67">
        <f t="shared" si="35"/>
        <v>5.6416932316615931</v>
      </c>
      <c r="AC159" t="s">
        <v>258</v>
      </c>
      <c r="AD159" s="51">
        <v>0.90454545454545399</v>
      </c>
      <c r="AE159" s="51">
        <v>0.93523187229625104</v>
      </c>
      <c r="AH159" s="78"/>
      <c r="BF159">
        <v>0.93344341478731097</v>
      </c>
      <c r="BG159" s="1">
        <v>96</v>
      </c>
      <c r="BH159">
        <f t="shared" si="29"/>
        <v>-5.6358546204254636E-2</v>
      </c>
      <c r="BI159">
        <f t="shared" si="30"/>
        <v>-3.9913526784913769E-3</v>
      </c>
      <c r="BJ159">
        <f t="shared" si="28"/>
        <v>-3.7257018738314708E-3</v>
      </c>
    </row>
    <row r="160" spans="1:62" x14ac:dyDescent="0.3">
      <c r="A160" t="s">
        <v>3</v>
      </c>
      <c r="B160" s="13">
        <v>0</v>
      </c>
      <c r="C160" s="26">
        <v>115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115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/>
      <c r="P160" s="1"/>
      <c r="S160" s="15" t="s">
        <v>31</v>
      </c>
      <c r="T160" s="71">
        <f>I432</f>
        <v>100</v>
      </c>
      <c r="U160" s="71">
        <f>I433</f>
        <v>33.333333333333329</v>
      </c>
      <c r="V160" s="71">
        <f>I434</f>
        <v>98.591549295774655</v>
      </c>
      <c r="W160" s="71">
        <f>I435</f>
        <v>86.805555555555543</v>
      </c>
      <c r="X160" s="71">
        <f>I436</f>
        <v>87.295081967213122</v>
      </c>
      <c r="AC160" t="s">
        <v>259</v>
      </c>
      <c r="AD160" s="51">
        <v>0.90454545454545399</v>
      </c>
      <c r="AE160" s="51">
        <v>0.93228258300191302</v>
      </c>
      <c r="AI160" s="78"/>
      <c r="BF160">
        <v>0.93348233034779404</v>
      </c>
      <c r="BG160" s="1">
        <v>97</v>
      </c>
      <c r="BH160">
        <f t="shared" si="29"/>
        <v>-4.382525557845094E-2</v>
      </c>
      <c r="BI160">
        <f t="shared" si="30"/>
        <v>-3.1037360439473871E-3</v>
      </c>
      <c r="BJ160">
        <f t="shared" si="28"/>
        <v>-2.8972827550884503E-3</v>
      </c>
    </row>
    <row r="161" spans="1:62" x14ac:dyDescent="0.3">
      <c r="A161" t="s">
        <v>4</v>
      </c>
      <c r="B161" s="13">
        <v>1</v>
      </c>
      <c r="C161" s="5">
        <v>0</v>
      </c>
      <c r="D161" s="27">
        <v>5</v>
      </c>
      <c r="E161" s="1">
        <v>10</v>
      </c>
      <c r="F161" s="1">
        <v>0</v>
      </c>
      <c r="G161" s="6">
        <v>0</v>
      </c>
      <c r="H161" s="1">
        <f>SUM(C161:G161)</f>
        <v>15</v>
      </c>
      <c r="I161" s="10">
        <f>D161/H161</f>
        <v>0.33333333333333331</v>
      </c>
      <c r="J161" s="11">
        <f>1-I161</f>
        <v>0.66666666666666674</v>
      </c>
      <c r="K161">
        <f>H161-D165</f>
        <v>10</v>
      </c>
      <c r="N161" s="10">
        <f>2*(D166*I161)/(D166+I161)</f>
        <v>0.5</v>
      </c>
      <c r="O161" s="1"/>
      <c r="P161" s="1"/>
      <c r="S161" s="75" t="s">
        <v>39</v>
      </c>
      <c r="T161" s="76">
        <f>J432</f>
        <v>0</v>
      </c>
      <c r="U161" s="76">
        <f>J433</f>
        <v>12.598815766974241</v>
      </c>
      <c r="V161" s="76">
        <f>J434</f>
        <v>0.99238711073976715</v>
      </c>
      <c r="W161" s="76">
        <f>J435</f>
        <v>2.8300968382044434</v>
      </c>
      <c r="X161" s="76">
        <f>J436</f>
        <v>2.1363759755446079</v>
      </c>
      <c r="AC161" t="s">
        <v>260</v>
      </c>
      <c r="AD161" s="51">
        <v>0.91363636363636302</v>
      </c>
      <c r="AE161" s="51">
        <v>0.94084561104560105</v>
      </c>
      <c r="AH161" s="78"/>
      <c r="BF161">
        <v>0.93366848004234404</v>
      </c>
      <c r="BG161" s="1">
        <v>98</v>
      </c>
      <c r="BH161">
        <f t="shared" si="29"/>
        <v>-3.1298845662488722E-2</v>
      </c>
      <c r="BI161">
        <f t="shared" si="30"/>
        <v>-2.2166067062111641E-3</v>
      </c>
      <c r="BJ161">
        <f t="shared" si="28"/>
        <v>-2.0695758142398441E-3</v>
      </c>
    </row>
    <row r="162" spans="1:62" x14ac:dyDescent="0.3">
      <c r="A162" t="s">
        <v>5</v>
      </c>
      <c r="B162" s="13">
        <v>2</v>
      </c>
      <c r="C162" s="5">
        <v>0</v>
      </c>
      <c r="D162" s="1">
        <v>0</v>
      </c>
      <c r="E162" s="27">
        <v>140</v>
      </c>
      <c r="F162" s="1">
        <v>0</v>
      </c>
      <c r="G162" s="6">
        <v>2</v>
      </c>
      <c r="H162" s="1">
        <f>SUM(C162:G162)</f>
        <v>142</v>
      </c>
      <c r="I162" s="10">
        <f>E162/H162</f>
        <v>0.9859154929577465</v>
      </c>
      <c r="J162" s="11">
        <f>1-I162</f>
        <v>1.4084507042253502E-2</v>
      </c>
      <c r="K162">
        <f>H162-E165</f>
        <v>-31</v>
      </c>
      <c r="N162" s="10">
        <f>2*(E166*I162)/(E166+I162)</f>
        <v>0.88888888888888895</v>
      </c>
      <c r="O162" s="1"/>
      <c r="P162" s="1"/>
      <c r="S162" s="66" t="s">
        <v>51</v>
      </c>
      <c r="T162" s="67">
        <f>N421*100</f>
        <v>100</v>
      </c>
      <c r="U162" s="67">
        <f>N422*100</f>
        <v>50</v>
      </c>
      <c r="V162" s="67">
        <f>N423*100</f>
        <v>90.614886731391579</v>
      </c>
      <c r="W162" s="67">
        <f>N424*100</f>
        <v>86.805555555555557</v>
      </c>
      <c r="X162" s="67">
        <f>N425*100</f>
        <v>90.063424947145862</v>
      </c>
      <c r="AC162" t="s">
        <v>261</v>
      </c>
      <c r="AD162" s="51">
        <v>0.9</v>
      </c>
      <c r="AE162" s="51">
        <v>0.93838771180331304</v>
      </c>
      <c r="AI162" s="78"/>
      <c r="BF162">
        <v>0.93370217441103076</v>
      </c>
      <c r="BG162" s="1">
        <v>99</v>
      </c>
      <c r="BH162">
        <f t="shared" si="29"/>
        <v>-1.8777345145768697E-2</v>
      </c>
      <c r="BI162">
        <f t="shared" si="30"/>
        <v>-1.3298250556516842E-3</v>
      </c>
      <c r="BJ162">
        <f t="shared" si="28"/>
        <v>-1.2416605460482475E-3</v>
      </c>
    </row>
    <row r="163" spans="1:62" x14ac:dyDescent="0.3">
      <c r="A163" t="s">
        <v>6</v>
      </c>
      <c r="B163" s="13">
        <v>3</v>
      </c>
      <c r="C163" s="5">
        <v>0</v>
      </c>
      <c r="D163" s="1">
        <v>0</v>
      </c>
      <c r="E163" s="1">
        <v>5</v>
      </c>
      <c r="F163" s="27">
        <v>124</v>
      </c>
      <c r="G163" s="6">
        <v>15</v>
      </c>
      <c r="H163" s="1">
        <f>SUM(C163:G163)</f>
        <v>144</v>
      </c>
      <c r="I163" s="10">
        <f>F163/H163</f>
        <v>0.86111111111111116</v>
      </c>
      <c r="J163" s="11">
        <f>1-I163</f>
        <v>0.13888888888888884</v>
      </c>
      <c r="K163">
        <f>H163-F165</f>
        <v>0</v>
      </c>
      <c r="N163" s="10">
        <f>2*(F166*I163)/(F166+I163)</f>
        <v>0.86111111111111116</v>
      </c>
      <c r="O163" s="1"/>
      <c r="P163" s="1"/>
      <c r="R163" s="16" t="s">
        <v>61</v>
      </c>
      <c r="S163" t="s">
        <v>9</v>
      </c>
      <c r="T163" s="30">
        <f>N432</f>
        <v>979.74</v>
      </c>
      <c r="U163" s="30">
        <f>N433</f>
        <v>799.3</v>
      </c>
      <c r="V163" s="30">
        <f>N434</f>
        <v>53208.26</v>
      </c>
      <c r="W163" s="30">
        <f>N435</f>
        <v>22762.65</v>
      </c>
      <c r="X163" s="30">
        <f>N436</f>
        <v>13896.37</v>
      </c>
      <c r="Z163" t="s">
        <v>36</v>
      </c>
      <c r="AA163" s="1">
        <f>N437</f>
        <v>91646.32</v>
      </c>
      <c r="AC163" t="s">
        <v>262</v>
      </c>
      <c r="AD163" s="51">
        <v>0.90909090909090895</v>
      </c>
      <c r="AE163" s="51">
        <v>0.93163746986920404</v>
      </c>
      <c r="AH163" s="78"/>
      <c r="BF163">
        <v>0.93378448392742897</v>
      </c>
      <c r="BG163" s="1">
        <v>100</v>
      </c>
      <c r="BH163">
        <f t="shared" si="29"/>
        <v>-6.2587881142602613E-3</v>
      </c>
      <c r="BI163">
        <f t="shared" si="30"/>
        <v>-4.4325186482679023E-4</v>
      </c>
      <c r="BJ163">
        <f t="shared" si="28"/>
        <v>-4.1390171384715483E-4</v>
      </c>
    </row>
    <row r="164" spans="1:62" ht="15.6" x14ac:dyDescent="0.35">
      <c r="A164" t="s">
        <v>7</v>
      </c>
      <c r="B164" s="13">
        <v>4</v>
      </c>
      <c r="C164" s="7">
        <v>0</v>
      </c>
      <c r="D164" s="8">
        <v>0</v>
      </c>
      <c r="E164" s="8">
        <v>18</v>
      </c>
      <c r="F164" s="8">
        <v>20</v>
      </c>
      <c r="G164" s="28">
        <v>206</v>
      </c>
      <c r="H164" s="1">
        <f>SUM(C164:G164)</f>
        <v>244</v>
      </c>
      <c r="I164" s="10">
        <f>G164/H164</f>
        <v>0.84426229508196726</v>
      </c>
      <c r="J164" s="11">
        <f>1-I164</f>
        <v>0.15573770491803274</v>
      </c>
      <c r="K164">
        <f>H164-G165</f>
        <v>21</v>
      </c>
      <c r="N164" s="10">
        <f>2*(G166*I164)/(G166+I164)</f>
        <v>0.88222698072805139</v>
      </c>
      <c r="O164" s="1"/>
      <c r="P164" s="1"/>
      <c r="R164" s="16" t="s">
        <v>318</v>
      </c>
      <c r="S164" t="s">
        <v>63</v>
      </c>
      <c r="T164" s="57">
        <f>$AA163*T156/100</f>
        <v>979.74000000000012</v>
      </c>
      <c r="U164" s="57">
        <f>$AA163*U156/100</f>
        <v>266.43333333333334</v>
      </c>
      <c r="V164" s="57">
        <f>$AA163*V156/100</f>
        <v>54465.512378444168</v>
      </c>
      <c r="W164" s="57">
        <f>$AA163*W156/100</f>
        <v>20841.33917691257</v>
      </c>
      <c r="X164" s="57">
        <f>$AA163*X156/100</f>
        <v>15093.295111309939</v>
      </c>
      <c r="Z164" t="s">
        <v>36</v>
      </c>
      <c r="AA164" s="25">
        <f>SUM(T164:X164)</f>
        <v>91646.32</v>
      </c>
      <c r="AC164" t="s">
        <v>263</v>
      </c>
      <c r="AD164" s="51">
        <v>0.89090909090908998</v>
      </c>
      <c r="AE164" s="51">
        <v>0.93286865970277</v>
      </c>
      <c r="AI164" s="78"/>
      <c r="BF164">
        <v>0.93397218343618338</v>
      </c>
      <c r="BG164" s="1">
        <v>101</v>
      </c>
      <c r="BH164">
        <f t="shared" si="29"/>
        <v>6.2587881142602613E-3</v>
      </c>
      <c r="BI164">
        <f t="shared" si="30"/>
        <v>4.4325186482679023E-4</v>
      </c>
      <c r="BJ164">
        <f t="shared" si="28"/>
        <v>4.139849120044373E-4</v>
      </c>
    </row>
    <row r="165" spans="1:62" ht="15.6" x14ac:dyDescent="0.35">
      <c r="B165" s="1" t="s">
        <v>19</v>
      </c>
      <c r="C165" s="1">
        <f>SUM(C160:C164)</f>
        <v>115</v>
      </c>
      <c r="D165" s="1">
        <f>SUM(D160:D164)</f>
        <v>5</v>
      </c>
      <c r="E165" s="1">
        <f>SUM(E160:E164)</f>
        <v>173</v>
      </c>
      <c r="F165" s="1">
        <f>SUM(F160:F164)</f>
        <v>144</v>
      </c>
      <c r="G165" s="1">
        <f>SUM(G160:G164)</f>
        <v>223</v>
      </c>
      <c r="H165" s="1">
        <f>SUM(H159:H164)</f>
        <v>660</v>
      </c>
      <c r="I165" s="13" t="s">
        <v>12</v>
      </c>
      <c r="N165" s="16" t="s">
        <v>36</v>
      </c>
      <c r="O165" s="1">
        <f>SUM(O160:O164)</f>
        <v>0</v>
      </c>
      <c r="P165" s="1">
        <f>SUM(P160:P164)</f>
        <v>0</v>
      </c>
      <c r="R165" s="66"/>
      <c r="S165" s="66" t="s">
        <v>62</v>
      </c>
      <c r="T165" s="67">
        <f>$AA163*T157/100</f>
        <v>0</v>
      </c>
      <c r="U165" s="67">
        <f>$AA163*U157/100</f>
        <v>97.287697825306495</v>
      </c>
      <c r="V165" s="67">
        <f>$AA163*V157/100</f>
        <v>666.27807607190857</v>
      </c>
      <c r="W165" s="67">
        <f>$AA163*W157/100</f>
        <v>684.79712494523903</v>
      </c>
      <c r="X165" s="67">
        <f>$AA163*X157/100</f>
        <v>824.88946018787192</v>
      </c>
      <c r="AA165" s="1"/>
      <c r="AC165" t="s">
        <v>264</v>
      </c>
      <c r="AD165" s="51">
        <v>0.898484848484848</v>
      </c>
      <c r="AE165" s="51">
        <v>0.928406063666953</v>
      </c>
      <c r="AH165" s="78"/>
      <c r="BF165">
        <v>0.93400222155629398</v>
      </c>
      <c r="BG165" s="1">
        <v>102</v>
      </c>
      <c r="BH165">
        <f t="shared" si="29"/>
        <v>1.8777345145768697E-2</v>
      </c>
      <c r="BI165">
        <f t="shared" si="30"/>
        <v>1.3298250556516842E-3</v>
      </c>
      <c r="BJ165">
        <f t="shared" si="28"/>
        <v>1.2420595562598954E-3</v>
      </c>
    </row>
    <row r="166" spans="1:62" x14ac:dyDescent="0.3">
      <c r="A166" s="1" t="s">
        <v>316</v>
      </c>
      <c r="B166" s="1" t="s">
        <v>2</v>
      </c>
      <c r="C166" s="10">
        <f>C160/C165</f>
        <v>1</v>
      </c>
      <c r="D166" s="10">
        <f>D161/D165</f>
        <v>1</v>
      </c>
      <c r="E166" s="10">
        <f>E162/E165</f>
        <v>0.80924855491329484</v>
      </c>
      <c r="F166" s="10">
        <f>F163/F165</f>
        <v>0.86111111111111116</v>
      </c>
      <c r="G166" s="10">
        <f>G164/G165</f>
        <v>0.92376681614349776</v>
      </c>
      <c r="H166" s="10"/>
      <c r="I166" s="14">
        <f>(C160+D161+E162+F163+G164)/H165</f>
        <v>0.89393939393939392</v>
      </c>
      <c r="R166" t="s">
        <v>103</v>
      </c>
      <c r="S166" t="s">
        <v>28</v>
      </c>
      <c r="T166" s="57">
        <f>C466</f>
        <v>1.0985057663532771</v>
      </c>
      <c r="U166" s="57">
        <f t="shared" ref="U166:X169" si="36">D466</f>
        <v>0.31861257334492421</v>
      </c>
      <c r="V166" s="57">
        <f t="shared" si="36"/>
        <v>59.493468573783808</v>
      </c>
      <c r="W166" s="57">
        <f t="shared" si="36"/>
        <v>22.094406838408119</v>
      </c>
      <c r="X166" s="57">
        <f t="shared" si="36"/>
        <v>16.995006248109885</v>
      </c>
      <c r="Z166" s="74"/>
      <c r="AA166" s="12"/>
      <c r="AC166" t="s">
        <v>265</v>
      </c>
      <c r="AD166" s="51">
        <v>0.91060606060605997</v>
      </c>
      <c r="AE166" s="51">
        <v>0.93676653825685197</v>
      </c>
      <c r="AI166" s="78"/>
      <c r="BF166">
        <v>0.93405446251388602</v>
      </c>
      <c r="BG166" s="1">
        <v>103</v>
      </c>
      <c r="BH166">
        <f t="shared" si="29"/>
        <v>3.1298845662488868E-2</v>
      </c>
      <c r="BI166">
        <f t="shared" si="30"/>
        <v>2.2166067062111745E-3</v>
      </c>
      <c r="BJ166">
        <f t="shared" si="28"/>
        <v>2.0704313855747537E-3</v>
      </c>
    </row>
    <row r="167" spans="1:62" x14ac:dyDescent="0.3">
      <c r="B167" s="1" t="s">
        <v>14</v>
      </c>
      <c r="C167" s="11">
        <f>1-C166</f>
        <v>0</v>
      </c>
      <c r="D167" s="11">
        <f>1-D166</f>
        <v>0</v>
      </c>
      <c r="E167" s="11">
        <f>1-E166</f>
        <v>0.19075144508670516</v>
      </c>
      <c r="F167" s="11">
        <f>1-F166</f>
        <v>0.13888888888888884</v>
      </c>
      <c r="G167" s="11">
        <f>1-G166</f>
        <v>7.623318385650224E-2</v>
      </c>
      <c r="S167" s="66" t="s">
        <v>39</v>
      </c>
      <c r="T167" s="67">
        <f>C467</f>
        <v>0</v>
      </c>
      <c r="U167" s="67">
        <f t="shared" si="36"/>
        <v>0.11634086235052282</v>
      </c>
      <c r="V167" s="67">
        <f t="shared" si="36"/>
        <v>0.62023354315166945</v>
      </c>
      <c r="W167" s="67">
        <f t="shared" si="36"/>
        <v>0.80474529585838828</v>
      </c>
      <c r="X167" s="67">
        <f t="shared" si="36"/>
        <v>0.8466905396621357</v>
      </c>
      <c r="AC167" t="s">
        <v>266</v>
      </c>
      <c r="AD167" s="51">
        <v>0.90454545454545399</v>
      </c>
      <c r="AE167" s="51">
        <v>0.93530843977485401</v>
      </c>
      <c r="AH167" s="78"/>
      <c r="BF167">
        <v>0.93418813308017701</v>
      </c>
      <c r="BG167" s="1">
        <v>104</v>
      </c>
      <c r="BH167">
        <f t="shared" si="29"/>
        <v>4.3825255578451086E-2</v>
      </c>
      <c r="BI167">
        <f t="shared" si="30"/>
        <v>3.1037360439473975E-3</v>
      </c>
      <c r="BJ167">
        <f t="shared" si="28"/>
        <v>2.8994733804688735E-3</v>
      </c>
    </row>
    <row r="168" spans="1:62" x14ac:dyDescent="0.3">
      <c r="C168" s="2"/>
      <c r="S168" t="s">
        <v>30</v>
      </c>
      <c r="T168" s="57">
        <f>C468</f>
        <v>100</v>
      </c>
      <c r="U168" s="57">
        <f t="shared" si="36"/>
        <v>100</v>
      </c>
      <c r="V168" s="57">
        <f t="shared" si="36"/>
        <v>96.12074211415937</v>
      </c>
      <c r="W168" s="57">
        <f t="shared" si="36"/>
        <v>93.572495579366262</v>
      </c>
      <c r="X168" s="57">
        <f t="shared" si="36"/>
        <v>80.522376174952754</v>
      </c>
      <c r="AC168" t="s">
        <v>267</v>
      </c>
      <c r="AD168" s="51">
        <v>0.89090909090908998</v>
      </c>
      <c r="AE168" s="51">
        <v>0.93313189545830799</v>
      </c>
      <c r="AI168" s="78"/>
      <c r="BF168">
        <v>0.93432130806345104</v>
      </c>
      <c r="BG168" s="1">
        <v>105</v>
      </c>
      <c r="BH168">
        <f t="shared" si="29"/>
        <v>5.6358546204254782E-2</v>
      </c>
      <c r="BI168">
        <f t="shared" si="30"/>
        <v>3.9913526784913873E-3</v>
      </c>
      <c r="BJ168">
        <f t="shared" si="28"/>
        <v>3.7292058555106317E-3</v>
      </c>
    </row>
    <row r="169" spans="1:62" ht="15.6" x14ac:dyDescent="0.35">
      <c r="A169" t="s">
        <v>317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36"/>
        <v>0</v>
      </c>
      <c r="V169" s="67">
        <f t="shared" si="36"/>
        <v>0.80856327490782265</v>
      </c>
      <c r="W169" s="67">
        <f t="shared" si="36"/>
        <v>2.5120466649912077</v>
      </c>
      <c r="X169" s="67">
        <f t="shared" si="36"/>
        <v>5.3727791713455506</v>
      </c>
      <c r="AC169" t="s">
        <v>268</v>
      </c>
      <c r="AD169" s="51">
        <v>0.90151515151515105</v>
      </c>
      <c r="AE169" s="51">
        <v>0.92973438938806396</v>
      </c>
      <c r="AH169" s="78"/>
      <c r="BF169">
        <v>0.93442078232866799</v>
      </c>
      <c r="BG169" s="1">
        <v>106</v>
      </c>
      <c r="BH169">
        <f t="shared" si="29"/>
        <v>6.8900696427226224E-2</v>
      </c>
      <c r="BI169">
        <f t="shared" si="30"/>
        <v>4.879596756063408E-3</v>
      </c>
      <c r="BJ169">
        <f t="shared" si="28"/>
        <v>4.5595966182492001E-3</v>
      </c>
    </row>
    <row r="170" spans="1:62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33.333333333333329</v>
      </c>
      <c r="V170" s="71">
        <f>I463</f>
        <v>99.295774647887328</v>
      </c>
      <c r="W170" s="71">
        <f>I464</f>
        <v>84.027777777777771</v>
      </c>
      <c r="X170" s="71">
        <f>I465</f>
        <v>86.885245901639337</v>
      </c>
      <c r="AC170" t="s">
        <v>269</v>
      </c>
      <c r="AD170" s="51">
        <v>0.90151515151515105</v>
      </c>
      <c r="AE170" s="51">
        <v>0.937787024873311</v>
      </c>
      <c r="AI170" s="78"/>
      <c r="BF170">
        <v>0.93444039481781205</v>
      </c>
      <c r="BG170" s="1">
        <v>107</v>
      </c>
      <c r="BH170">
        <f t="shared" si="29"/>
        <v>8.1453694913247818E-2</v>
      </c>
      <c r="BI170">
        <f t="shared" si="30"/>
        <v>5.7686091154080868E-3</v>
      </c>
      <c r="BJ170">
        <f t="shared" si="28"/>
        <v>5.3904213793515617E-3</v>
      </c>
    </row>
    <row r="171" spans="1:62" x14ac:dyDescent="0.3">
      <c r="A171" t="s">
        <v>3</v>
      </c>
      <c r="B171" s="13">
        <v>0</v>
      </c>
      <c r="C171" s="29">
        <f>(C160/$L171)*$O171</f>
        <v>1.2678414146907371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1.2678414146907371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115</v>
      </c>
      <c r="M171">
        <v>0</v>
      </c>
      <c r="N171" s="1">
        <v>1161.93</v>
      </c>
      <c r="O171" s="17">
        <f>N171/N176*100</f>
        <v>1.2678414146907371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12.598815766974241</v>
      </c>
      <c r="V171" s="76">
        <f>J463</f>
        <v>0.70422535211267423</v>
      </c>
      <c r="W171" s="76">
        <f>J464</f>
        <v>3.0635578972093311</v>
      </c>
      <c r="X171" s="76">
        <f>J465</f>
        <v>2.165458955692412</v>
      </c>
      <c r="AC171" t="s">
        <v>270</v>
      </c>
      <c r="AD171" s="51">
        <v>0.90606060606060601</v>
      </c>
      <c r="AE171" s="51">
        <v>0.93578540725482096</v>
      </c>
      <c r="AH171" s="78"/>
      <c r="BF171">
        <v>0.93453976302543362</v>
      </c>
      <c r="BG171" s="1">
        <v>108</v>
      </c>
      <c r="BH171">
        <f t="shared" si="29"/>
        <v>9.4019542336647222E-2</v>
      </c>
      <c r="BI171">
        <f t="shared" si="30"/>
        <v>6.6585314457167574E-3</v>
      </c>
      <c r="BJ171">
        <f t="shared" si="28"/>
        <v>6.2226623993775366E-3</v>
      </c>
    </row>
    <row r="172" spans="1:62" x14ac:dyDescent="0.3">
      <c r="A172" t="s">
        <v>4</v>
      </c>
      <c r="B172" s="13">
        <v>1</v>
      </c>
      <c r="C172" s="33">
        <f t="shared" ref="C172:G175" si="37">(C161/$L172)*$O172</f>
        <v>0</v>
      </c>
      <c r="D172" s="34">
        <f t="shared" si="37"/>
        <v>0.30381652713024004</v>
      </c>
      <c r="E172" s="19">
        <f t="shared" si="37"/>
        <v>0.60763305426048009</v>
      </c>
      <c r="F172" s="18">
        <f t="shared" si="37"/>
        <v>0</v>
      </c>
      <c r="G172" s="20">
        <f t="shared" si="37"/>
        <v>0</v>
      </c>
      <c r="H172" s="17">
        <f>SUM(C172:G172)</f>
        <v>0.91144958139072019</v>
      </c>
      <c r="I172" s="17">
        <f>D172/H172*100</f>
        <v>33.333333333333329</v>
      </c>
      <c r="J172" s="17">
        <f>SQRT(I172*(100-I172)/(L172-1))</f>
        <v>12.598815766974241</v>
      </c>
      <c r="K172" s="18">
        <f>100-I172</f>
        <v>66.666666666666671</v>
      </c>
      <c r="L172" s="1">
        <f>H161</f>
        <v>15</v>
      </c>
      <c r="M172">
        <v>1</v>
      </c>
      <c r="N172" s="1">
        <v>835.31</v>
      </c>
      <c r="O172" s="17">
        <f>N172/N176*100</f>
        <v>0.91144958139072019</v>
      </c>
      <c r="P172" s="52">
        <f>((O172*O172*(I172/100)*(K172/100))/(L172-1))</f>
        <v>1.3186354593925699E-2</v>
      </c>
      <c r="S172" s="66" t="s">
        <v>51</v>
      </c>
      <c r="T172" s="67">
        <f>N450*100</f>
        <v>100</v>
      </c>
      <c r="U172" s="67">
        <f>N451*100</f>
        <v>50</v>
      </c>
      <c r="V172" s="67">
        <f>N452*100</f>
        <v>91.262135922330103</v>
      </c>
      <c r="W172" s="67">
        <f>N453*100</f>
        <v>84.320557491289208</v>
      </c>
      <c r="X172" s="67">
        <f>N454*100</f>
        <v>89.451476793248958</v>
      </c>
      <c r="AC172" t="s">
        <v>271</v>
      </c>
      <c r="AD172" s="51">
        <v>0.9</v>
      </c>
      <c r="AE172" s="51">
        <v>0.93758853632564498</v>
      </c>
      <c r="AI172" s="78"/>
      <c r="BF172">
        <v>0.93462354708101703</v>
      </c>
      <c r="BG172" s="1">
        <v>109</v>
      </c>
      <c r="BH172">
        <f t="shared" si="29"/>
        <v>0.10660025364469777</v>
      </c>
      <c r="BI172">
        <f t="shared" si="30"/>
        <v>7.5495064470010092E-3</v>
      </c>
      <c r="BJ172">
        <f t="shared" si="28"/>
        <v>7.0559464942070889E-3</v>
      </c>
    </row>
    <row r="173" spans="1:62" x14ac:dyDescent="0.3">
      <c r="A173" t="s">
        <v>5</v>
      </c>
      <c r="B173" s="13">
        <v>2</v>
      </c>
      <c r="C173" s="33">
        <f t="shared" si="37"/>
        <v>0</v>
      </c>
      <c r="D173" s="19">
        <f t="shared" si="37"/>
        <v>0</v>
      </c>
      <c r="E173" s="34">
        <f t="shared" si="37"/>
        <v>57.723544410023344</v>
      </c>
      <c r="F173" s="19">
        <f t="shared" si="37"/>
        <v>0</v>
      </c>
      <c r="G173" s="20">
        <f t="shared" si="37"/>
        <v>0.82462206300033347</v>
      </c>
      <c r="H173" s="17">
        <f>SUM(C173:G173)</f>
        <v>58.548166473023677</v>
      </c>
      <c r="I173" s="17">
        <f>E173/H173*100</f>
        <v>98.591549295774655</v>
      </c>
      <c r="J173" s="17">
        <f>SQRT(I173*(100-I173)/(L173-1))</f>
        <v>0.99238711073976715</v>
      </c>
      <c r="K173" s="18">
        <f>100-I173</f>
        <v>1.4084507042253449</v>
      </c>
      <c r="L173" s="1">
        <f>H162</f>
        <v>142</v>
      </c>
      <c r="M173">
        <v>2</v>
      </c>
      <c r="N173" s="1">
        <v>53657.24</v>
      </c>
      <c r="O173" s="17">
        <f>N173/N176*100</f>
        <v>58.548166473023677</v>
      </c>
      <c r="P173" s="52">
        <f>((O173*O173*(I173/100)*(K173/100))/(L173-1))</f>
        <v>0.33758942039067075</v>
      </c>
      <c r="R173" s="16" t="s">
        <v>61</v>
      </c>
      <c r="S173" t="s">
        <v>9</v>
      </c>
      <c r="T173" s="1">
        <f>N461</f>
        <v>1006.74</v>
      </c>
      <c r="U173" s="1">
        <f>N462</f>
        <v>875.99</v>
      </c>
      <c r="V173" s="1">
        <f>N463</f>
        <v>52780.15</v>
      </c>
      <c r="W173" s="1">
        <f>N464</f>
        <v>22548.76</v>
      </c>
      <c r="X173" s="1">
        <f>N465</f>
        <v>14434.67</v>
      </c>
      <c r="Z173" t="s">
        <v>36</v>
      </c>
      <c r="AA173" s="1">
        <f>N466</f>
        <v>91646.31</v>
      </c>
      <c r="AC173" t="s">
        <v>272</v>
      </c>
      <c r="AD173" s="51">
        <v>0.89393939393939303</v>
      </c>
      <c r="AE173" s="51">
        <v>0.92790836191912096</v>
      </c>
      <c r="AH173" s="78"/>
      <c r="BF173">
        <v>0.93470600039764296</v>
      </c>
      <c r="BG173" s="1">
        <v>110</v>
      </c>
      <c r="BH173">
        <f t="shared" si="29"/>
        <v>0.11919786036346161</v>
      </c>
      <c r="BI173">
        <f t="shared" si="30"/>
        <v>8.4416779933941481E-3</v>
      </c>
      <c r="BJ173">
        <f t="shared" si="28"/>
        <v>7.8904870738502435E-3</v>
      </c>
    </row>
    <row r="174" spans="1:62" ht="15.6" x14ac:dyDescent="0.35">
      <c r="A174" t="s">
        <v>6</v>
      </c>
      <c r="B174" s="13">
        <v>3</v>
      </c>
      <c r="C174" s="33">
        <f t="shared" si="37"/>
        <v>0</v>
      </c>
      <c r="D174" s="19">
        <f t="shared" si="37"/>
        <v>0</v>
      </c>
      <c r="E174" s="19">
        <f t="shared" si="37"/>
        <v>0.83319289306979261</v>
      </c>
      <c r="F174" s="34">
        <f t="shared" si="37"/>
        <v>20.663183748130855</v>
      </c>
      <c r="G174" s="20">
        <f t="shared" si="37"/>
        <v>2.4995786792093777</v>
      </c>
      <c r="H174" s="17">
        <f>SUM(C174:G174)</f>
        <v>23.995955320410026</v>
      </c>
      <c r="I174" s="17">
        <f>F174/H174*100</f>
        <v>86.1111111111111</v>
      </c>
      <c r="J174" s="17">
        <f>SQRT(I174*(100-I174)/(L174-1))</f>
        <v>2.8919802956134921</v>
      </c>
      <c r="K174" s="18">
        <f>100-I174</f>
        <v>13.8888888888889</v>
      </c>
      <c r="L174" s="1">
        <f>H163</f>
        <v>144</v>
      </c>
      <c r="M174">
        <v>3</v>
      </c>
      <c r="N174" s="1">
        <v>21991.41</v>
      </c>
      <c r="O174" s="17">
        <f>N174/N176*100</f>
        <v>23.995955320410026</v>
      </c>
      <c r="P174" s="52">
        <f>((O174*O174*(I174/100)*(K174/100))/(L174-1))</f>
        <v>0.48157812159826235</v>
      </c>
      <c r="R174" s="16" t="s">
        <v>318</v>
      </c>
      <c r="S174" t="s">
        <v>63</v>
      </c>
      <c r="T174" s="57">
        <f>$AA173*T166/100</f>
        <v>1006.74</v>
      </c>
      <c r="U174" s="57">
        <f>$AA173*U166/100</f>
        <v>291.99666666666661</v>
      </c>
      <c r="V174" s="57">
        <f>$AA173*V166/100</f>
        <v>54523.568638882491</v>
      </c>
      <c r="W174" s="57">
        <f>$AA173*W166/100</f>
        <v>20248.708583788703</v>
      </c>
      <c r="X174" s="57">
        <f>$AA173*X166/100</f>
        <v>15575.296110662155</v>
      </c>
      <c r="Z174" t="s">
        <v>36</v>
      </c>
      <c r="AA174" s="25">
        <f>SUM(T174:X174)</f>
        <v>91646.310000000012</v>
      </c>
      <c r="AC174" t="s">
        <v>273</v>
      </c>
      <c r="AD174" s="51">
        <v>0.88939393939393896</v>
      </c>
      <c r="AE174" s="51">
        <v>0.92311252559142098</v>
      </c>
      <c r="AI174" s="78"/>
      <c r="BF174">
        <v>0.93473832182489702</v>
      </c>
      <c r="BG174" s="1">
        <v>111</v>
      </c>
      <c r="BH174">
        <f t="shared" si="29"/>
        <v>0.13181441295194157</v>
      </c>
      <c r="BI174">
        <f t="shared" si="30"/>
        <v>9.3351912998739239E-3</v>
      </c>
      <c r="BJ174">
        <f t="shared" si="28"/>
        <v>8.72596104955853E-3</v>
      </c>
    </row>
    <row r="175" spans="1:62" x14ac:dyDescent="0.3">
      <c r="A175" t="s">
        <v>7</v>
      </c>
      <c r="B175" s="13">
        <v>4</v>
      </c>
      <c r="C175" s="35">
        <f t="shared" si="37"/>
        <v>0</v>
      </c>
      <c r="D175" s="36">
        <f t="shared" si="37"/>
        <v>0</v>
      </c>
      <c r="E175" s="21">
        <f t="shared" si="37"/>
        <v>1.1269613515931431</v>
      </c>
      <c r="F175" s="21">
        <f t="shared" si="37"/>
        <v>1.2521792795479367</v>
      </c>
      <c r="G175" s="37">
        <f t="shared" si="37"/>
        <v>12.89744657934375</v>
      </c>
      <c r="H175" s="17">
        <f>SUM(C175:G175)</f>
        <v>15.276587210484831</v>
      </c>
      <c r="I175" s="17">
        <f>G175/H175*100</f>
        <v>84.426229508196712</v>
      </c>
      <c r="J175" s="17">
        <f>SQRT(I175*(100-I175)/(L175-1))</f>
        <v>2.3261217673941141</v>
      </c>
      <c r="K175" s="18">
        <f>100-I175</f>
        <v>15.573770491803288</v>
      </c>
      <c r="L175" s="1">
        <f>H164</f>
        <v>244</v>
      </c>
      <c r="M175">
        <v>4</v>
      </c>
      <c r="N175" s="1">
        <v>14000.43</v>
      </c>
      <c r="O175" s="17">
        <f>N175/N176*100</f>
        <v>15.276587210484829</v>
      </c>
      <c r="P175" s="52">
        <f>((O175*O175*(I175/100)*(K175/100))/(L175-1))</f>
        <v>0.12627505841517803</v>
      </c>
      <c r="R175" s="66"/>
      <c r="S175" s="66" t="s">
        <v>62</v>
      </c>
      <c r="T175" s="67">
        <f>$AA173*T167/100</f>
        <v>0</v>
      </c>
      <c r="U175" s="67">
        <f>$AA173*U167/100</f>
        <v>106.62210736643343</v>
      </c>
      <c r="V175" s="67">
        <f>$AA173*V167/100</f>
        <v>568.42115568076269</v>
      </c>
      <c r="W175" s="67">
        <f>$AA173*W167/100</f>
        <v>737.51936855279564</v>
      </c>
      <c r="X175" s="67">
        <f>$AA173*X167/100</f>
        <v>775.96063671943386</v>
      </c>
      <c r="AA175" s="1"/>
      <c r="AC175" t="s">
        <v>274</v>
      </c>
      <c r="AD175" s="51">
        <v>0.90454545454545399</v>
      </c>
      <c r="AE175" s="51">
        <v>0.93755289368019101</v>
      </c>
      <c r="AH175" s="78"/>
      <c r="BF175">
        <v>0.93480605319120003</v>
      </c>
      <c r="BG175" s="1">
        <v>112</v>
      </c>
      <c r="BH175">
        <f t="shared" si="29"/>
        <v>0.14445198321177485</v>
      </c>
      <c r="BI175">
        <f t="shared" si="30"/>
        <v>1.0230193092918767E-2</v>
      </c>
      <c r="BJ175">
        <f t="shared" si="28"/>
        <v>9.5632464285752682E-3</v>
      </c>
    </row>
    <row r="176" spans="1:62" x14ac:dyDescent="0.3">
      <c r="B176" t="s">
        <v>28</v>
      </c>
      <c r="C176" s="17">
        <f t="shared" ref="C176:H176" si="38">SUM(C171:C175)</f>
        <v>1.2678414146907371</v>
      </c>
      <c r="D176" s="17">
        <f t="shared" si="38"/>
        <v>0.30381652713024004</v>
      </c>
      <c r="E176" s="17">
        <f t="shared" si="38"/>
        <v>60.291331708946764</v>
      </c>
      <c r="F176" s="17">
        <f t="shared" si="38"/>
        <v>21.915363027678794</v>
      </c>
      <c r="G176" s="17">
        <f t="shared" si="38"/>
        <v>16.221647321553462</v>
      </c>
      <c r="H176" s="18">
        <f t="shared" si="38"/>
        <v>99.999999999999986</v>
      </c>
      <c r="I176" s="13" t="s">
        <v>24</v>
      </c>
      <c r="J176" s="12" t="s">
        <v>29</v>
      </c>
      <c r="N176" s="1">
        <f>SUM(N171:N175)</f>
        <v>91646.32</v>
      </c>
      <c r="O176" s="17">
        <f>SUM(O171:O175)</f>
        <v>99.999999999999986</v>
      </c>
      <c r="R176" t="s">
        <v>104</v>
      </c>
      <c r="S176" t="s">
        <v>28</v>
      </c>
      <c r="T176" s="57">
        <f>C495</f>
        <v>1.1393693865033956</v>
      </c>
      <c r="U176" s="57">
        <f t="shared" ref="U176:X179" si="39">D495</f>
        <v>0.38280646542124835</v>
      </c>
      <c r="V176" s="57">
        <f t="shared" si="39"/>
        <v>59.454161721212813</v>
      </c>
      <c r="W176" s="57">
        <f t="shared" si="39"/>
        <v>23.085363753384776</v>
      </c>
      <c r="X176" s="57">
        <f t="shared" si="39"/>
        <v>15.938298673477764</v>
      </c>
      <c r="AC176" t="s">
        <v>275</v>
      </c>
      <c r="AD176" s="51">
        <v>0.91666666666666596</v>
      </c>
      <c r="AE176" s="51">
        <v>0.94451934087813605</v>
      </c>
      <c r="AI176" s="78"/>
      <c r="BF176">
        <v>0.93484526913888</v>
      </c>
      <c r="BG176" s="1">
        <v>113</v>
      </c>
      <c r="BH176">
        <f t="shared" si="29"/>
        <v>0.15711266676001365</v>
      </c>
      <c r="BI176">
        <f t="shared" si="30"/>
        <v>1.1126831785631883E-2</v>
      </c>
      <c r="BJ176">
        <f t="shared" si="28"/>
        <v>1.0401866055302082E-2</v>
      </c>
    </row>
    <row r="177" spans="1:62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0.11093811016807519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0.73952231963078863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0.74175834327694756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0.91329494480755236</v>
      </c>
      <c r="H177" s="1"/>
      <c r="I177" s="14">
        <f>(C171+D172+E173+F174+G175)/H176</f>
        <v>0.92855832679318939</v>
      </c>
      <c r="J177" s="53">
        <f>SQRT(SUM(P171:P175))/100</f>
        <v>9.790959886538381E-3</v>
      </c>
      <c r="M177" s="1"/>
      <c r="N177" s="9"/>
      <c r="S177" s="66" t="s">
        <v>39</v>
      </c>
      <c r="T177" s="67">
        <f>C496</f>
        <v>0</v>
      </c>
      <c r="U177" s="67">
        <f t="shared" si="39"/>
        <v>0.12105403337696327</v>
      </c>
      <c r="V177" s="67">
        <f t="shared" si="39"/>
        <v>0.74594796269063712</v>
      </c>
      <c r="W177" s="67">
        <f t="shared" si="39"/>
        <v>0.75726280354855169</v>
      </c>
      <c r="X177" s="67">
        <f t="shared" si="39"/>
        <v>0.89030749063794457</v>
      </c>
      <c r="AC177" t="s">
        <v>276</v>
      </c>
      <c r="AD177" s="51">
        <v>0.90303030303030296</v>
      </c>
      <c r="AE177" s="51">
        <v>0.93269002249532396</v>
      </c>
      <c r="AH177" s="78"/>
      <c r="BF177">
        <v>0.93493427381319505</v>
      </c>
      <c r="BG177" s="1">
        <v>114</v>
      </c>
      <c r="BH177">
        <f t="shared" si="29"/>
        <v>0.16979858557289623</v>
      </c>
      <c r="BI177">
        <f t="shared" si="30"/>
        <v>1.2025257657892949E-2</v>
      </c>
      <c r="BJ177">
        <f t="shared" si="28"/>
        <v>1.1242825535798707E-2</v>
      </c>
    </row>
    <row r="178" spans="1:62" x14ac:dyDescent="0.3">
      <c r="B178" s="1" t="s">
        <v>30</v>
      </c>
      <c r="C178" s="17">
        <f>C171/C176*100</f>
        <v>100</v>
      </c>
      <c r="D178" s="17">
        <f>D172/D176*100</f>
        <v>100</v>
      </c>
      <c r="E178" s="17">
        <f>E173/E176*100</f>
        <v>95.741034032355969</v>
      </c>
      <c r="F178" s="17">
        <f>F174/F176*100</f>
        <v>94.286294605448902</v>
      </c>
      <c r="G178" s="17">
        <f>G175/G176*100</f>
        <v>79.507625358166337</v>
      </c>
      <c r="H178" s="1"/>
      <c r="S178" s="70" t="s">
        <v>30</v>
      </c>
      <c r="T178" s="64">
        <f>C497</f>
        <v>100</v>
      </c>
      <c r="U178" s="64">
        <f t="shared" si="39"/>
        <v>100</v>
      </c>
      <c r="V178" s="64">
        <f t="shared" si="39"/>
        <v>96.151012888274352</v>
      </c>
      <c r="W178" s="64">
        <f t="shared" si="39"/>
        <v>94.19166265232802</v>
      </c>
      <c r="X178" s="64">
        <f t="shared" si="39"/>
        <v>80.687520097746415</v>
      </c>
      <c r="AC178" t="s">
        <v>277</v>
      </c>
      <c r="AD178" s="51">
        <v>0.91060606060605997</v>
      </c>
      <c r="AE178" s="51">
        <v>0.93757968826259397</v>
      </c>
      <c r="AI178" s="78"/>
      <c r="BF178">
        <v>0.93494804448659319</v>
      </c>
      <c r="BG178" s="1">
        <v>115</v>
      </c>
      <c r="BH178">
        <f t="shared" si="29"/>
        <v>0.18251189060891859</v>
      </c>
      <c r="BI178">
        <f t="shared" si="30"/>
        <v>1.2925623042125927E-2</v>
      </c>
      <c r="BJ178">
        <f t="shared" si="28"/>
        <v>1.2084785987006484E-2</v>
      </c>
    </row>
    <row r="179" spans="1:62" x14ac:dyDescent="0.3">
      <c r="B179" s="16" t="s">
        <v>39</v>
      </c>
      <c r="C179" s="18">
        <f>SQRT((C182+C183)/(C176*C176))</f>
        <v>0</v>
      </c>
      <c r="D179" s="18">
        <f>SQRT((D182+D183)/(D176*D176))</f>
        <v>0</v>
      </c>
      <c r="E179" s="18">
        <f>SQRT((E182+E183)/(E176*E176))</f>
        <v>0.84113177256352534</v>
      </c>
      <c r="F179" s="18">
        <f>SQRT((F182+F183)/(F176*F176))</f>
        <v>2.1473476151677633</v>
      </c>
      <c r="G179" s="18">
        <f>SQRT((G182+G183)/(G176*G176))</f>
        <v>6.1064092164053578</v>
      </c>
      <c r="H179" s="1"/>
      <c r="I179" s="14"/>
      <c r="S179" s="66" t="s">
        <v>39</v>
      </c>
      <c r="T179" s="67">
        <f>C498</f>
        <v>0</v>
      </c>
      <c r="U179" s="67">
        <f t="shared" si="39"/>
        <v>0</v>
      </c>
      <c r="V179" s="67">
        <f t="shared" si="39"/>
        <v>0.86056344804679075</v>
      </c>
      <c r="W179" s="67">
        <f t="shared" si="39"/>
        <v>2.1034442864985139</v>
      </c>
      <c r="X179" s="67">
        <f t="shared" si="39"/>
        <v>5.774950069020937</v>
      </c>
      <c r="AC179" t="s">
        <v>278</v>
      </c>
      <c r="AD179" s="51">
        <v>0.90454545454545399</v>
      </c>
      <c r="AE179" s="51">
        <v>0.93701440521524604</v>
      </c>
      <c r="AH179" s="78"/>
      <c r="BF179">
        <v>0.93497798814367195</v>
      </c>
      <c r="BG179" s="1">
        <v>116</v>
      </c>
      <c r="BH179">
        <f t="shared" si="29"/>
        <v>0.19525476451997836</v>
      </c>
      <c r="BI179">
        <f t="shared" si="30"/>
        <v>1.3828082515304223E-2</v>
      </c>
      <c r="BJ179">
        <f t="shared" si="28"/>
        <v>1.292895277004383E-2</v>
      </c>
    </row>
    <row r="180" spans="1:62" x14ac:dyDescent="0.3">
      <c r="B180" s="1" t="s">
        <v>37</v>
      </c>
      <c r="C180" s="18">
        <f>100-C178</f>
        <v>0</v>
      </c>
      <c r="D180" s="18">
        <f>100-D178</f>
        <v>0</v>
      </c>
      <c r="E180" s="18">
        <f>100-E178</f>
        <v>4.2589659676440306</v>
      </c>
      <c r="F180" s="18">
        <f>100-F178</f>
        <v>5.7137053945510985</v>
      </c>
      <c r="G180" s="18">
        <f>100-G178</f>
        <v>20.492374641833663</v>
      </c>
      <c r="S180" s="70" t="s">
        <v>31</v>
      </c>
      <c r="T180" s="64">
        <f>I490</f>
        <v>100</v>
      </c>
      <c r="U180" s="64">
        <f>I491</f>
        <v>40</v>
      </c>
      <c r="V180" s="64">
        <f>I492</f>
        <v>98.591549295774655</v>
      </c>
      <c r="W180" s="64">
        <f>I493</f>
        <v>86.805555555555543</v>
      </c>
      <c r="X180" s="64">
        <f>I494</f>
        <v>86.47540983606558</v>
      </c>
      <c r="AC180" t="s">
        <v>279</v>
      </c>
      <c r="AD180" s="51">
        <v>0.90151515151515105</v>
      </c>
      <c r="AE180" s="51">
        <v>0.93046704399097102</v>
      </c>
      <c r="AI180" s="78"/>
      <c r="BF180">
        <v>0.93523187229625104</v>
      </c>
      <c r="BG180" s="1">
        <v>117</v>
      </c>
      <c r="BH180">
        <f t="shared" si="29"/>
        <v>0.20802942445987585</v>
      </c>
      <c r="BI180">
        <f t="shared" si="30"/>
        <v>1.4732793097850746E-2</v>
      </c>
      <c r="BJ180">
        <f t="shared" si="28"/>
        <v>1.3778577673056238E-2</v>
      </c>
    </row>
    <row r="181" spans="1:62" ht="15.6" x14ac:dyDescent="0.35">
      <c r="B181" s="1" t="s">
        <v>25</v>
      </c>
      <c r="C181" s="1">
        <f>C165</f>
        <v>115</v>
      </c>
      <c r="D181" s="1">
        <f>D165</f>
        <v>5</v>
      </c>
      <c r="E181" s="1">
        <f>E165</f>
        <v>173</v>
      </c>
      <c r="F181" s="1">
        <f>F165</f>
        <v>144</v>
      </c>
      <c r="G181" s="1">
        <f>G165</f>
        <v>223</v>
      </c>
      <c r="S181" s="66" t="s">
        <v>39</v>
      </c>
      <c r="T181" s="67">
        <f>J490</f>
        <v>0</v>
      </c>
      <c r="U181" s="67">
        <f>J491</f>
        <v>13.093073414159543</v>
      </c>
      <c r="V181" s="67">
        <f>J492</f>
        <v>0.99238711073976715</v>
      </c>
      <c r="W181" s="67">
        <f>J493</f>
        <v>2.8300968382044434</v>
      </c>
      <c r="X181" s="67">
        <f>J494</f>
        <v>2.1938414335967034</v>
      </c>
      <c r="AC181" t="s">
        <v>280</v>
      </c>
      <c r="AD181" s="51">
        <v>0.88939393939393896</v>
      </c>
      <c r="AE181" s="51">
        <v>0.925903348227339</v>
      </c>
      <c r="AH181" s="78"/>
      <c r="BF181">
        <v>0.93523535250787004</v>
      </c>
      <c r="BG181" s="1">
        <v>118</v>
      </c>
      <c r="BH181">
        <f t="shared" si="29"/>
        <v>0.2208381250000446</v>
      </c>
      <c r="BI181">
        <f t="shared" si="30"/>
        <v>1.5639914460132034E-2</v>
      </c>
      <c r="BJ181">
        <f t="shared" si="28"/>
        <v>1.4627000913314517E-2</v>
      </c>
    </row>
    <row r="182" spans="1:62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0</v>
      </c>
      <c r="E182" s="18">
        <f>(O173*O173*(100-E178)*(100-E178)*(I173)*(100-I173))/((L173-1)*100)</f>
        <v>612.3463978610813</v>
      </c>
      <c r="F182" s="18">
        <f>(O174*O174*(100-F178)*(100-F178)*(I174)*(100-I174))/((L174-1)*100)</f>
        <v>1572.1806116387563</v>
      </c>
      <c r="G182" s="18">
        <f>(O175*O175*(100-G178)*(100-G178)*(I175)*(100-I175))/((L175-1)*100)</f>
        <v>5302.7622046915594</v>
      </c>
      <c r="S182" s="68" t="s">
        <v>51</v>
      </c>
      <c r="T182" s="65">
        <f>N479*100</f>
        <v>100</v>
      </c>
      <c r="U182" s="65">
        <f>N480*100</f>
        <v>57.142857142857153</v>
      </c>
      <c r="V182" s="65">
        <f>N481*100</f>
        <v>90.909090909090921</v>
      </c>
      <c r="W182" s="65">
        <f>N482*100</f>
        <v>85.910652920962193</v>
      </c>
      <c r="X182" s="65">
        <f>N483*100</f>
        <v>89.787234042553195</v>
      </c>
      <c r="AC182" t="s">
        <v>281</v>
      </c>
      <c r="AD182" s="51">
        <v>0.90909090909090895</v>
      </c>
      <c r="AE182" s="51">
        <v>0.94395897458018896</v>
      </c>
      <c r="AI182" s="78"/>
      <c r="BF182">
        <v>0.93527099417945003</v>
      </c>
      <c r="BG182" s="1">
        <v>119</v>
      </c>
      <c r="BH182">
        <f t="shared" si="29"/>
        <v>0.23368316116302504</v>
      </c>
      <c r="BI182">
        <f t="shared" si="30"/>
        <v>1.6549609137291046E-2</v>
      </c>
      <c r="BJ182">
        <f t="shared" si="28"/>
        <v>1.5478369391115507E-2</v>
      </c>
    </row>
    <row r="183" spans="1:62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0</v>
      </c>
      <c r="E183" s="18">
        <f>E178*E178*(SUM((H171*E171*(1-E160/H160))/(H160-1),(H172*E172*(1-E161/H161))/(H161-1), (H174*E174*(1-E163/H163))/(H163-1),(H175*E175*(1-E164/H164))/(H164-1)))</f>
        <v>1959.4573776144184</v>
      </c>
      <c r="F183" s="18">
        <f>F178*F178*(SUM((H171*F171*(1-F160/H160))/(H160-1),(H172*F172*(1-F161/H161))/(H161-1), (H173*F173*(1-F162/H162))/(H162-1),(H175*F175*(1-F164/H164))/(H164-1)))</f>
        <v>642.4538147787581</v>
      </c>
      <c r="G183" s="18">
        <f>G178*G178*(SUM((H171*G171*(1-G160/H160))/(H160-1),(H172*G172*(1-G161/H161))/(H161-1), (H173*G173*(1-G162/H162))/(H162-1),(H174*G174*(1-G163/H163))/(H163-1)))</f>
        <v>4509.3322416832425</v>
      </c>
      <c r="R183" s="16" t="s">
        <v>61</v>
      </c>
      <c r="S183" t="s">
        <v>9</v>
      </c>
      <c r="T183" s="1">
        <f>N490</f>
        <v>1044.19</v>
      </c>
      <c r="U183" s="1">
        <f>N491</f>
        <v>877.07</v>
      </c>
      <c r="V183" s="1">
        <f>N492</f>
        <v>53138.76</v>
      </c>
      <c r="W183" s="1">
        <f>N493</f>
        <v>22957.08</v>
      </c>
      <c r="X183" s="1">
        <f>N494</f>
        <v>13629.21</v>
      </c>
      <c r="Z183" t="s">
        <v>36</v>
      </c>
      <c r="AA183" s="1">
        <f>N495</f>
        <v>91646.31</v>
      </c>
      <c r="AC183" t="s">
        <v>282</v>
      </c>
      <c r="AD183" s="51">
        <v>0.9</v>
      </c>
      <c r="AE183" s="51">
        <v>0.93484526913888</v>
      </c>
      <c r="AH183" s="78"/>
      <c r="BF183">
        <v>0.93530779897128402</v>
      </c>
      <c r="BG183" s="1">
        <v>120</v>
      </c>
      <c r="BH183">
        <f t="shared" si="29"/>
        <v>0.24656687158492113</v>
      </c>
      <c r="BI183">
        <f t="shared" si="30"/>
        <v>1.7462042753214592E-2</v>
      </c>
      <c r="BJ183">
        <f t="shared" si="28"/>
        <v>1.63323847730516E-2</v>
      </c>
    </row>
    <row r="184" spans="1:62" ht="15.6" x14ac:dyDescent="0.35">
      <c r="R184" s="16" t="s">
        <v>318</v>
      </c>
      <c r="S184" t="s">
        <v>63</v>
      </c>
      <c r="T184" s="57">
        <f>$AA183*T176/100</f>
        <v>1044.19</v>
      </c>
      <c r="U184" s="57">
        <f>$AA183*U176/100</f>
        <v>350.82800000000003</v>
      </c>
      <c r="V184" s="57">
        <f>$AA183*V176/100</f>
        <v>54487.545358924028</v>
      </c>
      <c r="W184" s="57">
        <f>$AA183*W176/100</f>
        <v>21156.884030054644</v>
      </c>
      <c r="X184" s="57">
        <f>$AA183*X176/100</f>
        <v>14606.862611021317</v>
      </c>
      <c r="Z184" t="s">
        <v>36</v>
      </c>
      <c r="AA184" s="25">
        <f>SUM(T184:X184)</f>
        <v>91646.31</v>
      </c>
      <c r="AC184" t="s">
        <v>283</v>
      </c>
      <c r="AD184" s="51">
        <v>0.91363636363636302</v>
      </c>
      <c r="AE184" s="51">
        <v>0.94085148511392602</v>
      </c>
      <c r="AI184" s="78"/>
      <c r="BF184">
        <v>0.93530843977485401</v>
      </c>
      <c r="BG184" s="1">
        <v>121</v>
      </c>
      <c r="BH184">
        <f t="shared" si="29"/>
        <v>0.25949164181888423</v>
      </c>
      <c r="BI184">
        <f t="shared" si="30"/>
        <v>1.8377384254488444E-2</v>
      </c>
      <c r="BJ184">
        <f t="shared" si="28"/>
        <v>1.7188522594208555E-2</v>
      </c>
    </row>
    <row r="185" spans="1:62" x14ac:dyDescent="0.3">
      <c r="R185" s="66"/>
      <c r="S185" s="66" t="s">
        <v>62</v>
      </c>
      <c r="T185" s="67">
        <f>$AA183*T177/100</f>
        <v>0</v>
      </c>
      <c r="U185" s="67">
        <f>$AA183*U177/100</f>
        <v>110.94155469615522</v>
      </c>
      <c r="V185" s="67">
        <f>$AA183*V177/100</f>
        <v>683.63378232614559</v>
      </c>
      <c r="W185" s="67">
        <f>$AA183*W177/100</f>
        <v>694.00341645479671</v>
      </c>
      <c r="X185" s="67">
        <f>$AA183*X177/100</f>
        <v>815.9339628232716</v>
      </c>
      <c r="AA185" s="1"/>
      <c r="AC185" t="s">
        <v>284</v>
      </c>
      <c r="AD185" s="51">
        <v>0.89393939393939303</v>
      </c>
      <c r="AE185" s="51">
        <v>0.92794936067451805</v>
      </c>
      <c r="AH185" s="78"/>
      <c r="BF185">
        <v>0.93531289786377303</v>
      </c>
      <c r="BG185" s="1">
        <v>122</v>
      </c>
      <c r="BH185">
        <f t="shared" si="29"/>
        <v>0.27245990779256418</v>
      </c>
      <c r="BI185">
        <f t="shared" si="30"/>
        <v>1.9295806155256504E-2</v>
      </c>
      <c r="BJ185">
        <f t="shared" si="28"/>
        <v>1.804761637169059E-2</v>
      </c>
    </row>
    <row r="186" spans="1:62" x14ac:dyDescent="0.3">
      <c r="A186" s="348">
        <v>1988</v>
      </c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 t="s">
        <v>79</v>
      </c>
      <c r="M186" s="348"/>
      <c r="N186" s="348"/>
      <c r="O186" s="348"/>
      <c r="P186" s="348"/>
      <c r="R186" t="s">
        <v>105</v>
      </c>
      <c r="S186" s="70" t="s">
        <v>28</v>
      </c>
      <c r="T186" s="64">
        <f>C524</f>
        <v>1.1271920138200857</v>
      </c>
      <c r="U186" s="64">
        <f t="shared" ref="U186:X189" si="40">D524</f>
        <v>0.28050589847288282</v>
      </c>
      <c r="V186" s="64">
        <f t="shared" si="40"/>
        <v>59.322524070015859</v>
      </c>
      <c r="W186" s="64">
        <f t="shared" si="40"/>
        <v>22.908485948708641</v>
      </c>
      <c r="X186" s="64">
        <f t="shared" si="40"/>
        <v>16.361292068982515</v>
      </c>
      <c r="AA186" s="12"/>
      <c r="AC186" t="s">
        <v>285</v>
      </c>
      <c r="AD186" s="51">
        <v>0.90757575757575704</v>
      </c>
      <c r="AE186" s="51">
        <v>0.93583654783952197</v>
      </c>
      <c r="AI186" s="78"/>
      <c r="BF186">
        <v>0.93533382087280603</v>
      </c>
      <c r="BG186" s="1">
        <v>123</v>
      </c>
      <c r="BH186">
        <f t="shared" si="29"/>
        <v>0.28547415943346138</v>
      </c>
      <c r="BI186">
        <f t="shared" si="30"/>
        <v>2.0217484793970827E-2</v>
      </c>
      <c r="BJ186">
        <f t="shared" si="28"/>
        <v>1.8910097300782591E-2</v>
      </c>
    </row>
    <row r="187" spans="1:62" x14ac:dyDescent="0.3">
      <c r="A187" t="s">
        <v>315</v>
      </c>
      <c r="B187" t="s">
        <v>21</v>
      </c>
      <c r="I187" s="1" t="s">
        <v>53</v>
      </c>
      <c r="O187" s="350" t="s">
        <v>377</v>
      </c>
      <c r="P187" s="350"/>
      <c r="S187" s="66" t="s">
        <v>39</v>
      </c>
      <c r="T187" s="67">
        <f>C525</f>
        <v>0</v>
      </c>
      <c r="U187" s="67">
        <f t="shared" si="40"/>
        <v>0.10242627207123457</v>
      </c>
      <c r="V187" s="67">
        <f t="shared" si="40"/>
        <v>0.74397781858301315</v>
      </c>
      <c r="W187" s="67">
        <f t="shared" si="40"/>
        <v>0.71094041790419704</v>
      </c>
      <c r="X187" s="67">
        <f t="shared" si="40"/>
        <v>0.85295659257482026</v>
      </c>
      <c r="AC187" t="s">
        <v>286</v>
      </c>
      <c r="AD187" s="51">
        <v>0.90151515151515105</v>
      </c>
      <c r="AE187" s="51">
        <v>0.93094043767241696</v>
      </c>
      <c r="AH187" s="78"/>
      <c r="BF187">
        <v>0.93537220505921204</v>
      </c>
      <c r="BG187" s="1">
        <v>124</v>
      </c>
      <c r="BH187">
        <f t="shared" si="29"/>
        <v>0.29853694447722257</v>
      </c>
      <c r="BI187">
        <f t="shared" si="30"/>
        <v>2.1142600603097878E-2</v>
      </c>
      <c r="BJ187">
        <f t="shared" si="28"/>
        <v>1.9776200946805888E-2</v>
      </c>
    </row>
    <row r="188" spans="1:62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51</v>
      </c>
      <c r="O188" s="13" t="s">
        <v>644</v>
      </c>
      <c r="P188" s="13" t="s">
        <v>633</v>
      </c>
      <c r="S188" t="s">
        <v>30</v>
      </c>
      <c r="T188" s="57">
        <f>C526</f>
        <v>100</v>
      </c>
      <c r="U188" s="57">
        <f t="shared" si="40"/>
        <v>100</v>
      </c>
      <c r="V188" s="57">
        <f t="shared" si="40"/>
        <v>96.032012480494771</v>
      </c>
      <c r="W188" s="57">
        <f t="shared" si="40"/>
        <v>95.586032531580003</v>
      </c>
      <c r="X188" s="57">
        <f t="shared" si="40"/>
        <v>83.433735097286004</v>
      </c>
      <c r="AC188" t="s">
        <v>287</v>
      </c>
      <c r="AD188" s="51">
        <v>0.898484848484848</v>
      </c>
      <c r="AE188" s="51">
        <v>0.93249473019852003</v>
      </c>
      <c r="AI188" s="78"/>
      <c r="BF188">
        <v>0.93541316665019902</v>
      </c>
      <c r="BG188" s="1">
        <v>125</v>
      </c>
      <c r="BH188">
        <f t="shared" si="29"/>
        <v>0.31165087247514994</v>
      </c>
      <c r="BI188">
        <f t="shared" si="30"/>
        <v>2.2071338392933185E-2</v>
      </c>
      <c r="BJ188">
        <f t="shared" si="28"/>
        <v>2.0645820538341745E-2</v>
      </c>
    </row>
    <row r="189" spans="1:62" x14ac:dyDescent="0.3">
      <c r="A189" t="s">
        <v>3</v>
      </c>
      <c r="B189" s="13">
        <v>0</v>
      </c>
      <c r="C189" s="26">
        <v>115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115</v>
      </c>
      <c r="I189" s="10">
        <f>C189/H189</f>
        <v>1</v>
      </c>
      <c r="J189" s="11">
        <f>1-I189</f>
        <v>0</v>
      </c>
      <c r="K189">
        <f>H189-C194</f>
        <v>0</v>
      </c>
      <c r="N189" s="10">
        <f>2*(C195*I189)/(C195+I189)</f>
        <v>1</v>
      </c>
      <c r="O189" s="1"/>
      <c r="P189" s="1"/>
      <c r="S189" s="66" t="s">
        <v>39</v>
      </c>
      <c r="T189" s="67">
        <f>C527</f>
        <v>0</v>
      </c>
      <c r="U189" s="67">
        <f t="shared" si="40"/>
        <v>0</v>
      </c>
      <c r="V189" s="67">
        <f t="shared" si="40"/>
        <v>0.86462249204879926</v>
      </c>
      <c r="W189" s="67">
        <f t="shared" si="40"/>
        <v>1.6462697951330005</v>
      </c>
      <c r="X189" s="67">
        <f t="shared" si="40"/>
        <v>5.1624802139807509</v>
      </c>
      <c r="AC189" t="s">
        <v>288</v>
      </c>
      <c r="AD189" s="51">
        <v>0.9</v>
      </c>
      <c r="AE189" s="51">
        <v>0.93586748345333104</v>
      </c>
      <c r="AH189" s="78"/>
      <c r="BF189">
        <v>0.93548311183292399</v>
      </c>
      <c r="BG189" s="1">
        <v>126</v>
      </c>
      <c r="BH189">
        <f t="shared" si="29"/>
        <v>0.32481861901855619</v>
      </c>
      <c r="BI189">
        <f t="shared" si="30"/>
        <v>2.3003887650773207E-2</v>
      </c>
      <c r="BJ189">
        <f t="shared" si="28"/>
        <v>2.151974840380029E-2</v>
      </c>
    </row>
    <row r="190" spans="1:62" x14ac:dyDescent="0.3">
      <c r="A190" t="s">
        <v>4</v>
      </c>
      <c r="B190" s="13">
        <v>1</v>
      </c>
      <c r="C190" s="5">
        <v>0</v>
      </c>
      <c r="D190" s="27">
        <v>7</v>
      </c>
      <c r="E190" s="1">
        <v>8</v>
      </c>
      <c r="F190" s="1">
        <v>0</v>
      </c>
      <c r="G190" s="6">
        <v>0</v>
      </c>
      <c r="H190" s="1">
        <f>SUM(C190:G190)</f>
        <v>15</v>
      </c>
      <c r="I190" s="10">
        <f>D190/H190</f>
        <v>0.46666666666666667</v>
      </c>
      <c r="J190" s="11">
        <f>1-I190</f>
        <v>0.53333333333333333</v>
      </c>
      <c r="K190">
        <f>H190-D194</f>
        <v>7</v>
      </c>
      <c r="N190" s="10">
        <f>2*(D195*I190)/(D195+I190)</f>
        <v>0.60869565217391297</v>
      </c>
      <c r="O190" s="1"/>
      <c r="P190" s="1"/>
      <c r="S190" t="s">
        <v>31</v>
      </c>
      <c r="T190" s="57">
        <f>I519</f>
        <v>100</v>
      </c>
      <c r="U190" s="57">
        <f>I520</f>
        <v>33.333333333333329</v>
      </c>
      <c r="V190" s="57">
        <f>I521</f>
        <v>98.591549295774655</v>
      </c>
      <c r="W190" s="57">
        <f>I522</f>
        <v>88.194444444444443</v>
      </c>
      <c r="X190" s="57">
        <f>I523</f>
        <v>88.52459016393442</v>
      </c>
      <c r="AC190" t="s">
        <v>289</v>
      </c>
      <c r="AD190" s="51">
        <v>0.90151515151515105</v>
      </c>
      <c r="AE190" s="51">
        <v>0.93195312900369498</v>
      </c>
      <c r="AI190" s="78"/>
      <c r="BF190">
        <v>0.93565729754604898</v>
      </c>
      <c r="BG190" s="1">
        <v>127</v>
      </c>
      <c r="BH190">
        <f t="shared" si="29"/>
        <v>0.33804293019912629</v>
      </c>
      <c r="BI190">
        <f t="shared" si="30"/>
        <v>2.3940442856801341E-2</v>
      </c>
      <c r="BJ190">
        <f t="shared" si="28"/>
        <v>2.2400050065450355E-2</v>
      </c>
    </row>
    <row r="191" spans="1:62" x14ac:dyDescent="0.3">
      <c r="A191" t="s">
        <v>5</v>
      </c>
      <c r="B191" s="13">
        <v>2</v>
      </c>
      <c r="C191" s="5">
        <v>0</v>
      </c>
      <c r="D191" s="1">
        <v>0</v>
      </c>
      <c r="E191" s="27">
        <v>141</v>
      </c>
      <c r="F191" s="1">
        <v>0</v>
      </c>
      <c r="G191" s="6">
        <v>1</v>
      </c>
      <c r="H191" s="1">
        <f>SUM(C191:G191)</f>
        <v>142</v>
      </c>
      <c r="I191" s="10">
        <f>E191/H191</f>
        <v>0.99295774647887325</v>
      </c>
      <c r="J191" s="11">
        <f>1-I191</f>
        <v>7.0422535211267512E-3</v>
      </c>
      <c r="K191">
        <f>H191-E194</f>
        <v>-21</v>
      </c>
      <c r="N191" s="10">
        <f>2*(E195*I191)/(E195+I191)</f>
        <v>0.92459016393442617</v>
      </c>
      <c r="O191" s="1"/>
      <c r="P191" s="1"/>
      <c r="S191" s="66" t="s">
        <v>39</v>
      </c>
      <c r="T191" s="67">
        <f>J519</f>
        <v>0</v>
      </c>
      <c r="U191" s="67">
        <f>J520</f>
        <v>12.598815766974241</v>
      </c>
      <c r="V191" s="67">
        <f>J521</f>
        <v>0.99238711073976715</v>
      </c>
      <c r="W191" s="67">
        <f>J522</f>
        <v>2.6983346503309322</v>
      </c>
      <c r="X191" s="67">
        <f>J523</f>
        <v>2.0446215228272906</v>
      </c>
      <c r="AC191" t="s">
        <v>290</v>
      </c>
      <c r="AD191" s="51">
        <v>0.89696969696969697</v>
      </c>
      <c r="AE191" s="51">
        <v>0.93142494615951099</v>
      </c>
      <c r="AH191" s="78"/>
      <c r="BF191">
        <v>0.93566990501108604</v>
      </c>
      <c r="BG191" s="1">
        <v>128</v>
      </c>
      <c r="BH191">
        <f t="shared" si="29"/>
        <v>0.35132662732612346</v>
      </c>
      <c r="BI191">
        <f t="shared" si="30"/>
        <v>2.4881203818163857E-2</v>
      </c>
      <c r="BJ191">
        <f t="shared" si="28"/>
        <v>2.3280593613102848E-2</v>
      </c>
    </row>
    <row r="192" spans="1:62" x14ac:dyDescent="0.3">
      <c r="A192" t="s">
        <v>6</v>
      </c>
      <c r="B192" s="13">
        <v>3</v>
      </c>
      <c r="C192" s="5">
        <v>0</v>
      </c>
      <c r="D192" s="1">
        <v>0</v>
      </c>
      <c r="E192" s="1">
        <v>5</v>
      </c>
      <c r="F192" s="27">
        <v>124</v>
      </c>
      <c r="G192" s="6">
        <v>15</v>
      </c>
      <c r="H192" s="1">
        <f>SUM(C192:G192)</f>
        <v>144</v>
      </c>
      <c r="I192" s="10">
        <f>F192/H192</f>
        <v>0.86111111111111116</v>
      </c>
      <c r="J192" s="11">
        <f>1-I192</f>
        <v>0.13888888888888884</v>
      </c>
      <c r="K192">
        <f>H192-F194</f>
        <v>2</v>
      </c>
      <c r="N192" s="10">
        <f>2*(F195*I192)/(F195+I192)</f>
        <v>0.86713286713286708</v>
      </c>
      <c r="O192" s="1"/>
      <c r="P192" s="1"/>
      <c r="S192" s="66" t="s">
        <v>51</v>
      </c>
      <c r="T192" s="67">
        <f>N508*100</f>
        <v>100</v>
      </c>
      <c r="U192" s="67">
        <f>N509*100</f>
        <v>50</v>
      </c>
      <c r="V192" s="67">
        <f>N510*100</f>
        <v>90.322580645161281</v>
      </c>
      <c r="W192" s="67">
        <f>N511*100</f>
        <v>88.501742160278752</v>
      </c>
      <c r="X192" s="67">
        <f>N512*100</f>
        <v>91.331923890063422</v>
      </c>
      <c r="AC192" t="s">
        <v>291</v>
      </c>
      <c r="AD192" s="51">
        <v>0.90151515151515105</v>
      </c>
      <c r="AE192" s="51">
        <v>0.93573451066119695</v>
      </c>
      <c r="AI192" s="78"/>
      <c r="BF192">
        <v>0.93572070587102196</v>
      </c>
      <c r="BG192" s="1">
        <v>129</v>
      </c>
      <c r="BH192">
        <f t="shared" si="29"/>
        <v>0.36467261192316763</v>
      </c>
      <c r="BI192">
        <f t="shared" si="30"/>
        <v>2.5826376022845311E-2</v>
      </c>
      <c r="BJ192">
        <f t="shared" si="28"/>
        <v>2.4166274802187252E-2</v>
      </c>
    </row>
    <row r="193" spans="1:62" x14ac:dyDescent="0.3">
      <c r="A193" t="s">
        <v>7</v>
      </c>
      <c r="B193" s="13">
        <v>4</v>
      </c>
      <c r="C193" s="7">
        <v>0</v>
      </c>
      <c r="D193" s="8">
        <v>1</v>
      </c>
      <c r="E193" s="8">
        <v>9</v>
      </c>
      <c r="F193" s="8">
        <v>18</v>
      </c>
      <c r="G193" s="28">
        <v>216</v>
      </c>
      <c r="H193" s="1">
        <f>SUM(C193:G193)</f>
        <v>244</v>
      </c>
      <c r="I193" s="10">
        <f>G193/H193</f>
        <v>0.88524590163934425</v>
      </c>
      <c r="J193" s="11">
        <f>1-I193</f>
        <v>0.11475409836065575</v>
      </c>
      <c r="K193">
        <f>H193-G194</f>
        <v>12</v>
      </c>
      <c r="N193" s="10">
        <f>2*(G195*I193)/(G195+I193)</f>
        <v>0.90756302521008392</v>
      </c>
      <c r="O193" s="1"/>
      <c r="P193" s="1"/>
      <c r="R193" s="16" t="s">
        <v>61</v>
      </c>
      <c r="S193" t="s">
        <v>9</v>
      </c>
      <c r="T193" s="1">
        <f>N519</f>
        <v>1033.03</v>
      </c>
      <c r="U193" s="1">
        <f>N520</f>
        <v>771.22</v>
      </c>
      <c r="V193" s="1">
        <f>N521</f>
        <v>52955.49</v>
      </c>
      <c r="W193" s="1">
        <f>N522</f>
        <v>22754.36</v>
      </c>
      <c r="X193" s="1">
        <f>N523</f>
        <v>14132.22</v>
      </c>
      <c r="Z193" t="s">
        <v>36</v>
      </c>
      <c r="AA193" s="1">
        <f>N524</f>
        <v>91646.32</v>
      </c>
      <c r="AC193" t="s">
        <v>292</v>
      </c>
      <c r="AD193" s="51">
        <v>0.89242424242424201</v>
      </c>
      <c r="AE193" s="51">
        <v>0.925650060567351</v>
      </c>
      <c r="AH193" s="78"/>
      <c r="AL193" s="131">
        <v>0</v>
      </c>
      <c r="AM193" s="132">
        <v>1</v>
      </c>
      <c r="AN193" s="132">
        <v>2</v>
      </c>
      <c r="AO193" s="132">
        <v>3</v>
      </c>
      <c r="AP193" s="133">
        <v>4</v>
      </c>
      <c r="BF193">
        <v>0.93573451066119695</v>
      </c>
      <c r="BG193" s="1">
        <v>130</v>
      </c>
      <c r="BH193">
        <f t="shared" si="29"/>
        <v>0.37808387102940144</v>
      </c>
      <c r="BI193">
        <f t="shared" si="30"/>
        <v>2.6776171015100936E-2</v>
      </c>
      <c r="BJ193">
        <f t="shared" ref="BJ193:BJ256" si="41">BI193*BF193</f>
        <v>2.5055387282195998E-2</v>
      </c>
    </row>
    <row r="194" spans="1:62" ht="15.6" x14ac:dyDescent="0.35">
      <c r="B194" s="1" t="s">
        <v>19</v>
      </c>
      <c r="C194" s="1">
        <f>SUM(C189:C193)</f>
        <v>115</v>
      </c>
      <c r="D194" s="1">
        <f>SUM(D189:D193)</f>
        <v>8</v>
      </c>
      <c r="E194" s="1">
        <f>SUM(E189:E193)</f>
        <v>163</v>
      </c>
      <c r="F194" s="1">
        <f>SUM(F189:F193)</f>
        <v>142</v>
      </c>
      <c r="G194" s="1">
        <f>SUM(G189:G193)</f>
        <v>232</v>
      </c>
      <c r="H194" s="1">
        <f>SUM(H188:H193)</f>
        <v>660</v>
      </c>
      <c r="I194" s="13" t="s">
        <v>12</v>
      </c>
      <c r="N194" s="16" t="s">
        <v>36</v>
      </c>
      <c r="O194" s="1">
        <f>SUM(O189:O193)</f>
        <v>0</v>
      </c>
      <c r="P194" s="1">
        <f>SUM(P189:P193)</f>
        <v>0</v>
      </c>
      <c r="R194" s="16" t="s">
        <v>318</v>
      </c>
      <c r="S194" t="s">
        <v>63</v>
      </c>
      <c r="T194" s="57">
        <f>$AA193*T186/100</f>
        <v>1033.03</v>
      </c>
      <c r="U194" s="57">
        <f>$AA193*U186/100</f>
        <v>257.07333333333332</v>
      </c>
      <c r="V194" s="57">
        <f>$AA193*V186/100</f>
        <v>54366.910241283767</v>
      </c>
      <c r="W194" s="57">
        <f>$AA193*W186/100</f>
        <v>20994.78433970856</v>
      </c>
      <c r="X194" s="57">
        <f>$AA193*X186/100</f>
        <v>14994.522085674338</v>
      </c>
      <c r="Z194" t="s">
        <v>36</v>
      </c>
      <c r="AA194" s="25">
        <f>SUM(T194:X194)</f>
        <v>91646.32</v>
      </c>
      <c r="AC194" t="s">
        <v>293</v>
      </c>
      <c r="AD194" s="51">
        <v>0.90606060606060601</v>
      </c>
      <c r="AE194" s="51">
        <v>0.93281042534579595</v>
      </c>
      <c r="AI194" s="78"/>
      <c r="AJ194" t="s">
        <v>2</v>
      </c>
      <c r="AQ194" t="s">
        <v>633</v>
      </c>
      <c r="BF194">
        <v>0.93574173372916003</v>
      </c>
      <c r="BG194" s="1">
        <v>131</v>
      </c>
      <c r="BH194">
        <f t="shared" si="29"/>
        <v>0.39156348283220138</v>
      </c>
      <c r="BI194">
        <f t="shared" si="30"/>
        <v>2.7730806794369275E-2</v>
      </c>
      <c r="BJ194">
        <f t="shared" si="41"/>
        <v>2.5948873227471476E-2</v>
      </c>
    </row>
    <row r="195" spans="1:62" x14ac:dyDescent="0.3">
      <c r="A195" s="1" t="s">
        <v>316</v>
      </c>
      <c r="B195" s="1" t="s">
        <v>2</v>
      </c>
      <c r="C195" s="10">
        <f>C189/C194</f>
        <v>1</v>
      </c>
      <c r="D195" s="10">
        <f>D190/D194</f>
        <v>0.875</v>
      </c>
      <c r="E195" s="10">
        <f>E191/E194</f>
        <v>0.86503067484662577</v>
      </c>
      <c r="F195" s="10">
        <f>F192/F194</f>
        <v>0.87323943661971826</v>
      </c>
      <c r="G195" s="10">
        <f>G193/G194</f>
        <v>0.93103448275862066</v>
      </c>
      <c r="H195" s="10"/>
      <c r="I195" s="14">
        <f>(C189+D190+E191+F192+G193)/H194</f>
        <v>0.91363636363636369</v>
      </c>
      <c r="R195" s="66"/>
      <c r="S195" s="66" t="s">
        <v>62</v>
      </c>
      <c r="T195" s="67">
        <f>$AA193*T187/100</f>
        <v>0</v>
      </c>
      <c r="U195" s="67">
        <f>$AA193*U187/100</f>
        <v>93.869909066474264</v>
      </c>
      <c r="V195" s="67">
        <f>$AA193*V187/100</f>
        <v>681.82829234760777</v>
      </c>
      <c r="W195" s="67">
        <f>$AA193*W187/100</f>
        <v>651.55073040181776</v>
      </c>
      <c r="X195" s="67">
        <f>$AA193*X187/100</f>
        <v>781.70332829221604</v>
      </c>
      <c r="AA195" s="1"/>
      <c r="AC195" t="s">
        <v>294</v>
      </c>
      <c r="AD195" s="51">
        <v>0.90454545454545399</v>
      </c>
      <c r="AE195" s="51">
        <v>0.93097633972454397</v>
      </c>
      <c r="AH195" s="78"/>
      <c r="AJ195" t="s">
        <v>633</v>
      </c>
      <c r="AK195">
        <v>0</v>
      </c>
      <c r="AL195" s="1">
        <v>814.78</v>
      </c>
      <c r="AM195" s="1">
        <v>133.13</v>
      </c>
      <c r="AN195">
        <v>2694.57</v>
      </c>
      <c r="AO195">
        <v>10985.33</v>
      </c>
      <c r="AP195">
        <v>6965.08</v>
      </c>
      <c r="AR195" s="1">
        <v>965.34</v>
      </c>
      <c r="AS195" s="1">
        <v>865.91</v>
      </c>
      <c r="AT195" s="1">
        <v>52836.66</v>
      </c>
      <c r="AU195" s="1">
        <v>22796.5</v>
      </c>
      <c r="AV195" s="1">
        <v>14181.91</v>
      </c>
      <c r="BF195">
        <v>0.93578540725482096</v>
      </c>
      <c r="BG195" s="1">
        <v>132</v>
      </c>
      <c r="BH195">
        <f t="shared" ref="BH195:BH258" si="42">_xlfn.NORM.S.INV((BG195-0.375)/($BI$61+0.25))</f>
        <v>0.40511462266119358</v>
      </c>
      <c r="BI195">
        <f t="shared" ref="BI195:BI258" si="43">BH195/SQRT($BL$65)</f>
        <v>2.8690508239772709E-2</v>
      </c>
      <c r="BJ195">
        <f t="shared" si="41"/>
        <v>2.6848158937503499E-2</v>
      </c>
    </row>
    <row r="196" spans="1:62" x14ac:dyDescent="0.3">
      <c r="B196" s="1" t="s">
        <v>14</v>
      </c>
      <c r="C196" s="11">
        <f>1-C195</f>
        <v>0</v>
      </c>
      <c r="D196" s="11">
        <f>1-D195</f>
        <v>0.125</v>
      </c>
      <c r="E196" s="11">
        <f>1-E195</f>
        <v>0.13496932515337423</v>
      </c>
      <c r="F196" s="11">
        <f>1-F195</f>
        <v>0.12676056338028174</v>
      </c>
      <c r="G196" s="11">
        <f>1-G195</f>
        <v>6.8965517241379337E-2</v>
      </c>
      <c r="R196" t="s">
        <v>106</v>
      </c>
      <c r="S196" t="s">
        <v>28</v>
      </c>
      <c r="T196" s="57">
        <f>C553</f>
        <v>1.1110866208266739</v>
      </c>
      <c r="U196" s="57">
        <f t="shared" ref="U196:X199" si="44">D553</f>
        <v>0.36018031056784389</v>
      </c>
      <c r="V196" s="57">
        <f t="shared" si="44"/>
        <v>59.68078252456754</v>
      </c>
      <c r="W196" s="57">
        <f t="shared" si="44"/>
        <v>23.710078013584436</v>
      </c>
      <c r="X196" s="57">
        <f t="shared" si="44"/>
        <v>15.137872530453514</v>
      </c>
      <c r="Y196" s="13"/>
      <c r="Z196" s="74"/>
      <c r="AA196" s="12"/>
      <c r="AC196" t="s">
        <v>295</v>
      </c>
      <c r="AD196" s="51">
        <v>0.90303030303030296</v>
      </c>
      <c r="AE196" s="51">
        <v>0.93366848004234404</v>
      </c>
      <c r="AI196" s="78"/>
      <c r="AJ196" t="s">
        <v>633</v>
      </c>
      <c r="AK196">
        <v>1</v>
      </c>
      <c r="AL196" s="1">
        <v>816.41</v>
      </c>
      <c r="AM196" s="1">
        <v>103.8</v>
      </c>
      <c r="AN196">
        <v>2809.9</v>
      </c>
      <c r="AO196">
        <v>11182.76</v>
      </c>
      <c r="AP196">
        <v>6680.03</v>
      </c>
      <c r="AR196" s="1">
        <v>985.14</v>
      </c>
      <c r="AS196" s="1">
        <v>672.56</v>
      </c>
      <c r="AT196" s="1">
        <v>52829.5</v>
      </c>
      <c r="AU196" s="1">
        <v>23403.9</v>
      </c>
      <c r="AV196" s="1">
        <v>13755.22</v>
      </c>
      <c r="BF196">
        <v>0.93583654783952197</v>
      </c>
      <c r="BG196" s="1">
        <v>133</v>
      </c>
      <c r="BH196">
        <f t="shared" si="42"/>
        <v>0.41874056937625281</v>
      </c>
      <c r="BI196">
        <f t="shared" si="43"/>
        <v>2.9655507562520084E-2</v>
      </c>
      <c r="BJ196">
        <f t="shared" si="41"/>
        <v>2.7752707821737631E-2</v>
      </c>
    </row>
    <row r="197" spans="1:62" x14ac:dyDescent="0.3">
      <c r="C197" s="2"/>
      <c r="S197" s="66" t="s">
        <v>39</v>
      </c>
      <c r="T197" s="67">
        <f>C554</f>
        <v>0</v>
      </c>
      <c r="U197" s="67">
        <f t="shared" si="44"/>
        <v>0.11389901497412017</v>
      </c>
      <c r="V197" s="67">
        <f t="shared" si="44"/>
        <v>0.60568059428717169</v>
      </c>
      <c r="W197" s="67">
        <f t="shared" si="44"/>
        <v>0.69280682712042285</v>
      </c>
      <c r="X197" s="67">
        <f t="shared" si="44"/>
        <v>0.7461219318200375</v>
      </c>
      <c r="AC197" t="s">
        <v>296</v>
      </c>
      <c r="AD197" s="51">
        <v>0.90757575757575704</v>
      </c>
      <c r="AE197" s="51">
        <v>0.93868805654352205</v>
      </c>
      <c r="AH197" s="78"/>
      <c r="AJ197" t="s">
        <v>633</v>
      </c>
      <c r="AK197">
        <v>2</v>
      </c>
      <c r="AL197" s="1">
        <v>825.93</v>
      </c>
      <c r="AM197" s="1">
        <v>120.35</v>
      </c>
      <c r="AN197">
        <v>2723.27</v>
      </c>
      <c r="AO197">
        <v>10896.33</v>
      </c>
      <c r="AP197">
        <v>7027.02</v>
      </c>
      <c r="AR197" s="1">
        <v>1004.94</v>
      </c>
      <c r="AS197" s="1">
        <v>888.23</v>
      </c>
      <c r="AT197" s="1">
        <v>52893.57</v>
      </c>
      <c r="AU197" s="1">
        <v>22501.95</v>
      </c>
      <c r="AV197" s="1">
        <v>14357.62</v>
      </c>
      <c r="BF197">
        <v>0.93586748345333104</v>
      </c>
      <c r="BG197" s="1">
        <v>134</v>
      </c>
      <c r="BH197">
        <f t="shared" si="42"/>
        <v>0.43244471218542141</v>
      </c>
      <c r="BI197">
        <f t="shared" si="43"/>
        <v>3.0626044788756662E-2</v>
      </c>
      <c r="BJ197">
        <f t="shared" si="41"/>
        <v>2.86619194645827E-2</v>
      </c>
    </row>
    <row r="198" spans="1:62" ht="15.6" x14ac:dyDescent="0.35">
      <c r="A198" t="s">
        <v>317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44"/>
        <v>100</v>
      </c>
      <c r="V198" s="57">
        <f t="shared" si="44"/>
        <v>96.398843520690789</v>
      </c>
      <c r="W198" s="57">
        <f t="shared" si="44"/>
        <v>94.257153519877022</v>
      </c>
      <c r="X198" s="57">
        <f t="shared" si="44"/>
        <v>85.860212630948183</v>
      </c>
      <c r="AC198" t="s">
        <v>297</v>
      </c>
      <c r="AD198" s="51">
        <v>0.89242424242424201</v>
      </c>
      <c r="AE198" s="51">
        <v>0.92953029344654103</v>
      </c>
      <c r="AI198" s="78"/>
      <c r="AJ198" t="s">
        <v>633</v>
      </c>
      <c r="AK198">
        <v>3</v>
      </c>
      <c r="AL198" s="1">
        <v>764.6</v>
      </c>
      <c r="AM198" s="1">
        <v>116.02</v>
      </c>
      <c r="AN198">
        <v>2835.01</v>
      </c>
      <c r="AO198">
        <v>11024.35</v>
      </c>
      <c r="AP198">
        <v>6852.92</v>
      </c>
      <c r="AR198" s="1">
        <v>919.25</v>
      </c>
      <c r="AS198" s="1">
        <v>719.73</v>
      </c>
      <c r="AT198" s="1">
        <v>53290.35</v>
      </c>
      <c r="AU198" s="1">
        <v>22839.33</v>
      </c>
      <c r="AV198" s="1">
        <v>13877.65</v>
      </c>
      <c r="BF198">
        <v>0.93606825189606802</v>
      </c>
      <c r="BG198" s="1">
        <v>135</v>
      </c>
      <c r="BH198">
        <f t="shared" si="42"/>
        <v>0.44623055793233662</v>
      </c>
      <c r="BI198">
        <f t="shared" si="43"/>
        <v>3.1602368275664941E-2</v>
      </c>
      <c r="BJ198">
        <f t="shared" si="41"/>
        <v>2.9581973627577439E-2</v>
      </c>
    </row>
    <row r="199" spans="1:62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44"/>
        <v>0</v>
      </c>
      <c r="V199" s="67">
        <f t="shared" si="44"/>
        <v>0.76938669227307677</v>
      </c>
      <c r="W199" s="67">
        <f t="shared" si="44"/>
        <v>1.8971958024141053</v>
      </c>
      <c r="X199" s="67">
        <f t="shared" si="44"/>
        <v>4.9217693855353213</v>
      </c>
      <c r="AC199" t="s">
        <v>298</v>
      </c>
      <c r="AD199" s="51">
        <v>0.89696969696969697</v>
      </c>
      <c r="AE199" s="51">
        <v>0.92803883107009999</v>
      </c>
      <c r="AH199" s="78"/>
      <c r="AJ199" t="s">
        <v>633</v>
      </c>
      <c r="AK199">
        <v>4</v>
      </c>
      <c r="AL199" s="1">
        <v>832</v>
      </c>
      <c r="AM199" s="1">
        <v>112.08</v>
      </c>
      <c r="AN199">
        <v>2778.42</v>
      </c>
      <c r="AO199">
        <v>11108.24</v>
      </c>
      <c r="AP199">
        <v>6762.15</v>
      </c>
      <c r="AR199" s="1">
        <v>1019.35</v>
      </c>
      <c r="AS199" s="1">
        <v>790.3</v>
      </c>
      <c r="AT199" s="1">
        <v>53211.49</v>
      </c>
      <c r="AU199" s="1">
        <v>22673</v>
      </c>
      <c r="AV199" s="1">
        <v>13952.18</v>
      </c>
      <c r="BF199">
        <v>0.93613842049304996</v>
      </c>
      <c r="BG199" s="1">
        <v>136</v>
      </c>
      <c r="BH199">
        <f t="shared" si="42"/>
        <v>0.46010173889686451</v>
      </c>
      <c r="BI199">
        <f t="shared" si="43"/>
        <v>3.2584735263911119E-2</v>
      </c>
      <c r="BJ199">
        <f t="shared" si="41"/>
        <v>3.050382260214194E-2</v>
      </c>
    </row>
    <row r="200" spans="1:62" x14ac:dyDescent="0.3">
      <c r="A200" t="s">
        <v>3</v>
      </c>
      <c r="B200" s="13">
        <v>0</v>
      </c>
      <c r="C200" s="29">
        <f>(C189/$L200)*$O200</f>
        <v>1.1236565610428699</v>
      </c>
      <c r="D200" s="31">
        <f>(D189/$L200)*$O200</f>
        <v>0</v>
      </c>
      <c r="E200" s="31">
        <f>(E189/$L200)*$O200</f>
        <v>0</v>
      </c>
      <c r="F200" s="31">
        <f>(F189/$L200)*$O200</f>
        <v>0</v>
      </c>
      <c r="G200" s="32">
        <f>(G189/$L200)*$O200</f>
        <v>0</v>
      </c>
      <c r="H200" s="17">
        <f>SUM(C200:G200)</f>
        <v>1.1236565610428699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115</v>
      </c>
      <c r="M200">
        <v>0</v>
      </c>
      <c r="N200" s="1">
        <v>1029.79</v>
      </c>
      <c r="O200" s="17">
        <f>N200/N205*100</f>
        <v>1.1236565610428699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40</v>
      </c>
      <c r="V200" s="57">
        <f>I550</f>
        <v>99.295774647887328</v>
      </c>
      <c r="W200" s="57">
        <f>I551</f>
        <v>89.583333333333343</v>
      </c>
      <c r="X200" s="57">
        <f>I552</f>
        <v>86.06557377049181</v>
      </c>
      <c r="AC200" t="s">
        <v>299</v>
      </c>
      <c r="AD200" s="51">
        <v>0.90757575757575704</v>
      </c>
      <c r="AE200" s="51">
        <v>0.93523535250787004</v>
      </c>
      <c r="AI200" s="78"/>
      <c r="AJ200" t="s">
        <v>633</v>
      </c>
      <c r="AK200">
        <v>5</v>
      </c>
      <c r="AL200" s="1">
        <v>925.91</v>
      </c>
      <c r="AM200" s="1">
        <v>123.38</v>
      </c>
      <c r="AN200">
        <v>2865.3</v>
      </c>
      <c r="AO200">
        <v>10802.01</v>
      </c>
      <c r="AP200">
        <v>6876.3</v>
      </c>
      <c r="AR200" s="1">
        <v>1161.93</v>
      </c>
      <c r="AS200" s="1">
        <v>835.31</v>
      </c>
      <c r="AT200" s="1">
        <v>53657.24</v>
      </c>
      <c r="AU200" s="1">
        <v>21991.41</v>
      </c>
      <c r="AV200" s="1">
        <v>14000.43</v>
      </c>
      <c r="BF200">
        <v>0.936343833537022</v>
      </c>
      <c r="BG200" s="1">
        <v>137</v>
      </c>
      <c r="BH200">
        <f t="shared" si="42"/>
        <v>0.4740620211572345</v>
      </c>
      <c r="BI200">
        <f t="shared" si="43"/>
        <v>3.3573412469857518E-2</v>
      </c>
      <c r="BJ200">
        <f t="shared" si="41"/>
        <v>3.1436257736946048E-2</v>
      </c>
    </row>
    <row r="201" spans="1:62" x14ac:dyDescent="0.3">
      <c r="A201" t="s">
        <v>4</v>
      </c>
      <c r="B201" s="13">
        <v>1</v>
      </c>
      <c r="C201" s="33">
        <f t="shared" ref="C201:G204" si="45">(C190/$L201)*$O201</f>
        <v>0</v>
      </c>
      <c r="D201" s="34">
        <f t="shared" si="45"/>
        <v>0.43065918006027448</v>
      </c>
      <c r="E201" s="19">
        <f t="shared" si="45"/>
        <v>0.49218192006888506</v>
      </c>
      <c r="F201" s="18">
        <f t="shared" si="45"/>
        <v>0</v>
      </c>
      <c r="G201" s="20">
        <f t="shared" si="45"/>
        <v>0</v>
      </c>
      <c r="H201" s="17">
        <f>SUM(C201:G201)</f>
        <v>0.92284110012915954</v>
      </c>
      <c r="I201" s="17">
        <f>D201/H201*100</f>
        <v>46.666666666666664</v>
      </c>
      <c r="J201" s="17">
        <f>SQRT(I201*(100-I201)/(L201-1))</f>
        <v>13.333333333333334</v>
      </c>
      <c r="K201" s="18">
        <f>100-I201</f>
        <v>53.333333333333336</v>
      </c>
      <c r="L201" s="1">
        <f>H190</f>
        <v>15</v>
      </c>
      <c r="M201">
        <v>1</v>
      </c>
      <c r="N201" s="1">
        <v>845.75</v>
      </c>
      <c r="O201" s="17">
        <f>N201/N205*100</f>
        <v>0.92284110012915954</v>
      </c>
      <c r="P201" s="52">
        <f>((O201*O201*(I201/100)*(K201/100))/(L201-1))</f>
        <v>1.5140190152668398E-2</v>
      </c>
      <c r="S201" s="66" t="s">
        <v>39</v>
      </c>
      <c r="T201" s="67">
        <f>J548</f>
        <v>0</v>
      </c>
      <c r="U201" s="67">
        <f>J549</f>
        <v>13.093073414159543</v>
      </c>
      <c r="V201" s="67">
        <f>J550</f>
        <v>0.70422535211267423</v>
      </c>
      <c r="W201" s="67">
        <f>J551</f>
        <v>2.5545239210256887</v>
      </c>
      <c r="X201" s="67">
        <f>J552</f>
        <v>2.2215502582241289</v>
      </c>
      <c r="AC201" t="s">
        <v>300</v>
      </c>
      <c r="AD201" s="51">
        <v>0.90454545454545399</v>
      </c>
      <c r="AE201" s="51">
        <v>0.929380520156733</v>
      </c>
      <c r="AH201" s="78"/>
      <c r="AJ201" t="s">
        <v>633</v>
      </c>
      <c r="AK201">
        <v>6</v>
      </c>
      <c r="AL201" s="1">
        <v>840.33</v>
      </c>
      <c r="AM201" s="1">
        <v>118.53</v>
      </c>
      <c r="AN201">
        <v>2721.34</v>
      </c>
      <c r="AO201">
        <v>10986.87</v>
      </c>
      <c r="AP201">
        <v>6925.82</v>
      </c>
      <c r="AR201" s="1">
        <v>1029.79</v>
      </c>
      <c r="AS201" s="1">
        <v>845.75</v>
      </c>
      <c r="AT201" s="1">
        <v>52755.67</v>
      </c>
      <c r="AU201" s="1">
        <v>22750.04</v>
      </c>
      <c r="AV201" s="1">
        <v>14265.08</v>
      </c>
      <c r="BF201">
        <v>0.936363303880134</v>
      </c>
      <c r="BG201" s="1">
        <v>138</v>
      </c>
      <c r="BH201">
        <f t="shared" si="42"/>
        <v>0.48811531356716492</v>
      </c>
      <c r="BI201">
        <f t="shared" si="43"/>
        <v>3.4568676721328996E-2</v>
      </c>
      <c r="BJ201">
        <f t="shared" si="41"/>
        <v>3.2368840345547899E-2</v>
      </c>
    </row>
    <row r="202" spans="1:62" x14ac:dyDescent="0.3">
      <c r="A202" t="s">
        <v>5</v>
      </c>
      <c r="B202" s="13">
        <v>2</v>
      </c>
      <c r="C202" s="33">
        <f t="shared" si="45"/>
        <v>0</v>
      </c>
      <c r="D202" s="19">
        <f t="shared" si="45"/>
        <v>0</v>
      </c>
      <c r="E202" s="34">
        <f t="shared" si="45"/>
        <v>57.159027750683627</v>
      </c>
      <c r="F202" s="19">
        <f t="shared" si="45"/>
        <v>0</v>
      </c>
      <c r="G202" s="20">
        <f t="shared" si="45"/>
        <v>0.40538317553676334</v>
      </c>
      <c r="H202" s="17">
        <f>SUM(C202:G202)</f>
        <v>57.56441092622039</v>
      </c>
      <c r="I202" s="17">
        <f>E202/H202*100</f>
        <v>99.295774647887328</v>
      </c>
      <c r="J202" s="17">
        <f>SQRT(I202*(100-I202)/(L202-1))</f>
        <v>0.70422535211267423</v>
      </c>
      <c r="K202" s="18">
        <f>100-I202</f>
        <v>0.70422535211267245</v>
      </c>
      <c r="L202" s="1">
        <f>H191</f>
        <v>142</v>
      </c>
      <c r="M202">
        <v>2</v>
      </c>
      <c r="N202" s="1">
        <v>52755.67</v>
      </c>
      <c r="O202" s="17">
        <f>N202/N205*100</f>
        <v>57.56441092622039</v>
      </c>
      <c r="P202" s="52">
        <f>((O202*O202*(I202/100)*(K202/100))/(L202-1))</f>
        <v>0.1643355190082694</v>
      </c>
      <c r="S202" s="66" t="s">
        <v>51</v>
      </c>
      <c r="T202" s="67">
        <f>N537*100</f>
        <v>100</v>
      </c>
      <c r="U202" s="67">
        <f>N538*100</f>
        <v>57.142857142857153</v>
      </c>
      <c r="V202" s="67">
        <f>N539*100</f>
        <v>91.262135922330103</v>
      </c>
      <c r="W202" s="67">
        <f>N540*100</f>
        <v>87.457627118644069</v>
      </c>
      <c r="X202" s="67">
        <f>N541*100</f>
        <v>90.322580645161281</v>
      </c>
      <c r="AC202" t="s">
        <v>301</v>
      </c>
      <c r="AD202" s="51">
        <v>0.90757575757575704</v>
      </c>
      <c r="AE202" s="51">
        <v>0.93659161365948396</v>
      </c>
      <c r="AI202" s="78"/>
      <c r="AJ202" t="s">
        <v>633</v>
      </c>
      <c r="AK202">
        <v>7</v>
      </c>
      <c r="AL202" s="1">
        <v>795.29</v>
      </c>
      <c r="AM202" s="1">
        <v>118.2</v>
      </c>
      <c r="AN202">
        <v>2776.52</v>
      </c>
      <c r="AO202">
        <v>11045.66</v>
      </c>
      <c r="AP202">
        <v>6857.23</v>
      </c>
      <c r="AR202" s="1">
        <v>966.78</v>
      </c>
      <c r="AS202" s="1">
        <v>836.75</v>
      </c>
      <c r="AT202" s="1">
        <v>53078.63</v>
      </c>
      <c r="AU202" s="1">
        <v>22837.54</v>
      </c>
      <c r="AV202" s="1">
        <v>13926.63</v>
      </c>
      <c r="BF202">
        <v>0.93650405149982696</v>
      </c>
      <c r="BG202" s="1">
        <v>139</v>
      </c>
      <c r="BH202">
        <f t="shared" si="42"/>
        <v>0.5022656774073111</v>
      </c>
      <c r="BI202">
        <f t="shared" si="43"/>
        <v>3.557081564113547E-2</v>
      </c>
      <c r="BJ202">
        <f t="shared" si="41"/>
        <v>3.3312212963076786E-2</v>
      </c>
    </row>
    <row r="203" spans="1:62" x14ac:dyDescent="0.3">
      <c r="A203" t="s">
        <v>6</v>
      </c>
      <c r="B203" s="13">
        <v>3</v>
      </c>
      <c r="C203" s="33">
        <f t="shared" si="45"/>
        <v>0</v>
      </c>
      <c r="D203" s="19">
        <f t="shared" si="45"/>
        <v>0</v>
      </c>
      <c r="E203" s="19">
        <f t="shared" si="45"/>
        <v>0.86193516362787748</v>
      </c>
      <c r="F203" s="34">
        <f t="shared" si="45"/>
        <v>21.375992057971359</v>
      </c>
      <c r="G203" s="20">
        <f t="shared" si="45"/>
        <v>2.5858054908836321</v>
      </c>
      <c r="H203" s="17">
        <f>SUM(C203:G203)</f>
        <v>24.823732712482869</v>
      </c>
      <c r="I203" s="17">
        <f>F203/H203*100</f>
        <v>86.111111111111114</v>
      </c>
      <c r="J203" s="17">
        <f>SQRT(I203*(100-I203)/(L203-1))</f>
        <v>2.8919802956134912</v>
      </c>
      <c r="K203" s="18">
        <f>100-I203</f>
        <v>13.888888888888886</v>
      </c>
      <c r="L203" s="1">
        <f>H192</f>
        <v>144</v>
      </c>
      <c r="M203">
        <v>3</v>
      </c>
      <c r="N203" s="1">
        <v>22750.04</v>
      </c>
      <c r="O203" s="17">
        <f>N203/N205*100</f>
        <v>24.823732712482869</v>
      </c>
      <c r="P203" s="52">
        <f>((O203*O203*(I203/100)*(K203/100))/(L203-1))</f>
        <v>0.51537676118030074</v>
      </c>
      <c r="R203" s="16" t="s">
        <v>61</v>
      </c>
      <c r="S203" t="s">
        <v>9</v>
      </c>
      <c r="T203" s="1">
        <f>N548</f>
        <v>1018.27</v>
      </c>
      <c r="U203" s="1">
        <f>N549</f>
        <v>825.23</v>
      </c>
      <c r="V203" s="1">
        <f>N550</f>
        <v>53099.519999999997</v>
      </c>
      <c r="W203" s="1">
        <f>N551</f>
        <v>22863.1</v>
      </c>
      <c r="X203" s="1">
        <f>N552</f>
        <v>13840.2</v>
      </c>
      <c r="Z203" t="s">
        <v>36</v>
      </c>
      <c r="AA203" s="1">
        <f>N553</f>
        <v>91646.319999999992</v>
      </c>
      <c r="AC203" t="s">
        <v>302</v>
      </c>
      <c r="AD203" s="51">
        <v>0.90303030303030296</v>
      </c>
      <c r="AE203" s="51">
        <v>0.933326012688244</v>
      </c>
      <c r="AH203" s="78"/>
      <c r="AJ203" t="s">
        <v>633</v>
      </c>
      <c r="AK203">
        <v>8</v>
      </c>
      <c r="AL203" s="1">
        <v>814.82</v>
      </c>
      <c r="AM203" s="1">
        <v>117.12</v>
      </c>
      <c r="AN203">
        <v>2764.73</v>
      </c>
      <c r="AO203">
        <v>11195.34</v>
      </c>
      <c r="AP203">
        <v>6700.89</v>
      </c>
      <c r="AR203" s="1">
        <v>981.54</v>
      </c>
      <c r="AS203" s="1">
        <v>839.26</v>
      </c>
      <c r="AT203" s="1">
        <v>52942.17</v>
      </c>
      <c r="AU203" s="1">
        <v>23252.69</v>
      </c>
      <c r="AV203" s="1">
        <v>13630.65</v>
      </c>
      <c r="BF203">
        <v>0.936513243983224</v>
      </c>
      <c r="BG203" s="1">
        <v>140</v>
      </c>
      <c r="BH203">
        <f t="shared" si="42"/>
        <v>0.51651733677697964</v>
      </c>
      <c r="BI203">
        <f t="shared" si="43"/>
        <v>3.6580128383020556E-2</v>
      </c>
      <c r="BJ203">
        <f t="shared" si="41"/>
        <v>3.4257774697305385E-2</v>
      </c>
    </row>
    <row r="204" spans="1:62" ht="15.6" x14ac:dyDescent="0.35">
      <c r="A204" t="s">
        <v>7</v>
      </c>
      <c r="B204" s="13">
        <v>4</v>
      </c>
      <c r="C204" s="35">
        <f t="shared" si="45"/>
        <v>0</v>
      </c>
      <c r="D204" s="36">
        <f t="shared" si="45"/>
        <v>6.3792453689035689E-2</v>
      </c>
      <c r="E204" s="21">
        <f t="shared" si="45"/>
        <v>0.57413208320132114</v>
      </c>
      <c r="F204" s="21">
        <f t="shared" si="45"/>
        <v>1.1482641664026423</v>
      </c>
      <c r="G204" s="37">
        <f t="shared" si="45"/>
        <v>13.779169996831707</v>
      </c>
      <c r="H204" s="17">
        <f>SUM(C204:G204)</f>
        <v>15.565358700124705</v>
      </c>
      <c r="I204" s="17">
        <f>G204/H204*100</f>
        <v>88.524590163934434</v>
      </c>
      <c r="J204" s="17">
        <f>SQRT(I204*(100-I204)/(L204-1))</f>
        <v>2.0446215228272897</v>
      </c>
      <c r="K204" s="18">
        <f>100-I204</f>
        <v>11.475409836065566</v>
      </c>
      <c r="L204" s="1">
        <f>H193</f>
        <v>244</v>
      </c>
      <c r="M204">
        <v>4</v>
      </c>
      <c r="N204" s="1">
        <v>14265.08</v>
      </c>
      <c r="O204" s="17">
        <f>N204/N205*100</f>
        <v>15.565358700124706</v>
      </c>
      <c r="P204" s="52">
        <f>((O204*O204*(I204/100)*(K204/100))/(L204-1))</f>
        <v>0.10128476456417536</v>
      </c>
      <c r="R204" s="16" t="s">
        <v>318</v>
      </c>
      <c r="S204" t="s">
        <v>63</v>
      </c>
      <c r="T204" s="57">
        <f>$AA203*T196/100</f>
        <v>1018.2700000000001</v>
      </c>
      <c r="U204" s="57">
        <f>$AA203*U196/100</f>
        <v>330.09199999999998</v>
      </c>
      <c r="V204" s="57">
        <f>$AA203*V196/100</f>
        <v>54695.240930969238</v>
      </c>
      <c r="W204" s="57">
        <f>$AA203*W196/100</f>
        <v>21729.413968579232</v>
      </c>
      <c r="X204" s="57">
        <f>$AA203*X196/100</f>
        <v>13873.303100451525</v>
      </c>
      <c r="Z204" t="s">
        <v>36</v>
      </c>
      <c r="AA204" s="25">
        <f>SUM(T204:X204)</f>
        <v>91646.319999999992</v>
      </c>
      <c r="AC204" t="s">
        <v>303</v>
      </c>
      <c r="AD204" s="51">
        <v>0.90303030303030296</v>
      </c>
      <c r="AE204" s="51">
        <v>0.93533382087280603</v>
      </c>
      <c r="AI204" s="78"/>
      <c r="AJ204" t="s">
        <v>633</v>
      </c>
      <c r="AK204">
        <v>9</v>
      </c>
      <c r="AL204" s="1">
        <v>853.32</v>
      </c>
      <c r="AM204" s="1">
        <v>127.78</v>
      </c>
      <c r="AN204">
        <v>2749.25</v>
      </c>
      <c r="AO204">
        <v>11022.86</v>
      </c>
      <c r="AP204">
        <v>6839.7</v>
      </c>
      <c r="AR204" s="1">
        <v>1058.95</v>
      </c>
      <c r="AS204" s="1">
        <v>850.07</v>
      </c>
      <c r="AT204" s="1">
        <v>53051.99</v>
      </c>
      <c r="AU204" s="1">
        <v>22735.29</v>
      </c>
      <c r="AV204" s="1">
        <v>13950.03</v>
      </c>
      <c r="BF204">
        <v>0.93654319729563895</v>
      </c>
      <c r="BG204" s="1">
        <v>141</v>
      </c>
      <c r="BH204">
        <f t="shared" si="42"/>
        <v>0.53087468979951669</v>
      </c>
      <c r="BI204">
        <f t="shared" si="43"/>
        <v>3.7596926425235197E-2</v>
      </c>
      <c r="BJ204">
        <f t="shared" si="41"/>
        <v>3.5211145682778666E-2</v>
      </c>
    </row>
    <row r="205" spans="1:62" x14ac:dyDescent="0.3">
      <c r="B205" t="s">
        <v>28</v>
      </c>
      <c r="C205" s="17">
        <f t="shared" ref="C205:H205" si="46">SUM(C200:C204)</f>
        <v>1.1236565610428699</v>
      </c>
      <c r="D205" s="17">
        <f t="shared" si="46"/>
        <v>0.49445163374931017</v>
      </c>
      <c r="E205" s="17">
        <f t="shared" si="46"/>
        <v>59.087276917581711</v>
      </c>
      <c r="F205" s="17">
        <f t="shared" si="46"/>
        <v>22.524256224374003</v>
      </c>
      <c r="G205" s="17">
        <f t="shared" si="46"/>
        <v>16.770358663252104</v>
      </c>
      <c r="H205" s="18">
        <f t="shared" si="46"/>
        <v>99.999999999999986</v>
      </c>
      <c r="I205" s="13" t="s">
        <v>24</v>
      </c>
      <c r="J205" s="12" t="s">
        <v>29</v>
      </c>
      <c r="N205" s="1">
        <f>SUM(N200:N204)</f>
        <v>91646.33</v>
      </c>
      <c r="O205" s="17">
        <f>SUM(O200:O204)</f>
        <v>99.999999999999986</v>
      </c>
      <c r="R205" s="66"/>
      <c r="S205" s="66" t="s">
        <v>62</v>
      </c>
      <c r="T205" s="67">
        <f>$AA203*T197/100</f>
        <v>0</v>
      </c>
      <c r="U205" s="67">
        <f>$AA203*U197/100</f>
        <v>104.38425574003007</v>
      </c>
      <c r="V205" s="67">
        <f>$AA203*V197/100</f>
        <v>555.08397561832305</v>
      </c>
      <c r="W205" s="67">
        <f>$AA203*W197/100</f>
        <v>634.93196176462948</v>
      </c>
      <c r="X205" s="67">
        <f>$AA203*X197/100</f>
        <v>683.79329322597334</v>
      </c>
      <c r="AA205" s="1"/>
      <c r="AC205" t="s">
        <v>304</v>
      </c>
      <c r="AD205" s="51">
        <v>0.90151515151515105</v>
      </c>
      <c r="AE205" s="51">
        <v>0.93258783180003502</v>
      </c>
      <c r="AH205" s="78"/>
      <c r="AJ205" t="s">
        <v>633</v>
      </c>
      <c r="AK205">
        <v>10</v>
      </c>
      <c r="AL205" s="1">
        <v>805.28</v>
      </c>
      <c r="AM205" s="1">
        <v>113.01</v>
      </c>
      <c r="AN205">
        <v>2816.3</v>
      </c>
      <c r="AO205">
        <v>11023.38</v>
      </c>
      <c r="AP205">
        <v>6834.93</v>
      </c>
      <c r="AR205" s="1">
        <v>975.42</v>
      </c>
      <c r="AS205" s="1">
        <v>749.62</v>
      </c>
      <c r="AT205" s="1">
        <v>53434.36</v>
      </c>
      <c r="AU205" s="1">
        <v>22464.53</v>
      </c>
      <c r="AV205" s="1">
        <v>14022.39</v>
      </c>
      <c r="BF205">
        <v>0.93655384722931201</v>
      </c>
      <c r="BG205" s="1">
        <v>142</v>
      </c>
      <c r="BH205">
        <f t="shared" si="42"/>
        <v>0.54534232072325628</v>
      </c>
      <c r="BI205">
        <f t="shared" si="43"/>
        <v>3.8621534427535534E-2</v>
      </c>
      <c r="BJ205">
        <f t="shared" si="41"/>
        <v>3.6171146654007731E-2</v>
      </c>
    </row>
    <row r="206" spans="1:62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0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0.13484673931959512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0.59666625997534883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0.76134395157652912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0.81447772303865928</v>
      </c>
      <c r="H206" s="1"/>
      <c r="I206" s="14">
        <f>(C200+D201+E202+F203+G204)/H205</f>
        <v>0.93868505546589853</v>
      </c>
      <c r="J206" s="53">
        <f>SQRT(SUM(P200:P204))/100</f>
        <v>8.9226522677139774E-3</v>
      </c>
      <c r="M206" s="1"/>
      <c r="N206" s="9"/>
      <c r="R206" t="s">
        <v>107</v>
      </c>
      <c r="S206" t="s">
        <v>28</v>
      </c>
      <c r="T206" s="57">
        <f>C582</f>
        <v>1.2250137266831882</v>
      </c>
      <c r="U206" s="57">
        <f t="shared" ref="U206:X209" si="47">D582</f>
        <v>0.43340965572867518</v>
      </c>
      <c r="V206" s="57">
        <f t="shared" si="47"/>
        <v>59.702946578876542</v>
      </c>
      <c r="W206" s="57">
        <f t="shared" si="47"/>
        <v>23.95346513901066</v>
      </c>
      <c r="X206" s="57">
        <f>G582</f>
        <v>14.685164899700945</v>
      </c>
      <c r="Y206" s="60"/>
      <c r="Z206" s="74"/>
      <c r="AA206" s="12"/>
      <c r="AC206" t="s">
        <v>305</v>
      </c>
      <c r="AD206" s="51">
        <v>0.90909090909090895</v>
      </c>
      <c r="AE206" s="51">
        <v>0.93572070587102196</v>
      </c>
      <c r="AI206" s="78"/>
      <c r="AJ206" t="s">
        <v>633</v>
      </c>
      <c r="AK206">
        <v>11</v>
      </c>
      <c r="AL206" s="1">
        <v>853.63</v>
      </c>
      <c r="AM206" s="1">
        <v>119.4</v>
      </c>
      <c r="AN206">
        <v>2754.22</v>
      </c>
      <c r="AO206">
        <v>10878.51</v>
      </c>
      <c r="AP206">
        <v>6987.14</v>
      </c>
      <c r="AR206" s="1">
        <v>1060.3900000000001</v>
      </c>
      <c r="AS206" s="1">
        <v>757.9</v>
      </c>
      <c r="AT206" s="1">
        <v>52976.74</v>
      </c>
      <c r="AU206" s="1">
        <v>22622.21</v>
      </c>
      <c r="AV206" s="1">
        <v>14229.08</v>
      </c>
      <c r="BF206">
        <v>0.93656231429074832</v>
      </c>
      <c r="BG206" s="1">
        <v>143</v>
      </c>
      <c r="BH206">
        <f t="shared" si="42"/>
        <v>0.55992501300953679</v>
      </c>
      <c r="BI206">
        <f t="shared" si="43"/>
        <v>3.9654291158085608E-2</v>
      </c>
      <c r="BJ206">
        <f t="shared" si="41"/>
        <v>3.7138714698575818E-2</v>
      </c>
    </row>
    <row r="207" spans="1:62" x14ac:dyDescent="0.3">
      <c r="B207" s="1" t="s">
        <v>30</v>
      </c>
      <c r="C207" s="17">
        <f>C200/C205*100</f>
        <v>100</v>
      </c>
      <c r="D207" s="17">
        <f>D201/D205*100</f>
        <v>87.098343025927022</v>
      </c>
      <c r="E207" s="17">
        <f>E202/E205*100</f>
        <v>96.736608509497373</v>
      </c>
      <c r="F207" s="17">
        <f>F203/F205*100</f>
        <v>94.902099519006171</v>
      </c>
      <c r="G207" s="17">
        <f>G204/G205*100</f>
        <v>82.163836048570545</v>
      </c>
      <c r="H207" s="1"/>
      <c r="S207" s="66" t="s">
        <v>39</v>
      </c>
      <c r="T207" s="67">
        <f>C583</f>
        <v>0</v>
      </c>
      <c r="U207" s="67">
        <f t="shared" si="47"/>
        <v>0.13705616720120578</v>
      </c>
      <c r="V207" s="67">
        <f t="shared" si="47"/>
        <v>0.6252339671968099</v>
      </c>
      <c r="W207" s="67">
        <f t="shared" si="47"/>
        <v>0.71680989323313049</v>
      </c>
      <c r="X207" s="67">
        <f t="shared" si="47"/>
        <v>0.77067070684087713</v>
      </c>
      <c r="AC207" t="s">
        <v>306</v>
      </c>
      <c r="AD207" s="51">
        <v>0.88939393939393896</v>
      </c>
      <c r="AE207" s="51">
        <v>0.93024253238415899</v>
      </c>
      <c r="AH207" s="78"/>
      <c r="AJ207" t="s">
        <v>633</v>
      </c>
      <c r="AK207">
        <v>12</v>
      </c>
      <c r="AL207" s="1">
        <v>782.76</v>
      </c>
      <c r="AM207" s="1">
        <v>112.67</v>
      </c>
      <c r="AN207">
        <v>2713.71</v>
      </c>
      <c r="AO207">
        <v>11059.51</v>
      </c>
      <c r="AP207">
        <v>6924.26</v>
      </c>
      <c r="AR207" s="1">
        <v>962.46</v>
      </c>
      <c r="AS207" s="1">
        <v>847.55</v>
      </c>
      <c r="AT207" s="1">
        <v>52907.6</v>
      </c>
      <c r="AU207" s="1">
        <v>22871.39</v>
      </c>
      <c r="AV207" s="1">
        <v>14057.33</v>
      </c>
      <c r="BF207">
        <v>0.93659161365948396</v>
      </c>
      <c r="BG207" s="1">
        <v>144</v>
      </c>
      <c r="BH207">
        <f t="shared" si="42"/>
        <v>0.57462776351023559</v>
      </c>
      <c r="BI207">
        <f t="shared" si="43"/>
        <v>4.0695550497520529E-2</v>
      </c>
      <c r="BJ207">
        <f t="shared" si="41"/>
        <v>3.8115111309233764E-2</v>
      </c>
    </row>
    <row r="208" spans="1:62" x14ac:dyDescent="0.3">
      <c r="B208" s="16" t="s">
        <v>39</v>
      </c>
      <c r="C208" s="18">
        <f>SQRT((C211+C212)/(C205*C205))</f>
        <v>0</v>
      </c>
      <c r="D208" s="18">
        <f>SQRT((D211+D212)/(D205*D205))</f>
        <v>34.015786286804996</v>
      </c>
      <c r="E208" s="18">
        <f>SQRT((E211+E212)/(E205*E205))</f>
        <v>0.7568170501396686</v>
      </c>
      <c r="F208" s="18">
        <f>SQRT((F211+F212)/(F205*F205))</f>
        <v>1.9619887318389146</v>
      </c>
      <c r="G208" s="18">
        <f>SQRT((G211+G212)/(G205*G205))</f>
        <v>5.0053692380790711</v>
      </c>
      <c r="H208" s="1"/>
      <c r="I208" s="14"/>
      <c r="S208" t="s">
        <v>30</v>
      </c>
      <c r="T208" s="57">
        <f>C584</f>
        <v>100</v>
      </c>
      <c r="U208" s="57">
        <f t="shared" si="47"/>
        <v>100</v>
      </c>
      <c r="V208" s="57">
        <f t="shared" si="47"/>
        <v>95.731192261083848</v>
      </c>
      <c r="W208" s="57">
        <f t="shared" si="47"/>
        <v>95.302546262610647</v>
      </c>
      <c r="X208" s="57">
        <f t="shared" si="47"/>
        <v>83.880645903928269</v>
      </c>
      <c r="AC208" t="s">
        <v>307</v>
      </c>
      <c r="AD208" s="51">
        <v>0.90909090909090895</v>
      </c>
      <c r="AE208" s="51">
        <v>0.92828772099734402</v>
      </c>
      <c r="AI208" s="78"/>
      <c r="AJ208" t="s">
        <v>633</v>
      </c>
      <c r="AK208">
        <v>13</v>
      </c>
      <c r="AL208" s="1">
        <v>891.4</v>
      </c>
      <c r="AM208" s="1">
        <v>117.45</v>
      </c>
      <c r="AN208">
        <v>2822.27</v>
      </c>
      <c r="AO208">
        <v>10949.06</v>
      </c>
      <c r="AP208">
        <v>6812.72</v>
      </c>
      <c r="AR208" s="1">
        <v>1092.44</v>
      </c>
      <c r="AS208" s="1">
        <v>725.85</v>
      </c>
      <c r="AT208" s="1">
        <v>53288.91</v>
      </c>
      <c r="AU208" s="1">
        <v>22792.17</v>
      </c>
      <c r="AV208" s="1">
        <v>13746.95</v>
      </c>
      <c r="BF208">
        <v>0.93666819595898898</v>
      </c>
      <c r="BG208" s="1">
        <v>145</v>
      </c>
      <c r="BH208">
        <f t="shared" si="42"/>
        <v>0.58945579784977842</v>
      </c>
      <c r="BI208">
        <f t="shared" si="43"/>
        <v>4.1745682528311422E-2</v>
      </c>
      <c r="BJ208">
        <f t="shared" si="41"/>
        <v>3.9101853142870145E-2</v>
      </c>
    </row>
    <row r="209" spans="1:62" x14ac:dyDescent="0.3">
      <c r="B209" s="1" t="s">
        <v>37</v>
      </c>
      <c r="C209" s="18">
        <f>100-C207</f>
        <v>0</v>
      </c>
      <c r="D209" s="18">
        <f>100-D207</f>
        <v>12.901656974072978</v>
      </c>
      <c r="E209" s="18">
        <f>100-E207</f>
        <v>3.2633914905026273</v>
      </c>
      <c r="F209" s="18">
        <f>100-F207</f>
        <v>5.0979004809938289</v>
      </c>
      <c r="G209" s="18">
        <f>100-G207</f>
        <v>17.836163951429455</v>
      </c>
      <c r="S209" s="66" t="s">
        <v>39</v>
      </c>
      <c r="T209" s="67">
        <f>C585</f>
        <v>0</v>
      </c>
      <c r="U209" s="67">
        <f t="shared" si="47"/>
        <v>0</v>
      </c>
      <c r="V209" s="67">
        <f t="shared" si="47"/>
        <v>0.82243642746744128</v>
      </c>
      <c r="W209" s="67">
        <f t="shared" si="47"/>
        <v>1.6518427847226504</v>
      </c>
      <c r="X209" s="67">
        <f t="shared" si="47"/>
        <v>5.3850655889842836</v>
      </c>
      <c r="AC209" t="s">
        <v>308</v>
      </c>
      <c r="AD209" s="51">
        <v>0.884848484848484</v>
      </c>
      <c r="AE209" s="51">
        <v>0.91531237460222203</v>
      </c>
      <c r="AH209" s="78"/>
      <c r="AJ209" t="s">
        <v>633</v>
      </c>
      <c r="AK209">
        <v>14</v>
      </c>
      <c r="AL209" s="1">
        <v>797.15</v>
      </c>
      <c r="AM209" s="1">
        <v>105.96</v>
      </c>
      <c r="AN209">
        <v>2804.59</v>
      </c>
      <c r="AO209">
        <v>11073.92</v>
      </c>
      <c r="AP209">
        <v>6811.29</v>
      </c>
      <c r="AR209" s="1">
        <v>979.74</v>
      </c>
      <c r="AS209" s="1">
        <v>799.3</v>
      </c>
      <c r="AT209" s="1">
        <v>53208.26</v>
      </c>
      <c r="AU209" s="1">
        <v>22762.65</v>
      </c>
      <c r="AV209" s="1">
        <v>13896.37</v>
      </c>
      <c r="BF209">
        <v>0.93668844148019403</v>
      </c>
      <c r="BG209" s="1">
        <v>146</v>
      </c>
      <c r="BH209">
        <f t="shared" si="42"/>
        <v>0.6044145871408374</v>
      </c>
      <c r="BI209">
        <f t="shared" si="43"/>
        <v>4.2805074718583164E-2</v>
      </c>
      <c r="BJ209">
        <f t="shared" si="41"/>
        <v>4.0095018725592922E-2</v>
      </c>
    </row>
    <row r="210" spans="1:62" ht="15.6" x14ac:dyDescent="0.35">
      <c r="B210" s="1" t="s">
        <v>25</v>
      </c>
      <c r="C210" s="1">
        <f>C194</f>
        <v>115</v>
      </c>
      <c r="D210" s="1">
        <f>D194</f>
        <v>8</v>
      </c>
      <c r="E210" s="1">
        <f>E194</f>
        <v>163</v>
      </c>
      <c r="F210" s="1">
        <f>F194</f>
        <v>142</v>
      </c>
      <c r="G210" s="1">
        <f>G194</f>
        <v>232</v>
      </c>
      <c r="S210" s="15" t="s">
        <v>31</v>
      </c>
      <c r="T210" s="71">
        <f>I577</f>
        <v>100</v>
      </c>
      <c r="U210" s="71">
        <f>I578</f>
        <v>40</v>
      </c>
      <c r="V210" s="71">
        <f>I579</f>
        <v>99.295774647887313</v>
      </c>
      <c r="W210" s="71">
        <f>I580</f>
        <v>88.8888888888889</v>
      </c>
      <c r="X210" s="71">
        <f>I581</f>
        <v>85.245901639344254</v>
      </c>
      <c r="AC210" t="s">
        <v>309</v>
      </c>
      <c r="AD210" s="51">
        <v>0.90454545454545399</v>
      </c>
      <c r="AE210" s="51">
        <v>0.936513243983224</v>
      </c>
      <c r="AI210" s="78"/>
      <c r="AJ210" t="s">
        <v>633</v>
      </c>
      <c r="AK210">
        <v>15</v>
      </c>
      <c r="AL210" s="1">
        <v>820.34</v>
      </c>
      <c r="AM210" s="1">
        <v>120.28</v>
      </c>
      <c r="AN210">
        <v>2693.43</v>
      </c>
      <c r="AO210">
        <v>10843.2</v>
      </c>
      <c r="AP210">
        <v>7115.66</v>
      </c>
      <c r="AR210" s="1">
        <v>1006.74</v>
      </c>
      <c r="AS210" s="1">
        <v>875.99</v>
      </c>
      <c r="AT210" s="1">
        <v>52780.15</v>
      </c>
      <c r="AU210" s="1">
        <v>22548.76</v>
      </c>
      <c r="AV210" s="1">
        <v>14434.67</v>
      </c>
      <c r="BF210">
        <v>0.93676653825685197</v>
      </c>
      <c r="BG210" s="1">
        <v>147</v>
      </c>
      <c r="BH210">
        <f t="shared" si="42"/>
        <v>0.6195098661793067</v>
      </c>
      <c r="BI210">
        <f t="shared" si="43"/>
        <v>4.3874133210695589E-2</v>
      </c>
      <c r="BJ210">
        <f t="shared" si="41"/>
        <v>4.1099819886803286E-2</v>
      </c>
    </row>
    <row r="211" spans="1:62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252.01263269595029</v>
      </c>
      <c r="E211" s="18">
        <f>(O202*O202*(100-E207)*(100-E207)*(I202)*(100-I202))/((L202-1)*100)</f>
        <v>175.01279241683622</v>
      </c>
      <c r="F211" s="18">
        <f>(O203*O203*(100-F207)*(100-F207)*(I203)*(100-I203))/((L203-1)*100)</f>
        <v>1339.3914988354647</v>
      </c>
      <c r="G211" s="18">
        <f>(O204*O204*(100-G207)*(100-G207)*(I204)*(100-I204))/((L204-1)*100)</f>
        <v>3222.1594988009274</v>
      </c>
      <c r="S211" s="75" t="s">
        <v>39</v>
      </c>
      <c r="T211" s="76">
        <f>J577</f>
        <v>0</v>
      </c>
      <c r="U211" s="76">
        <f>J578</f>
        <v>13.093073414159543</v>
      </c>
      <c r="V211" s="76">
        <f>J579</f>
        <v>0.70422535211268134</v>
      </c>
      <c r="W211" s="76">
        <f>J580</f>
        <v>2.6280550932848108</v>
      </c>
      <c r="X211" s="76">
        <f>J581</f>
        <v>2.2750448081597083</v>
      </c>
      <c r="AC211" t="s">
        <v>310</v>
      </c>
      <c r="AD211" s="51">
        <v>0.89545454545454495</v>
      </c>
      <c r="AE211" s="51">
        <v>0.92754592968001504</v>
      </c>
      <c r="AH211" s="78"/>
      <c r="AJ211" t="s">
        <v>633</v>
      </c>
      <c r="AK211">
        <v>16</v>
      </c>
      <c r="AL211" s="1">
        <v>856.52</v>
      </c>
      <c r="AM211" s="1">
        <v>111.27</v>
      </c>
      <c r="AN211">
        <v>2772.77</v>
      </c>
      <c r="AO211">
        <v>11110.94</v>
      </c>
      <c r="AP211">
        <v>6741.41</v>
      </c>
      <c r="AR211" s="1">
        <v>1044.19</v>
      </c>
      <c r="AS211" s="1">
        <v>877.07</v>
      </c>
      <c r="AT211" s="1">
        <v>53138.76</v>
      </c>
      <c r="AU211" s="1">
        <v>22957.08</v>
      </c>
      <c r="AV211" s="1">
        <v>13629.21</v>
      </c>
      <c r="BF211">
        <v>0.93687882078980733</v>
      </c>
      <c r="BG211" s="1">
        <v>148</v>
      </c>
      <c r="BH211">
        <f t="shared" si="42"/>
        <v>0.63474765328291094</v>
      </c>
      <c r="BI211">
        <f t="shared" si="43"/>
        <v>4.4953284226228012E-2</v>
      </c>
      <c r="BJ211">
        <f t="shared" si="41"/>
        <v>4.2115779916497544E-2</v>
      </c>
    </row>
    <row r="212" spans="1:62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30.87154750525395</v>
      </c>
      <c r="E212" s="18">
        <f>E207*E207*(SUM((H200*E200*(1-E189/H189))/(H189-1),(H201*E201*(1-E190/H190))/(H190-1), (H203*E203*(1-E192/H192))/(H192-1),(H204*E204*(1-E193/H193))/(H193-1)))</f>
        <v>1824.7098613692415</v>
      </c>
      <c r="F212" s="18">
        <f>F207*F207*(SUM((H200*F200*(1-F189/H189))/(H189-1),(H201*F201*(1-F190/H190))/(H190-1), (H202*F202*(1-F191/H191))/(H191-1),(H204*F204*(1-F193/H193))/(H193-1)))</f>
        <v>613.57114231380683</v>
      </c>
      <c r="G212" s="18">
        <f>G207*G207*(SUM((H200*G200*(1-G189/H189))/(H189-1),(H201*G201*(1-G190/H190))/(H190-1), (H202*G202*(1-G191/H191))/(H191-1),(H203*G203*(1-G192/H192))/(H192-1)))</f>
        <v>3824.0725613431778</v>
      </c>
      <c r="S212" s="66" t="s">
        <v>51</v>
      </c>
      <c r="T212" s="67">
        <f>N566*100</f>
        <v>100</v>
      </c>
      <c r="U212" s="67">
        <f>N567*100</f>
        <v>57.142857142857153</v>
      </c>
      <c r="V212" s="67">
        <f>N568*100</f>
        <v>89.808917197452232</v>
      </c>
      <c r="W212" s="67">
        <f>N569*100</f>
        <v>87.972508591065278</v>
      </c>
      <c r="X212" s="67">
        <f>N570*100</f>
        <v>89.655172413793096</v>
      </c>
      <c r="AC212" t="s">
        <v>311</v>
      </c>
      <c r="AD212" s="51">
        <v>0.90757575757575704</v>
      </c>
      <c r="AE212" s="51">
        <v>0.93944755241931499</v>
      </c>
      <c r="AI212" s="78"/>
      <c r="AJ212" t="s">
        <v>633</v>
      </c>
      <c r="AK212">
        <v>17</v>
      </c>
      <c r="AL212" s="1">
        <v>859.54</v>
      </c>
      <c r="AM212" s="1">
        <v>114.96</v>
      </c>
      <c r="AN212">
        <v>2728.77</v>
      </c>
      <c r="AO212">
        <v>10979.78</v>
      </c>
      <c r="AP212">
        <v>6909.86</v>
      </c>
      <c r="AR212" s="1">
        <v>1033.03</v>
      </c>
      <c r="AS212" s="1">
        <v>771.22</v>
      </c>
      <c r="AT212" s="1">
        <v>52955.49</v>
      </c>
      <c r="AU212" s="1">
        <v>22754.36</v>
      </c>
      <c r="AV212" s="1">
        <v>14132.22</v>
      </c>
      <c r="BF212">
        <v>0.93696753014437295</v>
      </c>
      <c r="BG212" s="1">
        <v>149</v>
      </c>
      <c r="BH212">
        <f t="shared" si="42"/>
        <v>0.65013427195943696</v>
      </c>
      <c r="BI212">
        <f t="shared" si="43"/>
        <v>4.6042975600538889E-2</v>
      </c>
      <c r="BJ212">
        <f t="shared" si="41"/>
        <v>4.3140773128934551E-2</v>
      </c>
    </row>
    <row r="213" spans="1:62" x14ac:dyDescent="0.3">
      <c r="R213" s="16" t="s">
        <v>61</v>
      </c>
      <c r="S213" t="s">
        <v>9</v>
      </c>
      <c r="T213" s="1">
        <f>N577</f>
        <v>1122.68</v>
      </c>
      <c r="U213" s="1">
        <f>N578</f>
        <v>993.01</v>
      </c>
      <c r="V213" s="1">
        <f>N579</f>
        <v>52751.34</v>
      </c>
      <c r="W213" s="1">
        <f>N580</f>
        <v>23536.42</v>
      </c>
      <c r="X213" s="1">
        <f>N581</f>
        <v>13242.87</v>
      </c>
      <c r="Z213" t="s">
        <v>36</v>
      </c>
      <c r="AA213" s="1">
        <f>N582</f>
        <v>91646.319999999992</v>
      </c>
      <c r="AC213" t="s">
        <v>312</v>
      </c>
      <c r="AD213" s="51">
        <v>0.90454545454545399</v>
      </c>
      <c r="AE213" s="51">
        <v>0.936363303880134</v>
      </c>
      <c r="AH213" s="78"/>
      <c r="AJ213" t="s">
        <v>633</v>
      </c>
      <c r="AK213">
        <v>18</v>
      </c>
      <c r="AL213" s="1">
        <v>818.8</v>
      </c>
      <c r="AM213" s="1">
        <v>125.61</v>
      </c>
      <c r="AN213">
        <v>2786.12</v>
      </c>
      <c r="AO213">
        <v>11057.4</v>
      </c>
      <c r="AP213">
        <v>6804.97</v>
      </c>
      <c r="AR213" s="1">
        <v>1018.27</v>
      </c>
      <c r="AS213" s="1">
        <v>825.23</v>
      </c>
      <c r="AT213" s="1">
        <v>53099.519999999997</v>
      </c>
      <c r="AU213" s="1">
        <v>22863.1</v>
      </c>
      <c r="AV213" s="1">
        <v>13840.2</v>
      </c>
      <c r="BF213">
        <v>0.93701440521524604</v>
      </c>
      <c r="BG213" s="1">
        <v>150</v>
      </c>
      <c r="BH213">
        <f t="shared" si="42"/>
        <v>0.66567637461552476</v>
      </c>
      <c r="BI213">
        <f t="shared" si="43"/>
        <v>4.7143678461839471E-2</v>
      </c>
      <c r="BJ213">
        <f t="shared" si="41"/>
        <v>4.4174305833579314E-2</v>
      </c>
    </row>
    <row r="214" spans="1:62" ht="15.6" x14ac:dyDescent="0.35">
      <c r="R214" s="16" t="s">
        <v>318</v>
      </c>
      <c r="S214" t="s">
        <v>63</v>
      </c>
      <c r="T214" s="57">
        <f>$AA213*T206/100</f>
        <v>1122.68</v>
      </c>
      <c r="U214" s="57">
        <f>$AA213*U206/100</f>
        <v>397.20399999999995</v>
      </c>
      <c r="V214" s="57">
        <f>$AA213*V206/100</f>
        <v>54715.553471106243</v>
      </c>
      <c r="W214" s="57">
        <f>$AA213*W206/100</f>
        <v>21952.469312386154</v>
      </c>
      <c r="X214" s="57">
        <f>$AA213*X206/100</f>
        <v>13458.413216507608</v>
      </c>
      <c r="Z214" t="s">
        <v>36</v>
      </c>
      <c r="AA214" s="25">
        <f>SUM(T214:X214)</f>
        <v>91646.32</v>
      </c>
      <c r="AC214" t="s">
        <v>313</v>
      </c>
      <c r="AD214" s="51">
        <v>0.90303030303030296</v>
      </c>
      <c r="AE214" s="51">
        <v>0.93418813308017701</v>
      </c>
      <c r="AI214" s="78"/>
      <c r="AJ214" t="s">
        <v>633</v>
      </c>
      <c r="AK214">
        <v>19</v>
      </c>
      <c r="AL214" s="1">
        <v>906.73</v>
      </c>
      <c r="AM214" s="1">
        <v>125.48</v>
      </c>
      <c r="AN214">
        <v>2700.06</v>
      </c>
      <c r="AO214">
        <v>11258.68</v>
      </c>
      <c r="AP214">
        <v>6601.95</v>
      </c>
      <c r="AR214" s="1">
        <v>1122.68</v>
      </c>
      <c r="AS214" s="1">
        <v>993.01</v>
      </c>
      <c r="AT214" s="1">
        <v>52751.34</v>
      </c>
      <c r="AU214" s="1">
        <v>23536.42</v>
      </c>
      <c r="AV214" s="1">
        <v>13242.87</v>
      </c>
      <c r="BF214">
        <v>0.93714136189220099</v>
      </c>
      <c r="BG214" s="1">
        <v>151</v>
      </c>
      <c r="BH214">
        <f t="shared" si="42"/>
        <v>0.68138096854583952</v>
      </c>
      <c r="BI214">
        <f t="shared" si="43"/>
        <v>4.8255889071765555E-2</v>
      </c>
      <c r="BJ214">
        <f t="shared" si="41"/>
        <v>4.5222589604033352E-2</v>
      </c>
    </row>
    <row r="215" spans="1:62" x14ac:dyDescent="0.3">
      <c r="A215" s="348">
        <v>1988</v>
      </c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 t="s">
        <v>80</v>
      </c>
      <c r="M215" s="348"/>
      <c r="N215" s="348"/>
      <c r="O215" s="348"/>
      <c r="P215" s="348"/>
      <c r="R215" s="66"/>
      <c r="S215" s="66" t="s">
        <v>62</v>
      </c>
      <c r="T215" s="67">
        <f>$AA213*T207/100</f>
        <v>0</v>
      </c>
      <c r="U215" s="67">
        <f>$AA213*U207/100</f>
        <v>125.60693357295207</v>
      </c>
      <c r="V215" s="67">
        <f>$AA213*V207/100</f>
        <v>573.00392232588342</v>
      </c>
      <c r="W215" s="67">
        <f>$AA213*W207/100</f>
        <v>656.92988854409316</v>
      </c>
      <c r="X215" s="67">
        <f>$AA213*X207/100</f>
        <v>706.29134213765212</v>
      </c>
      <c r="AA215" s="1"/>
      <c r="AC215" t="s">
        <v>314</v>
      </c>
      <c r="AD215" s="51">
        <v>0.89393939393939303</v>
      </c>
      <c r="AE215" s="51">
        <v>0.93378448392742897</v>
      </c>
      <c r="AH215" s="78"/>
      <c r="AQ215" t="s">
        <v>644</v>
      </c>
      <c r="BF215">
        <v>0.93730579371661205</v>
      </c>
      <c r="BG215" s="1">
        <v>152</v>
      </c>
      <c r="BH215">
        <f t="shared" si="42"/>
        <v>0.69725544447594368</v>
      </c>
      <c r="BI215">
        <f t="shared" si="43"/>
        <v>4.9380130846804184E-2</v>
      </c>
      <c r="BJ215">
        <f t="shared" si="41"/>
        <v>4.6284282737193955E-2</v>
      </c>
    </row>
    <row r="216" spans="1:62" x14ac:dyDescent="0.3">
      <c r="A216" t="s">
        <v>315</v>
      </c>
      <c r="B216" t="s">
        <v>21</v>
      </c>
      <c r="I216" s="1" t="s">
        <v>53</v>
      </c>
      <c r="O216" s="350" t="s">
        <v>377</v>
      </c>
      <c r="P216" s="350"/>
      <c r="AI216" s="78"/>
      <c r="AJ216" t="s">
        <v>644</v>
      </c>
      <c r="AK216">
        <v>0</v>
      </c>
      <c r="AL216" s="1">
        <v>1.81</v>
      </c>
      <c r="AM216" s="1">
        <v>5.03</v>
      </c>
      <c r="AN216">
        <v>1110.6600000000001</v>
      </c>
      <c r="AO216">
        <v>248.98</v>
      </c>
      <c r="AP216">
        <v>95.55</v>
      </c>
      <c r="AQ216" s="1"/>
      <c r="AR216" s="1">
        <v>4.68</v>
      </c>
      <c r="AS216" s="1">
        <v>325.81</v>
      </c>
      <c r="AT216">
        <v>5252.96</v>
      </c>
      <c r="AU216">
        <v>460.1</v>
      </c>
      <c r="AV216">
        <v>275.41000000000003</v>
      </c>
      <c r="BF216">
        <v>0.93741801590926899</v>
      </c>
      <c r="BG216" s="1">
        <v>153</v>
      </c>
      <c r="BH216">
        <f t="shared" si="42"/>
        <v>0.7133076079711943</v>
      </c>
      <c r="BI216">
        <f t="shared" si="43"/>
        <v>5.0516956582694325E-2</v>
      </c>
      <c r="BJ216">
        <f t="shared" si="41"/>
        <v>4.7355505209524001E-2</v>
      </c>
    </row>
    <row r="217" spans="1:62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51</v>
      </c>
      <c r="O217" s="13" t="s">
        <v>644</v>
      </c>
      <c r="P217" s="13" t="s">
        <v>633</v>
      </c>
      <c r="AH217" s="78"/>
      <c r="AJ217" t="s">
        <v>644</v>
      </c>
      <c r="AK217">
        <v>1</v>
      </c>
      <c r="AL217" s="1">
        <v>1.63</v>
      </c>
      <c r="AM217" s="1">
        <v>4.22</v>
      </c>
      <c r="AN217">
        <v>1123.01</v>
      </c>
      <c r="AO217">
        <v>248.66</v>
      </c>
      <c r="AP217">
        <v>84.51</v>
      </c>
      <c r="AQ217" s="1"/>
      <c r="AR217" s="1">
        <v>3.24</v>
      </c>
      <c r="AS217" s="1">
        <v>287.64999999999998</v>
      </c>
      <c r="AT217">
        <v>5305.16</v>
      </c>
      <c r="AU217">
        <v>468.74</v>
      </c>
      <c r="AV217">
        <v>254.17</v>
      </c>
      <c r="BF217">
        <v>0.93742224819124198</v>
      </c>
      <c r="BG217" s="1">
        <v>154</v>
      </c>
      <c r="BH217">
        <f t="shared" si="42"/>
        <v>0.7295457140694851</v>
      </c>
      <c r="BI217">
        <f t="shared" si="43"/>
        <v>5.1666950907142448E-2</v>
      </c>
      <c r="BJ217">
        <f t="shared" si="41"/>
        <v>4.8433749276560002E-2</v>
      </c>
    </row>
    <row r="218" spans="1:62" x14ac:dyDescent="0.3">
      <c r="A218" t="s">
        <v>3</v>
      </c>
      <c r="B218" s="13">
        <v>0</v>
      </c>
      <c r="C218" s="26">
        <v>115</v>
      </c>
      <c r="D218" s="3">
        <v>0</v>
      </c>
      <c r="E218" s="3">
        <v>0</v>
      </c>
      <c r="F218" s="3">
        <v>0</v>
      </c>
      <c r="G218" s="4">
        <v>0</v>
      </c>
      <c r="H218" s="1">
        <f>SUM(C218:G218)</f>
        <v>115</v>
      </c>
      <c r="I218" s="10">
        <f>C218/H218</f>
        <v>1</v>
      </c>
      <c r="J218" s="11">
        <f>1-I218</f>
        <v>0</v>
      </c>
      <c r="K218">
        <f>H218-C223</f>
        <v>0</v>
      </c>
      <c r="N218" s="10">
        <f>2*(C224*I218)/(C224+I218)</f>
        <v>1</v>
      </c>
      <c r="O218" s="1"/>
      <c r="P218" s="1"/>
      <c r="R218" s="66"/>
      <c r="S218" s="66"/>
      <c r="T218" s="66"/>
      <c r="U218" s="66"/>
      <c r="V218" s="66"/>
      <c r="W218" s="66"/>
      <c r="X218" s="66"/>
      <c r="AI218" s="78"/>
      <c r="AJ218" t="s">
        <v>644</v>
      </c>
      <c r="AK218">
        <v>2</v>
      </c>
      <c r="AL218" s="1">
        <v>2.0099999999999998</v>
      </c>
      <c r="AM218" s="1">
        <v>5.81</v>
      </c>
      <c r="AN218">
        <v>1115.1300000000001</v>
      </c>
      <c r="AO218">
        <v>243.44</v>
      </c>
      <c r="AP218">
        <v>95.65</v>
      </c>
      <c r="AQ218" s="1"/>
      <c r="AR218" s="1">
        <v>4.68</v>
      </c>
      <c r="AS218" s="1">
        <v>369.73</v>
      </c>
      <c r="AT218">
        <v>5222.3599999999997</v>
      </c>
      <c r="AU218">
        <v>443.9</v>
      </c>
      <c r="AV218">
        <v>278.29000000000002</v>
      </c>
      <c r="BF218">
        <v>0.93755289368019101</v>
      </c>
      <c r="BG218" s="1">
        <v>155</v>
      </c>
      <c r="BH218">
        <f t="shared" si="42"/>
        <v>0.74597850554896161</v>
      </c>
      <c r="BI218">
        <f t="shared" si="43"/>
        <v>5.2830732989969618E-2</v>
      </c>
      <c r="BJ218">
        <f t="shared" si="41"/>
        <v>4.9531606589991548E-2</v>
      </c>
    </row>
    <row r="219" spans="1:62" x14ac:dyDescent="0.3">
      <c r="A219" t="s">
        <v>4</v>
      </c>
      <c r="B219" s="13">
        <v>1</v>
      </c>
      <c r="C219" s="5">
        <v>0</v>
      </c>
      <c r="D219" s="27">
        <v>5</v>
      </c>
      <c r="E219" s="1">
        <v>10</v>
      </c>
      <c r="F219" s="1">
        <v>0</v>
      </c>
      <c r="G219" s="6">
        <v>0</v>
      </c>
      <c r="H219" s="1">
        <f>SUM(C219:G219)</f>
        <v>15</v>
      </c>
      <c r="I219" s="10">
        <f>D219/H219</f>
        <v>0.33333333333333331</v>
      </c>
      <c r="J219" s="11">
        <f>1-I219</f>
        <v>0.66666666666666674</v>
      </c>
      <c r="K219">
        <f>H219-D223</f>
        <v>10</v>
      </c>
      <c r="N219" s="10">
        <f>2*(D224*I219)/(D224+I219)</f>
        <v>0.5</v>
      </c>
      <c r="O219" s="1"/>
      <c r="P219" s="1"/>
      <c r="R219" t="s">
        <v>348</v>
      </c>
      <c r="S219" t="s">
        <v>28</v>
      </c>
      <c r="T219" s="57">
        <f>AVERAGE(T16,T26,T36,T46,T56,T66,T76,T86,T96,T106,T116,T126,T136,T146,T156,T166,T176,T186,T196,T206)</f>
        <v>1.1123398136676024</v>
      </c>
      <c r="U219" s="57">
        <f>AVERAGE(U16,U26,U36,U46,U56,U66,U76,U86,U96,U106,U116,U126,U136,U146,U156,U166,U176,U186,U196,U206)</f>
        <v>0.33244141171569125</v>
      </c>
      <c r="V219" s="57">
        <f>AVERAGE(V16,V26,V36,V46,V56,V66,V76,V86,V96,V106,V116,V126,V136,V146,V156,V166,V176,V186,V196,V206)</f>
        <v>59.540579073859398</v>
      </c>
      <c r="W219" s="57">
        <f>AVERAGE(W16,W26,W36,W46,W56,W66,W76,W86,W96,W106,W116,W126,W136,W146,W156,W166,W176,W186,W196,W206)</f>
        <v>22.948633404663873</v>
      </c>
      <c r="X219" s="57">
        <f>AVERAGE(X16,X26,X36,X46,X56,X66,X76,X86,X96,X106,X116,X126,X136,X146,X156,X166,X176,X186,X196,X206)</f>
        <v>16.066006296093438</v>
      </c>
      <c r="AH219" s="78"/>
      <c r="AJ219" t="s">
        <v>644</v>
      </c>
      <c r="AK219">
        <v>3</v>
      </c>
      <c r="AL219" s="1">
        <v>2.2999999999999998</v>
      </c>
      <c r="AM219" s="1">
        <v>4.24</v>
      </c>
      <c r="AN219">
        <v>1122.1400000000001</v>
      </c>
      <c r="AO219">
        <v>244.48</v>
      </c>
      <c r="AP219">
        <v>88.88</v>
      </c>
      <c r="AQ219" s="1"/>
      <c r="AR219" s="1">
        <v>3.6</v>
      </c>
      <c r="AS219" s="1">
        <v>282.97000000000003</v>
      </c>
      <c r="AT219">
        <v>5312.36</v>
      </c>
      <c r="AU219">
        <v>458.3</v>
      </c>
      <c r="AV219">
        <v>261.73</v>
      </c>
      <c r="BF219">
        <v>0.93757968826259397</v>
      </c>
      <c r="BG219" s="1">
        <v>156</v>
      </c>
      <c r="BH219">
        <f t="shared" si="42"/>
        <v>0.76261525530438468</v>
      </c>
      <c r="BI219">
        <f t="shared" si="43"/>
        <v>5.400895954423595E-2</v>
      </c>
      <c r="BJ219">
        <f t="shared" si="41"/>
        <v>5.0637703452871795E-2</v>
      </c>
    </row>
    <row r="220" spans="1:62" x14ac:dyDescent="0.3">
      <c r="A220" t="s">
        <v>5</v>
      </c>
      <c r="B220" s="13">
        <v>2</v>
      </c>
      <c r="C220" s="5">
        <v>0</v>
      </c>
      <c r="D220" s="1">
        <v>0</v>
      </c>
      <c r="E220" s="27">
        <v>140</v>
      </c>
      <c r="F220" s="1">
        <v>0</v>
      </c>
      <c r="G220" s="6">
        <v>2</v>
      </c>
      <c r="H220" s="1">
        <f>SUM(C220:G220)</f>
        <v>142</v>
      </c>
      <c r="I220" s="10">
        <f>E220/H220</f>
        <v>0.9859154929577465</v>
      </c>
      <c r="J220" s="11">
        <f>1-I220</f>
        <v>1.4084507042253502E-2</v>
      </c>
      <c r="K220">
        <f>H220-E223</f>
        <v>-24</v>
      </c>
      <c r="N220" s="10">
        <f>2*(E224*I220)/(E224+I220)</f>
        <v>0.90909090909090917</v>
      </c>
      <c r="O220" s="1"/>
      <c r="P220" s="1"/>
      <c r="S220" s="66" t="s">
        <v>39</v>
      </c>
      <c r="T220" s="67">
        <f t="shared" ref="T220:X228" si="48">AVERAGE(T17,T27,T37,T47,T57,T67,T77,T87,T97,T107,T117,T127,T137,T147,T157,T167,T177,T187,T197,T207)</f>
        <v>0</v>
      </c>
      <c r="U220" s="67">
        <f t="shared" si="48"/>
        <v>0.11173871041285668</v>
      </c>
      <c r="V220" s="67">
        <f t="shared" si="48"/>
        <v>0.68630923484987916</v>
      </c>
      <c r="W220" s="67">
        <f t="shared" si="48"/>
        <v>0.74526631212391892</v>
      </c>
      <c r="X220" s="67">
        <f t="shared" si="48"/>
        <v>0.85493970438709577</v>
      </c>
      <c r="AC220" t="s">
        <v>118</v>
      </c>
      <c r="AD220" t="s">
        <v>157</v>
      </c>
      <c r="AE220" t="s">
        <v>119</v>
      </c>
      <c r="AI220" s="78"/>
      <c r="AJ220" t="s">
        <v>644</v>
      </c>
      <c r="AK220">
        <v>4</v>
      </c>
      <c r="AL220" s="1">
        <v>2.0099999999999998</v>
      </c>
      <c r="AM220" s="1">
        <v>4.67</v>
      </c>
      <c r="AN220">
        <v>1116.74</v>
      </c>
      <c r="AO220">
        <v>243.41</v>
      </c>
      <c r="AP220">
        <v>95.21</v>
      </c>
      <c r="AQ220" s="1"/>
      <c r="AR220" s="1">
        <v>4.68</v>
      </c>
      <c r="AS220" s="1">
        <v>315.01</v>
      </c>
      <c r="AT220">
        <v>5285.36</v>
      </c>
      <c r="AU220">
        <v>440.66</v>
      </c>
      <c r="AV220">
        <v>273.25</v>
      </c>
      <c r="BF220">
        <v>0.93758853632564498</v>
      </c>
      <c r="BG220" s="1">
        <v>157</v>
      </c>
      <c r="BH220">
        <f t="shared" si="42"/>
        <v>0.77946581337961318</v>
      </c>
      <c r="BI220">
        <f t="shared" si="43"/>
        <v>5.5202328157114761E-2</v>
      </c>
      <c r="BJ220">
        <f t="shared" si="41"/>
        <v>5.1757070058597171E-2</v>
      </c>
    </row>
    <row r="221" spans="1:62" x14ac:dyDescent="0.3">
      <c r="A221" t="s">
        <v>6</v>
      </c>
      <c r="B221" s="13">
        <v>3</v>
      </c>
      <c r="C221" s="5">
        <v>0</v>
      </c>
      <c r="D221" s="1">
        <v>0</v>
      </c>
      <c r="E221" s="1">
        <v>5</v>
      </c>
      <c r="F221" s="27">
        <v>127</v>
      </c>
      <c r="G221" s="6">
        <v>12</v>
      </c>
      <c r="H221" s="1">
        <f>SUM(C221:G221)</f>
        <v>144</v>
      </c>
      <c r="I221" s="10">
        <f>F221/H221</f>
        <v>0.88194444444444442</v>
      </c>
      <c r="J221" s="11">
        <f>1-I221</f>
        <v>0.11805555555555558</v>
      </c>
      <c r="K221">
        <f>H221-F223</f>
        <v>-7</v>
      </c>
      <c r="N221" s="10">
        <f>2*(F224*I221)/(F224+I221)</f>
        <v>0.86101694915254234</v>
      </c>
      <c r="O221" s="1"/>
      <c r="P221" s="1"/>
      <c r="S221" t="s">
        <v>30</v>
      </c>
      <c r="T221" s="57">
        <f t="shared" si="48"/>
        <v>100</v>
      </c>
      <c r="U221" s="57">
        <f t="shared" si="48"/>
        <v>98.51545461798321</v>
      </c>
      <c r="V221" s="57">
        <f t="shared" si="48"/>
        <v>96.134481735231361</v>
      </c>
      <c r="W221" s="57">
        <f t="shared" si="48"/>
        <v>94.367281800909552</v>
      </c>
      <c r="X221" s="57">
        <f t="shared" si="48"/>
        <v>81.690680398285878</v>
      </c>
      <c r="AB221">
        <v>0</v>
      </c>
      <c r="AC221">
        <v>31</v>
      </c>
      <c r="AD221">
        <v>26</v>
      </c>
      <c r="AE221">
        <v>15</v>
      </c>
      <c r="AH221" s="78"/>
      <c r="AJ221" t="s">
        <v>644</v>
      </c>
      <c r="AK221">
        <v>5</v>
      </c>
      <c r="AL221" s="1">
        <v>2.48</v>
      </c>
      <c r="AM221" s="1">
        <v>5.03</v>
      </c>
      <c r="AN221">
        <v>1123.44</v>
      </c>
      <c r="AO221">
        <v>242.68</v>
      </c>
      <c r="AP221">
        <v>88.41</v>
      </c>
      <c r="AQ221" s="1"/>
      <c r="AR221" s="1">
        <v>5.76</v>
      </c>
      <c r="AS221" s="1">
        <v>315.37</v>
      </c>
      <c r="AT221">
        <v>5297.24</v>
      </c>
      <c r="AU221">
        <v>439.58</v>
      </c>
      <c r="AV221">
        <v>261.01</v>
      </c>
      <c r="BF221">
        <v>0.93761740034360597</v>
      </c>
      <c r="BG221" s="1">
        <v>158</v>
      </c>
      <c r="BH221">
        <f t="shared" si="42"/>
        <v>0.79654065929088214</v>
      </c>
      <c r="BI221">
        <f t="shared" si="43"/>
        <v>5.6411580995464693E-2</v>
      </c>
      <c r="BJ221">
        <f t="shared" si="41"/>
        <v>5.2892479922240374E-2</v>
      </c>
    </row>
    <row r="222" spans="1:62" x14ac:dyDescent="0.3">
      <c r="A222" t="s">
        <v>7</v>
      </c>
      <c r="B222" s="13">
        <v>4</v>
      </c>
      <c r="C222" s="7">
        <v>0</v>
      </c>
      <c r="D222" s="8">
        <v>0</v>
      </c>
      <c r="E222" s="8">
        <v>11</v>
      </c>
      <c r="F222" s="8">
        <v>24</v>
      </c>
      <c r="G222" s="28">
        <v>209</v>
      </c>
      <c r="H222" s="1">
        <f>SUM(C222:G222)</f>
        <v>244</v>
      </c>
      <c r="I222" s="10">
        <f>G222/H222</f>
        <v>0.85655737704918034</v>
      </c>
      <c r="J222" s="11">
        <f>1-I222</f>
        <v>0.14344262295081966</v>
      </c>
      <c r="K222">
        <f>H222-G223</f>
        <v>21</v>
      </c>
      <c r="N222" s="10">
        <f>2*(G224*I222)/(G224+I222)</f>
        <v>0.89507494646680952</v>
      </c>
      <c r="O222" s="1"/>
      <c r="P222" s="1"/>
      <c r="S222" s="66" t="s">
        <v>39</v>
      </c>
      <c r="T222" s="67">
        <f t="shared" si="48"/>
        <v>0</v>
      </c>
      <c r="U222" s="67">
        <f t="shared" si="48"/>
        <v>4.4318013832122762</v>
      </c>
      <c r="V222" s="67">
        <f t="shared" si="48"/>
        <v>0.82068962912232857</v>
      </c>
      <c r="W222" s="67">
        <f t="shared" si="48"/>
        <v>2.0505337793359821</v>
      </c>
      <c r="X222" s="67">
        <f t="shared" si="48"/>
        <v>5.5620102164216876</v>
      </c>
      <c r="AB222">
        <v>1</v>
      </c>
      <c r="AC222">
        <v>60</v>
      </c>
      <c r="AD222">
        <v>55</v>
      </c>
      <c r="AE222">
        <v>44</v>
      </c>
      <c r="AI222" s="78"/>
      <c r="AJ222" t="s">
        <v>644</v>
      </c>
      <c r="AK222">
        <v>6</v>
      </c>
      <c r="AL222" s="1">
        <v>2.2799999999999998</v>
      </c>
      <c r="AM222" s="1">
        <v>4.67</v>
      </c>
      <c r="AN222">
        <v>1116.1600000000001</v>
      </c>
      <c r="AO222">
        <v>247.05</v>
      </c>
      <c r="AP222">
        <v>91.89</v>
      </c>
      <c r="AQ222" s="1"/>
      <c r="AR222" s="1">
        <v>5.4</v>
      </c>
      <c r="AS222" s="1">
        <v>321.85000000000002</v>
      </c>
      <c r="AT222">
        <v>5264.12</v>
      </c>
      <c r="AU222">
        <v>453.26</v>
      </c>
      <c r="AV222">
        <v>274.33</v>
      </c>
      <c r="BF222">
        <v>0.937787024873311</v>
      </c>
      <c r="BG222" s="1">
        <v>159</v>
      </c>
      <c r="BH222">
        <f t="shared" si="42"/>
        <v>0.81385096037908433</v>
      </c>
      <c r="BI222">
        <f t="shared" si="43"/>
        <v>5.7637508938380155E-2</v>
      </c>
      <c r="BJ222">
        <f t="shared" si="41"/>
        <v>5.4051708028432399E-2</v>
      </c>
    </row>
    <row r="223" spans="1:62" ht="15.6" x14ac:dyDescent="0.35">
      <c r="B223" s="1" t="s">
        <v>19</v>
      </c>
      <c r="C223" s="1">
        <f>SUM(C218:C222)</f>
        <v>115</v>
      </c>
      <c r="D223" s="1">
        <f>SUM(D218:D222)</f>
        <v>5</v>
      </c>
      <c r="E223" s="1">
        <f>SUM(E218:E222)</f>
        <v>166</v>
      </c>
      <c r="F223" s="1">
        <f>SUM(F218:F222)</f>
        <v>151</v>
      </c>
      <c r="G223" s="1">
        <f>SUM(G218:G222)</f>
        <v>223</v>
      </c>
      <c r="H223" s="1">
        <f>SUM(H217:H222)</f>
        <v>660</v>
      </c>
      <c r="I223" s="13" t="s">
        <v>12</v>
      </c>
      <c r="N223" s="16" t="s">
        <v>36</v>
      </c>
      <c r="O223" s="1">
        <f>SUM(O218:O222)</f>
        <v>0</v>
      </c>
      <c r="P223" s="1">
        <f>SUM(P218:P222)</f>
        <v>0</v>
      </c>
      <c r="S223" s="15" t="s">
        <v>31</v>
      </c>
      <c r="T223" s="71">
        <f t="shared" si="48"/>
        <v>100</v>
      </c>
      <c r="U223" s="71">
        <f t="shared" si="48"/>
        <v>36.333333333333329</v>
      </c>
      <c r="V223" s="71">
        <f t="shared" si="48"/>
        <v>98.873239436619741</v>
      </c>
      <c r="W223" s="71">
        <f t="shared" si="48"/>
        <v>87.048611111111114</v>
      </c>
      <c r="X223" s="71">
        <f t="shared" si="48"/>
        <v>86.127049180327873</v>
      </c>
      <c r="AB223">
        <v>2</v>
      </c>
      <c r="AC223">
        <v>89</v>
      </c>
      <c r="AD223">
        <v>84</v>
      </c>
      <c r="AE223">
        <v>73</v>
      </c>
      <c r="AH223" s="78"/>
      <c r="AJ223" t="s">
        <v>644</v>
      </c>
      <c r="AK223">
        <v>7</v>
      </c>
      <c r="AL223" s="1">
        <v>2.0099999999999998</v>
      </c>
      <c r="AM223" s="1">
        <v>4.53</v>
      </c>
      <c r="AN223">
        <v>1119.71</v>
      </c>
      <c r="AO223">
        <v>244.81</v>
      </c>
      <c r="AP223">
        <v>90.97</v>
      </c>
      <c r="AQ223" s="1"/>
      <c r="AR223" s="1">
        <v>4.32</v>
      </c>
      <c r="AS223" s="1">
        <v>319.69</v>
      </c>
      <c r="AT223">
        <v>5268.8</v>
      </c>
      <c r="AU223">
        <v>456.5</v>
      </c>
      <c r="AV223">
        <v>269.64999999999998</v>
      </c>
      <c r="BF223">
        <v>0.93781581223829902</v>
      </c>
      <c r="BG223" s="1">
        <v>160</v>
      </c>
      <c r="BH223">
        <f t="shared" si="42"/>
        <v>0.8314086370526691</v>
      </c>
      <c r="BI223">
        <f t="shared" si="43"/>
        <v>5.8880956197740225E-2</v>
      </c>
      <c r="BJ223">
        <f t="shared" si="41"/>
        <v>5.5219491761951456E-2</v>
      </c>
    </row>
    <row r="224" spans="1:62" x14ac:dyDescent="0.3">
      <c r="A224" s="1" t="s">
        <v>316</v>
      </c>
      <c r="B224" s="1" t="s">
        <v>2</v>
      </c>
      <c r="C224" s="10">
        <f>C218/C223</f>
        <v>1</v>
      </c>
      <c r="D224" s="10">
        <f>D219/D223</f>
        <v>1</v>
      </c>
      <c r="E224" s="10">
        <f>E220/E223</f>
        <v>0.84337349397590367</v>
      </c>
      <c r="F224" s="10">
        <f>F221/F223</f>
        <v>0.84105960264900659</v>
      </c>
      <c r="G224" s="10">
        <f>G222/G223</f>
        <v>0.93721973094170408</v>
      </c>
      <c r="H224" s="10"/>
      <c r="I224" s="14">
        <f>(C218+D219+E220+F221+G222)/H223</f>
        <v>0.90303030303030307</v>
      </c>
      <c r="S224" s="75" t="s">
        <v>39</v>
      </c>
      <c r="T224" s="76">
        <f t="shared" si="48"/>
        <v>0</v>
      </c>
      <c r="U224" s="76">
        <f t="shared" si="48"/>
        <v>12.754549917597563</v>
      </c>
      <c r="V224" s="76">
        <f t="shared" si="48"/>
        <v>0.87364858660677247</v>
      </c>
      <c r="W224" s="76">
        <f t="shared" si="48"/>
        <v>2.8006111721933609</v>
      </c>
      <c r="X224" s="76">
        <f t="shared" si="48"/>
        <v>2.2108219880662001</v>
      </c>
      <c r="AB224">
        <v>3</v>
      </c>
      <c r="AC224">
        <v>118</v>
      </c>
      <c r="AD224">
        <v>113</v>
      </c>
      <c r="AE224">
        <v>102</v>
      </c>
      <c r="AI224" s="78"/>
      <c r="AJ224" t="s">
        <v>644</v>
      </c>
      <c r="AK224">
        <v>8</v>
      </c>
      <c r="AL224" s="1">
        <v>1.94</v>
      </c>
      <c r="AM224" s="1">
        <v>5.26</v>
      </c>
      <c r="AN224">
        <v>1117.98</v>
      </c>
      <c r="AO224">
        <v>249.71</v>
      </c>
      <c r="AP224">
        <v>87.16</v>
      </c>
      <c r="AQ224" s="1"/>
      <c r="AR224" s="1">
        <v>3.96</v>
      </c>
      <c r="AS224" s="1">
        <v>317.89</v>
      </c>
      <c r="AT224">
        <v>5275.28</v>
      </c>
      <c r="AU224">
        <v>464.42</v>
      </c>
      <c r="AV224">
        <v>257.41000000000003</v>
      </c>
      <c r="BF224">
        <v>0.93784264884670199</v>
      </c>
      <c r="BG224" s="1">
        <v>161</v>
      </c>
      <c r="BH224">
        <f t="shared" si="42"/>
        <v>0.84922643593033087</v>
      </c>
      <c r="BI224">
        <f t="shared" si="43"/>
        <v>6.0142825498226318E-2</v>
      </c>
      <c r="BJ224">
        <f t="shared" si="41"/>
        <v>5.6404506774381538E-2</v>
      </c>
    </row>
    <row r="225" spans="1:62" x14ac:dyDescent="0.3">
      <c r="B225" s="1" t="s">
        <v>14</v>
      </c>
      <c r="C225" s="11">
        <f>1-C224</f>
        <v>0</v>
      </c>
      <c r="D225" s="11">
        <f>1-D224</f>
        <v>0</v>
      </c>
      <c r="E225" s="11">
        <f>1-E224</f>
        <v>0.15662650602409633</v>
      </c>
      <c r="F225" s="11">
        <f>1-F224</f>
        <v>0.15894039735099341</v>
      </c>
      <c r="G225" s="11">
        <f>1-G224</f>
        <v>6.2780269058295923E-2</v>
      </c>
      <c r="S225" s="66" t="s">
        <v>51</v>
      </c>
      <c r="T225" s="67">
        <f t="shared" si="48"/>
        <v>100</v>
      </c>
      <c r="U225" s="67">
        <f t="shared" si="48"/>
        <v>52.784307606962066</v>
      </c>
      <c r="V225" s="67">
        <f t="shared" si="48"/>
        <v>90.494558296618052</v>
      </c>
      <c r="W225" s="67">
        <f t="shared" si="48"/>
        <v>86.430964173522838</v>
      </c>
      <c r="X225" s="67">
        <f t="shared" si="48"/>
        <v>89.598404880304457</v>
      </c>
      <c r="AB225">
        <v>4</v>
      </c>
      <c r="AC225">
        <v>147</v>
      </c>
      <c r="AD225">
        <v>142</v>
      </c>
      <c r="AE225">
        <v>131</v>
      </c>
      <c r="AH225" s="78"/>
      <c r="AJ225" t="s">
        <v>644</v>
      </c>
      <c r="AK225">
        <v>9</v>
      </c>
      <c r="AL225" s="1">
        <v>2.48</v>
      </c>
      <c r="AM225" s="1">
        <v>4.88</v>
      </c>
      <c r="AN225">
        <v>1117.1500000000001</v>
      </c>
      <c r="AO225">
        <v>247.51</v>
      </c>
      <c r="AP225">
        <v>90.03</v>
      </c>
      <c r="AR225" s="1">
        <v>5.4</v>
      </c>
      <c r="AS225" s="1">
        <v>309.61</v>
      </c>
      <c r="AT225">
        <v>5280.68</v>
      </c>
      <c r="AU225">
        <v>452.54</v>
      </c>
      <c r="AV225">
        <v>270.73</v>
      </c>
      <c r="BF225">
        <v>0.93793455641549295</v>
      </c>
      <c r="BG225" s="1">
        <v>162</v>
      </c>
      <c r="BH225">
        <f t="shared" si="42"/>
        <v>0.8673180120699755</v>
      </c>
      <c r="BI225">
        <f t="shared" si="43"/>
        <v>6.1424083900836604E-2</v>
      </c>
      <c r="BJ225">
        <f t="shared" si="41"/>
        <v>5.76117708867592E-2</v>
      </c>
    </row>
    <row r="226" spans="1:62" x14ac:dyDescent="0.3">
      <c r="C226" s="2"/>
      <c r="R226" s="16" t="s">
        <v>61</v>
      </c>
      <c r="S226" t="s">
        <v>9</v>
      </c>
      <c r="T226" s="1">
        <f t="shared" si="48"/>
        <v>1019.4185000000001</v>
      </c>
      <c r="U226" s="1">
        <f t="shared" si="48"/>
        <v>818.3304999999998</v>
      </c>
      <c r="V226" s="1">
        <f t="shared" si="48"/>
        <v>53054.420000000006</v>
      </c>
      <c r="W226" s="1">
        <f t="shared" si="48"/>
        <v>22797.716</v>
      </c>
      <c r="X226" s="1">
        <f t="shared" si="48"/>
        <v>13956.434499999999</v>
      </c>
      <c r="AB226">
        <v>5</v>
      </c>
      <c r="AC226">
        <v>176</v>
      </c>
      <c r="AD226">
        <v>171</v>
      </c>
      <c r="AE226">
        <v>160</v>
      </c>
      <c r="AI226" s="78"/>
      <c r="AJ226" t="s">
        <v>644</v>
      </c>
      <c r="AK226">
        <v>10</v>
      </c>
      <c r="AL226" s="1">
        <v>2.37</v>
      </c>
      <c r="AM226" s="1">
        <v>4.3099999999999996</v>
      </c>
      <c r="AN226">
        <v>1119.19</v>
      </c>
      <c r="AO226">
        <v>246.49</v>
      </c>
      <c r="AP226">
        <v>89.69</v>
      </c>
      <c r="AR226" s="1">
        <v>5.76</v>
      </c>
      <c r="AS226" s="1">
        <v>313.93</v>
      </c>
      <c r="AT226">
        <v>5285.72</v>
      </c>
      <c r="AU226">
        <v>443.18</v>
      </c>
      <c r="AV226">
        <v>270.37</v>
      </c>
      <c r="BF226">
        <v>0.93809994789671602</v>
      </c>
      <c r="BG226" s="1">
        <v>163</v>
      </c>
      <c r="BH226">
        <f t="shared" si="42"/>
        <v>0.8856980216844178</v>
      </c>
      <c r="BI226">
        <f t="shared" si="43"/>
        <v>6.2725769369078213E-2</v>
      </c>
      <c r="BJ226">
        <f t="shared" si="41"/>
        <v>5.8843040976913695E-2</v>
      </c>
    </row>
    <row r="227" spans="1:62" ht="15.6" x14ac:dyDescent="0.35">
      <c r="A227" t="s">
        <v>317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318</v>
      </c>
      <c r="S227" t="s">
        <v>63</v>
      </c>
      <c r="T227" s="57">
        <f>AVERAGE(T24,T34,T44,T54,T64,T74,T84,T94,T104,T114,T124,T134,T144,T154,T164,T174,T184,T194,T204,T214)</f>
        <v>1019.4185000000001</v>
      </c>
      <c r="U227" s="57">
        <f t="shared" si="48"/>
        <v>304.67031816939891</v>
      </c>
      <c r="V227" s="57">
        <f t="shared" si="48"/>
        <v>54566.749324239019</v>
      </c>
      <c r="W227" s="57">
        <f t="shared" si="48"/>
        <v>21031.577891791894</v>
      </c>
      <c r="X227" s="57">
        <f t="shared" si="48"/>
        <v>14723.903465799696</v>
      </c>
      <c r="AB227">
        <v>6</v>
      </c>
      <c r="AC227">
        <v>205</v>
      </c>
      <c r="AD227">
        <v>200</v>
      </c>
      <c r="AE227">
        <v>189</v>
      </c>
      <c r="AH227" s="78"/>
      <c r="AJ227" t="s">
        <v>644</v>
      </c>
      <c r="AK227">
        <v>11</v>
      </c>
      <c r="AL227" s="1">
        <v>2.19</v>
      </c>
      <c r="AM227" s="1">
        <v>6.48</v>
      </c>
      <c r="AN227">
        <v>1118.96</v>
      </c>
      <c r="AO227">
        <v>241.85</v>
      </c>
      <c r="AP227">
        <v>92.56</v>
      </c>
      <c r="AR227" s="1">
        <v>4.68</v>
      </c>
      <c r="AS227" s="1">
        <v>322.93</v>
      </c>
      <c r="AT227">
        <v>5263.76</v>
      </c>
      <c r="AU227">
        <v>452.9</v>
      </c>
      <c r="AV227">
        <v>274.69</v>
      </c>
      <c r="BF227">
        <v>0.93813138420942099</v>
      </c>
      <c r="BG227" s="1">
        <v>164</v>
      </c>
      <c r="BH227">
        <f t="shared" si="42"/>
        <v>0.90438222700361048</v>
      </c>
      <c r="BI227">
        <f t="shared" si="43"/>
        <v>6.4048998195385523E-2</v>
      </c>
      <c r="BJ227">
        <f t="shared" si="41"/>
        <v>6.0086375334263725E-2</v>
      </c>
    </row>
    <row r="228" spans="1:62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62</v>
      </c>
      <c r="T228" s="67">
        <f>AVERAGE(T25,T35,T45,T55,T65,T75,T85,T95,T105,T115,T125,T135,T145,T155,T165,T175,T185,T195,T205,T215)</f>
        <v>0</v>
      </c>
      <c r="U228" s="67">
        <f t="shared" si="48"/>
        <v>102.40441564300788</v>
      </c>
      <c r="V228" s="67">
        <f t="shared" si="48"/>
        <v>628.97715425464025</v>
      </c>
      <c r="W228" s="67">
        <f t="shared" si="48"/>
        <v>683.00914547586194</v>
      </c>
      <c r="X228" s="67">
        <f t="shared" si="48"/>
        <v>783.52077318065494</v>
      </c>
      <c r="AB228">
        <v>7</v>
      </c>
      <c r="AC228">
        <v>234</v>
      </c>
      <c r="AD228">
        <v>229</v>
      </c>
      <c r="AE228">
        <v>218</v>
      </c>
      <c r="AI228" s="78"/>
      <c r="AJ228" t="s">
        <v>644</v>
      </c>
      <c r="AK228">
        <v>12</v>
      </c>
      <c r="AL228" s="1">
        <v>1.83</v>
      </c>
      <c r="AM228" s="1">
        <v>4.3099999999999996</v>
      </c>
      <c r="AN228">
        <v>1112.27</v>
      </c>
      <c r="AO228">
        <v>250.99</v>
      </c>
      <c r="AP228">
        <v>92.64</v>
      </c>
      <c r="AR228" s="1">
        <v>3.6</v>
      </c>
      <c r="AS228" s="1">
        <v>320.41000000000003</v>
      </c>
      <c r="AT228">
        <v>5258.36</v>
      </c>
      <c r="AU228">
        <v>469.1</v>
      </c>
      <c r="AV228">
        <v>267.49</v>
      </c>
      <c r="BF228">
        <v>0.93827343560561804</v>
      </c>
      <c r="BG228" s="1">
        <v>165</v>
      </c>
      <c r="BH228">
        <f t="shared" si="42"/>
        <v>0.92338761525908586</v>
      </c>
      <c r="BI228">
        <f t="shared" si="43"/>
        <v>6.5394973427683731E-2</v>
      </c>
      <c r="BJ228">
        <f t="shared" si="41"/>
        <v>6.1358366389330912E-2</v>
      </c>
    </row>
    <row r="229" spans="1:62" x14ac:dyDescent="0.3">
      <c r="A229" t="s">
        <v>3</v>
      </c>
      <c r="B229" s="13">
        <v>0</v>
      </c>
      <c r="C229" s="29">
        <f>(C218/$L229)*$O229</f>
        <v>1.0549031259625998</v>
      </c>
      <c r="D229" s="31">
        <f>(D218/$L229)*$O229</f>
        <v>0</v>
      </c>
      <c r="E229" s="31">
        <f>(E218/$L229)*$O229</f>
        <v>0</v>
      </c>
      <c r="F229" s="31">
        <f>(F218/$L229)*$O229</f>
        <v>0</v>
      </c>
      <c r="G229" s="32">
        <f>(G218/$L229)*$O229</f>
        <v>0</v>
      </c>
      <c r="H229" s="17">
        <f>SUM(C229:G229)</f>
        <v>1.0549031259625998</v>
      </c>
      <c r="I229" s="17">
        <f>C229/H229*100</f>
        <v>100</v>
      </c>
      <c r="J229" s="17">
        <f>SQRT(I229*(100-I229)/(L229-1))</f>
        <v>0</v>
      </c>
      <c r="K229" s="18">
        <f>100-I229</f>
        <v>0</v>
      </c>
      <c r="L229" s="1">
        <f>H218</f>
        <v>115</v>
      </c>
      <c r="M229">
        <v>0</v>
      </c>
      <c r="N229" s="1">
        <v>966.78</v>
      </c>
      <c r="O229" s="17">
        <f>N229/N234*100</f>
        <v>1.0549031259625998</v>
      </c>
      <c r="P229" s="52">
        <f>((O229*O229*(I229/100)*(K229/100))/(L229-1))</f>
        <v>0</v>
      </c>
      <c r="AB229">
        <v>8</v>
      </c>
      <c r="AC229">
        <v>263</v>
      </c>
      <c r="AD229">
        <v>258</v>
      </c>
      <c r="AE229">
        <v>247</v>
      </c>
      <c r="AH229" s="78"/>
      <c r="AJ229" t="s">
        <v>644</v>
      </c>
      <c r="AK229">
        <v>13</v>
      </c>
      <c r="AL229" s="1">
        <v>2.44</v>
      </c>
      <c r="AM229" s="1">
        <v>3.86</v>
      </c>
      <c r="AN229">
        <v>1122.49</v>
      </c>
      <c r="AO229">
        <v>250.02</v>
      </c>
      <c r="AP229">
        <v>83.22</v>
      </c>
      <c r="AR229" s="1">
        <v>5.04</v>
      </c>
      <c r="AS229" s="1">
        <v>281.52999999999997</v>
      </c>
      <c r="AT229">
        <v>5313.44</v>
      </c>
      <c r="AU229">
        <v>461.54</v>
      </c>
      <c r="AV229">
        <v>257.41000000000003</v>
      </c>
      <c r="BF229">
        <v>0.93838771180331304</v>
      </c>
      <c r="BG229" s="1">
        <v>166</v>
      </c>
      <c r="BH229">
        <f t="shared" si="42"/>
        <v>0.94273253415310254</v>
      </c>
      <c r="BI229">
        <f t="shared" si="43"/>
        <v>6.6764994463410915E-2</v>
      </c>
      <c r="BJ229">
        <f t="shared" si="41"/>
        <v>6.2651450383081037E-2</v>
      </c>
    </row>
    <row r="230" spans="1:62" x14ac:dyDescent="0.3">
      <c r="A230" t="s">
        <v>4</v>
      </c>
      <c r="B230" s="13">
        <v>1</v>
      </c>
      <c r="C230" s="33">
        <f t="shared" ref="C230:G233" si="49">(C219/$L230)*$O230</f>
        <v>0</v>
      </c>
      <c r="D230" s="34">
        <f t="shared" si="49"/>
        <v>0.30434024653978686</v>
      </c>
      <c r="E230" s="19">
        <f t="shared" si="49"/>
        <v>0.60868049307957373</v>
      </c>
      <c r="F230" s="18">
        <f t="shared" si="49"/>
        <v>0</v>
      </c>
      <c r="G230" s="20">
        <f t="shared" si="49"/>
        <v>0</v>
      </c>
      <c r="H230" s="17">
        <f>SUM(C230:G230)</f>
        <v>0.91302073961936059</v>
      </c>
      <c r="I230" s="17">
        <f>D230/H230*100</f>
        <v>33.333333333333329</v>
      </c>
      <c r="J230" s="17">
        <f>SQRT(I230*(100-I230)/(L230-1))</f>
        <v>12.598815766974241</v>
      </c>
      <c r="K230" s="18">
        <f>100-I230</f>
        <v>66.666666666666671</v>
      </c>
      <c r="L230" s="1">
        <f>H219</f>
        <v>15</v>
      </c>
      <c r="M230">
        <v>1</v>
      </c>
      <c r="N230" s="1">
        <v>836.75</v>
      </c>
      <c r="O230" s="17">
        <f>N230/N234*100</f>
        <v>0.9130207396193607</v>
      </c>
      <c r="P230" s="52">
        <f>((O230*O230*(I230/100)*(K230/100))/(L230-1))</f>
        <v>1.323185509484261E-2</v>
      </c>
      <c r="S230" t="s">
        <v>64</v>
      </c>
      <c r="T230" s="1" t="s">
        <v>639</v>
      </c>
      <c r="U230" s="1" t="s">
        <v>640</v>
      </c>
      <c r="V230" s="1" t="s">
        <v>641</v>
      </c>
      <c r="W230" s="1" t="s">
        <v>642</v>
      </c>
      <c r="X230" s="1" t="s">
        <v>643</v>
      </c>
      <c r="AB230">
        <v>9</v>
      </c>
      <c r="AC230">
        <v>292</v>
      </c>
      <c r="AD230">
        <v>287</v>
      </c>
      <c r="AE230">
        <v>276</v>
      </c>
      <c r="AI230" s="78"/>
      <c r="AJ230" t="s">
        <v>644</v>
      </c>
      <c r="AK230">
        <v>14</v>
      </c>
      <c r="AL230" s="1">
        <v>1.83</v>
      </c>
      <c r="AM230" s="1">
        <v>4.67</v>
      </c>
      <c r="AN230">
        <v>1125.31</v>
      </c>
      <c r="AO230">
        <v>242.85</v>
      </c>
      <c r="AP230">
        <v>87.38</v>
      </c>
      <c r="AR230" s="1">
        <v>3.24</v>
      </c>
      <c r="AS230" s="1">
        <v>318.25</v>
      </c>
      <c r="AT230">
        <v>5285.72</v>
      </c>
      <c r="AU230">
        <v>451.46</v>
      </c>
      <c r="AV230">
        <v>260.29000000000002</v>
      </c>
      <c r="BF230">
        <v>0.93840146284590298</v>
      </c>
      <c r="BG230" s="1">
        <v>167</v>
      </c>
      <c r="BH230">
        <f t="shared" si="42"/>
        <v>0.96243684665105678</v>
      </c>
      <c r="BI230">
        <f t="shared" si="43"/>
        <v>6.8160468012027825E-2</v>
      </c>
      <c r="BJ230">
        <f t="shared" si="41"/>
        <v>6.3961882890748292E-2</v>
      </c>
    </row>
    <row r="231" spans="1:62" x14ac:dyDescent="0.3">
      <c r="A231" t="s">
        <v>5</v>
      </c>
      <c r="B231" s="13">
        <v>2</v>
      </c>
      <c r="C231" s="33">
        <f t="shared" si="49"/>
        <v>0</v>
      </c>
      <c r="D231" s="19">
        <f t="shared" si="49"/>
        <v>0</v>
      </c>
      <c r="E231" s="34">
        <f t="shared" si="49"/>
        <v>57.101079401621242</v>
      </c>
      <c r="F231" s="19">
        <f t="shared" si="49"/>
        <v>0</v>
      </c>
      <c r="G231" s="20">
        <f t="shared" si="49"/>
        <v>0.8157297057374463</v>
      </c>
      <c r="H231" s="17">
        <f>SUM(C231:G231)</f>
        <v>57.916809107358688</v>
      </c>
      <c r="I231" s="17">
        <f>E231/H231*100</f>
        <v>98.591549295774655</v>
      </c>
      <c r="J231" s="17">
        <f>SQRT(I231*(100-I231)/(L231-1))</f>
        <v>0.99238711073976715</v>
      </c>
      <c r="K231" s="18">
        <f>100-I231</f>
        <v>1.4084507042253449</v>
      </c>
      <c r="L231" s="1">
        <f>H220</f>
        <v>142</v>
      </c>
      <c r="M231">
        <v>2</v>
      </c>
      <c r="N231" s="1">
        <v>53078.63</v>
      </c>
      <c r="O231" s="17">
        <f>N231/N234*100</f>
        <v>57.916809107358688</v>
      </c>
      <c r="P231" s="52">
        <f>((O231*O231*(I231/100)*(K231/100))/(L231-1))</f>
        <v>0.33034784891897029</v>
      </c>
      <c r="T231" s="57">
        <f>T24</f>
        <v>965.34</v>
      </c>
      <c r="U231" s="57">
        <f>U24</f>
        <v>404.0913333333333</v>
      </c>
      <c r="V231" s="57">
        <f>V24</f>
        <v>53597.046024282303</v>
      </c>
      <c r="W231" s="57">
        <f>W24</f>
        <v>21267.698167122038</v>
      </c>
      <c r="X231" s="57">
        <f>X24</f>
        <v>15412.144475262321</v>
      </c>
      <c r="AB231">
        <v>10</v>
      </c>
      <c r="AC231">
        <v>321</v>
      </c>
      <c r="AD231">
        <v>316</v>
      </c>
      <c r="AE231">
        <v>305</v>
      </c>
      <c r="AH231" s="78"/>
      <c r="AJ231" t="s">
        <v>644</v>
      </c>
      <c r="AK231">
        <v>15</v>
      </c>
      <c r="AL231" s="1">
        <v>1.83</v>
      </c>
      <c r="AM231" s="1">
        <v>4.67</v>
      </c>
      <c r="AN231">
        <v>1117.8800000000001</v>
      </c>
      <c r="AO231">
        <v>242.84</v>
      </c>
      <c r="AP231">
        <v>94.82</v>
      </c>
      <c r="AR231" s="1">
        <v>4.32</v>
      </c>
      <c r="AS231" s="1">
        <v>327.25</v>
      </c>
      <c r="AT231">
        <v>5264.12</v>
      </c>
      <c r="AU231">
        <v>451.1</v>
      </c>
      <c r="AV231">
        <v>272.17</v>
      </c>
      <c r="BF231">
        <v>0.93841167534660697</v>
      </c>
      <c r="BG231" s="1">
        <v>168</v>
      </c>
      <c r="BH231">
        <f t="shared" si="42"/>
        <v>0.9825221085250373</v>
      </c>
      <c r="BI231">
        <f t="shared" si="43"/>
        <v>6.9582920668779649E-2</v>
      </c>
      <c r="BJ231">
        <f t="shared" si="41"/>
        <v>6.5297425160299558E-2</v>
      </c>
    </row>
    <row r="232" spans="1:62" x14ac:dyDescent="0.3">
      <c r="A232" t="s">
        <v>6</v>
      </c>
      <c r="B232" s="13">
        <v>3</v>
      </c>
      <c r="C232" s="33">
        <f t="shared" si="49"/>
        <v>0</v>
      </c>
      <c r="D232" s="19">
        <f t="shared" si="49"/>
        <v>0</v>
      </c>
      <c r="E232" s="19">
        <f t="shared" si="49"/>
        <v>0.86525029304380108</v>
      </c>
      <c r="F232" s="34">
        <f t="shared" si="49"/>
        <v>21.977357443312545</v>
      </c>
      <c r="G232" s="20">
        <f t="shared" si="49"/>
        <v>2.0766007033051226</v>
      </c>
      <c r="H232" s="17">
        <f>SUM(C232:G232)</f>
        <v>24.919208439661467</v>
      </c>
      <c r="I232" s="17">
        <f>F232/H232*100</f>
        <v>88.194444444444457</v>
      </c>
      <c r="J232" s="17">
        <f>SQRT(I232*(100-I232)/(L232-1))</f>
        <v>2.6983346503309305</v>
      </c>
      <c r="K232" s="18">
        <f>100-I232</f>
        <v>11.805555555555543</v>
      </c>
      <c r="L232" s="1">
        <f>H221</f>
        <v>144</v>
      </c>
      <c r="M232">
        <v>3</v>
      </c>
      <c r="N232" s="1">
        <v>22837.54</v>
      </c>
      <c r="O232" s="17">
        <f>N232/N234*100</f>
        <v>24.919208439661471</v>
      </c>
      <c r="P232" s="52">
        <f>((O232*O232*(I232/100)*(K232/100))/(L232-1))</f>
        <v>0.45212664959248516</v>
      </c>
      <c r="T232" s="57">
        <f>T34</f>
        <v>985.14</v>
      </c>
      <c r="U232" s="57">
        <f>U34</f>
        <v>269.024</v>
      </c>
      <c r="V232" s="57">
        <f>V34</f>
        <v>54485.444853517271</v>
      </c>
      <c r="W232" s="57">
        <f>W34</f>
        <v>21449.956939890712</v>
      </c>
      <c r="X232" s="57">
        <f>X34</f>
        <v>14456.75420659201</v>
      </c>
      <c r="AB232">
        <v>11</v>
      </c>
      <c r="AC232">
        <v>350</v>
      </c>
      <c r="AD232">
        <v>345</v>
      </c>
      <c r="AE232">
        <v>334</v>
      </c>
      <c r="AI232" s="78"/>
      <c r="AJ232" t="s">
        <v>644</v>
      </c>
      <c r="AK232">
        <v>16</v>
      </c>
      <c r="AL232" s="1">
        <v>2.19</v>
      </c>
      <c r="AM232" s="1">
        <v>4.66</v>
      </c>
      <c r="AN232">
        <v>1120.3</v>
      </c>
      <c r="AO232">
        <v>248.43</v>
      </c>
      <c r="AP232">
        <v>86.47</v>
      </c>
      <c r="AQ232" s="1"/>
      <c r="AR232" s="1">
        <v>4.68</v>
      </c>
      <c r="AS232" s="1">
        <v>329.05</v>
      </c>
      <c r="AT232">
        <v>5275.64</v>
      </c>
      <c r="AU232">
        <v>455.06</v>
      </c>
      <c r="AV232">
        <v>254.53</v>
      </c>
      <c r="BF232">
        <v>0.93868505546589853</v>
      </c>
      <c r="BG232" s="1">
        <v>169</v>
      </c>
      <c r="BH232">
        <f t="shared" si="42"/>
        <v>1.0030117728102925</v>
      </c>
      <c r="BI232">
        <f t="shared" si="43"/>
        <v>7.1034013394449869E-2</v>
      </c>
      <c r="BJ232">
        <f t="shared" si="41"/>
        <v>6.6678566803134554E-2</v>
      </c>
    </row>
    <row r="233" spans="1:62" x14ac:dyDescent="0.3">
      <c r="A233" t="s">
        <v>7</v>
      </c>
      <c r="B233" s="13">
        <v>4</v>
      </c>
      <c r="C233" s="35">
        <f t="shared" si="49"/>
        <v>0</v>
      </c>
      <c r="D233" s="36">
        <f t="shared" si="49"/>
        <v>0</v>
      </c>
      <c r="E233" s="21">
        <f t="shared" si="49"/>
        <v>0.68506821500564208</v>
      </c>
      <c r="F233" s="21">
        <f t="shared" si="49"/>
        <v>1.4946942872850373</v>
      </c>
      <c r="G233" s="37">
        <f t="shared" si="49"/>
        <v>13.0162960851072</v>
      </c>
      <c r="H233" s="17">
        <f>SUM(C233:G233)</f>
        <v>15.196058587397879</v>
      </c>
      <c r="I233" s="17">
        <f>G233/H233*100</f>
        <v>85.655737704918039</v>
      </c>
      <c r="J233" s="17">
        <f>SQRT(I233*(100-I233)/(L233-1))</f>
        <v>2.2486103332811194</v>
      </c>
      <c r="K233" s="18">
        <f>100-I233</f>
        <v>14.344262295081961</v>
      </c>
      <c r="L233" s="1">
        <f>H222</f>
        <v>244</v>
      </c>
      <c r="M233">
        <v>4</v>
      </c>
      <c r="N233" s="1">
        <v>13926.63</v>
      </c>
      <c r="O233" s="17">
        <f>N233/N234*100</f>
        <v>15.196058587397879</v>
      </c>
      <c r="P233" s="52">
        <f>((O233*O233*(I233/100)*(K233/100))/(L233-1))</f>
        <v>0.11675898816884621</v>
      </c>
      <c r="T233" s="57">
        <f>T44</f>
        <v>1004.94</v>
      </c>
      <c r="U233" s="57">
        <f>U44</f>
        <v>414.50733333333329</v>
      </c>
      <c r="V233" s="57">
        <f>V44</f>
        <v>54246.862084766806</v>
      </c>
      <c r="W233" s="57">
        <f>W44</f>
        <v>20709.796806693994</v>
      </c>
      <c r="X233" s="57">
        <f>X44</f>
        <v>15270.203775205882</v>
      </c>
      <c r="AB233">
        <v>12</v>
      </c>
      <c r="AC233">
        <v>379</v>
      </c>
      <c r="AD233">
        <v>374</v>
      </c>
      <c r="AE233">
        <v>363</v>
      </c>
      <c r="AH233" s="78"/>
      <c r="AJ233" t="s">
        <v>644</v>
      </c>
      <c r="AK233">
        <v>17</v>
      </c>
      <c r="AL233" s="1">
        <v>2.2799999999999998</v>
      </c>
      <c r="AM233" s="1">
        <v>5.61</v>
      </c>
      <c r="AN233">
        <v>1116.5</v>
      </c>
      <c r="AO233">
        <v>246.56</v>
      </c>
      <c r="AP233">
        <v>91.09</v>
      </c>
      <c r="AQ233" s="1"/>
      <c r="AR233" s="1">
        <v>5.76</v>
      </c>
      <c r="AS233" s="1">
        <v>315.73</v>
      </c>
      <c r="AT233">
        <v>5270.96</v>
      </c>
      <c r="AU233">
        <v>456.14</v>
      </c>
      <c r="AV233">
        <v>270.37</v>
      </c>
      <c r="BF233">
        <v>0.93868805654352205</v>
      </c>
      <c r="BG233" s="1">
        <v>170</v>
      </c>
      <c r="BH233">
        <f t="shared" si="42"/>
        <v>1.0239314262560566</v>
      </c>
      <c r="BI233">
        <f t="shared" si="43"/>
        <v>7.2515558260977289E-2</v>
      </c>
      <c r="BJ233">
        <f t="shared" si="41"/>
        <v>6.8069488453165322E-2</v>
      </c>
    </row>
    <row r="234" spans="1:62" x14ac:dyDescent="0.3">
      <c r="B234" t="s">
        <v>28</v>
      </c>
      <c r="C234" s="17">
        <f>SUM(C229:C233)</f>
        <v>1.0549031259625998</v>
      </c>
      <c r="D234" s="17">
        <f>SUM(D229:D233)</f>
        <v>0.30434024653978686</v>
      </c>
      <c r="E234" s="17">
        <f>SUM(E229:E233)</f>
        <v>59.26007840275026</v>
      </c>
      <c r="F234" s="17">
        <f>SUM(F229:F233)</f>
        <v>23.472051730597581</v>
      </c>
      <c r="G234" s="17">
        <f>SUM(G229:G233)</f>
        <v>15.908626494149768</v>
      </c>
      <c r="H234" s="1">
        <f>SUM(H228:H233)</f>
        <v>100</v>
      </c>
      <c r="I234" s="13" t="s">
        <v>24</v>
      </c>
      <c r="J234" s="12" t="s">
        <v>29</v>
      </c>
      <c r="N234" s="1">
        <f>SUM(N229:N233)</f>
        <v>91646.33</v>
      </c>
      <c r="O234" s="17">
        <f>SUM(O229:O233)</f>
        <v>100</v>
      </c>
      <c r="T234" s="57">
        <f>T54</f>
        <v>919.25</v>
      </c>
      <c r="U234" s="57">
        <f>U54</f>
        <v>239.91000000000003</v>
      </c>
      <c r="V234" s="57">
        <f>V54</f>
        <v>54779.519432627174</v>
      </c>
      <c r="W234" s="57">
        <f>W54</f>
        <v>21008.174815573777</v>
      </c>
      <c r="X234" s="57">
        <f>X54</f>
        <v>14699.455751799045</v>
      </c>
      <c r="AB234">
        <v>13</v>
      </c>
      <c r="AC234">
        <v>408</v>
      </c>
      <c r="AD234">
        <v>403</v>
      </c>
      <c r="AE234">
        <v>392</v>
      </c>
      <c r="AI234" s="78"/>
      <c r="AJ234" t="s">
        <v>644</v>
      </c>
      <c r="AK234">
        <v>18</v>
      </c>
      <c r="AL234" s="1">
        <v>2.48</v>
      </c>
      <c r="AM234" s="1">
        <v>3.87</v>
      </c>
      <c r="AN234">
        <v>1119.1099999999999</v>
      </c>
      <c r="AO234">
        <v>248.94</v>
      </c>
      <c r="AP234">
        <v>87.64</v>
      </c>
      <c r="AR234" s="1">
        <v>4.32</v>
      </c>
      <c r="AS234" s="1">
        <v>306.73</v>
      </c>
      <c r="AT234">
        <v>5283.92</v>
      </c>
      <c r="AU234">
        <v>465.86</v>
      </c>
      <c r="AV234">
        <v>258.13</v>
      </c>
      <c r="BF234">
        <v>0.93888963346184495</v>
      </c>
      <c r="BG234" s="1">
        <v>171</v>
      </c>
      <c r="BH234">
        <f t="shared" si="42"/>
        <v>1.0453090640125338</v>
      </c>
      <c r="BI234">
        <f t="shared" si="43"/>
        <v>7.4029537904985426E-2</v>
      </c>
      <c r="BJ234">
        <f t="shared" si="41"/>
        <v>6.950556570896152E-2</v>
      </c>
    </row>
    <row r="235" spans="1:62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0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0.11112934545768324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0.7250142514145731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0.73001277205975346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0.87960870503406563</v>
      </c>
      <c r="H235" s="1"/>
      <c r="I235" s="14">
        <f>(C229+D230+E231+F232+G233)/H234</f>
        <v>0.93453976302543362</v>
      </c>
      <c r="J235" s="53">
        <f>SQRT(SUM(P229:P233))/100</f>
        <v>9.5523051761087722E-3</v>
      </c>
      <c r="M235" s="1"/>
      <c r="N235" s="9"/>
      <c r="T235" s="57">
        <f>T64</f>
        <v>1019.3499999999999</v>
      </c>
      <c r="U235" s="57">
        <f>U64</f>
        <v>263.43333333333328</v>
      </c>
      <c r="V235" s="57">
        <f>V64</f>
        <v>54822.965787347035</v>
      </c>
      <c r="W235" s="57">
        <f>W64</f>
        <v>20524.233952641167</v>
      </c>
      <c r="X235" s="57">
        <f>X64</f>
        <v>15016.336926678468</v>
      </c>
      <c r="AB235">
        <v>14</v>
      </c>
      <c r="AC235">
        <v>437</v>
      </c>
      <c r="AD235">
        <v>432</v>
      </c>
      <c r="AE235">
        <v>421</v>
      </c>
      <c r="AH235" s="78"/>
      <c r="AJ235" t="s">
        <v>644</v>
      </c>
      <c r="AK235">
        <v>19</v>
      </c>
      <c r="AL235" s="1">
        <v>2.48</v>
      </c>
      <c r="AM235" s="1">
        <v>4.67</v>
      </c>
      <c r="AN235">
        <v>1112.8699999999999</v>
      </c>
      <c r="AO235">
        <v>251.17</v>
      </c>
      <c r="AP235">
        <v>90.86</v>
      </c>
      <c r="AR235" s="1">
        <v>5.76</v>
      </c>
      <c r="AS235" s="1">
        <v>331.93</v>
      </c>
      <c r="AT235">
        <v>5247.56</v>
      </c>
      <c r="AU235">
        <v>478.46</v>
      </c>
      <c r="AV235">
        <v>255.25</v>
      </c>
      <c r="BF235">
        <v>0.93900380912958681</v>
      </c>
      <c r="BG235" s="1">
        <v>172</v>
      </c>
      <c r="BH235">
        <f t="shared" si="42"/>
        <v>1.0671754102700386</v>
      </c>
      <c r="BI235">
        <f t="shared" si="43"/>
        <v>7.5578128235676445E-2</v>
      </c>
      <c r="BJ235">
        <f t="shared" si="41"/>
        <v>7.0968150300184565E-2</v>
      </c>
    </row>
    <row r="236" spans="1:62" x14ac:dyDescent="0.3">
      <c r="B236" s="1" t="s">
        <v>30</v>
      </c>
      <c r="C236" s="17">
        <f>C229/C234*100</f>
        <v>100</v>
      </c>
      <c r="D236" s="17">
        <f>D230/D234*100</f>
        <v>100</v>
      </c>
      <c r="E236" s="17">
        <f>E231/E234*100</f>
        <v>96.356739546553115</v>
      </c>
      <c r="F236" s="17">
        <f>F232/F234*100</f>
        <v>93.632025421379808</v>
      </c>
      <c r="G236" s="17">
        <f>G233/G234*100</f>
        <v>81.8191066959414</v>
      </c>
      <c r="H236" s="1"/>
      <c r="T236" s="57">
        <f>T74</f>
        <v>1161.93</v>
      </c>
      <c r="U236" s="57">
        <f>U74</f>
        <v>278.43666666666667</v>
      </c>
      <c r="V236" s="57">
        <f>V74</f>
        <v>55254.786790242826</v>
      </c>
      <c r="W236" s="57">
        <f>W74</f>
        <v>20084.623729508199</v>
      </c>
      <c r="X236" s="57">
        <f>X74</f>
        <v>14866.542813582315</v>
      </c>
      <c r="AB236">
        <v>15</v>
      </c>
      <c r="AC236">
        <v>466</v>
      </c>
      <c r="AD236">
        <v>461</v>
      </c>
      <c r="AE236">
        <v>450</v>
      </c>
      <c r="AI236" s="78"/>
      <c r="BF236">
        <v>0.93924461545708327</v>
      </c>
      <c r="BG236" s="1">
        <v>173</v>
      </c>
      <c r="BH236">
        <f t="shared" si="42"/>
        <v>1.0895642944538471</v>
      </c>
      <c r="BI236">
        <f t="shared" si="43"/>
        <v>7.7163725077220427E-2</v>
      </c>
      <c r="BJ236">
        <f t="shared" si="41"/>
        <v>7.2475613287389995E-2</v>
      </c>
    </row>
    <row r="237" spans="1:62" x14ac:dyDescent="0.3">
      <c r="B237" s="16" t="s">
        <v>39</v>
      </c>
      <c r="C237" s="18">
        <f>SQRT((C240+C241)/(C234*C234))</f>
        <v>0</v>
      </c>
      <c r="D237" s="18">
        <f>SQRT((D240+D241)/(D234*D234))</f>
        <v>0</v>
      </c>
      <c r="E237" s="18">
        <f>SQRT((E240+E241)/(E234*E234))</f>
        <v>0.80796113157711558</v>
      </c>
      <c r="F237" s="18">
        <f>SQRT((F240+F241)/(F234*F234))</f>
        <v>2.160766595238258</v>
      </c>
      <c r="G237" s="18">
        <f>SQRT((G240+G241)/(G234*G234))</f>
        <v>5.723787871928665</v>
      </c>
      <c r="H237" s="1"/>
      <c r="I237" s="14"/>
      <c r="T237" s="57">
        <f>T84</f>
        <v>1029.79</v>
      </c>
      <c r="U237" s="57">
        <f>U84</f>
        <v>453.14677595628416</v>
      </c>
      <c r="V237" s="57">
        <f>V84</f>
        <v>54151.320791900762</v>
      </c>
      <c r="W237" s="57">
        <f>W84</f>
        <v>20642.65418943534</v>
      </c>
      <c r="X237" s="57">
        <f>X84</f>
        <v>15369.41824270761</v>
      </c>
      <c r="AB237">
        <v>16</v>
      </c>
      <c r="AC237">
        <v>495</v>
      </c>
      <c r="AD237">
        <v>490</v>
      </c>
      <c r="AE237">
        <v>479</v>
      </c>
      <c r="AH237" s="78"/>
      <c r="AM237" s="78"/>
      <c r="AN237" s="78"/>
      <c r="BF237">
        <v>0.93928103062472001</v>
      </c>
      <c r="BG237" s="1">
        <v>174</v>
      </c>
      <c r="BH237">
        <f t="shared" si="42"/>
        <v>1.1125130950141264</v>
      </c>
      <c r="BI237">
        <f t="shared" si="43"/>
        <v>7.8788975598276648E-2</v>
      </c>
      <c r="BJ237">
        <f t="shared" si="41"/>
        <v>7.400499020181521E-2</v>
      </c>
    </row>
    <row r="238" spans="1:62" x14ac:dyDescent="0.3">
      <c r="B238" s="1" t="s">
        <v>37</v>
      </c>
      <c r="C238" s="18">
        <f>100-C236</f>
        <v>0</v>
      </c>
      <c r="D238" s="18">
        <f>100-D236</f>
        <v>0</v>
      </c>
      <c r="E238" s="18">
        <f>100-E236</f>
        <v>3.6432604534468851</v>
      </c>
      <c r="F238" s="18">
        <f>100-F236</f>
        <v>6.367974578620192</v>
      </c>
      <c r="G238" s="18">
        <f>100-G236</f>
        <v>18.1808933040586</v>
      </c>
      <c r="T238" s="57">
        <f>T94</f>
        <v>966.78</v>
      </c>
      <c r="U238" s="57">
        <f>U94</f>
        <v>278.91666666666663</v>
      </c>
      <c r="V238" s="57">
        <f>V94</f>
        <v>54309.687011243237</v>
      </c>
      <c r="W238" s="57">
        <f>W94</f>
        <v>21511.273986794171</v>
      </c>
      <c r="X238" s="57">
        <f>X94</f>
        <v>14579.672335295929</v>
      </c>
      <c r="AB238">
        <v>17</v>
      </c>
      <c r="AC238">
        <v>524</v>
      </c>
      <c r="AD238">
        <v>519</v>
      </c>
      <c r="AE238">
        <v>508</v>
      </c>
      <c r="AI238" s="78"/>
      <c r="BF238">
        <v>0.939329443256677</v>
      </c>
      <c r="BG238" s="1">
        <v>175</v>
      </c>
      <c r="BH238">
        <f t="shared" si="42"/>
        <v>1.1360632660214303</v>
      </c>
      <c r="BI238">
        <f t="shared" si="43"/>
        <v>8.0456815605864276E-2</v>
      </c>
      <c r="BJ238">
        <f t="shared" si="41"/>
        <v>7.5575455809261616E-2</v>
      </c>
    </row>
    <row r="239" spans="1:62" ht="15.6" x14ac:dyDescent="0.35">
      <c r="B239" s="1" t="s">
        <v>25</v>
      </c>
      <c r="C239" s="1">
        <f>C223</f>
        <v>115</v>
      </c>
      <c r="D239" s="1">
        <f>D223</f>
        <v>5</v>
      </c>
      <c r="E239" s="1">
        <f>E223</f>
        <v>166</v>
      </c>
      <c r="F239" s="1">
        <f>F223</f>
        <v>151</v>
      </c>
      <c r="G239" s="1">
        <f>G223</f>
        <v>223</v>
      </c>
      <c r="T239" s="57">
        <f>T104</f>
        <v>981.54</v>
      </c>
      <c r="U239" s="57">
        <f>U104</f>
        <v>335.70400000000001</v>
      </c>
      <c r="V239" s="57">
        <f>V104</f>
        <v>54624.713096689877</v>
      </c>
      <c r="W239" s="57">
        <f>W104</f>
        <v>22003.66450478142</v>
      </c>
      <c r="X239" s="57">
        <f>X104</f>
        <v>13700.688398528695</v>
      </c>
      <c r="AB239">
        <v>18</v>
      </c>
      <c r="AC239">
        <v>553</v>
      </c>
      <c r="AD239">
        <v>548</v>
      </c>
      <c r="AE239">
        <v>537</v>
      </c>
      <c r="AH239" s="78"/>
      <c r="AM239" s="78"/>
      <c r="AN239" s="78"/>
      <c r="BF239">
        <v>0.93944755241931499</v>
      </c>
      <c r="BG239" s="1">
        <v>176</v>
      </c>
      <c r="BH239">
        <f t="shared" si="42"/>
        <v>1.1602609659441347</v>
      </c>
      <c r="BI239">
        <f t="shared" si="43"/>
        <v>8.217051407583166E-2</v>
      </c>
      <c r="BJ239">
        <f t="shared" si="41"/>
        <v>7.7194888329576924E-2</v>
      </c>
    </row>
    <row r="240" spans="1:62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0</v>
      </c>
      <c r="E240" s="18">
        <f>(O231*O231*(100-E236)*(100-E236)*(I231)*(100-I231))/((L231-1)*100)</f>
        <v>438.48215407562236</v>
      </c>
      <c r="F240" s="18">
        <f>(O232*O232*(100-F236)*(100-F236)*(I232)*(100-I232))/((L232-1)*100)</f>
        <v>1833.423308606622</v>
      </c>
      <c r="G240" s="18">
        <f>(O233*O233*(100-G236)*(100-G236)*(I233)*(100-I233))/((L233-1)*100)</f>
        <v>3859.4085888898139</v>
      </c>
      <c r="T240" s="57">
        <f>T114</f>
        <v>1058.9499999999998</v>
      </c>
      <c r="U240" s="57">
        <f>U114</f>
        <v>340.52892076502729</v>
      </c>
      <c r="V240" s="57">
        <f>V114</f>
        <v>54232.634539223043</v>
      </c>
      <c r="W240" s="57">
        <f>W114</f>
        <v>20922.479323770494</v>
      </c>
      <c r="X240" s="57">
        <f>X114</f>
        <v>15091.737216241439</v>
      </c>
      <c r="AB240">
        <v>19</v>
      </c>
      <c r="AC240">
        <v>582</v>
      </c>
      <c r="AD240">
        <v>577</v>
      </c>
      <c r="AE240">
        <v>566</v>
      </c>
      <c r="AI240" s="78"/>
      <c r="BF240">
        <v>0.93956334185495805</v>
      </c>
      <c r="BG240" s="1">
        <v>177</v>
      </c>
      <c r="BH240">
        <f t="shared" si="42"/>
        <v>1.1851578135117353</v>
      </c>
      <c r="BI240">
        <f t="shared" si="43"/>
        <v>8.3933726683637216E-2</v>
      </c>
      <c r="BJ240">
        <f t="shared" si="41"/>
        <v>7.8861052737218842E-2</v>
      </c>
    </row>
    <row r="241" spans="1:62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0</v>
      </c>
      <c r="E241" s="18">
        <f>E236*E236*(SUM((H229*E229*(1-E218/H218))/(H218-1),(H230*E230*(1-E219/H219))/(H219-1), (H232*E232*(1-E221/H221))/(H221-1),(H233*E233*(1-E222/H222))/(H222-1)))</f>
        <v>1853.996924698034</v>
      </c>
      <c r="F241" s="18">
        <f>F236*F236*(SUM((H229*F229*(1-F218/H218))/(H218-1),(H230*F230*(1-F219/H219))/(H219-1), (H231*F231*(1-F220/H220))/(H220-1),(H233*F233*(1-F222/H222))/(H222-1)))</f>
        <v>738.85420758423095</v>
      </c>
      <c r="G241" s="18">
        <f>G236*G236*(SUM((H229*G229*(1-G218/H218))/(H218-1),(H230*G230*(1-G219/H219))/(H219-1), (H231*G231*(1-G220/H220))/(H220-1),(H232*G232*(1-G221/H221))/(H221-1)))</f>
        <v>4432.0785455591549</v>
      </c>
      <c r="T241" s="57">
        <f>T124</f>
        <v>975.42000000000019</v>
      </c>
      <c r="U241" s="57">
        <f>U124</f>
        <v>249.87333333333333</v>
      </c>
      <c r="V241" s="57">
        <f>V124</f>
        <v>55487.202989093494</v>
      </c>
      <c r="W241" s="57">
        <f>W124</f>
        <v>19927.286707650273</v>
      </c>
      <c r="X241" s="57">
        <f>X124</f>
        <v>15006.536969922907</v>
      </c>
      <c r="AB241">
        <v>20</v>
      </c>
      <c r="AC241">
        <v>611</v>
      </c>
      <c r="AD241">
        <v>606</v>
      </c>
      <c r="AE241">
        <v>595</v>
      </c>
      <c r="AH241" s="78"/>
      <c r="AM241" s="78"/>
      <c r="AN241" s="78"/>
      <c r="BF241">
        <v>0.93956707332502198</v>
      </c>
      <c r="BG241" s="1">
        <v>178</v>
      </c>
      <c r="BH241">
        <f t="shared" si="42"/>
        <v>1.2108118029801551</v>
      </c>
      <c r="BI241">
        <f t="shared" si="43"/>
        <v>8.5750560624095334E-2</v>
      </c>
      <c r="BJ241">
        <f t="shared" si="41"/>
        <v>8.0568403281561118E-2</v>
      </c>
    </row>
    <row r="242" spans="1:62" x14ac:dyDescent="0.3">
      <c r="T242" s="57">
        <f>T134</f>
        <v>1060.3900000000001</v>
      </c>
      <c r="U242" s="57">
        <f>U134</f>
        <v>252.6333333333333</v>
      </c>
      <c r="V242" s="57">
        <f>V134</f>
        <v>54692.998034229975</v>
      </c>
      <c r="W242" s="57">
        <f>W134</f>
        <v>21351.114069899821</v>
      </c>
      <c r="X242" s="57">
        <f>X134</f>
        <v>14289.184562536879</v>
      </c>
      <c r="AB242">
        <v>21</v>
      </c>
      <c r="AC242">
        <v>640</v>
      </c>
      <c r="AD242">
        <v>635</v>
      </c>
      <c r="AE242">
        <v>624</v>
      </c>
      <c r="AI242" s="78"/>
      <c r="BF242">
        <v>0.93959039322898374</v>
      </c>
      <c r="BG242" s="1">
        <v>179</v>
      </c>
      <c r="BH242">
        <f t="shared" si="42"/>
        <v>1.2372884211694737</v>
      </c>
      <c r="BI242">
        <f t="shared" si="43"/>
        <v>8.7625653720789745E-2</v>
      </c>
      <c r="BJ242">
        <f t="shared" si="41"/>
        <v>8.2332222436463598E-2</v>
      </c>
    </row>
    <row r="243" spans="1:62" x14ac:dyDescent="0.3">
      <c r="T243" s="57">
        <f>T144</f>
        <v>962.46000000000015</v>
      </c>
      <c r="U243" s="57">
        <f>U144</f>
        <v>226.01333333333329</v>
      </c>
      <c r="V243" s="57">
        <f>V144</f>
        <v>54313.053867178474</v>
      </c>
      <c r="W243" s="57">
        <f>W144</f>
        <v>21178.713341302369</v>
      </c>
      <c r="X243" s="57">
        <f>X144</f>
        <v>14966.089458185819</v>
      </c>
      <c r="AB243">
        <v>22</v>
      </c>
      <c r="AC243">
        <v>669</v>
      </c>
      <c r="AD243">
        <v>664</v>
      </c>
      <c r="AE243">
        <v>653</v>
      </c>
      <c r="AH243" s="78"/>
      <c r="AM243" s="78"/>
      <c r="AN243" s="78"/>
      <c r="BF243">
        <v>0.93966581841790897</v>
      </c>
      <c r="BG243" s="1">
        <v>180</v>
      </c>
      <c r="BH243">
        <f t="shared" si="42"/>
        <v>1.2646620224523379</v>
      </c>
      <c r="BI243">
        <f t="shared" si="43"/>
        <v>8.9564271803739284E-2</v>
      </c>
      <c r="BJ243">
        <f t="shared" si="41"/>
        <v>8.4160484765464727E-2</v>
      </c>
    </row>
    <row r="244" spans="1:62" x14ac:dyDescent="0.3">
      <c r="A244" s="348">
        <v>1988</v>
      </c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 t="s">
        <v>81</v>
      </c>
      <c r="M244" s="348"/>
      <c r="N244" s="348"/>
      <c r="O244" s="348"/>
      <c r="P244" s="348"/>
      <c r="T244" s="57">
        <f>T154</f>
        <v>1092.44</v>
      </c>
      <c r="U244" s="57">
        <f>U154</f>
        <v>193.56000000000003</v>
      </c>
      <c r="V244" s="57">
        <f>V154</f>
        <v>55082.420162828072</v>
      </c>
      <c r="W244" s="57">
        <f>W154</f>
        <v>21126.287889344265</v>
      </c>
      <c r="X244" s="57">
        <f>X154</f>
        <v>14151.611947827676</v>
      </c>
      <c r="AB244">
        <v>23</v>
      </c>
      <c r="AC244">
        <v>698</v>
      </c>
      <c r="AD244">
        <v>693</v>
      </c>
      <c r="AE244">
        <v>682</v>
      </c>
      <c r="AI244" s="78"/>
      <c r="BF244">
        <v>0.93972854010297302</v>
      </c>
      <c r="BG244" s="1">
        <v>181</v>
      </c>
      <c r="BH244">
        <f t="shared" si="42"/>
        <v>1.2930175370911461</v>
      </c>
      <c r="BI244">
        <f t="shared" si="43"/>
        <v>9.1572429695063032E-2</v>
      </c>
      <c r="BJ244">
        <f t="shared" si="41"/>
        <v>8.605322567102372E-2</v>
      </c>
    </row>
    <row r="245" spans="1:62" x14ac:dyDescent="0.3">
      <c r="A245" t="s">
        <v>315</v>
      </c>
      <c r="B245" t="s">
        <v>21</v>
      </c>
      <c r="I245" s="1" t="s">
        <v>53</v>
      </c>
      <c r="O245" s="350" t="s">
        <v>377</v>
      </c>
      <c r="P245" s="350"/>
      <c r="T245" s="57">
        <f>T164</f>
        <v>979.74000000000012</v>
      </c>
      <c r="U245" s="57">
        <f>U164</f>
        <v>266.43333333333334</v>
      </c>
      <c r="V245" s="57">
        <f>V164</f>
        <v>54465.512378444168</v>
      </c>
      <c r="W245" s="57">
        <f>W164</f>
        <v>20841.33917691257</v>
      </c>
      <c r="X245" s="57">
        <f>X164</f>
        <v>15093.295111309939</v>
      </c>
      <c r="AB245">
        <v>24</v>
      </c>
      <c r="AC245">
        <v>727</v>
      </c>
      <c r="AD245">
        <v>722</v>
      </c>
      <c r="AE245">
        <v>711</v>
      </c>
      <c r="AH245" s="78"/>
      <c r="AM245" s="78"/>
      <c r="AN245" s="78"/>
      <c r="BF245">
        <v>0.94018172474934003</v>
      </c>
      <c r="BG245" s="1">
        <v>182</v>
      </c>
      <c r="BH245">
        <f t="shared" si="42"/>
        <v>1.3224526154698777</v>
      </c>
      <c r="BI245">
        <f t="shared" si="43"/>
        <v>9.3657043065016932E-2</v>
      </c>
      <c r="BJ245">
        <f t="shared" si="41"/>
        <v>8.8054640283790828E-2</v>
      </c>
    </row>
    <row r="246" spans="1:62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51</v>
      </c>
      <c r="O246" s="13" t="s">
        <v>644</v>
      </c>
      <c r="P246" s="13" t="s">
        <v>633</v>
      </c>
      <c r="T246" s="57">
        <f>T174</f>
        <v>1006.74</v>
      </c>
      <c r="U246" s="57">
        <f>U174</f>
        <v>291.99666666666661</v>
      </c>
      <c r="V246" s="57">
        <f>V174</f>
        <v>54523.568638882491</v>
      </c>
      <c r="W246" s="57">
        <f>W174</f>
        <v>20248.708583788703</v>
      </c>
      <c r="X246" s="57">
        <f>X174</f>
        <v>15575.296110662155</v>
      </c>
      <c r="AB246">
        <v>25</v>
      </c>
      <c r="AC246">
        <v>756</v>
      </c>
      <c r="AD246">
        <v>751</v>
      </c>
      <c r="AE246">
        <v>740</v>
      </c>
      <c r="AI246" s="78"/>
      <c r="BF246">
        <v>0.94039241050058953</v>
      </c>
      <c r="BG246" s="1">
        <v>183</v>
      </c>
      <c r="BH246">
        <f t="shared" si="42"/>
        <v>1.3530803497322956</v>
      </c>
      <c r="BI246">
        <f t="shared" si="43"/>
        <v>9.5826121180363974E-2</v>
      </c>
      <c r="BJ246">
        <f t="shared" si="41"/>
        <v>9.0114157085724081E-2</v>
      </c>
    </row>
    <row r="247" spans="1:62" x14ac:dyDescent="0.3">
      <c r="A247" t="s">
        <v>3</v>
      </c>
      <c r="B247" s="13">
        <v>0</v>
      </c>
      <c r="C247" s="26">
        <v>115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115</v>
      </c>
      <c r="I247" s="10">
        <f>C247/H247</f>
        <v>1</v>
      </c>
      <c r="J247" s="11">
        <f>1-I247</f>
        <v>0</v>
      </c>
      <c r="K247">
        <f>H247-C252</f>
        <v>0</v>
      </c>
      <c r="N247" s="10">
        <f>2*(C253*I247)/(C253+I247)</f>
        <v>1</v>
      </c>
      <c r="O247" s="1"/>
      <c r="P247" s="1"/>
      <c r="T247" s="57">
        <f>T184</f>
        <v>1044.19</v>
      </c>
      <c r="U247" s="57">
        <f>U184</f>
        <v>350.82800000000003</v>
      </c>
      <c r="V247" s="57">
        <f>V184</f>
        <v>54487.545358924028</v>
      </c>
      <c r="W247" s="57">
        <f>W184</f>
        <v>21156.884030054644</v>
      </c>
      <c r="X247" s="57">
        <f>X184</f>
        <v>14606.862611021317</v>
      </c>
      <c r="AB247">
        <v>26</v>
      </c>
      <c r="AC247">
        <v>785</v>
      </c>
      <c r="AD247">
        <v>780</v>
      </c>
      <c r="AE247">
        <v>769</v>
      </c>
      <c r="AH247" s="78"/>
      <c r="AM247" s="78"/>
      <c r="AN247" s="78"/>
      <c r="BF247">
        <v>0.94048648978860905</v>
      </c>
      <c r="BG247" s="1">
        <v>184</v>
      </c>
      <c r="BH247">
        <f t="shared" si="42"/>
        <v>1.3850327712601831</v>
      </c>
      <c r="BI247">
        <f t="shared" si="43"/>
        <v>9.8089014598292334E-2</v>
      </c>
      <c r="BJ247">
        <f t="shared" si="41"/>
        <v>9.2251393026371586E-2</v>
      </c>
    </row>
    <row r="248" spans="1:62" x14ac:dyDescent="0.3">
      <c r="A248" t="s">
        <v>4</v>
      </c>
      <c r="B248" s="13">
        <v>1</v>
      </c>
      <c r="C248" s="5">
        <v>0</v>
      </c>
      <c r="D248" s="27">
        <v>6</v>
      </c>
      <c r="E248" s="1">
        <v>9</v>
      </c>
      <c r="F248" s="1">
        <v>0</v>
      </c>
      <c r="G248" s="6">
        <v>0</v>
      </c>
      <c r="H248" s="1">
        <f>SUM(C248:G248)</f>
        <v>15</v>
      </c>
      <c r="I248" s="10">
        <f>D248/H248</f>
        <v>0.4</v>
      </c>
      <c r="J248" s="11">
        <f>1-I248</f>
        <v>0.6</v>
      </c>
      <c r="K248">
        <f>H248-D252</f>
        <v>9</v>
      </c>
      <c r="N248" s="10">
        <f>2*(D253*I248)/(D253+I248)</f>
        <v>0.57142857142857151</v>
      </c>
      <c r="O248" s="1"/>
      <c r="P248" s="1"/>
      <c r="T248" s="57">
        <f>T194</f>
        <v>1033.03</v>
      </c>
      <c r="U248" s="57">
        <f>U194</f>
        <v>257.07333333333332</v>
      </c>
      <c r="V248" s="57">
        <f>V194</f>
        <v>54366.910241283767</v>
      </c>
      <c r="W248" s="57">
        <f>W194</f>
        <v>20994.78433970856</v>
      </c>
      <c r="X248" s="57">
        <f>X194</f>
        <v>14994.522085674338</v>
      </c>
      <c r="AB248">
        <v>27</v>
      </c>
      <c r="AC248">
        <v>814</v>
      </c>
      <c r="AD248">
        <v>809</v>
      </c>
      <c r="AE248">
        <v>798</v>
      </c>
      <c r="AI248" s="78"/>
      <c r="BF248">
        <v>0.94055108914757302</v>
      </c>
      <c r="BG248" s="1">
        <v>185</v>
      </c>
      <c r="BH248">
        <f t="shared" si="42"/>
        <v>1.4184654072104084</v>
      </c>
      <c r="BI248">
        <f t="shared" si="43"/>
        <v>0.10045673786363954</v>
      </c>
      <c r="BJ248">
        <f t="shared" si="41"/>
        <v>9.4484694209858403E-2</v>
      </c>
    </row>
    <row r="249" spans="1:62" x14ac:dyDescent="0.3">
      <c r="A249" t="s">
        <v>5</v>
      </c>
      <c r="B249" s="13">
        <v>2</v>
      </c>
      <c r="C249" s="5">
        <v>0</v>
      </c>
      <c r="D249" s="1">
        <v>0</v>
      </c>
      <c r="E249" s="27">
        <v>140</v>
      </c>
      <c r="F249" s="1">
        <v>0</v>
      </c>
      <c r="G249" s="6">
        <v>2</v>
      </c>
      <c r="H249" s="1">
        <f>SUM(C249:G249)</f>
        <v>142</v>
      </c>
      <c r="I249" s="10">
        <f>E249/H249</f>
        <v>0.9859154929577465</v>
      </c>
      <c r="J249" s="11">
        <f>1-I249</f>
        <v>1.4084507042253502E-2</v>
      </c>
      <c r="K249">
        <f>H249-E252</f>
        <v>-32</v>
      </c>
      <c r="N249" s="10">
        <f>2*(E253*I249)/(E253+I249)</f>
        <v>0.88607594936708867</v>
      </c>
      <c r="O249" s="1"/>
      <c r="P249" s="1"/>
      <c r="T249" s="57">
        <f>T204</f>
        <v>1018.2700000000001</v>
      </c>
      <c r="U249" s="57">
        <f>U204</f>
        <v>330.09199999999998</v>
      </c>
      <c r="V249" s="57">
        <f>V204</f>
        <v>54695.240930969238</v>
      </c>
      <c r="W249" s="57">
        <f>W204</f>
        <v>21729.413968579232</v>
      </c>
      <c r="X249" s="57">
        <f>X204</f>
        <v>13873.303100451525</v>
      </c>
      <c r="AB249">
        <v>28</v>
      </c>
      <c r="AC249">
        <v>843</v>
      </c>
      <c r="AD249">
        <v>838</v>
      </c>
      <c r="AE249">
        <v>827</v>
      </c>
      <c r="AH249" s="78"/>
      <c r="AM249" s="78"/>
      <c r="AN249" s="78"/>
      <c r="BF249">
        <v>0.94078014228695594</v>
      </c>
      <c r="BG249" s="1">
        <v>186</v>
      </c>
      <c r="BH249">
        <f t="shared" si="42"/>
        <v>1.4535633083711834</v>
      </c>
      <c r="BI249">
        <f t="shared" si="43"/>
        <v>0.10294239640599756</v>
      </c>
      <c r="BJ249">
        <f t="shared" si="41"/>
        <v>9.6846162338194611E-2</v>
      </c>
    </row>
    <row r="250" spans="1:62" x14ac:dyDescent="0.3">
      <c r="A250" t="s">
        <v>6</v>
      </c>
      <c r="B250" s="13">
        <v>3</v>
      </c>
      <c r="C250" s="5">
        <v>0</v>
      </c>
      <c r="D250" s="1">
        <v>0</v>
      </c>
      <c r="E250" s="1">
        <v>5</v>
      </c>
      <c r="F250" s="27">
        <v>129</v>
      </c>
      <c r="G250" s="6">
        <v>10</v>
      </c>
      <c r="H250" s="1">
        <f>SUM(C250:G250)</f>
        <v>144</v>
      </c>
      <c r="I250" s="10">
        <f>F250/H250</f>
        <v>0.89583333333333337</v>
      </c>
      <c r="J250" s="11">
        <f>1-I250</f>
        <v>0.10416666666666663</v>
      </c>
      <c r="K250">
        <f>H250-F252</f>
        <v>-6</v>
      </c>
      <c r="N250" s="10">
        <f>2*(F253*I250)/(F253+I250)</f>
        <v>0.87755102040816324</v>
      </c>
      <c r="O250" s="1"/>
      <c r="P250" s="1"/>
      <c r="T250" s="57">
        <f>T214</f>
        <v>1122.68</v>
      </c>
      <c r="U250" s="57">
        <f>U214</f>
        <v>397.20399999999995</v>
      </c>
      <c r="V250" s="57">
        <f>V214</f>
        <v>54715.553471106243</v>
      </c>
      <c r="W250" s="57">
        <f>W214</f>
        <v>21952.469312386154</v>
      </c>
      <c r="X250" s="57">
        <f>X214</f>
        <v>13458.413216507608</v>
      </c>
      <c r="AB250">
        <v>29</v>
      </c>
      <c r="AC250">
        <v>872</v>
      </c>
      <c r="AD250">
        <v>867</v>
      </c>
      <c r="AE250">
        <v>856</v>
      </c>
      <c r="AI250" s="78"/>
      <c r="BF250">
        <v>0.94084561104560105</v>
      </c>
      <c r="BG250" s="1">
        <v>187</v>
      </c>
      <c r="BH250">
        <f t="shared" si="42"/>
        <v>1.490549161785536</v>
      </c>
      <c r="BI250">
        <f t="shared" si="43"/>
        <v>0.10556176108152784</v>
      </c>
      <c r="BJ250">
        <f t="shared" si="41"/>
        <v>9.9317319607799812E-2</v>
      </c>
    </row>
    <row r="251" spans="1:62" x14ac:dyDescent="0.3">
      <c r="A251" t="s">
        <v>7</v>
      </c>
      <c r="B251" s="13">
        <v>4</v>
      </c>
      <c r="C251" s="7">
        <v>0</v>
      </c>
      <c r="D251" s="8">
        <v>0</v>
      </c>
      <c r="E251" s="8">
        <v>20</v>
      </c>
      <c r="F251" s="8">
        <v>21</v>
      </c>
      <c r="G251" s="28">
        <v>203</v>
      </c>
      <c r="H251" s="1">
        <f>SUM(C251:G251)</f>
        <v>244</v>
      </c>
      <c r="I251" s="10">
        <f>G251/H251</f>
        <v>0.83196721311475408</v>
      </c>
      <c r="J251" s="11">
        <f>1-I251</f>
        <v>0.16803278688524592</v>
      </c>
      <c r="K251">
        <f>H251-G252</f>
        <v>29</v>
      </c>
      <c r="N251" s="10">
        <f>2*(G253*I251)/(G253+I251)</f>
        <v>0.88453159041394336</v>
      </c>
      <c r="O251" s="1"/>
      <c r="P251" s="1"/>
      <c r="AH251" s="78"/>
      <c r="AM251" s="78"/>
      <c r="AN251" s="78"/>
      <c r="BF251">
        <v>0.94085148511392602</v>
      </c>
      <c r="BG251" s="1">
        <v>188</v>
      </c>
      <c r="BH251">
        <f t="shared" si="42"/>
        <v>1.5296944238710337</v>
      </c>
      <c r="BI251">
        <f t="shared" si="43"/>
        <v>0.10833405662848791</v>
      </c>
      <c r="BJ251">
        <f t="shared" si="41"/>
        <v>0.10192625806732901</v>
      </c>
    </row>
    <row r="252" spans="1:62" ht="15.6" x14ac:dyDescent="0.35">
      <c r="B252" s="1" t="s">
        <v>19</v>
      </c>
      <c r="C252" s="1">
        <f>SUM(C247:C251)</f>
        <v>115</v>
      </c>
      <c r="D252" s="1">
        <f>SUM(D247:D251)</f>
        <v>6</v>
      </c>
      <c r="E252" s="1">
        <f>SUM(E247:E251)</f>
        <v>174</v>
      </c>
      <c r="F252" s="1">
        <f>SUM(F247:F251)</f>
        <v>150</v>
      </c>
      <c r="G252" s="1">
        <f>SUM(G247:G251)</f>
        <v>215</v>
      </c>
      <c r="H252" s="1">
        <f>SUM(H246:H251)</f>
        <v>660</v>
      </c>
      <c r="I252" s="13" t="s">
        <v>12</v>
      </c>
      <c r="N252" s="16" t="s">
        <v>36</v>
      </c>
      <c r="O252" s="1">
        <f>SUM(O247:O251)</f>
        <v>0</v>
      </c>
      <c r="P252" s="1">
        <f>SUM(P247:P251)</f>
        <v>0</v>
      </c>
      <c r="AI252" s="78"/>
      <c r="BF252">
        <v>0.94089329128501098</v>
      </c>
      <c r="BG252" s="1">
        <v>189</v>
      </c>
      <c r="BH252">
        <f t="shared" si="42"/>
        <v>1.571334942107838</v>
      </c>
      <c r="BI252">
        <f t="shared" si="43"/>
        <v>0.11128306800638769</v>
      </c>
      <c r="BJ252">
        <f t="shared" si="41"/>
        <v>0.10470549212082382</v>
      </c>
    </row>
    <row r="253" spans="1:62" x14ac:dyDescent="0.3">
      <c r="A253" s="1" t="s">
        <v>316</v>
      </c>
      <c r="B253" s="1" t="s">
        <v>2</v>
      </c>
      <c r="C253" s="10">
        <f>C247/C252</f>
        <v>1</v>
      </c>
      <c r="D253" s="10">
        <f>D248/D252</f>
        <v>1</v>
      </c>
      <c r="E253" s="10">
        <f>E249/E252</f>
        <v>0.8045977011494253</v>
      </c>
      <c r="F253" s="10">
        <f>F250/F252</f>
        <v>0.86</v>
      </c>
      <c r="G253" s="10">
        <f>G251/G252</f>
        <v>0.94418604651162785</v>
      </c>
      <c r="H253" s="10"/>
      <c r="I253" s="14">
        <f>(C247+D248+E249+F250+G251)/H252</f>
        <v>0.89848484848484844</v>
      </c>
      <c r="AH253" s="78"/>
      <c r="AM253" s="78"/>
      <c r="AN253" s="78"/>
      <c r="BF253">
        <v>0.94089455689143298</v>
      </c>
      <c r="BG253" s="1">
        <v>190</v>
      </c>
      <c r="BH253">
        <f t="shared" si="42"/>
        <v>1.6158934440722883</v>
      </c>
      <c r="BI253">
        <f t="shared" si="43"/>
        <v>0.11443873308548347</v>
      </c>
      <c r="BJ253">
        <f t="shared" si="41"/>
        <v>0.10767478105768294</v>
      </c>
    </row>
    <row r="254" spans="1:62" x14ac:dyDescent="0.3">
      <c r="B254" s="1" t="s">
        <v>14</v>
      </c>
      <c r="C254" s="11">
        <f>1-C253</f>
        <v>0</v>
      </c>
      <c r="D254" s="11">
        <f>1-D253</f>
        <v>0</v>
      </c>
      <c r="E254" s="11">
        <f>1-E253</f>
        <v>0.1954022988505747</v>
      </c>
      <c r="F254" s="11">
        <f>1-F253</f>
        <v>0.14000000000000001</v>
      </c>
      <c r="G254" s="11">
        <f>1-G253</f>
        <v>5.5813953488372148E-2</v>
      </c>
      <c r="AI254" s="78"/>
      <c r="BF254">
        <v>0.941365012111127</v>
      </c>
      <c r="BG254" s="1">
        <v>191</v>
      </c>
      <c r="BH254">
        <f t="shared" si="42"/>
        <v>1.6639128949712361</v>
      </c>
      <c r="BI254">
        <f t="shared" si="43"/>
        <v>0.11783950505129283</v>
      </c>
      <c r="BJ254">
        <f t="shared" si="41"/>
        <v>0.11092998709977948</v>
      </c>
    </row>
    <row r="255" spans="1:62" x14ac:dyDescent="0.3">
      <c r="C255" s="2"/>
      <c r="AH255" s="78"/>
      <c r="AM255" s="78"/>
      <c r="AN255" s="78"/>
      <c r="BF255">
        <v>0.94197013743134195</v>
      </c>
      <c r="BG255" s="1">
        <v>192</v>
      </c>
      <c r="BH255">
        <f t="shared" si="42"/>
        <v>1.7161077551573309</v>
      </c>
      <c r="BI255">
        <f t="shared" si="43"/>
        <v>0.12153598249860366</v>
      </c>
      <c r="BJ255">
        <f t="shared" si="41"/>
        <v>0.11448326613706286</v>
      </c>
    </row>
    <row r="256" spans="1:62" ht="15.6" x14ac:dyDescent="0.35">
      <c r="A256" t="s">
        <v>317</v>
      </c>
      <c r="B256" s="15" t="s">
        <v>23</v>
      </c>
      <c r="N256" s="12" t="s">
        <v>17</v>
      </c>
      <c r="O256" s="1" t="s">
        <v>27</v>
      </c>
      <c r="P256" s="1" t="s">
        <v>33</v>
      </c>
      <c r="AI256" s="78"/>
      <c r="BF256">
        <v>0.94206669750212801</v>
      </c>
      <c r="BG256" s="1">
        <v>193</v>
      </c>
      <c r="BH256">
        <f t="shared" si="42"/>
        <v>1.7734461562988943</v>
      </c>
      <c r="BI256">
        <f t="shared" si="43"/>
        <v>0.12559672920678464</v>
      </c>
      <c r="BJ256">
        <f t="shared" si="41"/>
        <v>0.11832049590090467</v>
      </c>
    </row>
    <row r="257" spans="1:62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H257" s="78"/>
      <c r="AM257" s="78"/>
      <c r="AN257" s="78"/>
      <c r="BF257">
        <v>0.94216126464846295</v>
      </c>
      <c r="BG257" s="1">
        <v>194</v>
      </c>
      <c r="BH257">
        <f t="shared" si="42"/>
        <v>1.8372886748302386</v>
      </c>
      <c r="BI257">
        <f t="shared" si="43"/>
        <v>0.13011810217510436</v>
      </c>
      <c r="BJ257">
        <f t="shared" ref="BJ257:BJ263" si="50">BI257*BF257</f>
        <v>0.12259223569895424</v>
      </c>
    </row>
    <row r="258" spans="1:62" x14ac:dyDescent="0.3">
      <c r="A258" t="s">
        <v>3</v>
      </c>
      <c r="B258" s="13">
        <v>0</v>
      </c>
      <c r="C258" s="29">
        <f>(C247/$L258)*$O258</f>
        <v>1.07100875092516</v>
      </c>
      <c r="D258" s="31">
        <f>(D247/$L258)*$O258</f>
        <v>0</v>
      </c>
      <c r="E258" s="31">
        <f>(E247/$L258)*$O258</f>
        <v>0</v>
      </c>
      <c r="F258" s="31">
        <f>(F247/$L258)*$O258</f>
        <v>0</v>
      </c>
      <c r="G258" s="32">
        <f>(G247/$L258)*$O258</f>
        <v>0</v>
      </c>
      <c r="H258" s="17">
        <f>SUM(C258:G258)</f>
        <v>1.07100875092516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115</v>
      </c>
      <c r="M258">
        <v>0</v>
      </c>
      <c r="N258" s="1">
        <v>981.54</v>
      </c>
      <c r="O258" s="17">
        <f>N258/N263*100</f>
        <v>1.07100875092516</v>
      </c>
      <c r="P258" s="52">
        <f>((O258*O258*(I258/100)*(K258/100))/(L258-1))</f>
        <v>0</v>
      </c>
      <c r="AI258" s="78"/>
      <c r="BF258">
        <v>0.94237773179756301</v>
      </c>
      <c r="BG258" s="1">
        <v>195</v>
      </c>
      <c r="BH258">
        <f t="shared" si="42"/>
        <v>1.9096384934921886</v>
      </c>
      <c r="BI258">
        <f t="shared" si="43"/>
        <v>0.13524196824251794</v>
      </c>
      <c r="BJ258">
        <f t="shared" si="50"/>
        <v>0.1274490192762221</v>
      </c>
    </row>
    <row r="259" spans="1:62" x14ac:dyDescent="0.3">
      <c r="A259" t="s">
        <v>4</v>
      </c>
      <c r="B259" s="13">
        <v>1</v>
      </c>
      <c r="C259" s="33">
        <f t="shared" ref="C259:G262" si="51">(C248/$L259)*$O259</f>
        <v>0</v>
      </c>
      <c r="D259" s="34">
        <f t="shared" si="51"/>
        <v>0.36630389155875454</v>
      </c>
      <c r="E259" s="19">
        <f t="shared" si="51"/>
        <v>0.54945583733813175</v>
      </c>
      <c r="F259" s="18">
        <f t="shared" si="51"/>
        <v>0</v>
      </c>
      <c r="G259" s="20">
        <f t="shared" si="51"/>
        <v>0</v>
      </c>
      <c r="H259" s="17">
        <f>SUM(C259:G259)</f>
        <v>0.91575972889688628</v>
      </c>
      <c r="I259" s="17">
        <f>D259/H259*100</f>
        <v>40</v>
      </c>
      <c r="J259" s="17">
        <f>SQRT(I259*(100-I259)/(L259-1))</f>
        <v>13.093073414159543</v>
      </c>
      <c r="K259" s="18">
        <f>100-I259</f>
        <v>60</v>
      </c>
      <c r="L259" s="1">
        <f>H248</f>
        <v>15</v>
      </c>
      <c r="M259">
        <v>1</v>
      </c>
      <c r="N259" s="1">
        <v>839.26</v>
      </c>
      <c r="O259" s="17">
        <f>N259/N263*100</f>
        <v>0.91575972889688628</v>
      </c>
      <c r="P259" s="52">
        <f>((O259*O259*(I259/100)*(K259/100))/(L259-1))</f>
        <v>1.4376272246902261E-2</v>
      </c>
      <c r="AH259" s="78"/>
      <c r="AM259" s="78"/>
      <c r="AN259" s="78"/>
      <c r="BF259">
        <v>0.94321335429016095</v>
      </c>
      <c r="BG259" s="1">
        <v>196</v>
      </c>
      <c r="BH259">
        <f>_xlfn.NORM.S.INV((BG259-0.375)/($BI$61+0.25))</f>
        <v>1.9936322372681397</v>
      </c>
      <c r="BI259">
        <f>BH259/SQRT($BL$65)</f>
        <v>0.14119046544082486</v>
      </c>
      <c r="BJ259">
        <f t="shared" si="50"/>
        <v>0.13317273250222947</v>
      </c>
    </row>
    <row r="260" spans="1:62" x14ac:dyDescent="0.3">
      <c r="A260" t="s">
        <v>5</v>
      </c>
      <c r="B260" s="13">
        <v>2</v>
      </c>
      <c r="C260" s="33">
        <f t="shared" si="51"/>
        <v>0</v>
      </c>
      <c r="D260" s="19">
        <f t="shared" si="51"/>
        <v>0</v>
      </c>
      <c r="E260" s="34">
        <f t="shared" si="51"/>
        <v>56.954290504225227</v>
      </c>
      <c r="F260" s="19">
        <f t="shared" si="51"/>
        <v>0</v>
      </c>
      <c r="G260" s="20">
        <f t="shared" si="51"/>
        <v>0.81363272148893184</v>
      </c>
      <c r="H260" s="17">
        <f>SUM(C260:G260)</f>
        <v>57.767923225714156</v>
      </c>
      <c r="I260" s="17">
        <f>E260/H260*100</f>
        <v>98.591549295774655</v>
      </c>
      <c r="J260" s="17">
        <f>SQRT(I260*(100-I260)/(L260-1))</f>
        <v>0.99238711073976715</v>
      </c>
      <c r="K260" s="18">
        <f>100-I260</f>
        <v>1.4084507042253449</v>
      </c>
      <c r="L260" s="1">
        <f>H249</f>
        <v>142</v>
      </c>
      <c r="M260">
        <v>2</v>
      </c>
      <c r="N260" s="1">
        <v>52942.17</v>
      </c>
      <c r="O260" s="17">
        <f>N260/N263*100</f>
        <v>57.767923225714156</v>
      </c>
      <c r="P260" s="52">
        <f>((O260*O260*(I260/100)*(K260/100))/(L260-1))</f>
        <v>0.32865159137179967</v>
      </c>
      <c r="AI260" s="78"/>
      <c r="BF260">
        <v>0.94348705264572319</v>
      </c>
      <c r="BG260" s="1">
        <v>197</v>
      </c>
      <c r="BH260">
        <f>_xlfn.NORM.S.INV((BG260-0.375)/($BI$61+0.25))</f>
        <v>2.0946204699384201</v>
      </c>
      <c r="BI260">
        <f>BH260/SQRT($BL$65)</f>
        <v>0.14834252453588728</v>
      </c>
      <c r="BJ260">
        <f t="shared" si="50"/>
        <v>0.13995925125639017</v>
      </c>
    </row>
    <row r="261" spans="1:62" x14ac:dyDescent="0.3">
      <c r="A261" t="s">
        <v>6</v>
      </c>
      <c r="B261" s="13">
        <v>3</v>
      </c>
      <c r="C261" s="33">
        <f t="shared" si="51"/>
        <v>0</v>
      </c>
      <c r="D261" s="19">
        <f t="shared" si="51"/>
        <v>0</v>
      </c>
      <c r="E261" s="19">
        <f t="shared" si="51"/>
        <v>0.88097935360893898</v>
      </c>
      <c r="F261" s="34">
        <f t="shared" si="51"/>
        <v>22.729267323110626</v>
      </c>
      <c r="G261" s="20">
        <f t="shared" si="51"/>
        <v>1.761958707217878</v>
      </c>
      <c r="H261" s="17">
        <f>SUM(C261:G261)</f>
        <v>25.372205383937445</v>
      </c>
      <c r="I261" s="17">
        <f>F261/H261*100</f>
        <v>89.583333333333329</v>
      </c>
      <c r="J261" s="17">
        <f>SQRT(I261*(100-I261)/(L261-1))</f>
        <v>2.55452392102569</v>
      </c>
      <c r="K261" s="18">
        <f>100-I261</f>
        <v>10.416666666666671</v>
      </c>
      <c r="L261" s="1">
        <f>H250</f>
        <v>144</v>
      </c>
      <c r="M261">
        <v>3</v>
      </c>
      <c r="N261" s="1">
        <v>23252.69</v>
      </c>
      <c r="O261" s="17">
        <f>N261/N263*100</f>
        <v>25.372205383937441</v>
      </c>
      <c r="P261" s="52">
        <f>((O261*O261*(I261/100)*(K261/100))/(L261-1))</f>
        <v>0.42008423568500941</v>
      </c>
      <c r="AH261" s="78"/>
      <c r="AM261" s="78"/>
      <c r="AN261" s="78"/>
      <c r="BF261">
        <v>0.94395897458018896</v>
      </c>
      <c r="BG261" s="1">
        <v>198</v>
      </c>
      <c r="BH261">
        <f>_xlfn.NORM.S.INV((BG261-0.375)/($BI$61+0.25))</f>
        <v>2.2229788158905439</v>
      </c>
      <c r="BI261">
        <f>BH261/SQRT($BL$65)</f>
        <v>0.15743295469116433</v>
      </c>
      <c r="BJ261">
        <f t="shared" si="50"/>
        <v>0.14861025047540083</v>
      </c>
    </row>
    <row r="262" spans="1:62" x14ac:dyDescent="0.3">
      <c r="A262" t="s">
        <v>7</v>
      </c>
      <c r="B262" s="13">
        <v>4</v>
      </c>
      <c r="C262" s="35">
        <f t="shared" si="51"/>
        <v>0</v>
      </c>
      <c r="D262" s="36">
        <f t="shared" si="51"/>
        <v>0</v>
      </c>
      <c r="E262" s="21">
        <f t="shared" si="51"/>
        <v>1.2191067959447826</v>
      </c>
      <c r="F262" s="21">
        <f t="shared" si="51"/>
        <v>1.2800621357420219</v>
      </c>
      <c r="G262" s="37">
        <f t="shared" si="51"/>
        <v>12.373933978839544</v>
      </c>
      <c r="H262" s="17">
        <f>SUM(C262:G262)</f>
        <v>14.873102910526349</v>
      </c>
      <c r="I262" s="17">
        <f>G262/H262*100</f>
        <v>83.196721311475414</v>
      </c>
      <c r="J262" s="17">
        <f>SQRT(I262*(100-I262)/(L262-1))</f>
        <v>2.398540103105788</v>
      </c>
      <c r="K262" s="18">
        <f>100-I262</f>
        <v>16.803278688524586</v>
      </c>
      <c r="L262" s="1">
        <f>H251</f>
        <v>244</v>
      </c>
      <c r="M262">
        <v>4</v>
      </c>
      <c r="N262" s="1">
        <v>13630.65</v>
      </c>
      <c r="O262" s="17">
        <f>N262/N263*100</f>
        <v>14.873102910526349</v>
      </c>
      <c r="P262" s="52">
        <f>((O262*O262*(I262/100)*(K262/100))/(L262-1))</f>
        <v>0.127261528241397</v>
      </c>
      <c r="AI262" s="78"/>
      <c r="BF262">
        <v>0.94425700537282797</v>
      </c>
      <c r="BG262" s="27">
        <v>199</v>
      </c>
      <c r="BH262" s="84">
        <f>_xlfn.NORM.S.INV((BG262-0.375)/($BI$61+0.25))</f>
        <v>2.4037084127855812</v>
      </c>
      <c r="BI262" s="84">
        <f>-3.562633*($BL$63)^5+5.682633*($BL$63)^4-1.752461*($BL$63)^3-0.293762*($BL$63)^2+0.042981*$BL$63+BH262*($BL$64^-0.5)</f>
        <v>0.17254128536790717</v>
      </c>
      <c r="BJ262">
        <f t="shared" si="50"/>
        <v>0.16292331742467855</v>
      </c>
    </row>
    <row r="263" spans="1:62" x14ac:dyDescent="0.3">
      <c r="B263" t="s">
        <v>28</v>
      </c>
      <c r="C263" s="17">
        <f>SUM(C258:C262)</f>
        <v>1.07100875092516</v>
      </c>
      <c r="D263" s="17">
        <f>SUM(D258:D262)</f>
        <v>0.36630389155875454</v>
      </c>
      <c r="E263" s="17">
        <f>SUM(E258:E262)</f>
        <v>59.603832491117075</v>
      </c>
      <c r="F263" s="17">
        <f>SUM(F258:F262)</f>
        <v>24.009329458852648</v>
      </c>
      <c r="G263" s="17">
        <f>SUM(G258:G262)</f>
        <v>14.949525407546354</v>
      </c>
      <c r="H263" s="1">
        <f>SUM(H257:H262)</f>
        <v>100</v>
      </c>
      <c r="I263" s="13" t="s">
        <v>24</v>
      </c>
      <c r="J263" s="12" t="s">
        <v>29</v>
      </c>
      <c r="N263" s="1">
        <f>SUM(N258:N262)</f>
        <v>91646.31</v>
      </c>
      <c r="O263" s="17">
        <f>SUM(O258:O262)</f>
        <v>100</v>
      </c>
      <c r="AH263" s="78"/>
      <c r="AM263" s="78"/>
      <c r="AN263" s="78"/>
      <c r="BF263">
        <v>0.94451934087813605</v>
      </c>
      <c r="BG263" s="27">
        <v>200</v>
      </c>
      <c r="BH263" s="84">
        <f>_xlfn.NORM.S.INV((BG263-0.375)/($BI$61+0.25))</f>
        <v>2.7347800424613049</v>
      </c>
      <c r="BI263" s="84">
        <f>-2.70605*($BL$63)^5+4.4334685*($BL$63)^4-2.07119*($BL$63)^3-0.147981*($BL$63)^2+0.221157*$BL$63+BH263*($BL$64^-0.5)</f>
        <v>0.20934182212459215</v>
      </c>
      <c r="BJ263">
        <f t="shared" si="50"/>
        <v>0.19772739985134777</v>
      </c>
    </row>
    <row r="264" spans="1:62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0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0.11583546131089899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0.74686689938052908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0.69891215504087256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0.86137560882399833</v>
      </c>
      <c r="H264" s="1"/>
      <c r="I264" s="56">
        <f>(C258+D259+E260+F261+G262)/H263</f>
        <v>0.93494804448659319</v>
      </c>
      <c r="J264" s="53">
        <f>SQRT(SUM(P258:P262))/100</f>
        <v>9.4359611463014637E-3</v>
      </c>
      <c r="M264" s="1"/>
      <c r="N264" s="9"/>
      <c r="AI264" s="78"/>
      <c r="BI264" t="s">
        <v>342</v>
      </c>
      <c r="BJ264">
        <f>SUM(BJ64:BJ263)</f>
        <v>7.0913190082785182E-2</v>
      </c>
    </row>
    <row r="265" spans="1:62" x14ac:dyDescent="0.3">
      <c r="B265" s="1" t="s">
        <v>30</v>
      </c>
      <c r="C265" s="17">
        <f>C258/C263*100</f>
        <v>100</v>
      </c>
      <c r="D265" s="17">
        <f>D259/D263*100</f>
        <v>100</v>
      </c>
      <c r="E265" s="17">
        <f>E260/E263*100</f>
        <v>95.55474559914127</v>
      </c>
      <c r="F265" s="17">
        <f>F261/F263*100</f>
        <v>94.668480275820272</v>
      </c>
      <c r="G265" s="17">
        <f>G262/G263*100</f>
        <v>82.77141676078439</v>
      </c>
      <c r="H265" s="1"/>
      <c r="AH265" s="78"/>
      <c r="AM265" s="78"/>
      <c r="AN265" s="78"/>
    </row>
    <row r="266" spans="1:62" x14ac:dyDescent="0.3">
      <c r="B266" s="16" t="s">
        <v>39</v>
      </c>
      <c r="C266" s="18">
        <f>SQRT((C269+C270)/(C263*C263))</f>
        <v>0</v>
      </c>
      <c r="D266" s="18">
        <f>SQRT((D269+D270)/(D263*D263))</f>
        <v>0</v>
      </c>
      <c r="E266" s="18">
        <f>SQRT((E269+E270)/(E263*E263))</f>
        <v>0.88521006550004788</v>
      </c>
      <c r="F266" s="18">
        <f>SQRT((F269+F270)/(F263*F263))</f>
        <v>1.784577599452204</v>
      </c>
      <c r="G266" s="18">
        <f>SQRT((G269+G270)/(G263*G263))</f>
        <v>5.9912458216594375</v>
      </c>
      <c r="H266" s="1"/>
      <c r="I266" s="14"/>
      <c r="AI266" s="78"/>
    </row>
    <row r="267" spans="1:62" x14ac:dyDescent="0.3">
      <c r="B267" s="1" t="s">
        <v>37</v>
      </c>
      <c r="C267" s="18">
        <f>100-C265</f>
        <v>0</v>
      </c>
      <c r="D267" s="18">
        <f>100-D265</f>
        <v>0</v>
      </c>
      <c r="E267" s="18">
        <f>100-E265</f>
        <v>4.4452544008587296</v>
      </c>
      <c r="F267" s="18">
        <f>100-F265</f>
        <v>5.3315197241797279</v>
      </c>
      <c r="G267" s="18">
        <f>100-G265</f>
        <v>17.22858323921561</v>
      </c>
      <c r="AH267" s="78"/>
      <c r="AM267" s="78"/>
      <c r="AN267" s="78"/>
    </row>
    <row r="268" spans="1:62" ht="15.6" x14ac:dyDescent="0.35">
      <c r="B268" s="1" t="s">
        <v>25</v>
      </c>
      <c r="C268" s="1">
        <f>C252</f>
        <v>115</v>
      </c>
      <c r="D268" s="1">
        <f>D252</f>
        <v>6</v>
      </c>
      <c r="E268" s="1">
        <f>E252</f>
        <v>174</v>
      </c>
      <c r="F268" s="1">
        <f>F252</f>
        <v>150</v>
      </c>
      <c r="G268" s="1">
        <f>G252</f>
        <v>215</v>
      </c>
      <c r="AI268" s="78"/>
    </row>
    <row r="269" spans="1:62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0</v>
      </c>
      <c r="E269" s="18">
        <f>(O260*O260*(100-E265)*(100-E265)*(I260)*(100-I260))/((L260-1)*100)</f>
        <v>649.42496660904999</v>
      </c>
      <c r="F269" s="18">
        <f>(O261*O261*(100-F265)*(100-F265)*(I261)*(100-I261))/((L261-1)*100)</f>
        <v>1194.0937487099732</v>
      </c>
      <c r="G269" s="18">
        <f>(O262*O262*(100-G265)*(100-G265)*(I262)*(100-I262))/((L262-1)*100)</f>
        <v>3777.4286094443078</v>
      </c>
      <c r="AH269" s="78"/>
      <c r="AM269" s="78"/>
      <c r="AN269" s="78"/>
    </row>
    <row r="270" spans="1:62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0</v>
      </c>
      <c r="E270" s="18">
        <f>E265*E265*(SUM((H258*E258*(1-E247/H247))/(H247-1),(H259*E259*(1-E248/H248))/(H248-1), (H261*E261*(1-E250/H250))/(H250-1),(H262*E262*(1-E251/H251))/(H251-1)))</f>
        <v>2134.3944401986355</v>
      </c>
      <c r="F270" s="18">
        <f>F265*F265*(SUM((H258*F258*(1-F247/H247))/(H247-1),(H259*F259*(1-F248/H248))/(H248-1), (H260*F260*(1-F249/H249))/(H249-1),(H262*F262*(1-F251/H251))/(H251-1)))</f>
        <v>641.72980159213307</v>
      </c>
      <c r="G270" s="18">
        <f>G265*G265*(SUM((H258*G258*(1-G247/H247))/(H247-1),(H259*G259*(1-G248/H248))/(H248-1), (H260*G260*(1-G249/H249))/(H249-1),(H261*G261*(1-G250/H250))/(H250-1)))</f>
        <v>4244.6901962525753</v>
      </c>
      <c r="AI270" s="78"/>
    </row>
    <row r="271" spans="1:62" x14ac:dyDescent="0.3">
      <c r="AH271" s="78"/>
      <c r="AM271" s="78"/>
      <c r="AN271" s="78"/>
    </row>
    <row r="272" spans="1:62" x14ac:dyDescent="0.3">
      <c r="T272" s="2"/>
      <c r="AI272" s="78"/>
    </row>
    <row r="273" spans="1:40" x14ac:dyDescent="0.3">
      <c r="A273" s="348">
        <v>1988</v>
      </c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 t="s">
        <v>82</v>
      </c>
      <c r="M273" s="348"/>
      <c r="N273" s="348"/>
      <c r="O273" s="348"/>
      <c r="P273" s="348"/>
      <c r="AH273" s="78"/>
      <c r="AM273" s="78"/>
      <c r="AN273" s="78"/>
    </row>
    <row r="274" spans="1:40" ht="15" thickBot="1" x14ac:dyDescent="0.35">
      <c r="A274" t="s">
        <v>315</v>
      </c>
      <c r="B274" t="s">
        <v>21</v>
      </c>
      <c r="I274" s="1" t="s">
        <v>53</v>
      </c>
      <c r="O274" s="350" t="s">
        <v>377</v>
      </c>
      <c r="P274" s="350"/>
      <c r="R274" s="59" t="s">
        <v>73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72</v>
      </c>
      <c r="AA274" s="12" t="s">
        <v>29</v>
      </c>
      <c r="AI274" s="78"/>
    </row>
    <row r="275" spans="1:40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51</v>
      </c>
      <c r="O275" s="13" t="s">
        <v>644</v>
      </c>
      <c r="P275" s="13" t="s">
        <v>633</v>
      </c>
      <c r="S275" t="s">
        <v>28</v>
      </c>
      <c r="T275" s="57">
        <f t="shared" ref="T275:X276" si="52">AVERAGE(T16,T26,T36,T46,T56)</f>
        <v>1.0680232899604178</v>
      </c>
      <c r="U275" s="57">
        <f t="shared" si="52"/>
        <v>0.34719693521940415</v>
      </c>
      <c r="V275" s="57">
        <f t="shared" si="52"/>
        <v>59.343757628013762</v>
      </c>
      <c r="W275" s="57">
        <f t="shared" si="52"/>
        <v>22.905418402830364</v>
      </c>
      <c r="X275" s="57">
        <f t="shared" si="52"/>
        <v>16.335603743976044</v>
      </c>
      <c r="Z275" s="14">
        <f>AVERAGE(AE16,AE17,AE18,AE19,AE20)</f>
        <v>0.93341911683364065</v>
      </c>
      <c r="AA275" s="72">
        <f>AVERAGE(AF16,AF17,AF18,AF19,AF20)</f>
        <v>9.5915617319715877E-3</v>
      </c>
      <c r="AH275" s="78"/>
      <c r="AM275" s="78"/>
      <c r="AN275" s="78"/>
    </row>
    <row r="276" spans="1:40" x14ac:dyDescent="0.3">
      <c r="A276" t="s">
        <v>3</v>
      </c>
      <c r="B276" s="13">
        <v>0</v>
      </c>
      <c r="C276" s="26">
        <v>115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115</v>
      </c>
      <c r="I276" s="10">
        <f>C276/H276</f>
        <v>1</v>
      </c>
      <c r="J276" s="11">
        <f>1-I276</f>
        <v>0</v>
      </c>
      <c r="K276">
        <f>H276-C281</f>
        <v>0</v>
      </c>
      <c r="N276" s="10">
        <f>2*(C282*I276)/(C282+I276)</f>
        <v>1</v>
      </c>
      <c r="O276" s="1"/>
      <c r="P276" s="1"/>
      <c r="S276" t="s">
        <v>39</v>
      </c>
      <c r="T276" s="57">
        <f t="shared" si="52"/>
        <v>0</v>
      </c>
      <c r="U276" s="57">
        <f t="shared" si="52"/>
        <v>0.10798525851160526</v>
      </c>
      <c r="V276" s="57">
        <f t="shared" si="52"/>
        <v>0.70659735974863025</v>
      </c>
      <c r="W276" s="57">
        <f t="shared" si="52"/>
        <v>0.75627095467744831</v>
      </c>
      <c r="X276" s="57">
        <f t="shared" si="52"/>
        <v>0.88114285419118021</v>
      </c>
      <c r="AI276" s="78"/>
    </row>
    <row r="277" spans="1:40" x14ac:dyDescent="0.3">
      <c r="A277" t="s">
        <v>4</v>
      </c>
      <c r="B277" s="13">
        <v>1</v>
      </c>
      <c r="C277" s="5">
        <v>0</v>
      </c>
      <c r="D277" s="27">
        <v>5</v>
      </c>
      <c r="E277" s="1">
        <v>10</v>
      </c>
      <c r="F277" s="1">
        <v>0</v>
      </c>
      <c r="G277" s="6">
        <v>0</v>
      </c>
      <c r="H277" s="1">
        <f>SUM(C277:G277)</f>
        <v>15</v>
      </c>
      <c r="I277" s="10">
        <f>D277/H277</f>
        <v>0.33333333333333331</v>
      </c>
      <c r="J277" s="11">
        <f>1-I277</f>
        <v>0.66666666666666674</v>
      </c>
      <c r="K277">
        <f>H277-D281</f>
        <v>9</v>
      </c>
      <c r="N277" s="10">
        <f>2*(D282*I277)/(D282+I277)</f>
        <v>0.47619047619047616</v>
      </c>
      <c r="O277" s="1"/>
      <c r="P277" s="1"/>
      <c r="S277" s="66" t="s">
        <v>60</v>
      </c>
      <c r="T277" s="67">
        <f>1.96*T276</f>
        <v>0</v>
      </c>
      <c r="U277" s="67">
        <f>1.96*U276</f>
        <v>0.21165110668274631</v>
      </c>
      <c r="V277" s="67">
        <f>1.96*V276</f>
        <v>1.3849308251073154</v>
      </c>
      <c r="W277" s="67">
        <f>1.96*W276</f>
        <v>1.4822910711677986</v>
      </c>
      <c r="X277" s="67">
        <f>1.96*X276</f>
        <v>1.7270399942147132</v>
      </c>
      <c r="AH277" s="78"/>
      <c r="AM277" s="78"/>
      <c r="AN277" s="78"/>
    </row>
    <row r="278" spans="1:40" x14ac:dyDescent="0.3">
      <c r="A278" t="s">
        <v>5</v>
      </c>
      <c r="B278" s="13">
        <v>2</v>
      </c>
      <c r="C278" s="5">
        <v>0</v>
      </c>
      <c r="D278" s="1">
        <v>0</v>
      </c>
      <c r="E278" s="27">
        <v>140</v>
      </c>
      <c r="F278" s="1">
        <v>0</v>
      </c>
      <c r="G278" s="6">
        <v>2</v>
      </c>
      <c r="H278" s="1">
        <f>SUM(C278:G278)</f>
        <v>142</v>
      </c>
      <c r="I278" s="10">
        <f>E278/H278</f>
        <v>0.9859154929577465</v>
      </c>
      <c r="J278" s="11">
        <f>1-I278</f>
        <v>1.4084507042253502E-2</v>
      </c>
      <c r="K278">
        <f>H278-E281</f>
        <v>-23</v>
      </c>
      <c r="N278" s="10">
        <f>2*(E282*I278)/(E282+I278)</f>
        <v>0.91205211726384361</v>
      </c>
      <c r="O278" s="1"/>
      <c r="P278" s="1"/>
      <c r="S278" t="s">
        <v>30</v>
      </c>
      <c r="T278" s="57">
        <f t="shared" ref="T278:X279" si="53">AVERAGE(T18,T28,T38,T48,T58)</f>
        <v>100</v>
      </c>
      <c r="U278" s="57">
        <f t="shared" si="53"/>
        <v>100</v>
      </c>
      <c r="V278" s="57">
        <f t="shared" si="53"/>
        <v>96.24015367979716</v>
      </c>
      <c r="W278" s="57">
        <f t="shared" si="53"/>
        <v>94.305163465135479</v>
      </c>
      <c r="X278" s="57">
        <f t="shared" si="53"/>
        <v>80.855415914046404</v>
      </c>
    </row>
    <row r="279" spans="1:40" x14ac:dyDescent="0.3">
      <c r="A279" t="s">
        <v>6</v>
      </c>
      <c r="B279" s="13">
        <v>3</v>
      </c>
      <c r="C279" s="5">
        <v>0</v>
      </c>
      <c r="D279" s="1">
        <v>0</v>
      </c>
      <c r="E279" s="1">
        <v>5</v>
      </c>
      <c r="F279" s="27">
        <v>126</v>
      </c>
      <c r="G279" s="6">
        <v>13</v>
      </c>
      <c r="H279" s="1">
        <f>SUM(C279:G279)</f>
        <v>144</v>
      </c>
      <c r="I279" s="10">
        <f>F279/H279</f>
        <v>0.875</v>
      </c>
      <c r="J279" s="11">
        <f>1-I279</f>
        <v>0.125</v>
      </c>
      <c r="K279">
        <f>H279-F281</f>
        <v>0</v>
      </c>
      <c r="N279" s="10">
        <f>2*(F282*I279)/(F282+I279)</f>
        <v>0.875</v>
      </c>
      <c r="O279" s="1"/>
      <c r="P279" s="1"/>
      <c r="S279" t="s">
        <v>39</v>
      </c>
      <c r="T279" s="57">
        <f t="shared" si="53"/>
        <v>0</v>
      </c>
      <c r="U279" s="57">
        <f t="shared" si="53"/>
        <v>0</v>
      </c>
      <c r="V279" s="57">
        <f t="shared" si="53"/>
        <v>0.82933293759151583</v>
      </c>
      <c r="W279" s="57">
        <f t="shared" si="53"/>
        <v>2.0971464040909553</v>
      </c>
      <c r="X279" s="57">
        <f t="shared" si="53"/>
        <v>5.6770893606435635</v>
      </c>
      <c r="AH279" s="78"/>
      <c r="AM279" s="78"/>
      <c r="AN279" s="78"/>
    </row>
    <row r="280" spans="1:40" x14ac:dyDescent="0.3">
      <c r="A280" t="s">
        <v>7</v>
      </c>
      <c r="B280" s="13">
        <v>4</v>
      </c>
      <c r="C280" s="7">
        <v>0</v>
      </c>
      <c r="D280" s="8">
        <v>1</v>
      </c>
      <c r="E280" s="8">
        <v>10</v>
      </c>
      <c r="F280" s="8">
        <v>18</v>
      </c>
      <c r="G280" s="28">
        <v>215</v>
      </c>
      <c r="H280" s="1">
        <f>SUM(C280:G280)</f>
        <v>244</v>
      </c>
      <c r="I280" s="10">
        <f>G280/H280</f>
        <v>0.88114754098360659</v>
      </c>
      <c r="J280" s="11">
        <f>1-I280</f>
        <v>0.11885245901639341</v>
      </c>
      <c r="K280">
        <f>H280-G281</f>
        <v>14</v>
      </c>
      <c r="N280" s="10">
        <f>2*(G282*I280)/(G282+I280)</f>
        <v>0.90717299578059074</v>
      </c>
      <c r="O280" s="1"/>
      <c r="P280" s="1"/>
      <c r="S280" s="66" t="s">
        <v>60</v>
      </c>
      <c r="T280" s="67">
        <f>1.96*T279</f>
        <v>0</v>
      </c>
      <c r="U280" s="67">
        <f>1.96*U279</f>
        <v>0</v>
      </c>
      <c r="V280" s="67">
        <f>1.96*V279</f>
        <v>1.6254925576793711</v>
      </c>
      <c r="W280" s="67">
        <f>1.96*W279</f>
        <v>4.1104069520182724</v>
      </c>
      <c r="X280" s="67">
        <f>1.96*X279</f>
        <v>11.127095146861384</v>
      </c>
    </row>
    <row r="281" spans="1:40" ht="15.6" x14ac:dyDescent="0.35">
      <c r="B281" s="1" t="s">
        <v>19</v>
      </c>
      <c r="C281" s="1">
        <f>SUM(C276:C280)</f>
        <v>115</v>
      </c>
      <c r="D281" s="1">
        <f>SUM(D276:D280)</f>
        <v>6</v>
      </c>
      <c r="E281" s="1">
        <f>SUM(E276:E280)</f>
        <v>165</v>
      </c>
      <c r="F281" s="1">
        <f>SUM(F276:F280)</f>
        <v>144</v>
      </c>
      <c r="G281" s="1">
        <f>SUM(G276:G280)</f>
        <v>230</v>
      </c>
      <c r="H281" s="1">
        <f>SUM(H275:H280)</f>
        <v>660</v>
      </c>
      <c r="I281" s="13" t="s">
        <v>12</v>
      </c>
      <c r="N281" s="16" t="s">
        <v>36</v>
      </c>
      <c r="O281" s="1">
        <f>SUM(O276:O280)</f>
        <v>0</v>
      </c>
      <c r="P281" s="1">
        <f>SUM(P276:P280)</f>
        <v>0</v>
      </c>
      <c r="S281" t="s">
        <v>31</v>
      </c>
      <c r="T281" s="57">
        <f t="shared" ref="T281:X282" si="54">AVERAGE(T20,T30,T40,T50,T60)</f>
        <v>100</v>
      </c>
      <c r="U281" s="57">
        <f t="shared" si="54"/>
        <v>39.999999999999986</v>
      </c>
      <c r="V281" s="57">
        <f t="shared" si="54"/>
        <v>98.73239436619717</v>
      </c>
      <c r="W281" s="57">
        <f t="shared" si="54"/>
        <v>86.666666666666657</v>
      </c>
      <c r="X281" s="57">
        <f t="shared" si="54"/>
        <v>86.311475409836063</v>
      </c>
      <c r="AH281" s="78"/>
      <c r="AM281" s="78"/>
      <c r="AN281" s="78"/>
    </row>
    <row r="282" spans="1:40" x14ac:dyDescent="0.3">
      <c r="A282" s="1" t="s">
        <v>316</v>
      </c>
      <c r="B282" s="1" t="s">
        <v>2</v>
      </c>
      <c r="C282" s="10">
        <f>C276/C281</f>
        <v>1</v>
      </c>
      <c r="D282" s="10">
        <f>D277/D281</f>
        <v>0.83333333333333337</v>
      </c>
      <c r="E282" s="10">
        <f>E278/E281</f>
        <v>0.84848484848484851</v>
      </c>
      <c r="F282" s="10">
        <f>F279/F281</f>
        <v>0.875</v>
      </c>
      <c r="G282" s="10">
        <f>G280/G281</f>
        <v>0.93478260869565222</v>
      </c>
      <c r="H282" s="10"/>
      <c r="I282" s="14">
        <f>(C276+D277+E278+F279+G280)/H281</f>
        <v>0.91060606060606064</v>
      </c>
      <c r="S282" t="s">
        <v>39</v>
      </c>
      <c r="T282" s="57">
        <f t="shared" si="54"/>
        <v>0</v>
      </c>
      <c r="U282" s="57">
        <f t="shared" si="54"/>
        <v>12.991474322954939</v>
      </c>
      <c r="V282" s="57">
        <f t="shared" si="54"/>
        <v>0.92085947628571529</v>
      </c>
      <c r="W282" s="57">
        <f t="shared" si="54"/>
        <v>2.8389193203869736</v>
      </c>
      <c r="X282" s="57">
        <f t="shared" si="54"/>
        <v>2.1939252723072835</v>
      </c>
    </row>
    <row r="283" spans="1:40" x14ac:dyDescent="0.3">
      <c r="B283" s="1" t="s">
        <v>14</v>
      </c>
      <c r="C283" s="11">
        <f>1-C282</f>
        <v>0</v>
      </c>
      <c r="D283" s="11">
        <f>1-D282</f>
        <v>0.16666666666666663</v>
      </c>
      <c r="E283" s="11">
        <f>1-E282</f>
        <v>0.15151515151515149</v>
      </c>
      <c r="F283" s="11">
        <f>1-F282</f>
        <v>0.125</v>
      </c>
      <c r="G283" s="11">
        <f>1-G282</f>
        <v>6.5217391304347783E-2</v>
      </c>
      <c r="S283" s="66" t="s">
        <v>60</v>
      </c>
      <c r="T283" s="67">
        <f>1.96*T282</f>
        <v>0</v>
      </c>
      <c r="U283" s="67">
        <f>1.96*U282</f>
        <v>25.463289672991682</v>
      </c>
      <c r="V283" s="67">
        <f>1.96*V282</f>
        <v>1.8048845735200019</v>
      </c>
      <c r="W283" s="67">
        <f>1.96*W282</f>
        <v>5.564281867958468</v>
      </c>
      <c r="X283" s="67">
        <f>1.96*X282</f>
        <v>4.3000935337222757</v>
      </c>
      <c r="AH283" s="78"/>
      <c r="AM283" s="78"/>
      <c r="AN283" s="78"/>
    </row>
    <row r="284" spans="1:40" x14ac:dyDescent="0.3">
      <c r="C284" s="2"/>
      <c r="S284" t="s">
        <v>51</v>
      </c>
      <c r="T284" s="57">
        <f>AVERAGE(T22,T32,T42,T52,T62)</f>
        <v>100</v>
      </c>
      <c r="U284" s="57">
        <f>AVERAGE(U22,U32,U42,U52,U62)</f>
        <v>56.883116883116884</v>
      </c>
      <c r="V284" s="57">
        <f>AVERAGE(V22,V32,V42,V52,V62)</f>
        <v>90.714164920548455</v>
      </c>
      <c r="W284" s="57">
        <f>AVERAGE(W22,W32,W42,W52,W62)</f>
        <v>86.188569424131089</v>
      </c>
      <c r="X284" s="57">
        <f>AVERAGE(X22,X32,X42,X52,X62)</f>
        <v>89.562267217663873</v>
      </c>
    </row>
    <row r="285" spans="1:40" ht="15.6" x14ac:dyDescent="0.35">
      <c r="A285" t="s">
        <v>317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</v>
      </c>
      <c r="U285" s="57">
        <f>_xlfn.STDEV.S(U22,U32,U42,U52,U62)</f>
        <v>6.819727715904512</v>
      </c>
      <c r="V285" s="57">
        <f>_xlfn.STDEV.S(V22,V32,V42,V52,V62)</f>
        <v>1.8744461775120931</v>
      </c>
      <c r="W285" s="57">
        <f>_xlfn.STDEV.S(W22,W32,W42,W52,W62)</f>
        <v>1.3276121785963599</v>
      </c>
      <c r="X285" s="57">
        <f>_xlfn.STDEV.S(X22,X32,X42,X52,X62)</f>
        <v>1.7521790556548513</v>
      </c>
      <c r="AH285" s="78"/>
      <c r="AM285" s="78"/>
      <c r="AN285" s="78"/>
    </row>
    <row r="286" spans="1:40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60</v>
      </c>
      <c r="T286" s="67">
        <f>1.96*T285</f>
        <v>0</v>
      </c>
      <c r="U286" s="67">
        <f>1.96*U285</f>
        <v>13.366666323172844</v>
      </c>
      <c r="V286" s="67">
        <f>1.96*V285</f>
        <v>3.6739145079237026</v>
      </c>
      <c r="W286" s="67">
        <f>1.96*W285</f>
        <v>2.6021198700488655</v>
      </c>
      <c r="X286" s="67">
        <f>1.96*X285</f>
        <v>3.4342709490835084</v>
      </c>
    </row>
    <row r="287" spans="1:40" x14ac:dyDescent="0.3">
      <c r="A287" t="s">
        <v>3</v>
      </c>
      <c r="B287" s="13">
        <v>0</v>
      </c>
      <c r="C287" s="29">
        <f>(C276/$L287)*$O287</f>
        <v>1.1554745290946185</v>
      </c>
      <c r="D287" s="31">
        <f>(D276/$L287)*$O287</f>
        <v>0</v>
      </c>
      <c r="E287" s="31">
        <f>(E276/$L287)*$O287</f>
        <v>0</v>
      </c>
      <c r="F287" s="31">
        <f>(F276/$L287)*$O287</f>
        <v>0</v>
      </c>
      <c r="G287" s="32">
        <f>(G276/$L287)*$O287</f>
        <v>0</v>
      </c>
      <c r="H287" s="17">
        <f>SUM(C287:G287)</f>
        <v>1.1554745290946185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115</v>
      </c>
      <c r="M287">
        <v>0</v>
      </c>
      <c r="N287" s="1">
        <v>1058.95</v>
      </c>
      <c r="O287" s="17">
        <f>N287/N292*100</f>
        <v>1.1554745290946185</v>
      </c>
      <c r="P287" s="52">
        <f>((O287*O287*(I287/100)*(K287/100))/(L287-1))</f>
        <v>0</v>
      </c>
      <c r="R287" s="16" t="s">
        <v>70</v>
      </c>
      <c r="S287" t="s">
        <v>9</v>
      </c>
      <c r="T287" s="57">
        <f>AVERAGE(T23,T33,T43,T53,T63)</f>
        <v>978.80400000000009</v>
      </c>
      <c r="U287" s="57">
        <f>AVERAGE(U23,U33,U43,U53,U63)</f>
        <v>787.34599999999989</v>
      </c>
      <c r="V287" s="57">
        <f>AVERAGE(V23,V33,V43,V53,V63)</f>
        <v>53012.313999999998</v>
      </c>
      <c r="W287" s="57">
        <f>AVERAGE(W23,W33,W43,W53,W63)</f>
        <v>22842.936000000002</v>
      </c>
      <c r="X287" s="57">
        <f>AVERAGE(X23,X33,X43,X53,X63)</f>
        <v>14024.916000000001</v>
      </c>
      <c r="Z287" t="s">
        <v>36</v>
      </c>
      <c r="AA287" s="57">
        <f>AVERAGE(AA23,AA33,AA43,AA53,AA63)</f>
        <v>91646.316000000006</v>
      </c>
      <c r="AH287" s="78"/>
      <c r="AM287" s="78"/>
      <c r="AN287" s="78"/>
    </row>
    <row r="288" spans="1:40" x14ac:dyDescent="0.3">
      <c r="A288" t="s">
        <v>4</v>
      </c>
      <c r="B288" s="13">
        <v>1</v>
      </c>
      <c r="C288" s="33">
        <f t="shared" ref="C288:G291" si="55">(C277/$L288)*$O288</f>
        <v>0</v>
      </c>
      <c r="D288" s="34">
        <f t="shared" si="55"/>
        <v>0.30918495772462107</v>
      </c>
      <c r="E288" s="19">
        <f t="shared" si="55"/>
        <v>0.61836991544924214</v>
      </c>
      <c r="F288" s="18">
        <f t="shared" si="55"/>
        <v>0</v>
      </c>
      <c r="G288" s="20">
        <f t="shared" si="55"/>
        <v>0</v>
      </c>
      <c r="H288" s="17">
        <f>SUM(C288:G288)</f>
        <v>0.9275548731738632</v>
      </c>
      <c r="I288" s="17">
        <f>D288/H288*100</f>
        <v>33.333333333333329</v>
      </c>
      <c r="J288" s="17">
        <f>SQRT(I288*(100-I288)/(L288-1))</f>
        <v>12.598815766974241</v>
      </c>
      <c r="K288" s="18">
        <f>100-I288</f>
        <v>66.666666666666671</v>
      </c>
      <c r="L288" s="1">
        <f>H277</f>
        <v>15</v>
      </c>
      <c r="M288">
        <v>1</v>
      </c>
      <c r="N288" s="1">
        <v>850.07</v>
      </c>
      <c r="O288" s="17">
        <f>N288/N292*100</f>
        <v>0.92755487317386331</v>
      </c>
      <c r="P288" s="52">
        <f>((O288*O288*(I288/100)*(K288/100))/(L288-1))</f>
        <v>1.3656476869025104E-2</v>
      </c>
      <c r="S288" t="s">
        <v>29</v>
      </c>
      <c r="T288" s="57">
        <f>_xlfn.STDEV.S(T23,T33,T43,T53,T63)</f>
        <v>39.035790372426185</v>
      </c>
      <c r="U288" s="57">
        <f>_xlfn.STDEV.S(U23,U33,U43,U53,U63)</f>
        <v>92.339535032401599</v>
      </c>
      <c r="V288" s="57">
        <f>_xlfn.STDEV.S(V23,V33,V43,V53,V63)</f>
        <v>220.99237550196003</v>
      </c>
      <c r="W288" s="57">
        <f>_xlfn.STDEV.S(W23,W33,W43,W53,W63)</f>
        <v>339.85276625327072</v>
      </c>
      <c r="X288" s="57">
        <f>_xlfn.STDEV.S(X23,X33,X43,X53,X63)</f>
        <v>242.41122113054135</v>
      </c>
      <c r="Z288" t="s">
        <v>29</v>
      </c>
      <c r="AA288" s="57">
        <f>_xlfn.STDEV.S(AA23,AA33,AA43,AA53,AA63)</f>
        <v>5.477225580152725E-3</v>
      </c>
    </row>
    <row r="289" spans="1:40" x14ac:dyDescent="0.3">
      <c r="A289" t="s">
        <v>5</v>
      </c>
      <c r="B289" s="13">
        <v>2</v>
      </c>
      <c r="C289" s="33">
        <f t="shared" si="55"/>
        <v>0</v>
      </c>
      <c r="D289" s="19">
        <f t="shared" si="55"/>
        <v>0</v>
      </c>
      <c r="E289" s="34">
        <f t="shared" si="55"/>
        <v>57.072420546725048</v>
      </c>
      <c r="F289" s="19">
        <f t="shared" si="55"/>
        <v>0</v>
      </c>
      <c r="G289" s="20">
        <f t="shared" si="55"/>
        <v>0.81532029352464352</v>
      </c>
      <c r="H289" s="17">
        <f>SUM(C289:G289)</f>
        <v>57.887740840249691</v>
      </c>
      <c r="I289" s="17">
        <f>E289/H289*100</f>
        <v>98.591549295774655</v>
      </c>
      <c r="J289" s="17">
        <f>SQRT(I289*(100-I289)/(L289-1))</f>
        <v>0.99238711073976715</v>
      </c>
      <c r="K289" s="18">
        <f>100-I289</f>
        <v>1.4084507042253449</v>
      </c>
      <c r="L289" s="1">
        <f>H278</f>
        <v>142</v>
      </c>
      <c r="M289">
        <v>2</v>
      </c>
      <c r="N289" s="1">
        <v>53051.99</v>
      </c>
      <c r="O289" s="17">
        <f>N289/N292*100</f>
        <v>57.887740840249691</v>
      </c>
      <c r="P289" s="52">
        <f>((O289*O289*(I289/100)*(K289/100))/(L289-1))</f>
        <v>0.33001633100934413</v>
      </c>
      <c r="S289" t="s">
        <v>60</v>
      </c>
      <c r="T289" s="57">
        <f>1.96*T288</f>
        <v>76.510149129955323</v>
      </c>
      <c r="U289" s="57">
        <f>1.96*U288</f>
        <v>180.98548866350714</v>
      </c>
      <c r="V289" s="57">
        <f>1.96*V288</f>
        <v>433.14505598384164</v>
      </c>
      <c r="W289" s="57">
        <f>1.96*W288</f>
        <v>666.11142185641063</v>
      </c>
      <c r="X289" s="57">
        <f>1.96*X288</f>
        <v>475.12599341586105</v>
      </c>
      <c r="AH289" s="78"/>
      <c r="AM289" s="78"/>
      <c r="AN289" s="78"/>
    </row>
    <row r="290" spans="1:40" x14ac:dyDescent="0.3">
      <c r="A290" t="s">
        <v>6</v>
      </c>
      <c r="B290" s="13">
        <v>3</v>
      </c>
      <c r="C290" s="33">
        <f t="shared" si="55"/>
        <v>0</v>
      </c>
      <c r="D290" s="19">
        <f t="shared" si="55"/>
        <v>0</v>
      </c>
      <c r="E290" s="19">
        <f t="shared" si="55"/>
        <v>0.86137632752633619</v>
      </c>
      <c r="F290" s="34">
        <f t="shared" si="55"/>
        <v>21.706683453663672</v>
      </c>
      <c r="G290" s="20">
        <f t="shared" si="55"/>
        <v>2.239578451568474</v>
      </c>
      <c r="H290" s="17">
        <f>SUM(C290:G290)</f>
        <v>24.807638232758482</v>
      </c>
      <c r="I290" s="17">
        <f>F290/H290*100</f>
        <v>87.5</v>
      </c>
      <c r="J290" s="17">
        <f>SQRT(I290*(100-I290)/(L290-1))</f>
        <v>2.7656104929294361</v>
      </c>
      <c r="K290" s="18">
        <f>100-I290</f>
        <v>12.5</v>
      </c>
      <c r="L290" s="1">
        <f>H279</f>
        <v>144</v>
      </c>
      <c r="M290">
        <v>3</v>
      </c>
      <c r="N290" s="1">
        <v>22735.29</v>
      </c>
      <c r="O290" s="17">
        <f>N290/N292*100</f>
        <v>24.807638232758482</v>
      </c>
      <c r="P290" s="52">
        <f>((O290*O290*(I290/100)*(K290/100))/(L290-1))</f>
        <v>0.47070939716039584</v>
      </c>
      <c r="R290" s="16" t="s">
        <v>69</v>
      </c>
      <c r="S290" t="s">
        <v>9</v>
      </c>
      <c r="T290" s="57">
        <f>AVERAGE(T24,T34,T44,T54,T64)</f>
        <v>978.80400000000009</v>
      </c>
      <c r="U290" s="57">
        <f>AVERAGE(U24,U34,U44,U54,U64)</f>
        <v>318.19319999999999</v>
      </c>
      <c r="V290" s="57">
        <f>AVERAGE(V24,V34,V44,V54,V64)</f>
        <v>54386.367636508119</v>
      </c>
      <c r="W290" s="57">
        <f>AVERAGE(W24,W34,W44,W54,W64)</f>
        <v>20991.972136384335</v>
      </c>
      <c r="X290" s="57">
        <f>AVERAGE(X24,X34,X44,X54,X64)</f>
        <v>14970.979027107547</v>
      </c>
      <c r="Z290" t="s">
        <v>36</v>
      </c>
      <c r="AA290" s="24">
        <f>SUM(T290:X290)</f>
        <v>91646.316000000006</v>
      </c>
    </row>
    <row r="291" spans="1:40" x14ac:dyDescent="0.3">
      <c r="A291" t="s">
        <v>7</v>
      </c>
      <c r="B291" s="13">
        <v>4</v>
      </c>
      <c r="C291" s="35">
        <f t="shared" si="55"/>
        <v>0</v>
      </c>
      <c r="D291" s="36">
        <f t="shared" si="55"/>
        <v>6.2383571822636721E-2</v>
      </c>
      <c r="E291" s="21">
        <f t="shared" si="55"/>
        <v>0.62383571822636719</v>
      </c>
      <c r="F291" s="21">
        <f t="shared" si="55"/>
        <v>1.1229042928074611</v>
      </c>
      <c r="G291" s="37">
        <f t="shared" si="55"/>
        <v>13.412467941866895</v>
      </c>
      <c r="H291" s="17">
        <f>SUM(C291:G291)</f>
        <v>15.22159152472336</v>
      </c>
      <c r="I291" s="17">
        <f>G291/H291*100</f>
        <v>88.114754098360663</v>
      </c>
      <c r="J291" s="17">
        <f>SQRT(I291*(100-I291)/(L291-1))</f>
        <v>2.0759900409911012</v>
      </c>
      <c r="K291" s="18">
        <f>100-I291</f>
        <v>11.885245901639337</v>
      </c>
      <c r="L291" s="1">
        <f>H280</f>
        <v>244</v>
      </c>
      <c r="M291">
        <v>4</v>
      </c>
      <c r="N291" s="1">
        <v>13950.03</v>
      </c>
      <c r="O291" s="17">
        <f>N291/N292*100</f>
        <v>15.22159152472336</v>
      </c>
      <c r="P291" s="52">
        <f>((O291*O291*(I291/100)*(K291/100))/(L291-1))</f>
        <v>9.9855193654064603E-2</v>
      </c>
      <c r="S291" t="s">
        <v>29</v>
      </c>
      <c r="T291" s="57">
        <f>_xlfn.STDEV.S(T24,T34,T44,T54,T64)</f>
        <v>39.035790372426156</v>
      </c>
      <c r="U291" s="57">
        <f>_xlfn.STDEV.S(U24,U34,U44,U54,U64)</f>
        <v>83.963406044141209</v>
      </c>
      <c r="V291" s="57">
        <f>_xlfn.STDEV.S(V24,V34,V44,V54,V64)</f>
        <v>499.37285206829381</v>
      </c>
      <c r="W291" s="57">
        <f>_xlfn.STDEV.S(W24,W34,W44,W54,W64)</f>
        <v>382.24317400683219</v>
      </c>
      <c r="X291" s="57">
        <f>_xlfn.STDEV.S(X24,X34,X44,X54,X64)</f>
        <v>395.08600223308775</v>
      </c>
      <c r="AH291" s="78"/>
      <c r="AM291" s="78"/>
      <c r="AN291" s="78"/>
    </row>
    <row r="292" spans="1:40" x14ac:dyDescent="0.3">
      <c r="B292" t="s">
        <v>28</v>
      </c>
      <c r="C292" s="17">
        <f>SUM(C287:C291)</f>
        <v>1.1554745290946185</v>
      </c>
      <c r="D292" s="17">
        <f>SUM(D287:D291)</f>
        <v>0.37156852954725778</v>
      </c>
      <c r="E292" s="17">
        <f>SUM(E287:E291)</f>
        <v>59.176002507926995</v>
      </c>
      <c r="F292" s="17">
        <f>SUM(F287:F291)</f>
        <v>22.829587746471134</v>
      </c>
      <c r="G292" s="17">
        <f>SUM(G287:G291)</f>
        <v>16.467366686960013</v>
      </c>
      <c r="H292" s="1">
        <f>SUM(H286:H291)</f>
        <v>100.00000000000001</v>
      </c>
      <c r="I292" s="13" t="s">
        <v>24</v>
      </c>
      <c r="J292" s="12" t="s">
        <v>29</v>
      </c>
      <c r="N292" s="1">
        <f>SUM(N287:N291)</f>
        <v>91646.329999999987</v>
      </c>
      <c r="O292" s="17">
        <f>SUM(O287:O291)</f>
        <v>100.00000000000001</v>
      </c>
      <c r="S292" s="66" t="s">
        <v>60</v>
      </c>
      <c r="T292" s="67">
        <f>1.96*T291</f>
        <v>76.510149129955266</v>
      </c>
      <c r="U292" s="67">
        <f>1.96*U291</f>
        <v>164.56827584651677</v>
      </c>
      <c r="V292" s="67">
        <f>1.96*V291</f>
        <v>978.77079005385588</v>
      </c>
      <c r="W292" s="67">
        <f>1.96*W291</f>
        <v>749.19662105339103</v>
      </c>
      <c r="X292" s="67">
        <f>1.96*X291</f>
        <v>774.36856437685196</v>
      </c>
    </row>
    <row r="293" spans="1:40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0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0.12892558116922576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0.72180449320724038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0.72960515483825295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0.88211726256933665</v>
      </c>
      <c r="H293" s="1"/>
      <c r="I293" s="56">
        <f>(C287+D288+E289+F290+G291)/H292</f>
        <v>0.93656231429074832</v>
      </c>
      <c r="J293" s="53">
        <f>SQRT(SUM(P287:P291))/100</f>
        <v>9.5615762230545943E-3</v>
      </c>
      <c r="M293" s="1"/>
      <c r="N293" s="9"/>
      <c r="AH293" s="78"/>
      <c r="AM293" s="78"/>
      <c r="AN293" s="78"/>
    </row>
    <row r="294" spans="1:40" x14ac:dyDescent="0.3">
      <c r="B294" s="1" t="s">
        <v>30</v>
      </c>
      <c r="C294" s="17">
        <f>C287/C292*100</f>
        <v>100</v>
      </c>
      <c r="D294" s="17">
        <f>D288/D292*100</f>
        <v>83.21074933373697</v>
      </c>
      <c r="E294" s="17">
        <f>E289/E292*100</f>
        <v>96.445211112528</v>
      </c>
      <c r="F294" s="17">
        <f>F290/F292*100</f>
        <v>95.081364125898276</v>
      </c>
      <c r="G294" s="17">
        <f>G291/G292*100</f>
        <v>81.448771967213219</v>
      </c>
      <c r="H294" s="1"/>
    </row>
    <row r="295" spans="1:40" x14ac:dyDescent="0.3">
      <c r="B295" s="16" t="s">
        <v>39</v>
      </c>
      <c r="C295" s="18">
        <f>SQRT((C298+C299)/(C292*C292))</f>
        <v>0</v>
      </c>
      <c r="D295" s="18">
        <f>SQRT((D298+D299)/(D292*D292))</f>
        <v>54.620241377440536</v>
      </c>
      <c r="E295" s="18">
        <f>SQRT((E298+E299)/(E292*E292))</f>
        <v>0.79878387685442931</v>
      </c>
      <c r="F295" s="18">
        <f>SQRT((F298+F299)/(F292*F292))</f>
        <v>1.8207291493019298</v>
      </c>
      <c r="G295" s="18">
        <f>SQRT((G298+G299)/(G292*G292))</f>
        <v>5.4214987895738647</v>
      </c>
      <c r="H295" s="1"/>
      <c r="AH295" s="78"/>
      <c r="AM295" s="78"/>
      <c r="AN295" s="78"/>
    </row>
    <row r="296" spans="1:40" x14ac:dyDescent="0.3">
      <c r="B296" s="1" t="s">
        <v>37</v>
      </c>
      <c r="C296" s="18">
        <f>100-C294</f>
        <v>0</v>
      </c>
      <c r="D296" s="18">
        <f>100-D294</f>
        <v>16.78925066626303</v>
      </c>
      <c r="E296" s="18">
        <f>100-E294</f>
        <v>3.5547888874720002</v>
      </c>
      <c r="F296" s="18">
        <f>100-F294</f>
        <v>4.9186358741017244</v>
      </c>
      <c r="G296" s="18">
        <f>100-G294</f>
        <v>18.551228032786781</v>
      </c>
    </row>
    <row r="297" spans="1:40" ht="15.6" x14ac:dyDescent="0.35">
      <c r="B297" s="1" t="s">
        <v>25</v>
      </c>
      <c r="C297" s="1">
        <f>C281</f>
        <v>115</v>
      </c>
      <c r="D297" s="1">
        <f>D281</f>
        <v>6</v>
      </c>
      <c r="E297" s="1">
        <f>E281</f>
        <v>165</v>
      </c>
      <c r="F297" s="1">
        <f>F281</f>
        <v>144</v>
      </c>
      <c r="G297" s="1">
        <f>G281</f>
        <v>230</v>
      </c>
      <c r="AH297" s="78"/>
      <c r="AM297" s="78"/>
      <c r="AN297" s="78"/>
    </row>
    <row r="298" spans="1:40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384.94731957694131</v>
      </c>
      <c r="E298" s="18">
        <f>(O289*O289*(100-E294)*(100-E294)*(I289)*(100-I289))/((L289-1)*100)</f>
        <v>417.02592985752443</v>
      </c>
      <c r="F298" s="18">
        <f>(O290*O290*(100-F294)*(100-F294)*(I290)*(100-I290))/((L290-1)*100)</f>
        <v>1138.7862495646423</v>
      </c>
      <c r="G298" s="18">
        <f>(O291*O291*(100-G294)*(100-G294)*(I291)*(100-I291))/((L291-1)*100)</f>
        <v>3436.4971329195314</v>
      </c>
    </row>
    <row r="299" spans="1:40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26.946312370385897</v>
      </c>
      <c r="E299" s="18">
        <f>E294*E294*(SUM((H287*E287*(1-E276/H276))/(H276-1),(H288*E288*(1-E277/H277))/(H277-1), (H290*E290*(1-E279/H279))/(H279-1),(H291*E291*(1-E280/H280))/(H280-1)))</f>
        <v>1817.316993116518</v>
      </c>
      <c r="F299" s="18">
        <f>F294*F294*(SUM((H287*F287*(1-F276/H276))/(H276-1),(H288*F288*(1-F277/H277))/(H277-1), (H289*F289*(1-F278/H278))/(H278-1),(H291*F291*(1-F280/H280))/(H280-1)))</f>
        <v>588.98732989028588</v>
      </c>
      <c r="G299" s="18">
        <f>G294*G294*(SUM((H287*G287*(1-G276/H276))/(H276-1),(H288*G288*(1-G277/H277))/(H277-1), (H289*G289*(1-G278/H278))/(H278-1),(H290*G290*(1-G279/H279))/(H279-1)))</f>
        <v>4534.0299685033724</v>
      </c>
      <c r="AH299" s="78"/>
      <c r="AM299" s="78"/>
      <c r="AN299" s="78"/>
    </row>
    <row r="301" spans="1:40" x14ac:dyDescent="0.3">
      <c r="AH301" s="78"/>
      <c r="AM301" s="78"/>
      <c r="AN301" s="78"/>
    </row>
    <row r="302" spans="1:40" x14ac:dyDescent="0.3">
      <c r="A302" s="348">
        <v>1988</v>
      </c>
      <c r="B302" s="348"/>
      <c r="C302" s="348"/>
      <c r="D302" s="348"/>
      <c r="E302" s="348"/>
      <c r="F302" s="348"/>
      <c r="G302" s="348"/>
      <c r="H302" s="348"/>
      <c r="I302" s="348"/>
      <c r="J302" s="348"/>
      <c r="K302" s="348"/>
      <c r="L302" s="348" t="s">
        <v>83</v>
      </c>
      <c r="M302" s="348"/>
      <c r="N302" s="348"/>
      <c r="O302" s="348"/>
      <c r="P302" s="348"/>
    </row>
    <row r="303" spans="1:40" x14ac:dyDescent="0.3">
      <c r="A303" t="s">
        <v>315</v>
      </c>
      <c r="B303" t="s">
        <v>21</v>
      </c>
      <c r="I303" s="1" t="s">
        <v>53</v>
      </c>
      <c r="O303" s="350" t="s">
        <v>377</v>
      </c>
      <c r="P303" s="350"/>
      <c r="AH303" s="78"/>
      <c r="AM303" s="78"/>
      <c r="AN303" s="78"/>
    </row>
    <row r="304" spans="1:40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51</v>
      </c>
      <c r="O304" s="13" t="s">
        <v>644</v>
      </c>
      <c r="P304" s="13" t="s">
        <v>633</v>
      </c>
    </row>
    <row r="305" spans="1:40" x14ac:dyDescent="0.3">
      <c r="A305" t="s">
        <v>3</v>
      </c>
      <c r="B305" s="13">
        <v>0</v>
      </c>
      <c r="C305" s="26">
        <v>115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115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/>
      <c r="P305" s="1"/>
      <c r="AH305" s="78"/>
      <c r="AM305" s="78"/>
      <c r="AN305" s="78"/>
    </row>
    <row r="306" spans="1:40" x14ac:dyDescent="0.3">
      <c r="A306" t="s">
        <v>4</v>
      </c>
      <c r="B306" s="13">
        <v>1</v>
      </c>
      <c r="C306" s="5">
        <v>0</v>
      </c>
      <c r="D306" s="27">
        <v>5</v>
      </c>
      <c r="E306" s="1">
        <v>10</v>
      </c>
      <c r="F306" s="1">
        <v>0</v>
      </c>
      <c r="G306" s="6">
        <v>0</v>
      </c>
      <c r="H306" s="1">
        <f>SUM(C306:G306)</f>
        <v>15</v>
      </c>
      <c r="I306" s="10">
        <f>D306/H306</f>
        <v>0.33333333333333331</v>
      </c>
      <c r="J306" s="11">
        <f>1-I306</f>
        <v>0.66666666666666674</v>
      </c>
      <c r="K306">
        <f>H306-D310</f>
        <v>10</v>
      </c>
      <c r="N306" s="10">
        <f>2*(D311*I306)/(D311+I306)</f>
        <v>0.5</v>
      </c>
      <c r="O306" s="1"/>
      <c r="P306" s="1"/>
    </row>
    <row r="307" spans="1:40" x14ac:dyDescent="0.3">
      <c r="A307" t="s">
        <v>5</v>
      </c>
      <c r="B307" s="13">
        <v>2</v>
      </c>
      <c r="C307" s="5">
        <v>0</v>
      </c>
      <c r="D307" s="1">
        <v>0</v>
      </c>
      <c r="E307" s="27">
        <v>141</v>
      </c>
      <c r="F307" s="1">
        <v>0</v>
      </c>
      <c r="G307" s="6">
        <v>1</v>
      </c>
      <c r="H307" s="1">
        <f>SUM(C307:G307)</f>
        <v>142</v>
      </c>
      <c r="I307" s="10">
        <f>E307/H307</f>
        <v>0.99295774647887325</v>
      </c>
      <c r="J307" s="11">
        <f>1-I307</f>
        <v>7.0422535211267512E-3</v>
      </c>
      <c r="K307">
        <f>H307-E310</f>
        <v>-34</v>
      </c>
      <c r="N307" s="10">
        <f>2*(E311*I307)/(E311+I307)</f>
        <v>0.8867924528301887</v>
      </c>
      <c r="O307" s="1"/>
      <c r="P307" s="1"/>
      <c r="AH307" s="78"/>
      <c r="AM307" s="78"/>
      <c r="AN307" s="78"/>
    </row>
    <row r="308" spans="1:40" x14ac:dyDescent="0.3">
      <c r="A308" t="s">
        <v>6</v>
      </c>
      <c r="B308" s="13">
        <v>3</v>
      </c>
      <c r="C308" s="5">
        <v>0</v>
      </c>
      <c r="D308" s="1">
        <v>0</v>
      </c>
      <c r="E308" s="1">
        <v>5</v>
      </c>
      <c r="F308" s="27">
        <v>120</v>
      </c>
      <c r="G308" s="6">
        <v>19</v>
      </c>
      <c r="H308" s="1">
        <f>SUM(C308:G308)</f>
        <v>144</v>
      </c>
      <c r="I308" s="10">
        <f>F308/H308</f>
        <v>0.83333333333333337</v>
      </c>
      <c r="J308" s="11">
        <f>1-I308</f>
        <v>0.16666666666666663</v>
      </c>
      <c r="K308">
        <f>H308-F310</f>
        <v>3</v>
      </c>
      <c r="N308" s="10">
        <f>2*(F311*I308)/(F311+I308)</f>
        <v>0.84210526315789469</v>
      </c>
      <c r="O308" s="1"/>
      <c r="P308" s="1"/>
    </row>
    <row r="309" spans="1:40" x14ac:dyDescent="0.3">
      <c r="A309" t="s">
        <v>7</v>
      </c>
      <c r="B309" s="13">
        <v>4</v>
      </c>
      <c r="C309" s="7">
        <v>0</v>
      </c>
      <c r="D309" s="8">
        <v>0</v>
      </c>
      <c r="E309" s="8">
        <v>20</v>
      </c>
      <c r="F309" s="8">
        <v>21</v>
      </c>
      <c r="G309" s="28">
        <v>203</v>
      </c>
      <c r="H309" s="1">
        <f>SUM(C309:G309)</f>
        <v>244</v>
      </c>
      <c r="I309" s="10">
        <f>G309/H309</f>
        <v>0.83196721311475408</v>
      </c>
      <c r="J309" s="11">
        <f>1-I309</f>
        <v>0.16803278688524592</v>
      </c>
      <c r="K309">
        <f>H309-G310</f>
        <v>21</v>
      </c>
      <c r="N309" s="10">
        <f>2*(G311*I309)/(G311+I309)</f>
        <v>0.86937901498929326</v>
      </c>
      <c r="O309" s="1"/>
      <c r="P309" s="1"/>
      <c r="AH309" s="78"/>
      <c r="AM309" s="78"/>
      <c r="AN309" s="78"/>
    </row>
    <row r="310" spans="1:40" ht="15.6" x14ac:dyDescent="0.35">
      <c r="B310" s="1" t="s">
        <v>19</v>
      </c>
      <c r="C310" s="1">
        <f>SUM(C305:C309)</f>
        <v>115</v>
      </c>
      <c r="D310" s="1">
        <f>SUM(D305:D309)</f>
        <v>5</v>
      </c>
      <c r="E310" s="1">
        <f>SUM(E305:E309)</f>
        <v>176</v>
      </c>
      <c r="F310" s="1">
        <f>SUM(F305:F309)</f>
        <v>141</v>
      </c>
      <c r="G310" s="1">
        <f>SUM(G305:G309)</f>
        <v>223</v>
      </c>
      <c r="H310" s="1">
        <f>SUM(H304:H309)</f>
        <v>660</v>
      </c>
      <c r="I310" s="13" t="s">
        <v>12</v>
      </c>
      <c r="N310" s="16" t="s">
        <v>36</v>
      </c>
      <c r="O310" s="1">
        <f>SUM(O305:O309)</f>
        <v>0</v>
      </c>
      <c r="P310" s="1">
        <f>SUM(P305:P309)</f>
        <v>0</v>
      </c>
    </row>
    <row r="311" spans="1:40" x14ac:dyDescent="0.3">
      <c r="A311" s="1" t="s">
        <v>316</v>
      </c>
      <c r="B311" s="1" t="s">
        <v>2</v>
      </c>
      <c r="C311" s="10">
        <f>C305/C310</f>
        <v>1</v>
      </c>
      <c r="D311" s="10">
        <f>D306/D310</f>
        <v>1</v>
      </c>
      <c r="E311" s="10">
        <f>E307/E310</f>
        <v>0.80113636363636365</v>
      </c>
      <c r="F311" s="10">
        <f>F308/F310</f>
        <v>0.85106382978723405</v>
      </c>
      <c r="G311" s="10">
        <f>G309/G310</f>
        <v>0.91031390134529144</v>
      </c>
      <c r="H311" s="10"/>
      <c r="I311" s="14">
        <f>(C305+D306+E307+F308+G309)/H310</f>
        <v>0.88484848484848488</v>
      </c>
      <c r="AH311" s="78"/>
      <c r="AM311" s="78"/>
      <c r="AN311" s="78"/>
    </row>
    <row r="312" spans="1:40" x14ac:dyDescent="0.3">
      <c r="B312" s="1" t="s">
        <v>14</v>
      </c>
      <c r="C312" s="11">
        <f>1-C311</f>
        <v>0</v>
      </c>
      <c r="D312" s="11">
        <f>1-D311</f>
        <v>0</v>
      </c>
      <c r="E312" s="11">
        <f>1-E311</f>
        <v>0.19886363636363635</v>
      </c>
      <c r="F312" s="11">
        <f>1-F311</f>
        <v>0.14893617021276595</v>
      </c>
      <c r="G312" s="11">
        <f>1-G311</f>
        <v>8.9686098654708557E-2</v>
      </c>
      <c r="Q312" s="25"/>
    </row>
    <row r="313" spans="1:40" x14ac:dyDescent="0.3">
      <c r="C313" s="2"/>
      <c r="Q313" s="25"/>
      <c r="AH313" s="78"/>
      <c r="AM313" s="78"/>
      <c r="AN313" s="78"/>
    </row>
    <row r="314" spans="1:40" ht="15.6" x14ac:dyDescent="0.35">
      <c r="A314" t="s">
        <v>317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0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</row>
    <row r="316" spans="1:40" x14ac:dyDescent="0.3">
      <c r="A316" t="s">
        <v>3</v>
      </c>
      <c r="B316" s="13">
        <v>0</v>
      </c>
      <c r="C316" s="29">
        <f>(C305/$L316)*$O316</f>
        <v>1.0643307881865853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1.0643307881865853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115</v>
      </c>
      <c r="M316">
        <v>0</v>
      </c>
      <c r="N316" s="1">
        <v>975.42</v>
      </c>
      <c r="O316" s="17">
        <f>N316/N321*100</f>
        <v>1.0643307881865853</v>
      </c>
      <c r="P316" s="52">
        <f>((O316*O316*(I316/100)*(K316/100))/(L316-1))</f>
        <v>0</v>
      </c>
    </row>
    <row r="317" spans="1:40" x14ac:dyDescent="0.3">
      <c r="A317" t="s">
        <v>4</v>
      </c>
      <c r="B317" s="13">
        <v>1</v>
      </c>
      <c r="C317" s="33">
        <f t="shared" ref="C317:G320" si="56">(C306/$L317)*$O317</f>
        <v>0</v>
      </c>
      <c r="D317" s="34">
        <f t="shared" si="56"/>
        <v>0.27264960920780379</v>
      </c>
      <c r="E317" s="19">
        <f t="shared" si="56"/>
        <v>0.54529921841560758</v>
      </c>
      <c r="F317" s="18">
        <f t="shared" si="56"/>
        <v>0</v>
      </c>
      <c r="G317" s="20">
        <f t="shared" si="56"/>
        <v>0</v>
      </c>
      <c r="H317" s="17">
        <f>SUM(C317:G317)</f>
        <v>0.81794882762341137</v>
      </c>
      <c r="I317" s="17">
        <f>D317/H317*100</f>
        <v>33.333333333333329</v>
      </c>
      <c r="J317" s="17">
        <f>SQRT(I317*(100-I317)/(L317-1))</f>
        <v>12.598815766974241</v>
      </c>
      <c r="K317" s="18">
        <f>100-I317</f>
        <v>66.666666666666671</v>
      </c>
      <c r="L317" s="1">
        <f>H306</f>
        <v>15</v>
      </c>
      <c r="M317">
        <v>1</v>
      </c>
      <c r="N317" s="1">
        <v>749.62</v>
      </c>
      <c r="O317" s="17">
        <f>N317/N321*100</f>
        <v>0.81794882762341137</v>
      </c>
      <c r="P317" s="52">
        <f>((O317*O317*(I317/100)*(K317/100))/(L317-1))</f>
        <v>1.0619687057309731E-2</v>
      </c>
      <c r="AM317" s="78"/>
      <c r="AN317" s="78"/>
    </row>
    <row r="318" spans="1:40" x14ac:dyDescent="0.3">
      <c r="A318" t="s">
        <v>5</v>
      </c>
      <c r="B318" s="13">
        <v>2</v>
      </c>
      <c r="C318" s="33">
        <f t="shared" si="56"/>
        <v>0</v>
      </c>
      <c r="D318" s="19">
        <f t="shared" si="56"/>
        <v>0</v>
      </c>
      <c r="E318" s="34">
        <f t="shared" si="56"/>
        <v>57.894372289188325</v>
      </c>
      <c r="F318" s="19">
        <f t="shared" si="56"/>
        <v>0</v>
      </c>
      <c r="G318" s="20">
        <f t="shared" si="56"/>
        <v>0.41059838502970442</v>
      </c>
      <c r="H318" s="17">
        <f>SUM(C318:G318)</f>
        <v>58.304970674218033</v>
      </c>
      <c r="I318" s="17">
        <f>E318/H318*100</f>
        <v>99.295774647887313</v>
      </c>
      <c r="J318" s="17">
        <f>SQRT(I318*(100-I318)/(L318-1))</f>
        <v>0.70422535211268134</v>
      </c>
      <c r="K318" s="18">
        <f>100-I318</f>
        <v>0.70422535211268666</v>
      </c>
      <c r="L318" s="1">
        <f>H307</f>
        <v>142</v>
      </c>
      <c r="M318">
        <v>2</v>
      </c>
      <c r="N318" s="1">
        <v>53434.36</v>
      </c>
      <c r="O318" s="17">
        <f>N318/N321*100</f>
        <v>58.304970674218026</v>
      </c>
      <c r="P318" s="52">
        <f>((O318*O318*(I318/100)*(K318/100))/(L318-1))</f>
        <v>0.16859103378900389</v>
      </c>
    </row>
    <row r="319" spans="1:40" x14ac:dyDescent="0.3">
      <c r="A319" t="s">
        <v>6</v>
      </c>
      <c r="B319" s="13">
        <v>3</v>
      </c>
      <c r="C319" s="33">
        <f t="shared" si="56"/>
        <v>0</v>
      </c>
      <c r="D319" s="19">
        <f t="shared" si="56"/>
        <v>0</v>
      </c>
      <c r="E319" s="19">
        <f t="shared" si="56"/>
        <v>0.85111808393155097</v>
      </c>
      <c r="F319" s="34">
        <f t="shared" si="56"/>
        <v>20.426834014357222</v>
      </c>
      <c r="G319" s="20">
        <f t="shared" si="56"/>
        <v>3.2342487189398939</v>
      </c>
      <c r="H319" s="17">
        <f>SUM(C319:G319)</f>
        <v>24.512200817228667</v>
      </c>
      <c r="I319" s="17">
        <f>F319/H319*100</f>
        <v>83.333333333333343</v>
      </c>
      <c r="J319" s="17">
        <f>SQRT(I319*(100-I319)/(L319-1))</f>
        <v>3.1164899666948562</v>
      </c>
      <c r="K319" s="18">
        <f>100-I319</f>
        <v>16.666666666666657</v>
      </c>
      <c r="L319" s="1">
        <f>H308</f>
        <v>144</v>
      </c>
      <c r="M319">
        <v>3</v>
      </c>
      <c r="N319" s="1">
        <v>22464.53</v>
      </c>
      <c r="O319" s="17">
        <f>N319/N321*100</f>
        <v>24.512200817228667</v>
      </c>
      <c r="P319" s="52">
        <f>((O319*O319*(I319/100)*(K319/100))/(L319-1))</f>
        <v>0.58357419279734413</v>
      </c>
      <c r="AM319" s="78"/>
      <c r="AN319" s="78"/>
    </row>
    <row r="320" spans="1:40" x14ac:dyDescent="0.3">
      <c r="A320" t="s">
        <v>7</v>
      </c>
      <c r="B320" s="13">
        <v>4</v>
      </c>
      <c r="C320" s="35">
        <f t="shared" si="56"/>
        <v>0</v>
      </c>
      <c r="D320" s="36">
        <f t="shared" si="56"/>
        <v>0</v>
      </c>
      <c r="E320" s="21">
        <f t="shared" si="56"/>
        <v>1.2541433518642064</v>
      </c>
      <c r="F320" s="21">
        <f t="shared" si="56"/>
        <v>1.3168505194574169</v>
      </c>
      <c r="G320" s="37">
        <f t="shared" si="56"/>
        <v>12.729555021421696</v>
      </c>
      <c r="H320" s="17">
        <f>SUM(C320:G320)</f>
        <v>15.300548892743318</v>
      </c>
      <c r="I320" s="17">
        <f>G320/H320*100</f>
        <v>83.196721311475414</v>
      </c>
      <c r="J320" s="17">
        <f>SQRT(I320*(100-I320)/(L320-1))</f>
        <v>2.398540103105788</v>
      </c>
      <c r="K320" s="18">
        <f>100-I320</f>
        <v>16.803278688524586</v>
      </c>
      <c r="L320" s="1">
        <f>H309</f>
        <v>244</v>
      </c>
      <c r="M320">
        <v>4</v>
      </c>
      <c r="N320" s="1">
        <v>14022.39</v>
      </c>
      <c r="O320" s="17">
        <f>N320/N321*100</f>
        <v>15.30054889274332</v>
      </c>
      <c r="P320" s="52">
        <f>((O320*O320*(I320/100)*(K320/100))/(L320-1))</f>
        <v>0.13468151417582952</v>
      </c>
    </row>
    <row r="321" spans="1:40" x14ac:dyDescent="0.3">
      <c r="B321" t="s">
        <v>28</v>
      </c>
      <c r="C321" s="17">
        <f t="shared" ref="C321:H321" si="57">SUM(C316:C320)</f>
        <v>1.0643307881865853</v>
      </c>
      <c r="D321" s="17">
        <f t="shared" si="57"/>
        <v>0.27264960920780379</v>
      </c>
      <c r="E321" s="17">
        <f t="shared" si="57"/>
        <v>60.544932943399694</v>
      </c>
      <c r="F321" s="17">
        <f t="shared" si="57"/>
        <v>21.743684533814641</v>
      </c>
      <c r="G321" s="17">
        <f t="shared" si="57"/>
        <v>16.374402125391295</v>
      </c>
      <c r="H321" s="18">
        <f t="shared" si="57"/>
        <v>100.00000000000001</v>
      </c>
      <c r="I321" s="13" t="s">
        <v>24</v>
      </c>
      <c r="J321" s="12" t="s">
        <v>29</v>
      </c>
      <c r="N321" s="1">
        <f>SUM(N316:N320)</f>
        <v>91646.319999999992</v>
      </c>
      <c r="O321" s="17">
        <f>SUM(O316:O320)</f>
        <v>100.00000000000001</v>
      </c>
      <c r="AM321" s="78"/>
      <c r="AN321" s="78"/>
    </row>
    <row r="322" spans="1:40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9.9557560838721595E-2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0.62398948401830967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0.80931490320072452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0.88285752316774069</v>
      </c>
      <c r="H322" s="1"/>
      <c r="I322" s="14">
        <f>(C316+D317+E318+F319+G320)/H321</f>
        <v>0.92387741722361616</v>
      </c>
      <c r="J322" s="53">
        <f>SQRT(SUM(P316:P320))/100</f>
        <v>9.473470471899342E-3</v>
      </c>
      <c r="M322" s="1"/>
      <c r="N322" s="9"/>
    </row>
    <row r="323" spans="1:40" x14ac:dyDescent="0.3">
      <c r="B323" s="1" t="s">
        <v>30</v>
      </c>
      <c r="C323" s="17">
        <f>C316/C321*100</f>
        <v>100</v>
      </c>
      <c r="D323" s="17">
        <f>D317/D321*100</f>
        <v>100</v>
      </c>
      <c r="E323" s="17">
        <f>E318/E321*100</f>
        <v>95.622159402357852</v>
      </c>
      <c r="F323" s="17">
        <f>F319/F321*100</f>
        <v>93.94375632423511</v>
      </c>
      <c r="G323" s="17">
        <f>G320/G321*100</f>
        <v>77.740579008270203</v>
      </c>
      <c r="H323" s="1"/>
      <c r="AM323" s="78"/>
      <c r="AN323" s="78"/>
    </row>
    <row r="324" spans="1:40" x14ac:dyDescent="0.3">
      <c r="B324" s="16" t="s">
        <v>39</v>
      </c>
      <c r="C324" s="18">
        <f>SQRT((C327+C328)/(C321*C321))</f>
        <v>0</v>
      </c>
      <c r="D324" s="18">
        <f>SQRT((D327+D328)/(D321*D321))</f>
        <v>0</v>
      </c>
      <c r="E324" s="18">
        <f>SQRT((E327+E328)/(E321*E321))</f>
        <v>0.80420185291594137</v>
      </c>
      <c r="F324" s="18">
        <f>SQRT((F327+F328)/(F321*F321))</f>
        <v>2.4375874050088675</v>
      </c>
      <c r="G324" s="18">
        <f>SQRT((G327+G328)/(G321*G321))</f>
        <v>6.2878087883859086</v>
      </c>
      <c r="H324" s="1"/>
      <c r="I324" s="14"/>
    </row>
    <row r="325" spans="1:40" x14ac:dyDescent="0.3">
      <c r="B325" s="1" t="s">
        <v>37</v>
      </c>
      <c r="C325" s="18">
        <f>100-C323</f>
        <v>0</v>
      </c>
      <c r="D325" s="18">
        <f>100-D323</f>
        <v>0</v>
      </c>
      <c r="E325" s="18">
        <f>100-E323</f>
        <v>4.3778405976421482</v>
      </c>
      <c r="F325" s="18">
        <f>100-F323</f>
        <v>6.0562436757648896</v>
      </c>
      <c r="G325" s="18">
        <f>100-G323</f>
        <v>22.259420991729797</v>
      </c>
      <c r="AM325" s="78"/>
      <c r="AN325" s="78"/>
    </row>
    <row r="326" spans="1:40" ht="15.6" x14ac:dyDescent="0.35">
      <c r="B326" s="1" t="s">
        <v>25</v>
      </c>
      <c r="C326" s="1">
        <f>C310</f>
        <v>115</v>
      </c>
      <c r="D326" s="1">
        <f>D310</f>
        <v>5</v>
      </c>
      <c r="E326" s="1">
        <f>E310</f>
        <v>176</v>
      </c>
      <c r="F326" s="1">
        <f>F310</f>
        <v>141</v>
      </c>
      <c r="G326" s="1">
        <f>G310</f>
        <v>223</v>
      </c>
    </row>
    <row r="327" spans="1:40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0</v>
      </c>
      <c r="E327" s="18">
        <f>(O318*O318*(100-E323)*(100-E323)*(I318)*(100-I318))/((L318-1)*100)</f>
        <v>323.11294852922038</v>
      </c>
      <c r="F327" s="18">
        <f>(O319*O319*(100-F323)*(100-F323)*(I319)*(100-I319))/((L319-1)*100)</f>
        <v>2140.4385282961243</v>
      </c>
      <c r="G327" s="18">
        <f>(O320*O320*(100-G323)*(100-G323)*(I320)*(100-I320))/((L320-1)*100)</f>
        <v>6673.2242153029583</v>
      </c>
      <c r="AM327" s="78"/>
      <c r="AN327" s="78"/>
    </row>
    <row r="328" spans="1:40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0</v>
      </c>
      <c r="E328" s="18">
        <f>E323*E323*(SUM((H316*E316*(1-E305/H305))/(H305-1),(H317*E317*(1-E306/H306))/(H306-1), (H319*E319*(1-E308/H308))/(H308-1),(H320*E320*(1-E309/H309))/(H309-1)))</f>
        <v>2047.636967551399</v>
      </c>
      <c r="F328" s="18">
        <f>F323*F323*(SUM((H316*F316*(1-F305/H305))/(H305-1),(H317*F317*(1-F306/H306))/(H306-1), (H318*F318*(1-F307/H307))/(H307-1),(H320*F320*(1-F309/H309))/(H309-1)))</f>
        <v>668.78742140735903</v>
      </c>
      <c r="G328" s="18">
        <f>G323*G323*(SUM((H316*G316*(1-G305/H305))/(H305-1),(H317*G317*(1-G306/H306))/(H306-1), (H318*G318*(1-G307/H307))/(H307-1),(H319*G319*(1-G308/H308))/(H308-1)))</f>
        <v>3927.3540319744416</v>
      </c>
    </row>
    <row r="329" spans="1:40" x14ac:dyDescent="0.3">
      <c r="AM329" s="78"/>
      <c r="AN329" s="78"/>
    </row>
    <row r="331" spans="1:40" x14ac:dyDescent="0.3">
      <c r="A331" s="348">
        <v>1988</v>
      </c>
      <c r="B331" s="348"/>
      <c r="C331" s="348"/>
      <c r="D331" s="348"/>
      <c r="E331" s="348"/>
      <c r="F331" s="348"/>
      <c r="G331" s="348"/>
      <c r="H331" s="348"/>
      <c r="I331" s="348"/>
      <c r="J331" s="348"/>
      <c r="K331" s="348"/>
      <c r="L331" s="348" t="s">
        <v>84</v>
      </c>
      <c r="M331" s="348"/>
      <c r="N331" s="348"/>
      <c r="O331" s="348"/>
      <c r="P331" s="348"/>
      <c r="AM331" s="78"/>
      <c r="AN331" s="78"/>
    </row>
    <row r="332" spans="1:40" x14ac:dyDescent="0.3">
      <c r="A332" t="s">
        <v>315</v>
      </c>
      <c r="B332" t="s">
        <v>21</v>
      </c>
      <c r="I332" s="1" t="s">
        <v>53</v>
      </c>
      <c r="O332" s="350" t="s">
        <v>377</v>
      </c>
      <c r="P332" s="350"/>
    </row>
    <row r="333" spans="1:40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51</v>
      </c>
      <c r="O333" s="13" t="s">
        <v>644</v>
      </c>
      <c r="P333" s="13" t="s">
        <v>633</v>
      </c>
      <c r="AM333" s="78"/>
      <c r="AN333" s="78"/>
    </row>
    <row r="334" spans="1:40" x14ac:dyDescent="0.3">
      <c r="A334" t="s">
        <v>3</v>
      </c>
      <c r="B334" s="13">
        <v>0</v>
      </c>
      <c r="C334" s="26">
        <v>115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115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/>
      <c r="P334" s="1"/>
    </row>
    <row r="335" spans="1:40" x14ac:dyDescent="0.3">
      <c r="A335" t="s">
        <v>4</v>
      </c>
      <c r="B335" s="13">
        <v>1</v>
      </c>
      <c r="C335" s="5">
        <v>0</v>
      </c>
      <c r="D335" s="27">
        <v>5</v>
      </c>
      <c r="E335" s="1">
        <v>10</v>
      </c>
      <c r="F335" s="1">
        <v>0</v>
      </c>
      <c r="G335" s="6">
        <v>0</v>
      </c>
      <c r="H335" s="1">
        <f>SUM(C335:G335)</f>
        <v>15</v>
      </c>
      <c r="I335" s="10">
        <f>D335/H335</f>
        <v>0.33333333333333331</v>
      </c>
      <c r="J335" s="11">
        <f>1-I335</f>
        <v>0.66666666666666674</v>
      </c>
      <c r="K335">
        <f>H335-D339</f>
        <v>10</v>
      </c>
      <c r="N335" s="10">
        <f>2*(D340*I335)/(D340+I335)</f>
        <v>0.5</v>
      </c>
      <c r="O335" s="1"/>
      <c r="P335" s="1"/>
      <c r="AM335" s="78"/>
      <c r="AN335" s="78"/>
    </row>
    <row r="336" spans="1:40" x14ac:dyDescent="0.3">
      <c r="A336" t="s">
        <v>5</v>
      </c>
      <c r="B336" s="13">
        <v>2</v>
      </c>
      <c r="C336" s="5">
        <v>0</v>
      </c>
      <c r="D336" s="1">
        <v>0</v>
      </c>
      <c r="E336" s="27">
        <v>141</v>
      </c>
      <c r="F336" s="1">
        <v>0</v>
      </c>
      <c r="G336" s="6">
        <v>1</v>
      </c>
      <c r="H336" s="1">
        <f>SUM(C336:G336)</f>
        <v>142</v>
      </c>
      <c r="I336" s="10">
        <f>E336/H336</f>
        <v>0.99295774647887325</v>
      </c>
      <c r="J336" s="11">
        <f>1-I336</f>
        <v>7.0422535211267512E-3</v>
      </c>
      <c r="K336">
        <f>H336-E339</f>
        <v>-26</v>
      </c>
      <c r="N336" s="10">
        <f>2*(E340*I336)/(E340+I336)</f>
        <v>0.90967741935483881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0</v>
      </c>
      <c r="E337" s="1">
        <v>6</v>
      </c>
      <c r="F337" s="27">
        <v>127</v>
      </c>
      <c r="G337" s="6">
        <v>11</v>
      </c>
      <c r="H337" s="1">
        <f>SUM(C337:G337)</f>
        <v>144</v>
      </c>
      <c r="I337" s="10">
        <f>F337/H337</f>
        <v>0.88194444444444442</v>
      </c>
      <c r="J337" s="11">
        <f>1-I337</f>
        <v>0.11805555555555558</v>
      </c>
      <c r="K337">
        <f>H337-F339</f>
        <v>-7</v>
      </c>
      <c r="N337" s="10">
        <f>2*(F340*I337)/(F340+I337)</f>
        <v>0.86101694915254234</v>
      </c>
      <c r="O337" s="1"/>
      <c r="P337" s="1"/>
      <c r="AM337" s="78"/>
      <c r="AN337" s="78"/>
    </row>
    <row r="338" spans="1:40" x14ac:dyDescent="0.3">
      <c r="A338" t="s">
        <v>7</v>
      </c>
      <c r="B338" s="13">
        <v>4</v>
      </c>
      <c r="C338" s="7">
        <v>0</v>
      </c>
      <c r="D338" s="8">
        <v>0</v>
      </c>
      <c r="E338" s="8">
        <v>11</v>
      </c>
      <c r="F338" s="8">
        <v>24</v>
      </c>
      <c r="G338" s="28">
        <v>209</v>
      </c>
      <c r="H338" s="1">
        <f>SUM(C338:G338)</f>
        <v>244</v>
      </c>
      <c r="I338" s="10">
        <f>G338/H338</f>
        <v>0.85655737704918034</v>
      </c>
      <c r="J338" s="11">
        <f>1-I338</f>
        <v>0.14344262295081966</v>
      </c>
      <c r="K338">
        <f>H338-G339</f>
        <v>23</v>
      </c>
      <c r="N338" s="10">
        <f>2*(G340*I338)/(G340+I338)</f>
        <v>0.8989247311827957</v>
      </c>
      <c r="O338" s="1"/>
      <c r="P338" s="1"/>
    </row>
    <row r="339" spans="1:40" ht="15.6" x14ac:dyDescent="0.35">
      <c r="B339" s="1" t="s">
        <v>19</v>
      </c>
      <c r="C339" s="1">
        <f>SUM(C334:C338)</f>
        <v>115</v>
      </c>
      <c r="D339" s="1">
        <f>SUM(D334:D338)</f>
        <v>5</v>
      </c>
      <c r="E339" s="1">
        <f>SUM(E334:E338)</f>
        <v>168</v>
      </c>
      <c r="F339" s="1">
        <f>SUM(F334:F338)</f>
        <v>151</v>
      </c>
      <c r="G339" s="1">
        <f>SUM(G334:G338)</f>
        <v>221</v>
      </c>
      <c r="H339" s="1">
        <f>SUM(H333:H338)</f>
        <v>660</v>
      </c>
      <c r="I339" s="13" t="s">
        <v>12</v>
      </c>
      <c r="N339" s="16" t="s">
        <v>36</v>
      </c>
      <c r="O339" s="1">
        <f>SUM(O334:O338)</f>
        <v>0</v>
      </c>
      <c r="P339" s="1">
        <f>SUM(P334:P338)</f>
        <v>0</v>
      </c>
      <c r="AM339" s="78"/>
      <c r="AN339" s="78"/>
    </row>
    <row r="340" spans="1:40" x14ac:dyDescent="0.3">
      <c r="A340" s="1" t="s">
        <v>316</v>
      </c>
      <c r="B340" s="1" t="s">
        <v>2</v>
      </c>
      <c r="C340" s="10">
        <f>C334/C339</f>
        <v>1</v>
      </c>
      <c r="D340" s="10">
        <f>D335/D339</f>
        <v>1</v>
      </c>
      <c r="E340" s="10">
        <f>E336/E339</f>
        <v>0.8392857142857143</v>
      </c>
      <c r="F340" s="10">
        <f>F337/F339</f>
        <v>0.84105960264900659</v>
      </c>
      <c r="G340" s="10">
        <f>G338/G339</f>
        <v>0.94570135746606332</v>
      </c>
      <c r="H340" s="10"/>
      <c r="I340" s="14">
        <f>(C334+D335+E336+F337+G338)/H339</f>
        <v>0.90454545454545454</v>
      </c>
    </row>
    <row r="341" spans="1:40" x14ac:dyDescent="0.3">
      <c r="B341" s="1" t="s">
        <v>14</v>
      </c>
      <c r="C341" s="11">
        <f>1-C340</f>
        <v>0</v>
      </c>
      <c r="D341" s="11">
        <f>1-D340</f>
        <v>0</v>
      </c>
      <c r="E341" s="11">
        <f>1-E340</f>
        <v>0.1607142857142857</v>
      </c>
      <c r="F341" s="11">
        <f>1-F340</f>
        <v>0.15894039735099341</v>
      </c>
      <c r="G341" s="11">
        <f>1-G340</f>
        <v>5.4298642533936681E-2</v>
      </c>
      <c r="AM341" s="78"/>
      <c r="AN341" s="78"/>
    </row>
    <row r="342" spans="1:40" x14ac:dyDescent="0.3">
      <c r="C342" s="2"/>
    </row>
    <row r="343" spans="1:40" ht="15.6" x14ac:dyDescent="0.35">
      <c r="A343" t="s">
        <v>317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1.1570459130273862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1.1570459130273862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115</v>
      </c>
      <c r="M345">
        <v>0</v>
      </c>
      <c r="N345" s="1">
        <v>1060.3900000000001</v>
      </c>
      <c r="O345" s="17">
        <f>N345/N350*100</f>
        <v>1.1570459130273862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58">(C335/$L346)*$O346</f>
        <v>0</v>
      </c>
      <c r="D346" s="34">
        <f t="shared" si="58"/>
        <v>0.27566118675941742</v>
      </c>
      <c r="E346" s="19">
        <f t="shared" si="58"/>
        <v>0.55132237351883484</v>
      </c>
      <c r="F346" s="18">
        <f t="shared" si="58"/>
        <v>0</v>
      </c>
      <c r="G346" s="20">
        <f t="shared" si="58"/>
        <v>0</v>
      </c>
      <c r="H346" s="17">
        <f>SUM(C346:G346)</f>
        <v>0.82698356027825226</v>
      </c>
      <c r="I346" s="17">
        <f>D346/H346*100</f>
        <v>33.333333333333329</v>
      </c>
      <c r="J346" s="17">
        <f>SQRT(I346*(100-I346)/(L346-1))</f>
        <v>12.598815766974241</v>
      </c>
      <c r="K346" s="18">
        <f>100-I346</f>
        <v>66.666666666666671</v>
      </c>
      <c r="L346" s="1">
        <f>H335</f>
        <v>15</v>
      </c>
      <c r="M346">
        <v>1</v>
      </c>
      <c r="N346" s="1">
        <v>757.9</v>
      </c>
      <c r="O346" s="17">
        <f>N346/N350*100</f>
        <v>0.82698356027825237</v>
      </c>
      <c r="P346" s="52">
        <f>((O346*O346*(I346/100)*(K346/100))/(L346-1))</f>
        <v>1.0855584269372918E-2</v>
      </c>
    </row>
    <row r="347" spans="1:40" x14ac:dyDescent="0.3">
      <c r="A347" t="s">
        <v>5</v>
      </c>
      <c r="B347" s="13">
        <v>2</v>
      </c>
      <c r="C347" s="33">
        <f t="shared" si="58"/>
        <v>0</v>
      </c>
      <c r="D347" s="19">
        <f t="shared" si="58"/>
        <v>0</v>
      </c>
      <c r="E347" s="34">
        <f t="shared" si="58"/>
        <v>57.398556064441209</v>
      </c>
      <c r="F347" s="19">
        <f t="shared" si="58"/>
        <v>0</v>
      </c>
      <c r="G347" s="20">
        <f t="shared" si="58"/>
        <v>0.40708195790383833</v>
      </c>
      <c r="H347" s="17">
        <f>SUM(C347:G347)</f>
        <v>57.80563802234505</v>
      </c>
      <c r="I347" s="17">
        <f>E347/H347*100</f>
        <v>99.295774647887313</v>
      </c>
      <c r="J347" s="17">
        <f>SQRT(I347*(100-I347)/(L347-1))</f>
        <v>0.70422535211268134</v>
      </c>
      <c r="K347" s="18">
        <f>100-I347</f>
        <v>0.70422535211268666</v>
      </c>
      <c r="L347" s="1">
        <f>H336</f>
        <v>142</v>
      </c>
      <c r="M347">
        <v>2</v>
      </c>
      <c r="N347" s="1">
        <v>52976.74</v>
      </c>
      <c r="O347" s="17">
        <f>N347/N350*100</f>
        <v>57.805638022345043</v>
      </c>
      <c r="P347" s="52">
        <f>((O347*O347*(I347/100)*(K347/100))/(L347-1))</f>
        <v>0.16571572045082489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58"/>
        <v>0</v>
      </c>
      <c r="D348" s="19">
        <f t="shared" si="58"/>
        <v>0</v>
      </c>
      <c r="E348" s="19">
        <f t="shared" si="58"/>
        <v>1.0285105646722457</v>
      </c>
      <c r="F348" s="34">
        <f t="shared" si="58"/>
        <v>21.770140285562537</v>
      </c>
      <c r="G348" s="20">
        <f t="shared" si="58"/>
        <v>1.8856027018991175</v>
      </c>
      <c r="H348" s="17">
        <f>SUM(C348:G348)</f>
        <v>24.684253552133899</v>
      </c>
      <c r="I348" s="17">
        <f>F348/H348*100</f>
        <v>88.194444444444443</v>
      </c>
      <c r="J348" s="17">
        <f>SQRT(I348*(100-I348)/(L348-1))</f>
        <v>2.6983346503309322</v>
      </c>
      <c r="K348" s="18">
        <f>100-I348</f>
        <v>11.805555555555557</v>
      </c>
      <c r="L348" s="1">
        <f>H337</f>
        <v>144</v>
      </c>
      <c r="M348">
        <v>3</v>
      </c>
      <c r="N348" s="1">
        <v>22622.21</v>
      </c>
      <c r="O348" s="17">
        <f>N348/N350*100</f>
        <v>24.684253552133899</v>
      </c>
      <c r="P348" s="52">
        <f>((O348*O348*(I348/100)*(K348/100))/(L348-1))</f>
        <v>0.44364094140753485</v>
      </c>
    </row>
    <row r="349" spans="1:40" x14ac:dyDescent="0.3">
      <c r="A349" t="s">
        <v>7</v>
      </c>
      <c r="B349" s="13">
        <v>4</v>
      </c>
      <c r="C349" s="35">
        <f t="shared" si="58"/>
        <v>0</v>
      </c>
      <c r="D349" s="36">
        <f t="shared" si="58"/>
        <v>0</v>
      </c>
      <c r="E349" s="21">
        <f t="shared" si="58"/>
        <v>0.69994618227200711</v>
      </c>
      <c r="F349" s="21">
        <f t="shared" si="58"/>
        <v>1.5271553067752881</v>
      </c>
      <c r="G349" s="37">
        <f t="shared" si="58"/>
        <v>13.298977463168136</v>
      </c>
      <c r="H349" s="17">
        <f>SUM(C349:G349)</f>
        <v>15.526078952215432</v>
      </c>
      <c r="I349" s="17">
        <f>G349/H349*100</f>
        <v>85.655737704918039</v>
      </c>
      <c r="J349" s="17">
        <f>SQRT(I349*(100-I349)/(L349-1))</f>
        <v>2.2486103332811194</v>
      </c>
      <c r="K349" s="18">
        <f>100-I349</f>
        <v>14.344262295081961</v>
      </c>
      <c r="L349" s="1">
        <f>H338</f>
        <v>244</v>
      </c>
      <c r="M349">
        <v>4</v>
      </c>
      <c r="N349" s="1">
        <v>14229.08</v>
      </c>
      <c r="O349" s="17">
        <f>N349/N350*100</f>
        <v>15.52607895221543</v>
      </c>
      <c r="P349" s="52">
        <f>((O349*O349*(I349/100)*(K349/100))/(L349-1))</f>
        <v>0.12188548358447802</v>
      </c>
      <c r="AM349" s="78"/>
      <c r="AN349" s="78"/>
    </row>
    <row r="350" spans="1:40" x14ac:dyDescent="0.3">
      <c r="B350" t="s">
        <v>28</v>
      </c>
      <c r="C350" s="17">
        <f t="shared" ref="C350:H350" si="59">SUM(C345:C349)</f>
        <v>1.1570459130273862</v>
      </c>
      <c r="D350" s="17">
        <f t="shared" si="59"/>
        <v>0.27566118675941742</v>
      </c>
      <c r="E350" s="17">
        <f t="shared" si="59"/>
        <v>59.678335184904299</v>
      </c>
      <c r="F350" s="17">
        <f t="shared" si="59"/>
        <v>23.297295592337825</v>
      </c>
      <c r="G350" s="17">
        <f t="shared" si="59"/>
        <v>15.591662122971091</v>
      </c>
      <c r="H350" s="18">
        <f t="shared" si="59"/>
        <v>100.00000000000001</v>
      </c>
      <c r="I350" s="13" t="s">
        <v>24</v>
      </c>
      <c r="J350" s="12" t="s">
        <v>29</v>
      </c>
      <c r="N350" s="1">
        <f>SUM(N345:N349)</f>
        <v>91646.319999999992</v>
      </c>
      <c r="O350" s="17">
        <f>SUM(O345:O349)</f>
        <v>100.00000000000001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0.10065723347785159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0.62142650298590818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0.72675788950365927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0.76450687112091154</v>
      </c>
      <c r="H351" s="1"/>
      <c r="I351" s="14">
        <f>(C345+D346+E347+F348+G349)/H350</f>
        <v>0.93900380912958681</v>
      </c>
      <c r="J351" s="53">
        <f>SQRT(SUM(P345:P349))/100</f>
        <v>8.6145094446068767E-3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100</v>
      </c>
      <c r="E352" s="17">
        <f>E347/E350*100</f>
        <v>96.1798882066674</v>
      </c>
      <c r="F352" s="17">
        <f>F348/F350*100</f>
        <v>93.444924537603626</v>
      </c>
      <c r="G352" s="17">
        <f>G349/G350*100</f>
        <v>85.295444182149396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0</v>
      </c>
      <c r="E353" s="18">
        <f>SQRT((E356+E357)/(E350*E350))</f>
        <v>0.80556923384837187</v>
      </c>
      <c r="F353" s="18">
        <f>SQRT((F356+F357)/(F350*F350))</f>
        <v>2.219808609545928</v>
      </c>
      <c r="G353" s="18">
        <f>SQRT((G356+G357)/(G350*G350))</f>
        <v>4.9796887306909809</v>
      </c>
      <c r="H353" s="1"/>
      <c r="I353" s="14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0</v>
      </c>
      <c r="E354" s="18">
        <f>100-E352</f>
        <v>3.8201117933326003</v>
      </c>
      <c r="F354" s="18">
        <f>100-F352</f>
        <v>6.5550754623963741</v>
      </c>
      <c r="G354" s="18">
        <f>100-G352</f>
        <v>14.704555817850604</v>
      </c>
    </row>
    <row r="355" spans="1:40" ht="15.6" x14ac:dyDescent="0.35">
      <c r="B355" s="1" t="s">
        <v>25</v>
      </c>
      <c r="C355" s="1">
        <f>C339</f>
        <v>115</v>
      </c>
      <c r="D355" s="1">
        <f>D339</f>
        <v>5</v>
      </c>
      <c r="E355" s="1">
        <f>E339</f>
        <v>168</v>
      </c>
      <c r="F355" s="1">
        <f>F339</f>
        <v>151</v>
      </c>
      <c r="G355" s="1">
        <f>G339</f>
        <v>221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0</v>
      </c>
      <c r="E356" s="18">
        <f>(O347*O347*(100-E352)*(100-E352)*(I347)*(100-I347))/((L347-1)*100)</f>
        <v>241.8331619150363</v>
      </c>
      <c r="F356" s="18">
        <f>(O348*O348*(100-F352)*(100-F352)*(I348)*(100-I348))/((L348-1)*100)</f>
        <v>1906.2813963263166</v>
      </c>
      <c r="G356" s="18">
        <f>(O349*O349*(100-G352)*(100-G352)*(I349)*(100-I349))/((L349-1)*100)</f>
        <v>2635.4562146579328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0</v>
      </c>
      <c r="E357" s="18">
        <f>E352*E352*(SUM((H345*E345*(1-E334/H334))/(H334-1),(H346*E346*(1-E335/H335))/(H335-1), (H348*E348*(1-E337/H337))/(H337-1),(H349*E349*(1-E338/H338))/(H338-1)))</f>
        <v>2069.375419914717</v>
      </c>
      <c r="F357" s="18">
        <f>F352*F352*(SUM((H345*F345*(1-F334/H334))/(H334-1),(H346*F346*(1-F335/H335))/(H335-1), (H347*F347*(1-F336/H336))/(H336-1),(H349*F349*(1-F338/H338))/(H338-1)))</f>
        <v>768.2154055222793</v>
      </c>
      <c r="G357" s="18">
        <f>G352*G352*(SUM((H345*G345*(1-G334/H334))/(H334-1),(H346*G346*(1-G335/H335))/(H335-1), (H347*G347*(1-G336/H336))/(H336-1),(H348*G348*(1-G337/H337))/(H337-1)))</f>
        <v>3392.7655885541908</v>
      </c>
      <c r="AM357" s="78"/>
      <c r="AN357" s="78"/>
    </row>
    <row r="359" spans="1:40" x14ac:dyDescent="0.3">
      <c r="AM359" s="78"/>
      <c r="AN359" s="78"/>
    </row>
    <row r="360" spans="1:40" x14ac:dyDescent="0.3">
      <c r="A360" s="348">
        <v>1988</v>
      </c>
      <c r="B360" s="348"/>
      <c r="C360" s="348"/>
      <c r="D360" s="348"/>
      <c r="E360" s="348"/>
      <c r="F360" s="348"/>
      <c r="G360" s="348"/>
      <c r="H360" s="348"/>
      <c r="I360" s="348"/>
      <c r="J360" s="348"/>
      <c r="K360" s="348"/>
      <c r="L360" s="348" t="s">
        <v>85</v>
      </c>
      <c r="M360" s="348"/>
      <c r="N360" s="348"/>
      <c r="O360" s="348"/>
      <c r="P360" s="348"/>
    </row>
    <row r="361" spans="1:40" x14ac:dyDescent="0.3">
      <c r="A361" t="s">
        <v>15</v>
      </c>
      <c r="B361" t="s">
        <v>21</v>
      </c>
      <c r="I361" s="1" t="s">
        <v>53</v>
      </c>
      <c r="O361" s="350" t="s">
        <v>377</v>
      </c>
      <c r="P361" s="350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51</v>
      </c>
      <c r="O362" s="13" t="s">
        <v>644</v>
      </c>
      <c r="P362" s="13" t="s">
        <v>633</v>
      </c>
    </row>
    <row r="363" spans="1:40" x14ac:dyDescent="0.3">
      <c r="A363" t="s">
        <v>3</v>
      </c>
      <c r="B363" s="13">
        <v>0</v>
      </c>
      <c r="C363" s="26">
        <v>115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115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4</v>
      </c>
      <c r="E364" s="1">
        <v>11</v>
      </c>
      <c r="F364" s="1">
        <v>0</v>
      </c>
      <c r="G364" s="6">
        <v>0</v>
      </c>
      <c r="H364" s="1">
        <f>SUM(C364:G364)</f>
        <v>15</v>
      </c>
      <c r="I364" s="10">
        <f>D364/H364</f>
        <v>0.26666666666666666</v>
      </c>
      <c r="J364" s="11">
        <f>1-I364</f>
        <v>0.73333333333333339</v>
      </c>
      <c r="K364">
        <f>H364-D368</f>
        <v>11</v>
      </c>
      <c r="N364" s="10">
        <f>2*(D369*I364)/(D369+I364)</f>
        <v>0.4210526315789474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0</v>
      </c>
      <c r="E365" s="27">
        <v>140</v>
      </c>
      <c r="F365" s="1">
        <v>0</v>
      </c>
      <c r="G365" s="6">
        <v>2</v>
      </c>
      <c r="H365" s="1">
        <f>SUM(C365:G365)</f>
        <v>142</v>
      </c>
      <c r="I365" s="10">
        <f>E365/H365</f>
        <v>0.9859154929577465</v>
      </c>
      <c r="J365" s="11">
        <f>1-I365</f>
        <v>1.4084507042253502E-2</v>
      </c>
      <c r="K365">
        <f>H365-E368</f>
        <v>-25</v>
      </c>
      <c r="N365" s="10">
        <f>2*(E369*I365)/(E369+I365)</f>
        <v>0.90614886731391575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0</v>
      </c>
      <c r="E366" s="1">
        <v>6</v>
      </c>
      <c r="F366" s="27">
        <v>125</v>
      </c>
      <c r="G366" s="6">
        <v>13</v>
      </c>
      <c r="H366" s="1">
        <f>SUM(C366:G366)</f>
        <v>144</v>
      </c>
      <c r="I366" s="10">
        <f>F366/H366</f>
        <v>0.86805555555555558</v>
      </c>
      <c r="J366" s="11">
        <f>1-I366</f>
        <v>0.13194444444444442</v>
      </c>
      <c r="K366">
        <f>H366-F368</f>
        <v>-4</v>
      </c>
      <c r="N366" s="10">
        <f>2*(F369*I366)/(F369+I366)</f>
        <v>0.85616438356164393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0</v>
      </c>
      <c r="E367" s="8">
        <v>10</v>
      </c>
      <c r="F367" s="8">
        <v>23</v>
      </c>
      <c r="G367" s="28">
        <v>211</v>
      </c>
      <c r="H367" s="1">
        <f>SUM(C367:G367)</f>
        <v>244</v>
      </c>
      <c r="I367" s="10">
        <f>G367/H367</f>
        <v>0.86475409836065575</v>
      </c>
      <c r="J367" s="11">
        <f>1-I367</f>
        <v>0.13524590163934425</v>
      </c>
      <c r="K367">
        <f>H367-G368</f>
        <v>18</v>
      </c>
      <c r="N367" s="10">
        <f>2*(G369*I367)/(G369+I367)</f>
        <v>0.89787234042553199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115</v>
      </c>
      <c r="D368" s="1">
        <f>SUM(D363:D367)</f>
        <v>4</v>
      </c>
      <c r="E368" s="1">
        <f>SUM(E363:E367)</f>
        <v>167</v>
      </c>
      <c r="F368" s="1">
        <f>SUM(F363:F367)</f>
        <v>148</v>
      </c>
      <c r="G368" s="1">
        <f>SUM(G363:G367)</f>
        <v>226</v>
      </c>
      <c r="H368" s="1">
        <f>SUM(H362:H367)</f>
        <v>660</v>
      </c>
      <c r="I368" s="13" t="s">
        <v>12</v>
      </c>
      <c r="N368" s="16" t="s">
        <v>36</v>
      </c>
      <c r="O368" s="1">
        <f>SUM(O363:O367)</f>
        <v>0</v>
      </c>
      <c r="P368" s="1">
        <f>SUM(P363:P367)</f>
        <v>0</v>
      </c>
    </row>
    <row r="369" spans="1:40" x14ac:dyDescent="0.3">
      <c r="A369" s="1" t="s">
        <v>52</v>
      </c>
      <c r="B369" s="1" t="s">
        <v>2</v>
      </c>
      <c r="C369" s="10">
        <f>C363/C368</f>
        <v>1</v>
      </c>
      <c r="D369" s="10">
        <f>D364/D368</f>
        <v>1</v>
      </c>
      <c r="E369" s="10">
        <f>E365/E368</f>
        <v>0.83832335329341312</v>
      </c>
      <c r="F369" s="10">
        <f>F366/F368</f>
        <v>0.84459459459459463</v>
      </c>
      <c r="G369" s="10">
        <f>G367/G368</f>
        <v>0.9336283185840708</v>
      </c>
      <c r="H369" s="10"/>
      <c r="I369" s="14">
        <f>(C363+D364+E365+F366+G367)/H368</f>
        <v>0.90151515151515149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0</v>
      </c>
      <c r="E370" s="11">
        <f>1-E369</f>
        <v>0.16167664670658688</v>
      </c>
      <c r="F370" s="11">
        <f>1-F369</f>
        <v>0.15540540540540537</v>
      </c>
      <c r="G370" s="11">
        <f>1-G369</f>
        <v>6.6371681415929196E-2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1.0501893529178965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1.0501893529178965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115</v>
      </c>
      <c r="M374">
        <v>0</v>
      </c>
      <c r="N374" s="1">
        <v>962.46</v>
      </c>
      <c r="O374" s="17">
        <f>N374/N379*100</f>
        <v>1.0501893529178965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60">(C364/$L375)*$O375</f>
        <v>0</v>
      </c>
      <c r="D375" s="34">
        <f t="shared" si="60"/>
        <v>0.24661471259496512</v>
      </c>
      <c r="E375" s="19">
        <f t="shared" si="60"/>
        <v>0.6781904596361541</v>
      </c>
      <c r="F375" s="18">
        <f t="shared" si="60"/>
        <v>0</v>
      </c>
      <c r="G375" s="20">
        <f t="shared" si="60"/>
        <v>0</v>
      </c>
      <c r="H375" s="17">
        <f>SUM(C375:G375)</f>
        <v>0.92480517223111924</v>
      </c>
      <c r="I375" s="17">
        <f>D375/H375*100</f>
        <v>26.666666666666668</v>
      </c>
      <c r="J375" s="17">
        <f>SQRT(I375*(100-I375)/(L375-1))</f>
        <v>11.818736805705576</v>
      </c>
      <c r="K375" s="18">
        <f>100-I375</f>
        <v>73.333333333333329</v>
      </c>
      <c r="L375" s="1">
        <f>H364</f>
        <v>15</v>
      </c>
      <c r="M375">
        <v>1</v>
      </c>
      <c r="N375" s="1">
        <v>847.55</v>
      </c>
      <c r="O375" s="17">
        <f>N375/N379*100</f>
        <v>0.92480517223111924</v>
      </c>
      <c r="P375" s="52">
        <f>((O375*O375*(I375/100)*(K375/100))/(L375-1))</f>
        <v>1.1946553234844103E-2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60"/>
        <v>0</v>
      </c>
      <c r="D376" s="19">
        <f t="shared" si="60"/>
        <v>0</v>
      </c>
      <c r="E376" s="34">
        <f t="shared" si="60"/>
        <v>56.917088262248214</v>
      </c>
      <c r="F376" s="19">
        <f t="shared" si="60"/>
        <v>0</v>
      </c>
      <c r="G376" s="20">
        <f t="shared" si="60"/>
        <v>0.81310126088926027</v>
      </c>
      <c r="H376" s="17">
        <f>SUM(C376:G376)</f>
        <v>57.730189523137476</v>
      </c>
      <c r="I376" s="17">
        <f>E376/H376*100</f>
        <v>98.591549295774655</v>
      </c>
      <c r="J376" s="17">
        <f>SQRT(I376*(100-I376)/(L376-1))</f>
        <v>0.99238711073976715</v>
      </c>
      <c r="K376" s="18">
        <f>100-I376</f>
        <v>1.4084507042253449</v>
      </c>
      <c r="L376" s="1">
        <f>H365</f>
        <v>142</v>
      </c>
      <c r="M376">
        <v>2</v>
      </c>
      <c r="N376" s="1">
        <v>52907.6</v>
      </c>
      <c r="O376" s="17">
        <f>N376/N379*100</f>
        <v>57.730189523137476</v>
      </c>
      <c r="P376" s="52">
        <f>((O376*O376*(I376/100)*(K376/100))/(L376-1))</f>
        <v>0.32822238462538367</v>
      </c>
    </row>
    <row r="377" spans="1:40" x14ac:dyDescent="0.3">
      <c r="A377" t="s">
        <v>6</v>
      </c>
      <c r="B377" s="13">
        <v>3</v>
      </c>
      <c r="C377" s="33">
        <f t="shared" si="60"/>
        <v>0</v>
      </c>
      <c r="D377" s="19">
        <f t="shared" si="60"/>
        <v>0</v>
      </c>
      <c r="E377" s="19">
        <f t="shared" si="60"/>
        <v>1.0398393294454162</v>
      </c>
      <c r="F377" s="34">
        <f t="shared" si="60"/>
        <v>21.663319363446174</v>
      </c>
      <c r="G377" s="20">
        <f t="shared" si="60"/>
        <v>2.2529852137984019</v>
      </c>
      <c r="H377" s="17">
        <f>SUM(C377:G377)</f>
        <v>24.956143906689995</v>
      </c>
      <c r="I377" s="17">
        <f>F377/H377*100</f>
        <v>86.805555555555543</v>
      </c>
      <c r="J377" s="17">
        <f>SQRT(I377*(100-I377)/(L377-1))</f>
        <v>2.8300968382044434</v>
      </c>
      <c r="K377" s="18">
        <f>100-I377</f>
        <v>13.194444444444457</v>
      </c>
      <c r="L377" s="1">
        <f>H366</f>
        <v>144</v>
      </c>
      <c r="M377">
        <v>3</v>
      </c>
      <c r="N377" s="1">
        <v>22871.39</v>
      </c>
      <c r="O377" s="17">
        <f>N377/N379*100</f>
        <v>24.956143906689991</v>
      </c>
      <c r="P377" s="52">
        <f>((O377*O377*(I377/100)*(K377/100))/(L377-1))</f>
        <v>0.4988357320845081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60"/>
        <v>0</v>
      </c>
      <c r="D378" s="36">
        <f t="shared" si="60"/>
        <v>0</v>
      </c>
      <c r="E378" s="21">
        <f t="shared" si="60"/>
        <v>0.62863410020588173</v>
      </c>
      <c r="F378" s="21">
        <f t="shared" si="60"/>
        <v>1.445858430473528</v>
      </c>
      <c r="G378" s="37">
        <f t="shared" si="60"/>
        <v>13.264179514344107</v>
      </c>
      <c r="H378" s="17">
        <f>SUM(C378:G378)</f>
        <v>15.338672045023518</v>
      </c>
      <c r="I378" s="17">
        <f>G378/H378*100</f>
        <v>86.475409836065566</v>
      </c>
      <c r="J378" s="17">
        <f>SQRT(I378*(100-I378)/(L378-1))</f>
        <v>2.1938414335967047</v>
      </c>
      <c r="K378" s="18">
        <f>100-I378</f>
        <v>13.524590163934434</v>
      </c>
      <c r="L378" s="1">
        <f>H367</f>
        <v>244</v>
      </c>
      <c r="M378">
        <v>4</v>
      </c>
      <c r="N378" s="1">
        <v>14057.33</v>
      </c>
      <c r="O378" s="17">
        <f>N378/N379*100</f>
        <v>15.338672045023516</v>
      </c>
      <c r="P378" s="52">
        <f>((O378*O378*(I378/100)*(K378/100))/(L378-1))</f>
        <v>0.11323638406624568</v>
      </c>
    </row>
    <row r="379" spans="1:40" x14ac:dyDescent="0.3">
      <c r="B379" t="s">
        <v>28</v>
      </c>
      <c r="C379" s="17">
        <f t="shared" ref="C379:H379" si="61">SUM(C374:C378)</f>
        <v>1.0501893529178965</v>
      </c>
      <c r="D379" s="17">
        <f t="shared" si="61"/>
        <v>0.24661471259496512</v>
      </c>
      <c r="E379" s="17">
        <f t="shared" si="61"/>
        <v>59.263752151535662</v>
      </c>
      <c r="F379" s="17">
        <f t="shared" si="61"/>
        <v>23.109177793919702</v>
      </c>
      <c r="G379" s="17">
        <f t="shared" si="61"/>
        <v>16.330265989031769</v>
      </c>
      <c r="H379" s="18">
        <f t="shared" si="61"/>
        <v>100</v>
      </c>
      <c r="I379" s="13" t="s">
        <v>24</v>
      </c>
      <c r="J379" s="12" t="s">
        <v>29</v>
      </c>
      <c r="N379" s="1">
        <f>SUM(N374:N378)</f>
        <v>91646.33</v>
      </c>
      <c r="O379" s="17">
        <f>SUM(O374:O378)</f>
        <v>100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0.1055941113534328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0.74004171957045728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0.76006285029512088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0.89100548020256487</v>
      </c>
      <c r="H380" s="1"/>
      <c r="I380" s="14">
        <f>(C374+D375+E376+F377+G378)/H379</f>
        <v>0.9314139120555136</v>
      </c>
      <c r="J380" s="53">
        <f>SQRT(SUM(P374:P378))/100</f>
        <v>9.758283937306711E-3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100</v>
      </c>
      <c r="E381" s="17">
        <f>E376/E379*100</f>
        <v>96.040304901236937</v>
      </c>
      <c r="F381" s="17">
        <f>F377/F379*100</f>
        <v>93.743358403456696</v>
      </c>
      <c r="G381" s="17">
        <f>G378/G379*100</f>
        <v>81.224516019843151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0</v>
      </c>
      <c r="E382" s="18">
        <f>SQRT((E385+E386)/(E379*E379))</f>
        <v>0.85706573203467207</v>
      </c>
      <c r="F382" s="18">
        <f>SQRT((F385+F386)/(F379*F379))</f>
        <v>2.2398227796423207</v>
      </c>
      <c r="G382" s="18">
        <f>SQRT((G385+G386)/(G379*G379))</f>
        <v>5.6513415934347488</v>
      </c>
      <c r="H382" s="1"/>
      <c r="I382" s="14"/>
    </row>
    <row r="383" spans="1:40" x14ac:dyDescent="0.3">
      <c r="B383" s="1" t="s">
        <v>37</v>
      </c>
      <c r="C383" s="18">
        <f>100-C381</f>
        <v>0</v>
      </c>
      <c r="D383" s="18">
        <f>100-D381</f>
        <v>0</v>
      </c>
      <c r="E383" s="18">
        <f>100-E381</f>
        <v>3.9596950987630635</v>
      </c>
      <c r="F383" s="18">
        <f>100-F381</f>
        <v>6.2566415965433038</v>
      </c>
      <c r="G383" s="18">
        <f>100-G381</f>
        <v>18.775483980156849</v>
      </c>
      <c r="AM383" s="78"/>
      <c r="AN383" s="78"/>
    </row>
    <row r="384" spans="1:40" ht="15.6" x14ac:dyDescent="0.35">
      <c r="B384" s="1" t="s">
        <v>25</v>
      </c>
      <c r="C384" s="1">
        <f>C368</f>
        <v>115</v>
      </c>
      <c r="D384" s="1">
        <f>D368</f>
        <v>4</v>
      </c>
      <c r="E384" s="1">
        <f>E368</f>
        <v>167</v>
      </c>
      <c r="F384" s="1">
        <f>F368</f>
        <v>148</v>
      </c>
      <c r="G384" s="1">
        <f>G368</f>
        <v>226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0</v>
      </c>
      <c r="E385" s="18">
        <f>(O376*O376*(100-E381)*(100-E381)*(I376)*(100-I376))/((L376-1)*100)</f>
        <v>514.62595799989197</v>
      </c>
      <c r="F385" s="18">
        <f>(O377*O377*(100-F381)*(100-F381)*(I377)*(100-I377))/((L377-1)*100)</f>
        <v>1952.7206109520234</v>
      </c>
      <c r="G385" s="18">
        <f>(O378*O378*(100-G381)*(100-G381)*(I378)*(100-I378))/((L378-1)*100)</f>
        <v>3991.7954078933481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0</v>
      </c>
      <c r="E386" s="18">
        <f>E381*E381*(SUM((H374*E374*(1-E363/H363))/(H363-1),(H375*E375*(1-E364/H364))/(H364-1), (H377*E377*(1-E366/H366))/(H366-1),(H378*E378*(1-E367/H367))/(H367-1)))</f>
        <v>2065.2958938502925</v>
      </c>
      <c r="F386" s="18">
        <f>F381*F381*(SUM((H374*F374*(1-F363/H363))/(H363-1),(H375*F375*(1-F364/H364))/(H364-1), (H376*F376*(1-F365/H365))/(H365-1),(H378*F378*(1-F367/H367))/(H367-1)))</f>
        <v>726.42490262730314</v>
      </c>
      <c r="G386" s="18">
        <f>G381*G381*(SUM((H374*G374*(1-G363/H363))/(H363-1),(H375*G375*(1-G364/H364))/(H364-1), (H376*G376*(1-G365/H365))/(H365-1),(H377*G377*(1-G366/H366))/(H366-1)))</f>
        <v>4525.2631855728523</v>
      </c>
    </row>
    <row r="387" spans="1:40" x14ac:dyDescent="0.3">
      <c r="AM387" s="78"/>
      <c r="AN387" s="78"/>
    </row>
    <row r="389" spans="1:40" x14ac:dyDescent="0.3">
      <c r="A389" s="348">
        <v>1988</v>
      </c>
      <c r="B389" s="348"/>
      <c r="C389" s="348"/>
      <c r="D389" s="348"/>
      <c r="E389" s="348"/>
      <c r="F389" s="348"/>
      <c r="G389" s="348"/>
      <c r="H389" s="348"/>
      <c r="I389" s="348"/>
      <c r="J389" s="348"/>
      <c r="K389" s="348"/>
      <c r="L389" s="348" t="s">
        <v>86</v>
      </c>
      <c r="M389" s="348"/>
      <c r="N389" s="348"/>
      <c r="O389" s="348"/>
      <c r="P389" s="348"/>
      <c r="AM389" s="78"/>
      <c r="AN389" s="78"/>
    </row>
    <row r="390" spans="1:40" x14ac:dyDescent="0.3">
      <c r="A390" t="s">
        <v>15</v>
      </c>
      <c r="B390" t="s">
        <v>21</v>
      </c>
      <c r="I390" s="1" t="s">
        <v>53</v>
      </c>
      <c r="O390" s="350" t="s">
        <v>377</v>
      </c>
      <c r="P390" s="350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51</v>
      </c>
      <c r="O391" s="13" t="s">
        <v>644</v>
      </c>
      <c r="P391" s="13" t="s">
        <v>633</v>
      </c>
      <c r="AM391" s="78"/>
      <c r="AN391" s="78"/>
    </row>
    <row r="392" spans="1:40" x14ac:dyDescent="0.3">
      <c r="A392" t="s">
        <v>3</v>
      </c>
      <c r="B392" s="13">
        <v>0</v>
      </c>
      <c r="C392" s="26">
        <v>115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115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4</v>
      </c>
      <c r="E393" s="1">
        <v>11</v>
      </c>
      <c r="F393" s="1">
        <v>0</v>
      </c>
      <c r="G393" s="6">
        <v>0</v>
      </c>
      <c r="H393" s="1">
        <f>SUM(C393:G393)</f>
        <v>15</v>
      </c>
      <c r="I393" s="10">
        <f>D393/H393</f>
        <v>0.26666666666666666</v>
      </c>
      <c r="J393" s="11">
        <f>1-I393</f>
        <v>0.73333333333333339</v>
      </c>
      <c r="K393">
        <f>H393-D397</f>
        <v>11</v>
      </c>
      <c r="N393" s="10">
        <f>2*(D398*I393)/(D398+I393)</f>
        <v>0.4210526315789474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0</v>
      </c>
      <c r="E394" s="27">
        <v>141</v>
      </c>
      <c r="F394" s="1">
        <v>0</v>
      </c>
      <c r="G394" s="6">
        <v>1</v>
      </c>
      <c r="H394" s="1">
        <f>SUM(C394:G394)</f>
        <v>142</v>
      </c>
      <c r="I394" s="10">
        <f>E394/H394</f>
        <v>0.99295774647887325</v>
      </c>
      <c r="J394" s="11">
        <f>1-I394</f>
        <v>7.0422535211267512E-3</v>
      </c>
      <c r="K394">
        <f>H394-E397</f>
        <v>-30</v>
      </c>
      <c r="N394" s="10">
        <f>2*(E398*I394)/(E398+I394)</f>
        <v>0.89808917197452232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0</v>
      </c>
      <c r="E395" s="1">
        <v>5</v>
      </c>
      <c r="F395" s="27">
        <v>126</v>
      </c>
      <c r="G395" s="6">
        <v>13</v>
      </c>
      <c r="H395" s="1">
        <f>SUM(C395:G395)</f>
        <v>144</v>
      </c>
      <c r="I395" s="10">
        <f>F395/H395</f>
        <v>0.875</v>
      </c>
      <c r="J395" s="11">
        <f>1-I395</f>
        <v>0.125</v>
      </c>
      <c r="K395">
        <f>H395-F397</f>
        <v>-3</v>
      </c>
      <c r="N395" s="10">
        <f>2*(F398*I395)/(F398+I395)</f>
        <v>0.86597938144329889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0</v>
      </c>
      <c r="E396" s="8">
        <v>15</v>
      </c>
      <c r="F396" s="8">
        <v>21</v>
      </c>
      <c r="G396" s="28">
        <v>208</v>
      </c>
      <c r="H396" s="1">
        <f>SUM(C396:G396)</f>
        <v>244</v>
      </c>
      <c r="I396" s="10">
        <f>G396/H396</f>
        <v>0.85245901639344257</v>
      </c>
      <c r="J396" s="11">
        <f>1-I396</f>
        <v>0.14754098360655743</v>
      </c>
      <c r="K396">
        <f>H396-G397</f>
        <v>22</v>
      </c>
      <c r="N396" s="10">
        <f>2*(G398*I396)/(G398+I396)</f>
        <v>0.89270386266094426</v>
      </c>
      <c r="O396" s="1"/>
      <c r="P396" s="1"/>
    </row>
    <row r="397" spans="1:40" ht="15.6" x14ac:dyDescent="0.35">
      <c r="B397" s="1" t="s">
        <v>19</v>
      </c>
      <c r="C397" s="1">
        <f>SUM(C392:C396)</f>
        <v>115</v>
      </c>
      <c r="D397" s="1">
        <f>SUM(D392:D396)</f>
        <v>4</v>
      </c>
      <c r="E397" s="1">
        <f>SUM(E392:E396)</f>
        <v>172</v>
      </c>
      <c r="F397" s="1">
        <f>SUM(F392:F396)</f>
        <v>147</v>
      </c>
      <c r="G397" s="1">
        <f>SUM(G392:G396)</f>
        <v>222</v>
      </c>
      <c r="H397" s="1">
        <f>SUM(H391:H396)</f>
        <v>660</v>
      </c>
      <c r="I397" s="13" t="s">
        <v>12</v>
      </c>
      <c r="N397" s="16" t="s">
        <v>36</v>
      </c>
      <c r="O397" s="1">
        <f>SUM(O392:O396)</f>
        <v>0</v>
      </c>
      <c r="P397" s="1">
        <f>SUM(P392:P396)</f>
        <v>0</v>
      </c>
      <c r="AM397" s="78"/>
      <c r="AN397" s="78"/>
    </row>
    <row r="398" spans="1:40" x14ac:dyDescent="0.3">
      <c r="A398" s="1" t="s">
        <v>52</v>
      </c>
      <c r="B398" s="1" t="s">
        <v>2</v>
      </c>
      <c r="C398" s="10">
        <f>C392/C397</f>
        <v>1</v>
      </c>
      <c r="D398" s="10">
        <f>D393/D397</f>
        <v>1</v>
      </c>
      <c r="E398" s="10">
        <f>E394/E397</f>
        <v>0.81976744186046513</v>
      </c>
      <c r="F398" s="10">
        <f>F395/F397</f>
        <v>0.8571428571428571</v>
      </c>
      <c r="G398" s="10">
        <f>G396/G397</f>
        <v>0.93693693693693691</v>
      </c>
      <c r="H398" s="10"/>
      <c r="I398" s="14">
        <f>(C392+D393+E394+F395+G396)/H397</f>
        <v>0.9</v>
      </c>
    </row>
    <row r="399" spans="1:40" x14ac:dyDescent="0.3">
      <c r="B399" s="1" t="s">
        <v>14</v>
      </c>
      <c r="C399" s="11">
        <f>1-C398</f>
        <v>0</v>
      </c>
      <c r="D399" s="11">
        <f>1-D398</f>
        <v>0</v>
      </c>
      <c r="E399" s="11">
        <f>1-E398</f>
        <v>0.18023255813953487</v>
      </c>
      <c r="F399" s="11">
        <f>1-F398</f>
        <v>0.1428571428571429</v>
      </c>
      <c r="G399" s="11">
        <f>1-G398</f>
        <v>6.3063063063063085E-2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1.1920173117698563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1.1920173117698563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115</v>
      </c>
      <c r="M403">
        <v>0</v>
      </c>
      <c r="N403" s="1">
        <v>1092.44</v>
      </c>
      <c r="O403" s="17">
        <f>N403/N408*100</f>
        <v>1.1920173117698563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62">(C393/$L404)*$O404</f>
        <v>0</v>
      </c>
      <c r="D404" s="34">
        <f t="shared" si="62"/>
        <v>0.21120324307620866</v>
      </c>
      <c r="E404" s="19">
        <f t="shared" si="62"/>
        <v>0.58080891845957372</v>
      </c>
      <c r="F404" s="18">
        <f t="shared" si="62"/>
        <v>0</v>
      </c>
      <c r="G404" s="20">
        <f t="shared" si="62"/>
        <v>0</v>
      </c>
      <c r="H404" s="17">
        <f>SUM(C404:G404)</f>
        <v>0.79201216153578236</v>
      </c>
      <c r="I404" s="17">
        <f>D404/H404*100</f>
        <v>26.666666666666671</v>
      </c>
      <c r="J404" s="17">
        <f>SQRT(I404*(100-I404)/(L404-1))</f>
        <v>11.818736805705578</v>
      </c>
      <c r="K404" s="18">
        <f>100-I404</f>
        <v>73.333333333333329</v>
      </c>
      <c r="L404" s="1">
        <f>H393</f>
        <v>15</v>
      </c>
      <c r="M404">
        <v>1</v>
      </c>
      <c r="N404" s="1">
        <v>725.85</v>
      </c>
      <c r="O404" s="17">
        <f>N404/N408*100</f>
        <v>0.79201216153578247</v>
      </c>
      <c r="P404" s="52">
        <f>((O404*O404*(I404/100)*(K404/100))/(L404-1))</f>
        <v>8.7620519418748037E-3</v>
      </c>
    </row>
    <row r="405" spans="1:40" x14ac:dyDescent="0.3">
      <c r="A405" t="s">
        <v>5</v>
      </c>
      <c r="B405" s="13">
        <v>2</v>
      </c>
      <c r="C405" s="33">
        <f t="shared" si="62"/>
        <v>0</v>
      </c>
      <c r="D405" s="19">
        <f t="shared" si="62"/>
        <v>0</v>
      </c>
      <c r="E405" s="34">
        <f t="shared" si="62"/>
        <v>57.736781996173441</v>
      </c>
      <c r="F405" s="19">
        <f t="shared" si="62"/>
        <v>0</v>
      </c>
      <c r="G405" s="20">
        <f t="shared" si="62"/>
        <v>0.40948072337711661</v>
      </c>
      <c r="H405" s="17">
        <f>SUM(C405:G405)</f>
        <v>58.146262719550556</v>
      </c>
      <c r="I405" s="17">
        <f>E405/H405*100</f>
        <v>99.295774647887328</v>
      </c>
      <c r="J405" s="17">
        <f>SQRT(I405*(100-I405)/(L405-1))</f>
        <v>0.70422535211267423</v>
      </c>
      <c r="K405" s="18">
        <f>100-I405</f>
        <v>0.70422535211267245</v>
      </c>
      <c r="L405" s="1">
        <f>H394</f>
        <v>142</v>
      </c>
      <c r="M405">
        <v>2</v>
      </c>
      <c r="N405" s="1">
        <v>53288.91</v>
      </c>
      <c r="O405" s="17">
        <f>N405/N408*100</f>
        <v>58.146262719550556</v>
      </c>
      <c r="P405" s="52">
        <f>((O405*O405*(I405/100)*(K405/100))/(L405-1))</f>
        <v>0.16767446281744583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62"/>
        <v>0</v>
      </c>
      <c r="D406" s="19">
        <f t="shared" si="62"/>
        <v>0</v>
      </c>
      <c r="E406" s="19">
        <f t="shared" si="62"/>
        <v>0.86353144530698744</v>
      </c>
      <c r="F406" s="34">
        <f t="shared" si="62"/>
        <v>21.760992421736084</v>
      </c>
      <c r="G406" s="20">
        <f t="shared" si="62"/>
        <v>2.2451817577981674</v>
      </c>
      <c r="H406" s="17">
        <f>SUM(C406:G406)</f>
        <v>24.869705624841238</v>
      </c>
      <c r="I406" s="17">
        <f>F406/H406*100</f>
        <v>87.5</v>
      </c>
      <c r="J406" s="17">
        <f>SQRT(I406*(100-I406)/(L406-1))</f>
        <v>2.7656104929294361</v>
      </c>
      <c r="K406" s="18">
        <f>100-I406</f>
        <v>12.5</v>
      </c>
      <c r="L406" s="1">
        <f>H395</f>
        <v>144</v>
      </c>
      <c r="M406">
        <v>3</v>
      </c>
      <c r="N406" s="1">
        <v>22792.17</v>
      </c>
      <c r="O406" s="17">
        <f>N406/N408*100</f>
        <v>24.869705624841238</v>
      </c>
      <c r="P406" s="52">
        <f>((O406*O406*(I406/100)*(K406/100))/(L406-1))</f>
        <v>0.47306772345539982</v>
      </c>
    </row>
    <row r="407" spans="1:40" x14ac:dyDescent="0.3">
      <c r="A407" t="s">
        <v>7</v>
      </c>
      <c r="B407" s="13">
        <v>4</v>
      </c>
      <c r="C407" s="35">
        <f t="shared" si="62"/>
        <v>0</v>
      </c>
      <c r="D407" s="36">
        <f t="shared" si="62"/>
        <v>0</v>
      </c>
      <c r="E407" s="21">
        <f t="shared" si="62"/>
        <v>0.92213128169892888</v>
      </c>
      <c r="F407" s="21">
        <f t="shared" si="62"/>
        <v>1.2909837943785005</v>
      </c>
      <c r="G407" s="37">
        <f t="shared" si="62"/>
        <v>12.786887106225146</v>
      </c>
      <c r="H407" s="17">
        <f>SUM(C407:G407)</f>
        <v>15.000002182302575</v>
      </c>
      <c r="I407" s="17">
        <f>G407/H407*100</f>
        <v>85.245901639344268</v>
      </c>
      <c r="J407" s="17">
        <f>SQRT(I407*(100-I407)/(L407-1))</f>
        <v>2.2750448081597074</v>
      </c>
      <c r="K407" s="18">
        <f>100-I407</f>
        <v>14.754098360655732</v>
      </c>
      <c r="L407" s="1">
        <f>H396</f>
        <v>244</v>
      </c>
      <c r="M407">
        <v>4</v>
      </c>
      <c r="N407" s="1">
        <v>13746.95</v>
      </c>
      <c r="O407" s="17">
        <f>N407/N408*100</f>
        <v>15.000002182302577</v>
      </c>
      <c r="P407" s="52">
        <f>((O407*O407*(I407/100)*(K407/100))/(L407-1))</f>
        <v>0.11645618366620147</v>
      </c>
      <c r="AM407" s="78"/>
      <c r="AN407" s="78"/>
    </row>
    <row r="408" spans="1:40" x14ac:dyDescent="0.3">
      <c r="B408" t="s">
        <v>28</v>
      </c>
      <c r="C408" s="17">
        <f t="shared" ref="C408:H408" si="63">SUM(C403:C407)</f>
        <v>1.1920173117698563</v>
      </c>
      <c r="D408" s="17">
        <f t="shared" si="63"/>
        <v>0.21120324307620866</v>
      </c>
      <c r="E408" s="17">
        <f t="shared" si="63"/>
        <v>60.103253641638936</v>
      </c>
      <c r="F408" s="17">
        <f t="shared" si="63"/>
        <v>23.051976216114586</v>
      </c>
      <c r="G408" s="17">
        <f t="shared" si="63"/>
        <v>15.441549587400431</v>
      </c>
      <c r="H408" s="18">
        <f t="shared" si="63"/>
        <v>100.00000000000001</v>
      </c>
      <c r="I408" s="13" t="s">
        <v>24</v>
      </c>
      <c r="J408" s="12" t="s">
        <v>29</v>
      </c>
      <c r="N408" s="1">
        <f>SUM(N403:N407)</f>
        <v>91646.319999999992</v>
      </c>
      <c r="O408" s="17">
        <f>SUM(O403:O407)</f>
        <v>100.00000000000001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9.0431825956074866E-2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0.60978190207846372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0.73642094754232579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0.7970092405199769</v>
      </c>
      <c r="H409" s="1"/>
      <c r="I409" s="56">
        <f>(C403+D404+E405+F406+G407)/H408</f>
        <v>0.93687882078980733</v>
      </c>
      <c r="J409" s="53">
        <f>SQRT(SUM(P403:P407))/100</f>
        <v>8.7519164865812217E-3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100</v>
      </c>
      <c r="E410" s="17">
        <f>E405/E408*100</f>
        <v>96.062656342075243</v>
      </c>
      <c r="F410" s="17">
        <f>F406/F408*100</f>
        <v>94.399682776542022</v>
      </c>
      <c r="G410" s="17">
        <f>G407/G408*100</f>
        <v>82.808315537571673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0</v>
      </c>
      <c r="E411" s="18">
        <f>SQRT((E414+E415)/(E408*E408))</f>
        <v>0.77532676229396347</v>
      </c>
      <c r="F411" s="18">
        <f>SQRT((F414+F415)/(F408*F408))</f>
        <v>2.0033655795379541</v>
      </c>
      <c r="G411" s="18">
        <f>SQRT((G414+G415)/(G408*G408))</f>
        <v>5.4288698145294294</v>
      </c>
      <c r="H411" s="1"/>
      <c r="I411" s="14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0</v>
      </c>
      <c r="E412" s="18">
        <f>100-E410</f>
        <v>3.9373436579247567</v>
      </c>
      <c r="F412" s="18">
        <f>100-F410</f>
        <v>5.6003172234579779</v>
      </c>
      <c r="G412" s="18">
        <f>100-G410</f>
        <v>17.191684462428327</v>
      </c>
    </row>
    <row r="413" spans="1:40" ht="15.6" x14ac:dyDescent="0.35">
      <c r="B413" s="1" t="s">
        <v>25</v>
      </c>
      <c r="C413" s="1">
        <f>C397</f>
        <v>115</v>
      </c>
      <c r="D413" s="1">
        <f>D397</f>
        <v>4</v>
      </c>
      <c r="E413" s="1">
        <f>E397</f>
        <v>172</v>
      </c>
      <c r="F413" s="1">
        <f>F397</f>
        <v>147</v>
      </c>
      <c r="G413" s="1">
        <f>G397</f>
        <v>222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0</v>
      </c>
      <c r="E414" s="18">
        <f>(O405*O405*(100-E410)*(100-E410)*(I405)*(100-I405))/((L405-1)*100)</f>
        <v>259.94027163730595</v>
      </c>
      <c r="F414" s="18">
        <f>(O406*O406*(100-F410)*(100-F410)*(I406)*(100-I406))/((L406-1)*100)</f>
        <v>1483.7084618772319</v>
      </c>
      <c r="G414" s="18">
        <f>(O407*O407*(100-G410)*(100-G410)*(I407)*(100-I407))/((L407-1)*100)</f>
        <v>3441.909261402735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0</v>
      </c>
      <c r="E415" s="18">
        <f>E410*E410*(SUM((H403*E403*(1-E392/H392))/(H392-1),(H404*E404*(1-E393/H393))/(H393-1), (H406*E406*(1-E395/H395))/(H395-1),(H407*E407*(1-E396/H396))/(H396-1)))</f>
        <v>1911.5881382727871</v>
      </c>
      <c r="F415" s="18">
        <f>F410*F410*(SUM((H403*F403*(1-F392/H392))/(H392-1),(H404*F404*(1-F393/H393))/(H393-1), (H405*F405*(1-F394/H394))/(H394-1),(H407*F407*(1-F396/H396))/(H396-1)))</f>
        <v>649.0257769657469</v>
      </c>
      <c r="G415" s="18">
        <f>G410*G410*(SUM((H403*G403*(1-G392/H392))/(H392-1),(H404*G404*(1-G393/H393))/(H393-1), (H405*G405*(1-G394/H394))/(H394-1),(H406*G406*(1-G395/H395))/(H395-1)))</f>
        <v>3585.5868740848814</v>
      </c>
      <c r="AM415" s="78"/>
      <c r="AN415" s="78"/>
    </row>
    <row r="417" spans="1:40" x14ac:dyDescent="0.3">
      <c r="AM417" s="78"/>
      <c r="AN417" s="78"/>
    </row>
    <row r="418" spans="1:40" x14ac:dyDescent="0.3">
      <c r="A418" s="348">
        <v>1988</v>
      </c>
      <c r="B418" s="348"/>
      <c r="C418" s="348"/>
      <c r="D418" s="348"/>
      <c r="E418" s="348"/>
      <c r="F418" s="348"/>
      <c r="G418" s="348"/>
      <c r="H418" s="348"/>
      <c r="I418" s="348"/>
      <c r="J418" s="348"/>
      <c r="K418" s="348"/>
      <c r="L418" s="348" t="s">
        <v>87</v>
      </c>
      <c r="M418" s="348"/>
      <c r="N418" s="348"/>
      <c r="O418" s="348"/>
      <c r="P418" s="348"/>
    </row>
    <row r="419" spans="1:40" x14ac:dyDescent="0.3">
      <c r="A419" t="s">
        <v>15</v>
      </c>
      <c r="B419" t="s">
        <v>21</v>
      </c>
      <c r="I419" s="1" t="s">
        <v>53</v>
      </c>
      <c r="O419" s="350" t="s">
        <v>377</v>
      </c>
      <c r="P419" s="350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51</v>
      </c>
      <c r="O420" s="13" t="s">
        <v>644</v>
      </c>
      <c r="P420" s="13" t="s">
        <v>633</v>
      </c>
    </row>
    <row r="421" spans="1:40" x14ac:dyDescent="0.3">
      <c r="A421" t="s">
        <v>3</v>
      </c>
      <c r="B421" s="13">
        <v>0</v>
      </c>
      <c r="C421" s="26">
        <v>115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115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5</v>
      </c>
      <c r="E422" s="1">
        <v>10</v>
      </c>
      <c r="F422" s="1">
        <v>0</v>
      </c>
      <c r="G422" s="6">
        <v>0</v>
      </c>
      <c r="H422" s="1">
        <f>SUM(C422:G422)</f>
        <v>15</v>
      </c>
      <c r="I422" s="10">
        <f>D422/H422</f>
        <v>0.33333333333333331</v>
      </c>
      <c r="J422" s="11">
        <f>1-I422</f>
        <v>0.66666666666666674</v>
      </c>
      <c r="K422">
        <f>H422-D426</f>
        <v>10</v>
      </c>
      <c r="N422" s="10">
        <f>2*(D427*I422)/(D427+I422)</f>
        <v>0.5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0</v>
      </c>
      <c r="E423" s="27">
        <v>140</v>
      </c>
      <c r="F423" s="1">
        <v>0</v>
      </c>
      <c r="G423" s="6">
        <v>2</v>
      </c>
      <c r="H423" s="1">
        <f>SUM(C423:G423)</f>
        <v>142</v>
      </c>
      <c r="I423" s="10">
        <f>E423/H423</f>
        <v>0.9859154929577465</v>
      </c>
      <c r="J423" s="11">
        <f>1-I423</f>
        <v>1.4084507042253502E-2</v>
      </c>
      <c r="K423">
        <f>H423-E426</f>
        <v>-25</v>
      </c>
      <c r="N423" s="10">
        <f>2*(E427*I423)/(E427+I423)</f>
        <v>0.90614886731391575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0</v>
      </c>
      <c r="E424" s="1">
        <v>5</v>
      </c>
      <c r="F424" s="27">
        <v>125</v>
      </c>
      <c r="G424" s="6">
        <v>14</v>
      </c>
      <c r="H424" s="1">
        <f>SUM(C424:G424)</f>
        <v>144</v>
      </c>
      <c r="I424" s="10">
        <f>F424/H424</f>
        <v>0.86805555555555558</v>
      </c>
      <c r="J424" s="11">
        <f>1-I424</f>
        <v>0.13194444444444442</v>
      </c>
      <c r="K424">
        <f>H424-F426</f>
        <v>0</v>
      </c>
      <c r="N424" s="10">
        <f>2*(F427*I424)/(F427+I424)</f>
        <v>0.86805555555555558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0</v>
      </c>
      <c r="E425" s="8">
        <v>12</v>
      </c>
      <c r="F425" s="8">
        <v>19</v>
      </c>
      <c r="G425" s="28">
        <v>213</v>
      </c>
      <c r="H425" s="1">
        <f>SUM(C425:G425)</f>
        <v>244</v>
      </c>
      <c r="I425" s="10">
        <f>G425/H425</f>
        <v>0.87295081967213117</v>
      </c>
      <c r="J425" s="11">
        <f>1-I425</f>
        <v>0.12704918032786883</v>
      </c>
      <c r="K425">
        <f>H425-G426</f>
        <v>15</v>
      </c>
      <c r="N425" s="10">
        <f>2*(G427*I425)/(G427+I425)</f>
        <v>0.90063424947145865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115</v>
      </c>
      <c r="D426" s="1">
        <f>SUM(D421:D425)</f>
        <v>5</v>
      </c>
      <c r="E426" s="1">
        <f>SUM(E421:E425)</f>
        <v>167</v>
      </c>
      <c r="F426" s="1">
        <f>SUM(F421:F425)</f>
        <v>144</v>
      </c>
      <c r="G426" s="1">
        <f>SUM(G421:G425)</f>
        <v>229</v>
      </c>
      <c r="H426" s="1">
        <f>SUM(H420:H425)</f>
        <v>660</v>
      </c>
      <c r="I426" s="13" t="s">
        <v>12</v>
      </c>
      <c r="N426" s="16" t="s">
        <v>36</v>
      </c>
      <c r="O426" s="1">
        <f>SUM(O421:O425)</f>
        <v>0</v>
      </c>
      <c r="P426" s="1">
        <f>SUM(P421:P425)</f>
        <v>0</v>
      </c>
    </row>
    <row r="427" spans="1:40" x14ac:dyDescent="0.3">
      <c r="A427" s="1" t="s">
        <v>52</v>
      </c>
      <c r="B427" s="1" t="s">
        <v>2</v>
      </c>
      <c r="C427" s="10">
        <f>C421/C426</f>
        <v>1</v>
      </c>
      <c r="D427" s="10">
        <f>D422/D426</f>
        <v>1</v>
      </c>
      <c r="E427" s="10">
        <f>E423/E426</f>
        <v>0.83832335329341312</v>
      </c>
      <c r="F427" s="10">
        <f>F424/F426</f>
        <v>0.86805555555555558</v>
      </c>
      <c r="G427" s="10">
        <f>G425/G426</f>
        <v>0.93013100436681218</v>
      </c>
      <c r="H427" s="10"/>
      <c r="I427" s="14">
        <f>(C421+D422+E423+F424+G425)/H426</f>
        <v>0.90606060606060601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0</v>
      </c>
      <c r="E428" s="11">
        <f>1-E427</f>
        <v>0.16167664670658688</v>
      </c>
      <c r="F428" s="11">
        <f>1-F427</f>
        <v>0.13194444444444442</v>
      </c>
      <c r="G428" s="11">
        <f>1-G427</f>
        <v>6.9868995633187825E-2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1.0690445617456326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1.0690445617456326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115</v>
      </c>
      <c r="M432">
        <v>0</v>
      </c>
      <c r="N432" s="1">
        <v>979.74</v>
      </c>
      <c r="O432" s="17">
        <f>N432/N437*100</f>
        <v>1.0690445617456326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64">(C422/$L433)*$O433</f>
        <v>0</v>
      </c>
      <c r="D433" s="34">
        <f t="shared" si="64"/>
        <v>0.29071907451748558</v>
      </c>
      <c r="E433" s="19">
        <f t="shared" si="64"/>
        <v>0.58143814903497115</v>
      </c>
      <c r="F433" s="18">
        <f t="shared" si="64"/>
        <v>0</v>
      </c>
      <c r="G433" s="20">
        <f t="shared" si="64"/>
        <v>0</v>
      </c>
      <c r="H433" s="17">
        <f>SUM(C433:G433)</f>
        <v>0.87215722355245673</v>
      </c>
      <c r="I433" s="17">
        <f>D433/H433*100</f>
        <v>33.333333333333329</v>
      </c>
      <c r="J433" s="17">
        <f>SQRT(I433*(100-I433)/(L433-1))</f>
        <v>12.598815766974241</v>
      </c>
      <c r="K433" s="18">
        <f>100-I433</f>
        <v>66.666666666666671</v>
      </c>
      <c r="L433" s="1">
        <f>H422</f>
        <v>15</v>
      </c>
      <c r="M433">
        <v>1</v>
      </c>
      <c r="N433" s="1">
        <v>799.3</v>
      </c>
      <c r="O433" s="17">
        <f>N433/N437*100</f>
        <v>0.87215722355245673</v>
      </c>
      <c r="P433" s="52">
        <f>((O433*O433*(I433/100)*(K433/100))/(L433-1))</f>
        <v>1.2073940041186188E-2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64"/>
        <v>0</v>
      </c>
      <c r="D434" s="19">
        <f t="shared" si="64"/>
        <v>0</v>
      </c>
      <c r="E434" s="34">
        <f t="shared" si="64"/>
        <v>57.240539377166421</v>
      </c>
      <c r="F434" s="19">
        <f t="shared" si="64"/>
        <v>0</v>
      </c>
      <c r="G434" s="20">
        <f t="shared" si="64"/>
        <v>0.81772199110237742</v>
      </c>
      <c r="H434" s="17">
        <f>SUM(C434:G434)</f>
        <v>58.058261368268795</v>
      </c>
      <c r="I434" s="17">
        <f>E434/H434*100</f>
        <v>98.591549295774655</v>
      </c>
      <c r="J434" s="17">
        <f>SQRT(I434*(100-I434)/(L434-1))</f>
        <v>0.99238711073976715</v>
      </c>
      <c r="K434" s="18">
        <f>100-I434</f>
        <v>1.4084507042253449</v>
      </c>
      <c r="L434" s="1">
        <f>H423</f>
        <v>142</v>
      </c>
      <c r="M434">
        <v>2</v>
      </c>
      <c r="N434" s="1">
        <v>53208.26</v>
      </c>
      <c r="O434" s="17">
        <f>N434/N437*100</f>
        <v>58.058261368268795</v>
      </c>
      <c r="P434" s="52">
        <f>((O434*O434*(I434/100)*(K434/100))/(L434-1))</f>
        <v>0.33196345979624337</v>
      </c>
    </row>
    <row r="435" spans="1:40" x14ac:dyDescent="0.3">
      <c r="A435" t="s">
        <v>6</v>
      </c>
      <c r="B435" s="13">
        <v>3</v>
      </c>
      <c r="C435" s="33">
        <f t="shared" si="64"/>
        <v>0</v>
      </c>
      <c r="D435" s="19">
        <f t="shared" si="64"/>
        <v>0</v>
      </c>
      <c r="E435" s="19">
        <f t="shared" si="64"/>
        <v>0.8624130152380004</v>
      </c>
      <c r="F435" s="34">
        <f t="shared" si="64"/>
        <v>21.560325380950012</v>
      </c>
      <c r="G435" s="20">
        <f t="shared" si="64"/>
        <v>2.414756442666401</v>
      </c>
      <c r="H435" s="17">
        <f>SUM(C435:G435)</f>
        <v>24.837494838854415</v>
      </c>
      <c r="I435" s="17">
        <f>F435/H435*100</f>
        <v>86.805555555555543</v>
      </c>
      <c r="J435" s="17">
        <f>SQRT(I435*(100-I435)/(L435-1))</f>
        <v>2.8300968382044434</v>
      </c>
      <c r="K435" s="18">
        <f>100-I435</f>
        <v>13.194444444444457</v>
      </c>
      <c r="L435" s="1">
        <f>H424</f>
        <v>144</v>
      </c>
      <c r="M435">
        <v>3</v>
      </c>
      <c r="N435" s="1">
        <v>22762.65</v>
      </c>
      <c r="O435" s="17">
        <f>N435/N437*100</f>
        <v>24.837494838854411</v>
      </c>
      <c r="P435" s="52">
        <f>((O435*O435*(I435/100)*(K435/100))/(L435-1))</f>
        <v>0.49410377511140213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64"/>
        <v>0</v>
      </c>
      <c r="D436" s="36">
        <f t="shared" si="64"/>
        <v>0</v>
      </c>
      <c r="E436" s="21">
        <f t="shared" si="64"/>
        <v>0.74572337742190331</v>
      </c>
      <c r="F436" s="21">
        <f t="shared" si="64"/>
        <v>1.1807286809180138</v>
      </c>
      <c r="G436" s="37">
        <f t="shared" si="64"/>
        <v>13.236589949238784</v>
      </c>
      <c r="H436" s="17">
        <f>SUM(C436:G436)</f>
        <v>15.163042007578701</v>
      </c>
      <c r="I436" s="17">
        <f>G436/H436*100</f>
        <v>87.295081967213122</v>
      </c>
      <c r="J436" s="17">
        <f>SQRT(I436*(100-I436)/(L436-1))</f>
        <v>2.1363759755446079</v>
      </c>
      <c r="K436" s="18">
        <f>100-I436</f>
        <v>12.704918032786878</v>
      </c>
      <c r="L436" s="1">
        <f>H425</f>
        <v>244</v>
      </c>
      <c r="M436">
        <v>4</v>
      </c>
      <c r="N436" s="1">
        <v>13896.37</v>
      </c>
      <c r="O436" s="17">
        <f>N436/N437*100</f>
        <v>15.163042007578701</v>
      </c>
      <c r="P436" s="52">
        <f>((O436*O436*(I436/100)*(K436/100))/(L436-1))</f>
        <v>0.10493685577412551</v>
      </c>
    </row>
    <row r="437" spans="1:40" x14ac:dyDescent="0.3">
      <c r="B437" t="s">
        <v>28</v>
      </c>
      <c r="C437" s="17">
        <f t="shared" ref="C437:H437" si="65">SUM(C432:C436)</f>
        <v>1.0690445617456326</v>
      </c>
      <c r="D437" s="17">
        <f t="shared" si="65"/>
        <v>0.29071907451748558</v>
      </c>
      <c r="E437" s="17">
        <f t="shared" si="65"/>
        <v>59.430113918861295</v>
      </c>
      <c r="F437" s="17">
        <f t="shared" si="65"/>
        <v>22.741054061868027</v>
      </c>
      <c r="G437" s="17">
        <f t="shared" si="65"/>
        <v>16.469068383007563</v>
      </c>
      <c r="H437" s="18">
        <f t="shared" si="65"/>
        <v>100</v>
      </c>
      <c r="I437" s="13" t="s">
        <v>24</v>
      </c>
      <c r="J437" s="12" t="s">
        <v>29</v>
      </c>
      <c r="N437" s="1">
        <f>SUM(N432:N436)</f>
        <v>91646.32</v>
      </c>
      <c r="O437" s="17">
        <f>SUM(O432:O436)</f>
        <v>100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0.10615559667350144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0.72701018008350859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0.74721726409226141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0.90007919596539376</v>
      </c>
      <c r="H438" s="1"/>
      <c r="I438" s="56">
        <f>(C432+D433+E434+F435+G436)/H437</f>
        <v>0.93397218343618338</v>
      </c>
      <c r="J438" s="53">
        <f>SQRT(SUM(P432:P436))/100</f>
        <v>9.7112204728497294E-3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100</v>
      </c>
      <c r="E439" s="17">
        <f>E434/E437*100</f>
        <v>96.315715388524666</v>
      </c>
      <c r="F439" s="17">
        <f>F435/F437*100</f>
        <v>94.807942157360898</v>
      </c>
      <c r="G439" s="17">
        <f>G436/G437*100</f>
        <v>80.372426912113724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0</v>
      </c>
      <c r="E440" s="18">
        <f>SQRT((E443+E444)/(E437*E437))</f>
        <v>0.80948808201733047</v>
      </c>
      <c r="F440" s="18">
        <f>SQRT((F443+F444)/(F437*F437))</f>
        <v>1.9381501677712485</v>
      </c>
      <c r="G440" s="18">
        <f>SQRT((G443+G444)/(G437*G437))</f>
        <v>5.6416932316615931</v>
      </c>
      <c r="H440" s="1"/>
      <c r="I440" s="14"/>
    </row>
    <row r="441" spans="1:40" x14ac:dyDescent="0.3">
      <c r="B441" s="1" t="s">
        <v>37</v>
      </c>
      <c r="C441" s="18">
        <f>100-C439</f>
        <v>0</v>
      </c>
      <c r="D441" s="18">
        <f>100-D439</f>
        <v>0</v>
      </c>
      <c r="E441" s="18">
        <f>100-E439</f>
        <v>3.6842846114753343</v>
      </c>
      <c r="F441" s="18">
        <f>100-F439</f>
        <v>5.1920578426391018</v>
      </c>
      <c r="G441" s="18">
        <f>100-G439</f>
        <v>19.627573087886276</v>
      </c>
      <c r="AM441" s="78"/>
      <c r="AN441" s="78"/>
    </row>
    <row r="442" spans="1:40" ht="15.6" x14ac:dyDescent="0.35">
      <c r="B442" s="1" t="s">
        <v>25</v>
      </c>
      <c r="C442" s="1">
        <f>C426</f>
        <v>115</v>
      </c>
      <c r="D442" s="1">
        <f>D426</f>
        <v>5</v>
      </c>
      <c r="E442" s="1">
        <f>E426</f>
        <v>167</v>
      </c>
      <c r="F442" s="1">
        <f>F426</f>
        <v>144</v>
      </c>
      <c r="G442" s="1">
        <f>G426</f>
        <v>229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0</v>
      </c>
      <c r="E443" s="18">
        <f>(O434*O434*(100-E439)*(100-E439)*(I434)*(100-I434))/((L434-1)*100)</f>
        <v>450.60564336415183</v>
      </c>
      <c r="F443" s="18">
        <f>(O435*O435*(100-F439)*(100-F439)*(I435)*(100-I435))/((L435-1)*100)</f>
        <v>1331.9785046703514</v>
      </c>
      <c r="G443" s="18">
        <f>(O436*O436*(100-G439)*(100-G439)*(I436)*(100-I436))/((L436-1)*100)</f>
        <v>4042.6044874427871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0</v>
      </c>
      <c r="E444" s="18">
        <f>E439*E439*(SUM((H432*E432*(1-E421/H421))/(H421-1),(H433*E433*(1-E422/H422))/(H422-1), (H435*E435*(1-E424/H424))/(H424-1),(H436*E436*(1-E425/H425))/(H425-1)))</f>
        <v>1863.7710312297938</v>
      </c>
      <c r="F444" s="18">
        <f>F439*F439*(SUM((H432*F432*(1-F421/H421))/(H421-1),(H433*F433*(1-F422/H422))/(H422-1), (H434*F434*(1-F423/H423))/(H423-1),(H436*F436*(1-F425/H425))/(H425-1)))</f>
        <v>610.678048912034</v>
      </c>
      <c r="G444" s="18">
        <f>G439*G439*(SUM((H432*G432*(1-G421/H421))/(H421-1),(H433*G433*(1-G422/H422))/(H422-1), (H434*G434*(1-G423/H423))/(H423-1),(H435*G435*(1-G424/H424))/(H424-1)))</f>
        <v>4590.3012894827552</v>
      </c>
    </row>
    <row r="445" spans="1:40" x14ac:dyDescent="0.3">
      <c r="AM445" s="78"/>
      <c r="AN445" s="78"/>
    </row>
    <row r="447" spans="1:40" x14ac:dyDescent="0.3">
      <c r="A447" s="348">
        <v>1988</v>
      </c>
      <c r="B447" s="348"/>
      <c r="C447" s="348"/>
      <c r="D447" s="348"/>
      <c r="E447" s="348"/>
      <c r="F447" s="348"/>
      <c r="G447" s="348"/>
      <c r="H447" s="348"/>
      <c r="I447" s="348"/>
      <c r="J447" s="348"/>
      <c r="K447" s="348"/>
      <c r="L447" s="348" t="s">
        <v>88</v>
      </c>
      <c r="M447" s="348"/>
      <c r="N447" s="348"/>
      <c r="O447" s="348"/>
      <c r="P447" s="348"/>
      <c r="AM447" s="78"/>
      <c r="AN447" s="78"/>
    </row>
    <row r="448" spans="1:40" x14ac:dyDescent="0.3">
      <c r="A448" t="s">
        <v>15</v>
      </c>
      <c r="B448" t="s">
        <v>21</v>
      </c>
      <c r="I448" s="1" t="s">
        <v>53</v>
      </c>
      <c r="O448" s="350" t="s">
        <v>377</v>
      </c>
      <c r="P448" s="350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51</v>
      </c>
      <c r="O449" s="13" t="s">
        <v>644</v>
      </c>
      <c r="P449" s="13" t="s">
        <v>633</v>
      </c>
      <c r="AM449" s="78"/>
      <c r="AN449" s="78"/>
    </row>
    <row r="450" spans="1:40" x14ac:dyDescent="0.3">
      <c r="A450" t="s">
        <v>3</v>
      </c>
      <c r="B450" s="13">
        <v>0</v>
      </c>
      <c r="C450" s="26">
        <v>115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115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5</v>
      </c>
      <c r="E451" s="1">
        <v>10</v>
      </c>
      <c r="F451" s="1">
        <v>0</v>
      </c>
      <c r="G451" s="6">
        <v>0</v>
      </c>
      <c r="H451" s="1">
        <f>SUM(C451:G451)</f>
        <v>15</v>
      </c>
      <c r="I451" s="10">
        <f>D451/H451</f>
        <v>0.33333333333333331</v>
      </c>
      <c r="J451" s="11">
        <f>1-I451</f>
        <v>0.66666666666666674</v>
      </c>
      <c r="K451">
        <f>H451-D455</f>
        <v>10</v>
      </c>
      <c r="N451" s="10">
        <f>2*(D456*I451)/(D456+I451)</f>
        <v>0.5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0</v>
      </c>
      <c r="E452" s="27">
        <v>141</v>
      </c>
      <c r="F452" s="1">
        <v>0</v>
      </c>
      <c r="G452" s="6">
        <v>1</v>
      </c>
      <c r="H452" s="1">
        <f>SUM(C452:G452)</f>
        <v>142</v>
      </c>
      <c r="I452" s="10">
        <f>E452/H452</f>
        <v>0.99295774647887325</v>
      </c>
      <c r="J452" s="11">
        <f>1-I452</f>
        <v>7.0422535211267512E-3</v>
      </c>
      <c r="K452">
        <f>H452-E455</f>
        <v>-25</v>
      </c>
      <c r="N452" s="10">
        <f>2*(E456*I452)/(E456+I452)</f>
        <v>0.91262135922330101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0</v>
      </c>
      <c r="E453" s="1">
        <v>6</v>
      </c>
      <c r="F453" s="27">
        <v>121</v>
      </c>
      <c r="G453" s="6">
        <v>17</v>
      </c>
      <c r="H453" s="1">
        <f>SUM(C453:G453)</f>
        <v>144</v>
      </c>
      <c r="I453" s="10">
        <f>F453/H453</f>
        <v>0.84027777777777779</v>
      </c>
      <c r="J453" s="11">
        <f>1-I453</f>
        <v>0.15972222222222221</v>
      </c>
      <c r="K453">
        <f>H453-F455</f>
        <v>1</v>
      </c>
      <c r="N453" s="10">
        <f>2*(F456*I453)/(F456+I453)</f>
        <v>0.84320557491289205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0</v>
      </c>
      <c r="E454" s="8">
        <v>10</v>
      </c>
      <c r="F454" s="8">
        <v>22</v>
      </c>
      <c r="G454" s="28">
        <v>212</v>
      </c>
      <c r="H454" s="1">
        <f>SUM(C454:G454)</f>
        <v>244</v>
      </c>
      <c r="I454" s="10">
        <f>G454/H454</f>
        <v>0.86885245901639341</v>
      </c>
      <c r="J454" s="11">
        <f>1-I454</f>
        <v>0.13114754098360659</v>
      </c>
      <c r="K454">
        <f>H454-G455</f>
        <v>14</v>
      </c>
      <c r="N454" s="10">
        <f>2*(G456*I454)/(G456+I454)</f>
        <v>0.89451476793248952</v>
      </c>
      <c r="O454" s="1"/>
      <c r="P454" s="1"/>
    </row>
    <row r="455" spans="1:40" ht="15.6" x14ac:dyDescent="0.35">
      <c r="B455" s="1" t="s">
        <v>19</v>
      </c>
      <c r="C455" s="1">
        <f>SUM(C450:C454)</f>
        <v>115</v>
      </c>
      <c r="D455" s="1">
        <f>SUM(D450:D454)</f>
        <v>5</v>
      </c>
      <c r="E455" s="1">
        <f>SUM(E450:E454)</f>
        <v>167</v>
      </c>
      <c r="F455" s="1">
        <f>SUM(F450:F454)</f>
        <v>143</v>
      </c>
      <c r="G455" s="1">
        <f>SUM(G450:G454)</f>
        <v>230</v>
      </c>
      <c r="H455" s="1">
        <f>SUM(H449:H454)</f>
        <v>660</v>
      </c>
      <c r="I455" s="13" t="s">
        <v>12</v>
      </c>
      <c r="N455" s="16" t="s">
        <v>36</v>
      </c>
      <c r="O455" s="1">
        <f>SUM(O450:O454)</f>
        <v>0</v>
      </c>
      <c r="P455" s="1">
        <f>SUM(P450:P454)</f>
        <v>0</v>
      </c>
      <c r="AM455" s="78"/>
      <c r="AN455" s="78"/>
    </row>
    <row r="456" spans="1:40" x14ac:dyDescent="0.3">
      <c r="A456" s="1" t="s">
        <v>52</v>
      </c>
      <c r="B456" s="1" t="s">
        <v>2</v>
      </c>
      <c r="C456" s="10">
        <f>C450/C455</f>
        <v>1</v>
      </c>
      <c r="D456" s="10">
        <f>D451/D455</f>
        <v>1</v>
      </c>
      <c r="E456" s="10">
        <f>E452/E455</f>
        <v>0.84431137724550898</v>
      </c>
      <c r="F456" s="10">
        <f>F453/F455</f>
        <v>0.84615384615384615</v>
      </c>
      <c r="G456" s="10">
        <f>G454/G455</f>
        <v>0.92173913043478262</v>
      </c>
      <c r="H456" s="10"/>
      <c r="I456" s="14">
        <f>(C450+D451+E452+F453+G454)/H455</f>
        <v>0.9</v>
      </c>
    </row>
    <row r="457" spans="1:40" x14ac:dyDescent="0.3">
      <c r="B457" s="1" t="s">
        <v>14</v>
      </c>
      <c r="C457" s="11">
        <f>1-C456</f>
        <v>0</v>
      </c>
      <c r="D457" s="11">
        <f>1-D456</f>
        <v>0</v>
      </c>
      <c r="E457" s="11">
        <f>1-E456</f>
        <v>0.15568862275449102</v>
      </c>
      <c r="F457" s="11">
        <f>1-F456</f>
        <v>0.15384615384615385</v>
      </c>
      <c r="G457" s="11">
        <f>1-G456</f>
        <v>7.8260869565217384E-2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1.0985057663532771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1.0985057663532771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115</v>
      </c>
      <c r="M461">
        <v>0</v>
      </c>
      <c r="N461" s="1">
        <v>1006.74</v>
      </c>
      <c r="O461" s="17">
        <f>N461/N466*100</f>
        <v>1.0985057663532771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66">(C451/$L462)*$O462</f>
        <v>0</v>
      </c>
      <c r="D462" s="34">
        <f t="shared" si="66"/>
        <v>0.31861257334492421</v>
      </c>
      <c r="E462" s="19">
        <f t="shared" si="66"/>
        <v>0.63722514668984842</v>
      </c>
      <c r="F462" s="18">
        <f t="shared" si="66"/>
        <v>0</v>
      </c>
      <c r="G462" s="20">
        <f t="shared" si="66"/>
        <v>0</v>
      </c>
      <c r="H462" s="17">
        <f>SUM(C462:G462)</f>
        <v>0.95583772003477263</v>
      </c>
      <c r="I462" s="17">
        <f>D462/H462*100</f>
        <v>33.333333333333329</v>
      </c>
      <c r="J462" s="17">
        <f>SQRT(I462*(100-I462)/(L462-1))</f>
        <v>12.598815766974241</v>
      </c>
      <c r="K462" s="18">
        <f>100-I462</f>
        <v>66.666666666666671</v>
      </c>
      <c r="L462" s="1">
        <f>H451</f>
        <v>15</v>
      </c>
      <c r="M462">
        <v>1</v>
      </c>
      <c r="N462" s="1">
        <v>875.99</v>
      </c>
      <c r="O462" s="17">
        <f>N462/N466*100</f>
        <v>0.95583772003477274</v>
      </c>
      <c r="P462" s="52">
        <f>((O462*O462*(I462/100)*(K462/100))/(L462-1))</f>
        <v>1.4501995984782105E-2</v>
      </c>
    </row>
    <row r="463" spans="1:40" x14ac:dyDescent="0.3">
      <c r="A463" t="s">
        <v>5</v>
      </c>
      <c r="B463" s="13">
        <v>2</v>
      </c>
      <c r="C463" s="33">
        <f t="shared" si="66"/>
        <v>0</v>
      </c>
      <c r="D463" s="19">
        <f t="shared" si="66"/>
        <v>0</v>
      </c>
      <c r="E463" s="34">
        <f t="shared" si="66"/>
        <v>57.185563502575185</v>
      </c>
      <c r="F463" s="19">
        <f t="shared" si="66"/>
        <v>0</v>
      </c>
      <c r="G463" s="20">
        <f t="shared" si="66"/>
        <v>0.40557137235868923</v>
      </c>
      <c r="H463" s="17">
        <f>SUM(C463:G463)</f>
        <v>57.591134874933871</v>
      </c>
      <c r="I463" s="17">
        <f>E463/H463*100</f>
        <v>99.295774647887328</v>
      </c>
      <c r="J463" s="17">
        <f>SQRT(I463*(100-I463)/(L463-1))</f>
        <v>0.70422535211267423</v>
      </c>
      <c r="K463" s="18">
        <f>100-I463</f>
        <v>0.70422535211267245</v>
      </c>
      <c r="L463" s="1">
        <f>H452</f>
        <v>142</v>
      </c>
      <c r="M463">
        <v>2</v>
      </c>
      <c r="N463" s="1">
        <v>52780.15</v>
      </c>
      <c r="O463" s="17">
        <f>N463/N466*100</f>
        <v>57.591134874933871</v>
      </c>
      <c r="P463" s="52">
        <f>((O463*O463*(I463/100)*(K463/100))/(L463-1))</f>
        <v>0.16448813807690971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66"/>
        <v>0</v>
      </c>
      <c r="D464" s="19">
        <f t="shared" si="66"/>
        <v>0</v>
      </c>
      <c r="E464" s="19">
        <f t="shared" si="66"/>
        <v>1.0251712989499158</v>
      </c>
      <c r="F464" s="34">
        <f t="shared" si="66"/>
        <v>20.674287862156635</v>
      </c>
      <c r="G464" s="20">
        <f t="shared" si="66"/>
        <v>2.904652013691428</v>
      </c>
      <c r="H464" s="17">
        <f>SUM(C464:G464)</f>
        <v>24.604111174797982</v>
      </c>
      <c r="I464" s="17">
        <f>F464/H464*100</f>
        <v>84.027777777777771</v>
      </c>
      <c r="J464" s="17">
        <f>SQRT(I464*(100-I464)/(L464-1))</f>
        <v>3.0635578972093311</v>
      </c>
      <c r="K464" s="18">
        <f>100-I464</f>
        <v>15.972222222222229</v>
      </c>
      <c r="L464" s="1">
        <f>H453</f>
        <v>144</v>
      </c>
      <c r="M464">
        <v>3</v>
      </c>
      <c r="N464" s="1">
        <v>22548.76</v>
      </c>
      <c r="O464" s="17">
        <f>N464/N466*100</f>
        <v>24.604111174797978</v>
      </c>
      <c r="P464" s="52">
        <f>((O464*O464*(I464/100)*(K464/100))/(L464-1))</f>
        <v>0.56815593295777023</v>
      </c>
    </row>
    <row r="465" spans="1:40" x14ac:dyDescent="0.3">
      <c r="A465" t="s">
        <v>7</v>
      </c>
      <c r="B465" s="13">
        <v>4</v>
      </c>
      <c r="C465" s="35">
        <f t="shared" si="66"/>
        <v>0</v>
      </c>
      <c r="D465" s="36">
        <f t="shared" si="66"/>
        <v>0</v>
      </c>
      <c r="E465" s="21">
        <f t="shared" si="66"/>
        <v>0.6455086255688568</v>
      </c>
      <c r="F465" s="21">
        <f t="shared" si="66"/>
        <v>1.4201189762514852</v>
      </c>
      <c r="G465" s="37">
        <f t="shared" si="66"/>
        <v>13.684782862059766</v>
      </c>
      <c r="H465" s="17">
        <f>SUM(C465:G465)</f>
        <v>15.750410463880108</v>
      </c>
      <c r="I465" s="17">
        <f>G465/H465*100</f>
        <v>86.885245901639337</v>
      </c>
      <c r="J465" s="17">
        <f>SQRT(I465*(100-I465)/(L465-1))</f>
        <v>2.165458955692412</v>
      </c>
      <c r="K465" s="18">
        <f>100-I465</f>
        <v>13.114754098360663</v>
      </c>
      <c r="L465" s="1">
        <f>H454</f>
        <v>244</v>
      </c>
      <c r="M465">
        <v>4</v>
      </c>
      <c r="N465" s="1">
        <v>14434.67</v>
      </c>
      <c r="O465" s="17">
        <f>N465/N466*100</f>
        <v>15.750410463880108</v>
      </c>
      <c r="P465" s="52">
        <f>((O465*O465*(I465/100)*(K465/100))/(L465-1))</f>
        <v>0.11632784034892447</v>
      </c>
      <c r="AM465" s="78"/>
      <c r="AN465" s="78"/>
    </row>
    <row r="466" spans="1:40" x14ac:dyDescent="0.3">
      <c r="B466" t="s">
        <v>28</v>
      </c>
      <c r="C466" s="17">
        <f t="shared" ref="C466:H466" si="67">SUM(C461:C465)</f>
        <v>1.0985057663532771</v>
      </c>
      <c r="D466" s="17">
        <f t="shared" si="67"/>
        <v>0.31861257334492421</v>
      </c>
      <c r="E466" s="17">
        <f t="shared" si="67"/>
        <v>59.493468573783808</v>
      </c>
      <c r="F466" s="17">
        <f t="shared" si="67"/>
        <v>22.094406838408119</v>
      </c>
      <c r="G466" s="17">
        <f t="shared" si="67"/>
        <v>16.995006248109885</v>
      </c>
      <c r="H466" s="18">
        <f t="shared" si="67"/>
        <v>100</v>
      </c>
      <c r="I466" s="13" t="s">
        <v>24</v>
      </c>
      <c r="J466" s="12" t="s">
        <v>29</v>
      </c>
      <c r="N466" s="1">
        <f>SUM(N461:N465)</f>
        <v>91646.31</v>
      </c>
      <c r="O466" s="17">
        <f>SUM(O461:O465)</f>
        <v>100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0.11634086235052282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0.62023354315166945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0.80474529585838828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0.8466905396621357</v>
      </c>
      <c r="H467" s="1"/>
      <c r="I467" s="14">
        <f>(C461+D462+E463+F464+G465)/H466</f>
        <v>0.92961752566489775</v>
      </c>
      <c r="J467" s="53">
        <f>SQRT(SUM(P461:P465))/100</f>
        <v>9.2923296721994682E-3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100</v>
      </c>
      <c r="E468" s="17">
        <f>E463/E466*100</f>
        <v>96.12074211415937</v>
      </c>
      <c r="F468" s="17">
        <f>F464/F466*100</f>
        <v>93.572495579366262</v>
      </c>
      <c r="G468" s="17">
        <f>G465/G466*100</f>
        <v>80.522376174952754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0</v>
      </c>
      <c r="E469" s="18">
        <f>SQRT((E472+E473)/(E466*E466))</f>
        <v>0.80856327490782265</v>
      </c>
      <c r="F469" s="18">
        <f>SQRT((F472+F473)/(F466*F466))</f>
        <v>2.5120466649912077</v>
      </c>
      <c r="G469" s="18">
        <f>SQRT((G472+G473)/(G466*G466))</f>
        <v>5.3727791713455506</v>
      </c>
      <c r="H469" s="1"/>
      <c r="I469" s="14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0</v>
      </c>
      <c r="E470" s="18">
        <f>100-E468</f>
        <v>3.8792578858406301</v>
      </c>
      <c r="F470" s="18">
        <f>100-F468</f>
        <v>6.4275044206337384</v>
      </c>
      <c r="G470" s="18">
        <f>100-G468</f>
        <v>19.477623825047246</v>
      </c>
    </row>
    <row r="471" spans="1:40" ht="15.6" x14ac:dyDescent="0.35">
      <c r="B471" s="1" t="s">
        <v>25</v>
      </c>
      <c r="C471" s="1">
        <f>C455</f>
        <v>115</v>
      </c>
      <c r="D471" s="1">
        <f>D455</f>
        <v>5</v>
      </c>
      <c r="E471" s="1">
        <f>E455</f>
        <v>167</v>
      </c>
      <c r="F471" s="1">
        <f>F455</f>
        <v>143</v>
      </c>
      <c r="G471" s="1">
        <f>G455</f>
        <v>230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0</v>
      </c>
      <c r="E472" s="18">
        <f>(O463*O463*(100-E468)*(100-E468)*(I463)*(100-I463))/((L463-1)*100)</f>
        <v>247.53230611979393</v>
      </c>
      <c r="F472" s="18">
        <f>(O464*O464*(100-F468)*(100-F468)*(I464)*(100-I464))/((L464-1)*100)</f>
        <v>2347.2119857024177</v>
      </c>
      <c r="G472" s="18">
        <f>(O465*O465*(100-G468)*(100-G468)*(I465)*(100-I465))/((L465-1)*100)</f>
        <v>4413.2203625044394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0</v>
      </c>
      <c r="E473" s="18">
        <f>E468*E468*(SUM((H461*E461*(1-E450/H450))/(H450-1),(H462*E462*(1-E451/H451))/(H451-1), (H464*E464*(1-E453/H453))/(H453-1),(H465*E465*(1-E454/H454))/(H454-1)))</f>
        <v>2066.4850019841251</v>
      </c>
      <c r="F473" s="18">
        <f>F468*F468*(SUM((H461*F461*(1-F450/H450))/(H450-1),(H462*F462*(1-F451/H451))/(H451-1), (H463*F463*(1-F452/H452))/(H452-1),(H465*F465*(1-F454/H454))/(H454-1)))</f>
        <v>733.28011153980913</v>
      </c>
      <c r="G473" s="18">
        <f>G468*G468*(SUM((H461*G461*(1-G450/H450))/(H450-1),(H462*G462*(1-G451/H451))/(H451-1), (H463*G463*(1-G452/H452))/(H452-1),(H464*G464*(1-G453/H453))/(H453-1)))</f>
        <v>3924.3716321173224</v>
      </c>
      <c r="AM473" s="78"/>
      <c r="AN473" s="78"/>
    </row>
    <row r="475" spans="1:40" x14ac:dyDescent="0.3">
      <c r="AM475" s="78"/>
      <c r="AN475" s="78"/>
    </row>
    <row r="476" spans="1:40" x14ac:dyDescent="0.3">
      <c r="A476" s="348">
        <v>1988</v>
      </c>
      <c r="B476" s="348"/>
      <c r="C476" s="348"/>
      <c r="D476" s="348"/>
      <c r="E476" s="348"/>
      <c r="F476" s="348"/>
      <c r="G476" s="348"/>
      <c r="H476" s="348"/>
      <c r="I476" s="348"/>
      <c r="J476" s="348"/>
      <c r="K476" s="348"/>
      <c r="L476" s="348" t="s">
        <v>89</v>
      </c>
      <c r="M476" s="348"/>
      <c r="N476" s="348"/>
      <c r="O476" s="348"/>
      <c r="P476" s="348"/>
    </row>
    <row r="477" spans="1:40" x14ac:dyDescent="0.3">
      <c r="A477" t="s">
        <v>15</v>
      </c>
      <c r="B477" t="s">
        <v>21</v>
      </c>
      <c r="I477" s="1" t="s">
        <v>53</v>
      </c>
      <c r="O477" s="350" t="s">
        <v>377</v>
      </c>
      <c r="P477" s="350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51</v>
      </c>
      <c r="O478" s="13" t="s">
        <v>644</v>
      </c>
      <c r="P478" s="13" t="s">
        <v>633</v>
      </c>
    </row>
    <row r="479" spans="1:40" x14ac:dyDescent="0.3">
      <c r="A479" t="s">
        <v>3</v>
      </c>
      <c r="B479" s="13">
        <v>0</v>
      </c>
      <c r="C479" s="26">
        <v>115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115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6</v>
      </c>
      <c r="E480" s="1">
        <v>9</v>
      </c>
      <c r="F480" s="1">
        <v>0</v>
      </c>
      <c r="G480" s="6">
        <v>0</v>
      </c>
      <c r="H480" s="1">
        <f>SUM(C480:G480)</f>
        <v>15</v>
      </c>
      <c r="I480" s="10">
        <f>D480/H480</f>
        <v>0.4</v>
      </c>
      <c r="J480" s="11">
        <f>1-I480</f>
        <v>0.6</v>
      </c>
      <c r="K480">
        <f>H480-D484</f>
        <v>9</v>
      </c>
      <c r="N480" s="10">
        <f>2*(D485*I480)/(D485+I480)</f>
        <v>0.57142857142857151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0</v>
      </c>
      <c r="E481" s="27">
        <v>140</v>
      </c>
      <c r="F481" s="1">
        <v>0</v>
      </c>
      <c r="G481" s="6">
        <v>2</v>
      </c>
      <c r="H481" s="1">
        <f>SUM(C481:G481)</f>
        <v>142</v>
      </c>
      <c r="I481" s="10">
        <f>E481/H481</f>
        <v>0.9859154929577465</v>
      </c>
      <c r="J481" s="11">
        <f>1-I481</f>
        <v>1.4084507042253502E-2</v>
      </c>
      <c r="K481">
        <f>H481-E484</f>
        <v>-24</v>
      </c>
      <c r="N481" s="10">
        <f>2*(E485*I481)/(E485+I481)</f>
        <v>0.90909090909090917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0</v>
      </c>
      <c r="E482" s="1">
        <v>6</v>
      </c>
      <c r="F482" s="27">
        <v>125</v>
      </c>
      <c r="G482" s="6">
        <v>13</v>
      </c>
      <c r="H482" s="1">
        <f>SUM(C482:G482)</f>
        <v>144</v>
      </c>
      <c r="I482" s="10">
        <f>F482/H482</f>
        <v>0.86805555555555558</v>
      </c>
      <c r="J482" s="11">
        <f>1-I482</f>
        <v>0.13194444444444442</v>
      </c>
      <c r="K482">
        <f>H482-F484</f>
        <v>-3</v>
      </c>
      <c r="N482" s="10">
        <f>2*(F485*I482)/(F485+I482)</f>
        <v>0.85910652920962194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0</v>
      </c>
      <c r="E483" s="8">
        <v>11</v>
      </c>
      <c r="F483" s="8">
        <v>22</v>
      </c>
      <c r="G483" s="28">
        <v>211</v>
      </c>
      <c r="H483" s="1">
        <f>SUM(C483:G483)</f>
        <v>244</v>
      </c>
      <c r="I483" s="10">
        <f>G483/H483</f>
        <v>0.86475409836065575</v>
      </c>
      <c r="J483" s="11">
        <f>1-I483</f>
        <v>0.13524590163934425</v>
      </c>
      <c r="K483">
        <f>H483-G484</f>
        <v>18</v>
      </c>
      <c r="N483" s="10">
        <f>2*(G485*I483)/(G485+I483)</f>
        <v>0.89787234042553199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115</v>
      </c>
      <c r="D484" s="1">
        <f>SUM(D479:D483)</f>
        <v>6</v>
      </c>
      <c r="E484" s="1">
        <f>SUM(E479:E483)</f>
        <v>166</v>
      </c>
      <c r="F484" s="1">
        <f>SUM(F479:F483)</f>
        <v>147</v>
      </c>
      <c r="G484" s="1">
        <f>SUM(G479:G483)</f>
        <v>226</v>
      </c>
      <c r="H484" s="1">
        <f>SUM(H478:H483)</f>
        <v>660</v>
      </c>
      <c r="I484" s="13" t="s">
        <v>12</v>
      </c>
      <c r="N484" s="16" t="s">
        <v>36</v>
      </c>
      <c r="O484" s="1">
        <f>SUM(O479:O483)</f>
        <v>0</v>
      </c>
      <c r="P484" s="1">
        <f>SUM(P479:P483)</f>
        <v>0</v>
      </c>
    </row>
    <row r="485" spans="1:40" x14ac:dyDescent="0.3">
      <c r="A485" s="1" t="s">
        <v>52</v>
      </c>
      <c r="B485" s="1" t="s">
        <v>2</v>
      </c>
      <c r="C485" s="10">
        <f>C479/C484</f>
        <v>1</v>
      </c>
      <c r="D485" s="10">
        <f>D480/D484</f>
        <v>1</v>
      </c>
      <c r="E485" s="10">
        <f>E481/E484</f>
        <v>0.84337349397590367</v>
      </c>
      <c r="F485" s="10">
        <f>F482/F484</f>
        <v>0.85034013605442171</v>
      </c>
      <c r="G485" s="10">
        <f>G483/G484</f>
        <v>0.9336283185840708</v>
      </c>
      <c r="H485" s="10"/>
      <c r="I485" s="14">
        <f>(C479+D480+E481+F482+G483)/H484</f>
        <v>0.90454545454545454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0</v>
      </c>
      <c r="E486" s="11">
        <f>1-E485</f>
        <v>0.15662650602409633</v>
      </c>
      <c r="F486" s="11">
        <f>1-F485</f>
        <v>0.14965986394557829</v>
      </c>
      <c r="G486" s="11">
        <f>1-G485</f>
        <v>6.6371681415929196E-2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1.1393693865033956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1.1393693865033956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115</v>
      </c>
      <c r="M490">
        <v>0</v>
      </c>
      <c r="N490" s="1">
        <v>1044.19</v>
      </c>
      <c r="O490" s="17">
        <f>N490/N495*100</f>
        <v>1.1393693865033956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68">(C480/$L491)*$O491</f>
        <v>0</v>
      </c>
      <c r="D491" s="34">
        <f t="shared" si="68"/>
        <v>0.38280646542124835</v>
      </c>
      <c r="E491" s="19">
        <f t="shared" si="68"/>
        <v>0.5742096981318725</v>
      </c>
      <c r="F491" s="18">
        <f t="shared" si="68"/>
        <v>0</v>
      </c>
      <c r="G491" s="20">
        <f t="shared" si="68"/>
        <v>0</v>
      </c>
      <c r="H491" s="17">
        <f>SUM(C491:G491)</f>
        <v>0.95701616355312091</v>
      </c>
      <c r="I491" s="17">
        <f>D491/H491*100</f>
        <v>40</v>
      </c>
      <c r="J491" s="17">
        <f>SQRT(I491*(100-I491)/(L491-1))</f>
        <v>13.093073414159543</v>
      </c>
      <c r="K491" s="18">
        <f>100-I491</f>
        <v>60</v>
      </c>
      <c r="L491" s="1">
        <f>H480</f>
        <v>15</v>
      </c>
      <c r="M491">
        <v>1</v>
      </c>
      <c r="N491" s="1">
        <v>877.07</v>
      </c>
      <c r="O491" s="17">
        <f>N491/N495*100</f>
        <v>0.9570161635531208</v>
      </c>
      <c r="P491" s="52">
        <f>((O491*O491*(I491/100)*(K491/100))/(L491-1))</f>
        <v>1.5700798925176004E-2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68"/>
        <v>0</v>
      </c>
      <c r="D492" s="19">
        <f t="shared" si="68"/>
        <v>0</v>
      </c>
      <c r="E492" s="34">
        <f t="shared" si="68"/>
        <v>57.165778699178809</v>
      </c>
      <c r="F492" s="19">
        <f t="shared" si="68"/>
        <v>0</v>
      </c>
      <c r="G492" s="20">
        <f t="shared" si="68"/>
        <v>0.8166539814168402</v>
      </c>
      <c r="H492" s="17">
        <f>SUM(C492:G492)</f>
        <v>57.98243268059565</v>
      </c>
      <c r="I492" s="17">
        <f>E492/H492*100</f>
        <v>98.591549295774655</v>
      </c>
      <c r="J492" s="17">
        <f>SQRT(I492*(100-I492)/(L492-1))</f>
        <v>0.99238711073976715</v>
      </c>
      <c r="K492" s="18">
        <f>100-I492</f>
        <v>1.4084507042253449</v>
      </c>
      <c r="L492" s="1">
        <f>H481</f>
        <v>142</v>
      </c>
      <c r="M492">
        <v>2</v>
      </c>
      <c r="N492" s="1">
        <v>53138.76</v>
      </c>
      <c r="O492" s="17">
        <f>N492/N495*100</f>
        <v>57.98243268059565</v>
      </c>
      <c r="P492" s="52">
        <f>((O492*O492*(I492/100)*(K492/100))/(L492-1))</f>
        <v>0.33109688493246903</v>
      </c>
    </row>
    <row r="493" spans="1:40" x14ac:dyDescent="0.3">
      <c r="A493" t="s">
        <v>6</v>
      </c>
      <c r="B493" s="13">
        <v>3</v>
      </c>
      <c r="C493" s="33">
        <f t="shared" si="68"/>
        <v>0</v>
      </c>
      <c r="D493" s="19">
        <f t="shared" si="68"/>
        <v>0</v>
      </c>
      <c r="E493" s="19">
        <f t="shared" si="68"/>
        <v>1.0437354215352479</v>
      </c>
      <c r="F493" s="34">
        <f t="shared" si="68"/>
        <v>21.744487948650999</v>
      </c>
      <c r="G493" s="20">
        <f t="shared" si="68"/>
        <v>2.2614267466597036</v>
      </c>
      <c r="H493" s="17">
        <f>SUM(C493:G493)</f>
        <v>25.049650116845953</v>
      </c>
      <c r="I493" s="17">
        <f>F493/H493*100</f>
        <v>86.805555555555543</v>
      </c>
      <c r="J493" s="17">
        <f>SQRT(I493*(100-I493)/(L493-1))</f>
        <v>2.8300968382044434</v>
      </c>
      <c r="K493" s="18">
        <f>100-I493</f>
        <v>13.194444444444457</v>
      </c>
      <c r="L493" s="1">
        <f>H482</f>
        <v>144</v>
      </c>
      <c r="M493">
        <v>3</v>
      </c>
      <c r="N493" s="1">
        <v>22957.08</v>
      </c>
      <c r="O493" s="17">
        <f>N493/N495*100</f>
        <v>25.04965011684595</v>
      </c>
      <c r="P493" s="52">
        <f>((O493*O493*(I493/100)*(K493/100))/(L493-1))</f>
        <v>0.50258083171085588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68"/>
        <v>0</v>
      </c>
      <c r="D494" s="36">
        <f t="shared" si="68"/>
        <v>0</v>
      </c>
      <c r="E494" s="21">
        <f t="shared" si="68"/>
        <v>0.67043790236688827</v>
      </c>
      <c r="F494" s="21">
        <f t="shared" si="68"/>
        <v>1.3408758047337765</v>
      </c>
      <c r="G494" s="37">
        <f t="shared" si="68"/>
        <v>12.860217945401221</v>
      </c>
      <c r="H494" s="17">
        <f>SUM(C494:G494)</f>
        <v>14.871531652501886</v>
      </c>
      <c r="I494" s="17">
        <f>G494/H494*100</f>
        <v>86.47540983606558</v>
      </c>
      <c r="J494" s="17">
        <f>SQRT(I494*(100-I494)/(L494-1))</f>
        <v>2.1938414335967034</v>
      </c>
      <c r="K494" s="18">
        <f>100-I494</f>
        <v>13.52459016393442</v>
      </c>
      <c r="L494" s="1">
        <f>H483</f>
        <v>244</v>
      </c>
      <c r="M494">
        <v>4</v>
      </c>
      <c r="N494" s="1">
        <v>13629.21</v>
      </c>
      <c r="O494" s="17">
        <f>N494/N495*100</f>
        <v>14.871531652501885</v>
      </c>
      <c r="P494" s="52">
        <f>((O494*O494*(I494/100)*(K494/100))/(L494-1))</f>
        <v>0.10644416720118276</v>
      </c>
    </row>
    <row r="495" spans="1:40" x14ac:dyDescent="0.3">
      <c r="B495" t="s">
        <v>28</v>
      </c>
      <c r="C495" s="17">
        <f t="shared" ref="C495:H495" si="69">SUM(C490:C494)</f>
        <v>1.1393693865033956</v>
      </c>
      <c r="D495" s="17">
        <f t="shared" si="69"/>
        <v>0.38280646542124835</v>
      </c>
      <c r="E495" s="17">
        <f t="shared" si="69"/>
        <v>59.454161721212813</v>
      </c>
      <c r="F495" s="17">
        <f t="shared" si="69"/>
        <v>23.085363753384776</v>
      </c>
      <c r="G495" s="17">
        <f t="shared" si="69"/>
        <v>15.938298673477764</v>
      </c>
      <c r="H495" s="18">
        <f t="shared" si="69"/>
        <v>100</v>
      </c>
      <c r="I495" s="13" t="s">
        <v>24</v>
      </c>
      <c r="J495" s="12" t="s">
        <v>29</v>
      </c>
      <c r="N495" s="1">
        <f>SUM(N490:N494)</f>
        <v>91646.31</v>
      </c>
      <c r="O495" s="17">
        <f>SUM(O490:O494)</f>
        <v>100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0.12105403337696327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0.74594796269063712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0.75726280354855169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0.89030749063794457</v>
      </c>
      <c r="H496" s="1"/>
      <c r="I496" s="14">
        <f>(C490+D491+E492+F493+G494)/H495</f>
        <v>0.93292660445155662</v>
      </c>
      <c r="J496" s="53">
        <f>SQRT(SUM(P490:P494))/100</f>
        <v>9.7766184479588028E-3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100</v>
      </c>
      <c r="E497" s="17">
        <f>E492/E495*100</f>
        <v>96.151012888274352</v>
      </c>
      <c r="F497" s="17">
        <f>F493/F495*100</f>
        <v>94.19166265232802</v>
      </c>
      <c r="G497" s="17">
        <f>G494/G495*100</f>
        <v>80.687520097746415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0</v>
      </c>
      <c r="E498" s="18">
        <f>SQRT((E501+E502)/(E495*E495))</f>
        <v>0.86056344804679075</v>
      </c>
      <c r="F498" s="18">
        <f>SQRT((F501+F502)/(F495*F495))</f>
        <v>2.1034442864985139</v>
      </c>
      <c r="G498" s="18">
        <f>SQRT((G501+G502)/(G495*G495))</f>
        <v>5.774950069020937</v>
      </c>
      <c r="H498" s="1"/>
      <c r="I498" s="14"/>
    </row>
    <row r="499" spans="1:40" x14ac:dyDescent="0.3">
      <c r="B499" s="1" t="s">
        <v>37</v>
      </c>
      <c r="C499" s="18">
        <f>100-C497</f>
        <v>0</v>
      </c>
      <c r="D499" s="18">
        <f>100-D497</f>
        <v>0</v>
      </c>
      <c r="E499" s="18">
        <f>100-E497</f>
        <v>3.8489871117256484</v>
      </c>
      <c r="F499" s="18">
        <f>100-F497</f>
        <v>5.80833734767198</v>
      </c>
      <c r="G499" s="18">
        <f>100-G497</f>
        <v>19.312479902253585</v>
      </c>
      <c r="AM499" s="78"/>
      <c r="AN499" s="78"/>
    </row>
    <row r="500" spans="1:40" ht="15.6" x14ac:dyDescent="0.35">
      <c r="B500" s="1" t="s">
        <v>25</v>
      </c>
      <c r="C500" s="1">
        <f>C484</f>
        <v>115</v>
      </c>
      <c r="D500" s="1">
        <f>D484</f>
        <v>6</v>
      </c>
      <c r="E500" s="1">
        <f>E484</f>
        <v>166</v>
      </c>
      <c r="F500" s="1">
        <f>F484</f>
        <v>147</v>
      </c>
      <c r="G500" s="1">
        <f>G484</f>
        <v>226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0</v>
      </c>
      <c r="E501" s="18">
        <f>(O492*O492*(100-E497)*(100-E497)*(I492)*(100-I492))/((L492-1)*100)</f>
        <v>490.51016126242877</v>
      </c>
      <c r="F501" s="18">
        <f>(O493*O493*(100-F497)*(100-F497)*(I493)*(100-I493))/((L493-1)*100)</f>
        <v>1695.5460330909489</v>
      </c>
      <c r="G501" s="18">
        <f>(O494*O494*(100-G497)*(100-G497)*(I494)*(100-I494))/((L494-1)*100)</f>
        <v>3970.0681153392902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0</v>
      </c>
      <c r="E502" s="18">
        <f>E497*E497*(SUM((H490*E490*(1-E479/H479))/(H479-1),(H491*E491*(1-E480/H480))/(H480-1), (H493*E493*(1-E482/H482))/(H482-1),(H494*E494*(1-E483/H483))/(H483-1)))</f>
        <v>2127.252758439623</v>
      </c>
      <c r="F502" s="18">
        <f>F497*F497*(SUM((H490*F490*(1-F479/H479))/(H479-1),(H491*F491*(1-F480/H480))/(H480-1), (H492*F492*(1-F481/H481))/(H481-1),(H494*F494*(1-F483/H483))/(H483-1)))</f>
        <v>662.40874099800521</v>
      </c>
      <c r="G502" s="18">
        <f>G497*G497*(SUM((H490*G490*(1-G479/H479))/(H479-1),(H491*G491*(1-G480/H480))/(H480-1), (H492*G492*(1-G481/H481))/(H481-1),(H493*G493*(1-G482/H482))/(H482-1)))</f>
        <v>4501.8234637751666</v>
      </c>
    </row>
    <row r="503" spans="1:40" x14ac:dyDescent="0.3">
      <c r="AM503" s="78"/>
      <c r="AN503" s="78"/>
    </row>
    <row r="505" spans="1:40" x14ac:dyDescent="0.3">
      <c r="A505" s="348">
        <v>1988</v>
      </c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 t="s">
        <v>90</v>
      </c>
      <c r="M505" s="348"/>
      <c r="N505" s="348"/>
      <c r="O505" s="348"/>
      <c r="P505" s="348"/>
      <c r="AM505" s="78"/>
      <c r="AN505" s="78"/>
    </row>
    <row r="506" spans="1:40" x14ac:dyDescent="0.3">
      <c r="A506" t="s">
        <v>15</v>
      </c>
      <c r="B506" t="s">
        <v>21</v>
      </c>
      <c r="I506" s="1" t="s">
        <v>53</v>
      </c>
      <c r="O506" s="350" t="s">
        <v>377</v>
      </c>
      <c r="P506" s="350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51</v>
      </c>
      <c r="O507" s="13" t="s">
        <v>644</v>
      </c>
      <c r="P507" s="13" t="s">
        <v>633</v>
      </c>
      <c r="AM507" s="78"/>
      <c r="AN507" s="78"/>
    </row>
    <row r="508" spans="1:40" x14ac:dyDescent="0.3">
      <c r="A508" t="s">
        <v>3</v>
      </c>
      <c r="B508" s="13">
        <v>0</v>
      </c>
      <c r="C508" s="26">
        <v>115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115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5</v>
      </c>
      <c r="E509" s="1">
        <v>10</v>
      </c>
      <c r="F509" s="1">
        <v>0</v>
      </c>
      <c r="G509" s="6">
        <v>0</v>
      </c>
      <c r="H509" s="1">
        <f>SUM(C509:G509)</f>
        <v>15</v>
      </c>
      <c r="I509" s="10">
        <f>D509/H509</f>
        <v>0.33333333333333331</v>
      </c>
      <c r="J509" s="11">
        <f>1-I509</f>
        <v>0.66666666666666674</v>
      </c>
      <c r="K509">
        <f>H509-D513</f>
        <v>10</v>
      </c>
      <c r="N509" s="10">
        <f>2*(D514*I509)/(D514+I509)</f>
        <v>0.5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0</v>
      </c>
      <c r="E510" s="27">
        <v>140</v>
      </c>
      <c r="F510" s="1">
        <v>0</v>
      </c>
      <c r="G510" s="6">
        <v>2</v>
      </c>
      <c r="H510" s="1">
        <f>SUM(C510:G510)</f>
        <v>142</v>
      </c>
      <c r="I510" s="10">
        <f>E510/H510</f>
        <v>0.9859154929577465</v>
      </c>
      <c r="J510" s="11">
        <f>1-I510</f>
        <v>1.4084507042253502E-2</v>
      </c>
      <c r="K510">
        <f>H510-E513</f>
        <v>-26</v>
      </c>
      <c r="N510" s="10">
        <f>2*(E514*I510)/(E514+I510)</f>
        <v>0.90322580645161288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0</v>
      </c>
      <c r="E511" s="1">
        <v>6</v>
      </c>
      <c r="F511" s="27">
        <v>127</v>
      </c>
      <c r="G511" s="6">
        <v>11</v>
      </c>
      <c r="H511" s="1">
        <f>SUM(C511:G511)</f>
        <v>144</v>
      </c>
      <c r="I511" s="10">
        <f>F511/H511</f>
        <v>0.88194444444444442</v>
      </c>
      <c r="J511" s="11">
        <f>1-I511</f>
        <v>0.11805555555555558</v>
      </c>
      <c r="K511">
        <f>H511-F513</f>
        <v>1</v>
      </c>
      <c r="N511" s="10">
        <f>2*(F514*I511)/(F514+I511)</f>
        <v>0.88501742160278751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0</v>
      </c>
      <c r="E512" s="8">
        <v>12</v>
      </c>
      <c r="F512" s="8">
        <v>16</v>
      </c>
      <c r="G512" s="28">
        <v>216</v>
      </c>
      <c r="H512" s="1">
        <f>SUM(C512:G512)</f>
        <v>244</v>
      </c>
      <c r="I512" s="10">
        <f>G512/H512</f>
        <v>0.88524590163934425</v>
      </c>
      <c r="J512" s="11">
        <f>1-I512</f>
        <v>0.11475409836065575</v>
      </c>
      <c r="K512">
        <f>H512-G513</f>
        <v>15</v>
      </c>
      <c r="N512" s="10">
        <f>2*(G514*I512)/(G514+I512)</f>
        <v>0.91331923890063427</v>
      </c>
      <c r="O512" s="1"/>
      <c r="P512" s="1"/>
    </row>
    <row r="513" spans="1:40" ht="15.6" x14ac:dyDescent="0.35">
      <c r="B513" s="1" t="s">
        <v>19</v>
      </c>
      <c r="C513" s="1">
        <f>SUM(C508:C512)</f>
        <v>115</v>
      </c>
      <c r="D513" s="1">
        <f>SUM(D508:D512)</f>
        <v>5</v>
      </c>
      <c r="E513" s="1">
        <f>SUM(E508:E512)</f>
        <v>168</v>
      </c>
      <c r="F513" s="1">
        <f>SUM(F508:F512)</f>
        <v>143</v>
      </c>
      <c r="G513" s="1">
        <f>SUM(G508:G512)</f>
        <v>229</v>
      </c>
      <c r="H513" s="1">
        <f>SUM(H507:H512)</f>
        <v>660</v>
      </c>
      <c r="I513" s="13" t="s">
        <v>12</v>
      </c>
      <c r="N513" s="16" t="s">
        <v>36</v>
      </c>
      <c r="O513" s="1">
        <f>SUM(O508:O512)</f>
        <v>0</v>
      </c>
      <c r="P513" s="1">
        <f>SUM(P508:P512)</f>
        <v>0</v>
      </c>
      <c r="AM513" s="78"/>
      <c r="AN513" s="78"/>
    </row>
    <row r="514" spans="1:40" x14ac:dyDescent="0.3">
      <c r="A514" s="1" t="s">
        <v>52</v>
      </c>
      <c r="B514" s="1" t="s">
        <v>2</v>
      </c>
      <c r="C514" s="10">
        <f>C508/C513</f>
        <v>1</v>
      </c>
      <c r="D514" s="10">
        <f>D509/D513</f>
        <v>1</v>
      </c>
      <c r="E514" s="10">
        <f>E510/E513</f>
        <v>0.83333333333333337</v>
      </c>
      <c r="F514" s="10">
        <f>F511/F513</f>
        <v>0.88811188811188813</v>
      </c>
      <c r="G514" s="10">
        <f>G512/G513</f>
        <v>0.94323144104803491</v>
      </c>
      <c r="H514" s="10"/>
      <c r="I514" s="14">
        <f>(C508+D509+E510+F511+G512)/H513</f>
        <v>0.91363636363636369</v>
      </c>
    </row>
    <row r="515" spans="1:40" x14ac:dyDescent="0.3">
      <c r="B515" s="1" t="s">
        <v>14</v>
      </c>
      <c r="C515" s="11">
        <f>1-C514</f>
        <v>0</v>
      </c>
      <c r="D515" s="11">
        <f>1-D514</f>
        <v>0</v>
      </c>
      <c r="E515" s="11">
        <f>1-E514</f>
        <v>0.16666666666666663</v>
      </c>
      <c r="F515" s="11">
        <f>1-F514</f>
        <v>0.11188811188811187</v>
      </c>
      <c r="G515" s="11">
        <f>1-G514</f>
        <v>5.6768558951965087E-2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1.1271920138200857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1.1271920138200857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115</v>
      </c>
      <c r="M519">
        <v>0</v>
      </c>
      <c r="N519" s="1">
        <v>1033.03</v>
      </c>
      <c r="O519" s="17">
        <f>N519/N524*100</f>
        <v>1.1271920138200857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70">(C509/$L520)*$O520</f>
        <v>0</v>
      </c>
      <c r="D520" s="34">
        <f t="shared" si="70"/>
        <v>0.28050589847288282</v>
      </c>
      <c r="E520" s="19">
        <f t="shared" si="70"/>
        <v>0.56101179694576564</v>
      </c>
      <c r="F520" s="18">
        <f t="shared" si="70"/>
        <v>0</v>
      </c>
      <c r="G520" s="20">
        <f t="shared" si="70"/>
        <v>0</v>
      </c>
      <c r="H520" s="17">
        <f>SUM(C520:G520)</f>
        <v>0.84151769541864851</v>
      </c>
      <c r="I520" s="17">
        <f>D520/H520*100</f>
        <v>33.333333333333329</v>
      </c>
      <c r="J520" s="17">
        <f>SQRT(I520*(100-I520)/(L520-1))</f>
        <v>12.598815766974241</v>
      </c>
      <c r="K520" s="18">
        <f>100-I520</f>
        <v>66.666666666666671</v>
      </c>
      <c r="L520" s="1">
        <f>H509</f>
        <v>15</v>
      </c>
      <c r="M520">
        <v>1</v>
      </c>
      <c r="N520" s="1">
        <v>771.22</v>
      </c>
      <c r="O520" s="17">
        <f>N520/N524*100</f>
        <v>0.84151769541864851</v>
      </c>
      <c r="P520" s="52">
        <f>((O520*O520*(I520/100)*(K520/100))/(L520-1))</f>
        <v>1.1240508439725605E-2</v>
      </c>
    </row>
    <row r="521" spans="1:40" x14ac:dyDescent="0.3">
      <c r="A521" t="s">
        <v>5</v>
      </c>
      <c r="B521" s="13">
        <v>2</v>
      </c>
      <c r="C521" s="33">
        <f t="shared" si="70"/>
        <v>0</v>
      </c>
      <c r="D521" s="19">
        <f t="shared" si="70"/>
        <v>0</v>
      </c>
      <c r="E521" s="34">
        <f t="shared" si="70"/>
        <v>56.968613718662148</v>
      </c>
      <c r="F521" s="19">
        <f t="shared" si="70"/>
        <v>0</v>
      </c>
      <c r="G521" s="20">
        <f t="shared" si="70"/>
        <v>0.81383733883803067</v>
      </c>
      <c r="H521" s="17">
        <f>SUM(C521:G521)</f>
        <v>57.782451057500175</v>
      </c>
      <c r="I521" s="17">
        <f>E521/H521*100</f>
        <v>98.591549295774655</v>
      </c>
      <c r="J521" s="17">
        <f>SQRT(I521*(100-I521)/(L521-1))</f>
        <v>0.99238711073976715</v>
      </c>
      <c r="K521" s="18">
        <f>100-I521</f>
        <v>1.4084507042253449</v>
      </c>
      <c r="L521" s="1">
        <f>H510</f>
        <v>142</v>
      </c>
      <c r="M521">
        <v>2</v>
      </c>
      <c r="N521" s="1">
        <v>52955.49</v>
      </c>
      <c r="O521" s="17">
        <f>N521/N524*100</f>
        <v>57.782451057500175</v>
      </c>
      <c r="P521" s="52">
        <f>((O521*O521*(I521/100)*(K521/100))/(L521-1))</f>
        <v>0.32881691479494674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70"/>
        <v>0</v>
      </c>
      <c r="D522" s="19">
        <f t="shared" si="70"/>
        <v>0</v>
      </c>
      <c r="E522" s="19">
        <f t="shared" si="70"/>
        <v>1.0345187164452792</v>
      </c>
      <c r="F522" s="34">
        <f t="shared" si="70"/>
        <v>21.897312831425076</v>
      </c>
      <c r="G522" s="20">
        <f t="shared" si="70"/>
        <v>1.8966176468163454</v>
      </c>
      <c r="H522" s="17">
        <f>SUM(C522:G522)</f>
        <v>24.828449194686701</v>
      </c>
      <c r="I522" s="17">
        <f>F522/H522*100</f>
        <v>88.194444444444443</v>
      </c>
      <c r="J522" s="17">
        <f>SQRT(I522*(100-I522)/(L522-1))</f>
        <v>2.6983346503309322</v>
      </c>
      <c r="K522" s="18">
        <f>100-I522</f>
        <v>11.805555555555557</v>
      </c>
      <c r="L522" s="1">
        <f>H511</f>
        <v>144</v>
      </c>
      <c r="M522">
        <v>3</v>
      </c>
      <c r="N522" s="1">
        <v>22754.36</v>
      </c>
      <c r="O522" s="17">
        <f>N522/N524*100</f>
        <v>24.828449194686701</v>
      </c>
      <c r="P522" s="52">
        <f>((O522*O522*(I522/100)*(K522/100))/(L522-1))</f>
        <v>0.44883923005528259</v>
      </c>
    </row>
    <row r="523" spans="1:40" x14ac:dyDescent="0.3">
      <c r="A523" t="s">
        <v>7</v>
      </c>
      <c r="B523" s="13">
        <v>4</v>
      </c>
      <c r="C523" s="35">
        <f t="shared" si="70"/>
        <v>0</v>
      </c>
      <c r="D523" s="36">
        <f t="shared" si="70"/>
        <v>0</v>
      </c>
      <c r="E523" s="21">
        <f t="shared" si="70"/>
        <v>0.75837983796267427</v>
      </c>
      <c r="F523" s="21">
        <f t="shared" si="70"/>
        <v>1.0111731172835658</v>
      </c>
      <c r="G523" s="37">
        <f t="shared" si="70"/>
        <v>13.650837083328137</v>
      </c>
      <c r="H523" s="17">
        <f>SUM(C523:G523)</f>
        <v>15.420390038574377</v>
      </c>
      <c r="I523" s="17">
        <f>G523/H523*100</f>
        <v>88.52459016393442</v>
      </c>
      <c r="J523" s="17">
        <f>SQRT(I523*(100-I523)/(L523-1))</f>
        <v>2.0446215228272906</v>
      </c>
      <c r="K523" s="18">
        <f>100-I523</f>
        <v>11.47540983606558</v>
      </c>
      <c r="L523" s="1">
        <f>H512</f>
        <v>244</v>
      </c>
      <c r="M523">
        <v>4</v>
      </c>
      <c r="N523" s="1">
        <v>14132.22</v>
      </c>
      <c r="O523" s="17">
        <f>N523/N524*100</f>
        <v>15.420390038574377</v>
      </c>
      <c r="P523" s="52">
        <f>((O523*O523*(I523/100)*(K523/100))/(L523-1))</f>
        <v>9.9406909886371533E-2</v>
      </c>
      <c r="AM523" s="78"/>
      <c r="AN523" s="78"/>
    </row>
    <row r="524" spans="1:40" x14ac:dyDescent="0.3">
      <c r="B524" t="s">
        <v>28</v>
      </c>
      <c r="C524" s="17">
        <f>SUM(C519:C523)</f>
        <v>1.1271920138200857</v>
      </c>
      <c r="D524" s="17">
        <f>SUM(D519:D523)</f>
        <v>0.28050589847288282</v>
      </c>
      <c r="E524" s="17">
        <f>SUM(E519:E523)</f>
        <v>59.322524070015859</v>
      </c>
      <c r="F524" s="17">
        <f>SUM(F519:F523)</f>
        <v>22.908485948708641</v>
      </c>
      <c r="G524" s="17">
        <f>SUM(G519:G523)</f>
        <v>16.361292068982515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91646.32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0.10242627207123457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0.74397781858301315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0.71094041790419704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0.85295659257482026</v>
      </c>
      <c r="H525" s="1"/>
      <c r="I525" s="14">
        <f>(C519+D520+E521+F522+G523)/H524</f>
        <v>0.93924461545708327</v>
      </c>
      <c r="J525" s="53">
        <f>SQRT(SUM(P519:P523))/100</f>
        <v>9.4249857462827321E-3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100</v>
      </c>
      <c r="E526" s="17">
        <f>E521/E524*100</f>
        <v>96.032012480494771</v>
      </c>
      <c r="F526" s="17">
        <f>F522/F524*100</f>
        <v>95.586032531580003</v>
      </c>
      <c r="G526" s="17">
        <f>G523/G524*100</f>
        <v>83.433735097286004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0</v>
      </c>
      <c r="E527" s="18">
        <f>SQRT((E530+E531)/(E524*E524))</f>
        <v>0.86462249204879926</v>
      </c>
      <c r="F527" s="18">
        <f>SQRT((F530+F531)/(F524*F524))</f>
        <v>1.6462697951330005</v>
      </c>
      <c r="G527" s="18">
        <f>SQRT((G530+G531)/(G524*G524))</f>
        <v>5.1624802139807509</v>
      </c>
      <c r="H527" s="1"/>
      <c r="I527" s="14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0</v>
      </c>
      <c r="E528" s="18">
        <f>100-E526</f>
        <v>3.967987519505229</v>
      </c>
      <c r="F528" s="18">
        <f>100-F526</f>
        <v>4.4139674684199974</v>
      </c>
      <c r="G528" s="18">
        <f>100-G526</f>
        <v>16.566264902713996</v>
      </c>
    </row>
    <row r="529" spans="1:40" ht="15.6" x14ac:dyDescent="0.35">
      <c r="B529" s="1" t="s">
        <v>25</v>
      </c>
      <c r="C529" s="1">
        <f>C513</f>
        <v>115</v>
      </c>
      <c r="D529" s="1">
        <f>D513</f>
        <v>5</v>
      </c>
      <c r="E529" s="1">
        <f>E513</f>
        <v>168</v>
      </c>
      <c r="F529" s="1">
        <f>F513</f>
        <v>143</v>
      </c>
      <c r="G529" s="1">
        <f>G513</f>
        <v>229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0</v>
      </c>
      <c r="E530" s="18">
        <f>(O521*O521*(100-E526)*(100-E526)*(I521)*(100-I521))/((L521-1)*100)</f>
        <v>517.71976473643804</v>
      </c>
      <c r="F530" s="18">
        <f>(O522*O522*(100-F526)*(100-F526)*(I522)*(100-I522))/((L522-1)*100)</f>
        <v>874.4783558382577</v>
      </c>
      <c r="G530" s="18">
        <f>(O523*O523*(100-G526)*(100-G526)*(I523)*(100-I523))/((L523-1)*100)</f>
        <v>2728.1344960036727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0</v>
      </c>
      <c r="E531" s="18">
        <f>E526*E526*(SUM((H519*E519*(1-E508/H508))/(H508-1),(H520*E520*(1-E509/H509))/(H509-1), (H522*E522*(1-E511/H511))/(H511-1),(H523*E523*(1-E512/H512))/(H512-1)))</f>
        <v>2113.1072959691869</v>
      </c>
      <c r="F531" s="18">
        <f>F526*F526*(SUM((H519*F519*(1-F508/H508))/(H508-1),(H520*F520*(1-F509/H509))/(H509-1), (H521*F521*(1-F510/H510))/(H510-1),(H523*F523*(1-F512/H512))/(H512-1)))</f>
        <v>547.83338232969027</v>
      </c>
      <c r="G531" s="18">
        <f>G526*G526*(SUM((H519*G519*(1-G508/H508))/(H508-1),(H520*G520*(1-G509/H509))/(H509-1), (H521*G521*(1-G510/H510))/(H510-1),(H522*G522*(1-G511/H511))/(H511-1)))</f>
        <v>4406.175811995904</v>
      </c>
      <c r="AM531" s="78"/>
      <c r="AN531" s="78"/>
    </row>
    <row r="533" spans="1:40" x14ac:dyDescent="0.3">
      <c r="AM533" s="78"/>
      <c r="AN533" s="78"/>
    </row>
    <row r="534" spans="1:40" x14ac:dyDescent="0.3">
      <c r="A534" s="348">
        <v>1988</v>
      </c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 t="s">
        <v>91</v>
      </c>
      <c r="M534" s="348"/>
      <c r="N534" s="348"/>
      <c r="O534" s="348"/>
      <c r="P534" s="348"/>
    </row>
    <row r="535" spans="1:40" x14ac:dyDescent="0.3">
      <c r="A535" t="s">
        <v>15</v>
      </c>
      <c r="B535" t="s">
        <v>21</v>
      </c>
      <c r="I535" s="1" t="s">
        <v>53</v>
      </c>
      <c r="O535" s="350" t="s">
        <v>377</v>
      </c>
      <c r="P535" s="350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51</v>
      </c>
      <c r="O536" s="13" t="s">
        <v>644</v>
      </c>
      <c r="P536" s="13" t="s">
        <v>633</v>
      </c>
    </row>
    <row r="537" spans="1:40" x14ac:dyDescent="0.3">
      <c r="A537" t="s">
        <v>3</v>
      </c>
      <c r="B537" s="13">
        <v>0</v>
      </c>
      <c r="C537" s="26">
        <v>115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115</v>
      </c>
      <c r="I537" s="10">
        <f>C537/H537</f>
        <v>1</v>
      </c>
      <c r="J537" s="11">
        <f>1-I537</f>
        <v>0</v>
      </c>
      <c r="K537">
        <f>H537-C542</f>
        <v>0</v>
      </c>
      <c r="N537" s="10">
        <f>2*(C543*I537)/(C543+I537)</f>
        <v>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6</v>
      </c>
      <c r="E538" s="1">
        <v>9</v>
      </c>
      <c r="F538" s="1">
        <v>0</v>
      </c>
      <c r="G538" s="6">
        <v>0</v>
      </c>
      <c r="H538" s="1">
        <f>SUM(C538:G538)</f>
        <v>15</v>
      </c>
      <c r="I538" s="10">
        <f>D538/H538</f>
        <v>0.4</v>
      </c>
      <c r="J538" s="11">
        <f>1-I538</f>
        <v>0.6</v>
      </c>
      <c r="K538">
        <f>H538-D542</f>
        <v>9</v>
      </c>
      <c r="N538" s="10">
        <f>2*(D543*I538)/(D543+I538)</f>
        <v>0.57142857142857151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0</v>
      </c>
      <c r="E539" s="27">
        <v>141</v>
      </c>
      <c r="F539" s="1">
        <v>0</v>
      </c>
      <c r="G539" s="6">
        <v>1</v>
      </c>
      <c r="H539" s="1">
        <f>SUM(C539:G539)</f>
        <v>142</v>
      </c>
      <c r="I539" s="10">
        <f>E539/H539</f>
        <v>0.99295774647887325</v>
      </c>
      <c r="J539" s="11">
        <f>1-I539</f>
        <v>7.0422535211267512E-3</v>
      </c>
      <c r="K539">
        <f>H539-E542</f>
        <v>-25</v>
      </c>
      <c r="N539" s="10">
        <f>2*(E543*I539)/(E543+I539)</f>
        <v>0.91262135922330101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0</v>
      </c>
      <c r="E540" s="1">
        <v>5</v>
      </c>
      <c r="F540" s="27">
        <v>129</v>
      </c>
      <c r="G540" s="6">
        <v>10</v>
      </c>
      <c r="H540" s="1">
        <f>SUM(C540:G540)</f>
        <v>144</v>
      </c>
      <c r="I540" s="10">
        <f>F540/H540</f>
        <v>0.89583333333333337</v>
      </c>
      <c r="J540" s="11">
        <f>1-I540</f>
        <v>0.10416666666666663</v>
      </c>
      <c r="K540">
        <f>H540-F542</f>
        <v>-7</v>
      </c>
      <c r="N540" s="10">
        <f>2*(F543*I540)/(F543+I540)</f>
        <v>0.87457627118644066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0</v>
      </c>
      <c r="E541" s="8">
        <v>12</v>
      </c>
      <c r="F541" s="8">
        <v>22</v>
      </c>
      <c r="G541" s="28">
        <v>210</v>
      </c>
      <c r="H541" s="1">
        <f>SUM(C541:G541)</f>
        <v>244</v>
      </c>
      <c r="I541" s="10">
        <f>G541/H541</f>
        <v>0.86065573770491799</v>
      </c>
      <c r="J541" s="11">
        <f>1-I541</f>
        <v>0.13934426229508201</v>
      </c>
      <c r="K541">
        <f>H541-G542</f>
        <v>23</v>
      </c>
      <c r="N541" s="10">
        <f>2*(G543*I541)/(G543+I541)</f>
        <v>0.90322580645161277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115</v>
      </c>
      <c r="D542" s="1">
        <f>SUM(D537:D541)</f>
        <v>6</v>
      </c>
      <c r="E542" s="1">
        <f>SUM(E537:E541)</f>
        <v>167</v>
      </c>
      <c r="F542" s="1">
        <f>SUM(F537:F541)</f>
        <v>151</v>
      </c>
      <c r="G542" s="1">
        <f>SUM(G537:G541)</f>
        <v>221</v>
      </c>
      <c r="H542" s="1">
        <f>SUM(H536:H541)</f>
        <v>660</v>
      </c>
      <c r="I542" s="13" t="s">
        <v>12</v>
      </c>
      <c r="N542" s="16" t="s">
        <v>36</v>
      </c>
      <c r="O542" s="1">
        <f>SUM(O537:O541)</f>
        <v>0</v>
      </c>
      <c r="P542" s="1">
        <f>SUM(P537:P541)</f>
        <v>0</v>
      </c>
    </row>
    <row r="543" spans="1:40" x14ac:dyDescent="0.3">
      <c r="A543" s="1" t="s">
        <v>52</v>
      </c>
      <c r="B543" s="1" t="s">
        <v>2</v>
      </c>
      <c r="C543" s="10">
        <f>C537/C542</f>
        <v>1</v>
      </c>
      <c r="D543" s="10">
        <f>D538/D542</f>
        <v>1</v>
      </c>
      <c r="E543" s="10">
        <f>E539/E542</f>
        <v>0.84431137724550898</v>
      </c>
      <c r="F543" s="10">
        <f>F540/F542</f>
        <v>0.85430463576158944</v>
      </c>
      <c r="G543" s="10">
        <f>G541/G542</f>
        <v>0.95022624434389136</v>
      </c>
      <c r="H543" s="10"/>
      <c r="I543" s="14">
        <f>(C537+D538+E539+F540+G541)/H542</f>
        <v>0.91060606060606064</v>
      </c>
    </row>
    <row r="544" spans="1:40" x14ac:dyDescent="0.3">
      <c r="B544" s="1" t="s">
        <v>14</v>
      </c>
      <c r="C544" s="11">
        <f>1-C543</f>
        <v>0</v>
      </c>
      <c r="D544" s="11">
        <f>1-D543</f>
        <v>0</v>
      </c>
      <c r="E544" s="11">
        <f>1-E543</f>
        <v>0.15568862275449102</v>
      </c>
      <c r="F544" s="11">
        <f>1-F543</f>
        <v>0.14569536423841056</v>
      </c>
      <c r="G544" s="11">
        <f>1-G543</f>
        <v>4.9773755656108642E-2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1.1110866208266739</v>
      </c>
      <c r="D548" s="31">
        <f>(D537/$L548)*$O548</f>
        <v>0</v>
      </c>
      <c r="E548" s="31">
        <f>(E537/$L548)*$O548</f>
        <v>0</v>
      </c>
      <c r="F548" s="31">
        <f>(F537/$L548)*$O548</f>
        <v>0</v>
      </c>
      <c r="G548" s="32">
        <f>(G537/$L548)*$O548</f>
        <v>0</v>
      </c>
      <c r="H548" s="17">
        <f>SUM(C548:G548)</f>
        <v>1.1110866208266739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115</v>
      </c>
      <c r="M548">
        <v>0</v>
      </c>
      <c r="N548" s="1">
        <v>1018.27</v>
      </c>
      <c r="O548" s="17">
        <f>N548/N553*100</f>
        <v>1.1110866208266739</v>
      </c>
      <c r="P548" s="52">
        <f>((O548*O548*(I548/100)*(K548/100))/(L548-1))</f>
        <v>0</v>
      </c>
    </row>
    <row r="549" spans="1:16" x14ac:dyDescent="0.3">
      <c r="A549" t="s">
        <v>4</v>
      </c>
      <c r="B549" s="13">
        <v>1</v>
      </c>
      <c r="C549" s="33">
        <f t="shared" ref="C549:G552" si="71">(C538/$L549)*$O549</f>
        <v>0</v>
      </c>
      <c r="D549" s="34">
        <f t="shared" si="71"/>
        <v>0.36018031056784389</v>
      </c>
      <c r="E549" s="19">
        <f t="shared" si="71"/>
        <v>0.54027046585176575</v>
      </c>
      <c r="F549" s="18">
        <f t="shared" si="71"/>
        <v>0</v>
      </c>
      <c r="G549" s="20">
        <f t="shared" si="71"/>
        <v>0</v>
      </c>
      <c r="H549" s="17">
        <f>SUM(C549:G549)</f>
        <v>0.90045077641960969</v>
      </c>
      <c r="I549" s="17">
        <f>D549/H549*100</f>
        <v>40</v>
      </c>
      <c r="J549" s="17">
        <f>SQRT(I549*(100-I549)/(L549-1))</f>
        <v>13.093073414159543</v>
      </c>
      <c r="K549" s="18">
        <f>100-I549</f>
        <v>60</v>
      </c>
      <c r="L549" s="1">
        <f>H538</f>
        <v>15</v>
      </c>
      <c r="M549">
        <v>1</v>
      </c>
      <c r="N549" s="1">
        <v>825.23</v>
      </c>
      <c r="O549" s="17">
        <f>N549/N553*100</f>
        <v>0.90045077641960969</v>
      </c>
      <c r="P549" s="52">
        <f>((O549*O549*(I549/100)*(K549/100))/(L549-1))</f>
        <v>1.3899627441508767E-2</v>
      </c>
    </row>
    <row r="550" spans="1:16" x14ac:dyDescent="0.3">
      <c r="A550" t="s">
        <v>5</v>
      </c>
      <c r="B550" s="13">
        <v>2</v>
      </c>
      <c r="C550" s="33">
        <f t="shared" si="71"/>
        <v>0</v>
      </c>
      <c r="D550" s="19">
        <f t="shared" si="71"/>
        <v>0</v>
      </c>
      <c r="E550" s="34">
        <f t="shared" si="71"/>
        <v>57.531584157781637</v>
      </c>
      <c r="F550" s="19">
        <f t="shared" si="71"/>
        <v>0</v>
      </c>
      <c r="G550" s="20">
        <f t="shared" si="71"/>
        <v>0.408025419558735</v>
      </c>
      <c r="H550" s="17">
        <f>SUM(C550:G550)</f>
        <v>57.93960957734037</v>
      </c>
      <c r="I550" s="17">
        <f>E550/H550*100</f>
        <v>99.295774647887328</v>
      </c>
      <c r="J550" s="17">
        <f>SQRT(I550*(100-I550)/(L550-1))</f>
        <v>0.70422535211267423</v>
      </c>
      <c r="K550" s="18">
        <f>100-I550</f>
        <v>0.70422535211267245</v>
      </c>
      <c r="L550" s="1">
        <f>H539</f>
        <v>142</v>
      </c>
      <c r="M550">
        <v>2</v>
      </c>
      <c r="N550" s="1">
        <v>53099.519999999997</v>
      </c>
      <c r="O550" s="17">
        <f>N550/N553*100</f>
        <v>57.93960957734037</v>
      </c>
      <c r="P550" s="52">
        <f>((O550*O550*(I550/100)*(K550/100))/(L550-1))</f>
        <v>0.16648474300608085</v>
      </c>
    </row>
    <row r="551" spans="1:16" x14ac:dyDescent="0.3">
      <c r="A551" t="s">
        <v>6</v>
      </c>
      <c r="B551" s="13">
        <v>3</v>
      </c>
      <c r="C551" s="33">
        <f t="shared" si="71"/>
        <v>0</v>
      </c>
      <c r="D551" s="19">
        <f t="shared" si="71"/>
        <v>0</v>
      </c>
      <c r="E551" s="19">
        <f t="shared" si="71"/>
        <v>0.86621878422274767</v>
      </c>
      <c r="F551" s="34">
        <f t="shared" si="71"/>
        <v>22.34844463294689</v>
      </c>
      <c r="G551" s="20">
        <f t="shared" si="71"/>
        <v>1.7324375684454953</v>
      </c>
      <c r="H551" s="17">
        <f>SUM(C551:G551)</f>
        <v>24.947100985615133</v>
      </c>
      <c r="I551" s="17">
        <f>F551/H551*100</f>
        <v>89.583333333333343</v>
      </c>
      <c r="J551" s="17">
        <f>SQRT(I551*(100-I551)/(L551-1))</f>
        <v>2.5545239210256887</v>
      </c>
      <c r="K551" s="18">
        <f>100-I551</f>
        <v>10.416666666666657</v>
      </c>
      <c r="L551" s="1">
        <f>H540</f>
        <v>144</v>
      </c>
      <c r="M551">
        <v>3</v>
      </c>
      <c r="N551" s="1">
        <v>22863.1</v>
      </c>
      <c r="O551" s="17">
        <f>N551/N553*100</f>
        <v>24.947100985615133</v>
      </c>
      <c r="P551" s="52">
        <f>((O551*O551*(I551/100)*(K551/100))/(L551-1))</f>
        <v>0.40612536795567761</v>
      </c>
    </row>
    <row r="552" spans="1:16" x14ac:dyDescent="0.3">
      <c r="A552" t="s">
        <v>7</v>
      </c>
      <c r="B552" s="13">
        <v>4</v>
      </c>
      <c r="C552" s="35">
        <f t="shared" si="71"/>
        <v>0</v>
      </c>
      <c r="D552" s="36">
        <f t="shared" si="71"/>
        <v>0</v>
      </c>
      <c r="E552" s="21">
        <f t="shared" si="71"/>
        <v>0.74270911671138762</v>
      </c>
      <c r="F552" s="21">
        <f t="shared" si="71"/>
        <v>1.361633380637544</v>
      </c>
      <c r="G552" s="37">
        <f t="shared" si="71"/>
        <v>12.997409542449283</v>
      </c>
      <c r="H552" s="17">
        <f>SUM(C552:G552)</f>
        <v>15.101752039798214</v>
      </c>
      <c r="I552" s="17">
        <f>G552/H552*100</f>
        <v>86.06557377049181</v>
      </c>
      <c r="J552" s="17">
        <f>SQRT(I552*(100-I552)/(L552-1))</f>
        <v>2.2215502582241289</v>
      </c>
      <c r="K552" s="18">
        <f>100-I552</f>
        <v>13.93442622950819</v>
      </c>
      <c r="L552" s="1">
        <f>H541</f>
        <v>244</v>
      </c>
      <c r="M552">
        <v>4</v>
      </c>
      <c r="N552" s="1">
        <v>13840.2</v>
      </c>
      <c r="O552" s="17">
        <f>N552/N553*100</f>
        <v>15.101752039798216</v>
      </c>
      <c r="P552" s="52">
        <f>((O552*O552*(I552/100)*(K552/100))/(L552-1))</f>
        <v>0.11255556072273479</v>
      </c>
    </row>
    <row r="553" spans="1:16" x14ac:dyDescent="0.3">
      <c r="B553" t="s">
        <v>28</v>
      </c>
      <c r="C553" s="17">
        <f>SUM(C548:C552)</f>
        <v>1.1110866208266739</v>
      </c>
      <c r="D553" s="17">
        <f>SUM(D548:D552)</f>
        <v>0.36018031056784389</v>
      </c>
      <c r="E553" s="17">
        <f>SUM(E548:E552)</f>
        <v>59.68078252456754</v>
      </c>
      <c r="F553" s="17">
        <f>SUM(F548:F552)</f>
        <v>23.710078013584436</v>
      </c>
      <c r="G553" s="17">
        <f>SUM(G548:G552)</f>
        <v>15.137872530453514</v>
      </c>
      <c r="H553" s="1">
        <f>SUM(H547:H552)</f>
        <v>100</v>
      </c>
      <c r="I553" s="13" t="s">
        <v>24</v>
      </c>
      <c r="J553" s="12" t="s">
        <v>29</v>
      </c>
      <c r="N553" s="1">
        <f>SUM(N548:N552)</f>
        <v>91646.319999999992</v>
      </c>
      <c r="O553" s="17">
        <f>SUM(O548:O552)</f>
        <v>100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0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0.11389901497412017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0.60568059428717169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0.69280682712042285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0.7461219318200375</v>
      </c>
      <c r="H554" s="1"/>
      <c r="I554" s="56">
        <f>(C548+D549+E550+F551+G552)/H553</f>
        <v>0.94348705264572319</v>
      </c>
      <c r="J554" s="53">
        <f>SQRT(SUM(P548:P552))/100</f>
        <v>8.3610124932689944E-3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100</v>
      </c>
      <c r="E555" s="17">
        <f>E550/E553*100</f>
        <v>96.398843520690789</v>
      </c>
      <c r="F555" s="17">
        <f>F551/F553*100</f>
        <v>94.257153519877022</v>
      </c>
      <c r="G555" s="17">
        <f>G552/G553*100</f>
        <v>85.860212630948183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0</v>
      </c>
      <c r="E556" s="18">
        <f>SQRT((E559+E560)/(E553*E553))</f>
        <v>0.76938669227307677</v>
      </c>
      <c r="F556" s="18">
        <f>SQRT((F559+F560)/(F553*F553))</f>
        <v>1.8971958024141053</v>
      </c>
      <c r="G556" s="18">
        <f>SQRT((G559+G560)/(G553*G553))</f>
        <v>4.9217693855353213</v>
      </c>
      <c r="H556" s="1"/>
      <c r="I556" s="14"/>
    </row>
    <row r="557" spans="1:16" x14ac:dyDescent="0.3">
      <c r="B557" s="1" t="s">
        <v>37</v>
      </c>
      <c r="C557" s="18">
        <f>100-C555</f>
        <v>0</v>
      </c>
      <c r="D557" s="18">
        <f>100-D555</f>
        <v>0</v>
      </c>
      <c r="E557" s="18">
        <f>100-E555</f>
        <v>3.6011564793092106</v>
      </c>
      <c r="F557" s="18">
        <f>100-F555</f>
        <v>5.7428464801229779</v>
      </c>
      <c r="G557" s="18">
        <f>100-G555</f>
        <v>14.139787369051817</v>
      </c>
    </row>
    <row r="558" spans="1:16" ht="15.6" x14ac:dyDescent="0.35">
      <c r="B558" s="1" t="s">
        <v>25</v>
      </c>
      <c r="C558" s="1">
        <f>C542</f>
        <v>115</v>
      </c>
      <c r="D558" s="1">
        <f>D542</f>
        <v>6</v>
      </c>
      <c r="E558" s="1">
        <f>E542</f>
        <v>167</v>
      </c>
      <c r="F558" s="1">
        <f>F542</f>
        <v>151</v>
      </c>
      <c r="G558" s="1">
        <f>G542</f>
        <v>221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0</v>
      </c>
      <c r="E559" s="18">
        <f>(O550*O550*(100-E555)*(100-E555)*(I550)*(100-I550))/((L550-1)*100)</f>
        <v>215.90287523791119</v>
      </c>
      <c r="F559" s="18">
        <f>(O551*O551*(100-F555)*(100-F555)*(I551)*(100-I551))/((L551-1)*100)</f>
        <v>1339.4130662865066</v>
      </c>
      <c r="G559" s="18">
        <f>(O552*O552*(100-G555)*(100-G555)*(I552)*(100-I552))/((L552-1)*100)</f>
        <v>2250.3636974308592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0</v>
      </c>
      <c r="E560" s="18">
        <f>E555*E555*(SUM((H548*E548*(1-E537/H537))/(H537-1),(H549*E549*(1-E538/H538))/(H538-1), (H551*E551*(1-E540/H540))/(H540-1),(H552*E552*(1-E541/H541))/(H541-1)))</f>
        <v>1892.5231015591703</v>
      </c>
      <c r="F560" s="18">
        <f>F555*F555*(SUM((H548*F548*(1-F537/H537))/(H537-1),(H549*F549*(1-F538/H538))/(H538-1), (H550*F550*(1-F539/H539))/(H539-1),(H552*F552*(1-F541/H541))/(H541-1)))</f>
        <v>684.02667777787053</v>
      </c>
      <c r="G560" s="18">
        <f>G555*G555*(SUM((H548*G548*(1-G537/H537))/(H537-1),(H549*G549*(1-G538/H538))/(H538-1), (H550*G550*(1-G539/H539))/(H539-1),(H551*G551*(1-G540/H540))/(H540-1)))</f>
        <v>3300.6488485546006</v>
      </c>
    </row>
    <row r="563" spans="1:16" x14ac:dyDescent="0.3">
      <c r="A563" s="348">
        <v>1988</v>
      </c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 t="s">
        <v>92</v>
      </c>
      <c r="M563" s="348"/>
      <c r="N563" s="348"/>
      <c r="O563" s="348"/>
      <c r="P563" s="348"/>
    </row>
    <row r="564" spans="1:16" x14ac:dyDescent="0.3">
      <c r="A564" t="s">
        <v>15</v>
      </c>
      <c r="B564" t="s">
        <v>21</v>
      </c>
      <c r="I564" s="1" t="s">
        <v>53</v>
      </c>
      <c r="O564" s="350" t="s">
        <v>377</v>
      </c>
      <c r="P564" s="350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51</v>
      </c>
      <c r="O565" s="13" t="s">
        <v>644</v>
      </c>
      <c r="P565" s="13" t="s">
        <v>633</v>
      </c>
    </row>
    <row r="566" spans="1:16" x14ac:dyDescent="0.3">
      <c r="A566" t="s">
        <v>3</v>
      </c>
      <c r="B566" s="13">
        <v>0</v>
      </c>
      <c r="C566" s="26">
        <v>115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115</v>
      </c>
      <c r="I566" s="10">
        <f>C566/H566</f>
        <v>1</v>
      </c>
      <c r="J566" s="11">
        <f>1-I566</f>
        <v>0</v>
      </c>
      <c r="K566">
        <f>H566-C571</f>
        <v>0</v>
      </c>
      <c r="N566" s="10">
        <f>2*(C572*I566)/(C572+I566)</f>
        <v>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6</v>
      </c>
      <c r="E567" s="1">
        <v>9</v>
      </c>
      <c r="F567" s="1">
        <v>0</v>
      </c>
      <c r="G567" s="6">
        <v>0</v>
      </c>
      <c r="H567" s="1">
        <f>SUM(C567:G567)</f>
        <v>15</v>
      </c>
      <c r="I567" s="10">
        <f>D567/H567</f>
        <v>0.4</v>
      </c>
      <c r="J567" s="11">
        <f>1-I567</f>
        <v>0.6</v>
      </c>
      <c r="K567">
        <f>H567-D571</f>
        <v>9</v>
      </c>
      <c r="N567" s="10">
        <f>2*(D572*I567)/(D572+I567)</f>
        <v>0.57142857142857151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0</v>
      </c>
      <c r="E568" s="27">
        <v>141</v>
      </c>
      <c r="F568" s="1">
        <v>0</v>
      </c>
      <c r="G568" s="6">
        <v>1</v>
      </c>
      <c r="H568" s="1">
        <f>SUM(C568:G568)</f>
        <v>142</v>
      </c>
      <c r="I568" s="10">
        <f>E568/H568</f>
        <v>0.99295774647887325</v>
      </c>
      <c r="J568" s="11">
        <f>1-I568</f>
        <v>7.0422535211267512E-3</v>
      </c>
      <c r="K568">
        <f>H568-E571</f>
        <v>-30</v>
      </c>
      <c r="N568" s="10">
        <f>2*(E572*I568)/(E572+I568)</f>
        <v>0.89808917197452232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0</v>
      </c>
      <c r="E569" s="1">
        <v>5</v>
      </c>
      <c r="F569" s="27">
        <v>128</v>
      </c>
      <c r="G569" s="6">
        <v>11</v>
      </c>
      <c r="H569" s="1">
        <f>SUM(C569:G569)</f>
        <v>144</v>
      </c>
      <c r="I569" s="10">
        <f>F569/H569</f>
        <v>0.88888888888888884</v>
      </c>
      <c r="J569" s="11">
        <f>1-I569</f>
        <v>0.11111111111111116</v>
      </c>
      <c r="K569">
        <f>H569-F571</f>
        <v>-3</v>
      </c>
      <c r="N569" s="10">
        <f>2*(F572*I569)/(F572+I569)</f>
        <v>0.87972508591065279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0</v>
      </c>
      <c r="E570" s="8">
        <v>17</v>
      </c>
      <c r="F570" s="8">
        <v>19</v>
      </c>
      <c r="G570" s="28">
        <v>208</v>
      </c>
      <c r="H570" s="1">
        <f>SUM(C570:G570)</f>
        <v>244</v>
      </c>
      <c r="I570" s="10">
        <f>G570/H570</f>
        <v>0.85245901639344257</v>
      </c>
      <c r="J570" s="11">
        <f>1-I570</f>
        <v>0.14754098360655743</v>
      </c>
      <c r="K570">
        <f>H570-G571</f>
        <v>24</v>
      </c>
      <c r="N570" s="10">
        <f>2*(G572*I570)/(G572+I570)</f>
        <v>0.89655172413793094</v>
      </c>
      <c r="O570" s="1"/>
      <c r="P570" s="1"/>
    </row>
    <row r="571" spans="1:16" ht="15.6" x14ac:dyDescent="0.35">
      <c r="B571" s="1" t="s">
        <v>19</v>
      </c>
      <c r="C571" s="1">
        <f>SUM(C566:C570)</f>
        <v>115</v>
      </c>
      <c r="D571" s="1">
        <f>SUM(D566:D570)</f>
        <v>6</v>
      </c>
      <c r="E571" s="1">
        <f>SUM(E566:E570)</f>
        <v>172</v>
      </c>
      <c r="F571" s="1">
        <f>SUM(F566:F570)</f>
        <v>147</v>
      </c>
      <c r="G571" s="1">
        <f>SUM(G566:G570)</f>
        <v>220</v>
      </c>
      <c r="H571" s="1">
        <f>SUM(H565:H570)</f>
        <v>660</v>
      </c>
      <c r="I571" s="13" t="s">
        <v>12</v>
      </c>
      <c r="N571" s="16" t="s">
        <v>36</v>
      </c>
      <c r="O571" s="1">
        <f>SUM(O566:O570)</f>
        <v>0</v>
      </c>
      <c r="P571" s="1">
        <f>SUM(P566:P570)</f>
        <v>0</v>
      </c>
    </row>
    <row r="572" spans="1:16" x14ac:dyDescent="0.3">
      <c r="A572" s="1" t="s">
        <v>52</v>
      </c>
      <c r="B572" s="1" t="s">
        <v>2</v>
      </c>
      <c r="C572" s="10">
        <f>C566/C571</f>
        <v>1</v>
      </c>
      <c r="D572" s="10">
        <f>D567/D571</f>
        <v>1</v>
      </c>
      <c r="E572" s="10">
        <f>E568/E571</f>
        <v>0.81976744186046513</v>
      </c>
      <c r="F572" s="10">
        <f>F569/F571</f>
        <v>0.87074829931972786</v>
      </c>
      <c r="G572" s="10">
        <f>G570/G571</f>
        <v>0.94545454545454544</v>
      </c>
      <c r="H572" s="10"/>
      <c r="I572" s="14">
        <f>(C566+D567+E568+F569+G570)/H571</f>
        <v>0.90606060606060601</v>
      </c>
    </row>
    <row r="573" spans="1:16" x14ac:dyDescent="0.3">
      <c r="B573" s="1" t="s">
        <v>14</v>
      </c>
      <c r="C573" s="11">
        <f>1-C572</f>
        <v>0</v>
      </c>
      <c r="D573" s="11">
        <f>1-D572</f>
        <v>0</v>
      </c>
      <c r="E573" s="11">
        <f>1-E572</f>
        <v>0.18023255813953487</v>
      </c>
      <c r="F573" s="11">
        <f>1-F572</f>
        <v>0.12925170068027214</v>
      </c>
      <c r="G573" s="11">
        <f>1-G572</f>
        <v>5.4545454545454564E-2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1.2250137266831882</v>
      </c>
      <c r="D577" s="31">
        <f>(D566/$L577)*$O577</f>
        <v>0</v>
      </c>
      <c r="E577" s="31">
        <f>(E566/$L577)*$O577</f>
        <v>0</v>
      </c>
      <c r="F577" s="31">
        <f>(F566/$L577)*$O577</f>
        <v>0</v>
      </c>
      <c r="G577" s="32">
        <f>(G566/$L577)*$O577</f>
        <v>0</v>
      </c>
      <c r="H577" s="17">
        <f>SUM(C577:G577)</f>
        <v>1.2250137266831882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115</v>
      </c>
      <c r="M577">
        <v>0</v>
      </c>
      <c r="N577" s="1">
        <v>1122.68</v>
      </c>
      <c r="O577" s="17">
        <f>N577/N582*100</f>
        <v>1.2250137266831882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ref="C578:G581" si="72">(C567/$L578)*$O578</f>
        <v>0</v>
      </c>
      <c r="D578" s="34">
        <f t="shared" si="72"/>
        <v>0.43340965572867518</v>
      </c>
      <c r="E578" s="19">
        <f t="shared" si="72"/>
        <v>0.65011448359301272</v>
      </c>
      <c r="F578" s="18">
        <f t="shared" si="72"/>
        <v>0</v>
      </c>
      <c r="G578" s="20">
        <f t="shared" si="72"/>
        <v>0</v>
      </c>
      <c r="H578" s="17">
        <f>SUM(C578:G578)</f>
        <v>1.0835241393216879</v>
      </c>
      <c r="I578" s="17">
        <f>D578/H578*100</f>
        <v>40</v>
      </c>
      <c r="J578" s="17">
        <f>SQRT(I578*(100-I578)/(L578-1))</f>
        <v>13.093073414159543</v>
      </c>
      <c r="K578" s="18">
        <f>100-I578</f>
        <v>60</v>
      </c>
      <c r="L578" s="1">
        <f>H567</f>
        <v>15</v>
      </c>
      <c r="M578">
        <v>1</v>
      </c>
      <c r="N578" s="1">
        <v>993.01</v>
      </c>
      <c r="O578" s="17">
        <f>N578/N582*100</f>
        <v>1.0835241393216879</v>
      </c>
      <c r="P578" s="52">
        <f>((O578*O578*(I578/100)*(K578/100))/(L578-1))</f>
        <v>2.0126135322733794E-2</v>
      </c>
    </row>
    <row r="579" spans="1:16" x14ac:dyDescent="0.3">
      <c r="A579" t="s">
        <v>5</v>
      </c>
      <c r="B579" s="13">
        <v>2</v>
      </c>
      <c r="C579" s="33">
        <f t="shared" si="72"/>
        <v>0</v>
      </c>
      <c r="D579" s="19">
        <f t="shared" si="72"/>
        <v>0</v>
      </c>
      <c r="E579" s="34">
        <f t="shared" si="72"/>
        <v>57.15434257495648</v>
      </c>
      <c r="F579" s="19">
        <f t="shared" si="72"/>
        <v>0</v>
      </c>
      <c r="G579" s="20">
        <f t="shared" si="72"/>
        <v>0.40534994734011687</v>
      </c>
      <c r="H579" s="17">
        <f>SUM(C579:G579)</f>
        <v>57.559692522296601</v>
      </c>
      <c r="I579" s="17">
        <f>E579/H579*100</f>
        <v>99.295774647887313</v>
      </c>
      <c r="J579" s="17">
        <f>SQRT(I579*(100-I579)/(L579-1))</f>
        <v>0.70422535211268134</v>
      </c>
      <c r="K579" s="18">
        <f>100-I579</f>
        <v>0.70422535211268666</v>
      </c>
      <c r="L579" s="1">
        <f>H568</f>
        <v>142</v>
      </c>
      <c r="M579">
        <v>2</v>
      </c>
      <c r="N579" s="1">
        <v>52751.34</v>
      </c>
      <c r="O579" s="17">
        <f>N579/N582*100</f>
        <v>57.559692522296594</v>
      </c>
      <c r="P579" s="52">
        <f>((O579*O579*(I579/100)*(K579/100))/(L579-1))</f>
        <v>0.16430857980863797</v>
      </c>
    </row>
    <row r="580" spans="1:16" x14ac:dyDescent="0.3">
      <c r="A580" t="s">
        <v>6</v>
      </c>
      <c r="B580" s="13">
        <v>3</v>
      </c>
      <c r="C580" s="33">
        <f t="shared" si="72"/>
        <v>0</v>
      </c>
      <c r="D580" s="19">
        <f t="shared" si="72"/>
        <v>0</v>
      </c>
      <c r="E580" s="19">
        <f t="shared" si="72"/>
        <v>0.89172899201577938</v>
      </c>
      <c r="F580" s="34">
        <f t="shared" si="72"/>
        <v>22.828262195603948</v>
      </c>
      <c r="G580" s="20">
        <f t="shared" si="72"/>
        <v>1.9618037824347145</v>
      </c>
      <c r="H580" s="17">
        <f>SUM(C580:G580)</f>
        <v>25.68179497005444</v>
      </c>
      <c r="I580" s="17">
        <f>F580/H580*100</f>
        <v>88.8888888888889</v>
      </c>
      <c r="J580" s="17">
        <f>SQRT(I580*(100-I580)/(L580-1))</f>
        <v>2.6280550932848108</v>
      </c>
      <c r="K580" s="18">
        <f>100-I580</f>
        <v>11.1111111111111</v>
      </c>
      <c r="L580" s="1">
        <f>H569</f>
        <v>144</v>
      </c>
      <c r="M580">
        <v>3</v>
      </c>
      <c r="N580" s="1">
        <v>23536.42</v>
      </c>
      <c r="O580" s="17">
        <f>N580/N582*100</f>
        <v>25.681794970054444</v>
      </c>
      <c r="P580" s="52">
        <f>((O580*O580*(I580/100)*(K580/100))/(L580-1))</f>
        <v>0.45553282768465031</v>
      </c>
    </row>
    <row r="581" spans="1:16" x14ac:dyDescent="0.3">
      <c r="A581" t="s">
        <v>7</v>
      </c>
      <c r="B581" s="13">
        <v>4</v>
      </c>
      <c r="C581" s="35">
        <f t="shared" si="72"/>
        <v>0</v>
      </c>
      <c r="D581" s="36">
        <f t="shared" si="72"/>
        <v>0</v>
      </c>
      <c r="E581" s="21">
        <f t="shared" si="72"/>
        <v>1.0067605283112691</v>
      </c>
      <c r="F581" s="21">
        <f t="shared" si="72"/>
        <v>1.1252029434067126</v>
      </c>
      <c r="G581" s="37">
        <f t="shared" si="72"/>
        <v>12.318011169926114</v>
      </c>
      <c r="H581" s="17">
        <f>SUM(C581:G581)</f>
        <v>14.449974641644097</v>
      </c>
      <c r="I581" s="17">
        <f>G581/H581*100</f>
        <v>85.245901639344254</v>
      </c>
      <c r="J581" s="17">
        <f>SQRT(I581*(100-I581)/(L581-1))</f>
        <v>2.2750448081597083</v>
      </c>
      <c r="K581" s="18">
        <f>100-I581</f>
        <v>14.754098360655746</v>
      </c>
      <c r="L581" s="1">
        <f>H570</f>
        <v>244</v>
      </c>
      <c r="M581">
        <v>4</v>
      </c>
      <c r="N581" s="1">
        <v>13242.87</v>
      </c>
      <c r="O581" s="17">
        <f>N581/N582*100</f>
        <v>14.449974641644097</v>
      </c>
      <c r="P581" s="52">
        <f>((O581*O581*(I581/100)*(K581/100))/(L581-1))</f>
        <v>0.10807222163990357</v>
      </c>
    </row>
    <row r="582" spans="1:16" x14ac:dyDescent="0.3">
      <c r="B582" t="s">
        <v>28</v>
      </c>
      <c r="C582" s="17">
        <f t="shared" ref="C582:H582" si="73">SUM(C577:C581)</f>
        <v>1.2250137266831882</v>
      </c>
      <c r="D582" s="17">
        <f t="shared" si="73"/>
        <v>0.43340965572867518</v>
      </c>
      <c r="E582" s="17">
        <f t="shared" si="73"/>
        <v>59.702946578876542</v>
      </c>
      <c r="F582" s="17">
        <f t="shared" si="73"/>
        <v>23.95346513901066</v>
      </c>
      <c r="G582" s="17">
        <f t="shared" si="73"/>
        <v>14.685164899700945</v>
      </c>
      <c r="H582" s="18">
        <f t="shared" si="73"/>
        <v>100.00000000000003</v>
      </c>
      <c r="I582" s="13" t="s">
        <v>24</v>
      </c>
      <c r="J582" s="12" t="s">
        <v>29</v>
      </c>
      <c r="N582" s="1">
        <f>SUM(N577:N581)</f>
        <v>91646.319999999992</v>
      </c>
      <c r="O582" s="17">
        <f>SUM(O577:O581)</f>
        <v>100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0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0.13705616720120578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0.6252339671968099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0.71680989323313049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0.77067070684087713</v>
      </c>
      <c r="H583" s="1"/>
      <c r="I583" s="56">
        <f>(C577+D578+E579+F580+G581)/H582</f>
        <v>0.93959039322898374</v>
      </c>
      <c r="J583" s="53">
        <f>SQRT(SUM(P577:P581))/100</f>
        <v>8.6489292080345163E-3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100</v>
      </c>
      <c r="E584" s="17">
        <f>E579/E582*100</f>
        <v>95.731192261083848</v>
      </c>
      <c r="F584" s="17">
        <f>F580/F582*100</f>
        <v>95.302546262610647</v>
      </c>
      <c r="G584" s="17">
        <f>G581/G582*100</f>
        <v>83.880645903928269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0</v>
      </c>
      <c r="E585" s="18">
        <f>SQRT((E588+E589)/(E582*E582))</f>
        <v>0.82243642746744128</v>
      </c>
      <c r="F585" s="18">
        <f>SQRT((F588+F589)/(F582*F582))</f>
        <v>1.6518427847226504</v>
      </c>
      <c r="G585" s="18">
        <f>SQRT((G588+G589)/(G582*G582))</f>
        <v>5.3850655889842836</v>
      </c>
      <c r="H585" s="1"/>
      <c r="I585" s="14"/>
    </row>
    <row r="586" spans="1:16" x14ac:dyDescent="0.3">
      <c r="B586" s="1" t="s">
        <v>37</v>
      </c>
      <c r="C586" s="18">
        <f>100-C584</f>
        <v>0</v>
      </c>
      <c r="D586" s="18">
        <f>100-D584</f>
        <v>0</v>
      </c>
      <c r="E586" s="18">
        <f>100-E584</f>
        <v>4.2688077389161521</v>
      </c>
      <c r="F586" s="18">
        <f>100-F584</f>
        <v>4.6974537373893526</v>
      </c>
      <c r="G586" s="18">
        <f>100-G584</f>
        <v>16.119354096071731</v>
      </c>
    </row>
    <row r="587" spans="1:16" ht="15.6" x14ac:dyDescent="0.35">
      <c r="B587" s="1" t="s">
        <v>25</v>
      </c>
      <c r="C587" s="1">
        <f>C571</f>
        <v>115</v>
      </c>
      <c r="D587" s="1">
        <f>D571</f>
        <v>6</v>
      </c>
      <c r="E587" s="1">
        <f>E571</f>
        <v>172</v>
      </c>
      <c r="F587" s="1">
        <f>F571</f>
        <v>147</v>
      </c>
      <c r="G587" s="1">
        <f>G571</f>
        <v>220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0</v>
      </c>
      <c r="E588" s="18">
        <f>(O579*O579*(100-E584)*(100-E584)*(I579)*(100-I579))/((L579-1)*100)</f>
        <v>299.41491632400147</v>
      </c>
      <c r="F588" s="18">
        <f>(O580*O580*(100-F584)*(100-F584)*(I580)*(100-I580))/((L580-1)*100)</f>
        <v>1005.1819998633407</v>
      </c>
      <c r="G588" s="18">
        <f>(O581*O581*(100-G584)*(100-G584)*(I581)*(100-I581))/((L581-1)*100)</f>
        <v>2808.0791866245809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0</v>
      </c>
      <c r="E589" s="18">
        <f>E584*E584*(SUM((H577*E577*(1-E566/H566))/(H566-1),(H578*E578*(1-E567/H567))/(H567-1), (H580*E580*(1-E569/H569))/(H569-1),(H581*E581*(1-E570/H570))/(H570-1)))</f>
        <v>2111.579515995807</v>
      </c>
      <c r="F589" s="18">
        <f>F584*F584*(SUM((H577*F577*(1-F566/H566))/(H566-1),(H578*F578*(1-F567/H567))/(H567-1), (H579*F579*(1-F568/H568))/(H568-1),(H581*F581*(1-F570/H570))/(H570-1)))</f>
        <v>560.39386347157097</v>
      </c>
      <c r="G589" s="18">
        <f>G584*G584*(SUM((H577*G577*(1-G566/H566))/(H566-1),(H578*G578*(1-G567/H567))/(H567-1), (H579*G579*(1-G568/H568))/(H568-1),(H580*G580*(1-G569/H569))/(H569-1)))</f>
        <v>3445.6583407450071</v>
      </c>
    </row>
    <row r="592" spans="1:16" x14ac:dyDescent="0.3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48"/>
      <c r="B998" s="348"/>
      <c r="C998" s="348"/>
      <c r="D998" s="348"/>
      <c r="E998" s="348"/>
      <c r="F998" s="348"/>
      <c r="G998" s="348"/>
      <c r="H998" s="348"/>
      <c r="I998" s="348"/>
      <c r="J998" s="348"/>
      <c r="K998" s="348"/>
      <c r="L998" s="348"/>
      <c r="M998" s="348"/>
      <c r="N998" s="348"/>
      <c r="O998" s="348"/>
      <c r="P998" s="348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48"/>
      <c r="B1027" s="348"/>
      <c r="C1027" s="348"/>
      <c r="D1027" s="348"/>
      <c r="E1027" s="348"/>
      <c r="F1027" s="348"/>
      <c r="G1027" s="348"/>
      <c r="H1027" s="348"/>
      <c r="I1027" s="348"/>
      <c r="J1027" s="348"/>
      <c r="K1027" s="348"/>
      <c r="L1027" s="348"/>
      <c r="M1027" s="348"/>
      <c r="N1027" s="348"/>
      <c r="O1027" s="348"/>
      <c r="P1027" s="348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48"/>
      <c r="B1056" s="348"/>
      <c r="C1056" s="348"/>
      <c r="D1056" s="348"/>
      <c r="E1056" s="348"/>
      <c r="F1056" s="348"/>
      <c r="G1056" s="348"/>
      <c r="H1056" s="348"/>
      <c r="I1056" s="348"/>
      <c r="J1056" s="348"/>
      <c r="K1056" s="348"/>
      <c r="L1056" s="348"/>
      <c r="M1056" s="348"/>
      <c r="N1056" s="348"/>
      <c r="O1056" s="348"/>
      <c r="P1056" s="348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48"/>
      <c r="B1085" s="348"/>
      <c r="C1085" s="348"/>
      <c r="D1085" s="348"/>
      <c r="E1085" s="348"/>
      <c r="F1085" s="348"/>
      <c r="G1085" s="348"/>
      <c r="H1085" s="348"/>
      <c r="I1085" s="348"/>
      <c r="J1085" s="348"/>
      <c r="K1085" s="348"/>
      <c r="L1085" s="348"/>
      <c r="M1085" s="348"/>
      <c r="N1085" s="348"/>
      <c r="O1085" s="348"/>
      <c r="P1085" s="348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48"/>
      <c r="B1114" s="348"/>
      <c r="C1114" s="348"/>
      <c r="D1114" s="348"/>
      <c r="E1114" s="348"/>
      <c r="F1114" s="348"/>
      <c r="G1114" s="348"/>
      <c r="H1114" s="348"/>
      <c r="I1114" s="348"/>
      <c r="J1114" s="348"/>
      <c r="K1114" s="348"/>
      <c r="L1114" s="348"/>
      <c r="M1114" s="348"/>
      <c r="N1114" s="348"/>
      <c r="O1114" s="348"/>
      <c r="P1114" s="348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48"/>
      <c r="B1143" s="348"/>
      <c r="C1143" s="348"/>
      <c r="D1143" s="348"/>
      <c r="E1143" s="348"/>
      <c r="F1143" s="348"/>
      <c r="G1143" s="348"/>
      <c r="H1143" s="348"/>
      <c r="I1143" s="348"/>
      <c r="J1143" s="348"/>
      <c r="K1143" s="348"/>
      <c r="L1143" s="348"/>
      <c r="M1143" s="348"/>
      <c r="N1143" s="348"/>
      <c r="O1143" s="348"/>
      <c r="P1143" s="348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48"/>
      <c r="B1172" s="348"/>
      <c r="C1172" s="348"/>
      <c r="D1172" s="348"/>
      <c r="E1172" s="348"/>
      <c r="F1172" s="348"/>
      <c r="G1172" s="348"/>
      <c r="H1172" s="348"/>
      <c r="I1172" s="348"/>
      <c r="J1172" s="348"/>
      <c r="K1172" s="348"/>
      <c r="L1172" s="348"/>
      <c r="M1172" s="348"/>
      <c r="N1172" s="348"/>
      <c r="O1172" s="348"/>
      <c r="P1172" s="348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48"/>
      <c r="B1201" s="348"/>
      <c r="C1201" s="348"/>
      <c r="D1201" s="348"/>
      <c r="E1201" s="348"/>
      <c r="F1201" s="348"/>
      <c r="G1201" s="348"/>
      <c r="H1201" s="348"/>
      <c r="I1201" s="348"/>
      <c r="J1201" s="348"/>
      <c r="K1201" s="348"/>
      <c r="L1201" s="348"/>
      <c r="M1201" s="348"/>
      <c r="N1201" s="348"/>
      <c r="O1201" s="348"/>
      <c r="P1201" s="348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48"/>
      <c r="B1230" s="348"/>
      <c r="C1230" s="348"/>
      <c r="D1230" s="348"/>
      <c r="E1230" s="348"/>
      <c r="F1230" s="348"/>
      <c r="G1230" s="348"/>
      <c r="H1230" s="348"/>
      <c r="I1230" s="348"/>
      <c r="J1230" s="348"/>
      <c r="K1230" s="348"/>
      <c r="L1230" s="348"/>
      <c r="M1230" s="348"/>
      <c r="N1230" s="348"/>
      <c r="O1230" s="348"/>
      <c r="P1230" s="348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48"/>
      <c r="B1259" s="348"/>
      <c r="C1259" s="348"/>
      <c r="D1259" s="348"/>
      <c r="E1259" s="348"/>
      <c r="F1259" s="348"/>
      <c r="G1259" s="348"/>
      <c r="H1259" s="348"/>
      <c r="I1259" s="348"/>
      <c r="J1259" s="348"/>
      <c r="K1259" s="348"/>
      <c r="L1259" s="348"/>
      <c r="M1259" s="348"/>
      <c r="N1259" s="348"/>
      <c r="O1259" s="348"/>
      <c r="P1259" s="348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48"/>
      <c r="B1288" s="348"/>
      <c r="C1288" s="348"/>
      <c r="D1288" s="348"/>
      <c r="E1288" s="348"/>
      <c r="F1288" s="348"/>
      <c r="G1288" s="348"/>
      <c r="H1288" s="348"/>
      <c r="I1288" s="348"/>
      <c r="J1288" s="348"/>
      <c r="K1288" s="348"/>
      <c r="L1288" s="348"/>
      <c r="M1288" s="348"/>
      <c r="N1288" s="348"/>
      <c r="O1288" s="348"/>
      <c r="P1288" s="348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48"/>
      <c r="B1317" s="348"/>
      <c r="C1317" s="348"/>
      <c r="D1317" s="348"/>
      <c r="E1317" s="348"/>
      <c r="F1317" s="348"/>
      <c r="G1317" s="348"/>
      <c r="H1317" s="348"/>
      <c r="I1317" s="348"/>
      <c r="J1317" s="348"/>
      <c r="K1317" s="348"/>
      <c r="L1317" s="348"/>
      <c r="M1317" s="348"/>
      <c r="N1317" s="348"/>
      <c r="O1317" s="348"/>
      <c r="P1317" s="348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48"/>
      <c r="B1346" s="348"/>
      <c r="C1346" s="348"/>
      <c r="D1346" s="348"/>
      <c r="E1346" s="348"/>
      <c r="F1346" s="348"/>
      <c r="G1346" s="348"/>
      <c r="H1346" s="348"/>
      <c r="I1346" s="348"/>
      <c r="J1346" s="348"/>
      <c r="K1346" s="348"/>
      <c r="L1346" s="348"/>
      <c r="M1346" s="348"/>
      <c r="N1346" s="348"/>
      <c r="O1346" s="348"/>
      <c r="P1346" s="348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48"/>
      <c r="B1375" s="348"/>
      <c r="C1375" s="348"/>
      <c r="D1375" s="348"/>
      <c r="E1375" s="348"/>
      <c r="F1375" s="348"/>
      <c r="G1375" s="348"/>
      <c r="H1375" s="348"/>
      <c r="I1375" s="348"/>
      <c r="J1375" s="348"/>
      <c r="K1375" s="348"/>
      <c r="L1375" s="348"/>
      <c r="M1375" s="348"/>
      <c r="N1375" s="348"/>
      <c r="O1375" s="348"/>
      <c r="P1375" s="348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48"/>
      <c r="B1404" s="348"/>
      <c r="C1404" s="348"/>
      <c r="D1404" s="348"/>
      <c r="E1404" s="348"/>
      <c r="F1404" s="348"/>
      <c r="G1404" s="348"/>
      <c r="H1404" s="348"/>
      <c r="I1404" s="348"/>
      <c r="J1404" s="348"/>
      <c r="K1404" s="348"/>
      <c r="L1404" s="348"/>
      <c r="M1404" s="348"/>
      <c r="N1404" s="348"/>
      <c r="O1404" s="348"/>
      <c r="P1404" s="348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48"/>
      <c r="B1433" s="348"/>
      <c r="C1433" s="348"/>
      <c r="D1433" s="348"/>
      <c r="E1433" s="348"/>
      <c r="F1433" s="348"/>
      <c r="G1433" s="348"/>
      <c r="H1433" s="348"/>
      <c r="I1433" s="348"/>
      <c r="J1433" s="348"/>
      <c r="K1433" s="348"/>
      <c r="L1433" s="348"/>
      <c r="M1433" s="348"/>
      <c r="N1433" s="348"/>
      <c r="O1433" s="348"/>
      <c r="P1433" s="348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sortState xmlns:xlrd2="http://schemas.microsoft.com/office/spreadsheetml/2017/richdata2" ref="BE64:BE263">
    <sortCondition ref="BE64:BE263"/>
  </sortState>
  <mergeCells count="123">
    <mergeCell ref="BF5:BN5"/>
    <mergeCell ref="A12:K12"/>
    <mergeCell ref="L12:P12"/>
    <mergeCell ref="O13:P13"/>
    <mergeCell ref="O71:P71"/>
    <mergeCell ref="AJ80:AT80"/>
    <mergeCell ref="AU80:AY80"/>
    <mergeCell ref="A99:K99"/>
    <mergeCell ref="L99:P99"/>
    <mergeCell ref="O100:P100"/>
    <mergeCell ref="A41:K41"/>
    <mergeCell ref="L41:P41"/>
    <mergeCell ref="O42:P42"/>
    <mergeCell ref="A70:K70"/>
    <mergeCell ref="L70:P70"/>
    <mergeCell ref="A186:K186"/>
    <mergeCell ref="L186:P186"/>
    <mergeCell ref="O187:P187"/>
    <mergeCell ref="A215:K215"/>
    <mergeCell ref="L215:P215"/>
    <mergeCell ref="O216:P216"/>
    <mergeCell ref="A128:K128"/>
    <mergeCell ref="L128:P128"/>
    <mergeCell ref="O129:P129"/>
    <mergeCell ref="A157:K157"/>
    <mergeCell ref="L157:P157"/>
    <mergeCell ref="O158:P158"/>
    <mergeCell ref="A302:K302"/>
    <mergeCell ref="L302:P302"/>
    <mergeCell ref="O303:P303"/>
    <mergeCell ref="A331:K331"/>
    <mergeCell ref="L331:P331"/>
    <mergeCell ref="O332:P332"/>
    <mergeCell ref="A244:K244"/>
    <mergeCell ref="L244:P244"/>
    <mergeCell ref="O245:P245"/>
    <mergeCell ref="A273:K273"/>
    <mergeCell ref="L273:P273"/>
    <mergeCell ref="O274:P274"/>
    <mergeCell ref="A418:K418"/>
    <mergeCell ref="L418:P418"/>
    <mergeCell ref="O419:P419"/>
    <mergeCell ref="A447:K447"/>
    <mergeCell ref="L447:P447"/>
    <mergeCell ref="O448:P448"/>
    <mergeCell ref="A360:K360"/>
    <mergeCell ref="L360:P360"/>
    <mergeCell ref="O361:P361"/>
    <mergeCell ref="A389:K389"/>
    <mergeCell ref="L389:P389"/>
    <mergeCell ref="O390:P390"/>
    <mergeCell ref="A534:K534"/>
    <mergeCell ref="L534:P534"/>
    <mergeCell ref="O535:P535"/>
    <mergeCell ref="A563:K563"/>
    <mergeCell ref="L563:P563"/>
    <mergeCell ref="O564:P564"/>
    <mergeCell ref="A476:K476"/>
    <mergeCell ref="L476:P476"/>
    <mergeCell ref="O477:P477"/>
    <mergeCell ref="A505:K505"/>
    <mergeCell ref="L505:P505"/>
    <mergeCell ref="O506:P506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EECFF-0BF2-472D-B4EA-234471205424}">
  <dimension ref="A1:BN1459"/>
  <sheetViews>
    <sheetView topLeftCell="AD109" zoomScale="80" zoomScaleNormal="80" workbookViewId="0">
      <selection activeCell="AL109" sqref="AL109:AS135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  <col min="63" max="64" width="12" bestFit="1" customWidth="1"/>
    <col min="65" max="65" width="9.109375" bestFit="1" customWidth="1"/>
  </cols>
  <sheetData>
    <row r="1" spans="1:66" x14ac:dyDescent="0.3">
      <c r="A1" s="12"/>
      <c r="B1" s="12" t="s">
        <v>10</v>
      </c>
      <c r="C1" s="12"/>
      <c r="D1" s="12"/>
      <c r="E1" s="12"/>
      <c r="F1" s="12"/>
    </row>
    <row r="2" spans="1:66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AG2" s="51" t="s">
        <v>122</v>
      </c>
      <c r="AH2" s="51" t="s">
        <v>126</v>
      </c>
    </row>
    <row r="3" spans="1:66" x14ac:dyDescent="0.3">
      <c r="A3" s="12" t="s">
        <v>3</v>
      </c>
      <c r="B3" s="103">
        <v>51.51</v>
      </c>
      <c r="C3" s="22">
        <f>B3/$B$8</f>
        <v>7.4793088427472038E-2</v>
      </c>
      <c r="D3" s="85">
        <v>0.01</v>
      </c>
      <c r="E3" s="86">
        <f>D3-C3</f>
        <v>-6.4793088427472043E-2</v>
      </c>
      <c r="F3" s="12"/>
      <c r="G3" t="s">
        <v>46</v>
      </c>
      <c r="AG3" s="51" t="s">
        <v>123</v>
      </c>
      <c r="AH3" s="51" t="s">
        <v>129</v>
      </c>
    </row>
    <row r="4" spans="1:66" x14ac:dyDescent="0.3">
      <c r="A4" s="12" t="s">
        <v>4</v>
      </c>
      <c r="B4" s="103">
        <v>20.98</v>
      </c>
      <c r="C4" s="22">
        <f>B4/$B$8</f>
        <v>3.0463191520255551E-2</v>
      </c>
      <c r="D4" s="85">
        <v>0.01</v>
      </c>
      <c r="E4" s="86">
        <f>D4-C4</f>
        <v>-2.0463191520255553E-2</v>
      </c>
      <c r="F4" s="12"/>
      <c r="G4" t="s">
        <v>635</v>
      </c>
      <c r="AG4" s="51" t="s">
        <v>124</v>
      </c>
      <c r="AH4" s="51" t="s">
        <v>127</v>
      </c>
    </row>
    <row r="5" spans="1:66" ht="18" x14ac:dyDescent="0.35">
      <c r="A5" s="12" t="s">
        <v>5</v>
      </c>
      <c r="B5" s="103">
        <v>234.23</v>
      </c>
      <c r="C5" s="22">
        <f>B5/$B$8</f>
        <v>0.34010454479454039</v>
      </c>
      <c r="D5" s="85">
        <v>0.42</v>
      </c>
      <c r="E5" s="86">
        <f>D5-C5</f>
        <v>7.9895455205459598E-2</v>
      </c>
      <c r="F5" s="12" t="s">
        <v>45</v>
      </c>
      <c r="AG5" s="51" t="s">
        <v>125</v>
      </c>
      <c r="AH5" s="51" t="s">
        <v>128</v>
      </c>
      <c r="BF5" s="349" t="s">
        <v>337</v>
      </c>
      <c r="BG5" s="349"/>
      <c r="BH5" s="349"/>
      <c r="BI5" s="349"/>
      <c r="BJ5" s="349"/>
      <c r="BK5" s="349"/>
      <c r="BL5" s="349"/>
      <c r="BM5" s="349"/>
      <c r="BN5" s="349"/>
    </row>
    <row r="6" spans="1:66" x14ac:dyDescent="0.3">
      <c r="A6" s="12" t="s">
        <v>6</v>
      </c>
      <c r="B6" s="103">
        <v>206.92</v>
      </c>
      <c r="C6" s="22">
        <f>B6/$B$8</f>
        <v>0.30045012342093796</v>
      </c>
      <c r="D6" s="85">
        <v>0.35</v>
      </c>
      <c r="E6" s="86">
        <f>D6-C6</f>
        <v>4.9549876579062013E-2</v>
      </c>
      <c r="F6" s="12" t="s">
        <v>45</v>
      </c>
      <c r="I6" s="12"/>
      <c r="J6" s="12" t="s">
        <v>50</v>
      </c>
      <c r="K6" s="12"/>
      <c r="AG6" s="51" t="s">
        <v>150</v>
      </c>
      <c r="AH6" s="51" t="s">
        <v>152</v>
      </c>
      <c r="BF6" s="12" t="s">
        <v>353</v>
      </c>
    </row>
    <row r="7" spans="1:66" x14ac:dyDescent="0.3">
      <c r="A7" s="12" t="s">
        <v>7</v>
      </c>
      <c r="B7" s="103">
        <v>175.06</v>
      </c>
      <c r="C7" s="22">
        <f>B7/$B$8</f>
        <v>0.25418905183679397</v>
      </c>
      <c r="D7" s="85">
        <v>0.21</v>
      </c>
      <c r="E7" s="86">
        <f>D7-C7</f>
        <v>-4.4189051836793974E-2</v>
      </c>
      <c r="F7" s="12"/>
      <c r="I7" s="12"/>
      <c r="J7" s="12">
        <v>8608</v>
      </c>
      <c r="K7" s="12"/>
      <c r="AG7" s="51" t="s">
        <v>151</v>
      </c>
      <c r="AH7" s="51" t="s">
        <v>153</v>
      </c>
    </row>
    <row r="8" spans="1:66" x14ac:dyDescent="0.3">
      <c r="A8" s="12"/>
      <c r="B8" s="103">
        <f>SUM(B3:B7)</f>
        <v>688.7</v>
      </c>
      <c r="C8" s="61">
        <f>SUM(C3:C7)</f>
        <v>0.99999999999999989</v>
      </c>
      <c r="D8" s="12"/>
      <c r="E8" s="12" t="s">
        <v>16</v>
      </c>
      <c r="F8" s="134">
        <v>96584.16</v>
      </c>
      <c r="I8" s="12" t="s">
        <v>55</v>
      </c>
      <c r="J8" s="12" t="s">
        <v>50</v>
      </c>
      <c r="K8" s="12" t="s">
        <v>54</v>
      </c>
      <c r="AG8" s="51" t="s">
        <v>205</v>
      </c>
      <c r="AH8" s="51" t="s">
        <v>210</v>
      </c>
    </row>
    <row r="9" spans="1:66" x14ac:dyDescent="0.3">
      <c r="A9" s="12"/>
      <c r="B9" s="87">
        <f>B8/0.36</f>
        <v>1913.0555555555557</v>
      </c>
      <c r="C9" s="12" t="s">
        <v>44</v>
      </c>
      <c r="D9" s="12"/>
      <c r="E9" s="12" t="s">
        <v>47</v>
      </c>
      <c r="F9" s="88">
        <f>B8/F8</f>
        <v>7.1305688220511523E-3</v>
      </c>
      <c r="G9" s="46"/>
      <c r="I9" s="12">
        <v>2836</v>
      </c>
      <c r="J9" s="12">
        <v>8525</v>
      </c>
      <c r="K9" s="89">
        <f>(J7-J9)/J7</f>
        <v>9.6421933085501857E-3</v>
      </c>
      <c r="AG9" s="51" t="s">
        <v>206</v>
      </c>
      <c r="AH9" s="51" t="s">
        <v>211</v>
      </c>
    </row>
    <row r="10" spans="1:66" x14ac:dyDescent="0.3">
      <c r="A10" s="129" t="s">
        <v>636</v>
      </c>
      <c r="B10" s="130">
        <v>24756</v>
      </c>
      <c r="F10" s="46"/>
      <c r="I10" s="89">
        <f>I9/(I9+J9)</f>
        <v>0.24962591321186514</v>
      </c>
      <c r="J10" s="89">
        <f>J9/(J9+I9)</f>
        <v>0.75037408678813489</v>
      </c>
      <c r="K10" s="12"/>
      <c r="AG10" s="51" t="s">
        <v>207</v>
      </c>
      <c r="AH10" s="51" t="s">
        <v>212</v>
      </c>
    </row>
    <row r="11" spans="1:66" x14ac:dyDescent="0.3">
      <c r="B11" s="18"/>
      <c r="F11" s="46"/>
      <c r="I11" s="45"/>
      <c r="J11" s="45"/>
      <c r="AG11" s="51" t="s">
        <v>208</v>
      </c>
      <c r="AH11" s="51" t="s">
        <v>213</v>
      </c>
    </row>
    <row r="12" spans="1:66" x14ac:dyDescent="0.3">
      <c r="A12" s="348" t="s">
        <v>369</v>
      </c>
      <c r="B12" s="348"/>
      <c r="C12" s="348"/>
      <c r="D12" s="348"/>
      <c r="E12" s="348"/>
      <c r="F12" s="348"/>
      <c r="G12" s="348"/>
      <c r="H12" s="348"/>
      <c r="I12" s="348"/>
      <c r="J12" s="348"/>
      <c r="K12" s="348"/>
      <c r="L12" s="348" t="s">
        <v>48</v>
      </c>
      <c r="M12" s="348"/>
      <c r="N12" s="348"/>
      <c r="O12" s="348"/>
      <c r="P12" s="348"/>
      <c r="R12" s="47" t="s">
        <v>369</v>
      </c>
      <c r="S12" s="47" t="s">
        <v>633</v>
      </c>
      <c r="T12" s="47"/>
      <c r="U12" s="47"/>
      <c r="V12" s="47"/>
      <c r="W12" s="47"/>
      <c r="X12" s="47"/>
      <c r="Y12" s="47"/>
      <c r="Z12" s="47"/>
      <c r="AA12" s="47"/>
      <c r="AB12" s="47" t="s">
        <v>58</v>
      </c>
      <c r="AC12" s="47"/>
      <c r="AD12" s="47"/>
      <c r="AE12" s="47"/>
      <c r="AF12" s="47"/>
      <c r="AG12" s="51" t="s">
        <v>209</v>
      </c>
      <c r="AH12" s="51" t="s">
        <v>214</v>
      </c>
      <c r="AW12" s="66"/>
      <c r="AX12" s="77" t="s">
        <v>323</v>
      </c>
      <c r="AY12" s="77" t="s">
        <v>326</v>
      </c>
      <c r="AZ12" s="77" t="s">
        <v>324</v>
      </c>
      <c r="BA12" s="77" t="s">
        <v>325</v>
      </c>
      <c r="BB12" s="77" t="s">
        <v>327</v>
      </c>
      <c r="BC12" s="77" t="s">
        <v>328</v>
      </c>
      <c r="BD12" s="77" t="s">
        <v>349</v>
      </c>
      <c r="BE12" s="13"/>
    </row>
    <row r="13" spans="1:66" x14ac:dyDescent="0.3">
      <c r="A13" t="s">
        <v>315</v>
      </c>
      <c r="B13" t="s">
        <v>21</v>
      </c>
      <c r="I13" s="1" t="s">
        <v>53</v>
      </c>
      <c r="O13" s="350" t="s">
        <v>377</v>
      </c>
      <c r="P13" s="350"/>
      <c r="AG13" s="51" t="s">
        <v>319</v>
      </c>
      <c r="AH13" s="51" t="s">
        <v>321</v>
      </c>
      <c r="AW13" s="51" t="s">
        <v>126</v>
      </c>
      <c r="AX13" s="80">
        <f>MIN($AE$16:$AE$20)</f>
        <v>0.95809127942512096</v>
      </c>
      <c r="AY13" s="80">
        <f>_xlfn.QUARTILE.EXC($AE$16:$AE$20,1)</f>
        <v>0.95812382387940775</v>
      </c>
      <c r="AZ13" s="80">
        <f>MEDIAN($AE$16:$AE$20)</f>
        <v>0.95926496630557678</v>
      </c>
      <c r="BA13" s="80">
        <f>AVERAGE($AE$16:$AE$20)</f>
        <v>0.95971055020265283</v>
      </c>
      <c r="BB13" s="80">
        <f>_xlfn.QUARTILE.EXC(AE16:AE20,3)</f>
        <v>0.96152006847443605</v>
      </c>
      <c r="BC13" s="80">
        <f>MAX(AE16:AE20)</f>
        <v>0.96171742163412688</v>
      </c>
      <c r="BD13" s="80">
        <f>(BB13-AY13)/AZ13</f>
        <v>3.5404655797118029E-3</v>
      </c>
      <c r="BE13" s="80"/>
    </row>
    <row r="14" spans="1:66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51</v>
      </c>
      <c r="O14" s="13" t="s">
        <v>644</v>
      </c>
      <c r="P14" s="13" t="s">
        <v>633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320</v>
      </c>
      <c r="AH14" s="51" t="s">
        <v>322</v>
      </c>
      <c r="AW14" s="51" t="s">
        <v>129</v>
      </c>
      <c r="AX14" s="80">
        <f>MIN($AE$16:$AE$25)</f>
        <v>0.95171389662806027</v>
      </c>
      <c r="AY14" s="80">
        <f>_xlfn.QUARTILE.EXC($AE$16:$AE$25,1)</f>
        <v>0.95793096433675284</v>
      </c>
      <c r="AZ14" s="80">
        <f>MEDIAN($AE$16:$AE$25)</f>
        <v>0.95942539133135263</v>
      </c>
      <c r="BA14" s="80">
        <f>AVERAGE($AE$16:$AE$25)</f>
        <v>0.95949655713585469</v>
      </c>
      <c r="BB14" s="80">
        <f>_xlfn.QUARTILE.EXC($AE$16:$AE$25,3)</f>
        <v>0.96203956839225024</v>
      </c>
      <c r="BC14" s="80">
        <f>MAX($AE$16:$AE$25)</f>
        <v>0.96465707962182579</v>
      </c>
      <c r="BD14" s="80">
        <f t="shared" ref="BD14:BD23" si="0">(BB14-AY14)/AZ14</f>
        <v>4.2823591001652254E-3</v>
      </c>
      <c r="BE14" s="80"/>
    </row>
    <row r="15" spans="1:66" x14ac:dyDescent="0.3">
      <c r="A15" t="s">
        <v>3</v>
      </c>
      <c r="B15" s="13">
        <v>0</v>
      </c>
      <c r="C15" s="26">
        <v>451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451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O15" s="1"/>
      <c r="P15" s="1"/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72</v>
      </c>
      <c r="AF15" s="12" t="s">
        <v>29</v>
      </c>
      <c r="AH15" t="s">
        <v>120</v>
      </c>
      <c r="AI15" t="s">
        <v>121</v>
      </c>
      <c r="AW15" s="51" t="s">
        <v>127</v>
      </c>
      <c r="AX15" s="80">
        <f>MIN($AE$16:$AE$35)</f>
        <v>0.95171389662806027</v>
      </c>
      <c r="AY15" s="80">
        <f>_xlfn.QUARTILE.EXC($AE$16:$AE$35,1)</f>
        <v>0.95836595772993038</v>
      </c>
      <c r="AZ15" s="126">
        <f>MEDIAN($AE$16:$AE$35)</f>
        <v>0.96131921534274523</v>
      </c>
      <c r="BA15" s="126">
        <f>AVERAGE($AE$16:$AE$35)</f>
        <v>0.96046454128376779</v>
      </c>
      <c r="BB15" s="80">
        <f>_xlfn.QUARTILE.EXC($AE$16:$AE$35,3)</f>
        <v>0.96271838398199772</v>
      </c>
      <c r="BC15" s="80">
        <f>MAX($AE$16:$AE$35)</f>
        <v>0.96693272052345702</v>
      </c>
      <c r="BD15" s="80">
        <f t="shared" si="0"/>
        <v>4.5275556574779731E-3</v>
      </c>
      <c r="BE15" s="80"/>
    </row>
    <row r="16" spans="1:66" x14ac:dyDescent="0.3">
      <c r="A16" t="s">
        <v>4</v>
      </c>
      <c r="B16" s="13">
        <v>1</v>
      </c>
      <c r="C16" s="5">
        <v>0</v>
      </c>
      <c r="D16" s="27">
        <v>57</v>
      </c>
      <c r="E16" s="1">
        <v>0</v>
      </c>
      <c r="F16" s="1">
        <v>0</v>
      </c>
      <c r="G16" s="6">
        <v>0</v>
      </c>
      <c r="H16" s="1">
        <f>SUM(C16:G16)</f>
        <v>57</v>
      </c>
      <c r="I16" s="10">
        <f>D16/H16</f>
        <v>1</v>
      </c>
      <c r="J16" s="11">
        <f>1-I16</f>
        <v>0</v>
      </c>
      <c r="K16">
        <f>H16-D20</f>
        <v>-5</v>
      </c>
      <c r="N16" s="10">
        <f>2*(D21*I16)/(D21+I16)</f>
        <v>0.95798319327731085</v>
      </c>
      <c r="O16" s="1"/>
      <c r="P16" s="1"/>
      <c r="R16" t="s">
        <v>65</v>
      </c>
      <c r="S16" t="s">
        <v>28</v>
      </c>
      <c r="T16" s="57">
        <f t="shared" ref="T16:X19" si="1">C31</f>
        <v>0.59611217863134303</v>
      </c>
      <c r="U16" s="57">
        <f t="shared" si="1"/>
        <v>2.2913610603638985</v>
      </c>
      <c r="V16" s="57">
        <f t="shared" si="1"/>
        <v>58.112392964133413</v>
      </c>
      <c r="W16" s="57">
        <f t="shared" si="1"/>
        <v>30.039715809163074</v>
      </c>
      <c r="X16" s="57">
        <f t="shared" si="1"/>
        <v>8.9604179877082757</v>
      </c>
      <c r="AC16" t="s">
        <v>65</v>
      </c>
      <c r="AD16" s="51">
        <f>I21</f>
        <v>0.95380818053596617</v>
      </c>
      <c r="AE16" s="51">
        <f>I32</f>
        <v>0.96171742163412688</v>
      </c>
      <c r="AF16" s="55">
        <f>J32</f>
        <v>4.2505379428875757E-3</v>
      </c>
      <c r="AH16">
        <v>21</v>
      </c>
      <c r="AI16">
        <v>32</v>
      </c>
      <c r="AW16" s="51" t="s">
        <v>128</v>
      </c>
      <c r="AX16" s="80">
        <f>MIN($AE$16:$AE$45)</f>
        <v>0.95171389662806027</v>
      </c>
      <c r="AY16" s="80">
        <f>_xlfn.QUARTILE.EXC($AE$16:$AE$45,1)</f>
        <v>0.95792810475122792</v>
      </c>
      <c r="AZ16" s="80">
        <f>MEDIAN($AE$16:$AE$45)</f>
        <v>0.95993285283769847</v>
      </c>
      <c r="BA16" s="80">
        <f>AVERAGE($AE$16:$AE$45)</f>
        <v>0.95977041166038835</v>
      </c>
      <c r="BB16" s="80">
        <f>_xlfn.QUARTILE.EXC($AE$16:$AE$45,3)</f>
        <v>0.96255388255699592</v>
      </c>
      <c r="BC16" s="80">
        <f>MAX($AE$16:$AE$45)</f>
        <v>0.96693272052345702</v>
      </c>
      <c r="BD16" s="80">
        <f t="shared" si="0"/>
        <v>4.8188556023408789E-3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0</v>
      </c>
      <c r="E17" s="27">
        <v>730</v>
      </c>
      <c r="F17" s="1">
        <v>6</v>
      </c>
      <c r="G17" s="6">
        <v>1</v>
      </c>
      <c r="H17" s="1">
        <f>SUM(C17:G17)</f>
        <v>737</v>
      </c>
      <c r="I17" s="10">
        <f>E17/H17</f>
        <v>0.99050203527815472</v>
      </c>
      <c r="J17" s="11">
        <f>1-I17</f>
        <v>9.4979647218452756E-3</v>
      </c>
      <c r="K17">
        <f>H17-E20</f>
        <v>-29</v>
      </c>
      <c r="N17" s="10">
        <f>2*(E21*I17)/(E21+I17)</f>
        <v>0.9713905522288756</v>
      </c>
      <c r="O17" s="1"/>
      <c r="P17" s="1"/>
      <c r="S17" s="66" t="s">
        <v>39</v>
      </c>
      <c r="T17" s="67">
        <f t="shared" si="1"/>
        <v>0</v>
      </c>
      <c r="U17" s="67">
        <f t="shared" si="1"/>
        <v>0.1215302140911703</v>
      </c>
      <c r="V17" s="67">
        <f t="shared" si="1"/>
        <v>0.31731446244526823</v>
      </c>
      <c r="W17" s="67">
        <f t="shared" si="1"/>
        <v>0.41653381256842203</v>
      </c>
      <c r="X17" s="67">
        <f t="shared" si="1"/>
        <v>0.2814042316897567</v>
      </c>
      <c r="AC17" t="s">
        <v>66</v>
      </c>
      <c r="AD17" s="51">
        <f>I50</f>
        <v>0.94887165021156561</v>
      </c>
      <c r="AE17" s="51">
        <f>I61</f>
        <v>0.96132271531474511</v>
      </c>
      <c r="AF17" s="55">
        <f>J61</f>
        <v>4.3620864852063311E-3</v>
      </c>
      <c r="AH17">
        <v>50</v>
      </c>
      <c r="AI17">
        <v>61</v>
      </c>
      <c r="AW17" s="51" t="s">
        <v>152</v>
      </c>
      <c r="AX17" s="80">
        <f>MIN($AE$16:$AE$55)</f>
        <v>0.95171389662806027</v>
      </c>
      <c r="AY17" s="80">
        <f>_xlfn.QUARTILE.EXC($AE$16:$AE$55,1)</f>
        <v>0.95786387094374148</v>
      </c>
      <c r="AZ17" s="80">
        <f>MEDIAN($AE$16:$AE$55)</f>
        <v>0.96040146591058551</v>
      </c>
      <c r="BA17" s="80">
        <f>AVERAGE($AE$16:$AE$55)</f>
        <v>0.95985318831817712</v>
      </c>
      <c r="BB17" s="80">
        <f>_xlfn.QUARTILE.EXC($AE$16:$AE$55,3)</f>
        <v>0.96278185367931701</v>
      </c>
      <c r="BC17" s="80">
        <f>MAX($AE$16:$AE$55)</f>
        <v>0.96693272052345702</v>
      </c>
      <c r="BD17" s="80">
        <f t="shared" si="0"/>
        <v>5.12075721470567E-3</v>
      </c>
      <c r="BE17" s="80"/>
    </row>
    <row r="18" spans="1:57" x14ac:dyDescent="0.3">
      <c r="A18" t="s">
        <v>6</v>
      </c>
      <c r="B18" s="13">
        <v>3</v>
      </c>
      <c r="C18" s="5">
        <v>0</v>
      </c>
      <c r="D18" s="1">
        <v>5</v>
      </c>
      <c r="E18" s="1">
        <v>20</v>
      </c>
      <c r="F18" s="27">
        <v>533</v>
      </c>
      <c r="G18" s="6">
        <v>24</v>
      </c>
      <c r="H18" s="1">
        <f>SUM(C18:G18)</f>
        <v>582</v>
      </c>
      <c r="I18" s="10">
        <f>F18/H18</f>
        <v>0.91580756013745701</v>
      </c>
      <c r="J18" s="11">
        <f>1-I18</f>
        <v>8.4192439862542989E-2</v>
      </c>
      <c r="K18">
        <f>H18-F20</f>
        <v>-16</v>
      </c>
      <c r="N18" s="10">
        <f>2*(F21*I18)/(F21+I18)</f>
        <v>0.90338983050847466</v>
      </c>
      <c r="O18" s="1"/>
      <c r="P18" s="1"/>
      <c r="S18" s="70" t="s">
        <v>30</v>
      </c>
      <c r="T18" s="64">
        <f t="shared" si="1"/>
        <v>100</v>
      </c>
      <c r="U18" s="64">
        <f t="shared" si="1"/>
        <v>88.088969889727906</v>
      </c>
      <c r="V18" s="64">
        <f t="shared" si="1"/>
        <v>97.898177182220095</v>
      </c>
      <c r="W18" s="64">
        <f t="shared" si="1"/>
        <v>96.851028241538089</v>
      </c>
      <c r="X18" s="64">
        <f t="shared" si="1"/>
        <v>84.509970068076484</v>
      </c>
      <c r="AC18" t="s">
        <v>67</v>
      </c>
      <c r="AD18" s="51">
        <f>I79</f>
        <v>0.93935119887165019</v>
      </c>
      <c r="AE18" s="51">
        <f>I90</f>
        <v>0.95815636833369455</v>
      </c>
      <c r="AF18" s="55">
        <f>J90</f>
        <v>4.2821035398891609E-3</v>
      </c>
      <c r="AH18">
        <v>79</v>
      </c>
      <c r="AI18">
        <v>90</v>
      </c>
      <c r="AW18" s="51" t="s">
        <v>153</v>
      </c>
      <c r="AX18" s="80">
        <f>MIN($AE$16:$AE$65)</f>
        <v>0.95171389662806027</v>
      </c>
      <c r="AY18" s="80">
        <f>_xlfn.QUARTILE.EXC($AE$16:$AE$65,1)</f>
        <v>0.95807817270667028</v>
      </c>
      <c r="AZ18" s="80">
        <f>MEDIAN($AE$16:$AE$65)</f>
        <v>0.96073435276127706</v>
      </c>
      <c r="BA18" s="80">
        <f>AVERAGE($AE$16:$AE$65)</f>
        <v>0.96004100552535232</v>
      </c>
      <c r="BB18" s="80">
        <f>_xlfn.QUARTILE.EXC($AE$16:$AE$65,3)</f>
        <v>0.96298882864396607</v>
      </c>
      <c r="BC18" s="80">
        <f>MAX($AE$16:$AE$65)</f>
        <v>0.96693272052345702</v>
      </c>
      <c r="BD18" s="80">
        <f t="shared" si="0"/>
        <v>5.11135666501558E-3</v>
      </c>
      <c r="BE18" s="80"/>
    </row>
    <row r="19" spans="1:57" x14ac:dyDescent="0.3">
      <c r="A19" t="s">
        <v>7</v>
      </c>
      <c r="B19" s="13">
        <v>4</v>
      </c>
      <c r="C19" s="7">
        <v>0</v>
      </c>
      <c r="D19" s="8">
        <v>0</v>
      </c>
      <c r="E19" s="8">
        <v>16</v>
      </c>
      <c r="F19" s="8">
        <v>59</v>
      </c>
      <c r="G19" s="28">
        <v>934</v>
      </c>
      <c r="H19" s="1">
        <f>SUM(C19:G19)</f>
        <v>1009</v>
      </c>
      <c r="I19" s="10">
        <f>G19/H19</f>
        <v>0.92566897918731417</v>
      </c>
      <c r="J19" s="11">
        <f>1-I19</f>
        <v>7.4331020812685833E-2</v>
      </c>
      <c r="K19">
        <f>H19-G20</f>
        <v>50</v>
      </c>
      <c r="N19" s="10">
        <f>2*(G21*I19)/(G21+I19)</f>
        <v>0.94918699186991862</v>
      </c>
      <c r="O19" s="1"/>
      <c r="P19" s="1"/>
      <c r="S19" s="66" t="s">
        <v>39</v>
      </c>
      <c r="T19" s="67">
        <f t="shared" si="1"/>
        <v>0</v>
      </c>
      <c r="U19" s="67">
        <f t="shared" si="1"/>
        <v>4.6761204789787376</v>
      </c>
      <c r="V19" s="67">
        <f t="shared" si="1"/>
        <v>0.41478075399544811</v>
      </c>
      <c r="W19" s="67">
        <f t="shared" si="1"/>
        <v>0.74926368841406865</v>
      </c>
      <c r="X19" s="67">
        <f t="shared" si="1"/>
        <v>2.8309799196603045</v>
      </c>
      <c r="AC19" t="s">
        <v>68</v>
      </c>
      <c r="AD19" s="51">
        <f>I108</f>
        <v>0.95557122708039488</v>
      </c>
      <c r="AE19" s="56">
        <f>I119</f>
        <v>0.95926496630557678</v>
      </c>
      <c r="AF19" s="73">
        <f>J119</f>
        <v>4.4846369100077707E-3</v>
      </c>
      <c r="AH19">
        <v>108</v>
      </c>
      <c r="AI19">
        <v>119</v>
      </c>
      <c r="AW19" s="51" t="s">
        <v>210</v>
      </c>
      <c r="AX19" s="80">
        <f>MIN($AE$16:$AE$75)</f>
        <v>0.95171389662806027</v>
      </c>
      <c r="AY19" s="80">
        <f>_xlfn.QUARTILE.EXC($AE$16:$AE$75,1)</f>
        <v>0.95808841983959603</v>
      </c>
      <c r="AZ19" s="80">
        <f>MEDIAN($AE$16:$AE$75)</f>
        <v>0.96052813448471741</v>
      </c>
      <c r="BA19" s="80">
        <f>AVERAGE($AE$16:$AE$75)</f>
        <v>0.96008066188692553</v>
      </c>
      <c r="BB19" s="80">
        <f>_xlfn.QUARTILE.EXC($AE$16:$AE$75,3)</f>
        <v>0.96279872242495435</v>
      </c>
      <c r="BC19" s="80">
        <f>MAX($AE$16:$AE$75)</f>
        <v>0.96693272052345702</v>
      </c>
      <c r="BD19" s="80">
        <f t="shared" si="0"/>
        <v>4.9038673790489174E-3</v>
      </c>
      <c r="BE19" s="80"/>
    </row>
    <row r="20" spans="1:57" ht="15.6" x14ac:dyDescent="0.35">
      <c r="B20" s="1" t="s">
        <v>19</v>
      </c>
      <c r="C20" s="1">
        <f>SUM(C15:C19)</f>
        <v>451</v>
      </c>
      <c r="D20" s="1">
        <f>SUM(D15:D19)</f>
        <v>62</v>
      </c>
      <c r="E20" s="1">
        <f>SUM(E15:E19)</f>
        <v>766</v>
      </c>
      <c r="F20" s="1">
        <f>SUM(F15:F19)</f>
        <v>598</v>
      </c>
      <c r="G20" s="1">
        <f>SUM(G15:G19)</f>
        <v>959</v>
      </c>
      <c r="H20" s="1">
        <f>SUM(H14:H19)</f>
        <v>2836</v>
      </c>
      <c r="I20" s="13" t="s">
        <v>12</v>
      </c>
      <c r="N20" s="16" t="s">
        <v>36</v>
      </c>
      <c r="O20" s="1">
        <f>SUM(O15:O19)</f>
        <v>0</v>
      </c>
      <c r="P20" s="1">
        <f>SUM(P15:P19)</f>
        <v>0</v>
      </c>
      <c r="S20" s="70" t="s">
        <v>31</v>
      </c>
      <c r="T20" s="64">
        <f>I26</f>
        <v>100</v>
      </c>
      <c r="U20" s="64">
        <f>I27</f>
        <v>100</v>
      </c>
      <c r="V20" s="64">
        <f>I28</f>
        <v>99.050203527815469</v>
      </c>
      <c r="W20" s="64">
        <f>I29</f>
        <v>91.580756013745699</v>
      </c>
      <c r="X20" s="64">
        <f>I30</f>
        <v>92.566897918731414</v>
      </c>
      <c r="AC20" t="s">
        <v>71</v>
      </c>
      <c r="AD20" s="51">
        <f>I137</f>
        <v>0.93511988716502115</v>
      </c>
      <c r="AE20" s="56">
        <f>I148</f>
        <v>0.95809127942512096</v>
      </c>
      <c r="AF20" s="73">
        <f>J148</f>
        <v>4.2181220591147872E-3</v>
      </c>
      <c r="AH20">
        <v>137</v>
      </c>
      <c r="AI20">
        <v>148</v>
      </c>
      <c r="AW20" s="51" t="s">
        <v>211</v>
      </c>
      <c r="AX20" s="80">
        <f>MIN($AE$16:$AE$85)</f>
        <v>0.95171389662806027</v>
      </c>
      <c r="AY20" s="80">
        <f>_xlfn.QUARTILE.EXC($AE$16:$AE$85,1)</f>
        <v>0.95807817270667028</v>
      </c>
      <c r="AZ20" s="80">
        <f>MEDIAN($AE$16:$AE$85)</f>
        <v>0.9603140462558275</v>
      </c>
      <c r="BA20" s="80">
        <f>AVERAGE($AE$16:$AE$85)</f>
        <v>0.9601163861277846</v>
      </c>
      <c r="BB20" s="80">
        <f>_xlfn.QUARTILE.EXC($AE$16:$AE$85,3)</f>
        <v>0.96279489788586536</v>
      </c>
      <c r="BC20" s="80">
        <f>MAX($AE$16:$AE$85)</f>
        <v>0.96794314237361101</v>
      </c>
      <c r="BD20" s="80">
        <f t="shared" si="0"/>
        <v>4.9116486399268453E-3</v>
      </c>
      <c r="BE20" s="80"/>
    </row>
    <row r="21" spans="1:57" x14ac:dyDescent="0.3">
      <c r="A21" s="1" t="s">
        <v>316</v>
      </c>
      <c r="B21" s="1" t="s">
        <v>2</v>
      </c>
      <c r="C21" s="10">
        <f>C15/C20</f>
        <v>1</v>
      </c>
      <c r="D21" s="10">
        <f>D16/D20</f>
        <v>0.91935483870967738</v>
      </c>
      <c r="E21" s="10">
        <f>E17/E20</f>
        <v>0.95300261096605743</v>
      </c>
      <c r="F21" s="10">
        <f>F18/F20</f>
        <v>0.89130434782608692</v>
      </c>
      <c r="G21" s="10">
        <f>G19/G20</f>
        <v>0.97393117831074039</v>
      </c>
      <c r="H21" s="10"/>
      <c r="I21" s="14">
        <f>(C15+D16+E17+F18+G19)/H20</f>
        <v>0.95380818053596617</v>
      </c>
      <c r="S21" s="66" t="s">
        <v>39</v>
      </c>
      <c r="T21" s="67">
        <f>J26</f>
        <v>0</v>
      </c>
      <c r="U21" s="67">
        <f>J27</f>
        <v>0</v>
      </c>
      <c r="V21" s="67">
        <f>J28</f>
        <v>0.35752305694854908</v>
      </c>
      <c r="W21" s="67">
        <f>J29</f>
        <v>1.1519949988277658</v>
      </c>
      <c r="X21" s="67">
        <f>J30</f>
        <v>0.82619514296696372</v>
      </c>
      <c r="AC21" t="s">
        <v>93</v>
      </c>
      <c r="AD21" s="51">
        <f>I166</f>
        <v>0.95028208744710863</v>
      </c>
      <c r="AE21" s="51">
        <f>I177</f>
        <v>0.96465707962182579</v>
      </c>
      <c r="AF21" s="55">
        <f>J177</f>
        <v>4.0073167704651105E-3</v>
      </c>
      <c r="AH21">
        <v>166</v>
      </c>
      <c r="AI21">
        <v>177</v>
      </c>
      <c r="AW21" s="51" t="s">
        <v>212</v>
      </c>
      <c r="AX21" s="80">
        <f>MIN($AE$16:$AE$95)</f>
        <v>0.95171389662806027</v>
      </c>
      <c r="AY21" s="80">
        <f>_xlfn.QUARTILE.EXC($AE$16:$AE$95,1)</f>
        <v>0.95812285554538235</v>
      </c>
      <c r="AZ21" s="80">
        <f>MEDIAN($AE$16:$AE$95)</f>
        <v>0.96073435276127706</v>
      </c>
      <c r="BA21" s="80">
        <f>AVERAGE($AE$16:$AE$95)</f>
        <v>0.96040169770678452</v>
      </c>
      <c r="BB21" s="80">
        <f>_xlfn.QUARTILE.EXC($AE$16:$AE$95,3)</f>
        <v>0.96300028199240206</v>
      </c>
      <c r="BC21" s="80">
        <f>MAX($AE$16:$AE$95)</f>
        <v>0.96794314237361101</v>
      </c>
      <c r="BD21" s="80">
        <f t="shared" si="0"/>
        <v>5.0767690704525666E-3</v>
      </c>
      <c r="BE21" s="80"/>
    </row>
    <row r="22" spans="1:57" x14ac:dyDescent="0.3">
      <c r="B22" s="1" t="s">
        <v>14</v>
      </c>
      <c r="C22" s="11">
        <f>1-C21</f>
        <v>0</v>
      </c>
      <c r="D22" s="11">
        <f>1-D21</f>
        <v>8.064516129032262E-2</v>
      </c>
      <c r="E22" s="11">
        <f>1-E21</f>
        <v>4.6997389033942572E-2</v>
      </c>
      <c r="F22" s="11">
        <f>1-F21</f>
        <v>0.10869565217391308</v>
      </c>
      <c r="G22" s="11">
        <f>1-G21</f>
        <v>2.6068821689259614E-2</v>
      </c>
      <c r="S22" s="68" t="s">
        <v>51</v>
      </c>
      <c r="T22" s="65">
        <f>N15*100</f>
        <v>100</v>
      </c>
      <c r="U22" s="65">
        <f>N16*100</f>
        <v>95.798319327731079</v>
      </c>
      <c r="V22" s="65">
        <f>N17*100</f>
        <v>97.139055222887563</v>
      </c>
      <c r="W22" s="65">
        <f>N18*100</f>
        <v>90.33898305084746</v>
      </c>
      <c r="X22" s="65">
        <f>N19*100</f>
        <v>94.918699186991859</v>
      </c>
      <c r="Y22" s="46"/>
      <c r="Z22" s="46"/>
      <c r="AA22" s="46"/>
      <c r="AC22" t="s">
        <v>94</v>
      </c>
      <c r="AD22" s="51">
        <f>I195</f>
        <v>0.93688293370944997</v>
      </c>
      <c r="AE22" s="51">
        <f>I206</f>
        <v>0.95745001907164862</v>
      </c>
      <c r="AF22" s="55">
        <f>J206</f>
        <v>4.1905904420848576E-3</v>
      </c>
      <c r="AH22">
        <v>195</v>
      </c>
      <c r="AI22">
        <v>206</v>
      </c>
      <c r="AW22" s="51" t="s">
        <v>213</v>
      </c>
      <c r="AX22" s="80">
        <f>MIN($AE$16:$AE$105)</f>
        <v>0.95171389662806027</v>
      </c>
      <c r="AY22" s="80">
        <f>_xlfn.QUARTILE.EXC($AE$16:$AE$105,1)</f>
        <v>0.95853386513853045</v>
      </c>
      <c r="AZ22" s="80">
        <f>MEDIAN($AE$16:$AE$105)</f>
        <v>0.96088425722657345</v>
      </c>
      <c r="BA22" s="80">
        <f>AVERAGE($AE$16:$AE$105)</f>
        <v>0.96042472800422085</v>
      </c>
      <c r="BB22" s="80">
        <f>_xlfn.QUARTILE.EXC($AE$16:$AE$105,3)</f>
        <v>0.96297176684890673</v>
      </c>
      <c r="BC22" s="80">
        <f>MAX($AE$16:$AE$105)</f>
        <v>0.96794314237361101</v>
      </c>
      <c r="BD22" s="80">
        <f t="shared" si="0"/>
        <v>4.6185601200143681E-3</v>
      </c>
      <c r="BE22" s="80"/>
    </row>
    <row r="23" spans="1:57" x14ac:dyDescent="0.3">
      <c r="C23" s="2"/>
      <c r="R23" s="16" t="s">
        <v>61</v>
      </c>
      <c r="S23" t="s">
        <v>9</v>
      </c>
      <c r="T23" s="30">
        <f>N26</f>
        <v>575.75</v>
      </c>
      <c r="U23" s="30">
        <f>N27</f>
        <v>1949.49</v>
      </c>
      <c r="V23" s="30">
        <f>N28</f>
        <v>55474.57</v>
      </c>
      <c r="W23" s="30">
        <f>N29</f>
        <v>30683.279999999999</v>
      </c>
      <c r="X23" s="30">
        <f>N30</f>
        <v>7901.08</v>
      </c>
      <c r="Z23" t="s">
        <v>36</v>
      </c>
      <c r="AA23" s="1">
        <f>N31</f>
        <v>96584.17</v>
      </c>
      <c r="AC23" t="s">
        <v>95</v>
      </c>
      <c r="AD23" s="51">
        <f>I224</f>
        <v>0.95098730606488013</v>
      </c>
      <c r="AE23" s="51">
        <f>I235</f>
        <v>0.95958581635712836</v>
      </c>
      <c r="AF23" s="55">
        <f>J235</f>
        <v>4.2650461622325336E-3</v>
      </c>
      <c r="AH23">
        <v>224</v>
      </c>
      <c r="AI23">
        <v>235</v>
      </c>
      <c r="AW23" s="51" t="s">
        <v>214</v>
      </c>
      <c r="AX23" s="80">
        <f>MIN($AE$16:$AE$115)</f>
        <v>0.95171389662806027</v>
      </c>
      <c r="AY23" s="80">
        <f>_xlfn.QUARTILE.EXC($AE$16:$AE$115,1)</f>
        <v>0.95828220060197311</v>
      </c>
      <c r="AZ23" s="126">
        <f>MEDIAN($AE$16:$AE$115)</f>
        <v>0.96073435276127706</v>
      </c>
      <c r="BA23" s="126">
        <f>AVERAGE($AE$16:$AE$115)</f>
        <v>0.96038641031320682</v>
      </c>
      <c r="BB23" s="80">
        <f>_xlfn.QUARTILE.EXC($AE$16:$AE$115,3)</f>
        <v>0.96297932359613425</v>
      </c>
      <c r="BC23" s="80">
        <f>MAX($AE$16:$AE$115)</f>
        <v>0.96794314237361101</v>
      </c>
      <c r="BD23" s="80">
        <f t="shared" si="0"/>
        <v>4.8890965339804813E-3</v>
      </c>
      <c r="BE23" s="80"/>
    </row>
    <row r="24" spans="1:57" ht="15.6" x14ac:dyDescent="0.35">
      <c r="A24" t="s">
        <v>317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318</v>
      </c>
      <c r="S24" t="s">
        <v>63</v>
      </c>
      <c r="T24" s="57">
        <f>$AA23*T16/100</f>
        <v>575.75</v>
      </c>
      <c r="U24" s="57">
        <f>$AA23*U16/100</f>
        <v>2213.0920618556706</v>
      </c>
      <c r="V24" s="57">
        <f>$AA23*V16/100</f>
        <v>56127.372411546654</v>
      </c>
      <c r="W24" s="57">
        <f>$AA23*W16/100</f>
        <v>29013.610184638939</v>
      </c>
      <c r="X24" s="57">
        <f>$AA23*X16/100</f>
        <v>8654.3453419587404</v>
      </c>
      <c r="Z24" t="s">
        <v>36</v>
      </c>
      <c r="AA24" s="25">
        <f>SUM(T24:X24)</f>
        <v>96584.170000000013</v>
      </c>
      <c r="AC24" t="s">
        <v>96</v>
      </c>
      <c r="AD24" s="51">
        <f>I253</f>
        <v>0.94922425952045131</v>
      </c>
      <c r="AE24" s="51">
        <f>I264</f>
        <v>0.95171389662806027</v>
      </c>
      <c r="AF24" s="55">
        <f>J264</f>
        <v>5.0427433353588159E-3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62</v>
      </c>
      <c r="T25" s="67">
        <f>$AA23*T17/100</f>
        <v>0</v>
      </c>
      <c r="U25" s="67">
        <f>$AA23*U17/100</f>
        <v>117.37894857917989</v>
      </c>
      <c r="V25" s="67">
        <f>$AA23*V17/100</f>
        <v>306.475539842724</v>
      </c>
      <c r="W25" s="67">
        <f>$AA23*W17/100</f>
        <v>402.30572563856606</v>
      </c>
      <c r="X25" s="67">
        <f>$AA23*X17/100</f>
        <v>271.79194152242849</v>
      </c>
      <c r="AA25" s="1"/>
      <c r="AC25" t="s">
        <v>97</v>
      </c>
      <c r="AD25" s="51">
        <f>I282</f>
        <v>0.94957686882933712</v>
      </c>
      <c r="AE25" s="51">
        <f>I293</f>
        <v>0.96300600866662012</v>
      </c>
      <c r="AF25" s="55">
        <f>J293</f>
        <v>3.9925545914467125E-3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0.59611217863134303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0.59611217863134303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451</v>
      </c>
      <c r="M26">
        <v>0</v>
      </c>
      <c r="N26" s="1">
        <v>575.75</v>
      </c>
      <c r="O26" s="17">
        <f>N26/N31*100</f>
        <v>0.59611217863134303</v>
      </c>
      <c r="P26" s="52">
        <f>((O26*O26*(I26/100)*(K26/100))/(L26-1))</f>
        <v>0</v>
      </c>
      <c r="R26" t="s">
        <v>66</v>
      </c>
      <c r="S26" s="70" t="s">
        <v>28</v>
      </c>
      <c r="T26" s="64">
        <f t="shared" ref="T26:X29" si="3">C60</f>
        <v>0.51968143433856706</v>
      </c>
      <c r="U26" s="64">
        <f t="shared" si="3"/>
        <v>2.6798357467916967</v>
      </c>
      <c r="V26" s="64">
        <f t="shared" si="3"/>
        <v>57.248444122039906</v>
      </c>
      <c r="W26" s="64">
        <f t="shared" si="3"/>
        <v>31.609367929855701</v>
      </c>
      <c r="X26" s="64">
        <f t="shared" si="3"/>
        <v>7.9426707669741274</v>
      </c>
      <c r="Y26" s="13"/>
      <c r="Z26" s="74"/>
      <c r="AA26" s="12"/>
      <c r="AC26" t="s">
        <v>98</v>
      </c>
      <c r="AD26" s="51">
        <f>I311</f>
        <v>0.95944992947813823</v>
      </c>
      <c r="AE26" s="51">
        <f>I322</f>
        <v>0.96493666922546029</v>
      </c>
      <c r="AF26" s="55">
        <f>J322</f>
        <v>4.0275724363030138E-3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2.0184363545289048</v>
      </c>
      <c r="E27" s="19">
        <f t="shared" si="2"/>
        <v>0</v>
      </c>
      <c r="F27" s="18">
        <f t="shared" si="2"/>
        <v>0</v>
      </c>
      <c r="G27" s="20">
        <f t="shared" si="2"/>
        <v>0</v>
      </c>
      <c r="H27" s="17">
        <f>SUM(C27:G27)</f>
        <v>2.0184363545289048</v>
      </c>
      <c r="I27" s="17">
        <f>D27/H27*100</f>
        <v>100</v>
      </c>
      <c r="J27" s="17">
        <f>SQRT(I27*(100-I27)/(L27-1))</f>
        <v>0</v>
      </c>
      <c r="K27" s="18">
        <f>100-I27</f>
        <v>0</v>
      </c>
      <c r="L27" s="1">
        <f>H16</f>
        <v>57</v>
      </c>
      <c r="M27">
        <v>1</v>
      </c>
      <c r="N27" s="1">
        <v>1949.49</v>
      </c>
      <c r="O27" s="17">
        <f>N27/N31*100</f>
        <v>2.0184363545289048</v>
      </c>
      <c r="P27" s="52">
        <f>((O27*O27*(I27/100)*(K27/100))/(L27-1))</f>
        <v>0</v>
      </c>
      <c r="S27" s="66" t="s">
        <v>39</v>
      </c>
      <c r="T27" s="67">
        <f t="shared" si="3"/>
        <v>0</v>
      </c>
      <c r="U27" s="67">
        <f t="shared" si="3"/>
        <v>0.13738943830566047</v>
      </c>
      <c r="V27" s="67">
        <f t="shared" si="3"/>
        <v>0.33083531221402268</v>
      </c>
      <c r="W27" s="67">
        <f t="shared" si="3"/>
        <v>0.42809397544246031</v>
      </c>
      <c r="X27" s="67">
        <f t="shared" si="3"/>
        <v>0.27340760158722743</v>
      </c>
      <c r="AC27" t="s">
        <v>99</v>
      </c>
      <c r="AD27" s="51">
        <f>I340</f>
        <v>0.95980253878702393</v>
      </c>
      <c r="AE27" s="51">
        <f>I351</f>
        <v>0.96247163184449491</v>
      </c>
      <c r="AF27" s="55">
        <f>J351</f>
        <v>4.3436220517090538E-3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0</v>
      </c>
      <c r="E28" s="34">
        <f t="shared" si="2"/>
        <v>56.890973428855332</v>
      </c>
      <c r="F28" s="19">
        <f t="shared" si="2"/>
        <v>0.46759704188100265</v>
      </c>
      <c r="G28" s="20">
        <f t="shared" si="2"/>
        <v>7.7932840313500451E-2</v>
      </c>
      <c r="H28" s="17">
        <f>SUM(C28:G28)</f>
        <v>57.436503311049833</v>
      </c>
      <c r="I28" s="17">
        <f>E28/H28*100</f>
        <v>99.050203527815469</v>
      </c>
      <c r="J28" s="17">
        <f>SQRT(I28*(100-I28)/(L28-1))</f>
        <v>0.35752305694854908</v>
      </c>
      <c r="K28" s="18">
        <f>100-I28</f>
        <v>0.94979647218453067</v>
      </c>
      <c r="L28" s="1">
        <f>H17</f>
        <v>737</v>
      </c>
      <c r="M28">
        <v>2</v>
      </c>
      <c r="N28" s="1">
        <v>55474.57</v>
      </c>
      <c r="O28" s="17">
        <f>N28/N31*100</f>
        <v>57.436503311049833</v>
      </c>
      <c r="P28" s="52">
        <f>((O28*O28*(I28/100)*(K28/100))/(L28-1))</f>
        <v>4.2168106022519046E-2</v>
      </c>
      <c r="S28" t="s">
        <v>30</v>
      </c>
      <c r="T28" s="57">
        <f t="shared" si="3"/>
        <v>100</v>
      </c>
      <c r="U28" s="57">
        <f t="shared" si="3"/>
        <v>87.376753939480651</v>
      </c>
      <c r="V28" s="57">
        <f t="shared" si="3"/>
        <v>98.169716970553438</v>
      </c>
      <c r="W28" s="57">
        <f t="shared" si="3"/>
        <v>96.139293645125022</v>
      </c>
      <c r="X28" s="57">
        <f t="shared" si="3"/>
        <v>84.120042094114581</v>
      </c>
      <c r="AC28" t="s">
        <v>100</v>
      </c>
      <c r="AD28" s="51">
        <f>I369</f>
        <v>0.93653032440056416</v>
      </c>
      <c r="AE28" s="51">
        <f>I380</f>
        <v>0.95228300756376261</v>
      </c>
      <c r="AF28" s="55">
        <f>J380</f>
        <v>4.7592835234637814E-3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0.27292470583499356</v>
      </c>
      <c r="E29" s="19">
        <f t="shared" si="2"/>
        <v>1.0916988233399743</v>
      </c>
      <c r="F29" s="34">
        <f t="shared" si="2"/>
        <v>29.093773642010312</v>
      </c>
      <c r="G29" s="20">
        <f t="shared" si="2"/>
        <v>1.310038588007969</v>
      </c>
      <c r="H29" s="17">
        <f>SUM(C29:G29)</f>
        <v>31.768435759193249</v>
      </c>
      <c r="I29" s="17">
        <f>F29/H29*100</f>
        <v>91.580756013745699</v>
      </c>
      <c r="J29" s="17">
        <f>SQRT(I29*(100-I29)/(L29-1))</f>
        <v>1.1519949988277658</v>
      </c>
      <c r="K29" s="18">
        <f>100-I29</f>
        <v>8.4192439862543011</v>
      </c>
      <c r="L29" s="1">
        <f>H18</f>
        <v>582</v>
      </c>
      <c r="M29">
        <v>3</v>
      </c>
      <c r="N29" s="1">
        <v>30683.279999999999</v>
      </c>
      <c r="O29" s="17">
        <f>N29/N31*100</f>
        <v>31.768435759193249</v>
      </c>
      <c r="P29" s="52">
        <f>((O29*O29*(I29/100)*(K29/100))/(L29-1))</f>
        <v>0.13393461997621425</v>
      </c>
      <c r="S29" s="66" t="s">
        <v>39</v>
      </c>
      <c r="T29" s="67">
        <f t="shared" si="3"/>
        <v>0</v>
      </c>
      <c r="U29" s="67">
        <f t="shared" si="3"/>
        <v>4.483472442577555</v>
      </c>
      <c r="V29" s="67">
        <f t="shared" si="3"/>
        <v>0.39343573797045778</v>
      </c>
      <c r="W29" s="67">
        <f t="shared" si="3"/>
        <v>0.84508133182299472</v>
      </c>
      <c r="X29" s="67">
        <f t="shared" si="3"/>
        <v>3.1106579706764883</v>
      </c>
      <c r="AC29" t="s">
        <v>101</v>
      </c>
      <c r="AD29" s="51">
        <f>I398</f>
        <v>0.95239774330042315</v>
      </c>
      <c r="AE29" s="51">
        <f>I409</f>
        <v>0.96131571537074534</v>
      </c>
      <c r="AF29" s="55">
        <f>J409</f>
        <v>4.1853681813199088E-3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0</v>
      </c>
      <c r="E30" s="21">
        <f t="shared" si="2"/>
        <v>0.12972071193810372</v>
      </c>
      <c r="F30" s="21">
        <f t="shared" si="2"/>
        <v>0.47834512527175754</v>
      </c>
      <c r="G30" s="37">
        <f t="shared" si="2"/>
        <v>7.5724465593868056</v>
      </c>
      <c r="H30" s="17">
        <f>SUM(C30:G30)</f>
        <v>8.1805123965966668</v>
      </c>
      <c r="I30" s="17">
        <f>G30/H30*100</f>
        <v>92.566897918731414</v>
      </c>
      <c r="J30" s="17">
        <f>SQRT(I30*(100-I30)/(L30-1))</f>
        <v>0.82619514296696372</v>
      </c>
      <c r="K30" s="18">
        <f>100-I30</f>
        <v>7.4331020812685864</v>
      </c>
      <c r="L30" s="1">
        <f>H19</f>
        <v>1009</v>
      </c>
      <c r="M30">
        <v>4</v>
      </c>
      <c r="N30" s="1">
        <v>7901.08</v>
      </c>
      <c r="O30" s="17">
        <f>N30/N31*100</f>
        <v>8.1805123965966668</v>
      </c>
      <c r="P30" s="52">
        <f>((O30*O30*(I30/100)*(K30/100))/(L30-1))</f>
        <v>4.5680020405361836E-3</v>
      </c>
      <c r="S30" t="s">
        <v>31</v>
      </c>
      <c r="T30" s="57">
        <f>I55</f>
        <v>100</v>
      </c>
      <c r="U30" s="57">
        <f>I56</f>
        <v>100</v>
      </c>
      <c r="V30" s="57">
        <f>I57</f>
        <v>98.643147896879242</v>
      </c>
      <c r="W30" s="57">
        <f>I58</f>
        <v>92.611683848797256</v>
      </c>
      <c r="X30" s="57">
        <f>I59</f>
        <v>90.882061446977204</v>
      </c>
      <c r="AC30" t="s">
        <v>102</v>
      </c>
      <c r="AD30" s="51">
        <f>I427</f>
        <v>0.94076163610719321</v>
      </c>
      <c r="AE30" s="51">
        <f>I438</f>
        <v>0.96003270275652886</v>
      </c>
      <c r="AF30" s="55">
        <f>J438</f>
        <v>4.1824902394955905E-3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0.59611217863134303</v>
      </c>
      <c r="D31" s="17">
        <f>SUM(D26:D30)</f>
        <v>2.2913610603638985</v>
      </c>
      <c r="E31" s="17">
        <f>SUM(E26:E30)</f>
        <v>58.112392964133413</v>
      </c>
      <c r="F31" s="17">
        <f>SUM(F26:F30)</f>
        <v>30.039715809163074</v>
      </c>
      <c r="G31" s="17">
        <f>SUM(G26:G30)</f>
        <v>8.9604179877082757</v>
      </c>
      <c r="H31" s="1">
        <f>SUM(H25:H30)</f>
        <v>100</v>
      </c>
      <c r="I31" s="13" t="s">
        <v>24</v>
      </c>
      <c r="J31" s="12" t="s">
        <v>29</v>
      </c>
      <c r="N31" s="1">
        <f>SUM(N26:N30)</f>
        <v>96584.17</v>
      </c>
      <c r="O31" s="17">
        <f>SUM(O26:O30)</f>
        <v>100</v>
      </c>
      <c r="S31" s="66" t="s">
        <v>39</v>
      </c>
      <c r="T31" s="67">
        <f>J55</f>
        <v>0</v>
      </c>
      <c r="U31" s="67">
        <f>J56</f>
        <v>0</v>
      </c>
      <c r="V31" s="67">
        <f>J57</f>
        <v>0.42644282372358333</v>
      </c>
      <c r="W31" s="67">
        <f>J58</f>
        <v>1.0852194266964788</v>
      </c>
      <c r="X31" s="67">
        <f>J59</f>
        <v>0.90668649961106429</v>
      </c>
      <c r="AC31" t="s">
        <v>103</v>
      </c>
      <c r="AD31" s="51">
        <f>I456</f>
        <v>0.95169252468265164</v>
      </c>
      <c r="AE31" s="51">
        <f>I467</f>
        <v>0.95899472591863788</v>
      </c>
      <c r="AF31" s="55">
        <f>J467</f>
        <v>4.510829017122504E-3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0.1215302140911703</v>
      </c>
      <c r="E32" s="18">
        <f>SQRT(SUM((O26*O26*(E26/O26)*(1-E26/O26))/L26,(O27*O27*(E27/O27)*(1-E27/O27))/L27,(O28*O28*(E28/O28)*(1-E28/O28))/L28,(O29*O29*(E29/O29)*(1-E29/O29))/L29,(O30*O30*(E30/O30)*(1-E30/O30))/L30))</f>
        <v>0.31731446244526823</v>
      </c>
      <c r="F32" s="18">
        <f>SQRT(SUM((O26*O26*(F26/O26)*(1-F26/O26))/L26,(O27*O27*(F27/O27)*(1-F27/O27))/L27,(O28*O28*(F28/O28)*(1-F28/O28))/L28,(O29*O29*(F29/O29)*(1-F29/O29))/L29,(O30*O30*(F30/O30)*(1-F30/O30))/L30))</f>
        <v>0.41653381256842203</v>
      </c>
      <c r="G32" s="18">
        <f>SQRT(SUM((O26*O26*(G26/O26)*(1-G26/O26))/L26,(O27*O27*(G27/O27)*(1-G27/O27))/L27,(O28*O28*(G28/O28)*(1-G28/O28))/L28,(O29*O29*(G29/O29)*(1-G29/O29))/L29,(O30*O30*(G30/O30)*(1-G30/O30))/L30))</f>
        <v>0.2814042316897567</v>
      </c>
      <c r="H32" s="1"/>
      <c r="I32" s="14">
        <f>(C26+D27+E28+F29+G30)/H31</f>
        <v>0.96171742163412688</v>
      </c>
      <c r="J32" s="53">
        <f>SQRT(SUM(P26:P30))/100</f>
        <v>4.2505379428875757E-3</v>
      </c>
      <c r="M32" s="1"/>
      <c r="N32" s="9"/>
      <c r="S32" s="66" t="s">
        <v>51</v>
      </c>
      <c r="T32" s="67">
        <f>N44*100</f>
        <v>100</v>
      </c>
      <c r="U32" s="67">
        <f>N45*100</f>
        <v>95</v>
      </c>
      <c r="V32" s="67">
        <f>N46*100</f>
        <v>96.933333333333337</v>
      </c>
      <c r="W32" s="67">
        <f>N47*100</f>
        <v>89.683860232945094</v>
      </c>
      <c r="X32" s="67">
        <f>N48*100</f>
        <v>94.147843942505133</v>
      </c>
      <c r="AC32" t="s">
        <v>104</v>
      </c>
      <c r="AD32" s="51">
        <f>I485</f>
        <v>0.94605077574047958</v>
      </c>
      <c r="AE32" s="51">
        <f>I496</f>
        <v>0.96211663267475156</v>
      </c>
      <c r="AF32" s="55">
        <f>J496</f>
        <v>4.0095687354056199E-3</v>
      </c>
      <c r="AH32">
        <v>485</v>
      </c>
      <c r="AI32">
        <v>496</v>
      </c>
    </row>
    <row r="33" spans="1:65" x14ac:dyDescent="0.3">
      <c r="B33" s="1" t="s">
        <v>30</v>
      </c>
      <c r="C33" s="17">
        <f>C26/C31*100</f>
        <v>100</v>
      </c>
      <c r="D33" s="17">
        <f>D27/D31*100</f>
        <v>88.088969889727906</v>
      </c>
      <c r="E33" s="17">
        <f>E28/E31*100</f>
        <v>97.898177182220095</v>
      </c>
      <c r="F33" s="17">
        <f>F29/F31*100</f>
        <v>96.851028241538089</v>
      </c>
      <c r="G33" s="17">
        <f>G30/G31*100</f>
        <v>84.509970068076484</v>
      </c>
      <c r="H33" s="1"/>
      <c r="R33" s="16" t="s">
        <v>61</v>
      </c>
      <c r="S33" t="s">
        <v>9</v>
      </c>
      <c r="T33" s="30">
        <f>N55</f>
        <v>501.93</v>
      </c>
      <c r="U33" s="30">
        <f>N56</f>
        <v>2261.5700000000002</v>
      </c>
      <c r="V33" s="30">
        <f>N57</f>
        <v>55027.56</v>
      </c>
      <c r="W33" s="30">
        <f>N58</f>
        <v>31692.53</v>
      </c>
      <c r="X33" s="30">
        <f>N59</f>
        <v>7100.58</v>
      </c>
      <c r="Z33" t="s">
        <v>36</v>
      </c>
      <c r="AA33" s="1">
        <f>N60</f>
        <v>96584.17</v>
      </c>
      <c r="AC33" t="s">
        <v>105</v>
      </c>
      <c r="AD33" s="51">
        <f>I514</f>
        <v>0.96191819464033845</v>
      </c>
      <c r="AE33" s="51">
        <f>I525</f>
        <v>0.96693272052345702</v>
      </c>
      <c r="AF33" s="55">
        <f>J525</f>
        <v>3.9193213281535537E-3</v>
      </c>
      <c r="AH33">
        <v>514</v>
      </c>
      <c r="AI33">
        <v>525</v>
      </c>
    </row>
    <row r="34" spans="1:65" ht="18" x14ac:dyDescent="0.35">
      <c r="B34" s="16" t="s">
        <v>39</v>
      </c>
      <c r="C34" s="18">
        <f>SQRT((C37+C38)/(C31*C31))</f>
        <v>0</v>
      </c>
      <c r="D34" s="18">
        <f>SQRT((D37+D38)/(D31*D31))</f>
        <v>4.6761204789787376</v>
      </c>
      <c r="E34" s="18">
        <f>SQRT((E37+E38)/(E31*E31))</f>
        <v>0.41478075399544811</v>
      </c>
      <c r="F34" s="18">
        <f>SQRT((F37+F38)/(F31*F31))</f>
        <v>0.74926368841406865</v>
      </c>
      <c r="G34" s="18">
        <f>SQRT((G37+G38)/(G31*G31))</f>
        <v>2.8309799196603045</v>
      </c>
      <c r="H34" s="1"/>
      <c r="I34" s="14"/>
      <c r="R34" s="16" t="s">
        <v>318</v>
      </c>
      <c r="S34" t="s">
        <v>63</v>
      </c>
      <c r="T34" s="57">
        <f>$AA33*T26/100</f>
        <v>501.93</v>
      </c>
      <c r="U34" s="57">
        <f>$AA33*U26/100</f>
        <v>2588.2971134020618</v>
      </c>
      <c r="V34" s="57">
        <f>$AA33*V26/100</f>
        <v>55292.934593186037</v>
      </c>
      <c r="W34" s="57">
        <f>$AA33*W26/100</f>
        <v>30529.645657297311</v>
      </c>
      <c r="X34" s="57">
        <f>$AA33*X26/100</f>
        <v>7671.3626361145953</v>
      </c>
      <c r="Z34" t="s">
        <v>36</v>
      </c>
      <c r="AA34" s="25">
        <f>SUM(T34:X34)</f>
        <v>96584.170000000013</v>
      </c>
      <c r="AB34" s="25"/>
      <c r="AC34" t="s">
        <v>106</v>
      </c>
      <c r="AD34" s="51">
        <f>I543</f>
        <v>0.94322990126939354</v>
      </c>
      <c r="AE34" s="51">
        <f>I554</f>
        <v>0.96280063469449872</v>
      </c>
      <c r="AF34" s="55">
        <f>J554</f>
        <v>4.0439044621118289E-3</v>
      </c>
      <c r="AH34">
        <v>543</v>
      </c>
      <c r="AI34">
        <v>554</v>
      </c>
      <c r="BF34" s="83" t="s">
        <v>338</v>
      </c>
    </row>
    <row r="35" spans="1:65" x14ac:dyDescent="0.3">
      <c r="B35" s="1" t="s">
        <v>37</v>
      </c>
      <c r="C35" s="18">
        <f>100-C33</f>
        <v>0</v>
      </c>
      <c r="D35" s="18">
        <f>100-D33</f>
        <v>11.911030110272094</v>
      </c>
      <c r="E35" s="18">
        <f>100-E33</f>
        <v>2.1018228177799045</v>
      </c>
      <c r="F35" s="18">
        <f>100-F33</f>
        <v>3.1489717584619115</v>
      </c>
      <c r="G35" s="18">
        <f>100-G33</f>
        <v>15.490029931923516</v>
      </c>
      <c r="R35" s="66"/>
      <c r="S35" s="66" t="s">
        <v>62</v>
      </c>
      <c r="T35" s="67">
        <f>$AA33*T27/100</f>
        <v>0</v>
      </c>
      <c r="U35" s="67">
        <f>$AA33*U27/100</f>
        <v>132.69644865518424</v>
      </c>
      <c r="V35" s="67">
        <f>$AA33*V27/100</f>
        <v>319.53454036882243</v>
      </c>
      <c r="W35" s="67">
        <f>$AA33*W27/100</f>
        <v>413.4710130011041</v>
      </c>
      <c r="X35" s="67">
        <f>$AA33*X27/100</f>
        <v>264.06846270993043</v>
      </c>
      <c r="AA35" s="1"/>
      <c r="AB35" s="25"/>
      <c r="AC35" s="58" t="s">
        <v>107</v>
      </c>
      <c r="AD35" s="120">
        <f>I572</f>
        <v>0.95521861777150918</v>
      </c>
      <c r="AE35" s="120">
        <f>I583</f>
        <v>0.96244081374447632</v>
      </c>
      <c r="AF35" s="121">
        <f>J583</f>
        <v>4.1245765701183427E-3</v>
      </c>
      <c r="AH35">
        <v>572</v>
      </c>
      <c r="AI35">
        <v>583</v>
      </c>
    </row>
    <row r="36" spans="1:65" ht="15.6" x14ac:dyDescent="0.35">
      <c r="B36" s="1" t="s">
        <v>25</v>
      </c>
      <c r="C36" s="1">
        <f>C20</f>
        <v>451</v>
      </c>
      <c r="D36" s="1">
        <f>D20</f>
        <v>62</v>
      </c>
      <c r="E36" s="1">
        <f>E20</f>
        <v>766</v>
      </c>
      <c r="F36" s="1">
        <f>F20</f>
        <v>598</v>
      </c>
      <c r="G36" s="1">
        <f>G20</f>
        <v>959</v>
      </c>
      <c r="R36" t="s">
        <v>67</v>
      </c>
      <c r="S36" t="s">
        <v>28</v>
      </c>
      <c r="T36" s="57">
        <f t="shared" ref="T36:X39" si="4">C89</f>
        <v>0.47224099686739524</v>
      </c>
      <c r="U36" s="57">
        <f t="shared" si="4"/>
        <v>2.7685538723101315</v>
      </c>
      <c r="V36" s="57">
        <f t="shared" si="4"/>
        <v>57.569798609573226</v>
      </c>
      <c r="W36" s="57">
        <f t="shared" si="4"/>
        <v>30.622555567688398</v>
      </c>
      <c r="X36" s="57">
        <f t="shared" si="4"/>
        <v>8.5668509535608486</v>
      </c>
      <c r="Y36" s="13"/>
      <c r="Z36" s="74"/>
      <c r="AA36" s="12"/>
      <c r="AC36" t="s">
        <v>108</v>
      </c>
      <c r="AD36" s="51">
        <v>0.95345557122708002</v>
      </c>
      <c r="AE36" s="51">
        <v>0.96077022906464205</v>
      </c>
      <c r="AH36">
        <v>601</v>
      </c>
      <c r="AI36">
        <v>612</v>
      </c>
      <c r="BF36" s="82" t="s">
        <v>330</v>
      </c>
      <c r="BG36" s="1">
        <v>0.05</v>
      </c>
      <c r="BH36" s="59" t="s">
        <v>331</v>
      </c>
      <c r="BI36" s="1">
        <v>20</v>
      </c>
      <c r="BJ36" s="59" t="s">
        <v>332</v>
      </c>
      <c r="BK36" s="1">
        <f>_xlfn.VAR.S(BF39:BF58)*(BI36-1)</f>
        <v>2.7314181172238291E-4</v>
      </c>
    </row>
    <row r="37" spans="1:6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0</v>
      </c>
      <c r="E37" s="18">
        <f>(O28*O28*(100-E33)*(100-E33)*(I28)*(100-I28))/((L28-1)*100)</f>
        <v>18.628431971807615</v>
      </c>
      <c r="F37" s="18">
        <f>(O29*O29*(100-F33)*(100-F33)*(I29)*(100-I29))/((L29-1)*100)</f>
        <v>132.8098790340689</v>
      </c>
      <c r="G37" s="18">
        <f>(O30*O30*(100-G33)*(100-G33)*(I30)*(100-I30))/((L30-1)*100)</f>
        <v>109.60511022776853</v>
      </c>
      <c r="S37" s="66" t="s">
        <v>39</v>
      </c>
      <c r="T37" s="67">
        <f t="shared" si="4"/>
        <v>0</v>
      </c>
      <c r="U37" s="67">
        <f t="shared" si="4"/>
        <v>0.14669447868723914</v>
      </c>
      <c r="V37" s="67">
        <f t="shared" si="4"/>
        <v>0.29139985804034285</v>
      </c>
      <c r="W37" s="67">
        <f t="shared" si="4"/>
        <v>0.41985663471183715</v>
      </c>
      <c r="X37" s="67">
        <f t="shared" si="4"/>
        <v>0.30375285847429306</v>
      </c>
      <c r="AC37" t="s">
        <v>109</v>
      </c>
      <c r="AD37" s="51">
        <v>0.95451339915373701</v>
      </c>
      <c r="AE37" s="51">
        <v>0.96438762477056905</v>
      </c>
      <c r="AH37">
        <v>630</v>
      </c>
      <c r="AI37">
        <v>641</v>
      </c>
    </row>
    <row r="38" spans="1:65" ht="15.6" x14ac:dyDescent="0.35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114.80437562631468</v>
      </c>
      <c r="E38" s="18">
        <f>E33*E33*(SUM((H26*E26*(1-E15/H15))/(H15-1),(H27*E27*(1-E16/H16))/(H16-1), (H29*E29*(1-E18/H18))/(H18-1),(H30*E30*(1-E19/H19))/(H19-1)))</f>
        <v>562.36966785601828</v>
      </c>
      <c r="F38" s="18">
        <f>F33*F33*(SUM((H26*F26*(1-F15/H15))/(H15-1),(H27*F27*(1-F16/H16))/(H16-1), (H28*F28*(1-F17/H17))/(H17-1),(H30*F30*(1-F19/H19))/(H19-1)))</f>
        <v>373.78525174201275</v>
      </c>
      <c r="G38" s="18">
        <f>G33*G33*(SUM((H26*G26*(1-G15/H15))/(H15-1),(H27*G27*(1-G16/H16))/(H16-1), (H28*G28*(1-G17/H17))/(H17-1),(H29*G29*(1-G18/H18))/(H18-1)))</f>
        <v>533.86757490837397</v>
      </c>
      <c r="S38" t="s">
        <v>30</v>
      </c>
      <c r="T38" s="57">
        <f t="shared" si="4"/>
        <v>100</v>
      </c>
      <c r="U38" s="57">
        <f t="shared" si="4"/>
        <v>85.896159776697317</v>
      </c>
      <c r="V38" s="57">
        <f t="shared" si="4"/>
        <v>97.998091927930645</v>
      </c>
      <c r="W38" s="57">
        <f t="shared" si="4"/>
        <v>96.54432629163324</v>
      </c>
      <c r="X38" s="57">
        <f t="shared" si="4"/>
        <v>81.519688931858099</v>
      </c>
      <c r="Z38" s="50"/>
      <c r="AA38" s="54"/>
      <c r="AC38" t="s">
        <v>110</v>
      </c>
      <c r="AD38" s="51">
        <v>0.94287729196050696</v>
      </c>
      <c r="AE38" s="51">
        <v>0.95603621067756095</v>
      </c>
      <c r="AH38">
        <v>659</v>
      </c>
      <c r="AI38">
        <v>670</v>
      </c>
      <c r="BF38" s="12" t="s">
        <v>329</v>
      </c>
      <c r="BG38" s="13" t="s">
        <v>339</v>
      </c>
      <c r="BH38" s="13" t="s">
        <v>344</v>
      </c>
      <c r="BI38" s="13" t="s">
        <v>345</v>
      </c>
      <c r="BJ38" s="13" t="s">
        <v>346</v>
      </c>
      <c r="BK38" s="13" t="s">
        <v>340</v>
      </c>
      <c r="BL38">
        <f>1/(SQRT(BI36))</f>
        <v>0.22360679774997896</v>
      </c>
    </row>
    <row r="39" spans="1:65" x14ac:dyDescent="0.3">
      <c r="A39" s="105" t="s">
        <v>645</v>
      </c>
      <c r="B39" s="69" t="s">
        <v>9</v>
      </c>
      <c r="C39" s="1">
        <v>294.04000000000002</v>
      </c>
      <c r="D39" s="1">
        <v>2353.17</v>
      </c>
      <c r="E39" s="1">
        <v>16252.3</v>
      </c>
      <c r="F39">
        <v>2051.11</v>
      </c>
      <c r="G39">
        <v>1194.32</v>
      </c>
      <c r="I39" t="s">
        <v>36</v>
      </c>
      <c r="J39" s="57">
        <f>SUM(C39:G39)</f>
        <v>22144.94</v>
      </c>
      <c r="S39" s="66" t="s">
        <v>39</v>
      </c>
      <c r="T39" s="67">
        <f t="shared" si="4"/>
        <v>0</v>
      </c>
      <c r="U39" s="67">
        <f t="shared" si="4"/>
        <v>4.5552053875655369</v>
      </c>
      <c r="V39" s="67">
        <f t="shared" si="4"/>
        <v>0.40548373282093797</v>
      </c>
      <c r="W39" s="67">
        <f t="shared" si="4"/>
        <v>0.68986560378289585</v>
      </c>
      <c r="X39" s="67">
        <f t="shared" si="4"/>
        <v>3.2712468987151611</v>
      </c>
      <c r="AC39" t="s">
        <v>111</v>
      </c>
      <c r="AD39" s="51">
        <v>0.94428772919604997</v>
      </c>
      <c r="AE39" s="51">
        <v>0.95551376824196999</v>
      </c>
      <c r="AH39">
        <v>688</v>
      </c>
      <c r="AI39">
        <v>699</v>
      </c>
      <c r="BF39">
        <v>0.95171389662806027</v>
      </c>
      <c r="BG39" s="27">
        <v>1</v>
      </c>
      <c r="BH39" s="84">
        <f>_xlfn.NORM.S.INV((BG39-0.375)/($BI$36+0.25))</f>
        <v>-1.8682416548639302</v>
      </c>
      <c r="BI39" s="84">
        <f>-BI58</f>
        <v>-0.47336806621893501</v>
      </c>
      <c r="BJ39">
        <f>BI39*BF39</f>
        <v>-0.45051096684051228</v>
      </c>
      <c r="BK39" s="13" t="s">
        <v>335</v>
      </c>
      <c r="BL39">
        <f>SUMSQ(BH39:BH58)</f>
        <v>17.633567020527028</v>
      </c>
    </row>
    <row r="40" spans="1:65" x14ac:dyDescent="0.3">
      <c r="B40" t="s">
        <v>367</v>
      </c>
      <c r="C40" s="57">
        <f>(C39/$J39)*100</f>
        <v>1.327797681998687</v>
      </c>
      <c r="D40" s="57">
        <f>(D39/$J39)*100</f>
        <v>10.626219804614509</v>
      </c>
      <c r="E40" s="57">
        <f>(E39/$J39)*100</f>
        <v>73.390580421531965</v>
      </c>
      <c r="F40" s="57">
        <f>(F39/$J39)*100</f>
        <v>9.2622061744127553</v>
      </c>
      <c r="G40" s="57">
        <f>(G39/$J39)*100</f>
        <v>5.393195917442088</v>
      </c>
      <c r="S40" t="s">
        <v>31</v>
      </c>
      <c r="T40" s="57">
        <f>I84</f>
        <v>100</v>
      </c>
      <c r="U40" s="57">
        <f>I85</f>
        <v>100</v>
      </c>
      <c r="V40" s="57">
        <f>I86</f>
        <v>99.321573948439621</v>
      </c>
      <c r="W40" s="57">
        <f>I87</f>
        <v>91.065292096219935</v>
      </c>
      <c r="X40" s="57">
        <f>I88</f>
        <v>88.602576808721508</v>
      </c>
      <c r="AC40" t="s">
        <v>112</v>
      </c>
      <c r="AD40" s="51">
        <v>0.94746121297602204</v>
      </c>
      <c r="AE40" s="51">
        <v>0.95983300291886797</v>
      </c>
      <c r="AH40">
        <v>717</v>
      </c>
      <c r="AI40">
        <v>728</v>
      </c>
      <c r="BF40">
        <v>0.95228300756376261</v>
      </c>
      <c r="BG40" s="27">
        <v>2</v>
      </c>
      <c r="BH40" s="84">
        <f t="shared" ref="BH40:BH58" si="5">_xlfn.NORM.S.INV((BG40-0.375)/($BI$36+0.25))</f>
        <v>-1.4034126358514019</v>
      </c>
      <c r="BI40" s="84">
        <f>-BI57</f>
        <v>-0.32175145499838514</v>
      </c>
      <c r="BJ40">
        <f t="shared" ref="BJ40:BJ58" si="6">BI40*BF40</f>
        <v>-0.30639844325387883</v>
      </c>
      <c r="BK40" s="74" t="s">
        <v>341</v>
      </c>
      <c r="BL40">
        <f>(BL39-2*(BH58^2)-2*(BH57^2))/(1-2*(BI58^2)-2*(BI57^2))</f>
        <v>19.471667059296756</v>
      </c>
    </row>
    <row r="41" spans="1:65" x14ac:dyDescent="0.3">
      <c r="A41" s="348" t="s">
        <v>369</v>
      </c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 t="s">
        <v>49</v>
      </c>
      <c r="M41" s="348"/>
      <c r="N41" s="348"/>
      <c r="O41" s="348"/>
      <c r="P41" s="348"/>
      <c r="S41" s="66" t="s">
        <v>39</v>
      </c>
      <c r="T41" s="67">
        <f>J84</f>
        <v>0</v>
      </c>
      <c r="U41" s="67">
        <f>J85</f>
        <v>0</v>
      </c>
      <c r="V41" s="67">
        <f>J86</f>
        <v>0.30257577035375105</v>
      </c>
      <c r="W41" s="67">
        <f>J87</f>
        <v>1.1833918004084283</v>
      </c>
      <c r="X41" s="67">
        <f>J88</f>
        <v>1.0009128094443978</v>
      </c>
      <c r="AC41" t="s">
        <v>113</v>
      </c>
      <c r="AD41" s="51">
        <v>0.94217207334273601</v>
      </c>
      <c r="AE41" s="51">
        <v>0.95808746664442102</v>
      </c>
      <c r="AH41">
        <v>746</v>
      </c>
      <c r="AI41">
        <v>757</v>
      </c>
      <c r="BF41">
        <v>0.95745001907164862</v>
      </c>
      <c r="BG41" s="1">
        <v>3</v>
      </c>
      <c r="BH41">
        <f t="shared" si="5"/>
        <v>-1.1281436452787641</v>
      </c>
      <c r="BI41">
        <f t="shared" ref="BI41:BI56" si="7">BH41/SQRT($BL$40)</f>
        <v>-0.25566002901309814</v>
      </c>
      <c r="BJ41">
        <f t="shared" si="6"/>
        <v>-0.24478169965444907</v>
      </c>
      <c r="BK41" s="74" t="s">
        <v>333</v>
      </c>
      <c r="BL41" s="48">
        <f>CORREL(BF39:BF58,BI39:BI58)^2</f>
        <v>0.93296395434331791</v>
      </c>
      <c r="BM41" s="48">
        <f>(BJ59^2)/BK36</f>
        <v>0.9329639543432765</v>
      </c>
    </row>
    <row r="42" spans="1:65" x14ac:dyDescent="0.3">
      <c r="A42" t="s">
        <v>315</v>
      </c>
      <c r="B42" t="s">
        <v>21</v>
      </c>
      <c r="I42" s="1" t="s">
        <v>53</v>
      </c>
      <c r="O42" s="350" t="s">
        <v>377</v>
      </c>
      <c r="P42" s="350"/>
      <c r="S42" s="66" t="s">
        <v>51</v>
      </c>
      <c r="T42" s="67">
        <f>N73*100</f>
        <v>100</v>
      </c>
      <c r="U42" s="67">
        <f>N74*100</f>
        <v>94.214876033057848</v>
      </c>
      <c r="V42" s="67">
        <f>N75*100</f>
        <v>97.211155378486055</v>
      </c>
      <c r="W42" s="67">
        <f>N76*100</f>
        <v>87.45874587458745</v>
      </c>
      <c r="X42" s="67">
        <f>N77*100</f>
        <v>92.594510616261005</v>
      </c>
      <c r="AC42" t="s">
        <v>114</v>
      </c>
      <c r="AD42" s="51">
        <v>0.94992947813822204</v>
      </c>
      <c r="AE42" s="51">
        <v>0.95911878887541102</v>
      </c>
      <c r="AH42">
        <v>775</v>
      </c>
      <c r="AI42">
        <v>786</v>
      </c>
      <c r="BF42">
        <v>0.95809127942512096</v>
      </c>
      <c r="BG42" s="1">
        <v>4</v>
      </c>
      <c r="BH42">
        <f t="shared" si="5"/>
        <v>-0.91913552204621074</v>
      </c>
      <c r="BI42">
        <f t="shared" si="7"/>
        <v>-0.20829458661289388</v>
      </c>
      <c r="BJ42">
        <f t="shared" si="6"/>
        <v>-0.19956522698527418</v>
      </c>
      <c r="BK42" s="74" t="s">
        <v>73</v>
      </c>
      <c r="BL42">
        <f>0.0038915*(LN(BI36)^3)-0.083751*(LN(BI36)^2)-0.31082*LN(BI36)-1.5861</f>
        <v>-3.1642267470723917</v>
      </c>
    </row>
    <row r="43" spans="1:6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51</v>
      </c>
      <c r="O43" s="13" t="s">
        <v>644</v>
      </c>
      <c r="P43" s="13" t="s">
        <v>633</v>
      </c>
      <c r="R43" s="16" t="s">
        <v>61</v>
      </c>
      <c r="S43" t="s">
        <v>9</v>
      </c>
      <c r="T43" s="30">
        <f>N84</f>
        <v>456.11</v>
      </c>
      <c r="U43" s="30">
        <f>N85</f>
        <v>2296.85</v>
      </c>
      <c r="V43" s="30">
        <f>N86</f>
        <v>54862.38</v>
      </c>
      <c r="W43" s="30">
        <f>N87</f>
        <v>31356.04</v>
      </c>
      <c r="X43" s="30">
        <f>N88</f>
        <v>7612.78</v>
      </c>
      <c r="Z43" t="s">
        <v>36</v>
      </c>
      <c r="AA43" s="1">
        <f>N89</f>
        <v>96584.16</v>
      </c>
      <c r="AC43" t="s">
        <v>115</v>
      </c>
      <c r="AD43" s="51">
        <v>0.93335684062059199</v>
      </c>
      <c r="AE43" s="51">
        <v>0.95443011733957295</v>
      </c>
      <c r="AH43">
        <v>804</v>
      </c>
      <c r="AI43">
        <v>815</v>
      </c>
      <c r="BF43">
        <v>0.95815636833369455</v>
      </c>
      <c r="BG43" s="1">
        <v>5</v>
      </c>
      <c r="BH43">
        <f t="shared" si="5"/>
        <v>-0.74414274222016763</v>
      </c>
      <c r="BI43">
        <f t="shared" si="7"/>
        <v>-0.16863770483667825</v>
      </c>
      <c r="BJ43">
        <f t="shared" si="6"/>
        <v>-0.16158129083044115</v>
      </c>
      <c r="BK43" s="74" t="s">
        <v>347</v>
      </c>
      <c r="BL43">
        <f>EXP(0.0030301*(LN(BI36)^2)-0.082676*LN(BI36)-0.4803)</f>
        <v>0.49619722706220387</v>
      </c>
    </row>
    <row r="44" spans="1:65" ht="15.6" x14ac:dyDescent="0.35">
      <c r="A44" t="s">
        <v>3</v>
      </c>
      <c r="B44" s="13">
        <v>0</v>
      </c>
      <c r="C44" s="26">
        <v>451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451</v>
      </c>
      <c r="I44" s="10">
        <f>C44/H44</f>
        <v>1</v>
      </c>
      <c r="J44" s="11">
        <f>1-I44</f>
        <v>0</v>
      </c>
      <c r="K44">
        <f>H44-C49</f>
        <v>0</v>
      </c>
      <c r="N44" s="10">
        <f>2*(C50*I44)/(C50+I44)</f>
        <v>1</v>
      </c>
      <c r="O44" s="1"/>
      <c r="P44" s="1"/>
      <c r="R44" s="16" t="s">
        <v>318</v>
      </c>
      <c r="S44" t="s">
        <v>63</v>
      </c>
      <c r="T44" s="57">
        <f>$AA43*T36/100</f>
        <v>456.11</v>
      </c>
      <c r="U44" s="57">
        <f>$AA43*U36/100</f>
        <v>2673.9845017182133</v>
      </c>
      <c r="V44" s="57">
        <f>$AA43*V36/100</f>
        <v>55603.306400747977</v>
      </c>
      <c r="W44" s="57">
        <f>$AA43*W36/100</f>
        <v>29576.538065585071</v>
      </c>
      <c r="X44" s="57">
        <f>$AA43*X36/100</f>
        <v>8274.2210319487349</v>
      </c>
      <c r="Z44" t="s">
        <v>36</v>
      </c>
      <c r="AA44" s="25">
        <f>SUM(T44:X44)</f>
        <v>96584.16</v>
      </c>
      <c r="AC44" t="s">
        <v>116</v>
      </c>
      <c r="AD44" s="51">
        <v>0.95698166431593701</v>
      </c>
      <c r="AE44" s="51">
        <v>0.96298310196974801</v>
      </c>
      <c r="AH44">
        <v>833</v>
      </c>
      <c r="AI44">
        <v>844</v>
      </c>
      <c r="BF44">
        <v>0.95899472591863788</v>
      </c>
      <c r="BG44" s="1">
        <v>6</v>
      </c>
      <c r="BH44">
        <f t="shared" si="5"/>
        <v>-0.58945579784977842</v>
      </c>
      <c r="BI44">
        <f t="shared" si="7"/>
        <v>-0.13358253358150615</v>
      </c>
      <c r="BJ44">
        <f t="shared" si="6"/>
        <v>-0.12810494517951374</v>
      </c>
      <c r="BK44" s="74" t="s">
        <v>343</v>
      </c>
      <c r="BL44">
        <f>(LN(1-BL41)-BL42)/BL43</f>
        <v>0.93048068894555613</v>
      </c>
    </row>
    <row r="45" spans="1:65" x14ac:dyDescent="0.3">
      <c r="A45" t="s">
        <v>4</v>
      </c>
      <c r="B45" s="13">
        <v>1</v>
      </c>
      <c r="C45" s="5">
        <v>0</v>
      </c>
      <c r="D45" s="27">
        <v>57</v>
      </c>
      <c r="E45" s="1">
        <v>0</v>
      </c>
      <c r="F45" s="1">
        <v>0</v>
      </c>
      <c r="G45" s="6">
        <v>0</v>
      </c>
      <c r="H45" s="1">
        <f>SUM(C45:G45)</f>
        <v>57</v>
      </c>
      <c r="I45" s="10">
        <f>D45/H45</f>
        <v>1</v>
      </c>
      <c r="J45" s="11">
        <f>1-I45</f>
        <v>0</v>
      </c>
      <c r="K45">
        <f>H45-D49</f>
        <v>-6</v>
      </c>
      <c r="N45" s="10">
        <f>2*(D50*I45)/(D50+I45)</f>
        <v>0.95000000000000007</v>
      </c>
      <c r="O45" s="1"/>
      <c r="P45" s="1"/>
      <c r="R45" s="66"/>
      <c r="S45" s="66" t="s">
        <v>62</v>
      </c>
      <c r="T45" s="67">
        <f>$AA43*T37/100</f>
        <v>0</v>
      </c>
      <c r="U45" s="67">
        <f>$AA43*U37/100</f>
        <v>141.68363000644896</v>
      </c>
      <c r="V45" s="67">
        <f>$AA43*V37/100</f>
        <v>281.44610512945764</v>
      </c>
      <c r="W45" s="67">
        <f>$AA43*W37/100</f>
        <v>405.51500384069635</v>
      </c>
      <c r="X45" s="67">
        <f>$AA43*X37/100</f>
        <v>293.37714683338481</v>
      </c>
      <c r="AA45" s="1"/>
      <c r="AC45" t="s">
        <v>117</v>
      </c>
      <c r="AD45" s="51">
        <v>0.93794076163610696</v>
      </c>
      <c r="AE45" s="51">
        <v>0.95266121363353096</v>
      </c>
      <c r="AH45">
        <v>862</v>
      </c>
      <c r="AI45">
        <v>873</v>
      </c>
      <c r="BF45">
        <v>0.95926496630557678</v>
      </c>
      <c r="BG45" s="1">
        <v>7</v>
      </c>
      <c r="BH45">
        <f t="shared" si="5"/>
        <v>-0.44776751848294888</v>
      </c>
      <c r="BI45">
        <f t="shared" si="7"/>
        <v>-0.10147312112739562</v>
      </c>
      <c r="BJ45">
        <f t="shared" si="6"/>
        <v>-9.7339610119192871E-2</v>
      </c>
      <c r="BK45" s="74" t="s">
        <v>334</v>
      </c>
      <c r="BL45">
        <f>1-NORMSDIST(BL44)</f>
        <v>0.17606112904397186</v>
      </c>
    </row>
    <row r="46" spans="1:65" x14ac:dyDescent="0.3">
      <c r="A46" t="s">
        <v>5</v>
      </c>
      <c r="B46" s="13">
        <v>2</v>
      </c>
      <c r="C46" s="5">
        <v>0</v>
      </c>
      <c r="D46" s="1">
        <v>0</v>
      </c>
      <c r="E46" s="27">
        <v>727</v>
      </c>
      <c r="F46" s="1">
        <v>9</v>
      </c>
      <c r="G46" s="6">
        <v>1</v>
      </c>
      <c r="H46" s="1">
        <f>SUM(C46:G46)</f>
        <v>737</v>
      </c>
      <c r="I46" s="10">
        <f>E46/H46</f>
        <v>0.98643147896879235</v>
      </c>
      <c r="J46" s="11">
        <f>1-I46</f>
        <v>1.3568521031207648E-2</v>
      </c>
      <c r="K46">
        <f>H46-E49</f>
        <v>-26</v>
      </c>
      <c r="N46" s="10">
        <f>2*(E50*I46)/(E50+I46)</f>
        <v>0.96933333333333338</v>
      </c>
      <c r="O46" s="1"/>
      <c r="P46" s="1"/>
      <c r="R46" t="s">
        <v>68</v>
      </c>
      <c r="S46" t="s">
        <v>28</v>
      </c>
      <c r="T46" s="57">
        <f t="shared" ref="T46:X49" si="8">C118</f>
        <v>0.48436513813445187</v>
      </c>
      <c r="U46" s="57">
        <f t="shared" si="8"/>
        <v>2.7204400014571131</v>
      </c>
      <c r="V46" s="57">
        <f t="shared" si="8"/>
        <v>56.863650137275513</v>
      </c>
      <c r="W46" s="57">
        <f t="shared" si="8"/>
        <v>30.661677813156047</v>
      </c>
      <c r="X46" s="57">
        <f t="shared" si="8"/>
        <v>9.2698669099768747</v>
      </c>
      <c r="Y46" s="60"/>
      <c r="Z46" s="74"/>
      <c r="AA46" s="12"/>
      <c r="AC46" t="s">
        <v>130</v>
      </c>
      <c r="AD46" s="51">
        <v>0.94640338504936505</v>
      </c>
      <c r="AE46" s="51">
        <v>0.96398878165177204</v>
      </c>
      <c r="AH46">
        <v>891</v>
      </c>
      <c r="AI46">
        <v>902</v>
      </c>
      <c r="BF46">
        <v>0.95958581635712836</v>
      </c>
      <c r="BG46" s="1">
        <v>8</v>
      </c>
      <c r="BH46">
        <f t="shared" si="5"/>
        <v>-0.31457229183888502</v>
      </c>
      <c r="BI46">
        <f t="shared" si="7"/>
        <v>-7.1288405155509674E-2</v>
      </c>
      <c r="BJ46">
        <f t="shared" si="6"/>
        <v>-6.8407342457947468E-2</v>
      </c>
      <c r="BK46" s="13" t="s">
        <v>336</v>
      </c>
      <c r="BL46" s="13" t="str">
        <f>IF(GESTEP(BL45,BG36)=0,"YES","NO")</f>
        <v>NO</v>
      </c>
    </row>
    <row r="47" spans="1:65" x14ac:dyDescent="0.3">
      <c r="A47" t="s">
        <v>6</v>
      </c>
      <c r="B47" s="13">
        <v>3</v>
      </c>
      <c r="C47" s="5">
        <v>0</v>
      </c>
      <c r="D47" s="1">
        <v>6</v>
      </c>
      <c r="E47" s="1">
        <v>16</v>
      </c>
      <c r="F47" s="27">
        <v>539</v>
      </c>
      <c r="G47" s="6">
        <v>21</v>
      </c>
      <c r="H47" s="1">
        <f>SUM(C47:G47)</f>
        <v>582</v>
      </c>
      <c r="I47" s="10">
        <f>F47/H47</f>
        <v>0.92611683848797255</v>
      </c>
      <c r="J47" s="11">
        <f>1-I47</f>
        <v>7.3883161512027451E-2</v>
      </c>
      <c r="K47">
        <f>H47-F49</f>
        <v>-38</v>
      </c>
      <c r="N47" s="10">
        <f>2*(F50*I47)/(F50+I47)</f>
        <v>0.8968386023294509</v>
      </c>
      <c r="O47" s="1"/>
      <c r="P47" s="1"/>
      <c r="S47" s="66" t="s">
        <v>39</v>
      </c>
      <c r="T47" s="67">
        <f t="shared" si="8"/>
        <v>0</v>
      </c>
      <c r="U47" s="67">
        <f t="shared" si="8"/>
        <v>0.13582813239533509</v>
      </c>
      <c r="V47" s="67">
        <f t="shared" si="8"/>
        <v>0.33152160229758332</v>
      </c>
      <c r="W47" s="67">
        <f t="shared" si="8"/>
        <v>0.4409322775935563</v>
      </c>
      <c r="X47" s="67">
        <f t="shared" si="8"/>
        <v>0.29526232765264565</v>
      </c>
      <c r="AC47" t="s">
        <v>131</v>
      </c>
      <c r="AD47" s="51">
        <v>0.95098730606488002</v>
      </c>
      <c r="AE47" s="51">
        <v>0.96272551063377199</v>
      </c>
      <c r="AH47">
        <v>920</v>
      </c>
      <c r="AI47">
        <v>931</v>
      </c>
      <c r="BF47">
        <v>0.96003270275652886</v>
      </c>
      <c r="BG47" s="1">
        <v>9</v>
      </c>
      <c r="BH47">
        <f t="shared" si="5"/>
        <v>-0.18675612106373712</v>
      </c>
      <c r="BI47">
        <f t="shared" si="7"/>
        <v>-4.2322691378304626E-2</v>
      </c>
      <c r="BJ47">
        <f t="shared" si="6"/>
        <v>-4.0631167791844232E-2</v>
      </c>
    </row>
    <row r="48" spans="1:65" x14ac:dyDescent="0.3">
      <c r="A48" t="s">
        <v>7</v>
      </c>
      <c r="B48" s="13">
        <v>4</v>
      </c>
      <c r="C48" s="7">
        <v>0</v>
      </c>
      <c r="D48" s="8">
        <v>0</v>
      </c>
      <c r="E48" s="8">
        <v>20</v>
      </c>
      <c r="F48" s="8">
        <v>72</v>
      </c>
      <c r="G48" s="28">
        <v>917</v>
      </c>
      <c r="H48" s="1">
        <f>SUM(C48:G48)</f>
        <v>1009</v>
      </c>
      <c r="I48" s="10">
        <f>G48/H48</f>
        <v>0.90882061446977203</v>
      </c>
      <c r="J48" s="11">
        <f>1-I48</f>
        <v>9.1179385530227974E-2</v>
      </c>
      <c r="K48">
        <f>H48-G49</f>
        <v>70</v>
      </c>
      <c r="N48" s="10">
        <f>2*(G50*I48)/(G50+I48)</f>
        <v>0.94147843942505127</v>
      </c>
      <c r="O48" s="1"/>
      <c r="P48" s="1"/>
      <c r="S48" t="s">
        <v>30</v>
      </c>
      <c r="T48" s="57">
        <f t="shared" si="8"/>
        <v>100</v>
      </c>
      <c r="U48" s="57">
        <f t="shared" si="8"/>
        <v>87.706474313634303</v>
      </c>
      <c r="V48" s="57">
        <f t="shared" si="8"/>
        <v>97.978694933437311</v>
      </c>
      <c r="W48" s="57">
        <f t="shared" si="8"/>
        <v>96.530145308210379</v>
      </c>
      <c r="X48" s="57">
        <f t="shared" si="8"/>
        <v>83.540628075248407</v>
      </c>
      <c r="AC48" t="s">
        <v>132</v>
      </c>
      <c r="AD48" s="51">
        <v>0.94322990126939299</v>
      </c>
      <c r="AE48" s="51">
        <v>0.96102204510100198</v>
      </c>
      <c r="AH48">
        <v>949</v>
      </c>
      <c r="AI48">
        <v>960</v>
      </c>
      <c r="BF48">
        <v>0.96131571537074534</v>
      </c>
      <c r="BG48" s="1">
        <v>10</v>
      </c>
      <c r="BH48">
        <f t="shared" si="5"/>
        <v>-6.1931623455317261E-2</v>
      </c>
      <c r="BI48">
        <f t="shared" si="7"/>
        <v>-1.4034950882076937E-2</v>
      </c>
      <c r="BJ48">
        <f t="shared" si="6"/>
        <v>-1.3492018847397064E-2</v>
      </c>
    </row>
    <row r="49" spans="1:64" ht="15.6" x14ac:dyDescent="0.35">
      <c r="B49" s="1" t="s">
        <v>19</v>
      </c>
      <c r="C49" s="1">
        <f>SUM(C44:C48)</f>
        <v>451</v>
      </c>
      <c r="D49" s="1">
        <f>SUM(D44:D48)</f>
        <v>63</v>
      </c>
      <c r="E49" s="1">
        <f>SUM(E44:E48)</f>
        <v>763</v>
      </c>
      <c r="F49" s="1">
        <f>SUM(F44:F48)</f>
        <v>620</v>
      </c>
      <c r="G49" s="1">
        <f>SUM(G44:G48)</f>
        <v>939</v>
      </c>
      <c r="H49" s="1">
        <f>SUM(H43:H48)</f>
        <v>2836</v>
      </c>
      <c r="I49" s="13" t="s">
        <v>12</v>
      </c>
      <c r="N49" s="16" t="s">
        <v>36</v>
      </c>
      <c r="O49" s="1">
        <f>SUM(O44:O48)</f>
        <v>0</v>
      </c>
      <c r="P49" s="1">
        <f>SUM(P44:P48)</f>
        <v>0</v>
      </c>
      <c r="S49" s="66" t="s">
        <v>39</v>
      </c>
      <c r="T49" s="67">
        <f t="shared" si="8"/>
        <v>0</v>
      </c>
      <c r="U49" s="67">
        <f t="shared" si="8"/>
        <v>4.3828404038046154</v>
      </c>
      <c r="V49" s="67">
        <f t="shared" si="8"/>
        <v>0.42260661685047801</v>
      </c>
      <c r="W49" s="67">
        <f t="shared" si="8"/>
        <v>0.82476549991504899</v>
      </c>
      <c r="X49" s="67">
        <f t="shared" si="8"/>
        <v>2.8402239789501365</v>
      </c>
      <c r="AC49" t="s">
        <v>133</v>
      </c>
      <c r="AD49" s="51">
        <v>0.95627644569816606</v>
      </c>
      <c r="AE49" s="51">
        <v>0.96309027450213103</v>
      </c>
      <c r="AH49">
        <v>978</v>
      </c>
      <c r="AI49">
        <v>989</v>
      </c>
      <c r="BF49">
        <v>0.96132271531474511</v>
      </c>
      <c r="BG49" s="1">
        <v>11</v>
      </c>
      <c r="BH49">
        <f t="shared" si="5"/>
        <v>6.1931623455317261E-2</v>
      </c>
      <c r="BI49">
        <f t="shared" si="7"/>
        <v>1.4034950882076937E-2</v>
      </c>
      <c r="BJ49">
        <f t="shared" si="6"/>
        <v>1.3492117091267278E-2</v>
      </c>
    </row>
    <row r="50" spans="1:64" x14ac:dyDescent="0.3">
      <c r="A50" s="1" t="s">
        <v>316</v>
      </c>
      <c r="B50" s="1" t="s">
        <v>2</v>
      </c>
      <c r="C50" s="10">
        <f>C44/C49</f>
        <v>1</v>
      </c>
      <c r="D50" s="10">
        <f>D45/D49</f>
        <v>0.90476190476190477</v>
      </c>
      <c r="E50" s="10">
        <f>E46/E49</f>
        <v>0.95281782437745743</v>
      </c>
      <c r="F50" s="10">
        <f>F47/F49</f>
        <v>0.86935483870967745</v>
      </c>
      <c r="G50" s="10">
        <f>G48/G49</f>
        <v>0.97657082002129925</v>
      </c>
      <c r="H50" s="10"/>
      <c r="I50" s="14">
        <f>(C44+D45+E46+F47+G48)/H49</f>
        <v>0.94887165021156561</v>
      </c>
      <c r="S50" s="15" t="s">
        <v>31</v>
      </c>
      <c r="T50" s="71">
        <f>I113</f>
        <v>100</v>
      </c>
      <c r="U50" s="71">
        <f>I114</f>
        <v>100</v>
      </c>
      <c r="V50" s="71">
        <f>I115</f>
        <v>98.778833107191303</v>
      </c>
      <c r="W50" s="71">
        <f>I116</f>
        <v>91.237113402061851</v>
      </c>
      <c r="X50" s="71">
        <f>I117</f>
        <v>93.458870168483642</v>
      </c>
      <c r="AC50" t="s">
        <v>134</v>
      </c>
      <c r="AD50" s="51">
        <v>0.94992947813822204</v>
      </c>
      <c r="AE50" s="51">
        <v>0.96099828538850496</v>
      </c>
      <c r="AH50">
        <v>1007</v>
      </c>
      <c r="AI50">
        <v>1018</v>
      </c>
      <c r="BF50">
        <v>0.96171742163412688</v>
      </c>
      <c r="BG50" s="1">
        <v>12</v>
      </c>
      <c r="BH50">
        <f t="shared" si="5"/>
        <v>0.18675612106373712</v>
      </c>
      <c r="BI50">
        <f t="shared" si="7"/>
        <v>4.2322691378304626E-2</v>
      </c>
      <c r="BJ50">
        <f t="shared" si="6"/>
        <v>4.0702469628960014E-2</v>
      </c>
    </row>
    <row r="51" spans="1:64" x14ac:dyDescent="0.3">
      <c r="B51" s="1" t="s">
        <v>14</v>
      </c>
      <c r="C51" s="11">
        <f>1-C50</f>
        <v>0</v>
      </c>
      <c r="D51" s="11">
        <f>1-D50</f>
        <v>9.5238095238095233E-2</v>
      </c>
      <c r="E51" s="11">
        <f>1-E50</f>
        <v>4.7182175622542566E-2</v>
      </c>
      <c r="F51" s="11">
        <f>1-F50</f>
        <v>0.13064516129032255</v>
      </c>
      <c r="G51" s="11">
        <f>1-G50</f>
        <v>2.3429179978700754E-2</v>
      </c>
      <c r="S51" s="75" t="s">
        <v>39</v>
      </c>
      <c r="T51" s="76">
        <f>J113</f>
        <v>0</v>
      </c>
      <c r="U51" s="76">
        <f>J114</f>
        <v>0</v>
      </c>
      <c r="V51" s="76">
        <f>J115</f>
        <v>0.40483732760419794</v>
      </c>
      <c r="W51" s="76">
        <f>J116</f>
        <v>1.1730628945942423</v>
      </c>
      <c r="X51" s="76">
        <f>J117</f>
        <v>0.77876492296262712</v>
      </c>
      <c r="AC51" t="s">
        <v>135</v>
      </c>
      <c r="AD51" s="51">
        <v>0.95028208744710796</v>
      </c>
      <c r="AE51" s="51">
        <v>0.95780173096051602</v>
      </c>
      <c r="AH51">
        <v>1036</v>
      </c>
      <c r="AI51">
        <v>1047</v>
      </c>
      <c r="BF51">
        <v>0.96211663267475156</v>
      </c>
      <c r="BG51" s="1">
        <v>13</v>
      </c>
      <c r="BH51">
        <f t="shared" si="5"/>
        <v>0.31457229183888502</v>
      </c>
      <c r="BI51">
        <f t="shared" si="7"/>
        <v>7.1288405155509674E-2</v>
      </c>
      <c r="BJ51">
        <f t="shared" si="6"/>
        <v>6.8587760316972363E-2</v>
      </c>
    </row>
    <row r="52" spans="1:64" x14ac:dyDescent="0.3">
      <c r="C52" s="2"/>
      <c r="S52" s="66" t="s">
        <v>51</v>
      </c>
      <c r="T52" s="67">
        <f>N102*100</f>
        <v>100</v>
      </c>
      <c r="U52" s="67">
        <f>N103*100</f>
        <v>95</v>
      </c>
      <c r="V52" s="67">
        <f>N104*100</f>
        <v>97.391304347826093</v>
      </c>
      <c r="W52" s="67">
        <f>N105*100</f>
        <v>90.306122448979593</v>
      </c>
      <c r="X52" s="67">
        <f>N106*100</f>
        <v>95.30065689742294</v>
      </c>
      <c r="AC52" t="s">
        <v>136</v>
      </c>
      <c r="AD52" s="51">
        <v>0.94428772919604997</v>
      </c>
      <c r="AE52" s="51">
        <v>0.95178746721679797</v>
      </c>
      <c r="AH52">
        <v>1065</v>
      </c>
      <c r="AI52">
        <v>1076</v>
      </c>
      <c r="BF52">
        <v>0.96244081374447632</v>
      </c>
      <c r="BG52" s="1">
        <v>14</v>
      </c>
      <c r="BH52">
        <f t="shared" si="5"/>
        <v>0.44776751848294888</v>
      </c>
      <c r="BI52">
        <f t="shared" si="7"/>
        <v>0.10147312112739562</v>
      </c>
      <c r="BJ52">
        <f t="shared" si="6"/>
        <v>9.7661873271042449E-2</v>
      </c>
    </row>
    <row r="53" spans="1:64" ht="15.6" x14ac:dyDescent="0.35">
      <c r="A53" t="s">
        <v>317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61</v>
      </c>
      <c r="S53" t="s">
        <v>9</v>
      </c>
      <c r="T53" s="30">
        <f>N113</f>
        <v>467.82</v>
      </c>
      <c r="U53" s="30">
        <f>N114</f>
        <v>2304.5</v>
      </c>
      <c r="V53" s="30">
        <f>N115</f>
        <v>54476.4</v>
      </c>
      <c r="W53" s="30">
        <f>N116</f>
        <v>31332.37</v>
      </c>
      <c r="X53" s="30">
        <f>N117</f>
        <v>8003.07</v>
      </c>
      <c r="Z53" t="s">
        <v>36</v>
      </c>
      <c r="AA53" s="1">
        <f>N118</f>
        <v>96584.16</v>
      </c>
      <c r="AC53" t="s">
        <v>137</v>
      </c>
      <c r="AD53" s="51">
        <v>0.94816643159379399</v>
      </c>
      <c r="AE53" s="51">
        <v>0.95805029089341798</v>
      </c>
      <c r="AH53">
        <v>1094</v>
      </c>
      <c r="AI53">
        <v>1105</v>
      </c>
      <c r="BF53">
        <v>0.96247163184449491</v>
      </c>
      <c r="BG53" s="1">
        <v>15</v>
      </c>
      <c r="BH53">
        <f t="shared" si="5"/>
        <v>0.58945579784977842</v>
      </c>
      <c r="BI53">
        <f t="shared" si="7"/>
        <v>0.13358253358150615</v>
      </c>
      <c r="BJ53">
        <f t="shared" si="6"/>
        <v>0.12856939908211426</v>
      </c>
    </row>
    <row r="54" spans="1:64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318</v>
      </c>
      <c r="S54" t="s">
        <v>63</v>
      </c>
      <c r="T54" s="57">
        <f>$AA53*T46/100</f>
        <v>467.82</v>
      </c>
      <c r="U54" s="57">
        <f>$AA53*U46/100</f>
        <v>2627.5141237113403</v>
      </c>
      <c r="V54" s="57">
        <f>$AA53*V46/100</f>
        <v>54921.278830426403</v>
      </c>
      <c r="W54" s="57">
        <f>$AA53*W46/100</f>
        <v>29614.323957743138</v>
      </c>
      <c r="X54" s="57">
        <f>$AA53*X46/100</f>
        <v>8953.2230881191208</v>
      </c>
      <c r="Z54" t="s">
        <v>36</v>
      </c>
      <c r="AA54" s="25">
        <f>SUM(T54:X54)</f>
        <v>96584.16</v>
      </c>
      <c r="AC54" t="s">
        <v>138</v>
      </c>
      <c r="AD54" s="51">
        <v>0.95416078984485098</v>
      </c>
      <c r="AE54" s="51">
        <v>0.95712068607190204</v>
      </c>
      <c r="AH54">
        <v>1123</v>
      </c>
      <c r="AI54">
        <v>1134</v>
      </c>
      <c r="BF54">
        <v>0.96280063469449872</v>
      </c>
      <c r="BG54" s="1">
        <v>16</v>
      </c>
      <c r="BH54">
        <f t="shared" si="5"/>
        <v>0.74414274222016763</v>
      </c>
      <c r="BI54">
        <f t="shared" si="7"/>
        <v>0.16863770483667825</v>
      </c>
      <c r="BJ54">
        <f t="shared" si="6"/>
        <v>0.16236448925017735</v>
      </c>
    </row>
    <row r="55" spans="1:64" x14ac:dyDescent="0.3">
      <c r="A55" t="s">
        <v>3</v>
      </c>
      <c r="B55" s="13">
        <v>0</v>
      </c>
      <c r="C55" s="29">
        <f>(C44/$L55)*$O55</f>
        <v>0.51968143433856706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0.51968143433856706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451</v>
      </c>
      <c r="M55">
        <v>0</v>
      </c>
      <c r="N55" s="1">
        <v>501.93</v>
      </c>
      <c r="O55" s="17">
        <f>N55/N60*100</f>
        <v>0.51968143433856706</v>
      </c>
      <c r="P55" s="52">
        <f>((O55*O55*(I55/100)*(K55/100))/(L55-1))</f>
        <v>0</v>
      </c>
      <c r="R55" s="66"/>
      <c r="S55" s="66" t="s">
        <v>62</v>
      </c>
      <c r="T55" s="67">
        <f>$AA53*T47/100</f>
        <v>0</v>
      </c>
      <c r="U55" s="67">
        <f>$AA53*U47/100</f>
        <v>131.18846071772228</v>
      </c>
      <c r="V55" s="67">
        <f>$AA53*V47/100</f>
        <v>320.19735479766155</v>
      </c>
      <c r="W55" s="67">
        <f>$AA53*W47/100</f>
        <v>425.87073648260457</v>
      </c>
      <c r="X55" s="67">
        <f>$AA53*X47/100</f>
        <v>285.17663895975556</v>
      </c>
      <c r="AA55" s="1"/>
      <c r="AC55" t="s">
        <v>139</v>
      </c>
      <c r="AD55" s="51">
        <v>0.95204513399153701</v>
      </c>
      <c r="AE55" s="51">
        <v>0.964430110495614</v>
      </c>
      <c r="AH55">
        <v>1152</v>
      </c>
      <c r="AI55">
        <v>1163</v>
      </c>
      <c r="BF55">
        <v>0.96300600866662012</v>
      </c>
      <c r="BG55" s="1">
        <v>17</v>
      </c>
      <c r="BH55">
        <f t="shared" si="5"/>
        <v>0.91913552204621074</v>
      </c>
      <c r="BI55">
        <f t="shared" si="7"/>
        <v>0.20829458661289388</v>
      </c>
      <c r="BJ55">
        <f t="shared" si="6"/>
        <v>0.20058893848094653</v>
      </c>
    </row>
    <row r="56" spans="1:64" x14ac:dyDescent="0.3">
      <c r="A56" t="s">
        <v>4</v>
      </c>
      <c r="B56" s="13">
        <v>1</v>
      </c>
      <c r="C56" s="33">
        <f t="shared" ref="C56:G59" si="9">(C45/$L56)*$O56</f>
        <v>0</v>
      </c>
      <c r="D56" s="34">
        <f t="shared" si="9"/>
        <v>2.3415534864564247</v>
      </c>
      <c r="E56" s="19">
        <f t="shared" si="9"/>
        <v>0</v>
      </c>
      <c r="F56" s="18">
        <f t="shared" si="9"/>
        <v>0</v>
      </c>
      <c r="G56" s="20">
        <f t="shared" si="9"/>
        <v>0</v>
      </c>
      <c r="H56" s="17">
        <f>SUM(C56:G56)</f>
        <v>2.3415534864564247</v>
      </c>
      <c r="I56" s="17">
        <f>D56/H56*100</f>
        <v>100</v>
      </c>
      <c r="J56" s="17">
        <f>SQRT(I56*(100-I56)/(L56-1))</f>
        <v>0</v>
      </c>
      <c r="K56" s="18">
        <f>100-I56</f>
        <v>0</v>
      </c>
      <c r="L56" s="1">
        <f>H45</f>
        <v>57</v>
      </c>
      <c r="M56">
        <v>1</v>
      </c>
      <c r="N56" s="1">
        <v>2261.5700000000002</v>
      </c>
      <c r="O56" s="17">
        <f>N56/N60*100</f>
        <v>2.3415534864564247</v>
      </c>
      <c r="P56" s="52">
        <f>((O56*O56*(I56/100)*(K56/100))/(L56-1))</f>
        <v>0</v>
      </c>
      <c r="R56" t="s">
        <v>71</v>
      </c>
      <c r="S56" t="s">
        <v>28</v>
      </c>
      <c r="T56" s="57">
        <f t="shared" ref="T56:X59" si="10">C147</f>
        <v>0.49470844908730377</v>
      </c>
      <c r="U56" s="57">
        <f t="shared" si="10"/>
        <v>2.6034894355988141</v>
      </c>
      <c r="V56" s="57">
        <f t="shared" si="10"/>
        <v>58.178838142242832</v>
      </c>
      <c r="W56" s="57">
        <f t="shared" si="10"/>
        <v>30.35781985916536</v>
      </c>
      <c r="X56" s="57">
        <f t="shared" si="10"/>
        <v>8.3651441139056946</v>
      </c>
      <c r="Y56" s="13"/>
      <c r="Z56" s="74"/>
      <c r="AA56" s="12"/>
      <c r="AC56" t="s">
        <v>140</v>
      </c>
      <c r="AD56" s="51">
        <v>0.93617771509167802</v>
      </c>
      <c r="AE56" s="51">
        <v>0.95865969740680901</v>
      </c>
      <c r="AH56">
        <v>1181</v>
      </c>
      <c r="AI56">
        <v>1192</v>
      </c>
      <c r="BF56">
        <v>0.96465707962182579</v>
      </c>
      <c r="BG56" s="1">
        <v>18</v>
      </c>
      <c r="BH56">
        <f t="shared" si="5"/>
        <v>1.1281436452787641</v>
      </c>
      <c r="BI56">
        <f t="shared" si="7"/>
        <v>0.25566002901309814</v>
      </c>
      <c r="BJ56">
        <f t="shared" si="6"/>
        <v>0.24662425696380652</v>
      </c>
    </row>
    <row r="57" spans="1:64" x14ac:dyDescent="0.3">
      <c r="A57" t="s">
        <v>5</v>
      </c>
      <c r="B57" s="13">
        <v>2</v>
      </c>
      <c r="C57" s="33">
        <f t="shared" si="9"/>
        <v>0</v>
      </c>
      <c r="D57" s="19">
        <f t="shared" si="9"/>
        <v>0</v>
      </c>
      <c r="E57" s="34">
        <f t="shared" si="9"/>
        <v>56.200635564652011</v>
      </c>
      <c r="F57" s="19">
        <f t="shared" si="9"/>
        <v>0.69574376902595336</v>
      </c>
      <c r="G57" s="20">
        <f t="shared" si="9"/>
        <v>7.7304863225105921E-2</v>
      </c>
      <c r="H57" s="17">
        <f>SUM(C57:G57)</f>
        <v>56.973684196903072</v>
      </c>
      <c r="I57" s="17">
        <f>E57/H57*100</f>
        <v>98.643147896879242</v>
      </c>
      <c r="J57" s="17">
        <f>SQRT(I57*(100-I57)/(L57-1))</f>
        <v>0.42644282372358333</v>
      </c>
      <c r="K57" s="18">
        <f>100-I57</f>
        <v>1.3568521031207581</v>
      </c>
      <c r="L57" s="1">
        <f>H46</f>
        <v>737</v>
      </c>
      <c r="M57">
        <v>2</v>
      </c>
      <c r="N57" s="1">
        <v>55027.56</v>
      </c>
      <c r="O57" s="17">
        <f>N57/N60*100</f>
        <v>56.973684196903072</v>
      </c>
      <c r="P57" s="52">
        <f>((O57*O57*(I57/100)*(K57/100))/(L57-1))</f>
        <v>5.9029652791976132E-2</v>
      </c>
      <c r="S57" s="66" t="s">
        <v>39</v>
      </c>
      <c r="T57" s="67">
        <f t="shared" si="10"/>
        <v>0</v>
      </c>
      <c r="U57" s="67">
        <f t="shared" si="10"/>
        <v>0.12249210609327378</v>
      </c>
      <c r="V57" s="67">
        <f t="shared" si="10"/>
        <v>0.29954147072689419</v>
      </c>
      <c r="W57" s="67">
        <f t="shared" si="10"/>
        <v>0.4131441638975446</v>
      </c>
      <c r="X57" s="67">
        <f t="shared" si="10"/>
        <v>0.29663167961243531</v>
      </c>
      <c r="AC57" t="s">
        <v>141</v>
      </c>
      <c r="AD57" s="51">
        <v>0.94675599435825097</v>
      </c>
      <c r="AE57" s="51">
        <v>0.96069847645791195</v>
      </c>
      <c r="AH57">
        <v>1210</v>
      </c>
      <c r="AI57">
        <v>1221</v>
      </c>
      <c r="BF57">
        <v>0.96493666922546029</v>
      </c>
      <c r="BG57" s="27">
        <v>19</v>
      </c>
      <c r="BH57" s="84">
        <f t="shared" si="5"/>
        <v>1.4034126358514019</v>
      </c>
      <c r="BI57" s="84">
        <f>-3.562633*($BL$38)^5+5.682633*($BL$38)^4-1.752461*($BL$38)^3-0.293762*($BL$38)^2+0.042981*$BL$38+BH57*($BL$39^-0.5)</f>
        <v>0.32175145499838514</v>
      </c>
      <c r="BJ57">
        <f t="shared" si="6"/>
        <v>0.31046977730458736</v>
      </c>
    </row>
    <row r="58" spans="1:64" x14ac:dyDescent="0.3">
      <c r="A58" t="s">
        <v>6</v>
      </c>
      <c r="B58" s="13">
        <v>3</v>
      </c>
      <c r="C58" s="33">
        <f t="shared" si="9"/>
        <v>0</v>
      </c>
      <c r="D58" s="19">
        <f t="shared" si="9"/>
        <v>0.33828226033527214</v>
      </c>
      <c r="E58" s="19">
        <f t="shared" si="9"/>
        <v>0.90208602756072576</v>
      </c>
      <c r="F58" s="34">
        <f t="shared" si="9"/>
        <v>30.38902305345195</v>
      </c>
      <c r="G58" s="20">
        <f t="shared" si="9"/>
        <v>1.1839879111734526</v>
      </c>
      <c r="H58" s="17">
        <f>SUM(C58:G58)</f>
        <v>32.813379252521401</v>
      </c>
      <c r="I58" s="17">
        <f>F58/H58*100</f>
        <v>92.611683848797256</v>
      </c>
      <c r="J58" s="17">
        <f>SQRT(I58*(100-I58)/(L58-1))</f>
        <v>1.0852194266964788</v>
      </c>
      <c r="K58" s="18">
        <f>100-I58</f>
        <v>7.3883161512027442</v>
      </c>
      <c r="L58" s="1">
        <f>H47</f>
        <v>582</v>
      </c>
      <c r="M58">
        <v>3</v>
      </c>
      <c r="N58" s="1">
        <v>31692.53</v>
      </c>
      <c r="O58" s="17">
        <f>N58/N60*100</f>
        <v>32.813379252521401</v>
      </c>
      <c r="P58" s="52">
        <f>((O58*O58*(I58/100)*(K58/100))/(L58-1))</f>
        <v>0.12680519177848645</v>
      </c>
      <c r="S58" t="s">
        <v>30</v>
      </c>
      <c r="T58" s="57">
        <f t="shared" si="10"/>
        <v>100</v>
      </c>
      <c r="U58" s="57">
        <f t="shared" si="10"/>
        <v>89.433993585354784</v>
      </c>
      <c r="V58" s="57">
        <f t="shared" si="10"/>
        <v>97.827757460478537</v>
      </c>
      <c r="W58" s="57">
        <f t="shared" si="10"/>
        <v>96.232247076042739</v>
      </c>
      <c r="X58" s="57">
        <f t="shared" si="10"/>
        <v>81.970494953072119</v>
      </c>
      <c r="AC58" t="s">
        <v>142</v>
      </c>
      <c r="AD58" s="51">
        <v>0.94181946403384997</v>
      </c>
      <c r="AE58" s="51">
        <v>0.95911580964298204</v>
      </c>
      <c r="AH58">
        <v>1239</v>
      </c>
      <c r="AI58">
        <v>1250</v>
      </c>
      <c r="BF58">
        <v>0.96693272052345702</v>
      </c>
      <c r="BG58" s="27">
        <v>20</v>
      </c>
      <c r="BH58" s="84">
        <f t="shared" si="5"/>
        <v>1.8682416548639302</v>
      </c>
      <c r="BI58" s="84">
        <f>-2.70605*($BL$38)^5+4.4334685*($BL$38)^4-2.07119*($BL$38)^3-0.147981*($BL$38)^2+0.221157*$BL$38+BH58*($BL$39^-0.5)</f>
        <v>0.47336806621893501</v>
      </c>
      <c r="BJ58">
        <f t="shared" si="6"/>
        <v>0.45771507207800277</v>
      </c>
    </row>
    <row r="59" spans="1:64" x14ac:dyDescent="0.3">
      <c r="A59" t="s">
        <v>7</v>
      </c>
      <c r="B59" s="13">
        <v>4</v>
      </c>
      <c r="C59" s="35">
        <f t="shared" si="9"/>
        <v>0</v>
      </c>
      <c r="D59" s="36">
        <f t="shared" si="9"/>
        <v>0</v>
      </c>
      <c r="E59" s="21">
        <f t="shared" si="9"/>
        <v>0.14572252982716616</v>
      </c>
      <c r="F59" s="21">
        <f t="shared" si="9"/>
        <v>0.52460110737779819</v>
      </c>
      <c r="G59" s="37">
        <f t="shared" si="9"/>
        <v>6.6813779925755687</v>
      </c>
      <c r="H59" s="17">
        <f>SUM(C59:G59)</f>
        <v>7.3517016297805329</v>
      </c>
      <c r="I59" s="17">
        <f>G59/H59*100</f>
        <v>90.882061446977204</v>
      </c>
      <c r="J59" s="17">
        <f>SQRT(I59*(100-I59)/(L59-1))</f>
        <v>0.90668649961106429</v>
      </c>
      <c r="K59" s="18">
        <f>100-I59</f>
        <v>9.1179385530227961</v>
      </c>
      <c r="L59" s="1">
        <f>H48</f>
        <v>1009</v>
      </c>
      <c r="M59">
        <v>4</v>
      </c>
      <c r="N59" s="1">
        <v>7100.58</v>
      </c>
      <c r="O59" s="17">
        <f>N59/N60*100</f>
        <v>7.3517016297805329</v>
      </c>
      <c r="P59" s="52">
        <f>((O59*O59*(I59/100)*(K59/100))/(L59-1))</f>
        <v>4.4431404737345819E-3</v>
      </c>
      <c r="S59" s="66" t="s">
        <v>39</v>
      </c>
      <c r="T59" s="67">
        <f t="shared" si="10"/>
        <v>0</v>
      </c>
      <c r="U59" s="67">
        <f t="shared" si="10"/>
        <v>4.2114178388461374</v>
      </c>
      <c r="V59" s="67">
        <f t="shared" si="10"/>
        <v>0.41627516590538027</v>
      </c>
      <c r="W59" s="67">
        <f t="shared" si="10"/>
        <v>0.71944935916051755</v>
      </c>
      <c r="X59" s="67">
        <f t="shared" si="10"/>
        <v>3.3106254662313299</v>
      </c>
      <c r="AC59" t="s">
        <v>143</v>
      </c>
      <c r="AD59" s="51">
        <v>0.93899858956276405</v>
      </c>
      <c r="AE59" s="51">
        <v>0.95811168461594498</v>
      </c>
      <c r="AH59">
        <v>1268</v>
      </c>
      <c r="AI59">
        <v>1279</v>
      </c>
      <c r="BI59" t="s">
        <v>342</v>
      </c>
      <c r="BJ59">
        <f>SUM(BJ39:BJ58)</f>
        <v>1.596344150742568E-2</v>
      </c>
    </row>
    <row r="60" spans="1:64" x14ac:dyDescent="0.3">
      <c r="B60" t="s">
        <v>28</v>
      </c>
      <c r="C60" s="17">
        <f>SUM(C55:C59)</f>
        <v>0.51968143433856706</v>
      </c>
      <c r="D60" s="17">
        <f>SUM(D55:D59)</f>
        <v>2.6798357467916967</v>
      </c>
      <c r="E60" s="17">
        <f>SUM(E55:E59)</f>
        <v>57.248444122039906</v>
      </c>
      <c r="F60" s="17">
        <f>SUM(F55:F59)</f>
        <v>31.609367929855701</v>
      </c>
      <c r="G60" s="17">
        <f>SUM(G55:G59)</f>
        <v>7.9426707669741274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96584.17</v>
      </c>
      <c r="O60" s="17">
        <f>SUM(O55:O59)</f>
        <v>100</v>
      </c>
      <c r="S60" s="15" t="s">
        <v>31</v>
      </c>
      <c r="T60" s="71">
        <f>I142</f>
        <v>100</v>
      </c>
      <c r="U60" s="71">
        <f>I143</f>
        <v>100</v>
      </c>
      <c r="V60" s="71">
        <f>I144</f>
        <v>99.321573948439607</v>
      </c>
      <c r="W60" s="71">
        <f>I145</f>
        <v>91.237113402061851</v>
      </c>
      <c r="X60" s="71">
        <f>I146</f>
        <v>87.314172447968289</v>
      </c>
      <c r="AC60" t="s">
        <v>144</v>
      </c>
      <c r="AD60" s="51">
        <v>0.94887165021156505</v>
      </c>
      <c r="AE60" s="51">
        <v>0.963265192213274</v>
      </c>
      <c r="AH60">
        <v>1297</v>
      </c>
      <c r="AI60">
        <v>1308</v>
      </c>
    </row>
    <row r="61" spans="1:64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0</v>
      </c>
      <c r="D61" s="18">
        <f>SQRT(SUM((O55*O55*(D55/O55)*(1-D55/O55))/L55,(O56*O56*(D56/O56)*(1-D56/O56))/L56,(O57*O57*(D57/O57)*(1-D57/O57))/L57,(O58*O58*(D58/O58)*(1-D58/O58))/L58,(O59*O59*(D59/O59)*(1-D59/O59))/L59))</f>
        <v>0.13738943830566047</v>
      </c>
      <c r="E61" s="18">
        <f>SQRT(SUM((O55*O55*(E55/O55)*(1-E55/O55))/L55,(O56*O56*(E56/O56)*(1-E56/O56))/L56,(O57*O57*(E57/O57)*(1-E57/O57))/L57,(O58*O58*(E58/O58)*(1-E58/O58))/L58,(O59*O59*(E59/O59)*(1-E59/O59))/L59))</f>
        <v>0.33083531221402268</v>
      </c>
      <c r="F61" s="18">
        <f>SQRT(SUM((O55*O55*(F55/O55)*(1-F55/O55))/L55,(O56*O56*(F56/O56)*(1-F56/O56))/L56,(O57*O57*(F57/O57)*(1-F57/O57))/L57,(O58*O58*(F58/O58)*(1-F58/O58))/L58,(O59*O59*(F59/O59)*(1-F59/O59))/L59))</f>
        <v>0.42809397544246031</v>
      </c>
      <c r="G61" s="18">
        <f>SQRT(SUM((O55*O55*(G55/O55)*(1-G55/O55))/L55,(O56*O56*(G56/O56)*(1-G56/O56))/L56,(O57*O57*(G57/O57)*(1-G57/O57))/L57,(O58*O58*(G58/O58)*(1-G58/O58))/L58,(O59*O59*(G59/O59)*(1-G59/O59))/L59))</f>
        <v>0.27340760158722743</v>
      </c>
      <c r="H61" s="1"/>
      <c r="I61" s="14">
        <f>(C55+D56+E57+F58+G59)/H60</f>
        <v>0.96132271531474511</v>
      </c>
      <c r="J61" s="53">
        <f>SQRT(SUM(P55:P59))/100</f>
        <v>4.3620864852063311E-3</v>
      </c>
      <c r="M61" s="1"/>
      <c r="N61" s="9"/>
      <c r="S61" s="75" t="s">
        <v>39</v>
      </c>
      <c r="T61" s="76">
        <f>J142</f>
        <v>0</v>
      </c>
      <c r="U61" s="76">
        <f>J143</f>
        <v>0</v>
      </c>
      <c r="V61" s="76">
        <f>J144</f>
        <v>0.30257577035375421</v>
      </c>
      <c r="W61" s="76">
        <f>J145</f>
        <v>1.1730628945942423</v>
      </c>
      <c r="X61" s="76">
        <f>J146</f>
        <v>1.0482660165206859</v>
      </c>
      <c r="AC61" t="s">
        <v>145</v>
      </c>
      <c r="AD61" s="51">
        <v>0.95063469675599399</v>
      </c>
      <c r="AE61" s="51">
        <v>0.96319728090164103</v>
      </c>
      <c r="AH61">
        <v>1326</v>
      </c>
      <c r="AI61">
        <v>1337</v>
      </c>
      <c r="BF61" s="82" t="s">
        <v>330</v>
      </c>
      <c r="BG61" s="1">
        <v>0.05</v>
      </c>
      <c r="BH61" s="59" t="s">
        <v>331</v>
      </c>
      <c r="BI61" s="1">
        <v>100</v>
      </c>
      <c r="BJ61" s="59" t="s">
        <v>332</v>
      </c>
      <c r="BK61" s="1">
        <f>_xlfn.VAR.S(BF64:BF163)*(BI61-1)</f>
        <v>1.1898791102142973E-3</v>
      </c>
    </row>
    <row r="62" spans="1:64" x14ac:dyDescent="0.3">
      <c r="B62" s="1" t="s">
        <v>30</v>
      </c>
      <c r="C62" s="17">
        <f>C55/C60*100</f>
        <v>100</v>
      </c>
      <c r="D62" s="17">
        <f>D56/D60*100</f>
        <v>87.376753939480651</v>
      </c>
      <c r="E62" s="17">
        <f>E57/E60*100</f>
        <v>98.169716970553438</v>
      </c>
      <c r="F62" s="17">
        <f>F58/F60*100</f>
        <v>96.139293645125022</v>
      </c>
      <c r="G62" s="17">
        <f>G59/G60*100</f>
        <v>84.120042094114581</v>
      </c>
      <c r="H62" s="1"/>
      <c r="S62" s="66" t="s">
        <v>51</v>
      </c>
      <c r="T62" s="67">
        <f>N131*100</f>
        <v>100</v>
      </c>
      <c r="U62" s="67">
        <f>N132*100</f>
        <v>95.798319327731079</v>
      </c>
      <c r="V62" s="67">
        <f>N133*100</f>
        <v>96.953642384105947</v>
      </c>
      <c r="W62" s="67">
        <f>N134*100</f>
        <v>86.764705882352942</v>
      </c>
      <c r="X62" s="67">
        <f>N135*100</f>
        <v>91.91444966092854</v>
      </c>
      <c r="AC62" t="s">
        <v>146</v>
      </c>
      <c r="AD62" s="51">
        <v>0.95874471086036595</v>
      </c>
      <c r="AE62" s="51">
        <v>0.96578749521375196</v>
      </c>
      <c r="AH62">
        <v>1355</v>
      </c>
      <c r="AI62">
        <v>1366</v>
      </c>
    </row>
    <row r="63" spans="1:64" ht="15.6" x14ac:dyDescent="0.35">
      <c r="B63" s="16" t="s">
        <v>39</v>
      </c>
      <c r="C63" s="18">
        <f>SQRT((C66+C67)/(C60*C60))</f>
        <v>0</v>
      </c>
      <c r="D63" s="18">
        <f>SQRT((D66+D67)/(D60*D60))</f>
        <v>4.483472442577555</v>
      </c>
      <c r="E63" s="18">
        <f>SQRT((E66+E67)/(E60*E60))</f>
        <v>0.39343573797045778</v>
      </c>
      <c r="F63" s="18">
        <f>SQRT((F66+F67)/(F60*F60))</f>
        <v>0.84508133182299472</v>
      </c>
      <c r="G63" s="18">
        <f>SQRT((G66+G67)/(G60*G60))</f>
        <v>3.1106579706764883</v>
      </c>
      <c r="H63" s="1"/>
      <c r="I63" s="14"/>
      <c r="R63" s="16" t="s">
        <v>61</v>
      </c>
      <c r="S63" t="s">
        <v>9</v>
      </c>
      <c r="T63" s="30">
        <f>N142</f>
        <v>477.81</v>
      </c>
      <c r="U63" s="30">
        <f>N143</f>
        <v>2248.87</v>
      </c>
      <c r="V63" s="30">
        <f>N144</f>
        <v>55346.41</v>
      </c>
      <c r="W63" s="30">
        <f>N145</f>
        <v>30926.13</v>
      </c>
      <c r="X63" s="30">
        <f>N146</f>
        <v>7584.94</v>
      </c>
      <c r="Z63" t="s">
        <v>36</v>
      </c>
      <c r="AA63" s="1">
        <f>N147</f>
        <v>96584.16</v>
      </c>
      <c r="AC63" t="s">
        <v>147</v>
      </c>
      <c r="AD63" s="51">
        <v>0.95380818053596605</v>
      </c>
      <c r="AE63" s="51">
        <v>0.964530879393112</v>
      </c>
      <c r="AH63">
        <v>1384</v>
      </c>
      <c r="AI63">
        <v>1395</v>
      </c>
      <c r="BF63" s="12" t="s">
        <v>329</v>
      </c>
      <c r="BG63" s="13" t="s">
        <v>339</v>
      </c>
      <c r="BH63" s="13" t="s">
        <v>344</v>
      </c>
      <c r="BI63" s="13" t="s">
        <v>345</v>
      </c>
      <c r="BJ63" s="13" t="s">
        <v>346</v>
      </c>
      <c r="BK63" s="13" t="s">
        <v>340</v>
      </c>
      <c r="BL63">
        <f>1/(SQRT(BI61))</f>
        <v>0.1</v>
      </c>
    </row>
    <row r="64" spans="1:64" ht="15.6" x14ac:dyDescent="0.35">
      <c r="B64" s="1" t="s">
        <v>37</v>
      </c>
      <c r="C64" s="18">
        <f>100-C62</f>
        <v>0</v>
      </c>
      <c r="D64" s="18">
        <f>100-D62</f>
        <v>12.623246060519349</v>
      </c>
      <c r="E64" s="18">
        <f>100-E62</f>
        <v>1.8302830294465622</v>
      </c>
      <c r="F64" s="18">
        <f>100-F62</f>
        <v>3.8607063548749778</v>
      </c>
      <c r="G64" s="18">
        <f>100-G62</f>
        <v>15.879957905885419</v>
      </c>
      <c r="R64" s="16" t="s">
        <v>318</v>
      </c>
      <c r="S64" t="s">
        <v>63</v>
      </c>
      <c r="T64" s="57">
        <f>$AA63*T56/100</f>
        <v>477.81</v>
      </c>
      <c r="U64" s="57">
        <f>$AA63*U56/100</f>
        <v>2514.5584020618558</v>
      </c>
      <c r="V64" s="57">
        <f>$AA63*V56/100</f>
        <v>56191.542117444842</v>
      </c>
      <c r="W64" s="57">
        <f>$AA63*W56/100</f>
        <v>29320.845305288047</v>
      </c>
      <c r="X64" s="57">
        <f>$AA63*X56/100</f>
        <v>8079.404175205259</v>
      </c>
      <c r="Z64" t="s">
        <v>36</v>
      </c>
      <c r="AA64" s="25">
        <f>SUM(T64:X64)</f>
        <v>96584.16</v>
      </c>
      <c r="AC64" t="s">
        <v>148</v>
      </c>
      <c r="AD64" s="51">
        <v>0.937235543018335</v>
      </c>
      <c r="AE64" s="51">
        <v>0.96228424891255004</v>
      </c>
      <c r="AH64">
        <v>1413</v>
      </c>
      <c r="AI64">
        <v>1424</v>
      </c>
      <c r="BF64" s="51">
        <v>0.95171389662806027</v>
      </c>
      <c r="BG64" s="27">
        <v>1</v>
      </c>
      <c r="BH64" s="84">
        <f>_xlfn.NORM.S.INV((BG64-0.375)/($BI$61+0.25))</f>
        <v>-2.4985905609622558</v>
      </c>
      <c r="BI64" s="84">
        <f>-BI163</f>
        <v>-0.27283801696664034</v>
      </c>
      <c r="BJ64">
        <f>BI64*BF64</f>
        <v>-0.25966373227559408</v>
      </c>
      <c r="BK64" s="13" t="s">
        <v>335</v>
      </c>
      <c r="BL64">
        <f>SUMSQ(BH64:BH163)</f>
        <v>96.875018496226488</v>
      </c>
    </row>
    <row r="65" spans="1:65" ht="15.6" x14ac:dyDescent="0.35">
      <c r="B65" s="1" t="s">
        <v>25</v>
      </c>
      <c r="C65" s="1">
        <f>C49</f>
        <v>451</v>
      </c>
      <c r="D65" s="1">
        <f>D49</f>
        <v>63</v>
      </c>
      <c r="E65" s="1">
        <f>E49</f>
        <v>763</v>
      </c>
      <c r="F65" s="1">
        <f>F49</f>
        <v>620</v>
      </c>
      <c r="G65" s="1">
        <f>G49</f>
        <v>939</v>
      </c>
      <c r="R65" s="66"/>
      <c r="S65" s="66" t="s">
        <v>62</v>
      </c>
      <c r="T65" s="67">
        <f>$AA63*T57/100</f>
        <v>0</v>
      </c>
      <c r="U65" s="67">
        <f>$AA63*U57/100</f>
        <v>118.30797173649731</v>
      </c>
      <c r="V65" s="67">
        <f>$AA63*V57/100</f>
        <v>289.30961335321666</v>
      </c>
      <c r="W65" s="67">
        <f>$AA63*W57/100</f>
        <v>399.03182028946668</v>
      </c>
      <c r="X65" s="67">
        <f>$AA63*X57/100</f>
        <v>286.4992160475619</v>
      </c>
      <c r="AA65" s="1"/>
      <c r="AC65" t="s">
        <v>149</v>
      </c>
      <c r="AD65" s="51">
        <v>0.94605077574047902</v>
      </c>
      <c r="AE65" s="51">
        <v>0.95227197878256398</v>
      </c>
      <c r="AH65">
        <v>1442</v>
      </c>
      <c r="AI65">
        <v>1453</v>
      </c>
      <c r="BF65" s="51">
        <v>0.95178746721679797</v>
      </c>
      <c r="BG65" s="27">
        <v>2</v>
      </c>
      <c r="BH65" s="84">
        <f>_xlfn.NORM.S.INV((BG65-0.375)/($BI$61+0.25))</f>
        <v>-2.1392064429859778</v>
      </c>
      <c r="BI65" s="84">
        <f>-BI162</f>
        <v>-0.21748422717250435</v>
      </c>
      <c r="BJ65">
        <f t="shared" ref="BJ65:BJ128" si="11">BI65*BF65</f>
        <v>-0.20699876174012063</v>
      </c>
      <c r="BK65" s="74" t="s">
        <v>341</v>
      </c>
      <c r="BL65">
        <f>(BL64-2*(BH163^2)-2*(BH162^2))/(1-2*(BI163^2)-2*(BI162^2))</f>
        <v>99.451032420132819</v>
      </c>
    </row>
    <row r="66" spans="1:65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0</v>
      </c>
      <c r="E66" s="18">
        <f>(O57*O57*(100-E62)*(100-E62)*(I57)*(100-I57))/((L57-1)*100)</f>
        <v>19.774555705931391</v>
      </c>
      <c r="F66" s="18">
        <f>(O58*O58*(100-F62)*(100-F62)*(I58)*(100-I58))/((L58-1)*100)</f>
        <v>189.00381749633391</v>
      </c>
      <c r="G66" s="18">
        <f>(O59*O59*(100-G62)*(100-G62)*(I59)*(100-I59))/((L59-1)*100)</f>
        <v>112.0440343012768</v>
      </c>
      <c r="R66" t="s">
        <v>93</v>
      </c>
      <c r="S66" t="s">
        <v>28</v>
      </c>
      <c r="T66" s="57">
        <f>C176</f>
        <v>0.63777538677149548</v>
      </c>
      <c r="U66" s="57">
        <f t="shared" ref="U66:X69" si="12">D176</f>
        <v>2.7712802305872541</v>
      </c>
      <c r="V66" s="57">
        <f t="shared" si="12"/>
        <v>57.454515054007878</v>
      </c>
      <c r="W66" s="57">
        <f t="shared" si="12"/>
        <v>30.798759750623635</v>
      </c>
      <c r="X66" s="57">
        <f t="shared" si="12"/>
        <v>8.337669578009729</v>
      </c>
      <c r="Y66" s="13"/>
      <c r="Z66" s="74"/>
      <c r="AA66" s="12"/>
      <c r="AC66" t="s">
        <v>158</v>
      </c>
      <c r="AD66" s="51">
        <v>0.94111424541607902</v>
      </c>
      <c r="AE66" s="51">
        <v>0.95577861881789605</v>
      </c>
      <c r="AH66" s="78"/>
      <c r="BF66" s="51">
        <v>0.95227197878256398</v>
      </c>
      <c r="BG66" s="1">
        <v>3</v>
      </c>
      <c r="BH66">
        <f>_xlfn.NORM.S.INV((BG66-0.375)/($BI$61+0.25))</f>
        <v>-1.9400873318827652</v>
      </c>
      <c r="BI66">
        <f>BH66/SQRT($BL$65)</f>
        <v>-0.19454345832260236</v>
      </c>
      <c r="BJ66">
        <f t="shared" si="11"/>
        <v>-0.18525828401606781</v>
      </c>
      <c r="BK66" s="74" t="s">
        <v>333</v>
      </c>
      <c r="BL66" s="48">
        <f>CORREL(BF64:BF163,BI64:BI163)^2</f>
        <v>0.9596758969195065</v>
      </c>
      <c r="BM66" s="48">
        <f>(BJ164^2)/BK61</f>
        <v>0.95967589691946198</v>
      </c>
    </row>
    <row r="67" spans="1:65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144.35949740555358</v>
      </c>
      <c r="E67" s="18">
        <f>E62*E62*(SUM((H55*E55*(1-E44/H44))/(H44-1),(H56*E56*(1-E45/H45))/(H45-1), (H58*E58*(1-E47/H47))/(H47-1),(H59*E59*(1-E48/H48))/(H48-1)))</f>
        <v>487.53727422924737</v>
      </c>
      <c r="F67" s="18">
        <f>F62*F62*(SUM((H55*F55*(1-F44/H44))/(H44-1),(H56*F56*(1-F45/H45))/(H45-1), (H57*F57*(1-F46/H46))/(H46-1),(H59*F59*(1-F48/H48))/(H48-1)))</f>
        <v>524.55313077885819</v>
      </c>
      <c r="G67" s="18">
        <f>G62*G62*(SUM((H55*G55*(1-G44/H44))/(H44-1),(H56*G56*(1-G45/H45))/(H45-1), (H57*G57*(1-G46/H46))/(H46-1),(H58*G58*(1-G47/H47))/(H47-1)))</f>
        <v>498.38846096265803</v>
      </c>
      <c r="S67" s="66" t="s">
        <v>39</v>
      </c>
      <c r="T67" s="67">
        <f>C177</f>
        <v>0</v>
      </c>
      <c r="U67" s="67">
        <f t="shared" si="12"/>
        <v>0.13558575842610698</v>
      </c>
      <c r="V67" s="67">
        <f t="shared" si="12"/>
        <v>0.2754655128143923</v>
      </c>
      <c r="W67" s="67">
        <f t="shared" si="12"/>
        <v>0.39182062444290849</v>
      </c>
      <c r="X67" s="67">
        <f t="shared" si="12"/>
        <v>0.28138952677833906</v>
      </c>
      <c r="AC67" t="s">
        <v>159</v>
      </c>
      <c r="AD67" s="51">
        <v>0.94322990126939299</v>
      </c>
      <c r="AE67" s="51">
        <v>0.96168992339446902</v>
      </c>
      <c r="AI67" s="78"/>
      <c r="BF67" s="51">
        <v>0.95228300756376261</v>
      </c>
      <c r="BG67" s="1">
        <v>4</v>
      </c>
      <c r="BH67">
        <f t="shared" ref="BH67:BH130" si="13">_xlfn.NORM.S.INV((BG67-0.375)/($BI$61+0.25))</f>
        <v>-1.7971034256260587</v>
      </c>
      <c r="BI67">
        <f t="shared" ref="BI67:BI130" si="14">BH67/SQRT($BL$65)</f>
        <v>-0.18020565860063845</v>
      </c>
      <c r="BJ67">
        <f t="shared" si="11"/>
        <v>-0.17160678655222461</v>
      </c>
      <c r="BK67" s="74" t="s">
        <v>73</v>
      </c>
      <c r="BL67">
        <f>0.0038915*(LN(BI61)^3)-0.083751*(LN(BI61)^2)-0.31082*LN(BI61)-1.5861</f>
        <v>-4.4135743881998408</v>
      </c>
    </row>
    <row r="68" spans="1:65" x14ac:dyDescent="0.3">
      <c r="A68" s="105" t="s">
        <v>645</v>
      </c>
      <c r="B68" s="69" t="s">
        <v>9</v>
      </c>
      <c r="C68" s="1">
        <v>290.26</v>
      </c>
      <c r="D68" s="1">
        <v>2346.33</v>
      </c>
      <c r="E68" s="1">
        <v>16254.91</v>
      </c>
      <c r="F68">
        <v>2051.38</v>
      </c>
      <c r="G68">
        <v>1202.06</v>
      </c>
      <c r="I68" t="s">
        <v>36</v>
      </c>
      <c r="J68" s="57">
        <f>SUM(C68:G68)</f>
        <v>22144.940000000002</v>
      </c>
      <c r="S68" t="s">
        <v>30</v>
      </c>
      <c r="T68" s="57">
        <f>C178</f>
        <v>100</v>
      </c>
      <c r="U68" s="57">
        <f t="shared" si="12"/>
        <v>87.953538224421706</v>
      </c>
      <c r="V68" s="57">
        <f t="shared" si="12"/>
        <v>98.295620047576477</v>
      </c>
      <c r="W68" s="57">
        <f t="shared" si="12"/>
        <v>97.193617756972202</v>
      </c>
      <c r="X68" s="57">
        <f t="shared" si="12"/>
        <v>83.725948235375725</v>
      </c>
      <c r="AC68" t="s">
        <v>160</v>
      </c>
      <c r="AD68" s="51">
        <v>0.94922425952045097</v>
      </c>
      <c r="AE68" s="51">
        <v>0.96035779251152298</v>
      </c>
      <c r="AH68" s="2"/>
      <c r="AI68" s="2"/>
      <c r="BF68" s="51">
        <v>0.95266121363353096</v>
      </c>
      <c r="BG68" s="1">
        <v>5</v>
      </c>
      <c r="BH68">
        <f t="shared" si="13"/>
        <v>-1.68354659767802</v>
      </c>
      <c r="BI68">
        <f t="shared" si="14"/>
        <v>-0.16881867737453188</v>
      </c>
      <c r="BJ68">
        <f t="shared" si="11"/>
        <v>-0.16082700607162906</v>
      </c>
      <c r="BK68" s="74" t="s">
        <v>347</v>
      </c>
      <c r="BL68">
        <f>EXP(0.0030301*(LN(BI61)^2)-0.082676*LN(BI61)-0.4803)</f>
        <v>0.45077997247289642</v>
      </c>
    </row>
    <row r="69" spans="1:65" x14ac:dyDescent="0.3">
      <c r="B69" t="s">
        <v>367</v>
      </c>
      <c r="C69" s="57">
        <f>(C68/$J68)*100</f>
        <v>1.3107283198780397</v>
      </c>
      <c r="D69" s="57">
        <f>(D68/$J68)*100</f>
        <v>10.595332387443811</v>
      </c>
      <c r="E69" s="57">
        <f>(E68/$J68)*100</f>
        <v>73.402366409662875</v>
      </c>
      <c r="F69" s="57">
        <f>(F68/$J68)*100</f>
        <v>9.2634254145642281</v>
      </c>
      <c r="G69" s="57">
        <f>(G68/$J68)*100</f>
        <v>5.4281474684510309</v>
      </c>
      <c r="S69" s="66" t="s">
        <v>39</v>
      </c>
      <c r="T69" s="67">
        <f>C179</f>
        <v>0</v>
      </c>
      <c r="U69" s="67">
        <f t="shared" si="12"/>
        <v>4.3068562080909025</v>
      </c>
      <c r="V69" s="67">
        <f t="shared" si="12"/>
        <v>0.37204383642639471</v>
      </c>
      <c r="W69" s="67">
        <f t="shared" si="12"/>
        <v>0.61644206614071706</v>
      </c>
      <c r="X69" s="67">
        <f t="shared" si="12"/>
        <v>3.0588250153028551</v>
      </c>
      <c r="AC69" t="s">
        <v>161</v>
      </c>
      <c r="AD69" s="51">
        <v>0.95451339915373701</v>
      </c>
      <c r="AE69" s="51">
        <v>0.96397596989158196</v>
      </c>
      <c r="BF69" s="51">
        <v>0.95322555430434597</v>
      </c>
      <c r="BG69" s="1">
        <v>6</v>
      </c>
      <c r="BH69">
        <f t="shared" si="13"/>
        <v>-1.5882958682169486</v>
      </c>
      <c r="BI69">
        <f t="shared" si="14"/>
        <v>-0.15926735150760582</v>
      </c>
      <c r="BJ69">
        <f t="shared" si="11"/>
        <v>-0.15181770942342268</v>
      </c>
      <c r="BK69" s="74" t="s">
        <v>343</v>
      </c>
      <c r="BL69">
        <f>(LN(1-BL66)-BL67)/BL68</f>
        <v>2.6681941615866838</v>
      </c>
    </row>
    <row r="70" spans="1:65" x14ac:dyDescent="0.3">
      <c r="A70" s="348" t="s">
        <v>369</v>
      </c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 t="s">
        <v>56</v>
      </c>
      <c r="M70" s="348"/>
      <c r="N70" s="348"/>
      <c r="O70" s="348"/>
      <c r="P70" s="348"/>
      <c r="S70" s="15" t="s">
        <v>31</v>
      </c>
      <c r="T70" s="71">
        <f>I171</f>
        <v>100</v>
      </c>
      <c r="U70" s="71">
        <f>I172</f>
        <v>100</v>
      </c>
      <c r="V70" s="71">
        <f>I173</f>
        <v>99.321573948439621</v>
      </c>
      <c r="W70" s="71">
        <f>I174</f>
        <v>92.439862542955325</v>
      </c>
      <c r="X70" s="71">
        <f>I175</f>
        <v>90.882061446977204</v>
      </c>
      <c r="AC70" t="s">
        <v>162</v>
      </c>
      <c r="AD70" s="51">
        <v>0.94710860366713601</v>
      </c>
      <c r="AE70" s="51">
        <v>0.95667912860511595</v>
      </c>
      <c r="AH70" s="2"/>
      <c r="AI70" s="2"/>
      <c r="BF70" s="51">
        <v>0.95401257938855599</v>
      </c>
      <c r="BG70" s="1">
        <v>7</v>
      </c>
      <c r="BH70">
        <f t="shared" si="13"/>
        <v>-1.505601216304423</v>
      </c>
      <c r="BI70">
        <f t="shared" si="14"/>
        <v>-0.15097509409039248</v>
      </c>
      <c r="BJ70">
        <f t="shared" si="11"/>
        <v>-0.14403213893660527</v>
      </c>
      <c r="BK70" s="74" t="s">
        <v>334</v>
      </c>
      <c r="BL70">
        <f>1-NORMSDIST(BL69)</f>
        <v>3.8130086682621744E-3</v>
      </c>
    </row>
    <row r="71" spans="1:65" x14ac:dyDescent="0.3">
      <c r="A71" t="s">
        <v>315</v>
      </c>
      <c r="B71" t="s">
        <v>21</v>
      </c>
      <c r="I71" s="1" t="s">
        <v>53</v>
      </c>
      <c r="O71" s="350" t="s">
        <v>377</v>
      </c>
      <c r="P71" s="350"/>
      <c r="S71" s="75" t="s">
        <v>39</v>
      </c>
      <c r="T71" s="76">
        <f>J171</f>
        <v>0</v>
      </c>
      <c r="U71" s="76">
        <f>J172</f>
        <v>0</v>
      </c>
      <c r="V71" s="76">
        <f>J173</f>
        <v>0.30257577035375105</v>
      </c>
      <c r="W71" s="76">
        <f>J174</f>
        <v>1.0967469245051289</v>
      </c>
      <c r="X71" s="76">
        <f>J175</f>
        <v>0.90668649961106429</v>
      </c>
      <c r="AC71" t="s">
        <v>163</v>
      </c>
      <c r="AD71" s="51">
        <v>0.94746121297602204</v>
      </c>
      <c r="AE71" s="51">
        <v>0.96000984218871899</v>
      </c>
      <c r="BF71" s="51">
        <v>0.95425683358859703</v>
      </c>
      <c r="BG71" s="1">
        <v>8</v>
      </c>
      <c r="BH71">
        <f t="shared" si="13"/>
        <v>-1.43208428708654</v>
      </c>
      <c r="BI71">
        <f t="shared" si="14"/>
        <v>-0.14360313849835979</v>
      </c>
      <c r="BJ71">
        <f t="shared" si="11"/>
        <v>-0.13703427623682957</v>
      </c>
      <c r="BK71" s="13" t="s">
        <v>336</v>
      </c>
      <c r="BL71" s="13" t="str">
        <f>IF(GESTEP(BL70,BG61)=0,"YES","NO")</f>
        <v>YES</v>
      </c>
    </row>
    <row r="72" spans="1:65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51</v>
      </c>
      <c r="O72" s="13" t="s">
        <v>644</v>
      </c>
      <c r="P72" s="13" t="s">
        <v>633</v>
      </c>
      <c r="S72" s="66" t="s">
        <v>51</v>
      </c>
      <c r="T72" s="67">
        <f>N160*100</f>
        <v>100</v>
      </c>
      <c r="U72" s="67">
        <f>N161*100</f>
        <v>95</v>
      </c>
      <c r="V72" s="67">
        <f>N162*100</f>
        <v>97.405189620758478</v>
      </c>
      <c r="W72" s="67">
        <f>N163*100</f>
        <v>89.891395154553038</v>
      </c>
      <c r="X72" s="67">
        <f>N164*100</f>
        <v>94.051282051282058</v>
      </c>
      <c r="AC72" t="s">
        <v>154</v>
      </c>
      <c r="AD72" s="51">
        <v>0.95028208744710796</v>
      </c>
      <c r="AE72" s="51">
        <v>0.96251217154322399</v>
      </c>
      <c r="AH72" s="2"/>
      <c r="AI72" s="2"/>
      <c r="BF72" s="51">
        <v>0.95443011733957295</v>
      </c>
      <c r="BG72" s="1">
        <v>9</v>
      </c>
      <c r="BH72">
        <f t="shared" si="13"/>
        <v>-1.3655831908785105</v>
      </c>
      <c r="BI72">
        <f t="shared" si="14"/>
        <v>-0.13693469990492851</v>
      </c>
      <c r="BJ72">
        <f t="shared" si="11"/>
        <v>-0.13069460169812014</v>
      </c>
    </row>
    <row r="73" spans="1:65" x14ac:dyDescent="0.3">
      <c r="A73" t="s">
        <v>3</v>
      </c>
      <c r="B73" s="13">
        <v>0</v>
      </c>
      <c r="C73" s="26">
        <v>451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451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/>
      <c r="P73" s="1"/>
      <c r="R73" s="16" t="s">
        <v>61</v>
      </c>
      <c r="S73" t="s">
        <v>9</v>
      </c>
      <c r="T73" s="1">
        <f>N171</f>
        <v>615.99</v>
      </c>
      <c r="U73" s="1">
        <f>N172</f>
        <v>2354.1799999999998</v>
      </c>
      <c r="V73" s="1">
        <f>N173</f>
        <v>54918.75</v>
      </c>
      <c r="W73" s="1">
        <f>N174</f>
        <v>31276.46</v>
      </c>
      <c r="X73" s="1">
        <f>N175</f>
        <v>7418.78</v>
      </c>
      <c r="Z73" t="s">
        <v>36</v>
      </c>
      <c r="AA73" s="1">
        <f>N176</f>
        <v>96584.16</v>
      </c>
      <c r="AC73" t="s">
        <v>164</v>
      </c>
      <c r="AD73" s="51">
        <v>0.95451339915373701</v>
      </c>
      <c r="AE73" s="51">
        <v>0.95993623506252401</v>
      </c>
      <c r="BF73" s="51">
        <v>0.95551376824196999</v>
      </c>
      <c r="BG73" s="1">
        <v>10</v>
      </c>
      <c r="BH73">
        <f t="shared" si="13"/>
        <v>-1.3046268229653299</v>
      </c>
      <c r="BI73">
        <f t="shared" si="14"/>
        <v>-0.13082226237403305</v>
      </c>
      <c r="BJ73">
        <f t="shared" si="11"/>
        <v>-0.12500247289095201</v>
      </c>
    </row>
    <row r="74" spans="1:65" ht="15.6" x14ac:dyDescent="0.35">
      <c r="A74" t="s">
        <v>4</v>
      </c>
      <c r="B74" s="13">
        <v>1</v>
      </c>
      <c r="C74" s="5">
        <v>0</v>
      </c>
      <c r="D74" s="27">
        <v>57</v>
      </c>
      <c r="E74" s="1">
        <v>0</v>
      </c>
      <c r="F74" s="1">
        <v>0</v>
      </c>
      <c r="G74" s="6">
        <v>0</v>
      </c>
      <c r="H74" s="1">
        <f>SUM(C74:G74)</f>
        <v>57</v>
      </c>
      <c r="I74" s="10">
        <f>D74/H74</f>
        <v>1</v>
      </c>
      <c r="J74" s="11">
        <f>1-I74</f>
        <v>0</v>
      </c>
      <c r="K74">
        <f>H74-D78</f>
        <v>-7</v>
      </c>
      <c r="N74" s="10">
        <f>2*(D79*I74)/(D79+I74)</f>
        <v>0.94214876033057848</v>
      </c>
      <c r="O74" s="1"/>
      <c r="P74" s="1"/>
      <c r="R74" s="16" t="s">
        <v>318</v>
      </c>
      <c r="S74" t="s">
        <v>63</v>
      </c>
      <c r="T74" s="57">
        <f>$AA73*T66/100</f>
        <v>615.99000000000012</v>
      </c>
      <c r="U74" s="57">
        <f>$AA73*U66/100</f>
        <v>2676.6177319587628</v>
      </c>
      <c r="V74" s="57">
        <f>$AA73*V66/100</f>
        <v>55491.960746987061</v>
      </c>
      <c r="W74" s="57">
        <f>$AA73*W66/100</f>
        <v>29746.723395557936</v>
      </c>
      <c r="X74" s="57">
        <f>$AA73*X66/100</f>
        <v>8052.8681254962412</v>
      </c>
      <c r="Z74" t="s">
        <v>36</v>
      </c>
      <c r="AA74" s="25">
        <f>SUM(T74:X74)</f>
        <v>96584.16</v>
      </c>
      <c r="AC74" t="s">
        <v>165</v>
      </c>
      <c r="AD74" s="51">
        <v>0.96015514809590896</v>
      </c>
      <c r="AE74" s="51">
        <v>0.96279298561632098</v>
      </c>
      <c r="AH74" s="2"/>
      <c r="AI74" s="2"/>
      <c r="BF74" s="51">
        <v>0.95559407514262995</v>
      </c>
      <c r="BG74" s="1">
        <v>11</v>
      </c>
      <c r="BH74">
        <f t="shared" si="13"/>
        <v>-1.248166539458073</v>
      </c>
      <c r="BI74">
        <f t="shared" si="14"/>
        <v>-0.12516067249049057</v>
      </c>
      <c r="BJ74">
        <f t="shared" si="11"/>
        <v>-0.11960279707277995</v>
      </c>
    </row>
    <row r="75" spans="1:65" x14ac:dyDescent="0.3">
      <c r="A75" t="s">
        <v>5</v>
      </c>
      <c r="B75" s="13">
        <v>2</v>
      </c>
      <c r="C75" s="5">
        <v>0</v>
      </c>
      <c r="D75" s="1">
        <v>0</v>
      </c>
      <c r="E75" s="27">
        <v>732</v>
      </c>
      <c r="F75" s="1">
        <v>4</v>
      </c>
      <c r="G75" s="6">
        <v>1</v>
      </c>
      <c r="H75" s="1">
        <f>SUM(C75:G75)</f>
        <v>737</v>
      </c>
      <c r="I75" s="10">
        <f>E75/H75</f>
        <v>0.99321573948439623</v>
      </c>
      <c r="J75" s="11">
        <f>1-I75</f>
        <v>6.7842605156037683E-3</v>
      </c>
      <c r="K75">
        <f>H75-E78</f>
        <v>-32</v>
      </c>
      <c r="N75" s="10">
        <f>2*(E79*I75)/(E79+I75)</f>
        <v>0.97211155378486058</v>
      </c>
      <c r="O75" s="1"/>
      <c r="P75" s="1"/>
      <c r="R75" s="66"/>
      <c r="S75" s="66" t="s">
        <v>62</v>
      </c>
      <c r="T75" s="67">
        <f>$AA73*T67/100</f>
        <v>0</v>
      </c>
      <c r="U75" s="67">
        <f>$AA73*U67/100</f>
        <v>130.95436585548464</v>
      </c>
      <c r="V75" s="67">
        <f>$AA73*V67/100</f>
        <v>266.05605164147318</v>
      </c>
      <c r="W75" s="67">
        <f>$AA73*W67/100</f>
        <v>378.43665882493787</v>
      </c>
      <c r="X75" s="67">
        <f>$AA73*X67/100</f>
        <v>271.77771076683382</v>
      </c>
      <c r="AA75" s="1"/>
      <c r="AC75" t="s">
        <v>166</v>
      </c>
      <c r="AD75" s="51">
        <v>0.94710860366713601</v>
      </c>
      <c r="AE75" s="51">
        <v>0.95905676931654504</v>
      </c>
      <c r="BF75" s="51">
        <v>0.95577861881789605</v>
      </c>
      <c r="BG75" s="1">
        <v>12</v>
      </c>
      <c r="BH75">
        <f t="shared" si="13"/>
        <v>-1.1954271085021433</v>
      </c>
      <c r="BI75">
        <f t="shared" si="14"/>
        <v>-0.11987219340013142</v>
      </c>
      <c r="BJ75">
        <f t="shared" si="11"/>
        <v>-0.11457127944264932</v>
      </c>
    </row>
    <row r="76" spans="1:65" x14ac:dyDescent="0.3">
      <c r="A76" t="s">
        <v>6</v>
      </c>
      <c r="B76" s="13">
        <v>3</v>
      </c>
      <c r="C76" s="5">
        <v>0</v>
      </c>
      <c r="D76" s="1">
        <v>7</v>
      </c>
      <c r="E76" s="1">
        <v>18</v>
      </c>
      <c r="F76" s="27">
        <v>530</v>
      </c>
      <c r="G76" s="6">
        <v>27</v>
      </c>
      <c r="H76" s="1">
        <f>SUM(C76:G76)</f>
        <v>582</v>
      </c>
      <c r="I76" s="10">
        <f>F76/H76</f>
        <v>0.9106529209621993</v>
      </c>
      <c r="J76" s="11">
        <f>1-I76</f>
        <v>8.9347079037800703E-2</v>
      </c>
      <c r="K76">
        <f>H76-F78</f>
        <v>-48</v>
      </c>
      <c r="N76" s="10">
        <f>2*(F79*I76)/(F79+I76)</f>
        <v>0.87458745874587451</v>
      </c>
      <c r="O76" s="1"/>
      <c r="P76" s="1"/>
      <c r="R76" t="s">
        <v>94</v>
      </c>
      <c r="S76" t="s">
        <v>28</v>
      </c>
      <c r="T76" s="57">
        <f>C205</f>
        <v>0.47430137612627166</v>
      </c>
      <c r="U76" s="57">
        <f t="shared" ref="U76:X79" si="15">D205</f>
        <v>2.6637655150857147</v>
      </c>
      <c r="V76" s="57">
        <f t="shared" si="15"/>
        <v>57.998512266450746</v>
      </c>
      <c r="W76" s="57">
        <f t="shared" si="15"/>
        <v>29.80651630838873</v>
      </c>
      <c r="X76" s="57">
        <f t="shared" si="15"/>
        <v>9.0569045339485541</v>
      </c>
      <c r="AC76" t="s">
        <v>167</v>
      </c>
      <c r="AD76" s="51">
        <v>0.94816643159379399</v>
      </c>
      <c r="AE76" s="51">
        <v>0.95936869473525999</v>
      </c>
      <c r="AH76" s="78"/>
      <c r="AI76" s="78"/>
      <c r="BF76" s="51">
        <v>0.95603621067756095</v>
      </c>
      <c r="BG76" s="1">
        <v>13</v>
      </c>
      <c r="BH76">
        <f t="shared" si="13"/>
        <v>-1.1458183419972177</v>
      </c>
      <c r="BI76">
        <f t="shared" si="14"/>
        <v>-0.11489764362580719</v>
      </c>
      <c r="BJ76">
        <f t="shared" si="11"/>
        <v>-0.10984630782779752</v>
      </c>
    </row>
    <row r="77" spans="1:65" x14ac:dyDescent="0.3">
      <c r="A77" t="s">
        <v>7</v>
      </c>
      <c r="B77" s="13">
        <v>4</v>
      </c>
      <c r="C77" s="7">
        <v>0</v>
      </c>
      <c r="D77" s="8">
        <v>0</v>
      </c>
      <c r="E77" s="8">
        <v>19</v>
      </c>
      <c r="F77" s="8">
        <v>96</v>
      </c>
      <c r="G77" s="28">
        <v>894</v>
      </c>
      <c r="H77" s="1">
        <f>SUM(C77:G77)</f>
        <v>1009</v>
      </c>
      <c r="I77" s="10">
        <f>G77/H77</f>
        <v>0.88602576808721512</v>
      </c>
      <c r="J77" s="11">
        <f>1-I77</f>
        <v>0.11397423191278488</v>
      </c>
      <c r="K77">
        <f>H77-G78</f>
        <v>87</v>
      </c>
      <c r="N77" s="10">
        <f>2*(G79*I77)/(G79+I77)</f>
        <v>0.92594510616261005</v>
      </c>
      <c r="O77" s="1"/>
      <c r="P77" s="1"/>
      <c r="S77" s="66" t="s">
        <v>39</v>
      </c>
      <c r="T77" s="67">
        <f>C206</f>
        <v>0</v>
      </c>
      <c r="U77" s="67">
        <f t="shared" si="15"/>
        <v>0.13939364162431075</v>
      </c>
      <c r="V77" s="67">
        <f t="shared" si="15"/>
        <v>0.2642680469712731</v>
      </c>
      <c r="W77" s="67">
        <f t="shared" si="15"/>
        <v>0.40852514695260567</v>
      </c>
      <c r="X77" s="67">
        <f t="shared" si="15"/>
        <v>0.3213187789967919</v>
      </c>
      <c r="AC77" t="s">
        <v>168</v>
      </c>
      <c r="AD77" s="51">
        <v>0.95451339915373701</v>
      </c>
      <c r="AE77" s="51">
        <v>0.96413961972490902</v>
      </c>
      <c r="BF77" s="51">
        <v>0.95613232491115996</v>
      </c>
      <c r="BG77" s="1">
        <v>14</v>
      </c>
      <c r="BH77">
        <f t="shared" si="13"/>
        <v>-1.0988799140705434</v>
      </c>
      <c r="BI77">
        <f t="shared" si="14"/>
        <v>-0.11019086370563748</v>
      </c>
      <c r="BJ77">
        <f t="shared" si="11"/>
        <v>-0.10535704669883991</v>
      </c>
    </row>
    <row r="78" spans="1:65" ht="15.6" x14ac:dyDescent="0.35">
      <c r="B78" s="1" t="s">
        <v>19</v>
      </c>
      <c r="C78" s="1">
        <f>SUM(C73:C77)</f>
        <v>451</v>
      </c>
      <c r="D78" s="1">
        <f>SUM(D73:D77)</f>
        <v>64</v>
      </c>
      <c r="E78" s="1">
        <f>SUM(E73:E77)</f>
        <v>769</v>
      </c>
      <c r="F78" s="1">
        <f>SUM(F73:F77)</f>
        <v>630</v>
      </c>
      <c r="G78" s="1">
        <f>SUM(G73:G77)</f>
        <v>922</v>
      </c>
      <c r="H78" s="1">
        <f>SUM(H72:H77)</f>
        <v>2836</v>
      </c>
      <c r="I78" s="13" t="s">
        <v>12</v>
      </c>
      <c r="N78" s="16" t="s">
        <v>36</v>
      </c>
      <c r="O78" s="1">
        <f>SUM(O73:O77)</f>
        <v>0</v>
      </c>
      <c r="P78" s="1">
        <f>SUM(P73:P77)</f>
        <v>0</v>
      </c>
      <c r="S78" s="70" t="s">
        <v>30</v>
      </c>
      <c r="T78" s="64">
        <f>C207</f>
        <v>100</v>
      </c>
      <c r="U78" s="64">
        <f t="shared" si="15"/>
        <v>87.695201560983733</v>
      </c>
      <c r="V78" s="64">
        <f t="shared" si="15"/>
        <v>98.13050959529599</v>
      </c>
      <c r="W78" s="64">
        <f t="shared" si="15"/>
        <v>96.586992010685208</v>
      </c>
      <c r="X78" s="64">
        <f t="shared" si="15"/>
        <v>79.842431773035372</v>
      </c>
      <c r="AC78" t="s">
        <v>169</v>
      </c>
      <c r="AD78" s="51">
        <v>0.94111424541607902</v>
      </c>
      <c r="AE78" s="51">
        <v>0.95559407514262995</v>
      </c>
      <c r="AH78" s="78"/>
      <c r="AI78" s="78"/>
      <c r="BF78" s="51">
        <v>0.95667912860511595</v>
      </c>
      <c r="BG78" s="1">
        <v>15</v>
      </c>
      <c r="BH78">
        <f t="shared" si="13"/>
        <v>-1.0542454124924514</v>
      </c>
      <c r="BI78">
        <f t="shared" si="14"/>
        <v>-0.10571511142644452</v>
      </c>
      <c r="BJ78">
        <f t="shared" si="11"/>
        <v>-0.10113544067984367</v>
      </c>
    </row>
    <row r="79" spans="1:65" x14ac:dyDescent="0.3">
      <c r="A79" s="1" t="s">
        <v>316</v>
      </c>
      <c r="B79" s="1" t="s">
        <v>2</v>
      </c>
      <c r="C79" s="10">
        <f>C73/C78</f>
        <v>1</v>
      </c>
      <c r="D79" s="10">
        <f>D74/D78</f>
        <v>0.890625</v>
      </c>
      <c r="E79" s="10">
        <f>E75/E78</f>
        <v>0.95188556566970095</v>
      </c>
      <c r="F79" s="10">
        <f>F76/F78</f>
        <v>0.84126984126984128</v>
      </c>
      <c r="G79" s="10">
        <f>G77/G78</f>
        <v>0.96963123644251625</v>
      </c>
      <c r="H79" s="10"/>
      <c r="I79" s="14">
        <f>(C73+D74+E75+F76+G77)/H78</f>
        <v>0.93935119887165019</v>
      </c>
      <c r="S79" s="66" t="s">
        <v>39</v>
      </c>
      <c r="T79" s="67">
        <f>C208</f>
        <v>0</v>
      </c>
      <c r="U79" s="67">
        <f t="shared" si="15"/>
        <v>4.7908856431767441</v>
      </c>
      <c r="V79" s="67">
        <f t="shared" si="15"/>
        <v>0.38820111224564585</v>
      </c>
      <c r="W79" s="67">
        <f t="shared" si="15"/>
        <v>0.62231358835877904</v>
      </c>
      <c r="X79" s="67">
        <f t="shared" si="15"/>
        <v>3.3108185629644158</v>
      </c>
      <c r="AC79" t="s">
        <v>170</v>
      </c>
      <c r="AD79" s="51">
        <v>0.94992947813822204</v>
      </c>
      <c r="AE79" s="51">
        <v>0.96263607942289298</v>
      </c>
      <c r="BF79" s="51">
        <v>0.95712068607190204</v>
      </c>
      <c r="BG79" s="1">
        <v>16</v>
      </c>
      <c r="BH79">
        <f t="shared" si="13"/>
        <v>-1.0116180790824523</v>
      </c>
      <c r="BI79">
        <f t="shared" si="14"/>
        <v>-0.10144062917795522</v>
      </c>
      <c r="BJ79">
        <f t="shared" si="11"/>
        <v>-9.709092459436991E-2</v>
      </c>
    </row>
    <row r="80" spans="1:65" x14ac:dyDescent="0.3">
      <c r="B80" s="1" t="s">
        <v>14</v>
      </c>
      <c r="C80" s="11">
        <f>1-C79</f>
        <v>0</v>
      </c>
      <c r="D80" s="11">
        <f>1-D79</f>
        <v>0.109375</v>
      </c>
      <c r="E80" s="11">
        <f>1-E79</f>
        <v>4.811443433029905E-2</v>
      </c>
      <c r="F80" s="11">
        <f>1-F79</f>
        <v>0.15873015873015872</v>
      </c>
      <c r="G80" s="11">
        <f>1-G79</f>
        <v>3.0368763557483747E-2</v>
      </c>
      <c r="S80" s="70" t="s">
        <v>31</v>
      </c>
      <c r="T80" s="64">
        <f>I200</f>
        <v>100</v>
      </c>
      <c r="U80" s="64">
        <f>I201</f>
        <v>98.245614035087712</v>
      </c>
      <c r="V80" s="64">
        <f>I202</f>
        <v>99.592944369063773</v>
      </c>
      <c r="W80" s="64">
        <f>I203</f>
        <v>90.549828178694156</v>
      </c>
      <c r="X80" s="64">
        <f>I204</f>
        <v>88.107036669970256</v>
      </c>
      <c r="AC80" t="s">
        <v>171</v>
      </c>
      <c r="AD80" s="51">
        <v>0.95451339915373701</v>
      </c>
      <c r="AE80" s="51">
        <v>0.95882468603031601</v>
      </c>
      <c r="AH80" s="78"/>
      <c r="AI80" s="78"/>
      <c r="AJ80" s="348" t="s">
        <v>370</v>
      </c>
      <c r="AK80" s="348"/>
      <c r="AL80" s="348"/>
      <c r="AM80" s="348"/>
      <c r="AN80" s="348"/>
      <c r="AO80" s="348"/>
      <c r="AP80" s="348"/>
      <c r="AQ80" s="348"/>
      <c r="AR80" s="348"/>
      <c r="AS80" s="348"/>
      <c r="AT80" s="348"/>
      <c r="AU80" s="348" t="s">
        <v>351</v>
      </c>
      <c r="AV80" s="348"/>
      <c r="AW80" s="348"/>
      <c r="AX80" s="348"/>
      <c r="AY80" s="348"/>
      <c r="BF80" s="51">
        <v>0.95745001907164862</v>
      </c>
      <c r="BG80" s="1">
        <v>17</v>
      </c>
      <c r="BH80">
        <f t="shared" si="13"/>
        <v>-0.97075394243172186</v>
      </c>
      <c r="BI80">
        <f t="shared" si="14"/>
        <v>-9.7342952576105798E-2</v>
      </c>
      <c r="BJ80">
        <f t="shared" si="11"/>
        <v>-9.3201011800483083E-2</v>
      </c>
    </row>
    <row r="81" spans="1:62" x14ac:dyDescent="0.3">
      <c r="C81" s="2"/>
      <c r="S81" s="66" t="s">
        <v>39</v>
      </c>
      <c r="T81" s="67">
        <f>J200</f>
        <v>0</v>
      </c>
      <c r="U81" s="67">
        <f>J201</f>
        <v>1.7543859649122842</v>
      </c>
      <c r="V81" s="67">
        <f>J202</f>
        <v>0.2346941488143626</v>
      </c>
      <c r="W81" s="67">
        <f>J203</f>
        <v>1.2136000942547684</v>
      </c>
      <c r="X81" s="67">
        <f>J204</f>
        <v>1.0195770969283762</v>
      </c>
      <c r="AC81" t="s">
        <v>172</v>
      </c>
      <c r="AD81" s="51">
        <v>0.95098730606488002</v>
      </c>
      <c r="AE81" s="51">
        <v>0.96067310371410097</v>
      </c>
      <c r="AJ81" t="s">
        <v>315</v>
      </c>
      <c r="AK81" t="s">
        <v>21</v>
      </c>
      <c r="AR81" s="1" t="s">
        <v>53</v>
      </c>
      <c r="BF81" s="51">
        <v>0.95772528967437598</v>
      </c>
      <c r="BG81" s="1">
        <v>18</v>
      </c>
      <c r="BH81">
        <f t="shared" si="13"/>
        <v>-0.93144978630264041</v>
      </c>
      <c r="BI81">
        <f t="shared" si="14"/>
        <v>-9.3401703986856682E-2</v>
      </c>
      <c r="BJ81">
        <f t="shared" si="11"/>
        <v>-8.9453174006892636E-2</v>
      </c>
    </row>
    <row r="82" spans="1:62" ht="15.6" x14ac:dyDescent="0.35">
      <c r="A82" t="s">
        <v>317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51</v>
      </c>
      <c r="T82" s="65">
        <f>N189*100</f>
        <v>100</v>
      </c>
      <c r="U82" s="65">
        <f>N190*100</f>
        <v>94.117647058823522</v>
      </c>
      <c r="V82" s="65">
        <f>N191*100</f>
        <v>97.67132401862942</v>
      </c>
      <c r="W82" s="65">
        <f>N192*100</f>
        <v>86.606409202958105</v>
      </c>
      <c r="X82" s="65">
        <f>N193*100</f>
        <v>92.076644225789735</v>
      </c>
      <c r="Z82" s="46"/>
      <c r="AA82" s="46"/>
      <c r="AC82" t="s">
        <v>173</v>
      </c>
      <c r="AD82" s="51">
        <v>0.95909732016925198</v>
      </c>
      <c r="AE82" s="51">
        <v>0.96794314237361101</v>
      </c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51</v>
      </c>
      <c r="BF82" s="51">
        <v>0.95780173096051602</v>
      </c>
      <c r="BG82" s="1">
        <v>19</v>
      </c>
      <c r="BH82">
        <f t="shared" si="13"/>
        <v>-0.89353437460601337</v>
      </c>
      <c r="BI82">
        <f t="shared" si="14"/>
        <v>-8.9599712605350768E-2</v>
      </c>
      <c r="BJ82">
        <f t="shared" si="11"/>
        <v>-8.5818759826969737E-2</v>
      </c>
    </row>
    <row r="83" spans="1:62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61</v>
      </c>
      <c r="S83" t="s">
        <v>9</v>
      </c>
      <c r="T83" s="30">
        <f>N200</f>
        <v>458.1</v>
      </c>
      <c r="U83" s="30">
        <f>N201</f>
        <v>2296.4899999999998</v>
      </c>
      <c r="V83" s="30">
        <f>N202</f>
        <v>55194.81</v>
      </c>
      <c r="W83" s="30">
        <f>N203</f>
        <v>30707.759999999998</v>
      </c>
      <c r="X83" s="30">
        <f>N204</f>
        <v>7927</v>
      </c>
      <c r="Z83" t="s">
        <v>36</v>
      </c>
      <c r="AA83" s="1">
        <f>N205</f>
        <v>96584.159999999989</v>
      </c>
      <c r="AC83" t="s">
        <v>174</v>
      </c>
      <c r="AD83" s="51">
        <v>0.95416078984485098</v>
      </c>
      <c r="AE83" s="51">
        <v>0.96027030000013203</v>
      </c>
      <c r="AJ83" t="s">
        <v>3</v>
      </c>
      <c r="AK83" s="13">
        <v>0</v>
      </c>
      <c r="AL83" s="26">
        <v>451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451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  <c r="BF83" s="120">
        <v>0.95805029089341798</v>
      </c>
      <c r="BG83" s="1">
        <v>20</v>
      </c>
      <c r="BH83">
        <f t="shared" si="13"/>
        <v>-0.8568619257010005</v>
      </c>
      <c r="BI83">
        <f t="shared" si="14"/>
        <v>-8.5922360087298644E-2</v>
      </c>
      <c r="BJ83">
        <f t="shared" si="11"/>
        <v>-8.231794207588547E-2</v>
      </c>
    </row>
    <row r="84" spans="1:62" ht="15.6" x14ac:dyDescent="0.35">
      <c r="A84" t="s">
        <v>3</v>
      </c>
      <c r="B84" s="13">
        <v>0</v>
      </c>
      <c r="C84" s="29">
        <f>(C73/$L84)*$O84</f>
        <v>0.47224099686739524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0.47224099686739524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451</v>
      </c>
      <c r="M84">
        <v>0</v>
      </c>
      <c r="N84" s="1">
        <v>456.11</v>
      </c>
      <c r="O84" s="17">
        <f>N84/N89*100</f>
        <v>0.47224099686739524</v>
      </c>
      <c r="P84" s="52">
        <f>((O84*O84*(I84/100)*(K84/100))/(L84-1))</f>
        <v>0</v>
      </c>
      <c r="R84" s="16" t="s">
        <v>318</v>
      </c>
      <c r="S84" t="s">
        <v>63</v>
      </c>
      <c r="T84" s="57">
        <f>$AA83*T76/100</f>
        <v>458.1</v>
      </c>
      <c r="U84" s="57">
        <f>$AA83*U76/100</f>
        <v>2572.7755471152104</v>
      </c>
      <c r="V84" s="57">
        <f>$AA83*V76/100</f>
        <v>56017.375885048408</v>
      </c>
      <c r="W84" s="57">
        <f>$AA83*W76/100</f>
        <v>28788.373401720262</v>
      </c>
      <c r="X84" s="57">
        <f>$AA83*X76/100</f>
        <v>8747.5351661161258</v>
      </c>
      <c r="Z84" t="s">
        <v>36</v>
      </c>
      <c r="AA84" s="25">
        <f>SUM(T84:X84)</f>
        <v>96584.16</v>
      </c>
      <c r="AC84" t="s">
        <v>175</v>
      </c>
      <c r="AD84" s="51">
        <v>0.94040902679830696</v>
      </c>
      <c r="AE84" s="51">
        <v>0.95613232491115996</v>
      </c>
      <c r="AH84" s="78"/>
      <c r="AI84" s="78"/>
      <c r="AJ84" t="s">
        <v>4</v>
      </c>
      <c r="AK84" s="13">
        <v>1</v>
      </c>
      <c r="AL84" s="5">
        <v>0</v>
      </c>
      <c r="AM84" s="27">
        <v>57</v>
      </c>
      <c r="AN84" s="1">
        <v>0</v>
      </c>
      <c r="AO84" s="1">
        <v>0</v>
      </c>
      <c r="AP84" s="6">
        <v>0</v>
      </c>
      <c r="AQ84" s="1">
        <f>SUM(AL84:AP84)</f>
        <v>57</v>
      </c>
      <c r="AR84" s="10">
        <f>AM84/AQ84</f>
        <v>1</v>
      </c>
      <c r="AS84" s="11">
        <f>1-AR84</f>
        <v>0</v>
      </c>
      <c r="AT84">
        <f>AQ84-AM88</f>
        <v>-6</v>
      </c>
      <c r="AW84" s="10">
        <f>2*(AM89*AR84)/(AM89+AR84)</f>
        <v>0.95000000000000007</v>
      </c>
      <c r="BF84" s="51">
        <v>0.95808115205987299</v>
      </c>
      <c r="BG84" s="1">
        <v>21</v>
      </c>
      <c r="BH84">
        <f t="shared" si="13"/>
        <v>-0.82130717520561125</v>
      </c>
      <c r="BI84">
        <f t="shared" si="14"/>
        <v>-8.2357085469244348E-2</v>
      </c>
      <c r="BJ84">
        <f t="shared" si="11"/>
        <v>-7.8904771326667053E-2</v>
      </c>
    </row>
    <row r="85" spans="1:62" x14ac:dyDescent="0.3">
      <c r="A85" t="s">
        <v>4</v>
      </c>
      <c r="B85" s="13">
        <v>1</v>
      </c>
      <c r="C85" s="33">
        <f t="shared" ref="C85:G88" si="16">(C74/$L85)*$O85</f>
        <v>0</v>
      </c>
      <c r="D85" s="34">
        <f t="shared" si="16"/>
        <v>2.378081457663451</v>
      </c>
      <c r="E85" s="19">
        <f t="shared" si="16"/>
        <v>0</v>
      </c>
      <c r="F85" s="18">
        <f t="shared" si="16"/>
        <v>0</v>
      </c>
      <c r="G85" s="20">
        <f t="shared" si="16"/>
        <v>0</v>
      </c>
      <c r="H85" s="17">
        <f>SUM(C85:G85)</f>
        <v>2.378081457663451</v>
      </c>
      <c r="I85" s="17">
        <f>D85/H85*100</f>
        <v>100</v>
      </c>
      <c r="J85" s="17">
        <f>SQRT(I85*(100-I85)/(L85-1))</f>
        <v>0</v>
      </c>
      <c r="K85" s="18">
        <f>100-I85</f>
        <v>0</v>
      </c>
      <c r="L85" s="1">
        <f>H74</f>
        <v>57</v>
      </c>
      <c r="M85">
        <v>1</v>
      </c>
      <c r="N85" s="1">
        <v>2296.85</v>
      </c>
      <c r="O85" s="17">
        <f>N85/N89*100</f>
        <v>2.378081457663451</v>
      </c>
      <c r="P85" s="52">
        <f>((O85*O85*(I85/100)*(K85/100))/(L85-1))</f>
        <v>0</v>
      </c>
      <c r="R85" s="66"/>
      <c r="S85" s="66" t="s">
        <v>62</v>
      </c>
      <c r="T85" s="67">
        <f>$AA83*T77/100</f>
        <v>0</v>
      </c>
      <c r="U85" s="67">
        <f>$AA83*U77/100</f>
        <v>134.63217785625091</v>
      </c>
      <c r="V85" s="67">
        <f>$AA83*V77/100</f>
        <v>255.24107331560953</v>
      </c>
      <c r="W85" s="67">
        <f>$AA83*W77/100</f>
        <v>394.57058157293972</v>
      </c>
      <c r="X85" s="67">
        <f>$AA83*X77/100</f>
        <v>310.34304361630785</v>
      </c>
      <c r="AA85" s="1"/>
      <c r="AC85" t="s">
        <v>176</v>
      </c>
      <c r="AD85" s="51">
        <v>0.93935119887164997</v>
      </c>
      <c r="AE85" s="51">
        <v>0.95772528967437598</v>
      </c>
      <c r="AJ85" t="s">
        <v>5</v>
      </c>
      <c r="AK85" s="13">
        <v>2</v>
      </c>
      <c r="AL85" s="5">
        <v>0</v>
      </c>
      <c r="AM85" s="1">
        <v>0</v>
      </c>
      <c r="AN85" s="27">
        <v>734</v>
      </c>
      <c r="AO85" s="1">
        <v>2</v>
      </c>
      <c r="AP85" s="6">
        <v>1</v>
      </c>
      <c r="AQ85" s="1">
        <f>SUM(AL85:AP85)</f>
        <v>737</v>
      </c>
      <c r="AR85" s="10">
        <f>AN85/AQ85</f>
        <v>0.99592944369063774</v>
      </c>
      <c r="AS85" s="11">
        <f>1-AR85</f>
        <v>4.070556309362261E-3</v>
      </c>
      <c r="AT85">
        <f>AQ85-AN88</f>
        <v>-33</v>
      </c>
      <c r="AW85" s="10">
        <f>2*(AN89*AR85)/(AN89+AR85)</f>
        <v>0.97412076974120765</v>
      </c>
      <c r="BF85" s="51">
        <v>0.95808746664442102</v>
      </c>
      <c r="BG85" s="1">
        <v>22</v>
      </c>
      <c r="BH85">
        <f t="shared" si="13"/>
        <v>-0.78676158292306686</v>
      </c>
      <c r="BI85">
        <f t="shared" si="14"/>
        <v>-7.889300481575813E-2</v>
      </c>
      <c r="BJ85">
        <f t="shared" si="11"/>
        <v>-7.5586399119895814E-2</v>
      </c>
    </row>
    <row r="86" spans="1:62" x14ac:dyDescent="0.3">
      <c r="A86" t="s">
        <v>5</v>
      </c>
      <c r="B86" s="13">
        <v>2</v>
      </c>
      <c r="C86" s="33">
        <f t="shared" si="16"/>
        <v>0</v>
      </c>
      <c r="D86" s="19">
        <f t="shared" si="16"/>
        <v>0</v>
      </c>
      <c r="E86" s="34">
        <f t="shared" si="16"/>
        <v>56.417304164134109</v>
      </c>
      <c r="F86" s="19">
        <f t="shared" si="16"/>
        <v>0.30829127958543229</v>
      </c>
      <c r="G86" s="20">
        <f t="shared" si="16"/>
        <v>7.7072819896358072E-2</v>
      </c>
      <c r="H86" s="17">
        <f>SUM(C86:G86)</f>
        <v>56.802668263615899</v>
      </c>
      <c r="I86" s="17">
        <f>E86/H86*100</f>
        <v>99.321573948439621</v>
      </c>
      <c r="J86" s="17">
        <f>SQRT(I86*(100-I86)/(L86-1))</f>
        <v>0.30257577035375105</v>
      </c>
      <c r="K86" s="18">
        <f>100-I86</f>
        <v>0.67842605156037905</v>
      </c>
      <c r="L86" s="1">
        <f>H75</f>
        <v>737</v>
      </c>
      <c r="M86">
        <v>2</v>
      </c>
      <c r="N86" s="1">
        <v>54862.38</v>
      </c>
      <c r="O86" s="17">
        <f>N86/N89*100</f>
        <v>56.802668263615899</v>
      </c>
      <c r="P86" s="52">
        <f>((O86*O86*(I86/100)*(K86/100))/(L86-1))</f>
        <v>2.953967882391546E-2</v>
      </c>
      <c r="R86" t="s">
        <v>95</v>
      </c>
      <c r="S86" s="70" t="s">
        <v>28</v>
      </c>
      <c r="T86" s="64">
        <f>C234</f>
        <v>0.51313657172160609</v>
      </c>
      <c r="U86" s="64">
        <f t="shared" ref="U86:X89" si="17">D234</f>
        <v>2.3679532394583154</v>
      </c>
      <c r="V86" s="64">
        <f t="shared" si="17"/>
        <v>58.132158379417383</v>
      </c>
      <c r="W86" s="64">
        <f t="shared" si="17"/>
        <v>29.715862917207545</v>
      </c>
      <c r="X86" s="64">
        <f t="shared" si="17"/>
        <v>9.2708888921951402</v>
      </c>
      <c r="AA86" s="12"/>
      <c r="AC86" t="s">
        <v>177</v>
      </c>
      <c r="AD86" s="51">
        <v>0.95521861777150896</v>
      </c>
      <c r="AE86" s="51">
        <v>0.96280637152149695</v>
      </c>
      <c r="AH86" s="78"/>
      <c r="AI86" s="78"/>
      <c r="AJ86" t="s">
        <v>6</v>
      </c>
      <c r="AK86" s="13">
        <v>3</v>
      </c>
      <c r="AL86" s="5">
        <v>0</v>
      </c>
      <c r="AM86" s="1">
        <v>6</v>
      </c>
      <c r="AN86" s="1">
        <v>19</v>
      </c>
      <c r="AO86" s="27">
        <v>534</v>
      </c>
      <c r="AP86" s="6">
        <v>23</v>
      </c>
      <c r="AQ86" s="1">
        <f>SUM(AL86:AP86)</f>
        <v>582</v>
      </c>
      <c r="AR86" s="10">
        <f>AO86/AQ86</f>
        <v>0.91752577319587625</v>
      </c>
      <c r="AS86" s="11">
        <f>1-AR86</f>
        <v>8.2474226804123751E-2</v>
      </c>
      <c r="AT86">
        <f>AQ86-AO88</f>
        <v>-11</v>
      </c>
      <c r="AW86" s="10">
        <f>2*(AO89*AR86)/(AO89+AR86)</f>
        <v>0.90893617021276585</v>
      </c>
      <c r="BF86" s="51">
        <v>0.95809127942512096</v>
      </c>
      <c r="BG86" s="1">
        <v>23</v>
      </c>
      <c r="BH86">
        <f t="shared" si="13"/>
        <v>-0.75313037838845598</v>
      </c>
      <c r="BI86">
        <f t="shared" si="14"/>
        <v>-7.5520614959798102E-2</v>
      </c>
      <c r="BJ86">
        <f t="shared" si="11"/>
        <v>-7.2355642609804899E-2</v>
      </c>
    </row>
    <row r="87" spans="1:62" x14ac:dyDescent="0.3">
      <c r="A87" t="s">
        <v>6</v>
      </c>
      <c r="B87" s="13">
        <v>3</v>
      </c>
      <c r="C87" s="33">
        <f t="shared" si="16"/>
        <v>0</v>
      </c>
      <c r="D87" s="19">
        <f t="shared" si="16"/>
        <v>0.39047241464668025</v>
      </c>
      <c r="E87" s="19">
        <f t="shared" si="16"/>
        <v>1.0040719233771778</v>
      </c>
      <c r="F87" s="34">
        <f t="shared" si="16"/>
        <v>29.564339966105788</v>
      </c>
      <c r="G87" s="20">
        <f t="shared" si="16"/>
        <v>1.5061078850657668</v>
      </c>
      <c r="H87" s="17">
        <f>SUM(C87:G87)</f>
        <v>32.464992189195414</v>
      </c>
      <c r="I87" s="17">
        <f>F87/H87*100</f>
        <v>91.065292096219935</v>
      </c>
      <c r="J87" s="17">
        <f>SQRT(I87*(100-I87)/(L87-1))</f>
        <v>1.1833918004084283</v>
      </c>
      <c r="K87" s="18">
        <f>100-I87</f>
        <v>8.9347079037800654</v>
      </c>
      <c r="L87" s="1">
        <f>H76</f>
        <v>582</v>
      </c>
      <c r="M87">
        <v>3</v>
      </c>
      <c r="N87" s="1">
        <v>31356.04</v>
      </c>
      <c r="O87" s="17">
        <f>N87/N89*100</f>
        <v>32.464992189195414</v>
      </c>
      <c r="P87" s="52">
        <f>((O87*O87*(I87/100)*(K87/100))/(L87-1))</f>
        <v>0.14760046204279201</v>
      </c>
      <c r="S87" s="66" t="s">
        <v>39</v>
      </c>
      <c r="T87" s="67">
        <f>C235</f>
        <v>1.1390385966040988E-3</v>
      </c>
      <c r="U87" s="67">
        <f t="shared" si="17"/>
        <v>0.12876585301766783</v>
      </c>
      <c r="V87" s="67">
        <f t="shared" si="17"/>
        <v>0.28216229318102359</v>
      </c>
      <c r="W87" s="67">
        <f t="shared" si="17"/>
        <v>0.4163192132052379</v>
      </c>
      <c r="X87" s="67">
        <f t="shared" si="17"/>
        <v>0.32139471553455107</v>
      </c>
      <c r="AC87" t="s">
        <v>178</v>
      </c>
      <c r="AD87" s="51">
        <v>0.95380818053596605</v>
      </c>
      <c r="AE87" s="51">
        <v>0.96318571096846195</v>
      </c>
      <c r="AJ87" t="s">
        <v>7</v>
      </c>
      <c r="AK87" s="13">
        <v>4</v>
      </c>
      <c r="AL87" s="7">
        <v>0</v>
      </c>
      <c r="AM87" s="8">
        <v>0</v>
      </c>
      <c r="AN87" s="8">
        <v>17</v>
      </c>
      <c r="AO87" s="8">
        <v>57</v>
      </c>
      <c r="AP87" s="28">
        <v>935</v>
      </c>
      <c r="AQ87" s="1">
        <f>SUM(AL87:AP87)</f>
        <v>1009</v>
      </c>
      <c r="AR87" s="10">
        <f>AP87/AQ87</f>
        <v>0.92666005946481667</v>
      </c>
      <c r="AS87" s="11">
        <f>1-AR87</f>
        <v>7.3339940535183334E-2</v>
      </c>
      <c r="AT87">
        <f>AQ87-AP88</f>
        <v>50</v>
      </c>
      <c r="AW87" s="10">
        <f>2*(AP89*AR87)/(AP89+AR87)</f>
        <v>0.95020325203252032</v>
      </c>
      <c r="BF87" s="51">
        <v>0.95811168461594498</v>
      </c>
      <c r="BG87" s="1">
        <v>24</v>
      </c>
      <c r="BH87">
        <f t="shared" si="13"/>
        <v>-0.72033023085752279</v>
      </c>
      <c r="BI87">
        <f t="shared" si="14"/>
        <v>-7.2231559859393529E-2</v>
      </c>
      <c r="BJ87">
        <f t="shared" si="11"/>
        <v>-6.9205901499321001E-2</v>
      </c>
    </row>
    <row r="88" spans="1:62" ht="15.6" x14ac:dyDescent="0.35">
      <c r="A88" t="s">
        <v>7</v>
      </c>
      <c r="B88" s="13">
        <v>4</v>
      </c>
      <c r="C88" s="35">
        <f t="shared" si="16"/>
        <v>0</v>
      </c>
      <c r="D88" s="36">
        <f t="shared" si="16"/>
        <v>0</v>
      </c>
      <c r="E88" s="21">
        <f t="shared" si="16"/>
        <v>0.14842252206194154</v>
      </c>
      <c r="F88" s="21">
        <f t="shared" si="16"/>
        <v>0.7499243219971784</v>
      </c>
      <c r="G88" s="37">
        <f t="shared" si="16"/>
        <v>6.9836702485987239</v>
      </c>
      <c r="H88" s="17">
        <f>SUM(C88:G88)</f>
        <v>7.8820170926578434</v>
      </c>
      <c r="I88" s="17">
        <f>G88/H88*100</f>
        <v>88.602576808721508</v>
      </c>
      <c r="J88" s="17">
        <f>SQRT(I88*(100-I88)/(L88-1))</f>
        <v>1.0009128094443978</v>
      </c>
      <c r="K88" s="18">
        <f>100-I88</f>
        <v>11.397423191278492</v>
      </c>
      <c r="L88" s="1">
        <f>H77</f>
        <v>1009</v>
      </c>
      <c r="M88">
        <v>4</v>
      </c>
      <c r="N88" s="1">
        <v>7612.78</v>
      </c>
      <c r="O88" s="17">
        <f>N88/N89*100</f>
        <v>7.8820170926578434</v>
      </c>
      <c r="P88" s="52">
        <f>((O88*O88*(I88/100)*(K88/100))/(L88-1))</f>
        <v>6.2239663966053892E-3</v>
      </c>
      <c r="S88" t="s">
        <v>30</v>
      </c>
      <c r="T88" s="57">
        <f>C236</f>
        <v>100</v>
      </c>
      <c r="U88" s="57">
        <f t="shared" si="17"/>
        <v>88.303308687767426</v>
      </c>
      <c r="V88" s="57">
        <f t="shared" si="17"/>
        <v>97.797112864872858</v>
      </c>
      <c r="W88" s="57">
        <f t="shared" si="17"/>
        <v>97.867186522427303</v>
      </c>
      <c r="X88" s="57">
        <f t="shared" si="17"/>
        <v>80.044239151435931</v>
      </c>
      <c r="AC88" t="s">
        <v>179</v>
      </c>
      <c r="AD88" s="51">
        <v>0.93864598025387802</v>
      </c>
      <c r="AE88" s="51">
        <v>0.96254536520524403</v>
      </c>
      <c r="AH88" s="78"/>
      <c r="AI88" s="78"/>
      <c r="AK88" s="1" t="s">
        <v>19</v>
      </c>
      <c r="AL88" s="1">
        <f>SUM(AL83:AL87)</f>
        <v>451</v>
      </c>
      <c r="AM88" s="1">
        <f>SUM(AM83:AM87)</f>
        <v>63</v>
      </c>
      <c r="AN88" s="1">
        <f>SUM(AN83:AN87)</f>
        <v>770</v>
      </c>
      <c r="AO88" s="1">
        <f>SUM(AO83:AO87)</f>
        <v>593</v>
      </c>
      <c r="AP88" s="1">
        <f>SUM(AP83:AP87)</f>
        <v>959</v>
      </c>
      <c r="AQ88" s="1">
        <f>SUM(AQ82:AQ87)</f>
        <v>2836</v>
      </c>
      <c r="AR88" s="13" t="s">
        <v>12</v>
      </c>
      <c r="BF88" s="51">
        <v>0.95815636833369455</v>
      </c>
      <c r="BG88" s="1">
        <v>25</v>
      </c>
      <c r="BH88">
        <f t="shared" si="13"/>
        <v>-0.68828739090267188</v>
      </c>
      <c r="BI88">
        <f t="shared" si="14"/>
        <v>-6.9018444245033631E-2</v>
      </c>
      <c r="BJ88">
        <f t="shared" si="11"/>
        <v>-6.6130461885863009E-2</v>
      </c>
    </row>
    <row r="89" spans="1:62" x14ac:dyDescent="0.3">
      <c r="B89" t="s">
        <v>28</v>
      </c>
      <c r="C89" s="17">
        <f>SUM(C84:C88)</f>
        <v>0.47224099686739524</v>
      </c>
      <c r="D89" s="17">
        <f>SUM(D84:D88)</f>
        <v>2.7685538723101315</v>
      </c>
      <c r="E89" s="17">
        <f>SUM(E84:E88)</f>
        <v>57.569798609573226</v>
      </c>
      <c r="F89" s="17">
        <f>SUM(F84:F88)</f>
        <v>30.622555567688398</v>
      </c>
      <c r="G89" s="17">
        <f>SUM(G84:G88)</f>
        <v>8.5668509535608486</v>
      </c>
      <c r="H89" s="1">
        <f>SUM(H83:H88)</f>
        <v>100.00000000000001</v>
      </c>
      <c r="I89" s="13" t="s">
        <v>24</v>
      </c>
      <c r="J89" s="12" t="s">
        <v>29</v>
      </c>
      <c r="N89" s="1">
        <f>SUM(N84:N88)</f>
        <v>96584.16</v>
      </c>
      <c r="O89" s="17">
        <f>SUM(O84:O88)</f>
        <v>100.00000000000001</v>
      </c>
      <c r="S89" s="66" t="s">
        <v>39</v>
      </c>
      <c r="T89" s="67">
        <f>C237</f>
        <v>0</v>
      </c>
      <c r="U89" s="67">
        <f t="shared" si="17"/>
        <v>4.9589035565043789</v>
      </c>
      <c r="V89" s="67">
        <f t="shared" si="17"/>
        <v>0.42135218713126354</v>
      </c>
      <c r="W89" s="67">
        <f t="shared" si="17"/>
        <v>0.50024202831442277</v>
      </c>
      <c r="X89" s="67">
        <f t="shared" si="17"/>
        <v>3.0769681877155337</v>
      </c>
      <c r="AC89" t="s">
        <v>180</v>
      </c>
      <c r="AD89" s="51">
        <v>0.94040902679830696</v>
      </c>
      <c r="AE89" s="51">
        <v>0.95877200240889204</v>
      </c>
      <c r="AJ89" s="1" t="s">
        <v>316</v>
      </c>
      <c r="AK89" s="1" t="s">
        <v>2</v>
      </c>
      <c r="AL89" s="10">
        <f>AL83/AL88</f>
        <v>1</v>
      </c>
      <c r="AM89" s="10">
        <f>AM84/AM88</f>
        <v>0.90476190476190477</v>
      </c>
      <c r="AN89" s="10">
        <f>AN85/AN88</f>
        <v>0.95324675324675323</v>
      </c>
      <c r="AO89" s="10">
        <f>AO86/AO88</f>
        <v>0.9005059021922428</v>
      </c>
      <c r="AP89" s="10">
        <f>AP87/AP88</f>
        <v>0.97497393117831077</v>
      </c>
      <c r="AQ89" s="10"/>
      <c r="AR89" s="14">
        <f>(AL83+AM84+AN85+AO86+AP87)/AQ88</f>
        <v>0.95592383638928069</v>
      </c>
      <c r="BF89" s="51">
        <v>0.95865969740680901</v>
      </c>
      <c r="BG89" s="1">
        <v>26</v>
      </c>
      <c r="BH89">
        <f t="shared" si="13"/>
        <v>-0.65693619279658544</v>
      </c>
      <c r="BI89">
        <f t="shared" si="14"/>
        <v>-6.5874683445257612E-2</v>
      </c>
      <c r="BJ89">
        <f t="shared" si="11"/>
        <v>-6.3151404098399991E-2</v>
      </c>
    </row>
    <row r="90" spans="1:62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0.14669447868723914</v>
      </c>
      <c r="E90" s="18">
        <f>SQRT(SUM((O84*O84*(E84/O84)*(1-E84/O84))/L84,(O85*O85*(E85/O85)*(1-E85/O85))/L85,(O86*O86*(E86/O86)*(1-E86/O86))/L86,(O87*O87*(E87/O87)*(1-E87/O87))/L87,(O88*O88*(E88/O88)*(1-E88/O88))/L88))</f>
        <v>0.29139985804034285</v>
      </c>
      <c r="F90" s="18">
        <f>SQRT(SUM((O84*O84*(F84/O84)*(1-F84/O84))/L84,(O85*O85*(F85/O85)*(1-F85/O85))/L85,(O86*O86*(F86/O86)*(1-F86/O86))/L86,(O87*O87*(F87/O87)*(1-F87/O87))/L87,(O88*O88*(F88/O88)*(1-F88/O88))/L88))</f>
        <v>0.41985663471183715</v>
      </c>
      <c r="G90" s="18">
        <f>SQRT(SUM((O84*O84*(G84/O84)*(1-G84/O84))/L84,(O85*O85*(G85/O85)*(1-G85/O85))/L85,(O86*O86*(G86/O86)*(1-G86/O86))/L86,(O87*O87*(G87/O87)*(1-G87/O87))/L87,(O88*O88*(G88/O88)*(1-G88/O88))/L88))</f>
        <v>0.30375285847429306</v>
      </c>
      <c r="H90" s="1"/>
      <c r="I90" s="14">
        <f>(C84+D85+E86+F87+G88)/H89</f>
        <v>0.95815636833369455</v>
      </c>
      <c r="J90" s="53">
        <f>SQRT(SUM(P84:P88))/100</f>
        <v>4.2821035398891609E-3</v>
      </c>
      <c r="M90" s="1"/>
      <c r="N90" s="9"/>
      <c r="S90" t="s">
        <v>31</v>
      </c>
      <c r="T90" s="57">
        <f>I229</f>
        <v>99.77827050997783</v>
      </c>
      <c r="U90" s="57">
        <f>I230</f>
        <v>98.245614035087726</v>
      </c>
      <c r="V90" s="57">
        <f>I231</f>
        <v>99.592944369063773</v>
      </c>
      <c r="W90" s="57">
        <f>I232</f>
        <v>90.206185567010309</v>
      </c>
      <c r="X90" s="57">
        <f>I233</f>
        <v>92.368681863230918</v>
      </c>
      <c r="AC90" t="s">
        <v>181</v>
      </c>
      <c r="AD90" s="51">
        <v>0.94992947813822204</v>
      </c>
      <c r="AE90" s="51">
        <v>0.96022112481903299</v>
      </c>
      <c r="AH90" s="78"/>
      <c r="AI90" s="78"/>
      <c r="AK90" s="1" t="s">
        <v>14</v>
      </c>
      <c r="AL90" s="11">
        <f>1-AL89</f>
        <v>0</v>
      </c>
      <c r="AM90" s="11">
        <f>1-AM89</f>
        <v>9.5238095238095233E-2</v>
      </c>
      <c r="AN90" s="11">
        <f>1-AN89</f>
        <v>4.6753246753246769E-2</v>
      </c>
      <c r="AO90" s="11">
        <f>1-AO89</f>
        <v>9.9494097807757198E-2</v>
      </c>
      <c r="AP90" s="11">
        <f>1-AP89</f>
        <v>2.5026068821689229E-2</v>
      </c>
      <c r="BF90" s="51">
        <v>0.95869177625119395</v>
      </c>
      <c r="BG90" s="1">
        <v>27</v>
      </c>
      <c r="BH90">
        <f t="shared" si="13"/>
        <v>-0.62621783615158122</v>
      </c>
      <c r="BI90">
        <f t="shared" si="14"/>
        <v>-6.2794381214787018E-2</v>
      </c>
      <c r="BJ90">
        <f t="shared" si="11"/>
        <v>-6.0200456865398773E-2</v>
      </c>
    </row>
    <row r="91" spans="1:62" x14ac:dyDescent="0.3">
      <c r="B91" s="1" t="s">
        <v>30</v>
      </c>
      <c r="C91" s="17">
        <f>C84/C89*100</f>
        <v>100</v>
      </c>
      <c r="D91" s="17">
        <f>D85/D89*100</f>
        <v>85.896159776697317</v>
      </c>
      <c r="E91" s="17">
        <f>E86/E89*100</f>
        <v>97.998091927930645</v>
      </c>
      <c r="F91" s="17">
        <f>F87/F89*100</f>
        <v>96.54432629163324</v>
      </c>
      <c r="G91" s="17">
        <f>G88/G89*100</f>
        <v>81.519688931858099</v>
      </c>
      <c r="H91" s="1"/>
      <c r="S91" s="66" t="s">
        <v>39</v>
      </c>
      <c r="T91" s="67">
        <f>J229</f>
        <v>0.2217294900221716</v>
      </c>
      <c r="U91" s="67">
        <f>J230</f>
        <v>1.7543859649122773</v>
      </c>
      <c r="V91" s="67">
        <f>J231</f>
        <v>0.2346941488143626</v>
      </c>
      <c r="W91" s="67">
        <f>J232</f>
        <v>1.2331219507927451</v>
      </c>
      <c r="X91" s="67">
        <f>J233</f>
        <v>0.83624182747586007</v>
      </c>
      <c r="AC91" t="s">
        <v>182</v>
      </c>
      <c r="AD91" s="51">
        <v>0.95521861777150896</v>
      </c>
      <c r="AE91" s="51">
        <v>0.96340238713944704</v>
      </c>
      <c r="AL91" s="2"/>
      <c r="BF91" s="51">
        <v>0.95877200240889204</v>
      </c>
      <c r="BG91" s="1">
        <v>28</v>
      </c>
      <c r="BH91">
        <f t="shared" si="13"/>
        <v>-0.59607938602766308</v>
      </c>
      <c r="BI91">
        <f t="shared" si="14"/>
        <v>-5.9772229469741457E-2</v>
      </c>
      <c r="BJ91">
        <f t="shared" si="11"/>
        <v>-5.7307940137147802E-2</v>
      </c>
    </row>
    <row r="92" spans="1:62" ht="15.6" x14ac:dyDescent="0.35">
      <c r="B92" s="16" t="s">
        <v>39</v>
      </c>
      <c r="C92" s="18">
        <f>SQRT((C95+C96)/(C89*C89))</f>
        <v>0</v>
      </c>
      <c r="D92" s="18">
        <f>SQRT((D95+D96)/(D89*D89))</f>
        <v>4.5552053875655369</v>
      </c>
      <c r="E92" s="18">
        <f>SQRT((E95+E96)/(E89*E89))</f>
        <v>0.40548373282093797</v>
      </c>
      <c r="F92" s="18">
        <f>SQRT((F95+F96)/(F89*F89))</f>
        <v>0.68986560378289585</v>
      </c>
      <c r="G92" s="18">
        <f>SQRT((G95+G96)/(G89*G89))</f>
        <v>3.2712468987151611</v>
      </c>
      <c r="H92" s="1"/>
      <c r="I92" s="14"/>
      <c r="S92" s="66" t="s">
        <v>51</v>
      </c>
      <c r="T92" s="67">
        <f>N218*100</f>
        <v>99.88901220865705</v>
      </c>
      <c r="U92" s="67">
        <f>N219*100</f>
        <v>94.915254237288124</v>
      </c>
      <c r="V92" s="67">
        <f>N220*100</f>
        <v>97.282968853545398</v>
      </c>
      <c r="W92" s="67">
        <f>N221*100</f>
        <v>89.743589743589752</v>
      </c>
      <c r="X92" s="67">
        <f>N222*100</f>
        <v>94.427558257345495</v>
      </c>
      <c r="AC92" t="s">
        <v>183</v>
      </c>
      <c r="AD92" s="51">
        <v>0.95521861777150896</v>
      </c>
      <c r="AE92" s="51">
        <v>0.964651117964339</v>
      </c>
      <c r="AH92" s="78"/>
      <c r="AI92" s="78"/>
      <c r="AJ92" t="s">
        <v>317</v>
      </c>
      <c r="AK92" s="15" t="s">
        <v>23</v>
      </c>
      <c r="AW92" s="12" t="s">
        <v>17</v>
      </c>
      <c r="AX92" s="1" t="s">
        <v>27</v>
      </c>
      <c r="AY92" s="1" t="s">
        <v>33</v>
      </c>
      <c r="BF92" s="51">
        <v>0.95882468603031601</v>
      </c>
      <c r="BG92" s="1">
        <v>29</v>
      </c>
      <c r="BH92">
        <f t="shared" si="13"/>
        <v>-0.56647294563250528</v>
      </c>
      <c r="BI92">
        <f t="shared" si="14"/>
        <v>-5.6803425329617289E-2</v>
      </c>
      <c r="BJ92">
        <f t="shared" si="11"/>
        <v>-5.4464526457116795E-2</v>
      </c>
    </row>
    <row r="93" spans="1:62" ht="15.6" x14ac:dyDescent="0.35">
      <c r="B93" s="1" t="s">
        <v>37</v>
      </c>
      <c r="C93" s="18">
        <f>100-C91</f>
        <v>0</v>
      </c>
      <c r="D93" s="18">
        <f>100-D91</f>
        <v>14.103840223302683</v>
      </c>
      <c r="E93" s="18">
        <f>100-E91</f>
        <v>2.0019080720693552</v>
      </c>
      <c r="F93" s="18">
        <f>100-F91</f>
        <v>3.4556737083667599</v>
      </c>
      <c r="G93" s="18">
        <f>100-G91</f>
        <v>18.480311068141901</v>
      </c>
      <c r="R93" s="16" t="s">
        <v>61</v>
      </c>
      <c r="S93" t="s">
        <v>9</v>
      </c>
      <c r="T93" s="30">
        <f>N229</f>
        <v>496.71</v>
      </c>
      <c r="U93" s="30">
        <f>N230</f>
        <v>2055.62</v>
      </c>
      <c r="V93" s="30">
        <f>N231</f>
        <v>55134.04</v>
      </c>
      <c r="W93" s="30">
        <f>N232</f>
        <v>31138.31</v>
      </c>
      <c r="X93" s="30">
        <f>N233</f>
        <v>7759.48</v>
      </c>
      <c r="Z93" t="s">
        <v>36</v>
      </c>
      <c r="AA93" s="1">
        <f>N234</f>
        <v>96584.16</v>
      </c>
      <c r="AC93" t="s">
        <v>184</v>
      </c>
      <c r="AD93" s="51">
        <v>0.94957686882933701</v>
      </c>
      <c r="AE93" s="51">
        <v>0.96344981288773301</v>
      </c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  <c r="BF93" s="51">
        <v>0.95899472591863788</v>
      </c>
      <c r="BG93" s="1">
        <v>30</v>
      </c>
      <c r="BH93">
        <f t="shared" si="13"/>
        <v>-0.53735496659792503</v>
      </c>
      <c r="BI93">
        <f t="shared" si="14"/>
        <v>-5.3883601954833986E-2</v>
      </c>
      <c r="BJ93">
        <f t="shared" si="11"/>
        <v>-5.1674090088185E-2</v>
      </c>
    </row>
    <row r="94" spans="1:62" ht="15.6" x14ac:dyDescent="0.35">
      <c r="B94" s="1" t="s">
        <v>25</v>
      </c>
      <c r="C94" s="1">
        <f>C78</f>
        <v>451</v>
      </c>
      <c r="D94" s="1">
        <f>D78</f>
        <v>64</v>
      </c>
      <c r="E94" s="1">
        <f>E78</f>
        <v>769</v>
      </c>
      <c r="F94" s="1">
        <f>F78</f>
        <v>630</v>
      </c>
      <c r="G94" s="1">
        <f>G78</f>
        <v>922</v>
      </c>
      <c r="R94" s="16" t="s">
        <v>318</v>
      </c>
      <c r="S94" t="s">
        <v>63</v>
      </c>
      <c r="T94" s="57">
        <f>$AA93*T86/100</f>
        <v>495.60864745011082</v>
      </c>
      <c r="U94" s="57">
        <f>$AA93*U86/100</f>
        <v>2287.0677455236028</v>
      </c>
      <c r="V94" s="57">
        <f>$AA93*V86/100</f>
        <v>56146.4568606299</v>
      </c>
      <c r="W94" s="57">
        <f>$AA93*W86/100</f>
        <v>28700.816585336401</v>
      </c>
      <c r="X94" s="57">
        <f>$AA93*X86/100</f>
        <v>8954.2101610599821</v>
      </c>
      <c r="Z94" t="s">
        <v>36</v>
      </c>
      <c r="AA94" s="25">
        <f>SUM(T94:X94)</f>
        <v>96584.159999999989</v>
      </c>
      <c r="AC94" t="s">
        <v>185</v>
      </c>
      <c r="AD94" s="51">
        <v>0.94922425952045097</v>
      </c>
      <c r="AE94" s="51">
        <v>0.96327094030515703</v>
      </c>
      <c r="AH94" s="78"/>
      <c r="AI94" s="78"/>
      <c r="AJ94" t="s">
        <v>3</v>
      </c>
      <c r="AK94" s="13">
        <v>0</v>
      </c>
      <c r="AL94" s="29">
        <f>(AL83/$AU94)*$AX94</f>
        <v>0.52826467611252192</v>
      </c>
      <c r="AM94" s="31">
        <f t="shared" ref="AM94:AO95" si="18">(AM83/$AU94)*$AX94</f>
        <v>0</v>
      </c>
      <c r="AN94" s="31">
        <f t="shared" si="18"/>
        <v>0</v>
      </c>
      <c r="AO94" s="31">
        <f t="shared" si="18"/>
        <v>0</v>
      </c>
      <c r="AP94" s="32">
        <f>(AP83/$AU94)*$AX94</f>
        <v>0</v>
      </c>
      <c r="AQ94" s="17">
        <f>SUM(AL94:AP94)</f>
        <v>0.52826467611252192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451</v>
      </c>
      <c r="AV94">
        <v>0</v>
      </c>
      <c r="AW94" s="1">
        <v>510.22</v>
      </c>
      <c r="AX94" s="17">
        <f>AW94/AW99*100</f>
        <v>0.52826467611252192</v>
      </c>
      <c r="AY94" s="52">
        <f>((AX94*AX94*(AR94/100)*(AT94/100))/(AU94-1))</f>
        <v>0</v>
      </c>
      <c r="BF94" s="51">
        <v>0.95905676931654504</v>
      </c>
      <c r="BG94" s="1">
        <v>31</v>
      </c>
      <c r="BH94">
        <f t="shared" si="13"/>
        <v>-0.50868566982760044</v>
      </c>
      <c r="BI94">
        <f t="shared" si="14"/>
        <v>-5.1008770471880419E-2</v>
      </c>
      <c r="BJ94">
        <f t="shared" si="11"/>
        <v>-4.8920306615570813E-2</v>
      </c>
    </row>
    <row r="95" spans="1:62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0</v>
      </c>
      <c r="E95" s="18">
        <f>(O86*O86*(100-E91)*(100-E91)*(I86)*(100-I86))/((L86-1)*100)</f>
        <v>11.838427818632974</v>
      </c>
      <c r="F95" s="18">
        <f>(O87*O87*(100-F91)*(100-F91)*(I87)*(100-I87))/((L87-1)*100)</f>
        <v>176.25976005032459</v>
      </c>
      <c r="G95" s="18">
        <f>(O88*O88*(100-G91)*(100-G91)*(I88)*(100-I88))/((L88-1)*100)</f>
        <v>212.56208117239137</v>
      </c>
      <c r="R95" s="66"/>
      <c r="S95" s="66" t="s">
        <v>62</v>
      </c>
      <c r="T95" s="67">
        <f>$AA93*T87/100</f>
        <v>1.1001308606058573</v>
      </c>
      <c r="U95" s="67">
        <f>$AA93*U87/100</f>
        <v>124.36741750394913</v>
      </c>
      <c r="V95" s="67">
        <f>$AA93*V87/100</f>
        <v>272.52408070562893</v>
      </c>
      <c r="W95" s="67">
        <f>$AA93*W87/100</f>
        <v>402.09841499288814</v>
      </c>
      <c r="X95" s="67">
        <f>$AA93*X87/100</f>
        <v>310.41638628343566</v>
      </c>
      <c r="AA95" s="1"/>
      <c r="AC95" t="s">
        <v>186</v>
      </c>
      <c r="AD95" s="51">
        <v>0.94816643159379399</v>
      </c>
      <c r="AE95" s="51">
        <v>0.96168395437804899</v>
      </c>
      <c r="AJ95" t="s">
        <v>4</v>
      </c>
      <c r="AK95" s="13">
        <v>1</v>
      </c>
      <c r="AL95" s="33">
        <f t="shared" ref="AL95:AO98" si="19">(AL84/$AU95)*$AX95</f>
        <v>0</v>
      </c>
      <c r="AM95" s="34">
        <f>(AM84/$AU95)*$AX95</f>
        <v>2.1901003228686773</v>
      </c>
      <c r="AN95" s="19">
        <f t="shared" si="18"/>
        <v>0</v>
      </c>
      <c r="AO95" s="18">
        <f t="shared" si="18"/>
        <v>0</v>
      </c>
      <c r="AP95" s="20">
        <f>(AP84/$AU95)*$AX95</f>
        <v>0</v>
      </c>
      <c r="AQ95" s="17">
        <f>SUM(AL95:AP95)</f>
        <v>2.1901003228686773</v>
      </c>
      <c r="AR95" s="17">
        <f>AM95/AQ95*100</f>
        <v>100</v>
      </c>
      <c r="AS95" s="17">
        <f>SQRT(AR95*(100-AR95)/(AU95-1))</f>
        <v>0</v>
      </c>
      <c r="AT95" s="18">
        <f>100-AR95</f>
        <v>0</v>
      </c>
      <c r="AU95" s="1">
        <f>AQ84</f>
        <v>57</v>
      </c>
      <c r="AV95">
        <v>1</v>
      </c>
      <c r="AW95" s="1">
        <v>2115.29</v>
      </c>
      <c r="AX95" s="17">
        <f>AW95/AW99*100</f>
        <v>2.1901003228686773</v>
      </c>
      <c r="AY95" s="52">
        <f>((AX95*AX95*(AR95/100)*(AT95/100))/(AU95-1))</f>
        <v>0</v>
      </c>
      <c r="BF95" s="51">
        <v>0.95911580964298204</v>
      </c>
      <c r="BG95" s="1">
        <v>32</v>
      </c>
      <c r="BH95">
        <f t="shared" si="13"/>
        <v>-0.48042855588587818</v>
      </c>
      <c r="BI95">
        <f t="shared" si="14"/>
        <v>-4.817527087724946E-2</v>
      </c>
      <c r="BJ95">
        <f t="shared" si="11"/>
        <v>-4.6205663932203087E-2</v>
      </c>
    </row>
    <row r="96" spans="1:62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159.04568257902622</v>
      </c>
      <c r="E96" s="18">
        <f>E91*E91*(SUM((H84*E84*(1-E73/H73))/(H73-1),(H85*E85*(1-E74/H74))/(H74-1), (H87*E87*(1-E76/H76))/(H76-1),(H88*E88*(1-E77/H77))/(H77-1)))</f>
        <v>533.0860192588284</v>
      </c>
      <c r="F96" s="18">
        <f>F91*F91*(SUM((H84*F84*(1-F73/H73))/(H73-1),(H85*F85*(1-F74/H74))/(H74-1), (H86*F86*(1-F75/H75))/(H75-1),(H88*F88*(1-F77/H77))/(H77-1)))</f>
        <v>270.02478411201014</v>
      </c>
      <c r="G96" s="18">
        <f>G91*G91*(SUM((H84*G84*(1-G73/H73))/(H73-1),(H85*G85*(1-G74/H74))/(H74-1), (H86*G86*(1-G75/H75))/(H75-1),(H87*G87*(1-G76/H76))/(H76-1)))</f>
        <v>572.79844693115888</v>
      </c>
      <c r="R96" t="s">
        <v>96</v>
      </c>
      <c r="S96" t="s">
        <v>28</v>
      </c>
      <c r="T96" s="57">
        <f>C263</f>
        <v>0.59471449562744039</v>
      </c>
      <c r="U96" s="57">
        <f t="shared" ref="U96:X99" si="20">D263</f>
        <v>2.7387020512825511</v>
      </c>
      <c r="V96" s="57">
        <f t="shared" si="20"/>
        <v>56.536948684305727</v>
      </c>
      <c r="W96" s="57">
        <f t="shared" si="20"/>
        <v>31.295383648714825</v>
      </c>
      <c r="X96" s="57">
        <f t="shared" si="20"/>
        <v>8.8342511200694673</v>
      </c>
      <c r="Y96" s="13"/>
      <c r="Z96" s="74"/>
      <c r="AA96" s="12"/>
      <c r="AC96" t="s">
        <v>187</v>
      </c>
      <c r="AD96" s="51">
        <v>0.95204513399153701</v>
      </c>
      <c r="AE96" s="51">
        <v>0.95932448309893203</v>
      </c>
      <c r="AH96" s="78"/>
      <c r="AI96" s="78"/>
      <c r="AJ96" t="s">
        <v>5</v>
      </c>
      <c r="AK96" s="13">
        <v>2</v>
      </c>
      <c r="AL96" s="33">
        <f t="shared" si="19"/>
        <v>0</v>
      </c>
      <c r="AM96" s="19">
        <f t="shared" si="19"/>
        <v>0</v>
      </c>
      <c r="AN96" s="34">
        <f t="shared" si="19"/>
        <v>57.188986080307394</v>
      </c>
      <c r="AO96" s="19">
        <f t="shared" si="19"/>
        <v>0.15582829994634165</v>
      </c>
      <c r="AP96" s="20">
        <f>(AP85/$AU96)*$AX96</f>
        <v>7.7914149973170824E-2</v>
      </c>
      <c r="AQ96" s="17">
        <f>SUM(AL96:AP96)</f>
        <v>57.422728530226905</v>
      </c>
      <c r="AR96" s="17">
        <f>AN96/AQ96*100</f>
        <v>99.592944369063773</v>
      </c>
      <c r="AS96" s="17">
        <f>SQRT(AR96*(100-AR96)/(AU96-1))</f>
        <v>0.2346941488143626</v>
      </c>
      <c r="AT96" s="18">
        <f>100-AR96</f>
        <v>0.40705563093622743</v>
      </c>
      <c r="AU96" s="1">
        <f>AQ85</f>
        <v>737</v>
      </c>
      <c r="AV96">
        <v>2</v>
      </c>
      <c r="AW96" s="1">
        <v>55461.26</v>
      </c>
      <c r="AX96" s="17">
        <f>AW96/AW99*100</f>
        <v>57.422728530226905</v>
      </c>
      <c r="AY96" s="52">
        <f>((AX96*AX96*(AR96/100)*(AT96/100))/(AU96-1))</f>
        <v>1.8162355590793381E-2</v>
      </c>
      <c r="BF96" s="51">
        <v>0.95911878887541102</v>
      </c>
      <c r="BG96" s="1">
        <v>33</v>
      </c>
      <c r="BH96">
        <f t="shared" si="13"/>
        <v>-0.4525499884018015</v>
      </c>
      <c r="BI96">
        <f t="shared" si="14"/>
        <v>-4.5379730263018975E-2</v>
      </c>
      <c r="BJ96">
        <f t="shared" si="11"/>
        <v>-4.3524551929359598E-2</v>
      </c>
    </row>
    <row r="97" spans="1:62" x14ac:dyDescent="0.3">
      <c r="A97" s="105" t="s">
        <v>645</v>
      </c>
      <c r="B97" s="69" t="s">
        <v>9</v>
      </c>
      <c r="C97" s="1">
        <v>287.2</v>
      </c>
      <c r="D97" s="1">
        <v>2441.31</v>
      </c>
      <c r="E97" s="1">
        <v>16087.64</v>
      </c>
      <c r="F97">
        <v>2070.65</v>
      </c>
      <c r="G97">
        <v>1258.1500000000001</v>
      </c>
      <c r="I97" t="s">
        <v>36</v>
      </c>
      <c r="J97" s="57">
        <f>SUM(C97:G97)</f>
        <v>22144.95</v>
      </c>
      <c r="S97" s="66" t="s">
        <v>39</v>
      </c>
      <c r="T97" s="67">
        <f>C264</f>
        <v>0</v>
      </c>
      <c r="U97" s="67">
        <f t="shared" si="20"/>
        <v>0.13476352500197017</v>
      </c>
      <c r="V97" s="67">
        <f t="shared" si="20"/>
        <v>0.41527427140701972</v>
      </c>
      <c r="W97" s="67">
        <f t="shared" si="20"/>
        <v>0.49748755203171791</v>
      </c>
      <c r="X97" s="67">
        <f t="shared" si="20"/>
        <v>0.27917457678509411</v>
      </c>
      <c r="AC97" t="s">
        <v>188</v>
      </c>
      <c r="AD97" s="51">
        <v>0.95275035260930796</v>
      </c>
      <c r="AE97" s="51">
        <v>0.96123674914324697</v>
      </c>
      <c r="AJ97" t="s">
        <v>6</v>
      </c>
      <c r="AK97" s="13">
        <v>3</v>
      </c>
      <c r="AL97" s="33">
        <f t="shared" si="19"/>
        <v>0</v>
      </c>
      <c r="AM97" s="19">
        <f t="shared" si="19"/>
        <v>0.33124511232312881</v>
      </c>
      <c r="AN97" s="19">
        <f t="shared" si="19"/>
        <v>1.0489428556899081</v>
      </c>
      <c r="AO97" s="34">
        <f t="shared" si="19"/>
        <v>29.480814996758465</v>
      </c>
      <c r="AP97" s="20">
        <f>(AP86/$AU97)*$AX97</f>
        <v>1.2697729305719938</v>
      </c>
      <c r="AQ97" s="17">
        <f>SUM(AL97:AP97)</f>
        <v>32.130775895343497</v>
      </c>
      <c r="AR97" s="17">
        <f>AO97/AQ97*100</f>
        <v>91.75257731958763</v>
      </c>
      <c r="AS97" s="17">
        <f>SQRT(AR97*(100-AR97)/(AU97-1))</f>
        <v>1.1412484385858428</v>
      </c>
      <c r="AT97" s="18">
        <f>100-AR97</f>
        <v>8.2474226804123703</v>
      </c>
      <c r="AU97" s="1">
        <f>AQ86</f>
        <v>582</v>
      </c>
      <c r="AV97">
        <v>3</v>
      </c>
      <c r="AW97" s="1">
        <v>31033.24</v>
      </c>
      <c r="AX97" s="17">
        <f>AW97/AW99*100</f>
        <v>32.130775895343497</v>
      </c>
      <c r="AY97" s="52">
        <f>((AX97*AX97*(AR97/100)*(AT97/100))/(AU97-1))</f>
        <v>0.13446300688438745</v>
      </c>
      <c r="BF97" s="51">
        <v>0.95926496630557678</v>
      </c>
      <c r="BG97" s="1">
        <v>34</v>
      </c>
      <c r="BH97">
        <f t="shared" si="13"/>
        <v>-0.42501883739125579</v>
      </c>
      <c r="BI97">
        <f t="shared" si="14"/>
        <v>-4.2619027050759137E-2</v>
      </c>
      <c r="BJ97">
        <f t="shared" si="11"/>
        <v>-4.0882939547822926E-2</v>
      </c>
    </row>
    <row r="98" spans="1:62" x14ac:dyDescent="0.3">
      <c r="B98" t="s">
        <v>367</v>
      </c>
      <c r="C98" s="57">
        <f>(C97/$J97)*100</f>
        <v>1.2969096791819352</v>
      </c>
      <c r="D98" s="57">
        <f>(D97/$J97)*100</f>
        <v>11.024229000291262</v>
      </c>
      <c r="E98" s="57">
        <f>(E97/$J97)*100</f>
        <v>72.64699175206988</v>
      </c>
      <c r="F98" s="57">
        <f>(F97/$J97)*100</f>
        <v>9.3504388133637697</v>
      </c>
      <c r="G98" s="57">
        <f>(G97/$J97)*100</f>
        <v>5.6814307550931478</v>
      </c>
      <c r="S98" t="s">
        <v>30</v>
      </c>
      <c r="T98" s="57">
        <f>C265</f>
        <v>100</v>
      </c>
      <c r="U98" s="57">
        <f t="shared" si="20"/>
        <v>87.884162189241877</v>
      </c>
      <c r="V98" s="57">
        <f t="shared" si="20"/>
        <v>97.74738801563177</v>
      </c>
      <c r="W98" s="57">
        <f t="shared" si="20"/>
        <v>94.010928078634038</v>
      </c>
      <c r="X98" s="57">
        <f t="shared" si="20"/>
        <v>84.73065227873721</v>
      </c>
      <c r="AA98" s="54"/>
      <c r="AC98" t="s">
        <v>189</v>
      </c>
      <c r="AD98" s="51">
        <v>0.95098730606488002</v>
      </c>
      <c r="AE98" s="51">
        <v>0.95869177625119395</v>
      </c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9"/>
        <v>0</v>
      </c>
      <c r="AN98" s="21">
        <f t="shared" si="19"/>
        <v>0.13020636251994325</v>
      </c>
      <c r="AO98" s="21">
        <f t="shared" si="19"/>
        <v>0.43657427433157436</v>
      </c>
      <c r="AP98" s="37">
        <f>(AP87/$AU98)*$AX98</f>
        <v>7.161349938596878</v>
      </c>
      <c r="AQ98" s="17">
        <f>SUM(AL98:AP98)</f>
        <v>7.7281305754483958</v>
      </c>
      <c r="AR98" s="17">
        <f>AP98/AQ98*100</f>
        <v>92.666005946481661</v>
      </c>
      <c r="AS98" s="17">
        <f>SQRT(AR98*(100-AR98)/(AU98-1))</f>
        <v>0.82110790463033556</v>
      </c>
      <c r="AT98" s="18">
        <f>100-AR98</f>
        <v>7.3339940535183388</v>
      </c>
      <c r="AU98" s="1">
        <f>AQ87</f>
        <v>1009</v>
      </c>
      <c r="AV98">
        <v>4</v>
      </c>
      <c r="AW98" s="1">
        <v>7464.15</v>
      </c>
      <c r="AX98" s="17">
        <f>AW98/AW99*100</f>
        <v>7.7281305754483958</v>
      </c>
      <c r="AY98" s="52">
        <f>((AX98*AX98*(AR98/100)*(AT98/100))/(AU98-1))</f>
        <v>4.0267008719390056E-3</v>
      </c>
      <c r="BF98" s="51">
        <v>0.95932448309893203</v>
      </c>
      <c r="BG98" s="1">
        <v>35</v>
      </c>
      <c r="BH98">
        <f t="shared" si="13"/>
        <v>-0.39780617203394542</v>
      </c>
      <c r="BI98">
        <f t="shared" si="14"/>
        <v>-3.9890260184553578E-2</v>
      </c>
      <c r="BJ98">
        <f t="shared" si="11"/>
        <v>-3.8267703232228771E-2</v>
      </c>
    </row>
    <row r="99" spans="1:62" x14ac:dyDescent="0.3">
      <c r="A99" s="348" t="s">
        <v>369</v>
      </c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 t="s">
        <v>57</v>
      </c>
      <c r="M99" s="348"/>
      <c r="N99" s="348"/>
      <c r="O99" s="348"/>
      <c r="P99" s="348"/>
      <c r="S99" s="66" t="s">
        <v>39</v>
      </c>
      <c r="T99" s="67">
        <f>C266</f>
        <v>0</v>
      </c>
      <c r="U99" s="67">
        <f t="shared" si="20"/>
        <v>4.3282428295426394</v>
      </c>
      <c r="V99" s="67">
        <f t="shared" si="20"/>
        <v>0.45327394067834725</v>
      </c>
      <c r="W99" s="67">
        <f t="shared" si="20"/>
        <v>1.219057600824192</v>
      </c>
      <c r="X99" s="67">
        <f t="shared" si="20"/>
        <v>2.846799600611726</v>
      </c>
      <c r="AC99" t="s">
        <v>190</v>
      </c>
      <c r="AD99" s="51">
        <v>0.95169252468265098</v>
      </c>
      <c r="AE99" s="51">
        <v>0.95401257938855599</v>
      </c>
      <c r="AK99" t="s">
        <v>28</v>
      </c>
      <c r="AL99" s="17">
        <f t="shared" ref="AL99:AQ99" si="21">SUM(AL94:AL98)</f>
        <v>0.52826467611252192</v>
      </c>
      <c r="AM99" s="17">
        <f t="shared" si="21"/>
        <v>2.5213454351918063</v>
      </c>
      <c r="AN99" s="17">
        <f t="shared" si="21"/>
        <v>58.368135298517245</v>
      </c>
      <c r="AO99" s="17">
        <f t="shared" si="21"/>
        <v>30.07321757103638</v>
      </c>
      <c r="AP99" s="17">
        <f t="shared" si="21"/>
        <v>8.5090370191420419</v>
      </c>
      <c r="AQ99" s="18">
        <f t="shared" si="21"/>
        <v>99.999999999999986</v>
      </c>
      <c r="AR99" s="13" t="s">
        <v>24</v>
      </c>
      <c r="AS99" s="12" t="s">
        <v>29</v>
      </c>
      <c r="AW99" s="1">
        <f>SUM(AW94:AW98)</f>
        <v>96584.16</v>
      </c>
      <c r="AX99" s="17">
        <f>SUM(AX94:AX98)</f>
        <v>99.999999999999986</v>
      </c>
      <c r="BF99" s="51">
        <v>0.95936869473525999</v>
      </c>
      <c r="BG99" s="1">
        <v>36</v>
      </c>
      <c r="BH99">
        <f t="shared" si="13"/>
        <v>-0.37088499448209117</v>
      </c>
      <c r="BI99">
        <f t="shared" si="14"/>
        <v>-3.7190722438501737E-2</v>
      </c>
      <c r="BJ99">
        <f t="shared" si="11"/>
        <v>-3.567961484208676E-2</v>
      </c>
    </row>
    <row r="100" spans="1:62" x14ac:dyDescent="0.3">
      <c r="A100" t="s">
        <v>315</v>
      </c>
      <c r="B100" t="s">
        <v>21</v>
      </c>
      <c r="I100" s="1" t="s">
        <v>53</v>
      </c>
      <c r="O100" s="350" t="s">
        <v>377</v>
      </c>
      <c r="P100" s="350"/>
      <c r="S100" t="s">
        <v>31</v>
      </c>
      <c r="T100" s="57">
        <f>I258</f>
        <v>100</v>
      </c>
      <c r="U100" s="57">
        <f>I259</f>
        <v>100</v>
      </c>
      <c r="V100" s="57">
        <f>I260</f>
        <v>97.42198100407056</v>
      </c>
      <c r="W100" s="57">
        <f>I261</f>
        <v>91.408934707903782</v>
      </c>
      <c r="X100" s="57">
        <f>I262</f>
        <v>92.566897918731414</v>
      </c>
      <c r="AC100" t="s">
        <v>191</v>
      </c>
      <c r="AD100" s="51">
        <v>0.94957686882933701</v>
      </c>
      <c r="AE100" s="51">
        <v>0.96148160344544198</v>
      </c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0.1345313818066175</v>
      </c>
      <c r="AN100" s="18">
        <f>SQRT(SUM((AX94*AN94-AN94*AN94)/AU94,(AX95*AN95-AN95*AN95)/AU95,(AX96*AN96-AN96*AN96)/AU96,(AX97*AN97-AN97*AN97)/AU97,(AX98*AN98-AN98*AN98)/AU98))</f>
        <v>0.27411165742079507</v>
      </c>
      <c r="AO100" s="18">
        <f>SQRT(SUM((AX94*AO94-AO94*AO94)/AU94,(AX95*AO95-AO95*AO95)/AU95,(AX96*AO96-AO96*AO96)/AU96,(AX97*AO97-AO97*AO97)/AU97,(AX98*AO98-AO98*AO98)/AU98))</f>
        <v>0.38664604525607776</v>
      </c>
      <c r="AP100" s="18">
        <f>SQRT(SUM((AX94*AP94-AP94*AP94)/AU94,(AX95*AP95-AP95*AP95)/AU95,(AX96*AP96-AP96*AP96)/AU96,(AX97*AP97-AP97*AP97)/AU97,(AX98*AP98-AP98*AP98)/AU98))</f>
        <v>0.2782369239027887</v>
      </c>
      <c r="AQ100" s="1"/>
      <c r="AR100" s="56">
        <f>(AL94+AM95+AN96+AO97+AP98)/AQ99</f>
        <v>0.96549516014643944</v>
      </c>
      <c r="AS100" s="53">
        <f>SQRT(SUM(AY94:AY98))/100</f>
        <v>3.9579295515094733E-3</v>
      </c>
      <c r="AV100" s="1"/>
      <c r="AW100" s="9"/>
      <c r="BF100" s="51">
        <v>0.95958581635712836</v>
      </c>
      <c r="BG100" s="1">
        <v>37</v>
      </c>
      <c r="BH100">
        <f t="shared" si="13"/>
        <v>-0.34423000787040897</v>
      </c>
      <c r="BI100">
        <f t="shared" si="14"/>
        <v>-3.4517877153775828E-2</v>
      </c>
      <c r="BJ100">
        <f t="shared" si="11"/>
        <v>-3.3122865327521046E-2</v>
      </c>
    </row>
    <row r="101" spans="1:62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51</v>
      </c>
      <c r="O101" s="13" t="s">
        <v>644</v>
      </c>
      <c r="P101" s="13" t="s">
        <v>633</v>
      </c>
      <c r="S101" s="66" t="s">
        <v>39</v>
      </c>
      <c r="T101" s="67">
        <f>J258</f>
        <v>0</v>
      </c>
      <c r="U101" s="67">
        <f>J259</f>
        <v>0</v>
      </c>
      <c r="V101" s="67">
        <f>J260</f>
        <v>0.5841610921561714</v>
      </c>
      <c r="W101" s="67">
        <f>J261</f>
        <v>1.1625985245807122</v>
      </c>
      <c r="X101" s="67">
        <f>J262</f>
        <v>0.82619514296696372</v>
      </c>
      <c r="AC101" t="s">
        <v>192</v>
      </c>
      <c r="AD101" s="51">
        <v>0.95239774330042304</v>
      </c>
      <c r="AE101" s="51">
        <v>0.96296798847529297</v>
      </c>
      <c r="AK101" s="1" t="s">
        <v>30</v>
      </c>
      <c r="AL101" s="17">
        <f>AL94/AL99*100</f>
        <v>100</v>
      </c>
      <c r="AM101" s="17">
        <f>AM95/AM99*100</f>
        <v>86.862366905392705</v>
      </c>
      <c r="AN101" s="17">
        <f>AN96/AN99*100</f>
        <v>97.979806597933575</v>
      </c>
      <c r="AO101" s="17">
        <f>AO97/AO99*100</f>
        <v>98.030132383145911</v>
      </c>
      <c r="AP101" s="17">
        <f>AP98/AP99*100</f>
        <v>84.161696822879136</v>
      </c>
      <c r="AQ101" s="1"/>
      <c r="BF101" s="51">
        <v>0.95983300291886797</v>
      </c>
      <c r="BG101" s="1">
        <v>38</v>
      </c>
      <c r="BH101">
        <f t="shared" si="13"/>
        <v>-0.31781741294915428</v>
      </c>
      <c r="BI101">
        <f t="shared" si="14"/>
        <v>-3.186933784587348E-2</v>
      </c>
      <c r="BJ101">
        <f t="shared" si="11"/>
        <v>-3.058924224564067E-2</v>
      </c>
    </row>
    <row r="102" spans="1:62" x14ac:dyDescent="0.3">
      <c r="A102" t="s">
        <v>3</v>
      </c>
      <c r="B102" s="13">
        <v>0</v>
      </c>
      <c r="C102" s="26">
        <v>451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451</v>
      </c>
      <c r="I102" s="10">
        <f>C102/H102</f>
        <v>1</v>
      </c>
      <c r="J102" s="11">
        <f>1-I102</f>
        <v>0</v>
      </c>
      <c r="K102">
        <f>H102-C107</f>
        <v>0</v>
      </c>
      <c r="N102" s="10">
        <f>2*(C108*I102)/(C108+I102)</f>
        <v>1</v>
      </c>
      <c r="O102" s="1"/>
      <c r="P102" s="1"/>
      <c r="S102" s="66" t="s">
        <v>51</v>
      </c>
      <c r="T102" s="67">
        <f>N247*100</f>
        <v>100</v>
      </c>
      <c r="U102" s="67">
        <f>N248*100</f>
        <v>95</v>
      </c>
      <c r="V102" s="67">
        <f>N249*100</f>
        <v>96.375838926174495</v>
      </c>
      <c r="W102" s="67">
        <f>N250*100</f>
        <v>89.186923721709974</v>
      </c>
      <c r="X102" s="67">
        <f>N251*100</f>
        <v>94.966954753431637</v>
      </c>
      <c r="AC102" t="s">
        <v>193</v>
      </c>
      <c r="AD102" s="51">
        <v>0.94675599435825097</v>
      </c>
      <c r="AE102" s="51">
        <v>0.963961759600931</v>
      </c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4.63870055752753</v>
      </c>
      <c r="AN102" s="18">
        <f>SQRT((AN105+AN106)/(AN99*AN99))</f>
        <v>0.40381620908914762</v>
      </c>
      <c r="AO102" s="18">
        <f>SQRT((AO105+AO106)/(AO99*AO99))</f>
        <v>0.46913011862175175</v>
      </c>
      <c r="AP102" s="18">
        <f>SQRT((AP105+AP106)/(AP99*AP99))</f>
        <v>2.9303966484371626</v>
      </c>
      <c r="AQ102" s="1"/>
      <c r="AR102" s="14"/>
      <c r="BF102" s="51">
        <v>0.95992752169048601</v>
      </c>
      <c r="BG102" s="1">
        <v>39</v>
      </c>
      <c r="BH102">
        <f t="shared" si="13"/>
        <v>-0.29162472875305201</v>
      </c>
      <c r="BI102">
        <f t="shared" si="14"/>
        <v>-2.9242850222083651E-2</v>
      </c>
      <c r="BJ102">
        <f t="shared" si="11"/>
        <v>-2.8071016740850836E-2</v>
      </c>
    </row>
    <row r="103" spans="1:62" x14ac:dyDescent="0.3">
      <c r="A103" t="s">
        <v>4</v>
      </c>
      <c r="B103" s="13">
        <v>1</v>
      </c>
      <c r="C103" s="5">
        <v>0</v>
      </c>
      <c r="D103" s="27">
        <v>57</v>
      </c>
      <c r="E103" s="1">
        <v>0</v>
      </c>
      <c r="F103" s="1">
        <v>0</v>
      </c>
      <c r="G103" s="6">
        <v>0</v>
      </c>
      <c r="H103" s="1">
        <f>SUM(C103:G103)</f>
        <v>57</v>
      </c>
      <c r="I103" s="10">
        <f>D103/H103</f>
        <v>1</v>
      </c>
      <c r="J103" s="11">
        <f>1-I103</f>
        <v>0</v>
      </c>
      <c r="K103">
        <f>H103-D107</f>
        <v>-6</v>
      </c>
      <c r="N103" s="10">
        <f>2*(D108*I103)/(D108+I103)</f>
        <v>0.95000000000000007</v>
      </c>
      <c r="O103" s="1"/>
      <c r="P103" s="1"/>
      <c r="R103" s="16" t="s">
        <v>61</v>
      </c>
      <c r="S103" t="s">
        <v>9</v>
      </c>
      <c r="T103" s="30">
        <f>N258</f>
        <v>574.4</v>
      </c>
      <c r="U103" s="30">
        <f>N259</f>
        <v>2324.67</v>
      </c>
      <c r="V103" s="30">
        <f>N260</f>
        <v>54788.13</v>
      </c>
      <c r="W103" s="30">
        <f>N261</f>
        <v>31086.79</v>
      </c>
      <c r="X103" s="30">
        <f>N262</f>
        <v>7810.17</v>
      </c>
      <c r="Z103" t="s">
        <v>36</v>
      </c>
      <c r="AA103" s="1">
        <f>N263</f>
        <v>96584.159999999989</v>
      </c>
      <c r="AC103" t="s">
        <v>194</v>
      </c>
      <c r="AD103" s="51">
        <v>0.94816643159379399</v>
      </c>
      <c r="AE103" s="51">
        <v>0.96178432998829599</v>
      </c>
      <c r="AK103" s="1" t="s">
        <v>37</v>
      </c>
      <c r="AL103" s="18">
        <f>100-AL101</f>
        <v>0</v>
      </c>
      <c r="AM103" s="18">
        <f>100-AM101</f>
        <v>13.137633094607295</v>
      </c>
      <c r="AN103" s="18">
        <f>100-AN101</f>
        <v>2.0201934020664254</v>
      </c>
      <c r="AO103" s="18">
        <f>100-AO101</f>
        <v>1.9698676168540885</v>
      </c>
      <c r="AP103" s="18">
        <f>100-AP101</f>
        <v>15.838303177120864</v>
      </c>
      <c r="BF103" s="51">
        <v>0.95993623506252401</v>
      </c>
      <c r="BG103" s="1">
        <v>40</v>
      </c>
      <c r="BH103">
        <f t="shared" si="13"/>
        <v>-0.26563063350790211</v>
      </c>
      <c r="BI103">
        <f t="shared" si="14"/>
        <v>-2.6636276228298016E-2</v>
      </c>
      <c r="BJ103">
        <f t="shared" si="11"/>
        <v>-2.5569126718677806E-2</v>
      </c>
    </row>
    <row r="104" spans="1:62" ht="15.6" x14ac:dyDescent="0.35">
      <c r="A104" t="s">
        <v>5</v>
      </c>
      <c r="B104" s="13">
        <v>2</v>
      </c>
      <c r="C104" s="5">
        <v>0</v>
      </c>
      <c r="D104" s="1">
        <v>0</v>
      </c>
      <c r="E104" s="27">
        <v>728</v>
      </c>
      <c r="F104" s="1">
        <v>8</v>
      </c>
      <c r="G104" s="6">
        <v>1</v>
      </c>
      <c r="H104" s="1">
        <f>SUM(C104:G104)</f>
        <v>737</v>
      </c>
      <c r="I104" s="10">
        <f>E104/H104</f>
        <v>0.98778833107191311</v>
      </c>
      <c r="J104" s="11">
        <f>1-I104</f>
        <v>1.2211668928086894E-2</v>
      </c>
      <c r="K104">
        <f>H104-E107</f>
        <v>-21</v>
      </c>
      <c r="N104" s="10">
        <f>2*(E108*I104)/(E108+I104)</f>
        <v>0.97391304347826091</v>
      </c>
      <c r="O104" s="1"/>
      <c r="P104" s="1"/>
      <c r="R104" s="16" t="s">
        <v>318</v>
      </c>
      <c r="S104" t="s">
        <v>63</v>
      </c>
      <c r="T104" s="57">
        <f>$AA103*T96/100</f>
        <v>574.4</v>
      </c>
      <c r="U104" s="57">
        <f>$AA103*U96/100</f>
        <v>2645.152371134021</v>
      </c>
      <c r="V104" s="57">
        <f>$AA103*V96/100</f>
        <v>54605.736976367727</v>
      </c>
      <c r="W104" s="57">
        <f>$AA103*W96/100</f>
        <v>30226.383415888562</v>
      </c>
      <c r="X104" s="57">
        <f>$AA103*X96/100</f>
        <v>8532.4872366096861</v>
      </c>
      <c r="Z104" t="s">
        <v>36</v>
      </c>
      <c r="AA104" s="25">
        <f>SUM(T104:X104)</f>
        <v>96584.159999999989</v>
      </c>
      <c r="AC104" t="s">
        <v>195</v>
      </c>
      <c r="AD104" s="51">
        <v>0.93864598025387802</v>
      </c>
      <c r="AE104" s="51">
        <v>0.95992752169048601</v>
      </c>
      <c r="AH104" s="78"/>
      <c r="AI104" s="78"/>
      <c r="AK104" s="1" t="s">
        <v>25</v>
      </c>
      <c r="AL104" s="1">
        <f>AL88</f>
        <v>451</v>
      </c>
      <c r="AM104" s="1">
        <f>AM88</f>
        <v>63</v>
      </c>
      <c r="AN104" s="1">
        <f>AN88</f>
        <v>770</v>
      </c>
      <c r="AO104" s="1">
        <f>AO88</f>
        <v>593</v>
      </c>
      <c r="AP104" s="1">
        <f>AP88</f>
        <v>959</v>
      </c>
      <c r="BF104" s="51">
        <v>0.96000984218871899</v>
      </c>
      <c r="BG104" s="1">
        <v>41</v>
      </c>
      <c r="BH104">
        <f t="shared" si="13"/>
        <v>-0.23981482260806397</v>
      </c>
      <c r="BI104">
        <f t="shared" si="14"/>
        <v>-2.4047579807615273E-2</v>
      </c>
      <c r="BJ104">
        <f t="shared" si="11"/>
        <v>-2.3085913296129364E-2</v>
      </c>
    </row>
    <row r="105" spans="1:62" x14ac:dyDescent="0.3">
      <c r="A105" t="s">
        <v>6</v>
      </c>
      <c r="B105" s="13">
        <v>3</v>
      </c>
      <c r="C105" s="5">
        <v>0</v>
      </c>
      <c r="D105" s="1">
        <v>6</v>
      </c>
      <c r="E105" s="1">
        <v>19</v>
      </c>
      <c r="F105" s="27">
        <v>531</v>
      </c>
      <c r="G105" s="6">
        <v>26</v>
      </c>
      <c r="H105" s="1">
        <f>SUM(C105:G105)</f>
        <v>582</v>
      </c>
      <c r="I105" s="10">
        <f>F105/H105</f>
        <v>0.91237113402061853</v>
      </c>
      <c r="J105" s="11">
        <f>1-I105</f>
        <v>8.7628865979381465E-2</v>
      </c>
      <c r="K105">
        <f>H105-F107</f>
        <v>-12</v>
      </c>
      <c r="N105" s="10">
        <f>2*(F108*I105)/(F108+I105)</f>
        <v>0.90306122448979587</v>
      </c>
      <c r="O105" s="1"/>
      <c r="P105" s="1"/>
      <c r="R105" s="66"/>
      <c r="S105" s="66" t="s">
        <v>62</v>
      </c>
      <c r="T105" s="67">
        <f>$AA103*T97/100</f>
        <v>0</v>
      </c>
      <c r="U105" s="67">
        <f>$AA103*U97/100</f>
        <v>130.16021860954285</v>
      </c>
      <c r="V105" s="67">
        <f>$AA103*V97/100</f>
        <v>401.08916673459009</v>
      </c>
      <c r="W105" s="67">
        <f>$AA103*W97/100</f>
        <v>480.49417323439758</v>
      </c>
      <c r="X105" s="67">
        <f>$AA103*X97/100</f>
        <v>269.63841992143813</v>
      </c>
      <c r="AA105" s="1"/>
      <c r="AC105" t="s">
        <v>196</v>
      </c>
      <c r="AD105" s="51">
        <v>0.94851904090267902</v>
      </c>
      <c r="AE105" s="51">
        <v>0.96270091275471903</v>
      </c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0</v>
      </c>
      <c r="AN105" s="18">
        <f>(AX96*AX96*(100-AN101)*(100-AN101)*(AR96)*(100-AR96))/((AU96-1)*100)</f>
        <v>7.4123867485918353</v>
      </c>
      <c r="AO105" s="18">
        <f>(AX97*AX97*(100-AO101)*(100-AO101)*(AR97)*(100-AR97))/((AU97-1)*100)</f>
        <v>52.176735126883486</v>
      </c>
      <c r="AP105" s="18">
        <f>(AX98*AX98*(100-AP101)*(100-AP101)*(AR98)*(100-AR98))/((AU98-1)*100)</f>
        <v>101.01053531781595</v>
      </c>
      <c r="BF105" s="51">
        <v>0.96003270275652886</v>
      </c>
      <c r="BG105" s="1">
        <v>42</v>
      </c>
      <c r="BH105">
        <f t="shared" si="13"/>
        <v>-0.21415788100561844</v>
      </c>
      <c r="BI105">
        <f t="shared" si="14"/>
        <v>-2.1474814104085378E-2</v>
      </c>
      <c r="BJ105">
        <f t="shared" si="11"/>
        <v>-2.061652382553911E-2</v>
      </c>
    </row>
    <row r="106" spans="1:62" x14ac:dyDescent="0.3">
      <c r="A106" t="s">
        <v>7</v>
      </c>
      <c r="B106" s="13">
        <v>4</v>
      </c>
      <c r="C106" s="7">
        <v>0</v>
      </c>
      <c r="D106" s="8">
        <v>0</v>
      </c>
      <c r="E106" s="8">
        <v>11</v>
      </c>
      <c r="F106" s="8">
        <v>55</v>
      </c>
      <c r="G106" s="28">
        <v>943</v>
      </c>
      <c r="H106" s="1">
        <f>SUM(C106:G106)</f>
        <v>1009</v>
      </c>
      <c r="I106" s="10">
        <f>G106/H106</f>
        <v>0.93458870168483643</v>
      </c>
      <c r="J106" s="11">
        <f>1-I106</f>
        <v>6.5411298315163569E-2</v>
      </c>
      <c r="K106">
        <f>H106-G107</f>
        <v>39</v>
      </c>
      <c r="N106" s="10">
        <f>2*(G108*I106)/(G108+I106)</f>
        <v>0.95300656897422942</v>
      </c>
      <c r="O106" s="1"/>
      <c r="P106" s="1"/>
      <c r="R106" t="s">
        <v>97</v>
      </c>
      <c r="S106" t="s">
        <v>28</v>
      </c>
      <c r="T106" s="57">
        <f>C292</f>
        <v>0.68017364338003261</v>
      </c>
      <c r="U106" s="57">
        <f t="shared" ref="U106:X109" si="22">D292</f>
        <v>2.0963810321581491</v>
      </c>
      <c r="V106" s="57">
        <f t="shared" si="22"/>
        <v>58.576320848073941</v>
      </c>
      <c r="W106" s="57">
        <f t="shared" si="22"/>
        <v>29.719564592211668</v>
      </c>
      <c r="X106" s="57">
        <f t="shared" si="22"/>
        <v>8.9275598841762136</v>
      </c>
      <c r="Y106" s="60"/>
      <c r="Z106" s="74"/>
      <c r="AA106" s="12"/>
      <c r="AC106" t="s">
        <v>197</v>
      </c>
      <c r="AD106" s="51">
        <v>0.94992947813822204</v>
      </c>
      <c r="AE106" s="51">
        <v>0.962105059548231</v>
      </c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136.79095345980909</v>
      </c>
      <c r="AN106" s="18">
        <f>AN101*AN101*(SUM((AQ94*AN94*(1-AN83/AQ83))/(AQ83-1),(AQ95*AN95*(1-AN84/AQ84))/(AQ84-1), (AQ97*AN97*(1-AN86/AQ86))/(AQ86-1),(AQ98*AN98*(1-AN87/AQ87))/(AQ87-1)))</f>
        <v>548.13247213824366</v>
      </c>
      <c r="AO106" s="18">
        <f>AO101*AO101*(SUM((AQ94*AO94*(1-AO83/AQ83))/(AQ83-1),(AQ95*AO95*(1-AO84/AQ84))/(AQ84-1), (AQ96*AO96*(1-AO85/AQ85))/(AQ85-1),(AQ98*AO98*(1-AO87/AQ87))/(AQ87-1)))</f>
        <v>146.86604293626016</v>
      </c>
      <c r="AP106" s="18">
        <f>AP101*AP101*(SUM((AQ94*AP94*(1-AP83/AQ83))/(AQ83-1),(AQ95*AP95*(1-AP84/AQ84))/(AQ84-1), (AQ96*AP96*(1-AP85/AQ85))/(AQ85-1),(AQ97*AP97*(1-AP86/AQ86))/(AQ86-1)))</f>
        <v>520.73638685660558</v>
      </c>
      <c r="BF106" s="51">
        <v>0.96004711862547698</v>
      </c>
      <c r="BG106" s="1">
        <v>43</v>
      </c>
      <c r="BH106">
        <f t="shared" si="13"/>
        <v>-0.18864116776152437</v>
      </c>
      <c r="BI106">
        <f t="shared" si="14"/>
        <v>-1.891610988600527E-2</v>
      </c>
      <c r="BJ106">
        <f t="shared" si="11"/>
        <v>-1.8160356791662259E-2</v>
      </c>
    </row>
    <row r="107" spans="1:62" ht="15.6" x14ac:dyDescent="0.35">
      <c r="B107" s="1" t="s">
        <v>19</v>
      </c>
      <c r="C107" s="1">
        <f>SUM(C102:C106)</f>
        <v>451</v>
      </c>
      <c r="D107" s="1">
        <f>SUM(D102:D106)</f>
        <v>63</v>
      </c>
      <c r="E107" s="1">
        <f>SUM(E102:E106)</f>
        <v>758</v>
      </c>
      <c r="F107" s="1">
        <f>SUM(F102:F106)</f>
        <v>594</v>
      </c>
      <c r="G107" s="1">
        <f>SUM(G102:G106)</f>
        <v>970</v>
      </c>
      <c r="H107" s="1">
        <f>SUM(H101:H106)</f>
        <v>2836</v>
      </c>
      <c r="I107" s="13" t="s">
        <v>12</v>
      </c>
      <c r="N107" s="16" t="s">
        <v>36</v>
      </c>
      <c r="O107" s="1">
        <f>SUM(O102:O106)</f>
        <v>0</v>
      </c>
      <c r="P107" s="1">
        <f>SUM(P102:P106)</f>
        <v>0</v>
      </c>
      <c r="S107" s="66" t="s">
        <v>39</v>
      </c>
      <c r="T107" s="67">
        <f>C293</f>
        <v>0</v>
      </c>
      <c r="U107" s="67">
        <f t="shared" si="22"/>
        <v>9.4044000166718045E-2</v>
      </c>
      <c r="V107" s="67">
        <f t="shared" si="22"/>
        <v>0.2956859796869058</v>
      </c>
      <c r="W107" s="67">
        <f t="shared" si="22"/>
        <v>0.39006484460408164</v>
      </c>
      <c r="X107" s="67">
        <f t="shared" si="22"/>
        <v>0.27769831837343978</v>
      </c>
      <c r="AC107" t="s">
        <v>198</v>
      </c>
      <c r="AD107" s="51">
        <v>0.93053596614950596</v>
      </c>
      <c r="AE107" s="51">
        <v>0.95322555430434597</v>
      </c>
      <c r="BF107" s="51">
        <v>0.96022112481903299</v>
      </c>
      <c r="BG107" s="1">
        <v>44</v>
      </c>
      <c r="BH107">
        <f t="shared" si="13"/>
        <v>-0.16324671084032114</v>
      </c>
      <c r="BI107">
        <f t="shared" si="14"/>
        <v>-1.6369664996392561E-2</v>
      </c>
      <c r="BJ107">
        <f t="shared" si="11"/>
        <v>-1.5718498135746817E-2</v>
      </c>
    </row>
    <row r="108" spans="1:62" x14ac:dyDescent="0.3">
      <c r="A108" s="1" t="s">
        <v>316</v>
      </c>
      <c r="B108" s="1" t="s">
        <v>2</v>
      </c>
      <c r="C108" s="10">
        <f>C102/C107</f>
        <v>1</v>
      </c>
      <c r="D108" s="10">
        <f>D103/D107</f>
        <v>0.90476190476190477</v>
      </c>
      <c r="E108" s="10">
        <f>E104/E107</f>
        <v>0.9604221635883905</v>
      </c>
      <c r="F108" s="10">
        <f>F105/F107</f>
        <v>0.89393939393939392</v>
      </c>
      <c r="G108" s="10">
        <f>G106/G107</f>
        <v>0.97216494845360824</v>
      </c>
      <c r="H108" s="10"/>
      <c r="I108" s="14">
        <f>(C102+D103+E104+F105+G106)/H107</f>
        <v>0.95557122708039488</v>
      </c>
      <c r="S108" t="s">
        <v>30</v>
      </c>
      <c r="T108" s="57">
        <f>C294</f>
        <v>100</v>
      </c>
      <c r="U108" s="57">
        <f t="shared" si="22"/>
        <v>92.209887853734941</v>
      </c>
      <c r="V108" s="57">
        <f t="shared" si="22"/>
        <v>97.529670466035185</v>
      </c>
      <c r="W108" s="57">
        <f t="shared" si="22"/>
        <v>97.445517535412023</v>
      </c>
      <c r="X108" s="57">
        <f t="shared" si="22"/>
        <v>85.103662173164409</v>
      </c>
      <c r="AC108" t="s">
        <v>199</v>
      </c>
      <c r="AD108" s="51">
        <v>0.94005641748942104</v>
      </c>
      <c r="AE108" s="51">
        <v>0.960505252893191</v>
      </c>
      <c r="AH108" s="78"/>
      <c r="AI108" s="78"/>
      <c r="AJ108" s="118" t="s">
        <v>352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  <c r="BF108" s="51">
        <v>0.96027030000013203</v>
      </c>
      <c r="BG108" s="1">
        <v>45</v>
      </c>
      <c r="BH108">
        <f t="shared" si="13"/>
        <v>-0.13795711049811366</v>
      </c>
      <c r="BI108">
        <f t="shared" si="14"/>
        <v>-1.3833734665155898E-2</v>
      </c>
      <c r="BJ108">
        <f t="shared" si="11"/>
        <v>-1.328412453703148E-2</v>
      </c>
    </row>
    <row r="109" spans="1:62" x14ac:dyDescent="0.3">
      <c r="B109" s="1" t="s">
        <v>14</v>
      </c>
      <c r="C109" s="11">
        <f>1-C108</f>
        <v>0</v>
      </c>
      <c r="D109" s="11">
        <f>1-D108</f>
        <v>9.5238095238095233E-2</v>
      </c>
      <c r="E109" s="11">
        <f>1-E108</f>
        <v>3.9577836411609502E-2</v>
      </c>
      <c r="F109" s="11">
        <f>1-F108</f>
        <v>0.10606060606060608</v>
      </c>
      <c r="G109" s="11">
        <f>1-G108</f>
        <v>2.7835051546391765E-2</v>
      </c>
      <c r="S109" s="66" t="s">
        <v>39</v>
      </c>
      <c r="T109" s="67">
        <f>C295</f>
        <v>0</v>
      </c>
      <c r="U109" s="67">
        <f t="shared" si="22"/>
        <v>4.1401091587839565</v>
      </c>
      <c r="V109" s="67">
        <f t="shared" si="22"/>
        <v>0.44243833180262709</v>
      </c>
      <c r="W109" s="67">
        <f t="shared" si="22"/>
        <v>0.52926392824128976</v>
      </c>
      <c r="X109" s="67">
        <f t="shared" si="22"/>
        <v>2.8409532490032823</v>
      </c>
      <c r="AC109" t="s">
        <v>200</v>
      </c>
      <c r="AD109" s="51">
        <v>0.94428772919604997</v>
      </c>
      <c r="AE109" s="51">
        <v>0.95808115205987299</v>
      </c>
      <c r="AJ109" s="106" t="s">
        <v>656</v>
      </c>
      <c r="AK109" s="107" t="s">
        <v>28</v>
      </c>
      <c r="AL109" s="108">
        <f t="shared" ref="AL109:AP112" si="23">AL99</f>
        <v>0.52826467611252192</v>
      </c>
      <c r="AM109" s="108">
        <f t="shared" si="23"/>
        <v>2.5213454351918063</v>
      </c>
      <c r="AN109" s="108">
        <f t="shared" si="23"/>
        <v>58.368135298517245</v>
      </c>
      <c r="AO109" s="108">
        <f t="shared" si="23"/>
        <v>30.07321757103638</v>
      </c>
      <c r="AP109" s="108">
        <f t="shared" si="23"/>
        <v>8.5090370191420419</v>
      </c>
      <c r="AQ109" s="107"/>
      <c r="AR109" s="228" t="s">
        <v>72</v>
      </c>
      <c r="AS109" s="231">
        <f>AR100</f>
        <v>0.96549516014643944</v>
      </c>
      <c r="BF109" s="51">
        <v>0.96035779251152298</v>
      </c>
      <c r="BG109" s="1">
        <v>46</v>
      </c>
      <c r="BH109">
        <f t="shared" si="13"/>
        <v>-0.1127554498305592</v>
      </c>
      <c r="BI109">
        <f t="shared" si="14"/>
        <v>-1.1306622539238973E-2</v>
      </c>
      <c r="BJ109">
        <f t="shared" si="11"/>
        <v>-1.0858403062544571E-2</v>
      </c>
    </row>
    <row r="110" spans="1:62" x14ac:dyDescent="0.3">
      <c r="C110" s="2"/>
      <c r="S110" s="15" t="s">
        <v>31</v>
      </c>
      <c r="T110" s="71">
        <f>I287</f>
        <v>100</v>
      </c>
      <c r="U110" s="71">
        <f>I288</f>
        <v>100</v>
      </c>
      <c r="V110" s="71">
        <f>I289</f>
        <v>99.592944369063773</v>
      </c>
      <c r="W110" s="71">
        <f>I290</f>
        <v>91.408934707903782</v>
      </c>
      <c r="X110" s="71">
        <f>I291</f>
        <v>91.080277502477699</v>
      </c>
      <c r="AC110" t="s">
        <v>201</v>
      </c>
      <c r="AD110" s="51">
        <v>0.95239774330042304</v>
      </c>
      <c r="AE110" s="51">
        <v>0.96475539739655103</v>
      </c>
      <c r="AH110" s="78"/>
      <c r="AI110" s="78"/>
      <c r="AJ110" s="107"/>
      <c r="AK110" s="109" t="s">
        <v>39</v>
      </c>
      <c r="AL110" s="110">
        <f t="shared" si="23"/>
        <v>0</v>
      </c>
      <c r="AM110" s="110">
        <f t="shared" si="23"/>
        <v>0.1345313818066175</v>
      </c>
      <c r="AN110" s="110">
        <f t="shared" si="23"/>
        <v>0.27411165742079507</v>
      </c>
      <c r="AO110" s="110">
        <f t="shared" si="23"/>
        <v>0.38664604525607776</v>
      </c>
      <c r="AP110" s="110">
        <f t="shared" si="23"/>
        <v>0.2782369239027887</v>
      </c>
      <c r="AQ110" s="107"/>
      <c r="AR110" s="228" t="s">
        <v>29</v>
      </c>
      <c r="AS110" s="230">
        <f>AS100</f>
        <v>3.9579295515094733E-3</v>
      </c>
      <c r="AX110" s="103" t="s">
        <v>363</v>
      </c>
      <c r="BF110" s="51">
        <v>0.96039451098349005</v>
      </c>
      <c r="BG110" s="1">
        <v>47</v>
      </c>
      <c r="BH110">
        <f t="shared" si="13"/>
        <v>-8.7625211222515251E-2</v>
      </c>
      <c r="BI110">
        <f t="shared" si="14"/>
        <v>-8.7866723045572307E-3</v>
      </c>
      <c r="BJ110">
        <f t="shared" si="11"/>
        <v>-8.4386718511074172E-3</v>
      </c>
    </row>
    <row r="111" spans="1:62" ht="15.6" x14ac:dyDescent="0.35">
      <c r="A111" t="s">
        <v>317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0</v>
      </c>
      <c r="V111" s="76">
        <f>J289</f>
        <v>0.2346941488143626</v>
      </c>
      <c r="W111" s="76">
        <f>J290</f>
        <v>1.1625985245807122</v>
      </c>
      <c r="X111" s="76">
        <f>J291</f>
        <v>0.89775447398216002</v>
      </c>
      <c r="AC111" t="s">
        <v>155</v>
      </c>
      <c r="AD111" s="51">
        <v>0.95169252468265098</v>
      </c>
      <c r="AE111" s="51">
        <v>0.96039451098349005</v>
      </c>
      <c r="AJ111" s="107"/>
      <c r="AK111" s="107" t="s">
        <v>30</v>
      </c>
      <c r="AL111" s="108">
        <f t="shared" si="23"/>
        <v>100</v>
      </c>
      <c r="AM111" s="108">
        <f t="shared" si="23"/>
        <v>86.862366905392705</v>
      </c>
      <c r="AN111" s="108">
        <f t="shared" si="23"/>
        <v>97.979806597933575</v>
      </c>
      <c r="AO111" s="108">
        <f t="shared" si="23"/>
        <v>98.030132383145911</v>
      </c>
      <c r="AP111" s="108">
        <f t="shared" si="23"/>
        <v>84.161696822879136</v>
      </c>
      <c r="AQ111" s="107"/>
      <c r="AR111" s="107"/>
      <c r="AS111" s="107"/>
      <c r="AU111" s="103" t="s">
        <v>363</v>
      </c>
      <c r="AW111" s="101"/>
      <c r="AX111" s="1" t="s">
        <v>357</v>
      </c>
      <c r="AY111" s="96"/>
      <c r="BF111" s="51">
        <v>0.960505252893191</v>
      </c>
      <c r="BG111" s="1">
        <v>48</v>
      </c>
      <c r="BH111">
        <f t="shared" si="13"/>
        <v>-6.2550197581039788E-2</v>
      </c>
      <c r="BI111">
        <f t="shared" si="14"/>
        <v>-6.2722597875882035E-3</v>
      </c>
      <c r="BJ111">
        <f t="shared" si="11"/>
        <v>-6.0245384734891995E-3</v>
      </c>
    </row>
    <row r="112" spans="1:62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51</v>
      </c>
      <c r="T112" s="67">
        <f>N276*100</f>
        <v>100</v>
      </c>
      <c r="U112" s="67">
        <f>N277*100</f>
        <v>97.435897435897431</v>
      </c>
      <c r="V112" s="67">
        <f>N278*100</f>
        <v>97.089947089947088</v>
      </c>
      <c r="W112" s="67">
        <f>N279*100</f>
        <v>89.486963835155592</v>
      </c>
      <c r="X112" s="67">
        <f>N280*100</f>
        <v>94.159836065573771</v>
      </c>
      <c r="AC112" t="s">
        <v>202</v>
      </c>
      <c r="AD112" s="51">
        <v>0.94992947813822204</v>
      </c>
      <c r="AE112" s="51">
        <v>0.96332271375460199</v>
      </c>
      <c r="AH112" s="78"/>
      <c r="AI112" s="78"/>
      <c r="AJ112" s="107"/>
      <c r="AK112" s="109" t="s">
        <v>39</v>
      </c>
      <c r="AL112" s="110">
        <f t="shared" si="23"/>
        <v>0</v>
      </c>
      <c r="AM112" s="110">
        <f t="shared" si="23"/>
        <v>4.63870055752753</v>
      </c>
      <c r="AN112" s="110">
        <f t="shared" si="23"/>
        <v>0.40381620908914762</v>
      </c>
      <c r="AO112" s="110">
        <f t="shared" si="23"/>
        <v>0.46913011862175175</v>
      </c>
      <c r="AP112" s="110">
        <f t="shared" si="23"/>
        <v>2.9303966484371626</v>
      </c>
      <c r="AQ112" s="107"/>
      <c r="AR112" s="107"/>
      <c r="AS112" s="107"/>
      <c r="AU112" s="93"/>
      <c r="AV112" s="1" t="s">
        <v>357</v>
      </c>
      <c r="AW112" s="97"/>
      <c r="AX112" s="71" t="s">
        <v>358</v>
      </c>
      <c r="AY112" s="95"/>
      <c r="BF112" s="51">
        <v>0.96067310371410097</v>
      </c>
      <c r="BG112" s="1">
        <v>49</v>
      </c>
      <c r="BH112">
        <f t="shared" si="13"/>
        <v>-3.7514457344072563E-2</v>
      </c>
      <c r="BI112">
        <f t="shared" si="14"/>
        <v>-3.7617854355706075E-3</v>
      </c>
      <c r="BJ112">
        <f t="shared" si="11"/>
        <v>-3.6138460898961166E-3</v>
      </c>
    </row>
    <row r="113" spans="1:62" x14ac:dyDescent="0.3">
      <c r="A113" t="s">
        <v>3</v>
      </c>
      <c r="B113" s="13">
        <v>0</v>
      </c>
      <c r="C113" s="29">
        <f>(C102/$L113)*$O113</f>
        <v>0.48436513813445187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0.48436513813445187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451</v>
      </c>
      <c r="M113">
        <v>0</v>
      </c>
      <c r="N113" s="1">
        <v>467.82</v>
      </c>
      <c r="O113" s="17">
        <f>N113/N118*100</f>
        <v>0.48436513813445187</v>
      </c>
      <c r="P113" s="52">
        <f>((O113*O113*(I113/100)*(K113/100))/(L113-1))</f>
        <v>0</v>
      </c>
      <c r="R113" s="16" t="s">
        <v>61</v>
      </c>
      <c r="S113" t="s">
        <v>9</v>
      </c>
      <c r="T113" s="30">
        <f>N287</f>
        <v>656.94</v>
      </c>
      <c r="U113" s="30">
        <f>N288</f>
        <v>1867.04</v>
      </c>
      <c r="V113" s="30">
        <f>N289</f>
        <v>55403.37</v>
      </c>
      <c r="W113" s="30">
        <f>N290</f>
        <v>30600.01</v>
      </c>
      <c r="X113" s="30">
        <f>N291</f>
        <v>8056.8</v>
      </c>
      <c r="Z113" t="s">
        <v>36</v>
      </c>
      <c r="AA113" s="1">
        <f>N292</f>
        <v>96584.16</v>
      </c>
      <c r="AC113" t="s">
        <v>156</v>
      </c>
      <c r="AD113" s="51">
        <v>0.94428772919604997</v>
      </c>
      <c r="AE113" s="51">
        <v>0.95425683358859703</v>
      </c>
      <c r="AJ113" s="107"/>
      <c r="AK113" s="111" t="s">
        <v>31</v>
      </c>
      <c r="AL113" s="112">
        <f>AR94</f>
        <v>100</v>
      </c>
      <c r="AM113" s="112">
        <f>AR95</f>
        <v>100</v>
      </c>
      <c r="AN113" s="112">
        <f>AR96</f>
        <v>99.592944369063773</v>
      </c>
      <c r="AO113" s="112">
        <f>AR97</f>
        <v>91.75257731958763</v>
      </c>
      <c r="AP113" s="112">
        <f>AR98</f>
        <v>92.666005946481661</v>
      </c>
      <c r="AQ113" s="107"/>
      <c r="AR113" s="107"/>
      <c r="AS113" s="107"/>
      <c r="AU113" s="94"/>
      <c r="AV113" s="71" t="s">
        <v>360</v>
      </c>
      <c r="AW113" s="98"/>
      <c r="AX113" s="71" t="s">
        <v>359</v>
      </c>
      <c r="AY113" s="93"/>
      <c r="BF113" s="79">
        <v>0.96069847645791195</v>
      </c>
      <c r="BG113" s="1">
        <v>50</v>
      </c>
      <c r="BH113">
        <f t="shared" si="13"/>
        <v>-1.2502212342580959E-2</v>
      </c>
      <c r="BI113">
        <f t="shared" si="14"/>
        <v>-1.25366708283635E-3</v>
      </c>
      <c r="BJ113">
        <f t="shared" si="11"/>
        <v>-1.2043960564663164E-3</v>
      </c>
    </row>
    <row r="114" spans="1:62" ht="15.6" x14ac:dyDescent="0.35">
      <c r="A114" t="s">
        <v>4</v>
      </c>
      <c r="B114" s="13">
        <v>1</v>
      </c>
      <c r="C114" s="33">
        <f t="shared" ref="C114:G117" si="24">(C103/$L114)*$O114</f>
        <v>0</v>
      </c>
      <c r="D114" s="34">
        <f t="shared" si="24"/>
        <v>2.3860020110958153</v>
      </c>
      <c r="E114" s="19">
        <f t="shared" si="24"/>
        <v>0</v>
      </c>
      <c r="F114" s="18">
        <f t="shared" si="24"/>
        <v>0</v>
      </c>
      <c r="G114" s="20">
        <f t="shared" si="24"/>
        <v>0</v>
      </c>
      <c r="H114" s="17">
        <f>SUM(C114:G114)</f>
        <v>2.3860020110958153</v>
      </c>
      <c r="I114" s="17">
        <f>D114/H114*100</f>
        <v>100</v>
      </c>
      <c r="J114" s="17">
        <f>SQRT(I114*(100-I114)/(L114-1))</f>
        <v>0</v>
      </c>
      <c r="K114" s="18">
        <f>100-I114</f>
        <v>0</v>
      </c>
      <c r="L114" s="1">
        <f>H103</f>
        <v>57</v>
      </c>
      <c r="M114">
        <v>1</v>
      </c>
      <c r="N114" s="1">
        <v>2304.5</v>
      </c>
      <c r="O114" s="17">
        <f>N114/N118*100</f>
        <v>2.3860020110958153</v>
      </c>
      <c r="P114" s="52">
        <f>((O114*O114*(I114/100)*(K114/100))/(L114-1))</f>
        <v>0</v>
      </c>
      <c r="R114" s="16" t="s">
        <v>318</v>
      </c>
      <c r="S114" t="s">
        <v>63</v>
      </c>
      <c r="T114" s="57">
        <f>$AA113*T106/100</f>
        <v>656.94000000000017</v>
      </c>
      <c r="U114" s="57">
        <f>$AA113*U106/100</f>
        <v>2024.7720103092784</v>
      </c>
      <c r="V114" s="57">
        <f>$AA113*V106/100</f>
        <v>56575.447450017091</v>
      </c>
      <c r="W114" s="57">
        <f>$AA113*W106/100</f>
        <v>28704.391817045067</v>
      </c>
      <c r="X114" s="57">
        <f>$AA113*X106/100</f>
        <v>8622.608722628569</v>
      </c>
      <c r="Z114" t="s">
        <v>36</v>
      </c>
      <c r="AA114" s="25">
        <f>SUM(T114:X114)</f>
        <v>96584.16</v>
      </c>
      <c r="AC114" t="s">
        <v>203</v>
      </c>
      <c r="AD114" s="51">
        <v>0.95310296191819399</v>
      </c>
      <c r="AE114" s="51">
        <v>0.96372191778643701</v>
      </c>
      <c r="AH114" s="78"/>
      <c r="AI114" s="78"/>
      <c r="AJ114" s="107"/>
      <c r="AK114" s="113" t="s">
        <v>39</v>
      </c>
      <c r="AL114" s="114">
        <f>AS94</f>
        <v>0</v>
      </c>
      <c r="AM114" s="114">
        <f>AS95</f>
        <v>0</v>
      </c>
      <c r="AN114" s="114">
        <f>AS96</f>
        <v>0.2346941488143626</v>
      </c>
      <c r="AO114" s="114">
        <f>AS97</f>
        <v>1.1412484385858428</v>
      </c>
      <c r="AP114" s="114">
        <f>AS98</f>
        <v>0.82110790463033556</v>
      </c>
      <c r="AQ114" s="107"/>
      <c r="AR114" s="107"/>
      <c r="AS114" s="107"/>
      <c r="AU114" s="95"/>
      <c r="AV114" s="1" t="s">
        <v>361</v>
      </c>
      <c r="AW114" s="99"/>
      <c r="AX114" s="1" t="s">
        <v>364</v>
      </c>
      <c r="AY114" s="99"/>
      <c r="BF114" s="51">
        <v>0.96077022906464205</v>
      </c>
      <c r="BG114" s="1">
        <v>51</v>
      </c>
      <c r="BH114">
        <f t="shared" si="13"/>
        <v>1.2502212342580959E-2</v>
      </c>
      <c r="BI114">
        <f t="shared" si="14"/>
        <v>1.25366708283635E-3</v>
      </c>
      <c r="BJ114">
        <f t="shared" si="11"/>
        <v>1.2044860103474816E-3</v>
      </c>
    </row>
    <row r="115" spans="1:62" x14ac:dyDescent="0.3">
      <c r="A115" t="s">
        <v>5</v>
      </c>
      <c r="B115" s="13">
        <v>2</v>
      </c>
      <c r="C115" s="33">
        <f t="shared" si="24"/>
        <v>0</v>
      </c>
      <c r="D115" s="19">
        <f t="shared" si="24"/>
        <v>0</v>
      </c>
      <c r="E115" s="34">
        <f t="shared" si="24"/>
        <v>55.714262296018283</v>
      </c>
      <c r="F115" s="19">
        <f t="shared" si="24"/>
        <v>0.61224464061558548</v>
      </c>
      <c r="G115" s="20">
        <f t="shared" si="24"/>
        <v>7.6530580076948185E-2</v>
      </c>
      <c r="H115" s="17">
        <f>SUM(C115:G115)</f>
        <v>56.403037516710818</v>
      </c>
      <c r="I115" s="17">
        <f>E115/H115*100</f>
        <v>98.778833107191303</v>
      </c>
      <c r="J115" s="17">
        <f>SQRT(I115*(100-I115)/(L115-1))</f>
        <v>0.40483732760419794</v>
      </c>
      <c r="K115" s="18">
        <f>100-I115</f>
        <v>1.2211668928086965</v>
      </c>
      <c r="L115" s="1">
        <f>H104</f>
        <v>737</v>
      </c>
      <c r="M115">
        <v>2</v>
      </c>
      <c r="N115" s="1">
        <v>54476.4</v>
      </c>
      <c r="O115" s="17">
        <f>N115/N118*100</f>
        <v>56.403037516710818</v>
      </c>
      <c r="P115" s="52">
        <f>((O115*O115*(I115/100)*(K115/100))/(L115-1))</f>
        <v>5.2139406669377844E-2</v>
      </c>
      <c r="R115" s="66"/>
      <c r="S115" s="66" t="s">
        <v>62</v>
      </c>
      <c r="T115" s="67">
        <f>$AA113*T107/100</f>
        <v>0</v>
      </c>
      <c r="U115" s="67">
        <f>$AA113*U107/100</f>
        <v>90.831607591423236</v>
      </c>
      <c r="V115" s="67">
        <f>$AA113*V107/100</f>
        <v>285.58581971836861</v>
      </c>
      <c r="W115" s="67">
        <f>$AA113*W107/100</f>
        <v>376.74085361615761</v>
      </c>
      <c r="X115" s="67">
        <f>$AA113*X107/100</f>
        <v>268.21258813511247</v>
      </c>
      <c r="AA115" s="1"/>
      <c r="AC115" t="s">
        <v>204</v>
      </c>
      <c r="AD115" s="51">
        <v>0.95133991537376505</v>
      </c>
      <c r="AE115" s="51">
        <v>0.96004711862547698</v>
      </c>
      <c r="AJ115" s="107"/>
      <c r="AK115" s="109" t="s">
        <v>51</v>
      </c>
      <c r="AL115" s="110">
        <f>AW83*100</f>
        <v>100</v>
      </c>
      <c r="AM115" s="110">
        <f>AW84*100</f>
        <v>95</v>
      </c>
      <c r="AN115" s="110">
        <f>AW85*100</f>
        <v>97.412076974120765</v>
      </c>
      <c r="AO115" s="110">
        <f>AW86*100</f>
        <v>90.893617021276583</v>
      </c>
      <c r="AP115" s="110">
        <f>AW87*100</f>
        <v>95.020325203252028</v>
      </c>
      <c r="AQ115" s="107"/>
      <c r="AR115" s="107"/>
      <c r="AS115" s="107"/>
      <c r="AU115" s="96"/>
      <c r="AV115" s="1" t="s">
        <v>362</v>
      </c>
      <c r="AW115" s="100"/>
      <c r="AX115" s="71" t="s">
        <v>365</v>
      </c>
      <c r="AY115" s="102"/>
      <c r="BF115" s="51">
        <v>0.96099828538850496</v>
      </c>
      <c r="BG115" s="1">
        <v>52</v>
      </c>
      <c r="BH115">
        <f t="shared" si="13"/>
        <v>3.7514457344072417E-2</v>
      </c>
      <c r="BI115">
        <f t="shared" si="14"/>
        <v>3.7617854355705927E-3</v>
      </c>
      <c r="BJ115">
        <f t="shared" si="11"/>
        <v>3.6150693535827901E-3</v>
      </c>
    </row>
    <row r="116" spans="1:62" x14ac:dyDescent="0.3">
      <c r="A116" t="s">
        <v>6</v>
      </c>
      <c r="B116" s="13">
        <v>3</v>
      </c>
      <c r="C116" s="33">
        <f t="shared" si="24"/>
        <v>0</v>
      </c>
      <c r="D116" s="19">
        <f t="shared" si="24"/>
        <v>0.33443799036129757</v>
      </c>
      <c r="E116" s="19">
        <f t="shared" si="24"/>
        <v>1.059053636144109</v>
      </c>
      <c r="F116" s="34">
        <f t="shared" si="24"/>
        <v>29.597762146974834</v>
      </c>
      <c r="G116" s="20">
        <f t="shared" si="24"/>
        <v>1.4492312915656227</v>
      </c>
      <c r="H116" s="17">
        <f>SUM(C116:G116)</f>
        <v>32.440485065045863</v>
      </c>
      <c r="I116" s="17">
        <f>F116/H116*100</f>
        <v>91.237113402061851</v>
      </c>
      <c r="J116" s="17">
        <f>SQRT(I116*(100-I116)/(L116-1))</f>
        <v>1.1730628945942423</v>
      </c>
      <c r="K116" s="18">
        <f>100-I116</f>
        <v>8.7628865979381487</v>
      </c>
      <c r="L116" s="1">
        <f>H105</f>
        <v>582</v>
      </c>
      <c r="M116">
        <v>3</v>
      </c>
      <c r="N116" s="1">
        <v>31332.37</v>
      </c>
      <c r="O116" s="17">
        <f>N116/N118*100</f>
        <v>32.440485065045863</v>
      </c>
      <c r="P116" s="52">
        <f>((O116*O116*(I116/100)*(K116/100))/(L116-1))</f>
        <v>0.14481624230433834</v>
      </c>
      <c r="R116" t="s">
        <v>98</v>
      </c>
      <c r="S116" t="s">
        <v>28</v>
      </c>
      <c r="T116" s="57">
        <f>C321</f>
        <v>0.49331070436394531</v>
      </c>
      <c r="U116" s="57">
        <f t="shared" ref="U116:X119" si="25">D321</f>
        <v>2.555403868320377</v>
      </c>
      <c r="V116" s="57">
        <f t="shared" si="25"/>
        <v>57.819914282147259</v>
      </c>
      <c r="W116" s="57">
        <f t="shared" si="25"/>
        <v>29.765434851708086</v>
      </c>
      <c r="X116" s="57">
        <f t="shared" si="25"/>
        <v>9.3659362934603276</v>
      </c>
      <c r="Z116" s="74"/>
      <c r="AA116" s="12"/>
      <c r="AD116" s="51"/>
      <c r="AE116" s="51"/>
      <c r="AH116" s="78"/>
      <c r="AI116" s="78"/>
      <c r="AJ116" s="115" t="s">
        <v>356</v>
      </c>
      <c r="AK116" s="107" t="s">
        <v>9</v>
      </c>
      <c r="AL116" s="116">
        <f>AW94</f>
        <v>510.22</v>
      </c>
      <c r="AM116" s="116">
        <f>AW95</f>
        <v>2115.29</v>
      </c>
      <c r="AN116" s="116">
        <f>AW96</f>
        <v>55461.26</v>
      </c>
      <c r="AO116" s="116">
        <f>AW97</f>
        <v>31033.24</v>
      </c>
      <c r="AP116" s="116">
        <f>AW98</f>
        <v>7464.15</v>
      </c>
      <c r="AQ116" s="107"/>
      <c r="AR116" s="115" t="s">
        <v>36</v>
      </c>
      <c r="AS116" s="111">
        <f>AW99</f>
        <v>96584.16</v>
      </c>
      <c r="AW116" s="102"/>
      <c r="AX116" s="1" t="s">
        <v>362</v>
      </c>
      <c r="AY116" s="104"/>
      <c r="BF116" s="51">
        <v>0.96102204510100198</v>
      </c>
      <c r="BG116" s="1">
        <v>53</v>
      </c>
      <c r="BH116">
        <f t="shared" si="13"/>
        <v>6.2550197581039788E-2</v>
      </c>
      <c r="BI116">
        <f t="shared" si="14"/>
        <v>6.2722597875882035E-3</v>
      </c>
      <c r="BJ116">
        <f t="shared" si="11"/>
        <v>6.0277799284727913E-3</v>
      </c>
    </row>
    <row r="117" spans="1:62" ht="15.6" x14ac:dyDescent="0.35">
      <c r="A117" t="s">
        <v>7</v>
      </c>
      <c r="B117" s="13">
        <v>4</v>
      </c>
      <c r="C117" s="35">
        <f t="shared" si="24"/>
        <v>0</v>
      </c>
      <c r="D117" s="36">
        <f t="shared" si="24"/>
        <v>0</v>
      </c>
      <c r="E117" s="21">
        <f t="shared" si="24"/>
        <v>9.0334205113125482E-2</v>
      </c>
      <c r="F117" s="21">
        <f t="shared" si="24"/>
        <v>0.45167102556562744</v>
      </c>
      <c r="G117" s="37">
        <f t="shared" si="24"/>
        <v>7.7441050383343031</v>
      </c>
      <c r="H117" s="17">
        <f>SUM(C117:G117)</f>
        <v>8.2861102690130561</v>
      </c>
      <c r="I117" s="17">
        <f>G117/H117*100</f>
        <v>93.458870168483642</v>
      </c>
      <c r="J117" s="17">
        <f>SQRT(I117*(100-I117)/(L117-1))</f>
        <v>0.77876492296262712</v>
      </c>
      <c r="K117" s="18">
        <f>100-I117</f>
        <v>6.5411298315163577</v>
      </c>
      <c r="L117" s="1">
        <f>H106</f>
        <v>1009</v>
      </c>
      <c r="M117">
        <v>4</v>
      </c>
      <c r="N117" s="1">
        <v>8003.07</v>
      </c>
      <c r="O117" s="17">
        <f>N117/N118*100</f>
        <v>8.2861102690130561</v>
      </c>
      <c r="P117" s="52">
        <f>((O117*O117*(I117/100)*(K117/100))/(L117-1))</f>
        <v>4.1640331723242861E-3</v>
      </c>
      <c r="S117" s="66" t="s">
        <v>39</v>
      </c>
      <c r="T117" s="67">
        <f>C322</f>
        <v>0</v>
      </c>
      <c r="U117" s="67">
        <f t="shared" si="25"/>
        <v>0.13318789912367213</v>
      </c>
      <c r="V117" s="67">
        <f t="shared" si="25"/>
        <v>0.27729896622450295</v>
      </c>
      <c r="W117" s="67">
        <f t="shared" si="25"/>
        <v>0.39388151594440707</v>
      </c>
      <c r="X117" s="67">
        <f t="shared" si="25"/>
        <v>0.28552789131988626</v>
      </c>
      <c r="AD117" s="51"/>
      <c r="AE117" s="51"/>
      <c r="AJ117" s="115" t="s">
        <v>355</v>
      </c>
      <c r="AK117" s="107" t="s">
        <v>63</v>
      </c>
      <c r="AL117" s="108">
        <f>$AS116*AL109/100</f>
        <v>510.22</v>
      </c>
      <c r="AM117" s="108">
        <f>$AS116*AM109/100</f>
        <v>2435.2203092783507</v>
      </c>
      <c r="AN117" s="108">
        <f>$AS116*AN109/100</f>
        <v>56374.373185736382</v>
      </c>
      <c r="AO117" s="108">
        <f>$AS116*AO109/100</f>
        <v>29045.964575957893</v>
      </c>
      <c r="AP117" s="108">
        <f>$AS116*AP109/100</f>
        <v>8218.3819290273805</v>
      </c>
      <c r="AQ117" s="107"/>
      <c r="AR117" s="115" t="s">
        <v>36</v>
      </c>
      <c r="AS117" s="136">
        <f>SUM(AL117:AP117)</f>
        <v>96584.16</v>
      </c>
      <c r="BF117" s="51">
        <v>0.96123674914324697</v>
      </c>
      <c r="BG117" s="1">
        <v>54</v>
      </c>
      <c r="BH117">
        <f t="shared" si="13"/>
        <v>8.762521122251539E-2</v>
      </c>
      <c r="BI117">
        <f t="shared" si="14"/>
        <v>8.7866723045572446E-3</v>
      </c>
      <c r="BJ117">
        <f t="shared" si="11"/>
        <v>8.4460723218196081E-3</v>
      </c>
    </row>
    <row r="118" spans="1:62" x14ac:dyDescent="0.3">
      <c r="B118" t="s">
        <v>28</v>
      </c>
      <c r="C118" s="17">
        <f t="shared" ref="C118:H118" si="26">SUM(C113:C117)</f>
        <v>0.48436513813445187</v>
      </c>
      <c r="D118" s="17">
        <f t="shared" si="26"/>
        <v>2.7204400014571131</v>
      </c>
      <c r="E118" s="17">
        <f t="shared" si="26"/>
        <v>56.863650137275513</v>
      </c>
      <c r="F118" s="17">
        <f t="shared" si="26"/>
        <v>30.661677813156047</v>
      </c>
      <c r="G118" s="17">
        <f t="shared" si="26"/>
        <v>9.2698669099768747</v>
      </c>
      <c r="H118" s="18">
        <f t="shared" si="26"/>
        <v>100</v>
      </c>
      <c r="I118" s="13" t="s">
        <v>24</v>
      </c>
      <c r="J118" s="12" t="s">
        <v>29</v>
      </c>
      <c r="N118" s="1">
        <f>SUM(N113:N117)</f>
        <v>96584.16</v>
      </c>
      <c r="O118" s="17">
        <f>SUM(O113:O117)</f>
        <v>100</v>
      </c>
      <c r="S118" t="s">
        <v>30</v>
      </c>
      <c r="T118" s="57">
        <f>C323</f>
        <v>100</v>
      </c>
      <c r="U118" s="57">
        <f t="shared" si="25"/>
        <v>87.166914243469463</v>
      </c>
      <c r="V118" s="57">
        <f t="shared" si="25"/>
        <v>98.095934812044888</v>
      </c>
      <c r="W118" s="57">
        <f t="shared" si="25"/>
        <v>97.871077867888829</v>
      </c>
      <c r="X118" s="57">
        <f t="shared" si="25"/>
        <v>84.584732668042577</v>
      </c>
      <c r="AD118" s="51"/>
      <c r="AE118" s="51"/>
      <c r="AH118" s="78"/>
      <c r="AI118" s="78"/>
      <c r="AJ118" s="109"/>
      <c r="AK118" s="109" t="s">
        <v>354</v>
      </c>
      <c r="AL118" s="110">
        <f>$AS116*AL110/100</f>
        <v>0</v>
      </c>
      <c r="AM118" s="110">
        <f>$AS116*AM110/100</f>
        <v>129.93600505431434</v>
      </c>
      <c r="AN118" s="110">
        <f>$AS116*AN110/100</f>
        <v>264.74844178195258</v>
      </c>
      <c r="AO118" s="110">
        <f>$AS116*AO110/100</f>
        <v>373.43883498380256</v>
      </c>
      <c r="AP118" s="110">
        <f>$AS116*AP110/100</f>
        <v>268.73279576134769</v>
      </c>
      <c r="AQ118" s="107"/>
      <c r="AR118" s="107"/>
      <c r="AS118" s="107"/>
      <c r="BF118" s="51">
        <v>0.96131571537074534</v>
      </c>
      <c r="BG118" s="1">
        <v>55</v>
      </c>
      <c r="BH118">
        <f t="shared" si="13"/>
        <v>0.1127554498305592</v>
      </c>
      <c r="BI118">
        <f t="shared" si="14"/>
        <v>1.1306622539238973E-2</v>
      </c>
      <c r="BJ118">
        <f t="shared" si="11"/>
        <v>1.0869233934735507E-2</v>
      </c>
    </row>
    <row r="119" spans="1:62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0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0.13582813239533509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0.33152160229758332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0.4409322775935563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0.29526232765264565</v>
      </c>
      <c r="H119" s="1"/>
      <c r="I119" s="56">
        <f>(C113+D114+E115+F116+G117)/H118</f>
        <v>0.95926496630557678</v>
      </c>
      <c r="J119" s="53">
        <f>SQRT(SUM(P113:P117))/100</f>
        <v>4.4846369100077707E-3</v>
      </c>
      <c r="M119" s="1"/>
      <c r="N119" s="9"/>
      <c r="S119" s="66" t="s">
        <v>39</v>
      </c>
      <c r="T119" s="67">
        <f>C324</f>
        <v>0</v>
      </c>
      <c r="U119" s="67">
        <f t="shared" si="25"/>
        <v>4.5470561663445794</v>
      </c>
      <c r="V119" s="67">
        <f t="shared" si="25"/>
        <v>0.39448177596202272</v>
      </c>
      <c r="W119" s="67">
        <f t="shared" si="25"/>
        <v>0.54497044630927804</v>
      </c>
      <c r="X119" s="67">
        <f t="shared" si="25"/>
        <v>2.7261968800609107</v>
      </c>
      <c r="AD119" s="51"/>
      <c r="AE119" s="51"/>
      <c r="AJ119" s="115" t="s">
        <v>376</v>
      </c>
      <c r="AK119" s="122" t="s">
        <v>9</v>
      </c>
      <c r="AL119" s="135">
        <f>AVERAGE(AR195:AR214)</f>
        <v>518.38849999999991</v>
      </c>
      <c r="AM119" s="135">
        <f>AVERAGE(AS195:AS214)</f>
        <v>2203.2530000000002</v>
      </c>
      <c r="AN119" s="135">
        <f>AVERAGE(AT195:AT214)</f>
        <v>55087.030500000008</v>
      </c>
      <c r="AO119" s="135">
        <f>AVERAGE(AU195:AU214)</f>
        <v>31037.160500000005</v>
      </c>
      <c r="AP119" s="135">
        <f>AVERAGE(AV195:AV214)</f>
        <v>7738.3274999999994</v>
      </c>
      <c r="AQ119" s="107"/>
      <c r="AR119" s="115" t="s">
        <v>36</v>
      </c>
      <c r="AS119" s="136">
        <f>SUM(AL119:AP119)</f>
        <v>96584.160000000018</v>
      </c>
      <c r="BF119" s="51">
        <v>0.96132271531474511</v>
      </c>
      <c r="BG119" s="1">
        <v>56</v>
      </c>
      <c r="BH119">
        <f t="shared" si="13"/>
        <v>0.13795711049811366</v>
      </c>
      <c r="BI119">
        <f t="shared" si="14"/>
        <v>1.3833734665155898E-2</v>
      </c>
      <c r="BJ119">
        <f t="shared" si="11"/>
        <v>1.3298683371251384E-2</v>
      </c>
    </row>
    <row r="120" spans="1:62" x14ac:dyDescent="0.3">
      <c r="B120" s="1" t="s">
        <v>30</v>
      </c>
      <c r="C120" s="17">
        <f>C113/C118*100</f>
        <v>100</v>
      </c>
      <c r="D120" s="17">
        <f>D114/D118*100</f>
        <v>87.706474313634303</v>
      </c>
      <c r="E120" s="17">
        <f>E115/E118*100</f>
        <v>97.978694933437311</v>
      </c>
      <c r="F120" s="17">
        <f>F116/F118*100</f>
        <v>96.530145308210379</v>
      </c>
      <c r="G120" s="17">
        <f>G117/G118*100</f>
        <v>83.540628075248407</v>
      </c>
      <c r="H120" s="1"/>
      <c r="S120" s="15" t="s">
        <v>31</v>
      </c>
      <c r="T120" s="71">
        <f>I316</f>
        <v>100</v>
      </c>
      <c r="U120" s="71">
        <f>I317</f>
        <v>100</v>
      </c>
      <c r="V120" s="71">
        <f>I318</f>
        <v>99.457259158751683</v>
      </c>
      <c r="W120" s="71">
        <f>I319</f>
        <v>91.580756013745699</v>
      </c>
      <c r="X120" s="71">
        <f>I320</f>
        <v>93.855302279484647</v>
      </c>
      <c r="AD120" s="51"/>
      <c r="AE120" s="51"/>
      <c r="AH120" s="78"/>
      <c r="AI120" s="78"/>
      <c r="AJ120" s="140"/>
      <c r="AK120" s="128" t="s">
        <v>368</v>
      </c>
      <c r="AL120" s="125">
        <f>_xlfn.STDEV.S(AR195:AR214)/SQRT($AK$108)</f>
        <v>17.340885612590618</v>
      </c>
      <c r="AM120" s="125">
        <f>_xlfn.STDEV.S(AS195:AS214)/SQRT($AK$108)</f>
        <v>39.098336019916708</v>
      </c>
      <c r="AN120" s="125">
        <f>_xlfn.STDEV.S(AT195:AT214)/SQRT($AK$108)</f>
        <v>89.593552674153599</v>
      </c>
      <c r="AO120" s="125">
        <f>_xlfn.STDEV.S(AU195:AU214)/SQRT($AK$108)</f>
        <v>79.936696139655908</v>
      </c>
      <c r="AP120" s="125">
        <f>_xlfn.STDEV.S(AV195:AV214)/SQRT($AK$108)</f>
        <v>58.564514097814886</v>
      </c>
      <c r="AQ120" s="107"/>
      <c r="AR120" s="107"/>
      <c r="AS120" s="107"/>
      <c r="BF120" s="51">
        <v>0.96148160344544198</v>
      </c>
      <c r="BG120" s="1">
        <v>57</v>
      </c>
      <c r="BH120">
        <f t="shared" si="13"/>
        <v>0.163246710840321</v>
      </c>
      <c r="BI120">
        <f t="shared" si="14"/>
        <v>1.6369664996392547E-2</v>
      </c>
      <c r="BJ120">
        <f t="shared" si="11"/>
        <v>1.573913174859623E-2</v>
      </c>
    </row>
    <row r="121" spans="1:62" x14ac:dyDescent="0.3">
      <c r="B121" s="16" t="s">
        <v>39</v>
      </c>
      <c r="C121" s="18">
        <f>SQRT((C124+C125)/(C118*C118))</f>
        <v>0</v>
      </c>
      <c r="D121" s="18">
        <f>SQRT((D124+D125)/(D118*D118))</f>
        <v>4.3828404038046154</v>
      </c>
      <c r="E121" s="18">
        <f>SQRT((E124+E125)/(E118*E118))</f>
        <v>0.42260661685047801</v>
      </c>
      <c r="F121" s="18">
        <f>SQRT((F124+F125)/(F118*F118))</f>
        <v>0.82476549991504899</v>
      </c>
      <c r="G121" s="18">
        <f>SQRT((G124+G125)/(G118*G118))</f>
        <v>2.8402239789501365</v>
      </c>
      <c r="H121" s="1"/>
      <c r="I121" s="14"/>
      <c r="S121" s="75" t="s">
        <v>39</v>
      </c>
      <c r="T121" s="76">
        <f>J316</f>
        <v>0</v>
      </c>
      <c r="U121" s="76">
        <f>J317</f>
        <v>0</v>
      </c>
      <c r="V121" s="76">
        <f>J318</f>
        <v>0.27081679117169544</v>
      </c>
      <c r="W121" s="76">
        <f>J319</f>
        <v>1.1519949988277658</v>
      </c>
      <c r="X121" s="76">
        <f>J320</f>
        <v>0.75639631076802649</v>
      </c>
      <c r="AD121" s="51"/>
      <c r="AE121" s="51"/>
      <c r="AJ121" s="119" t="s">
        <v>693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  <c r="BF121" s="51">
        <v>0.96168395437804899</v>
      </c>
      <c r="BG121" s="1">
        <v>58</v>
      </c>
      <c r="BH121">
        <f t="shared" si="13"/>
        <v>0.18864116776152437</v>
      </c>
      <c r="BI121">
        <f t="shared" si="14"/>
        <v>1.891610988600527E-2</v>
      </c>
      <c r="BJ121">
        <f t="shared" si="11"/>
        <v>1.8191319356623253E-2</v>
      </c>
    </row>
    <row r="122" spans="1:62" x14ac:dyDescent="0.3">
      <c r="B122" s="1" t="s">
        <v>37</v>
      </c>
      <c r="C122" s="18">
        <f>100-C120</f>
        <v>0</v>
      </c>
      <c r="D122" s="18">
        <f>100-D120</f>
        <v>12.293525686365697</v>
      </c>
      <c r="E122" s="18">
        <f>100-E120</f>
        <v>2.0213050665626895</v>
      </c>
      <c r="F122" s="18">
        <f>100-F120</f>
        <v>3.4698546917896209</v>
      </c>
      <c r="G122" s="18">
        <f>100-G120</f>
        <v>16.459371924751593</v>
      </c>
      <c r="S122" s="66" t="s">
        <v>51</v>
      </c>
      <c r="T122" s="67">
        <f>N305*100</f>
        <v>100</v>
      </c>
      <c r="U122" s="67">
        <f>N306*100</f>
        <v>95</v>
      </c>
      <c r="V122" s="67">
        <f>N307*100</f>
        <v>97.603195739014637</v>
      </c>
      <c r="W122" s="67">
        <f>N308*100</f>
        <v>91.423670668953676</v>
      </c>
      <c r="X122" s="67">
        <f>N309*100</f>
        <v>95.560040363269422</v>
      </c>
      <c r="AD122" s="51"/>
      <c r="AE122" s="51"/>
      <c r="AH122" s="78"/>
      <c r="AI122" s="78"/>
      <c r="AJ122" s="115" t="s">
        <v>375</v>
      </c>
      <c r="AK122" s="122" t="s">
        <v>9</v>
      </c>
      <c r="AL122" s="135">
        <v>1.89</v>
      </c>
      <c r="AM122" s="135">
        <v>508.25</v>
      </c>
      <c r="AN122" s="135">
        <v>5013.63</v>
      </c>
      <c r="AO122" s="135">
        <v>562.79999999999995</v>
      </c>
      <c r="AP122" s="135">
        <v>137.71</v>
      </c>
      <c r="AQ122" s="107"/>
      <c r="AR122" s="115" t="s">
        <v>36</v>
      </c>
      <c r="AS122" s="136">
        <f>SUM(AL122:AP122)</f>
        <v>6224.2800000000007</v>
      </c>
      <c r="AU122">
        <v>1</v>
      </c>
      <c r="AV122">
        <v>68</v>
      </c>
      <c r="BF122" s="51">
        <v>0.96168992339446902</v>
      </c>
      <c r="BG122" s="1">
        <v>59</v>
      </c>
      <c r="BH122">
        <f t="shared" si="13"/>
        <v>0.21415788100561858</v>
      </c>
      <c r="BI122">
        <f t="shared" si="14"/>
        <v>2.1474814104085391E-2</v>
      </c>
      <c r="BJ122">
        <f t="shared" si="11"/>
        <v>2.0652112330668344E-2</v>
      </c>
    </row>
    <row r="123" spans="1:62" ht="15.6" x14ac:dyDescent="0.35">
      <c r="B123" s="1" t="s">
        <v>25</v>
      </c>
      <c r="C123" s="1">
        <f>C107</f>
        <v>451</v>
      </c>
      <c r="D123" s="1">
        <f>D107</f>
        <v>63</v>
      </c>
      <c r="E123" s="1">
        <f>E107</f>
        <v>758</v>
      </c>
      <c r="F123" s="1">
        <f>F107</f>
        <v>594</v>
      </c>
      <c r="G123" s="1">
        <f>G107</f>
        <v>970</v>
      </c>
      <c r="R123" s="16" t="s">
        <v>61</v>
      </c>
      <c r="S123" t="s">
        <v>9</v>
      </c>
      <c r="T123" s="30">
        <f>N316</f>
        <v>476.46</v>
      </c>
      <c r="U123" s="30">
        <f>N317</f>
        <v>2151.38</v>
      </c>
      <c r="V123" s="30">
        <f>N318</f>
        <v>55080.5</v>
      </c>
      <c r="W123" s="30">
        <f>N319</f>
        <v>30723.33</v>
      </c>
      <c r="X123" s="30">
        <f>N320</f>
        <v>8152.49</v>
      </c>
      <c r="Z123" t="s">
        <v>36</v>
      </c>
      <c r="AA123" s="1">
        <f>N321</f>
        <v>96584.16</v>
      </c>
      <c r="AD123" s="51"/>
      <c r="AE123" s="51"/>
      <c r="AJ123" s="107"/>
      <c r="AK123" s="107" t="s">
        <v>367</v>
      </c>
      <c r="AL123" s="108">
        <f>(AL122/$AS122)*100</f>
        <v>3.0364957874645736E-2</v>
      </c>
      <c r="AM123" s="108">
        <f>(AM122/$AS122)*100</f>
        <v>8.1656030898352903</v>
      </c>
      <c r="AN123" s="108">
        <f>(AN122/$AS122)*100</f>
        <v>80.549557539185244</v>
      </c>
      <c r="AO123" s="108">
        <f>(AO122/$AS122)*100</f>
        <v>9.0420096782278421</v>
      </c>
      <c r="AP123" s="108">
        <f>(AP122/$AS122)*100</f>
        <v>2.2124647348769657</v>
      </c>
      <c r="AQ123" s="107"/>
      <c r="AR123" s="107"/>
      <c r="AS123" s="107"/>
      <c r="AU123">
        <v>2</v>
      </c>
      <c r="AV123">
        <v>97</v>
      </c>
      <c r="BF123" s="51">
        <v>0.96171742163412688</v>
      </c>
      <c r="BG123" s="1">
        <v>60</v>
      </c>
      <c r="BH123">
        <f t="shared" si="13"/>
        <v>0.23981482260806397</v>
      </c>
      <c r="BI123">
        <f t="shared" si="14"/>
        <v>2.4047579807615273E-2</v>
      </c>
      <c r="BJ123">
        <f t="shared" si="11"/>
        <v>2.3126976449120654E-2</v>
      </c>
    </row>
    <row r="124" spans="1:62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0</v>
      </c>
      <c r="E124" s="18">
        <f>(O115*O115*(100-E120)*(100-E120)*(I115)*(100-I115))/((L115-1)*100)</f>
        <v>21.30246271783211</v>
      </c>
      <c r="F124" s="18">
        <f>(O116*O116*(100-F120)*(100-F120)*(I116)*(100-I116))/((L116-1)*100)</f>
        <v>174.35718566763452</v>
      </c>
      <c r="G124" s="18">
        <f>(O117*O117*(100-G120)*(100-G120)*(I117)*(100-I117))/((L117-1)*100)</f>
        <v>112.80820749360299</v>
      </c>
      <c r="R124" s="16" t="s">
        <v>318</v>
      </c>
      <c r="S124" t="s">
        <v>63</v>
      </c>
      <c r="T124" s="57">
        <f>$AA123*T116/100</f>
        <v>476.45999999999992</v>
      </c>
      <c r="U124" s="57">
        <f>$AA123*U116/100</f>
        <v>2468.1153608247423</v>
      </c>
      <c r="V124" s="57">
        <f>$AA123*V116/100</f>
        <v>55844.878522131963</v>
      </c>
      <c r="W124" s="57">
        <f>$AA123*W116/100</f>
        <v>28748.695221869504</v>
      </c>
      <c r="X124" s="57">
        <f>$AA123*X116/100</f>
        <v>9046.010895173793</v>
      </c>
      <c r="Z124" t="s">
        <v>36</v>
      </c>
      <c r="AA124" s="25">
        <f>SUM(T124:X124)</f>
        <v>96584.16</v>
      </c>
      <c r="AD124" s="51"/>
      <c r="AE124" s="51"/>
      <c r="AH124" s="78"/>
      <c r="AI124" s="78"/>
      <c r="AJ124" s="115" t="s">
        <v>376</v>
      </c>
      <c r="AK124" s="122" t="s">
        <v>9</v>
      </c>
      <c r="AL124" s="135">
        <f>AVERAGE(AR216:AR235)</f>
        <v>2.0564999999999993</v>
      </c>
      <c r="AM124" s="135">
        <f>AVERAGE(AS216:AS235)</f>
        <v>510.32449999999989</v>
      </c>
      <c r="AN124" s="135">
        <f>AVERAGE(AT216:AT235)</f>
        <v>4997.9709999999995</v>
      </c>
      <c r="AO124" s="135">
        <f>AVERAGE(AU216:AU235)</f>
        <v>570.65499999999997</v>
      </c>
      <c r="AP124" s="135">
        <f>AVERAGE(AV216:AV235)</f>
        <v>143.27200000000002</v>
      </c>
      <c r="AQ124" s="107"/>
      <c r="AR124" s="115" t="s">
        <v>36</v>
      </c>
      <c r="AS124" s="136">
        <f>SUM(AL124:AP124)</f>
        <v>6224.2789999999986</v>
      </c>
      <c r="AU124">
        <v>3</v>
      </c>
      <c r="AV124">
        <v>126</v>
      </c>
      <c r="BF124" s="51">
        <v>0.96178432998829599</v>
      </c>
      <c r="BG124" s="1">
        <v>61</v>
      </c>
      <c r="BH124">
        <f t="shared" si="13"/>
        <v>0.26563063350790211</v>
      </c>
      <c r="BI124">
        <f t="shared" si="14"/>
        <v>2.6636276228298016E-2</v>
      </c>
      <c r="BJ124">
        <f t="shared" si="11"/>
        <v>2.5618353085616784E-2</v>
      </c>
    </row>
    <row r="125" spans="1:62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142.16399440240184</v>
      </c>
      <c r="E125" s="18">
        <f>E120*E120*(SUM((H113*E113*(1-E102/H102))/(H102-1),(H114*E114*(1-E103/H103))/(H103-1), (H116*E116*(1-E105/H105))/(H105-1),(H117*E117*(1-E106/H106))/(H106-1)))</f>
        <v>556.18432618379472</v>
      </c>
      <c r="F125" s="18">
        <f>F120*F120*(SUM((H113*F113*(1-F102/H102))/(H102-1),(H114*F114*(1-F103/H103))/(H103-1), (H115*F115*(1-F104/H104))/(H104-1),(H117*F117*(1-F106/H106))/(H106-1)))</f>
        <v>465.16086006529935</v>
      </c>
      <c r="G125" s="18">
        <f>G120*G120*(SUM((H113*G113*(1-G102/H102))/(H102-1),(H114*G114*(1-G103/H103))/(H103-1), (H115*G115*(1-G104/H104))/(H104-1),(H116*G116*(1-G105/H105))/(H105-1)))</f>
        <v>580.38161415438287</v>
      </c>
      <c r="R125" s="66"/>
      <c r="S125" s="66" t="s">
        <v>62</v>
      </c>
      <c r="T125" s="67">
        <f>$AA123*T117/100</f>
        <v>0</v>
      </c>
      <c r="U125" s="67">
        <f>$AA123*U117/100</f>
        <v>128.6384135902461</v>
      </c>
      <c r="V125" s="67">
        <f>$AA123*V117/100</f>
        <v>267.82687721661989</v>
      </c>
      <c r="W125" s="67">
        <f>$AA123*W117/100</f>
        <v>380.42715357017164</v>
      </c>
      <c r="X125" s="67">
        <f>$AA123*X117/100</f>
        <v>275.77471539702509</v>
      </c>
      <c r="AA125" s="1"/>
      <c r="AD125" s="51"/>
      <c r="AE125" s="51"/>
      <c r="AJ125" s="107"/>
      <c r="AK125" s="128" t="s">
        <v>368</v>
      </c>
      <c r="AL125" s="125">
        <f>_xlfn.STDEV.S(AR216:AR235)/SQRT($AK$108)</f>
        <v>8.291807942021405E-2</v>
      </c>
      <c r="AM125" s="125">
        <f>_xlfn.STDEV.S(AS216:AS235)/SQRT($AK$108)</f>
        <v>6.497530481287729</v>
      </c>
      <c r="AN125" s="125">
        <f>_xlfn.STDEV.S(AT216:AT235)/SQRT($AK$108)</f>
        <v>7.1668467300920788</v>
      </c>
      <c r="AO125" s="125">
        <f>_xlfn.STDEV.S(AU216:AU235)/SQRT($AK$108)</f>
        <v>2.8843604143726562</v>
      </c>
      <c r="AP125" s="125">
        <f>_xlfn.STDEV.S(AV216:AV235)/SQRT($AK$108)</f>
        <v>2.1832296935358957</v>
      </c>
      <c r="AQ125" s="107"/>
      <c r="AR125" s="107"/>
      <c r="AS125" s="107"/>
      <c r="AU125">
        <v>4</v>
      </c>
      <c r="AV125">
        <v>155</v>
      </c>
      <c r="BF125" s="51">
        <v>0.962105059548231</v>
      </c>
      <c r="BG125" s="1">
        <v>62</v>
      </c>
      <c r="BH125">
        <f t="shared" si="13"/>
        <v>0.29162472875305195</v>
      </c>
      <c r="BI125">
        <f t="shared" si="14"/>
        <v>2.9242850222083644E-2</v>
      </c>
      <c r="BJ125">
        <f t="shared" si="11"/>
        <v>2.8134694154277783E-2</v>
      </c>
    </row>
    <row r="126" spans="1:62" x14ac:dyDescent="0.3">
      <c r="A126" s="105" t="s">
        <v>645</v>
      </c>
      <c r="B126" s="69" t="s">
        <v>9</v>
      </c>
      <c r="C126" s="1">
        <v>294.31</v>
      </c>
      <c r="D126" s="1">
        <v>2647.29</v>
      </c>
      <c r="E126" s="1">
        <v>15963.67</v>
      </c>
      <c r="F126">
        <v>2020.5</v>
      </c>
      <c r="G126">
        <v>1219.17</v>
      </c>
      <c r="I126" t="s">
        <v>36</v>
      </c>
      <c r="J126" s="57">
        <f>SUM(C126:G126)</f>
        <v>22144.940000000002</v>
      </c>
      <c r="R126" t="s">
        <v>99</v>
      </c>
      <c r="S126" t="s">
        <v>28</v>
      </c>
      <c r="T126" s="57">
        <f>C350</f>
        <v>0.62789792571598435</v>
      </c>
      <c r="U126" s="57">
        <f t="shared" ref="U126:X129" si="27">D350</f>
        <v>2.5673968819861113</v>
      </c>
      <c r="V126" s="57">
        <f t="shared" si="27"/>
        <v>56.629349965045861</v>
      </c>
      <c r="W126" s="57">
        <f t="shared" si="27"/>
        <v>31.01916853844665</v>
      </c>
      <c r="X126" s="57">
        <f t="shared" si="27"/>
        <v>9.1561866888053878</v>
      </c>
      <c r="Y126" s="13"/>
      <c r="Z126" s="74"/>
      <c r="AA126" s="12"/>
      <c r="AD126" s="51"/>
      <c r="AE126" s="51"/>
      <c r="AH126" s="78"/>
      <c r="AI126" s="78"/>
      <c r="AJ126" s="119" t="s">
        <v>657</v>
      </c>
      <c r="AK126" s="107"/>
      <c r="AL126" s="116"/>
      <c r="AM126" s="116"/>
      <c r="AN126" s="116"/>
      <c r="AO126" s="116"/>
      <c r="AP126" s="116"/>
      <c r="AQ126" s="107"/>
      <c r="AR126" s="107"/>
      <c r="AS126" s="107"/>
      <c r="AU126">
        <v>5</v>
      </c>
      <c r="AV126">
        <v>184</v>
      </c>
      <c r="BF126" s="51">
        <v>0.96211663267475156</v>
      </c>
      <c r="BG126" s="1">
        <v>63</v>
      </c>
      <c r="BH126">
        <f t="shared" si="13"/>
        <v>0.31781741294915428</v>
      </c>
      <c r="BI126">
        <f t="shared" si="14"/>
        <v>3.186933784587348E-2</v>
      </c>
      <c r="BJ126">
        <f t="shared" si="11"/>
        <v>3.0662020013845812E-2</v>
      </c>
    </row>
    <row r="127" spans="1:62" x14ac:dyDescent="0.3">
      <c r="B127" t="s">
        <v>367</v>
      </c>
      <c r="C127" s="57">
        <f>(C126/$J126)*100</f>
        <v>1.3290169221501615</v>
      </c>
      <c r="D127" s="57">
        <f>(D126/$J126)*100</f>
        <v>11.95437874295437</v>
      </c>
      <c r="E127" s="57">
        <f>(E126/$J126)*100</f>
        <v>72.087212699605402</v>
      </c>
      <c r="F127" s="57">
        <f>(F126/$J126)*100</f>
        <v>9.1239804668696323</v>
      </c>
      <c r="G127" s="57">
        <f>(G126/$J126)*100</f>
        <v>5.5054111684204159</v>
      </c>
      <c r="S127" s="66" t="s">
        <v>39</v>
      </c>
      <c r="T127" s="67">
        <f>C351</f>
        <v>0</v>
      </c>
      <c r="U127" s="67">
        <f t="shared" si="27"/>
        <v>0.14723687115308021</v>
      </c>
      <c r="V127" s="67">
        <f t="shared" si="27"/>
        <v>0.32734823348185305</v>
      </c>
      <c r="W127" s="67">
        <f t="shared" si="27"/>
        <v>0.42661819423792396</v>
      </c>
      <c r="X127" s="67">
        <f t="shared" si="27"/>
        <v>0.27038571125147681</v>
      </c>
      <c r="AD127" s="51"/>
      <c r="AE127" s="51"/>
      <c r="AJ127" s="115" t="s">
        <v>375</v>
      </c>
      <c r="AK127" s="122" t="s">
        <v>9</v>
      </c>
      <c r="AL127" s="135">
        <v>471.68</v>
      </c>
      <c r="AM127" s="135">
        <v>122.09</v>
      </c>
      <c r="AN127" s="135">
        <v>3775.53</v>
      </c>
      <c r="AO127" s="135">
        <v>15273.21</v>
      </c>
      <c r="AP127" s="135">
        <v>5004.7299999999996</v>
      </c>
      <c r="AQ127" s="107"/>
      <c r="AR127" s="115" t="s">
        <v>36</v>
      </c>
      <c r="AS127" s="136">
        <f>SUM(AL127:AP127)</f>
        <v>24647.239999999998</v>
      </c>
      <c r="AU127">
        <v>6</v>
      </c>
      <c r="AV127">
        <v>213</v>
      </c>
      <c r="BF127" s="51">
        <v>0.96228424891255004</v>
      </c>
      <c r="BG127" s="1">
        <v>64</v>
      </c>
      <c r="BH127">
        <f t="shared" si="13"/>
        <v>0.34423000787040914</v>
      </c>
      <c r="BI127">
        <f t="shared" si="14"/>
        <v>3.4517877153775842E-2</v>
      </c>
      <c r="BJ127">
        <f t="shared" si="11"/>
        <v>3.3216009490976854E-2</v>
      </c>
    </row>
    <row r="128" spans="1:62" x14ac:dyDescent="0.3">
      <c r="A128" s="348" t="s">
        <v>369</v>
      </c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 t="s">
        <v>59</v>
      </c>
      <c r="M128" s="348"/>
      <c r="N128" s="348"/>
      <c r="O128" s="348"/>
      <c r="P128" s="348"/>
      <c r="S128" t="s">
        <v>30</v>
      </c>
      <c r="T128" s="57">
        <f>C352</f>
        <v>100</v>
      </c>
      <c r="U128" s="57">
        <f t="shared" si="27"/>
        <v>84.734882185566264</v>
      </c>
      <c r="V128" s="57">
        <f t="shared" si="27"/>
        <v>98.058769402221358</v>
      </c>
      <c r="W128" s="57">
        <f t="shared" si="27"/>
        <v>96.745275819667043</v>
      </c>
      <c r="X128" s="57">
        <f t="shared" si="27"/>
        <v>86.325901256706302</v>
      </c>
      <c r="AD128" s="51"/>
      <c r="AE128" s="51"/>
      <c r="AH128" s="78"/>
      <c r="AI128" s="78"/>
      <c r="AJ128" s="107"/>
      <c r="AK128" s="107" t="s">
        <v>367</v>
      </c>
      <c r="AL128" s="108">
        <f>(AL127/$AS127)*100</f>
        <v>1.9137234027014793</v>
      </c>
      <c r="AM128" s="108">
        <f>(AM127/$AS127)*100</f>
        <v>0.49534958072384577</v>
      </c>
      <c r="AN128" s="108">
        <f>(AN127/$AS127)*100</f>
        <v>15.318266872883132</v>
      </c>
      <c r="AO128" s="108">
        <f>(AO127/$AS127)*100</f>
        <v>61.967222293449488</v>
      </c>
      <c r="AP128" s="108">
        <f>(AP127/$AS127)*100</f>
        <v>20.305437850242054</v>
      </c>
      <c r="AQ128" s="107"/>
      <c r="AR128" s="107"/>
      <c r="AS128" s="107"/>
      <c r="AU128">
        <v>7</v>
      </c>
      <c r="AV128">
        <v>242</v>
      </c>
      <c r="BF128" s="51">
        <v>0.96244081374447632</v>
      </c>
      <c r="BG128" s="1">
        <v>65</v>
      </c>
      <c r="BH128">
        <f t="shared" si="13"/>
        <v>0.37088499448209117</v>
      </c>
      <c r="BI128">
        <f t="shared" si="14"/>
        <v>3.7190722438501737E-2</v>
      </c>
      <c r="BJ128">
        <f t="shared" si="11"/>
        <v>3.5793869167456568E-2</v>
      </c>
    </row>
    <row r="129" spans="1:62" x14ac:dyDescent="0.3">
      <c r="A129" t="s">
        <v>315</v>
      </c>
      <c r="B129" t="s">
        <v>21</v>
      </c>
      <c r="I129" s="1" t="s">
        <v>53</v>
      </c>
      <c r="O129" s="350" t="s">
        <v>377</v>
      </c>
      <c r="P129" s="350"/>
      <c r="S129" s="66" t="s">
        <v>39</v>
      </c>
      <c r="T129" s="67">
        <f>C353</f>
        <v>0</v>
      </c>
      <c r="U129" s="67">
        <f t="shared" si="27"/>
        <v>4.8636154184953124</v>
      </c>
      <c r="V129" s="67">
        <f t="shared" si="27"/>
        <v>0.41542518629032898</v>
      </c>
      <c r="W129" s="67">
        <f t="shared" si="27"/>
        <v>0.79103689136440714</v>
      </c>
      <c r="X129" s="67">
        <f t="shared" si="27"/>
        <v>2.6506056086505181</v>
      </c>
      <c r="AD129" s="51"/>
      <c r="AE129" s="51"/>
      <c r="AJ129" s="115" t="s">
        <v>376</v>
      </c>
      <c r="AK129" s="122" t="s">
        <v>9</v>
      </c>
      <c r="AL129" s="135">
        <f>AVERAGE(AL195:AL214)</f>
        <v>474.03199999999998</v>
      </c>
      <c r="AM129" s="135">
        <f>AVERAGE(AM195:AM214)</f>
        <v>134.15949999999998</v>
      </c>
      <c r="AN129" s="135">
        <f>AVERAGE(AN195:AN214)</f>
        <v>3714.593499999999</v>
      </c>
      <c r="AO129" s="135">
        <f>AVERAGE(AO195:AO214)</f>
        <v>15230.661499999997</v>
      </c>
      <c r="AP129" s="135">
        <f>AVERAGE(AP195:AP214)</f>
        <v>5093.7974999999988</v>
      </c>
      <c r="AQ129" s="107"/>
      <c r="AR129" s="115" t="s">
        <v>36</v>
      </c>
      <c r="AS129" s="136">
        <f>SUM(AL129:AP129)</f>
        <v>24647.243999999992</v>
      </c>
      <c r="AU129">
        <v>8</v>
      </c>
      <c r="AV129">
        <v>271</v>
      </c>
      <c r="BF129" s="51">
        <v>0.96247163184449491</v>
      </c>
      <c r="BG129" s="1">
        <v>66</v>
      </c>
      <c r="BH129">
        <f t="shared" si="13"/>
        <v>0.39780617203394558</v>
      </c>
      <c r="BI129">
        <f t="shared" si="14"/>
        <v>3.9890260184553598E-2</v>
      </c>
      <c r="BJ129">
        <f t="shared" ref="BJ129:BJ160" si="28">BI129*BF129</f>
        <v>3.8393243814528785E-2</v>
      </c>
    </row>
    <row r="130" spans="1:62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51</v>
      </c>
      <c r="O130" s="13" t="s">
        <v>644</v>
      </c>
      <c r="P130" s="13" t="s">
        <v>633</v>
      </c>
      <c r="S130" s="15" t="s">
        <v>31</v>
      </c>
      <c r="T130" s="71">
        <f>I345</f>
        <v>100</v>
      </c>
      <c r="U130" s="71">
        <f>I346</f>
        <v>100</v>
      </c>
      <c r="V130" s="71">
        <f>I347</f>
        <v>98.778833107191318</v>
      </c>
      <c r="W130" s="71">
        <f>I348</f>
        <v>92.096219931271477</v>
      </c>
      <c r="X130" s="71">
        <f>I349</f>
        <v>94.152626362735376</v>
      </c>
      <c r="AD130" s="51"/>
      <c r="AE130" s="51"/>
      <c r="AH130" s="78"/>
      <c r="AI130" s="78"/>
      <c r="AJ130" s="107"/>
      <c r="AK130" s="128" t="s">
        <v>368</v>
      </c>
      <c r="AL130" s="125">
        <f>_xlfn.STDEV.S(AL195:AL214)/SQRT($AK$108)</f>
        <v>17.69546329906122</v>
      </c>
      <c r="AM130" s="125">
        <f>_xlfn.STDEV.S(AM195:AM214)/SQRT($AK$108)</f>
        <v>4.8371438111761913</v>
      </c>
      <c r="AN130" s="125">
        <f>_xlfn.STDEV.S(AN195:AN214)/SQRT($AK$108)</f>
        <v>25.016627336686117</v>
      </c>
      <c r="AO130" s="125">
        <f>_xlfn.STDEV.S(AO195:AO214)/SQRT($AK$108)</f>
        <v>30.089134350030932</v>
      </c>
      <c r="AP130" s="125">
        <f>_xlfn.STDEV.S(AP195:AP214)/SQRT($AK$108)</f>
        <v>25.121979062953482</v>
      </c>
      <c r="AQ130" s="107"/>
      <c r="AR130" s="107"/>
      <c r="AS130" s="107"/>
      <c r="AU130">
        <v>9</v>
      </c>
      <c r="AV130">
        <v>300</v>
      </c>
      <c r="BF130" s="51">
        <v>0.96251217154322399</v>
      </c>
      <c r="BG130" s="1">
        <v>67</v>
      </c>
      <c r="BH130">
        <f t="shared" si="13"/>
        <v>0.42501883739125573</v>
      </c>
      <c r="BI130">
        <f t="shared" si="14"/>
        <v>4.261902705075913E-2</v>
      </c>
      <c r="BJ130">
        <f t="shared" si="28"/>
        <v>4.1021332275685572E-2</v>
      </c>
    </row>
    <row r="131" spans="1:62" x14ac:dyDescent="0.3">
      <c r="A131" t="s">
        <v>3</v>
      </c>
      <c r="B131" s="13">
        <v>0</v>
      </c>
      <c r="C131" s="26">
        <v>451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451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/>
      <c r="P131" s="1"/>
      <c r="S131" s="75" t="s">
        <v>39</v>
      </c>
      <c r="T131" s="76">
        <f>J345</f>
        <v>0</v>
      </c>
      <c r="U131" s="76">
        <f>J346</f>
        <v>0</v>
      </c>
      <c r="V131" s="76">
        <f>J347</f>
        <v>0.40483732760419566</v>
      </c>
      <c r="W131" s="76">
        <f>J348</f>
        <v>1.1193096805290426</v>
      </c>
      <c r="X131" s="76">
        <f>J349</f>
        <v>0.73903733049539455</v>
      </c>
      <c r="AD131" s="51"/>
      <c r="AE131" s="51"/>
      <c r="AJ131" s="119" t="s">
        <v>694</v>
      </c>
      <c r="AK131" s="107"/>
      <c r="AL131" s="116"/>
      <c r="AM131" s="116"/>
      <c r="AN131" s="116"/>
      <c r="AO131" s="116"/>
      <c r="AP131" s="116"/>
      <c r="AQ131" s="107"/>
      <c r="AR131" s="107"/>
      <c r="AS131" s="107"/>
      <c r="AU131">
        <v>10</v>
      </c>
      <c r="AV131">
        <v>329</v>
      </c>
      <c r="BF131" s="51">
        <v>0.96254536520524403</v>
      </c>
      <c r="BG131" s="1">
        <v>68</v>
      </c>
      <c r="BH131">
        <f t="shared" ref="BH131:BH160" si="29">_xlfn.NORM.S.INV((BG131-0.375)/($BI$61+0.25))</f>
        <v>0.4525499884018015</v>
      </c>
      <c r="BI131">
        <f t="shared" ref="BI131:BI160" si="30">BH131/SQRT($BL$65)</f>
        <v>4.5379730263018975E-2</v>
      </c>
      <c r="BJ131">
        <f t="shared" si="28"/>
        <v>4.3680049038933064E-2</v>
      </c>
    </row>
    <row r="132" spans="1:62" x14ac:dyDescent="0.3">
      <c r="A132" t="s">
        <v>4</v>
      </c>
      <c r="B132" s="13">
        <v>1</v>
      </c>
      <c r="C132" s="5">
        <v>0</v>
      </c>
      <c r="D132" s="27">
        <v>57</v>
      </c>
      <c r="E132" s="1">
        <v>0</v>
      </c>
      <c r="F132" s="1">
        <v>0</v>
      </c>
      <c r="G132" s="6">
        <v>0</v>
      </c>
      <c r="H132" s="1">
        <f>SUM(C132:G132)</f>
        <v>57</v>
      </c>
      <c r="I132" s="10">
        <f>D132/H132</f>
        <v>1</v>
      </c>
      <c r="J132" s="11">
        <f>1-I132</f>
        <v>0</v>
      </c>
      <c r="K132">
        <f>H132-D136</f>
        <v>-5</v>
      </c>
      <c r="N132" s="10">
        <f>2*(D137*I132)/(D137+I132)</f>
        <v>0.95798319327731085</v>
      </c>
      <c r="O132" s="1"/>
      <c r="P132" s="1"/>
      <c r="S132" s="66" t="s">
        <v>51</v>
      </c>
      <c r="T132" s="67">
        <f>N334*100</f>
        <v>100</v>
      </c>
      <c r="U132" s="67">
        <f>N335*100</f>
        <v>94.214876033057848</v>
      </c>
      <c r="V132" s="67">
        <f>N336*100</f>
        <v>97.456492637215533</v>
      </c>
      <c r="W132" s="67">
        <f>N337*100</f>
        <v>91.311754684838149</v>
      </c>
      <c r="X132" s="67">
        <f>N338*100</f>
        <v>95.911155981827363</v>
      </c>
      <c r="AD132" s="51"/>
      <c r="AE132" s="51"/>
      <c r="AH132" s="78"/>
      <c r="AI132" s="78"/>
      <c r="AJ132" s="115" t="s">
        <v>375</v>
      </c>
      <c r="AK132" s="122" t="s">
        <v>9</v>
      </c>
      <c r="AL132" s="135">
        <v>1.0900000000000001</v>
      </c>
      <c r="AM132" s="135">
        <v>12.51</v>
      </c>
      <c r="AN132" s="135">
        <v>1132.57</v>
      </c>
      <c r="AO132" s="135">
        <v>290.31</v>
      </c>
      <c r="AP132" s="135">
        <v>25.73</v>
      </c>
      <c r="AQ132" s="107"/>
      <c r="AR132" s="115" t="s">
        <v>36</v>
      </c>
      <c r="AS132" s="136">
        <f>SUM(AL132:AP132)</f>
        <v>1462.2099999999998</v>
      </c>
      <c r="AU132">
        <v>11</v>
      </c>
      <c r="AV132">
        <v>358</v>
      </c>
      <c r="BF132" s="51">
        <v>0.96263607942289298</v>
      </c>
      <c r="BG132" s="1">
        <v>69</v>
      </c>
      <c r="BH132">
        <f t="shared" si="29"/>
        <v>0.48042855588587835</v>
      </c>
      <c r="BI132">
        <f t="shared" si="30"/>
        <v>4.8175270877249481E-2</v>
      </c>
      <c r="BJ132">
        <f t="shared" si="28"/>
        <v>4.6375253882411316E-2</v>
      </c>
    </row>
    <row r="133" spans="1:62" x14ac:dyDescent="0.3">
      <c r="A133" t="s">
        <v>5</v>
      </c>
      <c r="B133" s="13">
        <v>2</v>
      </c>
      <c r="C133" s="5">
        <v>0</v>
      </c>
      <c r="D133" s="1">
        <v>0</v>
      </c>
      <c r="E133" s="27">
        <v>732</v>
      </c>
      <c r="F133" s="1">
        <v>4</v>
      </c>
      <c r="G133" s="6">
        <v>1</v>
      </c>
      <c r="H133" s="1">
        <f>SUM(C133:G133)</f>
        <v>737</v>
      </c>
      <c r="I133" s="10">
        <f>E133/H133</f>
        <v>0.99321573948439623</v>
      </c>
      <c r="J133" s="11">
        <f>1-I133</f>
        <v>6.7842605156037683E-3</v>
      </c>
      <c r="K133">
        <f>H133-E136</f>
        <v>-36</v>
      </c>
      <c r="N133" s="10">
        <f>2*(E137*I133)/(E137+I133)</f>
        <v>0.96953642384105954</v>
      </c>
      <c r="O133" s="1"/>
      <c r="P133" s="1"/>
      <c r="R133" s="16" t="s">
        <v>61</v>
      </c>
      <c r="S133" t="s">
        <v>9</v>
      </c>
      <c r="T133" s="30">
        <f>N345</f>
        <v>606.45000000000005</v>
      </c>
      <c r="U133" s="30">
        <f>N346</f>
        <v>2101.17</v>
      </c>
      <c r="V133" s="30">
        <f>N347</f>
        <v>54296.28</v>
      </c>
      <c r="W133" s="30">
        <f>N348</f>
        <v>31471.98</v>
      </c>
      <c r="X133" s="30">
        <f>N349</f>
        <v>8108.29</v>
      </c>
      <c r="Z133" t="s">
        <v>36</v>
      </c>
      <c r="AA133" s="1">
        <f>N350</f>
        <v>96584.17</v>
      </c>
      <c r="AD133" s="51"/>
      <c r="AE133" s="51"/>
      <c r="AJ133" s="107"/>
      <c r="AK133" s="107" t="s">
        <v>367</v>
      </c>
      <c r="AL133" s="108">
        <f>(AL132/$AS132)*100</f>
        <v>7.4544696042292163E-2</v>
      </c>
      <c r="AM133" s="108">
        <f>(AM132/$AS132)*100</f>
        <v>0.85555426375144483</v>
      </c>
      <c r="AN133" s="108">
        <f>(AN132/$AS132)*100</f>
        <v>77.456042565705346</v>
      </c>
      <c r="AO133" s="108">
        <f>(AO132/$AS132)*100</f>
        <v>19.854193310126455</v>
      </c>
      <c r="AP133" s="108">
        <f>(AP132/$AS132)*100</f>
        <v>1.7596651643744747</v>
      </c>
      <c r="AQ133" s="107"/>
      <c r="AR133" s="107"/>
      <c r="AS133" s="107"/>
      <c r="AU133">
        <v>12</v>
      </c>
      <c r="AV133">
        <v>387</v>
      </c>
      <c r="BF133" s="51">
        <v>0.96270091275471903</v>
      </c>
      <c r="BG133" s="1">
        <v>70</v>
      </c>
      <c r="BH133">
        <f t="shared" si="29"/>
        <v>0.50868566982760044</v>
      </c>
      <c r="BI133">
        <f t="shared" si="30"/>
        <v>5.1008770471880419E-2</v>
      </c>
      <c r="BJ133">
        <f t="shared" si="28"/>
        <v>4.9106189891775238E-2</v>
      </c>
    </row>
    <row r="134" spans="1:62" ht="15.6" x14ac:dyDescent="0.35">
      <c r="A134" t="s">
        <v>6</v>
      </c>
      <c r="B134" s="13">
        <v>3</v>
      </c>
      <c r="C134" s="5">
        <v>0</v>
      </c>
      <c r="D134" s="1">
        <v>5</v>
      </c>
      <c r="E134" s="1">
        <v>20</v>
      </c>
      <c r="F134" s="27">
        <v>531</v>
      </c>
      <c r="G134" s="6">
        <v>26</v>
      </c>
      <c r="H134" s="1">
        <f>SUM(C134:G134)</f>
        <v>582</v>
      </c>
      <c r="I134" s="10">
        <f>F134/H134</f>
        <v>0.91237113402061853</v>
      </c>
      <c r="J134" s="11">
        <f>1-I134</f>
        <v>8.7628865979381465E-2</v>
      </c>
      <c r="K134">
        <f>H134-F136</f>
        <v>-60</v>
      </c>
      <c r="N134" s="10">
        <f>2*(F137*I134)/(F137+I134)</f>
        <v>0.86764705882352944</v>
      </c>
      <c r="O134" s="1"/>
      <c r="P134" s="1"/>
      <c r="R134" s="16" t="s">
        <v>318</v>
      </c>
      <c r="S134" t="s">
        <v>63</v>
      </c>
      <c r="T134" s="57">
        <f>$AA133*T126/100</f>
        <v>606.45000000000005</v>
      </c>
      <c r="U134" s="57">
        <f>$AA133*U126/100</f>
        <v>2479.6989690721648</v>
      </c>
      <c r="V134" s="57">
        <f>$AA133*V126/100</f>
        <v>54694.98764013483</v>
      </c>
      <c r="W134" s="57">
        <f>$AA133*W126/100</f>
        <v>29959.606473759828</v>
      </c>
      <c r="X134" s="57">
        <f>$AA133*X126/100</f>
        <v>8843.4269170331663</v>
      </c>
      <c r="Z134" t="s">
        <v>36</v>
      </c>
      <c r="AA134" s="25">
        <f>SUM(T134:X134)</f>
        <v>96584.17</v>
      </c>
      <c r="AD134" s="51"/>
      <c r="AE134" s="51"/>
      <c r="AH134" s="78"/>
      <c r="AI134" s="78"/>
      <c r="AJ134" s="115" t="s">
        <v>376</v>
      </c>
      <c r="AK134" s="122" t="s">
        <v>9</v>
      </c>
      <c r="AL134" s="139">
        <f>AVERAGE(AL216:AL235)</f>
        <v>1.1990000000000001</v>
      </c>
      <c r="AM134" s="135">
        <f>AVERAGE(AM216:AM235)</f>
        <v>13.677000000000001</v>
      </c>
      <c r="AN134" s="135">
        <f>AVERAGE(AN216:AN235)</f>
        <v>1127.1315</v>
      </c>
      <c r="AO134" s="135">
        <f>AVERAGE(AO216:AO235)</f>
        <v>293.03200000000004</v>
      </c>
      <c r="AP134" s="135">
        <f>AVERAGE(AP216:AP235)</f>
        <v>27.174500000000002</v>
      </c>
      <c r="AQ134" s="107"/>
      <c r="AR134" s="115" t="s">
        <v>36</v>
      </c>
      <c r="AS134" s="136">
        <f>SUM(AL134:AP134)</f>
        <v>1462.2139999999999</v>
      </c>
      <c r="AU134">
        <v>13</v>
      </c>
      <c r="AV134">
        <v>416</v>
      </c>
      <c r="BF134" s="51">
        <v>0.96272551063377199</v>
      </c>
      <c r="BG134" s="1">
        <v>71</v>
      </c>
      <c r="BH134">
        <f t="shared" si="29"/>
        <v>0.53735496659792537</v>
      </c>
      <c r="BI134">
        <f t="shared" si="30"/>
        <v>5.3883601954834021E-2</v>
      </c>
      <c r="BJ134">
        <f t="shared" si="28"/>
        <v>5.18751182067545E-2</v>
      </c>
    </row>
    <row r="135" spans="1:62" x14ac:dyDescent="0.3">
      <c r="A135" t="s">
        <v>7</v>
      </c>
      <c r="B135" s="13">
        <v>4</v>
      </c>
      <c r="C135" s="7">
        <v>0</v>
      </c>
      <c r="D135" s="8">
        <v>0</v>
      </c>
      <c r="E135" s="8">
        <v>21</v>
      </c>
      <c r="F135" s="8">
        <v>107</v>
      </c>
      <c r="G135" s="28">
        <v>881</v>
      </c>
      <c r="H135" s="1">
        <f>SUM(C135:G135)</f>
        <v>1009</v>
      </c>
      <c r="I135" s="10">
        <f>G135/H135</f>
        <v>0.87314172447968286</v>
      </c>
      <c r="J135" s="11">
        <f>1-I135</f>
        <v>0.12685827552031714</v>
      </c>
      <c r="K135">
        <f>H135-G136</f>
        <v>101</v>
      </c>
      <c r="N135" s="10">
        <f>2*(G137*I135)/(G137+I135)</f>
        <v>0.91914449660928543</v>
      </c>
      <c r="O135" s="1"/>
      <c r="P135" s="1"/>
      <c r="R135" s="66"/>
      <c r="S135" s="66" t="s">
        <v>62</v>
      </c>
      <c r="T135" s="67">
        <f>$AA133*T127/100</f>
        <v>0</v>
      </c>
      <c r="U135" s="67">
        <f>$AA133*U127/100</f>
        <v>142.20750993717195</v>
      </c>
      <c r="V135" s="67">
        <f>$AA133*V127/100</f>
        <v>316.16657431810984</v>
      </c>
      <c r="W135" s="67">
        <f>$AA133*W127/100</f>
        <v>412.04564197368666</v>
      </c>
      <c r="X135" s="67">
        <f>$AA133*X127/100</f>
        <v>261.14979501083548</v>
      </c>
      <c r="AA135" s="1"/>
      <c r="AD135" s="51"/>
      <c r="AE135" s="51"/>
      <c r="AJ135" s="140"/>
      <c r="AK135" s="128" t="s">
        <v>368</v>
      </c>
      <c r="AL135" s="125">
        <f>_xlfn.STDEV.S(AL216:AL235)/SQRT($AK$108)</f>
        <v>4.2282881941314659E-2</v>
      </c>
      <c r="AM135" s="125">
        <f>_xlfn.STDEV.S(AM216:AM235)/SQRT($AK$108)</f>
        <v>0.40884567928949039</v>
      </c>
      <c r="AN135" s="125">
        <f>_xlfn.STDEV.S(AN216:AN235)/SQRT($AK$108)</f>
        <v>1.1052168815500234</v>
      </c>
      <c r="AO135" s="125">
        <f>_xlfn.STDEV.S(AO216:AO235)/SQRT($AK$108)</f>
        <v>1.0202694690490752</v>
      </c>
      <c r="AP135" s="125">
        <f>_xlfn.STDEV.S(AP216:AP235)/SQRT($AK$108)</f>
        <v>0.43651639807626208</v>
      </c>
      <c r="AQ135" s="107"/>
      <c r="AR135" s="107"/>
      <c r="AS135" s="107"/>
      <c r="AU135">
        <v>14</v>
      </c>
      <c r="AV135">
        <v>445</v>
      </c>
      <c r="BF135" s="51">
        <v>0.96279298561632098</v>
      </c>
      <c r="BG135" s="1">
        <v>72</v>
      </c>
      <c r="BH135">
        <f t="shared" si="29"/>
        <v>0.56647294563250516</v>
      </c>
      <c r="BI135">
        <f t="shared" si="30"/>
        <v>5.6803425329617283E-2</v>
      </c>
      <c r="BJ135">
        <f t="shared" si="28"/>
        <v>5.4689939466335977E-2</v>
      </c>
    </row>
    <row r="136" spans="1:62" ht="15.6" x14ac:dyDescent="0.35">
      <c r="B136" s="1" t="s">
        <v>19</v>
      </c>
      <c r="C136" s="1">
        <f>SUM(C131:C135)</f>
        <v>451</v>
      </c>
      <c r="D136" s="1">
        <f>SUM(D131:D135)</f>
        <v>62</v>
      </c>
      <c r="E136" s="1">
        <f>SUM(E131:E135)</f>
        <v>773</v>
      </c>
      <c r="F136" s="1">
        <f>SUM(F131:F135)</f>
        <v>642</v>
      </c>
      <c r="G136" s="1">
        <f>SUM(G131:G135)</f>
        <v>908</v>
      </c>
      <c r="H136" s="1">
        <f>SUM(H130:H135)</f>
        <v>2836</v>
      </c>
      <c r="I136" s="13" t="s">
        <v>12</v>
      </c>
      <c r="N136" s="16" t="s">
        <v>36</v>
      </c>
      <c r="O136" s="1">
        <f>SUM(O131:O135)</f>
        <v>0</v>
      </c>
      <c r="P136" s="1">
        <f>SUM(P131:P135)</f>
        <v>0</v>
      </c>
      <c r="R136" t="s">
        <v>100</v>
      </c>
      <c r="S136" t="s">
        <v>28</v>
      </c>
      <c r="T136" s="57">
        <f>C379</f>
        <v>0.46366821057078206</v>
      </c>
      <c r="U136" s="57">
        <f t="shared" ref="U136:X139" si="31">D379</f>
        <v>2.4790397999054128</v>
      </c>
      <c r="V136" s="57">
        <f t="shared" si="31"/>
        <v>57.212109153947381</v>
      </c>
      <c r="W136" s="57">
        <f t="shared" si="31"/>
        <v>31.220138516741184</v>
      </c>
      <c r="X136" s="57">
        <f t="shared" si="31"/>
        <v>8.6250443188352293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  <c r="BF136" s="51">
        <v>0.96280063469449872</v>
      </c>
      <c r="BG136" s="1">
        <v>73</v>
      </c>
      <c r="BH136">
        <f t="shared" si="29"/>
        <v>0.59607938602766308</v>
      </c>
      <c r="BI136">
        <f t="shared" si="30"/>
        <v>5.9772229469741457E-2</v>
      </c>
      <c r="BJ136">
        <f t="shared" si="28"/>
        <v>5.7548740470572297E-2</v>
      </c>
    </row>
    <row r="137" spans="1:62" x14ac:dyDescent="0.3">
      <c r="A137" s="1" t="s">
        <v>316</v>
      </c>
      <c r="B137" s="1" t="s">
        <v>2</v>
      </c>
      <c r="C137" s="10">
        <f>C131/C136</f>
        <v>1</v>
      </c>
      <c r="D137" s="10">
        <f>D132/D136</f>
        <v>0.91935483870967738</v>
      </c>
      <c r="E137" s="10">
        <f>E133/E136</f>
        <v>0.9469598965071151</v>
      </c>
      <c r="F137" s="10">
        <f>F134/F136</f>
        <v>0.82710280373831779</v>
      </c>
      <c r="G137" s="10">
        <f>G135/G136</f>
        <v>0.97026431718061679</v>
      </c>
      <c r="H137" s="10"/>
      <c r="I137" s="14">
        <f>(C131+D132+E133+F134+G135)/H136</f>
        <v>0.93511988716502115</v>
      </c>
      <c r="S137" s="66" t="s">
        <v>39</v>
      </c>
      <c r="T137" s="67">
        <f>C380</f>
        <v>0</v>
      </c>
      <c r="U137" s="67">
        <f t="shared" si="31"/>
        <v>0.12359912189172273</v>
      </c>
      <c r="V137" s="67">
        <f t="shared" si="31"/>
        <v>0.37716059275470365</v>
      </c>
      <c r="W137" s="67">
        <f t="shared" si="31"/>
        <v>0.46864635413271449</v>
      </c>
      <c r="X137" s="67">
        <f t="shared" si="31"/>
        <v>0.2890731668165763</v>
      </c>
      <c r="AD137" s="51"/>
      <c r="AE137" s="51"/>
      <c r="AU137">
        <v>16</v>
      </c>
      <c r="AV137">
        <v>503</v>
      </c>
      <c r="BF137" s="51">
        <v>0.96280637152149695</v>
      </c>
      <c r="BG137" s="1">
        <v>74</v>
      </c>
      <c r="BH137">
        <f t="shared" si="29"/>
        <v>0.62621783615158144</v>
      </c>
      <c r="BI137">
        <f t="shared" si="30"/>
        <v>6.2794381214787046E-2</v>
      </c>
      <c r="BJ137">
        <f t="shared" si="28"/>
        <v>6.0458830329346763E-2</v>
      </c>
    </row>
    <row r="138" spans="1:62" x14ac:dyDescent="0.3">
      <c r="B138" s="1" t="s">
        <v>14</v>
      </c>
      <c r="C138" s="11">
        <f>1-C137</f>
        <v>0</v>
      </c>
      <c r="D138" s="11">
        <f>1-D137</f>
        <v>8.064516129032262E-2</v>
      </c>
      <c r="E138" s="11">
        <f>1-E137</f>
        <v>5.3040103492884905E-2</v>
      </c>
      <c r="F138" s="11">
        <f>1-F137</f>
        <v>0.17289719626168221</v>
      </c>
      <c r="G138" s="11">
        <f>1-G137</f>
        <v>2.9735682819383213E-2</v>
      </c>
      <c r="S138" t="s">
        <v>30</v>
      </c>
      <c r="T138" s="57">
        <f>C381</f>
        <v>100</v>
      </c>
      <c r="U138" s="57">
        <f t="shared" si="31"/>
        <v>88.803288863509138</v>
      </c>
      <c r="V138" s="57">
        <f t="shared" si="31"/>
        <v>97.653444869038026</v>
      </c>
      <c r="W138" s="57">
        <f t="shared" si="31"/>
        <v>94.419927883385554</v>
      </c>
      <c r="X138" s="57">
        <f t="shared" si="31"/>
        <v>83.65795769690078</v>
      </c>
      <c r="AA138" s="54"/>
      <c r="AD138" s="51"/>
      <c r="AE138" s="51"/>
      <c r="AH138" s="78"/>
      <c r="AI138" s="78"/>
      <c r="AU138">
        <v>17</v>
      </c>
      <c r="AV138">
        <v>532</v>
      </c>
      <c r="BF138" s="51">
        <v>0.96296798847529297</v>
      </c>
      <c r="BG138" s="1">
        <v>75</v>
      </c>
      <c r="BH138">
        <f t="shared" si="29"/>
        <v>0.65693619279658544</v>
      </c>
      <c r="BI138">
        <f t="shared" si="30"/>
        <v>6.5874683445257612E-2</v>
      </c>
      <c r="BJ138">
        <f t="shared" si="28"/>
        <v>6.3435211408726405E-2</v>
      </c>
    </row>
    <row r="139" spans="1:62" x14ac:dyDescent="0.3">
      <c r="C139" s="2"/>
      <c r="S139" s="66" t="s">
        <v>39</v>
      </c>
      <c r="T139" s="67">
        <f>C382</f>
        <v>0</v>
      </c>
      <c r="U139" s="67">
        <f t="shared" si="31"/>
        <v>4.4313327501054625</v>
      </c>
      <c r="V139" s="67">
        <f t="shared" si="31"/>
        <v>0.45388643841991366</v>
      </c>
      <c r="W139" s="67">
        <f t="shared" si="31"/>
        <v>1.0756627432879751</v>
      </c>
      <c r="X139" s="67">
        <f t="shared" si="31"/>
        <v>3.1067410378635101</v>
      </c>
      <c r="AD139" s="51"/>
      <c r="AE139" s="51"/>
      <c r="AU139">
        <v>18</v>
      </c>
      <c r="AV139">
        <v>561</v>
      </c>
      <c r="BF139" s="51">
        <v>0.96298310196974801</v>
      </c>
      <c r="BG139" s="1">
        <v>76</v>
      </c>
      <c r="BH139">
        <f t="shared" si="29"/>
        <v>0.68828739090267188</v>
      </c>
      <c r="BI139">
        <f t="shared" si="30"/>
        <v>6.9018444245033631E-2</v>
      </c>
      <c r="BJ139">
        <f t="shared" si="28"/>
        <v>6.6463595532208583E-2</v>
      </c>
    </row>
    <row r="140" spans="1:62" ht="15.6" x14ac:dyDescent="0.35">
      <c r="A140" t="s">
        <v>317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100</v>
      </c>
      <c r="V140" s="57">
        <f>I376</f>
        <v>98.236092265943014</v>
      </c>
      <c r="W140" s="57">
        <f>I377</f>
        <v>91.237113402061851</v>
      </c>
      <c r="X140" s="57">
        <f>I378</f>
        <v>88.503468780971261</v>
      </c>
      <c r="AD140" s="51"/>
      <c r="AE140" s="51"/>
      <c r="AH140" s="78"/>
      <c r="AI140" s="78"/>
      <c r="AU140">
        <v>19</v>
      </c>
      <c r="AV140">
        <v>590</v>
      </c>
      <c r="BF140" s="51">
        <v>0.96300600866662012</v>
      </c>
      <c r="BG140" s="1">
        <v>77</v>
      </c>
      <c r="BH140">
        <f t="shared" si="29"/>
        <v>0.72033023085752279</v>
      </c>
      <c r="BI140">
        <f t="shared" si="30"/>
        <v>7.2231559859393529E-2</v>
      </c>
      <c r="BJ140">
        <f t="shared" si="28"/>
        <v>6.9559426159958609E-2</v>
      </c>
    </row>
    <row r="141" spans="1:62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0</v>
      </c>
      <c r="V141" s="67">
        <f>J376</f>
        <v>0.48521538655225582</v>
      </c>
      <c r="W141" s="67">
        <f>J377</f>
        <v>1.1730628945942423</v>
      </c>
      <c r="X141" s="67">
        <f>J378</f>
        <v>1.0046928041876679</v>
      </c>
      <c r="AD141" s="51"/>
      <c r="AE141" s="51"/>
      <c r="BF141" s="51">
        <v>0.96309027450213103</v>
      </c>
      <c r="BG141" s="1">
        <v>78</v>
      </c>
      <c r="BH141">
        <f t="shared" si="29"/>
        <v>0.75313037838845598</v>
      </c>
      <c r="BI141">
        <f t="shared" si="30"/>
        <v>7.5520614959798102E-2</v>
      </c>
      <c r="BJ141">
        <f t="shared" si="28"/>
        <v>7.2733169792201693E-2</v>
      </c>
    </row>
    <row r="142" spans="1:62" x14ac:dyDescent="0.3">
      <c r="A142" t="s">
        <v>3</v>
      </c>
      <c r="B142" s="13">
        <v>0</v>
      </c>
      <c r="C142" s="29">
        <f>(C131/$L142)*$O142</f>
        <v>0.49470844908730377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0.49470844908730377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451</v>
      </c>
      <c r="M142">
        <v>0</v>
      </c>
      <c r="N142" s="1">
        <v>477.81</v>
      </c>
      <c r="O142" s="17">
        <f>N142/N147*100</f>
        <v>0.49470844908730377</v>
      </c>
      <c r="P142" s="52">
        <f>((O142*O142*(I142/100)*(K142/100))/(L142-1))</f>
        <v>0</v>
      </c>
      <c r="S142" s="66" t="s">
        <v>51</v>
      </c>
      <c r="T142" s="67">
        <f>N363*100</f>
        <v>100</v>
      </c>
      <c r="U142" s="67">
        <f>N364*100</f>
        <v>95.798319327731079</v>
      </c>
      <c r="V142" s="67">
        <f>N365*100</f>
        <v>96.662216288384499</v>
      </c>
      <c r="W142" s="67">
        <f>N366*100</f>
        <v>86.623164763458405</v>
      </c>
      <c r="X142" s="67">
        <f>N367*100</f>
        <v>92.682926829268297</v>
      </c>
      <c r="AD142" s="51"/>
      <c r="AE142" s="51"/>
      <c r="AH142" s="78"/>
      <c r="AI142" s="78"/>
      <c r="BF142" s="51">
        <v>0.96318571096846195</v>
      </c>
      <c r="BG142" s="1">
        <v>79</v>
      </c>
      <c r="BH142">
        <f t="shared" si="29"/>
        <v>0.78676158292306597</v>
      </c>
      <c r="BI142">
        <f t="shared" si="30"/>
        <v>7.8893004815758033E-2</v>
      </c>
      <c r="BJ142">
        <f t="shared" si="28"/>
        <v>7.59886149339042E-2</v>
      </c>
    </row>
    <row r="143" spans="1:62" x14ac:dyDescent="0.3">
      <c r="A143" t="s">
        <v>4</v>
      </c>
      <c r="B143" s="13">
        <v>1</v>
      </c>
      <c r="C143" s="33">
        <f t="shared" ref="C143:G146" si="32">(C132/$L143)*$O143</f>
        <v>0</v>
      </c>
      <c r="D143" s="34">
        <f t="shared" si="32"/>
        <v>2.3284045748288329</v>
      </c>
      <c r="E143" s="19">
        <f t="shared" si="32"/>
        <v>0</v>
      </c>
      <c r="F143" s="18">
        <f t="shared" si="32"/>
        <v>0</v>
      </c>
      <c r="G143" s="20">
        <f t="shared" si="32"/>
        <v>0</v>
      </c>
      <c r="H143" s="17">
        <f>SUM(C143:G143)</f>
        <v>2.3284045748288329</v>
      </c>
      <c r="I143" s="17">
        <f>D143/H143*100</f>
        <v>100</v>
      </c>
      <c r="J143" s="17">
        <f>SQRT(I143*(100-I143)/(L143-1))</f>
        <v>0</v>
      </c>
      <c r="K143" s="18">
        <f>100-I143</f>
        <v>0</v>
      </c>
      <c r="L143" s="1">
        <f>H132</f>
        <v>57</v>
      </c>
      <c r="M143">
        <v>1</v>
      </c>
      <c r="N143" s="1">
        <v>2248.87</v>
      </c>
      <c r="O143" s="17">
        <f>N143/N147*100</f>
        <v>2.3284045748288329</v>
      </c>
      <c r="P143" s="52">
        <f>((O143*O143*(I143/100)*(K143/100))/(L143-1))</f>
        <v>0</v>
      </c>
      <c r="R143" s="16" t="s">
        <v>61</v>
      </c>
      <c r="S143" t="s">
        <v>9</v>
      </c>
      <c r="T143" s="30">
        <f>N374</f>
        <v>447.83</v>
      </c>
      <c r="U143" s="30">
        <f>N375</f>
        <v>2126.27</v>
      </c>
      <c r="V143" s="30">
        <f>N376</f>
        <v>54930.09</v>
      </c>
      <c r="W143" s="30">
        <f>N377</f>
        <v>31205.62</v>
      </c>
      <c r="X143" s="30">
        <f>N378</f>
        <v>7874.34</v>
      </c>
      <c r="Z143" t="s">
        <v>36</v>
      </c>
      <c r="AA143" s="1">
        <f>N379</f>
        <v>96584.15</v>
      </c>
      <c r="AD143" s="51"/>
      <c r="AE143" s="51"/>
      <c r="BF143" s="51">
        <v>0.96319728090164103</v>
      </c>
      <c r="BG143" s="1">
        <v>80</v>
      </c>
      <c r="BH143">
        <f t="shared" si="29"/>
        <v>0.82130717520561125</v>
      </c>
      <c r="BI143">
        <f t="shared" si="30"/>
        <v>8.2357085469244348E-2</v>
      </c>
      <c r="BJ143">
        <f t="shared" si="28"/>
        <v>7.9326120786960205E-2</v>
      </c>
    </row>
    <row r="144" spans="1:62" ht="15.6" x14ac:dyDescent="0.35">
      <c r="A144" t="s">
        <v>5</v>
      </c>
      <c r="B144" s="13">
        <v>2</v>
      </c>
      <c r="C144" s="33">
        <f t="shared" si="32"/>
        <v>0</v>
      </c>
      <c r="D144" s="19">
        <f t="shared" si="32"/>
        <v>0</v>
      </c>
      <c r="E144" s="34">
        <f t="shared" si="32"/>
        <v>56.915052671117692</v>
      </c>
      <c r="F144" s="19">
        <f t="shared" si="32"/>
        <v>0.31101121678206384</v>
      </c>
      <c r="G144" s="20">
        <f t="shared" si="32"/>
        <v>7.7752804195515959E-2</v>
      </c>
      <c r="H144" s="17">
        <f>SUM(C144:G144)</f>
        <v>57.303816692095275</v>
      </c>
      <c r="I144" s="17">
        <f>E144/H144*100</f>
        <v>99.321573948439607</v>
      </c>
      <c r="J144" s="17">
        <f>SQRT(I144*(100-I144)/(L144-1))</f>
        <v>0.30257577035375421</v>
      </c>
      <c r="K144" s="18">
        <f>100-I144</f>
        <v>0.67842605156039326</v>
      </c>
      <c r="L144" s="1">
        <f>H133</f>
        <v>737</v>
      </c>
      <c r="M144">
        <v>2</v>
      </c>
      <c r="N144" s="1">
        <v>55346.41</v>
      </c>
      <c r="O144" s="17">
        <f>N144/N147*100</f>
        <v>57.303816692095268</v>
      </c>
      <c r="P144" s="52">
        <f>((O144*O144*(I144/100)*(K144/100))/(L144-1))</f>
        <v>3.0063212949150663E-2</v>
      </c>
      <c r="R144" s="16" t="s">
        <v>318</v>
      </c>
      <c r="S144" t="s">
        <v>63</v>
      </c>
      <c r="T144" s="57">
        <f>$AA143*T136/100</f>
        <v>447.83</v>
      </c>
      <c r="U144" s="57">
        <f>$AA143*U136/100</f>
        <v>2394.3595189003436</v>
      </c>
      <c r="V144" s="57">
        <f>$AA143*V136/100</f>
        <v>55257.829323412261</v>
      </c>
      <c r="W144" s="57">
        <f>$AA143*W136/100</f>
        <v>30153.705415217079</v>
      </c>
      <c r="X144" s="57">
        <f>$AA143*X136/100</f>
        <v>8330.4257424702955</v>
      </c>
      <c r="Z144" t="s">
        <v>36</v>
      </c>
      <c r="AA144" s="25">
        <f>SUM(T144:X144)</f>
        <v>96584.14999999998</v>
      </c>
      <c r="AD144" s="51"/>
      <c r="AE144" s="51"/>
      <c r="AH144" s="78"/>
      <c r="AI144" s="78"/>
      <c r="BF144" s="51">
        <v>0.963265192213274</v>
      </c>
      <c r="BG144" s="1">
        <v>81</v>
      </c>
      <c r="BH144">
        <f t="shared" si="29"/>
        <v>0.8568619257010005</v>
      </c>
      <c r="BI144">
        <f t="shared" si="30"/>
        <v>8.5922360087298644E-2</v>
      </c>
      <c r="BJ144">
        <f t="shared" si="28"/>
        <v>8.2766018704909877E-2</v>
      </c>
    </row>
    <row r="145" spans="1:62" x14ac:dyDescent="0.3">
      <c r="A145" t="s">
        <v>6</v>
      </c>
      <c r="B145" s="13">
        <v>3</v>
      </c>
      <c r="C145" s="33">
        <f t="shared" si="32"/>
        <v>0</v>
      </c>
      <c r="D145" s="19">
        <f t="shared" si="32"/>
        <v>0.27508486076998101</v>
      </c>
      <c r="E145" s="19">
        <f t="shared" si="32"/>
        <v>1.100339443079924</v>
      </c>
      <c r="F145" s="34">
        <f t="shared" si="32"/>
        <v>29.21401221377198</v>
      </c>
      <c r="G145" s="20">
        <f t="shared" si="32"/>
        <v>1.4304412760039011</v>
      </c>
      <c r="H145" s="17">
        <f>SUM(C145:G145)</f>
        <v>32.019877793625788</v>
      </c>
      <c r="I145" s="17">
        <f>F145/H145*100</f>
        <v>91.237113402061851</v>
      </c>
      <c r="J145" s="17">
        <f>SQRT(I145*(100-I145)/(L145-1))</f>
        <v>1.1730628945942423</v>
      </c>
      <c r="K145" s="18">
        <f>100-I145</f>
        <v>8.7628865979381487</v>
      </c>
      <c r="L145" s="1">
        <f>H134</f>
        <v>582</v>
      </c>
      <c r="M145">
        <v>3</v>
      </c>
      <c r="N145" s="1">
        <v>30926.13</v>
      </c>
      <c r="O145" s="17">
        <f>N145/N147*100</f>
        <v>32.019877793625788</v>
      </c>
      <c r="P145" s="52">
        <f>((O145*O145*(I145/100)*(K145/100))/(L145-1))</f>
        <v>0.14108535511196479</v>
      </c>
      <c r="R145" s="66"/>
      <c r="S145" s="66" t="s">
        <v>62</v>
      </c>
      <c r="T145" s="67">
        <f>$AA143*T137/100</f>
        <v>0</v>
      </c>
      <c r="U145" s="67">
        <f>$AA143*U137/100</f>
        <v>119.37716128658431</v>
      </c>
      <c r="V145" s="67">
        <f>$AA143*V137/100</f>
        <v>364.27735264709207</v>
      </c>
      <c r="W145" s="67">
        <f>$AA143*W137/100</f>
        <v>452.63809764507209</v>
      </c>
      <c r="X145" s="67">
        <f>$AA143*X137/100</f>
        <v>279.19886104787224</v>
      </c>
      <c r="AA145" s="1"/>
      <c r="AD145" s="51"/>
      <c r="AE145" s="51"/>
      <c r="BF145" s="51">
        <v>0.96327094030515703</v>
      </c>
      <c r="BG145" s="1">
        <v>82</v>
      </c>
      <c r="BH145">
        <f t="shared" si="29"/>
        <v>0.89353437460601337</v>
      </c>
      <c r="BI145">
        <f t="shared" si="30"/>
        <v>8.9599712605350768E-2</v>
      </c>
      <c r="BJ145">
        <f t="shared" si="28"/>
        <v>8.6308799412428069E-2</v>
      </c>
    </row>
    <row r="146" spans="1:62" x14ac:dyDescent="0.3">
      <c r="A146" t="s">
        <v>7</v>
      </c>
      <c r="B146" s="13">
        <v>4</v>
      </c>
      <c r="C146" s="35">
        <f t="shared" si="32"/>
        <v>0</v>
      </c>
      <c r="D146" s="36">
        <f t="shared" si="32"/>
        <v>0</v>
      </c>
      <c r="E146" s="21">
        <f t="shared" si="32"/>
        <v>0.16344602804521205</v>
      </c>
      <c r="F146" s="21">
        <f t="shared" si="32"/>
        <v>0.83279642861131864</v>
      </c>
      <c r="G146" s="37">
        <f t="shared" si="32"/>
        <v>6.8569500337062772</v>
      </c>
      <c r="H146" s="17">
        <f>SUM(C146:G146)</f>
        <v>7.8531924903628081</v>
      </c>
      <c r="I146" s="17">
        <f>G146/H146*100</f>
        <v>87.314172447968289</v>
      </c>
      <c r="J146" s="17">
        <f>SQRT(I146*(100-I146)/(L146-1))</f>
        <v>1.0482660165206859</v>
      </c>
      <c r="K146" s="18">
        <f>100-I146</f>
        <v>12.685827552031711</v>
      </c>
      <c r="L146" s="1">
        <f>H135</f>
        <v>1009</v>
      </c>
      <c r="M146">
        <v>4</v>
      </c>
      <c r="N146" s="1">
        <v>7584.94</v>
      </c>
      <c r="O146" s="17">
        <f>N146/N147*100</f>
        <v>7.8531924903628081</v>
      </c>
      <c r="P146" s="52">
        <f>((O146*O146*(I146/100)*(K146/100))/(L146-1))</f>
        <v>6.7769689947922837E-3</v>
      </c>
      <c r="R146" t="s">
        <v>101</v>
      </c>
      <c r="S146" t="s">
        <v>28</v>
      </c>
      <c r="T146" s="57">
        <f>C408</f>
        <v>0.54214894036454842</v>
      </c>
      <c r="U146" s="57">
        <f t="shared" ref="U146:X149" si="33">D408</f>
        <v>2.4715816313858467</v>
      </c>
      <c r="V146" s="57">
        <f t="shared" si="33"/>
        <v>58.506677496285477</v>
      </c>
      <c r="W146" s="57">
        <f t="shared" si="33"/>
        <v>29.539120496158535</v>
      </c>
      <c r="X146" s="57">
        <f t="shared" si="33"/>
        <v>8.9404714358055948</v>
      </c>
      <c r="Y146" s="60"/>
      <c r="Z146" s="74"/>
      <c r="AA146" s="12"/>
      <c r="AD146" s="51"/>
      <c r="AE146" s="51"/>
      <c r="AH146" s="78"/>
      <c r="AI146" s="78"/>
      <c r="BF146" s="51">
        <v>0.96332271375460199</v>
      </c>
      <c r="BG146" s="1">
        <v>83</v>
      </c>
      <c r="BH146">
        <f t="shared" si="29"/>
        <v>0.93144978630264041</v>
      </c>
      <c r="BI146">
        <f t="shared" si="30"/>
        <v>9.3401703986856682E-2</v>
      </c>
      <c r="BJ146">
        <f t="shared" si="28"/>
        <v>8.9975982953922812E-2</v>
      </c>
    </row>
    <row r="147" spans="1:62" x14ac:dyDescent="0.3">
      <c r="B147" t="s">
        <v>28</v>
      </c>
      <c r="C147" s="17">
        <f t="shared" ref="C147:H147" si="34">SUM(C142:C146)</f>
        <v>0.49470844908730377</v>
      </c>
      <c r="D147" s="17">
        <f t="shared" si="34"/>
        <v>2.6034894355988141</v>
      </c>
      <c r="E147" s="17">
        <f t="shared" si="34"/>
        <v>58.178838142242832</v>
      </c>
      <c r="F147" s="17">
        <f t="shared" si="34"/>
        <v>30.35781985916536</v>
      </c>
      <c r="G147" s="17">
        <f t="shared" si="34"/>
        <v>8.3651441139056946</v>
      </c>
      <c r="H147" s="18">
        <f t="shared" si="34"/>
        <v>100</v>
      </c>
      <c r="I147" s="13" t="s">
        <v>24</v>
      </c>
      <c r="J147" s="12" t="s">
        <v>29</v>
      </c>
      <c r="N147" s="1">
        <f>SUM(N142:N146)</f>
        <v>96584.16</v>
      </c>
      <c r="O147" s="17">
        <f>SUM(O142:O146)</f>
        <v>100</v>
      </c>
      <c r="S147" s="66" t="s">
        <v>39</v>
      </c>
      <c r="T147" s="67">
        <f>C409</f>
        <v>0</v>
      </c>
      <c r="U147" s="67">
        <f t="shared" si="33"/>
        <v>0.12164746624909052</v>
      </c>
      <c r="V147" s="67">
        <f t="shared" si="33"/>
        <v>0.29294497940348674</v>
      </c>
      <c r="W147" s="67">
        <f t="shared" si="33"/>
        <v>0.40967251997880044</v>
      </c>
      <c r="X147" s="67">
        <f t="shared" si="33"/>
        <v>0.30008653922760953</v>
      </c>
      <c r="AD147" s="51"/>
      <c r="AE147" s="51"/>
      <c r="BF147" s="51">
        <v>0.96340238713944704</v>
      </c>
      <c r="BG147" s="1">
        <v>84</v>
      </c>
      <c r="BH147">
        <f t="shared" si="29"/>
        <v>0.97075394243172153</v>
      </c>
      <c r="BI147">
        <f t="shared" si="30"/>
        <v>9.7342952576105757E-2</v>
      </c>
      <c r="BJ147">
        <f t="shared" si="28"/>
        <v>9.3780432883022277E-2</v>
      </c>
    </row>
    <row r="148" spans="1:62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0.12249210609327378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0.29954147072689419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0.4131441638975446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0.29663167961243531</v>
      </c>
      <c r="H148" s="1"/>
      <c r="I148" s="56">
        <f>(C142+D143+E144+F145+G146)/H147</f>
        <v>0.95809127942512096</v>
      </c>
      <c r="J148" s="53">
        <f>SQRT(SUM(P142:P146))/100</f>
        <v>4.2181220591147872E-3</v>
      </c>
      <c r="M148" s="1"/>
      <c r="N148" s="9"/>
      <c r="S148" t="s">
        <v>30</v>
      </c>
      <c r="T148" s="57">
        <f>C410</f>
        <v>100</v>
      </c>
      <c r="U148" s="57">
        <f t="shared" si="33"/>
        <v>88.946833894157223</v>
      </c>
      <c r="V148" s="57">
        <f t="shared" si="33"/>
        <v>97.783375387200252</v>
      </c>
      <c r="W148" s="57">
        <f t="shared" si="33"/>
        <v>97.66253957797187</v>
      </c>
      <c r="X148" s="57">
        <f t="shared" si="33"/>
        <v>82.015469909109072</v>
      </c>
      <c r="AD148" s="51"/>
      <c r="AE148" s="51"/>
      <c r="AH148" s="78"/>
      <c r="AI148" s="78"/>
      <c r="BF148" s="51">
        <v>0.96344981288773301</v>
      </c>
      <c r="BG148" s="1">
        <v>85</v>
      </c>
      <c r="BH148">
        <f t="shared" si="29"/>
        <v>1.0116180790824523</v>
      </c>
      <c r="BI148">
        <f t="shared" si="30"/>
        <v>0.10144062917795522</v>
      </c>
      <c r="BJ148">
        <f t="shared" si="28"/>
        <v>9.7732955200714872E-2</v>
      </c>
    </row>
    <row r="149" spans="1:62" x14ac:dyDescent="0.3">
      <c r="B149" s="1" t="s">
        <v>30</v>
      </c>
      <c r="C149" s="17">
        <f>C142/C147*100</f>
        <v>100</v>
      </c>
      <c r="D149" s="17">
        <f>D143/D147*100</f>
        <v>89.433993585354784</v>
      </c>
      <c r="E149" s="17">
        <f>E144/E147*100</f>
        <v>97.827757460478537</v>
      </c>
      <c r="F149" s="17">
        <f>F145/F147*100</f>
        <v>96.232247076042739</v>
      </c>
      <c r="G149" s="17">
        <f>G146/G147*100</f>
        <v>81.970494953072119</v>
      </c>
      <c r="H149" s="1"/>
      <c r="S149" s="66" t="s">
        <v>39</v>
      </c>
      <c r="T149" s="67">
        <f>C411</f>
        <v>0</v>
      </c>
      <c r="U149" s="67">
        <f t="shared" si="33"/>
        <v>4.3815929444600412</v>
      </c>
      <c r="V149" s="67">
        <f t="shared" si="33"/>
        <v>0.41928047697585669</v>
      </c>
      <c r="W149" s="67">
        <f t="shared" si="33"/>
        <v>0.57269388651744435</v>
      </c>
      <c r="X149" s="67">
        <f t="shared" si="33"/>
        <v>3.0005189953851468</v>
      </c>
      <c r="AD149" s="51"/>
      <c r="AE149" s="51"/>
      <c r="BF149" s="51">
        <v>0.96372191778643701</v>
      </c>
      <c r="BG149" s="1">
        <v>86</v>
      </c>
      <c r="BH149">
        <f t="shared" si="29"/>
        <v>1.0542454124924514</v>
      </c>
      <c r="BI149">
        <f t="shared" si="30"/>
        <v>0.10571511142644452</v>
      </c>
      <c r="BJ149">
        <f t="shared" si="28"/>
        <v>0.10187996992289999</v>
      </c>
    </row>
    <row r="150" spans="1:62" x14ac:dyDescent="0.3">
      <c r="B150" s="16" t="s">
        <v>39</v>
      </c>
      <c r="C150" s="18">
        <f>SQRT((C153+C154)/(C147*C147))</f>
        <v>0</v>
      </c>
      <c r="D150" s="18">
        <f>SQRT((D153+D154)/(D147*D147))</f>
        <v>4.2114178388461374</v>
      </c>
      <c r="E150" s="18">
        <f>SQRT((E153+E154)/(E147*E147))</f>
        <v>0.41627516590538027</v>
      </c>
      <c r="F150" s="18">
        <f>SQRT((F153+F154)/(F147*F147))</f>
        <v>0.71944935916051755</v>
      </c>
      <c r="G150" s="18">
        <f>SQRT((G153+G154)/(G147*G147))</f>
        <v>3.3106254662313299</v>
      </c>
      <c r="H150" s="1"/>
      <c r="S150" s="15" t="s">
        <v>31</v>
      </c>
      <c r="T150" s="71">
        <f>I403</f>
        <v>100</v>
      </c>
      <c r="U150" s="71">
        <f>I404</f>
        <v>100</v>
      </c>
      <c r="V150" s="71">
        <f>I405</f>
        <v>99.457259158751697</v>
      </c>
      <c r="W150" s="71">
        <f>I406</f>
        <v>90.721649484536087</v>
      </c>
      <c r="X150" s="71">
        <f>I407</f>
        <v>92.368681863230918</v>
      </c>
      <c r="AD150" s="51"/>
      <c r="AE150" s="51"/>
      <c r="AH150" s="78"/>
      <c r="AI150" s="78"/>
      <c r="BF150" s="51">
        <v>0.963961759600931</v>
      </c>
      <c r="BG150" s="1">
        <v>87</v>
      </c>
      <c r="BH150">
        <f t="shared" si="29"/>
        <v>1.0988799140705434</v>
      </c>
      <c r="BI150">
        <f t="shared" si="30"/>
        <v>0.11019086370563748</v>
      </c>
      <c r="BJ150">
        <f t="shared" si="28"/>
        <v>0.10621977886963267</v>
      </c>
    </row>
    <row r="151" spans="1:62" x14ac:dyDescent="0.3">
      <c r="B151" s="1" t="s">
        <v>37</v>
      </c>
      <c r="C151" s="18">
        <f>100-C149</f>
        <v>0</v>
      </c>
      <c r="D151" s="18">
        <f>100-D149</f>
        <v>10.566006414645216</v>
      </c>
      <c r="E151" s="18">
        <f>100-E149</f>
        <v>2.1722425395214628</v>
      </c>
      <c r="F151" s="18">
        <f>100-F149</f>
        <v>3.7677529239572607</v>
      </c>
      <c r="G151" s="18">
        <f>100-G149</f>
        <v>18.029505046927881</v>
      </c>
      <c r="S151" s="75" t="s">
        <v>39</v>
      </c>
      <c r="T151" s="76">
        <f>J403</f>
        <v>0</v>
      </c>
      <c r="U151" s="76">
        <f>J404</f>
        <v>0</v>
      </c>
      <c r="V151" s="76">
        <f>J405</f>
        <v>0.27081679117169194</v>
      </c>
      <c r="W151" s="76">
        <f>J406</f>
        <v>1.2036571232392477</v>
      </c>
      <c r="X151" s="76">
        <f>J407</f>
        <v>0.83624182747586007</v>
      </c>
      <c r="AD151" s="51"/>
      <c r="AE151" s="51"/>
      <c r="BF151" s="51">
        <v>0.96397596989158196</v>
      </c>
      <c r="BG151" s="1">
        <v>88</v>
      </c>
      <c r="BH151">
        <f t="shared" si="29"/>
        <v>1.1458183419972177</v>
      </c>
      <c r="BI151">
        <f t="shared" si="30"/>
        <v>0.11489764362580719</v>
      </c>
      <c r="BJ151">
        <f t="shared" si="28"/>
        <v>0.11075856745244483</v>
      </c>
    </row>
    <row r="152" spans="1:62" ht="15.6" x14ac:dyDescent="0.35">
      <c r="B152" s="1" t="s">
        <v>25</v>
      </c>
      <c r="C152" s="1">
        <f>C136</f>
        <v>451</v>
      </c>
      <c r="D152" s="1">
        <f>D136</f>
        <v>62</v>
      </c>
      <c r="E152" s="1">
        <f>E136</f>
        <v>773</v>
      </c>
      <c r="F152" s="1">
        <f>F136</f>
        <v>642</v>
      </c>
      <c r="G152" s="1">
        <f>G136</f>
        <v>908</v>
      </c>
      <c r="S152" s="66" t="s">
        <v>51</v>
      </c>
      <c r="T152" s="67">
        <f>N392*100</f>
        <v>100</v>
      </c>
      <c r="U152" s="67">
        <f>N393*100</f>
        <v>95.798319327731079</v>
      </c>
      <c r="V152" s="67">
        <f>N394*100</f>
        <v>97.086092715231786</v>
      </c>
      <c r="W152" s="67">
        <f>N395*100</f>
        <v>90.179333902647315</v>
      </c>
      <c r="X152" s="67">
        <f>N396*100</f>
        <v>94.619289340101517</v>
      </c>
      <c r="AD152" s="51"/>
      <c r="AE152" s="51"/>
      <c r="AH152" s="78"/>
      <c r="AI152" s="78"/>
      <c r="BF152" s="51">
        <v>0.96398878165177204</v>
      </c>
      <c r="BG152" s="1">
        <v>89</v>
      </c>
      <c r="BH152">
        <f t="shared" si="29"/>
        <v>1.1954271085021428</v>
      </c>
      <c r="BI152">
        <f t="shared" si="30"/>
        <v>0.11987219340013137</v>
      </c>
      <c r="BJ152">
        <f t="shared" si="28"/>
        <v>0.11555544966971823</v>
      </c>
    </row>
    <row r="153" spans="1:62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0</v>
      </c>
      <c r="E153" s="18">
        <f>(O144*O144*(100-E149)*(100-E149)*(I144)*(100-I144))/((L144-1)*100)</f>
        <v>14.18574085170615</v>
      </c>
      <c r="F153" s="18">
        <f>(O145*O145*(100-F149)*(100-F149)*(I145)*(100-I145))/((L145-1)*100)</f>
        <v>200.28423534685277</v>
      </c>
      <c r="G153" s="18">
        <f>(O146*O146*(100-G149)*(100-G149)*(I146)*(100-I146))/((L146-1)*100)</f>
        <v>220.29422263640342</v>
      </c>
      <c r="R153" s="16" t="s">
        <v>61</v>
      </c>
      <c r="S153" t="s">
        <v>9</v>
      </c>
      <c r="T153" s="30">
        <f>N403</f>
        <v>523.63</v>
      </c>
      <c r="U153" s="30">
        <f>N404</f>
        <v>2123.3000000000002</v>
      </c>
      <c r="V153" s="30">
        <f>N405</f>
        <v>55557.14</v>
      </c>
      <c r="W153" s="30">
        <f>N406</f>
        <v>30712.880000000001</v>
      </c>
      <c r="X153" s="30">
        <f>N407</f>
        <v>7667.21</v>
      </c>
      <c r="Z153" t="s">
        <v>36</v>
      </c>
      <c r="AA153" s="1">
        <f>N408</f>
        <v>96584.16</v>
      </c>
      <c r="AD153" s="51"/>
      <c r="AE153" s="51"/>
      <c r="BF153" s="51">
        <v>0.96413961972490902</v>
      </c>
      <c r="BG153" s="1">
        <v>90</v>
      </c>
      <c r="BH153">
        <f t="shared" si="29"/>
        <v>1.248166539458073</v>
      </c>
      <c r="BI153">
        <f t="shared" si="30"/>
        <v>0.12516067249049057</v>
      </c>
      <c r="BJ153">
        <f t="shared" si="28"/>
        <v>0.12067236317949545</v>
      </c>
    </row>
    <row r="154" spans="1:62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120.21766940366633</v>
      </c>
      <c r="E154" s="18">
        <f>E149*E149*(SUM((H142*E142*(1-E131/H131))/(H131-1),(H143*E143*(1-E132/H132))/(H132-1), (H145*E145*(1-E134/H134))/(H134-1),(H146*E146*(1-E135/H135))/(H135-1)))</f>
        <v>572.3454241031875</v>
      </c>
      <c r="F154" s="18">
        <f>F149*F149*(SUM((H142*F142*(1-F131/H131))/(H131-1),(H143*F143*(1-F132/H132))/(H132-1), (H144*F144*(1-F133/H133))/(H133-1),(H146*F146*(1-F135/H135))/(H135-1)))</f>
        <v>276.74129089502827</v>
      </c>
      <c r="G154" s="18">
        <f>G149*G149*(SUM((H142*G142*(1-G131/H131))/(H131-1),(H143*G143*(1-G132/H132))/(H132-1), (H144*G144*(1-G133/H133))/(H133-1),(H145*G145*(1-G134/H134))/(H134-1)))</f>
        <v>546.65561099725232</v>
      </c>
      <c r="R154" s="16" t="s">
        <v>318</v>
      </c>
      <c r="S154" t="s">
        <v>63</v>
      </c>
      <c r="T154" s="57">
        <f>$AA153*T146/100</f>
        <v>523.63000000000011</v>
      </c>
      <c r="U154" s="57">
        <f>$AA153*U146/100</f>
        <v>2387.1563573883163</v>
      </c>
      <c r="V154" s="57">
        <f>$AA153*V146/100</f>
        <v>56508.183003696358</v>
      </c>
      <c r="W154" s="57">
        <f>$AA153*W146/100</f>
        <v>28530.111402602553</v>
      </c>
      <c r="X154" s="57">
        <f>$AA153*X146/100</f>
        <v>8635.079236312773</v>
      </c>
      <c r="Z154" t="s">
        <v>36</v>
      </c>
      <c r="AA154" s="25">
        <f>SUM(T154:X154)</f>
        <v>96584.16</v>
      </c>
      <c r="AD154" s="51"/>
      <c r="AE154" s="51"/>
      <c r="AH154" s="78"/>
      <c r="AI154" s="78"/>
      <c r="BF154" s="51">
        <v>0.96438762477056905</v>
      </c>
      <c r="BG154" s="1">
        <v>91</v>
      </c>
      <c r="BH154">
        <f t="shared" si="29"/>
        <v>1.3046268229653302</v>
      </c>
      <c r="BI154">
        <f t="shared" si="30"/>
        <v>0.13082226237403305</v>
      </c>
      <c r="BJ154">
        <f t="shared" si="28"/>
        <v>0.12616337087800591</v>
      </c>
    </row>
    <row r="155" spans="1:62" x14ac:dyDescent="0.3">
      <c r="A155" s="105" t="s">
        <v>645</v>
      </c>
      <c r="B155" s="69" t="s">
        <v>9</v>
      </c>
      <c r="C155" s="1">
        <v>291.33999999999997</v>
      </c>
      <c r="D155" s="1">
        <v>2441.85</v>
      </c>
      <c r="E155" s="1">
        <v>16140.12</v>
      </c>
      <c r="F155">
        <v>2060.02</v>
      </c>
      <c r="G155">
        <v>1211.5999999999999</v>
      </c>
      <c r="I155" t="s">
        <v>36</v>
      </c>
      <c r="J155" s="57">
        <f>SUM(C155:G155)</f>
        <v>22144.93</v>
      </c>
      <c r="R155" s="66"/>
      <c r="S155" s="66" t="s">
        <v>62</v>
      </c>
      <c r="T155" s="67">
        <f>$AA153*T147/100</f>
        <v>0</v>
      </c>
      <c r="U155" s="67">
        <f>$AA153*U147/100</f>
        <v>117.4921834379676</v>
      </c>
      <c r="V155" s="67">
        <f>$AA153*V147/100</f>
        <v>282.93844761903068</v>
      </c>
      <c r="W155" s="67">
        <f>$AA153*W147/100</f>
        <v>395.67876217235658</v>
      </c>
      <c r="X155" s="67">
        <f>$AA153*X147/100</f>
        <v>289.83606318605712</v>
      </c>
      <c r="AA155" s="1"/>
      <c r="AD155" s="51"/>
      <c r="AE155" s="51"/>
      <c r="BF155" s="51">
        <v>0.964430110495614</v>
      </c>
      <c r="BG155" s="1">
        <v>92</v>
      </c>
      <c r="BH155">
        <f t="shared" si="29"/>
        <v>1.3655831908785105</v>
      </c>
      <c r="BI155">
        <f t="shared" si="30"/>
        <v>0.13693469990492851</v>
      </c>
      <c r="BJ155">
        <f t="shared" si="28"/>
        <v>0.13206394775999394</v>
      </c>
    </row>
    <row r="156" spans="1:62" x14ac:dyDescent="0.3">
      <c r="B156" t="s">
        <v>367</v>
      </c>
      <c r="C156" s="57">
        <f>(C155/$J155)*100</f>
        <v>1.3156058745726447</v>
      </c>
      <c r="D156" s="57">
        <f>(D155/$J155)*100</f>
        <v>11.026677438131436</v>
      </c>
      <c r="E156" s="57">
        <f>(E155/$J155)*100</f>
        <v>72.88404162939328</v>
      </c>
      <c r="F156" s="57">
        <f>(F155/$J155)*100</f>
        <v>9.3024453001206133</v>
      </c>
      <c r="G156" s="57">
        <f>(G155/$J155)*100</f>
        <v>5.4712297577820292</v>
      </c>
      <c r="R156" t="s">
        <v>102</v>
      </c>
      <c r="S156" t="s">
        <v>28</v>
      </c>
      <c r="T156" s="57">
        <f>C437</f>
        <v>0.489024287212313</v>
      </c>
      <c r="U156" s="57">
        <f t="shared" ref="U156:X159" si="35">D437</f>
        <v>2.5058025209839823</v>
      </c>
      <c r="V156" s="57">
        <f t="shared" si="35"/>
        <v>57.992378421488425</v>
      </c>
      <c r="W156" s="57">
        <f t="shared" si="35"/>
        <v>30.398506091208663</v>
      </c>
      <c r="X156" s="57">
        <f t="shared" si="35"/>
        <v>8.6142886791066218</v>
      </c>
      <c r="Z156" s="74"/>
      <c r="AA156" s="12"/>
      <c r="AD156" s="51"/>
      <c r="AE156" s="51"/>
      <c r="AH156" s="78"/>
      <c r="AI156" s="78"/>
      <c r="BF156" s="51">
        <v>0.964530879393112</v>
      </c>
      <c r="BG156" s="1">
        <v>93</v>
      </c>
      <c r="BH156">
        <f t="shared" si="29"/>
        <v>1.43208428708654</v>
      </c>
      <c r="BI156">
        <f t="shared" si="30"/>
        <v>0.14360313849835979</v>
      </c>
      <c r="BJ156">
        <f t="shared" si="28"/>
        <v>0.13850966145943383</v>
      </c>
    </row>
    <row r="157" spans="1:62" x14ac:dyDescent="0.3">
      <c r="A157" s="348" t="s">
        <v>369</v>
      </c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 t="s">
        <v>78</v>
      </c>
      <c r="M157" s="348"/>
      <c r="N157" s="348"/>
      <c r="O157" s="348"/>
      <c r="P157" s="348"/>
      <c r="S157" s="66" t="s">
        <v>39</v>
      </c>
      <c r="T157" s="67">
        <f>C438</f>
        <v>0</v>
      </c>
      <c r="U157" s="67">
        <f t="shared" si="35"/>
        <v>0.109241206902796</v>
      </c>
      <c r="V157" s="67">
        <f t="shared" si="35"/>
        <v>0.29471467025874754</v>
      </c>
      <c r="W157" s="67">
        <f t="shared" si="35"/>
        <v>0.40950369207784898</v>
      </c>
      <c r="X157" s="67">
        <f t="shared" si="35"/>
        <v>0.29947297585907756</v>
      </c>
      <c r="AD157" s="51"/>
      <c r="AE157" s="51"/>
      <c r="BF157" s="51">
        <v>0.964651117964339</v>
      </c>
      <c r="BG157" s="1">
        <v>94</v>
      </c>
      <c r="BH157">
        <f t="shared" si="29"/>
        <v>1.5056012163044223</v>
      </c>
      <c r="BI157">
        <f t="shared" si="30"/>
        <v>0.15097509409039242</v>
      </c>
      <c r="BJ157">
        <f t="shared" si="28"/>
        <v>0.14563829329906833</v>
      </c>
    </row>
    <row r="158" spans="1:62" x14ac:dyDescent="0.3">
      <c r="A158" t="s">
        <v>315</v>
      </c>
      <c r="B158" t="s">
        <v>21</v>
      </c>
      <c r="I158" s="1" t="s">
        <v>53</v>
      </c>
      <c r="O158" s="350" t="s">
        <v>377</v>
      </c>
      <c r="P158" s="350"/>
      <c r="S158" t="s">
        <v>30</v>
      </c>
      <c r="T158" s="57">
        <f>C439</f>
        <v>100</v>
      </c>
      <c r="U158" s="57">
        <f t="shared" si="35"/>
        <v>91.250822718932682</v>
      </c>
      <c r="V158" s="57">
        <f t="shared" si="35"/>
        <v>98.121396270898515</v>
      </c>
      <c r="W158" s="57">
        <f t="shared" si="35"/>
        <v>96.281552168740149</v>
      </c>
      <c r="X158" s="57">
        <f t="shared" si="35"/>
        <v>81.917334055147279</v>
      </c>
      <c r="AD158" s="51"/>
      <c r="AE158" s="51"/>
      <c r="AH158" s="78"/>
      <c r="AI158" s="78"/>
      <c r="BF158" s="51">
        <v>0.96465707962182579</v>
      </c>
      <c r="BG158" s="1">
        <v>95</v>
      </c>
      <c r="BH158">
        <f t="shared" si="29"/>
        <v>1.5882958682169486</v>
      </c>
      <c r="BI158">
        <f t="shared" si="30"/>
        <v>0.15926735150760582</v>
      </c>
      <c r="BJ158">
        <f t="shared" si="28"/>
        <v>0.15363837818442982</v>
      </c>
    </row>
    <row r="159" spans="1:62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51</v>
      </c>
      <c r="O159" s="13" t="s">
        <v>644</v>
      </c>
      <c r="P159" s="13" t="s">
        <v>633</v>
      </c>
      <c r="S159" s="66" t="s">
        <v>39</v>
      </c>
      <c r="T159" s="67">
        <f>C440</f>
        <v>0</v>
      </c>
      <c r="U159" s="67">
        <f t="shared" si="35"/>
        <v>3.9815288106152757</v>
      </c>
      <c r="V159" s="67">
        <f t="shared" si="35"/>
        <v>0.38659244879611265</v>
      </c>
      <c r="W159" s="67">
        <f t="shared" si="35"/>
        <v>0.744180413751935</v>
      </c>
      <c r="X159" s="67">
        <f t="shared" si="35"/>
        <v>3.2135855647796774</v>
      </c>
      <c r="AD159" s="51"/>
      <c r="AE159" s="51"/>
      <c r="BF159" s="51">
        <v>0.96475539739655103</v>
      </c>
      <c r="BG159" s="1">
        <v>96</v>
      </c>
      <c r="BH159">
        <f t="shared" si="29"/>
        <v>1.6835465976780204</v>
      </c>
      <c r="BI159">
        <f t="shared" si="30"/>
        <v>0.16881867737453193</v>
      </c>
      <c r="BJ159">
        <f t="shared" si="28"/>
        <v>0.16286873017842671</v>
      </c>
    </row>
    <row r="160" spans="1:62" x14ac:dyDescent="0.3">
      <c r="A160" t="s">
        <v>3</v>
      </c>
      <c r="B160" s="13">
        <v>0</v>
      </c>
      <c r="C160" s="26">
        <v>451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451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/>
      <c r="P160" s="1"/>
      <c r="S160" s="15" t="s">
        <v>31</v>
      </c>
      <c r="T160" s="71">
        <f>I432</f>
        <v>100</v>
      </c>
      <c r="U160" s="71">
        <f>I433</f>
        <v>100</v>
      </c>
      <c r="V160" s="71">
        <f>I434</f>
        <v>99.185888738127545</v>
      </c>
      <c r="W160" s="71">
        <f>I435</f>
        <v>91.75257731958763</v>
      </c>
      <c r="X160" s="71">
        <f>I436</f>
        <v>88.701684836471756</v>
      </c>
      <c r="AD160" s="51"/>
      <c r="AE160" s="51"/>
      <c r="AH160" s="78"/>
      <c r="AI160" s="78"/>
      <c r="BF160" s="51">
        <v>0.96493666922546029</v>
      </c>
      <c r="BG160" s="1">
        <v>97</v>
      </c>
      <c r="BH160">
        <f t="shared" si="29"/>
        <v>1.7971034256260585</v>
      </c>
      <c r="BI160">
        <f t="shared" si="30"/>
        <v>0.18020565860063842</v>
      </c>
      <c r="BJ160">
        <f t="shared" si="28"/>
        <v>0.17388704798568044</v>
      </c>
    </row>
    <row r="161" spans="1:62" x14ac:dyDescent="0.3">
      <c r="A161" t="s">
        <v>4</v>
      </c>
      <c r="B161" s="13">
        <v>1</v>
      </c>
      <c r="C161" s="5">
        <v>0</v>
      </c>
      <c r="D161" s="27">
        <v>57</v>
      </c>
      <c r="E161" s="1">
        <v>0</v>
      </c>
      <c r="F161" s="1">
        <v>0</v>
      </c>
      <c r="G161" s="6">
        <v>0</v>
      </c>
      <c r="H161" s="1">
        <f>SUM(C161:G161)</f>
        <v>57</v>
      </c>
      <c r="I161" s="10">
        <f>D161/H161</f>
        <v>1</v>
      </c>
      <c r="J161" s="11">
        <f>1-I161</f>
        <v>0</v>
      </c>
      <c r="K161">
        <f>H161-D165</f>
        <v>-6</v>
      </c>
      <c r="N161" s="10">
        <f>2*(D166*I161)/(D166+I161)</f>
        <v>0.95000000000000007</v>
      </c>
      <c r="O161" s="1"/>
      <c r="P161" s="1"/>
      <c r="S161" s="75" t="s">
        <v>39</v>
      </c>
      <c r="T161" s="76">
        <f>J432</f>
        <v>0</v>
      </c>
      <c r="U161" s="76">
        <f>J433</f>
        <v>0</v>
      </c>
      <c r="V161" s="76">
        <f>J434</f>
        <v>0.3312286683872645</v>
      </c>
      <c r="W161" s="76">
        <f>J435</f>
        <v>1.1412484385858428</v>
      </c>
      <c r="X161" s="76">
        <f>J436</f>
        <v>0.99710871249933197</v>
      </c>
      <c r="AD161" s="51"/>
      <c r="AE161" s="51"/>
      <c r="BF161" s="51">
        <v>0.96578749521375196</v>
      </c>
      <c r="BG161" s="1">
        <v>98</v>
      </c>
      <c r="BH161">
        <f>_xlfn.NORM.S.INV((BG161-0.375)/($BI$61+0.25))</f>
        <v>1.9400873318827654</v>
      </c>
      <c r="BI161">
        <f>BH161/SQRT($BL$65)</f>
        <v>0.19454345832260239</v>
      </c>
      <c r="BJ161">
        <f>BI161*BF161</f>
        <v>0.18788763932360711</v>
      </c>
    </row>
    <row r="162" spans="1:62" x14ac:dyDescent="0.3">
      <c r="A162" t="s">
        <v>5</v>
      </c>
      <c r="B162" s="13">
        <v>2</v>
      </c>
      <c r="C162" s="5">
        <v>0</v>
      </c>
      <c r="D162" s="1">
        <v>0</v>
      </c>
      <c r="E162" s="27">
        <v>732</v>
      </c>
      <c r="F162" s="1">
        <v>4</v>
      </c>
      <c r="G162" s="6">
        <v>1</v>
      </c>
      <c r="H162" s="1">
        <f>SUM(C162:G162)</f>
        <v>737</v>
      </c>
      <c r="I162" s="10">
        <f>E162/H162</f>
        <v>0.99321573948439623</v>
      </c>
      <c r="J162" s="11">
        <f>1-I162</f>
        <v>6.7842605156037683E-3</v>
      </c>
      <c r="K162">
        <f>H162-E165</f>
        <v>-29</v>
      </c>
      <c r="N162" s="10">
        <f>2*(E166*I162)/(E166+I162)</f>
        <v>0.97405189620758481</v>
      </c>
      <c r="O162" s="1"/>
      <c r="P162" s="1"/>
      <c r="S162" s="66" t="s">
        <v>51</v>
      </c>
      <c r="T162" s="67">
        <f>N421*100</f>
        <v>100</v>
      </c>
      <c r="U162" s="67">
        <f>N422*100</f>
        <v>96.610169491525426</v>
      </c>
      <c r="V162" s="67">
        <f>N423*100</f>
        <v>97.142857142857139</v>
      </c>
      <c r="W162" s="67">
        <f>N424*100</f>
        <v>87.901234567901241</v>
      </c>
      <c r="X162" s="67">
        <f>N425*100</f>
        <v>92.650103519668733</v>
      </c>
      <c r="AD162" s="51"/>
      <c r="AE162" s="51"/>
      <c r="AH162" s="78"/>
      <c r="AI162" s="78"/>
      <c r="BF162" s="51">
        <v>0.96693272052345702</v>
      </c>
      <c r="BG162" s="27">
        <v>99</v>
      </c>
      <c r="BH162" s="84">
        <f>_xlfn.NORM.S.INV((BG162-0.375)/($BI$61+0.25))</f>
        <v>2.139206442985977</v>
      </c>
      <c r="BI162" s="84">
        <f>-3.562633*($BL$63)^5+5.682633*($BL$63)^4-1.752461*($BL$63)^3-0.293762*($BL$63)^2+0.042981*$BL$63+BH162*($BL$64^-0.5)</f>
        <v>0.21748422717250435</v>
      </c>
      <c r="BJ162">
        <f>BI162*BF162</f>
        <v>0.21029261545085118</v>
      </c>
    </row>
    <row r="163" spans="1:62" x14ac:dyDescent="0.3">
      <c r="A163" t="s">
        <v>6</v>
      </c>
      <c r="B163" s="13">
        <v>3</v>
      </c>
      <c r="C163" s="5">
        <v>0</v>
      </c>
      <c r="D163" s="1">
        <v>6</v>
      </c>
      <c r="E163" s="1">
        <v>15</v>
      </c>
      <c r="F163" s="27">
        <v>538</v>
      </c>
      <c r="G163" s="6">
        <v>23</v>
      </c>
      <c r="H163" s="1">
        <f>SUM(C163:G163)</f>
        <v>582</v>
      </c>
      <c r="I163" s="10">
        <f>F163/H163</f>
        <v>0.92439862542955331</v>
      </c>
      <c r="J163" s="11">
        <f>1-I163</f>
        <v>7.5601374570446689E-2</v>
      </c>
      <c r="K163">
        <f>H163-F165</f>
        <v>-33</v>
      </c>
      <c r="N163" s="10">
        <f>2*(F166*I163)/(F166+I163)</f>
        <v>0.89891395154553044</v>
      </c>
      <c r="O163" s="1"/>
      <c r="P163" s="1"/>
      <c r="R163" s="16" t="s">
        <v>61</v>
      </c>
      <c r="S163" t="s">
        <v>9</v>
      </c>
      <c r="T163" s="30">
        <f>N432</f>
        <v>472.32</v>
      </c>
      <c r="U163" s="30">
        <f>N433</f>
        <v>2208.46</v>
      </c>
      <c r="V163" s="30">
        <f>N434</f>
        <v>55410.32</v>
      </c>
      <c r="W163" s="30">
        <f>N435</f>
        <v>30809.38</v>
      </c>
      <c r="X163" s="30">
        <f>N436</f>
        <v>7683.68</v>
      </c>
      <c r="Z163" t="s">
        <v>36</v>
      </c>
      <c r="AA163" s="1">
        <f>N437</f>
        <v>96584.16</v>
      </c>
      <c r="AD163" s="51"/>
      <c r="AE163" s="51"/>
      <c r="BF163" s="51">
        <v>0.96794314237361101</v>
      </c>
      <c r="BG163" s="27">
        <v>100</v>
      </c>
      <c r="BH163" s="84">
        <f>_xlfn.NORM.S.INV((BG163-0.375)/($BI$61+0.25))</f>
        <v>2.4985905609622558</v>
      </c>
      <c r="BI163" s="84">
        <f>-2.70605*($BL$63)^5+4.4334685*($BL$63)^4-2.07119*($BL$63)^3-0.147981*($BL$63)^2+0.221157*$BL$63+BH163*($BL$64^-0.5)</f>
        <v>0.27283801696664034</v>
      </c>
      <c r="BJ163">
        <f>BI163*BF163</f>
        <v>0.26409168750167444</v>
      </c>
    </row>
    <row r="164" spans="1:62" ht="15.6" x14ac:dyDescent="0.35">
      <c r="A164" t="s">
        <v>7</v>
      </c>
      <c r="B164" s="13">
        <v>4</v>
      </c>
      <c r="C164" s="7">
        <v>0</v>
      </c>
      <c r="D164" s="8">
        <v>0</v>
      </c>
      <c r="E164" s="8">
        <v>19</v>
      </c>
      <c r="F164" s="8">
        <v>73</v>
      </c>
      <c r="G164" s="28">
        <v>917</v>
      </c>
      <c r="H164" s="1">
        <f>SUM(C164:G164)</f>
        <v>1009</v>
      </c>
      <c r="I164" s="10">
        <f>G164/H164</f>
        <v>0.90882061446977203</v>
      </c>
      <c r="J164" s="11">
        <f>1-I164</f>
        <v>9.1179385530227974E-2</v>
      </c>
      <c r="K164">
        <f>H164-G165</f>
        <v>68</v>
      </c>
      <c r="N164" s="10">
        <f>2*(G166*I164)/(G166+I164)</f>
        <v>0.94051282051282059</v>
      </c>
      <c r="O164" s="1"/>
      <c r="P164" s="1"/>
      <c r="R164" s="16" t="s">
        <v>318</v>
      </c>
      <c r="S164" t="s">
        <v>63</v>
      </c>
      <c r="T164" s="57">
        <f>$AA163*T156/100</f>
        <v>472.31999999999994</v>
      </c>
      <c r="U164" s="57">
        <f>$AA163*U156/100</f>
        <v>2420.2083161512032</v>
      </c>
      <c r="V164" s="57">
        <f>$AA163*V156/100</f>
        <v>56011.451562415852</v>
      </c>
      <c r="W164" s="57">
        <f>$AA163*W156/100</f>
        <v>29360.141760742721</v>
      </c>
      <c r="X164" s="57">
        <f>$AA163*X156/100</f>
        <v>8320.0383606902269</v>
      </c>
      <c r="Z164" t="s">
        <v>36</v>
      </c>
      <c r="AA164" s="25">
        <f>SUM(T164:X164)</f>
        <v>96584.16</v>
      </c>
      <c r="AD164" s="51"/>
      <c r="AE164" s="51"/>
      <c r="AH164" s="78"/>
      <c r="AI164" s="78"/>
      <c r="BI164" t="s">
        <v>342</v>
      </c>
      <c r="BJ164">
        <f>SUM(BJ64:BJ163)</f>
        <v>3.3791985770603022E-2</v>
      </c>
    </row>
    <row r="165" spans="1:62" ht="15.6" x14ac:dyDescent="0.35">
      <c r="B165" s="1" t="s">
        <v>19</v>
      </c>
      <c r="C165" s="1">
        <f>SUM(C160:C164)</f>
        <v>451</v>
      </c>
      <c r="D165" s="1">
        <f>SUM(D160:D164)</f>
        <v>63</v>
      </c>
      <c r="E165" s="1">
        <f>SUM(E160:E164)</f>
        <v>766</v>
      </c>
      <c r="F165" s="1">
        <f>SUM(F160:F164)</f>
        <v>615</v>
      </c>
      <c r="G165" s="1">
        <f>SUM(G160:G164)</f>
        <v>941</v>
      </c>
      <c r="H165" s="1">
        <f>SUM(H159:H164)</f>
        <v>2836</v>
      </c>
      <c r="I165" s="13" t="s">
        <v>12</v>
      </c>
      <c r="N165" s="16" t="s">
        <v>36</v>
      </c>
      <c r="O165" s="1">
        <f>SUM(O160:O164)</f>
        <v>0</v>
      </c>
      <c r="P165" s="1">
        <f>SUM(P160:P164)</f>
        <v>0</v>
      </c>
      <c r="R165" s="66"/>
      <c r="S165" s="66" t="s">
        <v>62</v>
      </c>
      <c r="T165" s="67">
        <f>$AA163*T157/100</f>
        <v>0</v>
      </c>
      <c r="U165" s="67">
        <f>$AA163*U157/100</f>
        <v>105.50970206092754</v>
      </c>
      <c r="V165" s="67">
        <f>$AA163*V157/100</f>
        <v>284.64768866618112</v>
      </c>
      <c r="W165" s="67">
        <f>$AA163*W157/100</f>
        <v>395.51570116237701</v>
      </c>
      <c r="X165" s="67">
        <f>$AA163*X157/100</f>
        <v>289.24345816049282</v>
      </c>
      <c r="AA165" s="1"/>
      <c r="AD165" s="51"/>
      <c r="AE165" s="51"/>
      <c r="BF165" s="51"/>
      <c r="BG165" s="1"/>
    </row>
    <row r="166" spans="1:62" x14ac:dyDescent="0.3">
      <c r="A166" s="1" t="s">
        <v>316</v>
      </c>
      <c r="B166" s="1" t="s">
        <v>2</v>
      </c>
      <c r="C166" s="10">
        <f>C160/C165</f>
        <v>1</v>
      </c>
      <c r="D166" s="10">
        <f>D161/D165</f>
        <v>0.90476190476190477</v>
      </c>
      <c r="E166" s="10">
        <f>E162/E165</f>
        <v>0.95561357702349869</v>
      </c>
      <c r="F166" s="10">
        <f>F163/F165</f>
        <v>0.87479674796747964</v>
      </c>
      <c r="G166" s="10">
        <f>G164/G165</f>
        <v>0.97449521785334747</v>
      </c>
      <c r="H166" s="10"/>
      <c r="I166" s="14">
        <f>(C160+D161+E162+F163+G164)/H165</f>
        <v>0.95028208744710863</v>
      </c>
      <c r="R166" t="s">
        <v>103</v>
      </c>
      <c r="S166" t="s">
        <v>28</v>
      </c>
      <c r="T166" s="57">
        <f>C466</f>
        <v>0.50011301023759902</v>
      </c>
      <c r="U166" s="57">
        <f t="shared" ref="U166:X169" si="36">D466</f>
        <v>2.4928769756808746</v>
      </c>
      <c r="V166" s="57">
        <f t="shared" si="36"/>
        <v>57.575974142953555</v>
      </c>
      <c r="W166" s="57">
        <f t="shared" si="36"/>
        <v>30.896285537505964</v>
      </c>
      <c r="X166" s="57">
        <f t="shared" si="36"/>
        <v>8.5347503336220072</v>
      </c>
      <c r="Z166" s="74"/>
      <c r="AA166" s="12"/>
      <c r="AD166" s="51"/>
      <c r="AE166" s="51"/>
      <c r="AH166" s="78"/>
      <c r="AI166" s="78"/>
      <c r="BF166" s="51"/>
      <c r="BG166" s="1"/>
    </row>
    <row r="167" spans="1:62" x14ac:dyDescent="0.3">
      <c r="B167" s="1" t="s">
        <v>14</v>
      </c>
      <c r="C167" s="11">
        <f>1-C166</f>
        <v>0</v>
      </c>
      <c r="D167" s="11">
        <f>1-D166</f>
        <v>9.5238095238095233E-2</v>
      </c>
      <c r="E167" s="11">
        <f>1-E166</f>
        <v>4.4386422976501305E-2</v>
      </c>
      <c r="F167" s="11">
        <f>1-F166</f>
        <v>0.12520325203252036</v>
      </c>
      <c r="G167" s="11">
        <f>1-G166</f>
        <v>2.5504782146652527E-2</v>
      </c>
      <c r="S167" s="66" t="s">
        <v>39</v>
      </c>
      <c r="T167" s="67">
        <f>C467</f>
        <v>0</v>
      </c>
      <c r="U167" s="67">
        <f t="shared" si="36"/>
        <v>0.13587454696641074</v>
      </c>
      <c r="V167" s="67">
        <f t="shared" si="36"/>
        <v>0.33848798232472277</v>
      </c>
      <c r="W167" s="67">
        <f t="shared" si="36"/>
        <v>0.44331983963338623</v>
      </c>
      <c r="X167" s="67">
        <f t="shared" si="36"/>
        <v>0.2907787698784009</v>
      </c>
      <c r="AD167" s="51"/>
      <c r="AE167" s="51"/>
      <c r="BF167" s="51"/>
      <c r="BG167" s="1"/>
    </row>
    <row r="168" spans="1:62" x14ac:dyDescent="0.3">
      <c r="C168" s="2"/>
      <c r="S168" t="s">
        <v>30</v>
      </c>
      <c r="T168" s="57">
        <f>C468</f>
        <v>100</v>
      </c>
      <c r="U168" s="57">
        <f t="shared" si="36"/>
        <v>86.579671750647222</v>
      </c>
      <c r="V168" s="57">
        <f t="shared" si="36"/>
        <v>98.059163029498919</v>
      </c>
      <c r="W168" s="57">
        <f t="shared" si="36"/>
        <v>96.190830278840465</v>
      </c>
      <c r="X168" s="57">
        <f t="shared" si="36"/>
        <v>82.757229776251791</v>
      </c>
      <c r="AD168" s="51"/>
      <c r="AE168" s="51"/>
      <c r="AH168" s="78"/>
      <c r="AI168" s="78"/>
      <c r="BF168" s="51"/>
      <c r="BG168" s="1"/>
    </row>
    <row r="169" spans="1:62" ht="15.6" x14ac:dyDescent="0.35">
      <c r="A169" t="s">
        <v>317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36"/>
        <v>4.7230943763371975</v>
      </c>
      <c r="V169" s="67">
        <f t="shared" si="36"/>
        <v>0.40843168406401809</v>
      </c>
      <c r="W169" s="67">
        <f t="shared" si="36"/>
        <v>0.87511263760382874</v>
      </c>
      <c r="X169" s="67">
        <f t="shared" si="36"/>
        <v>3.043936994280799</v>
      </c>
      <c r="AD169" s="51"/>
      <c r="AE169" s="51"/>
      <c r="BF169" s="51"/>
      <c r="BG169" s="1"/>
    </row>
    <row r="170" spans="1:62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100</v>
      </c>
      <c r="V170" s="71">
        <f>I463</f>
        <v>98.643147896879242</v>
      </c>
      <c r="W170" s="71">
        <f>I464</f>
        <v>91.580756013745699</v>
      </c>
      <c r="X170" s="71">
        <f>I465</f>
        <v>92.269573835480685</v>
      </c>
      <c r="AD170" s="51"/>
      <c r="AE170" s="51"/>
      <c r="AH170" s="78"/>
      <c r="AI170" s="78"/>
      <c r="BF170" s="51"/>
      <c r="BG170" s="1"/>
    </row>
    <row r="171" spans="1:62" x14ac:dyDescent="0.3">
      <c r="A171" t="s">
        <v>3</v>
      </c>
      <c r="B171" s="13">
        <v>0</v>
      </c>
      <c r="C171" s="29">
        <f>(C160/$L171)*$O171</f>
        <v>0.63777538677149548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0.63777538677149548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451</v>
      </c>
      <c r="M171">
        <v>0</v>
      </c>
      <c r="N171" s="1">
        <v>615.99</v>
      </c>
      <c r="O171" s="17">
        <f>N171/N176*100</f>
        <v>0.63777538677149548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0</v>
      </c>
      <c r="V171" s="76">
        <f>J463</f>
        <v>0.42644282372358333</v>
      </c>
      <c r="W171" s="76">
        <f>J464</f>
        <v>1.1519949988277658</v>
      </c>
      <c r="X171" s="76">
        <f>J465</f>
        <v>0.84120279990163371</v>
      </c>
      <c r="AD171" s="51"/>
      <c r="AE171" s="51"/>
      <c r="BF171" s="51"/>
      <c r="BG171" s="1"/>
    </row>
    <row r="172" spans="1:62" x14ac:dyDescent="0.3">
      <c r="A172" t="s">
        <v>4</v>
      </c>
      <c r="B172" s="13">
        <v>1</v>
      </c>
      <c r="C172" s="33">
        <f t="shared" ref="C172:G175" si="37">(C161/$L172)*$O172</f>
        <v>0</v>
      </c>
      <c r="D172" s="34">
        <f t="shared" si="37"/>
        <v>2.4374390169154028</v>
      </c>
      <c r="E172" s="19">
        <f t="shared" si="37"/>
        <v>0</v>
      </c>
      <c r="F172" s="18">
        <f t="shared" si="37"/>
        <v>0</v>
      </c>
      <c r="G172" s="20">
        <f t="shared" si="37"/>
        <v>0</v>
      </c>
      <c r="H172" s="17">
        <f>SUM(C172:G172)</f>
        <v>2.4374390169154028</v>
      </c>
      <c r="I172" s="17">
        <f>D172/H172*100</f>
        <v>100</v>
      </c>
      <c r="J172" s="17">
        <f>SQRT(I172*(100-I172)/(L172-1))</f>
        <v>0</v>
      </c>
      <c r="K172" s="18">
        <f>100-I172</f>
        <v>0</v>
      </c>
      <c r="L172" s="1">
        <f>H161</f>
        <v>57</v>
      </c>
      <c r="M172">
        <v>1</v>
      </c>
      <c r="N172" s="1">
        <v>2354.1799999999998</v>
      </c>
      <c r="O172" s="17">
        <f>N172/N176*100</f>
        <v>2.4374390169154028</v>
      </c>
      <c r="P172" s="52">
        <f>((O172*O172*(I172/100)*(K172/100))/(L172-1))</f>
        <v>0</v>
      </c>
      <c r="S172" s="66" t="s">
        <v>51</v>
      </c>
      <c r="T172" s="67">
        <f>N450*100</f>
        <v>100</v>
      </c>
      <c r="U172" s="67">
        <f>N451*100</f>
        <v>95</v>
      </c>
      <c r="V172" s="67">
        <f>N452*100</f>
        <v>97.12758851035403</v>
      </c>
      <c r="W172" s="67">
        <f>N453*100</f>
        <v>89.80623420387532</v>
      </c>
      <c r="X172" s="67">
        <f>N454*100</f>
        <v>94.710071210579855</v>
      </c>
      <c r="AD172" s="51"/>
      <c r="AE172" s="51"/>
      <c r="AH172" s="78"/>
      <c r="AI172" s="78"/>
      <c r="BF172" s="51"/>
      <c r="BG172" s="1"/>
    </row>
    <row r="173" spans="1:62" x14ac:dyDescent="0.3">
      <c r="A173" t="s">
        <v>5</v>
      </c>
      <c r="B173" s="13">
        <v>2</v>
      </c>
      <c r="C173" s="33">
        <f t="shared" si="37"/>
        <v>0</v>
      </c>
      <c r="D173" s="19">
        <f t="shared" si="37"/>
        <v>0</v>
      </c>
      <c r="E173" s="34">
        <f t="shared" si="37"/>
        <v>56.475271817665217</v>
      </c>
      <c r="F173" s="19">
        <f t="shared" si="37"/>
        <v>0.30860804271948206</v>
      </c>
      <c r="G173" s="20">
        <f t="shared" si="37"/>
        <v>7.7152010679870514E-2</v>
      </c>
      <c r="H173" s="17">
        <f>SUM(C173:G173)</f>
        <v>56.861031871064569</v>
      </c>
      <c r="I173" s="17">
        <f>E173/H173*100</f>
        <v>99.321573948439621</v>
      </c>
      <c r="J173" s="17">
        <f>SQRT(I173*(100-I173)/(L173-1))</f>
        <v>0.30257577035375105</v>
      </c>
      <c r="K173" s="18">
        <f>100-I173</f>
        <v>0.67842605156037905</v>
      </c>
      <c r="L173" s="1">
        <f>H162</f>
        <v>737</v>
      </c>
      <c r="M173">
        <v>2</v>
      </c>
      <c r="N173" s="1">
        <v>54918.75</v>
      </c>
      <c r="O173" s="17">
        <f>N173/N176*100</f>
        <v>56.861031871064569</v>
      </c>
      <c r="P173" s="52">
        <f>((O173*O173*(I173/100)*(K173/100))/(L173-1))</f>
        <v>2.9600412869735679E-2</v>
      </c>
      <c r="R173" s="16" t="s">
        <v>61</v>
      </c>
      <c r="S173" t="s">
        <v>9</v>
      </c>
      <c r="T173" s="1">
        <f>N461</f>
        <v>483.03</v>
      </c>
      <c r="U173" s="1">
        <f>N462</f>
        <v>2084.6</v>
      </c>
      <c r="V173" s="1">
        <f>N463</f>
        <v>55280.06</v>
      </c>
      <c r="W173" s="1">
        <f>N464</f>
        <v>31343.08</v>
      </c>
      <c r="X173" s="1">
        <f>N465</f>
        <v>7393.4</v>
      </c>
      <c r="Z173" t="s">
        <v>36</v>
      </c>
      <c r="AA173" s="1">
        <f>N466</f>
        <v>96584.169999999984</v>
      </c>
      <c r="AD173" s="51"/>
      <c r="AE173" s="51"/>
      <c r="BF173" s="51"/>
      <c r="BG173" s="1"/>
    </row>
    <row r="174" spans="1:62" ht="15.6" x14ac:dyDescent="0.35">
      <c r="A174" t="s">
        <v>6</v>
      </c>
      <c r="B174" s="13">
        <v>3</v>
      </c>
      <c r="C174" s="33">
        <f t="shared" si="37"/>
        <v>0</v>
      </c>
      <c r="D174" s="19">
        <f t="shared" si="37"/>
        <v>0.33384121367185138</v>
      </c>
      <c r="E174" s="19">
        <f t="shared" si="37"/>
        <v>0.83460303417962844</v>
      </c>
      <c r="F174" s="34">
        <f t="shared" si="37"/>
        <v>29.934428825909343</v>
      </c>
      <c r="G174" s="20">
        <f t="shared" si="37"/>
        <v>1.2797246524087635</v>
      </c>
      <c r="H174" s="17">
        <f>SUM(C174:G174)</f>
        <v>32.382597726169585</v>
      </c>
      <c r="I174" s="17">
        <f>F174/H174*100</f>
        <v>92.439862542955325</v>
      </c>
      <c r="J174" s="17">
        <f>SQRT(I174*(100-I174)/(L174-1))</f>
        <v>1.0967469245051289</v>
      </c>
      <c r="K174" s="18">
        <f>100-I174</f>
        <v>7.5601374570446751</v>
      </c>
      <c r="L174" s="1">
        <f>H163</f>
        <v>582</v>
      </c>
      <c r="M174">
        <v>3</v>
      </c>
      <c r="N174" s="1">
        <v>31276.46</v>
      </c>
      <c r="O174" s="17">
        <f>N174/N176*100</f>
        <v>32.382597726169585</v>
      </c>
      <c r="P174" s="52">
        <f>((O174*O174*(I174/100)*(K174/100))/(L174-1))</f>
        <v>0.1261351767618675</v>
      </c>
      <c r="R174" s="16" t="s">
        <v>318</v>
      </c>
      <c r="S174" t="s">
        <v>63</v>
      </c>
      <c r="T174" s="57">
        <f>$AA173*T166/100</f>
        <v>483.02999999999992</v>
      </c>
      <c r="U174" s="57">
        <f>$AA173*U166/100</f>
        <v>2407.7245360824741</v>
      </c>
      <c r="V174" s="57">
        <f>$AA173*V166/100</f>
        <v>55609.276745386291</v>
      </c>
      <c r="W174" s="57">
        <f>$AA173*W166/100</f>
        <v>29840.92094723017</v>
      </c>
      <c r="X174" s="57">
        <f>$AA173*X166/100</f>
        <v>8243.2177713010442</v>
      </c>
      <c r="Z174" t="s">
        <v>36</v>
      </c>
      <c r="AA174" s="25">
        <f>SUM(T174:X174)</f>
        <v>96584.169999999984</v>
      </c>
      <c r="AD174" s="51"/>
      <c r="AE174" s="51"/>
      <c r="AH174" s="78"/>
      <c r="AI174" s="78"/>
      <c r="BF174" s="51"/>
      <c r="BG174" s="1"/>
    </row>
    <row r="175" spans="1:62" x14ac:dyDescent="0.3">
      <c r="A175" t="s">
        <v>7</v>
      </c>
      <c r="B175" s="13">
        <v>4</v>
      </c>
      <c r="C175" s="35">
        <f t="shared" si="37"/>
        <v>0</v>
      </c>
      <c r="D175" s="36">
        <f t="shared" si="37"/>
        <v>0</v>
      </c>
      <c r="E175" s="21">
        <f t="shared" si="37"/>
        <v>0.1446402021630325</v>
      </c>
      <c r="F175" s="21">
        <f t="shared" si="37"/>
        <v>0.55572288199480924</v>
      </c>
      <c r="G175" s="37">
        <f t="shared" si="37"/>
        <v>6.9807929149210954</v>
      </c>
      <c r="H175" s="17">
        <f>SUM(C175:G175)</f>
        <v>7.6811559990789373</v>
      </c>
      <c r="I175" s="17">
        <f>G175/H175*100</f>
        <v>90.882061446977204</v>
      </c>
      <c r="J175" s="17">
        <f>SQRT(I175*(100-I175)/(L175-1))</f>
        <v>0.90668649961106429</v>
      </c>
      <c r="K175" s="18">
        <f>100-I175</f>
        <v>9.1179385530227961</v>
      </c>
      <c r="L175" s="1">
        <f>H164</f>
        <v>1009</v>
      </c>
      <c r="M175">
        <v>4</v>
      </c>
      <c r="N175" s="1">
        <v>7418.78</v>
      </c>
      <c r="O175" s="17">
        <f>N175/N176*100</f>
        <v>7.6811559990789373</v>
      </c>
      <c r="P175" s="52">
        <f>((O175*O175*(I175/100)*(K175/100))/(L175-1))</f>
        <v>4.8502873569061002E-3</v>
      </c>
      <c r="R175" s="66"/>
      <c r="S175" s="66" t="s">
        <v>62</v>
      </c>
      <c r="T175" s="67">
        <f>$AA173*T167/100</f>
        <v>0</v>
      </c>
      <c r="U175" s="67">
        <f>$AA173*U167/100</f>
        <v>131.23330342876798</v>
      </c>
      <c r="V175" s="67">
        <f>$AA173*V167/100</f>
        <v>326.92580827808013</v>
      </c>
      <c r="W175" s="67">
        <f>$AA173*W167/100</f>
        <v>428.17678755523701</v>
      </c>
      <c r="X175" s="67">
        <f>$AA173*X167/100</f>
        <v>280.84626142326346</v>
      </c>
      <c r="AA175" s="1"/>
      <c r="AD175" s="51"/>
      <c r="AE175" s="51"/>
      <c r="BF175" s="51"/>
      <c r="BG175" s="1"/>
    </row>
    <row r="176" spans="1:62" x14ac:dyDescent="0.3">
      <c r="B176" t="s">
        <v>28</v>
      </c>
      <c r="C176" s="17">
        <f t="shared" ref="C176:H176" si="38">SUM(C171:C175)</f>
        <v>0.63777538677149548</v>
      </c>
      <c r="D176" s="17">
        <f t="shared" si="38"/>
        <v>2.7712802305872541</v>
      </c>
      <c r="E176" s="17">
        <f t="shared" si="38"/>
        <v>57.454515054007878</v>
      </c>
      <c r="F176" s="17">
        <f t="shared" si="38"/>
        <v>30.798759750623635</v>
      </c>
      <c r="G176" s="17">
        <f t="shared" si="38"/>
        <v>8.337669578009729</v>
      </c>
      <c r="H176" s="18">
        <f t="shared" si="38"/>
        <v>99.999999999999986</v>
      </c>
      <c r="I176" s="13" t="s">
        <v>24</v>
      </c>
      <c r="J176" s="12" t="s">
        <v>29</v>
      </c>
      <c r="N176" s="1">
        <f>SUM(N171:N175)</f>
        <v>96584.16</v>
      </c>
      <c r="O176" s="17">
        <f>SUM(O171:O175)</f>
        <v>99.999999999999986</v>
      </c>
      <c r="R176" t="s">
        <v>104</v>
      </c>
      <c r="S176" t="s">
        <v>28</v>
      </c>
      <c r="T176" s="57">
        <f>C495</f>
        <v>0.62783315853339172</v>
      </c>
      <c r="U176" s="57">
        <f t="shared" ref="U176:X179" si="39">D495</f>
        <v>2.5688161860414112</v>
      </c>
      <c r="V176" s="57">
        <f t="shared" si="39"/>
        <v>58.446861786614598</v>
      </c>
      <c r="W176" s="57">
        <f t="shared" si="39"/>
        <v>29.600924484649912</v>
      </c>
      <c r="X176" s="57">
        <f t="shared" si="39"/>
        <v>8.7555643841606905</v>
      </c>
      <c r="AD176" s="51"/>
      <c r="AE176" s="51"/>
      <c r="AH176" s="78"/>
      <c r="AI176" s="78"/>
      <c r="BF176" s="51"/>
      <c r="BG176" s="1"/>
    </row>
    <row r="177" spans="1:59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0.13558575842610698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0.2754655128143923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0.39182062444290849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0.28138952677833906</v>
      </c>
      <c r="H177" s="1"/>
      <c r="I177" s="14">
        <f>(C171+D172+E173+F174+G175)/H176</f>
        <v>0.96465707962182579</v>
      </c>
      <c r="J177" s="53">
        <f>SQRT(SUM(P171:P175))/100</f>
        <v>4.0073167704651105E-3</v>
      </c>
      <c r="M177" s="1"/>
      <c r="N177" s="9"/>
      <c r="S177" s="66" t="s">
        <v>39</v>
      </c>
      <c r="T177" s="67">
        <f>C496</f>
        <v>5.4141737463023275E-2</v>
      </c>
      <c r="U177" s="67">
        <f t="shared" si="39"/>
        <v>0.1080035516445281</v>
      </c>
      <c r="V177" s="67">
        <f t="shared" si="39"/>
        <v>0.2753621135811124</v>
      </c>
      <c r="W177" s="67">
        <f t="shared" si="39"/>
        <v>0.39201604053038236</v>
      </c>
      <c r="X177" s="67">
        <f t="shared" si="39"/>
        <v>0.29104215430817615</v>
      </c>
      <c r="AD177" s="51"/>
      <c r="AE177" s="51"/>
      <c r="BF177" s="51"/>
      <c r="BG177" s="1"/>
    </row>
    <row r="178" spans="1:59" x14ac:dyDescent="0.3">
      <c r="B178" s="1" t="s">
        <v>30</v>
      </c>
      <c r="C178" s="17">
        <f>C171/C176*100</f>
        <v>100</v>
      </c>
      <c r="D178" s="17">
        <f>D172/D176*100</f>
        <v>87.953538224421706</v>
      </c>
      <c r="E178" s="17">
        <f>E173/E176*100</f>
        <v>98.295620047576477</v>
      </c>
      <c r="F178" s="17">
        <f>F174/F176*100</f>
        <v>97.193617756972202</v>
      </c>
      <c r="G178" s="17">
        <f>G175/G176*100</f>
        <v>83.725948235375725</v>
      </c>
      <c r="H178" s="1"/>
      <c r="S178" s="70" t="s">
        <v>30</v>
      </c>
      <c r="T178" s="64">
        <f>C497</f>
        <v>91.368995047056615</v>
      </c>
      <c r="U178" s="64">
        <f t="shared" si="39"/>
        <v>91.562134915890098</v>
      </c>
      <c r="V178" s="64">
        <f t="shared" si="39"/>
        <v>97.940728393496201</v>
      </c>
      <c r="W178" s="64">
        <f t="shared" si="39"/>
        <v>97.206400296134689</v>
      </c>
      <c r="X178" s="64">
        <f t="shared" si="39"/>
        <v>83.017837071021077</v>
      </c>
      <c r="AD178" s="51"/>
      <c r="AE178" s="51"/>
      <c r="AH178" s="78"/>
      <c r="AI178" s="78"/>
      <c r="BF178" s="51"/>
      <c r="BG178" s="1"/>
    </row>
    <row r="179" spans="1:59" x14ac:dyDescent="0.3">
      <c r="B179" s="16" t="s">
        <v>39</v>
      </c>
      <c r="C179" s="18">
        <f>SQRT((C182+C183)/(C176*C176))</f>
        <v>0</v>
      </c>
      <c r="D179" s="18">
        <f>SQRT((D182+D183)/(D176*D176))</f>
        <v>4.3068562080909025</v>
      </c>
      <c r="E179" s="18">
        <f>SQRT((E182+E183)/(E176*E176))</f>
        <v>0.37204383642639471</v>
      </c>
      <c r="F179" s="18">
        <f>SQRT((F182+F183)/(F176*F176))</f>
        <v>0.61644206614071706</v>
      </c>
      <c r="G179" s="18">
        <f>SQRT((G182+G183)/(G176*G176))</f>
        <v>3.0588250153028551</v>
      </c>
      <c r="H179" s="1"/>
      <c r="S179" s="66" t="s">
        <v>39</v>
      </c>
      <c r="T179" s="67">
        <f>C498</f>
        <v>7.8860624879660515</v>
      </c>
      <c r="U179" s="67">
        <f t="shared" si="39"/>
        <v>3.8529586195619951</v>
      </c>
      <c r="V179" s="67">
        <f t="shared" si="39"/>
        <v>0.40549410359750904</v>
      </c>
      <c r="W179" s="67">
        <f t="shared" si="39"/>
        <v>0.55311921607136771</v>
      </c>
      <c r="X179" s="67">
        <f t="shared" si="39"/>
        <v>3.0430820139070112</v>
      </c>
      <c r="AD179" s="51"/>
      <c r="AE179" s="51"/>
      <c r="BF179" s="51"/>
      <c r="BG179" s="1"/>
    </row>
    <row r="180" spans="1:59" x14ac:dyDescent="0.3">
      <c r="B180" s="1" t="s">
        <v>37</v>
      </c>
      <c r="C180" s="18">
        <f>100-C178</f>
        <v>0</v>
      </c>
      <c r="D180" s="18">
        <f>100-D178</f>
        <v>12.046461775578294</v>
      </c>
      <c r="E180" s="18">
        <f>100-E178</f>
        <v>1.7043799524235226</v>
      </c>
      <c r="F180" s="18">
        <f>100-F178</f>
        <v>2.806382243027798</v>
      </c>
      <c r="G180" s="18">
        <f>100-G178</f>
        <v>16.274051764624275</v>
      </c>
      <c r="S180" s="70" t="s">
        <v>31</v>
      </c>
      <c r="T180" s="64">
        <f>I490</f>
        <v>100</v>
      </c>
      <c r="U180" s="64">
        <f>I491</f>
        <v>100</v>
      </c>
      <c r="V180" s="64">
        <f>I492</f>
        <v>99.592944369063773</v>
      </c>
      <c r="W180" s="64">
        <f>I493</f>
        <v>91.237113402061851</v>
      </c>
      <c r="X180" s="64">
        <f>I494</f>
        <v>90.18830525272547</v>
      </c>
      <c r="AD180" s="51"/>
      <c r="AE180" s="51"/>
      <c r="AH180" s="78"/>
      <c r="AI180" s="78"/>
      <c r="BF180" s="51"/>
      <c r="BG180" s="1"/>
    </row>
    <row r="181" spans="1:59" ht="15.6" x14ac:dyDescent="0.35">
      <c r="B181" s="1" t="s">
        <v>25</v>
      </c>
      <c r="C181" s="1">
        <f>C165</f>
        <v>451</v>
      </c>
      <c r="D181" s="1">
        <f>D165</f>
        <v>63</v>
      </c>
      <c r="E181" s="1">
        <f>E165</f>
        <v>766</v>
      </c>
      <c r="F181" s="1">
        <f>F165</f>
        <v>615</v>
      </c>
      <c r="G181" s="1">
        <f>G165</f>
        <v>941</v>
      </c>
      <c r="S181" s="66" t="s">
        <v>39</v>
      </c>
      <c r="T181" s="67">
        <f>J490</f>
        <v>0</v>
      </c>
      <c r="U181" s="67">
        <f>J491</f>
        <v>0</v>
      </c>
      <c r="V181" s="67">
        <f>J492</f>
        <v>0.2346941488143626</v>
      </c>
      <c r="W181" s="67">
        <f>J493</f>
        <v>1.1730628945942423</v>
      </c>
      <c r="X181" s="67">
        <f>J494</f>
        <v>0.93695096140679068</v>
      </c>
      <c r="AD181" s="51"/>
      <c r="AE181" s="51"/>
      <c r="BF181" s="51"/>
      <c r="BG181" s="1"/>
    </row>
    <row r="182" spans="1:59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0</v>
      </c>
      <c r="E182" s="18">
        <f>(O173*O173*(100-E178)*(100-E178)*(I173)*(100-I173))/((L173-1)*100)</f>
        <v>8.5986565607652903</v>
      </c>
      <c r="F182" s="18">
        <f>(O174*O174*(100-F178)*(100-F178)*(I174)*(100-I174))/((L174-1)*100)</f>
        <v>99.341306565419586</v>
      </c>
      <c r="G182" s="18">
        <f>(O175*O175*(100-G178)*(100-G178)*(I175)*(100-I175))/((L175-1)*100)</f>
        <v>128.45731950337728</v>
      </c>
      <c r="S182" s="68" t="s">
        <v>51</v>
      </c>
      <c r="T182" s="65">
        <f>N479*100</f>
        <v>99.889258028792909</v>
      </c>
      <c r="U182" s="65">
        <f>N480*100</f>
        <v>96.610169491525426</v>
      </c>
      <c r="V182" s="65">
        <f>N481*100</f>
        <v>97.476759628154042</v>
      </c>
      <c r="W182" s="65">
        <f>N482*100</f>
        <v>88.573811509591323</v>
      </c>
      <c r="X182" s="65">
        <f>N483*100</f>
        <v>93.525179856115102</v>
      </c>
      <c r="AD182" s="51"/>
      <c r="AE182" s="51"/>
      <c r="AH182" s="78"/>
      <c r="AI182" s="78"/>
      <c r="BF182" s="51"/>
      <c r="BG182" s="1"/>
    </row>
    <row r="183" spans="1:59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142.45629071612825</v>
      </c>
      <c r="E183" s="18">
        <f>E178*E178*(SUM((H171*E171*(1-E160/H160))/(H160-1),(H172*E172*(1-E161/H161))/(H161-1), (H174*E174*(1-E163/H163))/(H163-1),(H175*E175*(1-E164/H164))/(H164-1)))</f>
        <v>448.31754187747998</v>
      </c>
      <c r="F183" s="18">
        <f>F178*F178*(SUM((H171*F171*(1-F160/H160))/(H160-1),(H172*F172*(1-F161/H161))/(H161-1), (H173*F173*(1-F162/H162))/(H162-1),(H175*F175*(1-F164/H164))/(H164-1)))</f>
        <v>261.11364094499561</v>
      </c>
      <c r="G183" s="18">
        <f>G178*G178*(SUM((H171*G171*(1-G160/H160))/(H160-1),(H172*G172*(1-G161/H161))/(H161-1), (H173*G173*(1-G162/H162))/(H162-1),(H174*G174*(1-G163/H163))/(H163-1)))</f>
        <v>521.96977855514695</v>
      </c>
      <c r="R183" s="16" t="s">
        <v>61</v>
      </c>
      <c r="S183" t="s">
        <v>9</v>
      </c>
      <c r="T183" s="1">
        <f>N490</f>
        <v>554.04999999999995</v>
      </c>
      <c r="U183" s="1">
        <f>N491</f>
        <v>2271.7199999999998</v>
      </c>
      <c r="V183" s="1">
        <f>N492</f>
        <v>55513.91</v>
      </c>
      <c r="W183" s="1">
        <f>N493</f>
        <v>30460.32</v>
      </c>
      <c r="X183" s="1">
        <f>N494</f>
        <v>7784.15</v>
      </c>
      <c r="Z183" t="s">
        <v>36</v>
      </c>
      <c r="AA183" s="1">
        <f>N495</f>
        <v>96584.15</v>
      </c>
      <c r="AD183" s="51"/>
      <c r="AE183" s="51"/>
      <c r="AK183" s="2"/>
      <c r="AL183" s="2"/>
      <c r="BF183" s="51"/>
      <c r="BG183" s="1"/>
    </row>
    <row r="184" spans="1:59" ht="15.6" x14ac:dyDescent="0.35">
      <c r="A184" s="105" t="s">
        <v>645</v>
      </c>
      <c r="B184" s="69" t="s">
        <v>9</v>
      </c>
      <c r="C184" s="1">
        <v>279.01</v>
      </c>
      <c r="D184" s="1">
        <v>2417.9</v>
      </c>
      <c r="E184" s="1">
        <v>16230.69</v>
      </c>
      <c r="F184">
        <v>2014.02</v>
      </c>
      <c r="G184">
        <v>1203.32</v>
      </c>
      <c r="I184" t="s">
        <v>36</v>
      </c>
      <c r="J184" s="57">
        <f>SUM(C184:G184)</f>
        <v>22144.94</v>
      </c>
      <c r="R184" s="16" t="s">
        <v>318</v>
      </c>
      <c r="S184" t="s">
        <v>63</v>
      </c>
      <c r="T184" s="57">
        <f>$AA183*T176/100</f>
        <v>606.38731958762878</v>
      </c>
      <c r="U184" s="57">
        <f>$AA183*U176/100</f>
        <v>2481.0692783505156</v>
      </c>
      <c r="V184" s="57">
        <f>$AA183*V176/100</f>
        <v>56450.404658276522</v>
      </c>
      <c r="W184" s="57">
        <f>$AA183*W176/100</f>
        <v>28589.801305640998</v>
      </c>
      <c r="X184" s="57">
        <f>$AA183*X176/100</f>
        <v>8456.4874381443369</v>
      </c>
      <c r="Z184" t="s">
        <v>36</v>
      </c>
      <c r="AA184" s="25">
        <f>SUM(T184:X184)</f>
        <v>96584.15</v>
      </c>
      <c r="AD184" s="51"/>
      <c r="AE184" s="51"/>
      <c r="AH184" s="78"/>
      <c r="AI184" s="78"/>
      <c r="BF184" s="51"/>
      <c r="BG184" s="1"/>
    </row>
    <row r="185" spans="1:59" x14ac:dyDescent="0.3">
      <c r="B185" t="s">
        <v>367</v>
      </c>
      <c r="C185" s="57">
        <f>(C184/$J184)*100</f>
        <v>1.2599266468999237</v>
      </c>
      <c r="D185" s="57">
        <f>(D184/$J184)*100</f>
        <v>10.918521341669926</v>
      </c>
      <c r="E185" s="57">
        <f>(E184/$J184)*100</f>
        <v>73.292996052371336</v>
      </c>
      <c r="F185" s="57">
        <f>(F184/$J184)*100</f>
        <v>9.0947187032342374</v>
      </c>
      <c r="G185" s="57">
        <f>(G184/$J184)*100</f>
        <v>5.4338372558245815</v>
      </c>
      <c r="R185" s="66"/>
      <c r="S185" s="66" t="s">
        <v>62</v>
      </c>
      <c r="T185" s="67">
        <f>$AA183*T177/100</f>
        <v>52.292336923892591</v>
      </c>
      <c r="U185" s="67">
        <f>$AA183*U177/100</f>
        <v>104.31431232567847</v>
      </c>
      <c r="V185" s="67">
        <f>$AA183*V177/100</f>
        <v>265.95615682435198</v>
      </c>
      <c r="W185" s="67">
        <f>$AA183*W177/100</f>
        <v>378.62536060992528</v>
      </c>
      <c r="X185" s="67">
        <f>$AA183*X177/100</f>
        <v>281.1005908802403</v>
      </c>
      <c r="AA185" s="1"/>
      <c r="AD185" s="51"/>
      <c r="AE185" s="51"/>
      <c r="AM185" s="2"/>
      <c r="AN185" s="2"/>
      <c r="BF185" s="51"/>
      <c r="BG185" s="1"/>
    </row>
    <row r="186" spans="1:59" x14ac:dyDescent="0.3">
      <c r="A186" s="348" t="s">
        <v>369</v>
      </c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 t="s">
        <v>79</v>
      </c>
      <c r="M186" s="348"/>
      <c r="N186" s="348"/>
      <c r="O186" s="348"/>
      <c r="P186" s="348"/>
      <c r="R186" t="s">
        <v>105</v>
      </c>
      <c r="S186" s="70" t="s">
        <v>28</v>
      </c>
      <c r="T186" s="64">
        <f>C524</f>
        <v>0.60887837186536298</v>
      </c>
      <c r="U186" s="64">
        <f t="shared" ref="U186:X189" si="40">D524</f>
        <v>2.8938052635912257</v>
      </c>
      <c r="V186" s="64">
        <f t="shared" si="40"/>
        <v>58.157061900536327</v>
      </c>
      <c r="W186" s="64">
        <f t="shared" si="40"/>
        <v>29.735654261121706</v>
      </c>
      <c r="X186" s="64">
        <f t="shared" si="40"/>
        <v>8.6046002028853774</v>
      </c>
      <c r="AA186" s="12"/>
      <c r="AD186" s="51"/>
      <c r="AE186" s="51"/>
      <c r="AH186" s="78"/>
      <c r="AI186" s="78"/>
      <c r="BF186" s="51"/>
      <c r="BG186" s="1"/>
    </row>
    <row r="187" spans="1:59" x14ac:dyDescent="0.3">
      <c r="A187" t="s">
        <v>315</v>
      </c>
      <c r="B187" t="s">
        <v>21</v>
      </c>
      <c r="I187" s="1" t="s">
        <v>53</v>
      </c>
      <c r="O187" s="350" t="s">
        <v>377</v>
      </c>
      <c r="P187" s="350"/>
      <c r="S187" s="66" t="s">
        <v>39</v>
      </c>
      <c r="T187" s="67">
        <f>C525</f>
        <v>0</v>
      </c>
      <c r="U187" s="67">
        <f t="shared" si="40"/>
        <v>0.13349145480372682</v>
      </c>
      <c r="V187" s="67">
        <f t="shared" si="40"/>
        <v>0.2869479083498665</v>
      </c>
      <c r="W187" s="67">
        <f t="shared" si="40"/>
        <v>0.3828529396825931</v>
      </c>
      <c r="X187" s="67">
        <f t="shared" si="40"/>
        <v>0.25926991136353711</v>
      </c>
      <c r="AD187" s="51"/>
      <c r="AE187" s="51"/>
      <c r="AM187" s="2"/>
      <c r="AN187" s="2"/>
      <c r="BF187" s="51"/>
      <c r="BG187" s="1"/>
    </row>
    <row r="188" spans="1:59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51</v>
      </c>
      <c r="O188" s="13" t="s">
        <v>644</v>
      </c>
      <c r="P188" s="13" t="s">
        <v>633</v>
      </c>
      <c r="S188" t="s">
        <v>30</v>
      </c>
      <c r="T188" s="57">
        <f>C526</f>
        <v>100</v>
      </c>
      <c r="U188" s="57">
        <f t="shared" si="40"/>
        <v>88.641786191884236</v>
      </c>
      <c r="V188" s="57">
        <f t="shared" si="40"/>
        <v>97.726379934974673</v>
      </c>
      <c r="W188" s="57">
        <f t="shared" si="40"/>
        <v>98.376609328034462</v>
      </c>
      <c r="X188" s="57">
        <f t="shared" si="40"/>
        <v>86.367212132540757</v>
      </c>
      <c r="AD188" s="51"/>
      <c r="AE188" s="51"/>
      <c r="AH188" s="78"/>
      <c r="AI188" s="78"/>
      <c r="BF188" s="51"/>
      <c r="BG188" s="1"/>
    </row>
    <row r="189" spans="1:59" x14ac:dyDescent="0.3">
      <c r="A189" t="s">
        <v>3</v>
      </c>
      <c r="B189" s="13">
        <v>0</v>
      </c>
      <c r="C189" s="26">
        <v>451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451</v>
      </c>
      <c r="I189" s="10">
        <f>C189/H189</f>
        <v>1</v>
      </c>
      <c r="J189" s="11">
        <f>1-I189</f>
        <v>0</v>
      </c>
      <c r="K189">
        <f>H189-C194</f>
        <v>0</v>
      </c>
      <c r="N189" s="10">
        <f>2*(C195*I189)/(C195+I189)</f>
        <v>1</v>
      </c>
      <c r="O189" s="1"/>
      <c r="P189" s="1"/>
      <c r="S189" s="66" t="s">
        <v>39</v>
      </c>
      <c r="T189" s="67">
        <f>C527</f>
        <v>0</v>
      </c>
      <c r="U189" s="67">
        <f t="shared" si="40"/>
        <v>4.0925697395098446</v>
      </c>
      <c r="V189" s="67">
        <f t="shared" si="40"/>
        <v>0.43008236041975501</v>
      </c>
      <c r="W189" s="67">
        <f t="shared" si="40"/>
        <v>0.44430158911866829</v>
      </c>
      <c r="X189" s="67">
        <f t="shared" si="40"/>
        <v>2.6975042611390752</v>
      </c>
      <c r="AD189" s="51"/>
      <c r="AE189" s="51"/>
      <c r="AM189" s="2"/>
      <c r="AN189" s="2"/>
      <c r="BF189" s="51"/>
      <c r="BG189" s="1"/>
    </row>
    <row r="190" spans="1:59" x14ac:dyDescent="0.3">
      <c r="A190" t="s">
        <v>4</v>
      </c>
      <c r="B190" s="13">
        <v>1</v>
      </c>
      <c r="C190" s="5">
        <v>0</v>
      </c>
      <c r="D190" s="27">
        <v>56</v>
      </c>
      <c r="E190" s="1">
        <v>1</v>
      </c>
      <c r="F190" s="1">
        <v>0</v>
      </c>
      <c r="G190" s="6">
        <v>0</v>
      </c>
      <c r="H190" s="1">
        <f>SUM(C190:G190)</f>
        <v>57</v>
      </c>
      <c r="I190" s="10">
        <f>D190/H190</f>
        <v>0.98245614035087714</v>
      </c>
      <c r="J190" s="11">
        <f>1-I190</f>
        <v>1.7543859649122862E-2</v>
      </c>
      <c r="K190">
        <f>H190-D194</f>
        <v>-5</v>
      </c>
      <c r="N190" s="10">
        <f>2*(D195*I190)/(D195+I190)</f>
        <v>0.94117647058823517</v>
      </c>
      <c r="O190" s="1"/>
      <c r="P190" s="1"/>
      <c r="S190" t="s">
        <v>31</v>
      </c>
      <c r="T190" s="57">
        <f>I519</f>
        <v>100</v>
      </c>
      <c r="U190" s="57">
        <f>I520</f>
        <v>100</v>
      </c>
      <c r="V190" s="57">
        <f>I521</f>
        <v>99.592944369063773</v>
      </c>
      <c r="W190" s="57">
        <f>I522</f>
        <v>91.75257731958763</v>
      </c>
      <c r="X190" s="57">
        <f>I523</f>
        <v>94.350842418235885</v>
      </c>
      <c r="AD190" s="51"/>
      <c r="AE190" s="51"/>
      <c r="AH190" s="78"/>
      <c r="AI190" s="78"/>
      <c r="BF190" s="51"/>
      <c r="BG190" s="1"/>
    </row>
    <row r="191" spans="1:59" x14ac:dyDescent="0.3">
      <c r="A191" t="s">
        <v>5</v>
      </c>
      <c r="B191" s="13">
        <v>2</v>
      </c>
      <c r="C191" s="5">
        <v>0</v>
      </c>
      <c r="D191" s="1">
        <v>0</v>
      </c>
      <c r="E191" s="27">
        <v>734</v>
      </c>
      <c r="F191" s="1">
        <v>2</v>
      </c>
      <c r="G191" s="6">
        <v>1</v>
      </c>
      <c r="H191" s="1">
        <f>SUM(C191:G191)</f>
        <v>737</v>
      </c>
      <c r="I191" s="10">
        <f>E191/H191</f>
        <v>0.99592944369063774</v>
      </c>
      <c r="J191" s="11">
        <f>1-I191</f>
        <v>4.070556309362261E-3</v>
      </c>
      <c r="K191">
        <f>H191-E194</f>
        <v>-29</v>
      </c>
      <c r="N191" s="10">
        <f>2*(E195*I191)/(E195+I191)</f>
        <v>0.97671324018629424</v>
      </c>
      <c r="O191" s="1"/>
      <c r="P191" s="1"/>
      <c r="S191" s="66" t="s">
        <v>39</v>
      </c>
      <c r="T191" s="67">
        <f>J519</f>
        <v>0</v>
      </c>
      <c r="U191" s="67">
        <f>J520</f>
        <v>0</v>
      </c>
      <c r="V191" s="67">
        <f>J521</f>
        <v>0.2346941488143626</v>
      </c>
      <c r="W191" s="67">
        <f>J522</f>
        <v>1.1412484385858428</v>
      </c>
      <c r="X191" s="67">
        <f>J523</f>
        <v>0.72716751579303351</v>
      </c>
      <c r="AD191" s="51"/>
      <c r="AE191" s="51"/>
      <c r="AM191" s="78"/>
      <c r="AN191" s="78"/>
      <c r="BF191" s="51"/>
      <c r="BG191" s="1"/>
    </row>
    <row r="192" spans="1:59" x14ac:dyDescent="0.3">
      <c r="A192" t="s">
        <v>6</v>
      </c>
      <c r="B192" s="13">
        <v>3</v>
      </c>
      <c r="C192" s="5">
        <v>0</v>
      </c>
      <c r="D192" s="1">
        <v>6</v>
      </c>
      <c r="E192" s="1">
        <v>17</v>
      </c>
      <c r="F192" s="27">
        <v>527</v>
      </c>
      <c r="G192" s="6">
        <v>32</v>
      </c>
      <c r="H192" s="1">
        <f>SUM(C192:G192)</f>
        <v>582</v>
      </c>
      <c r="I192" s="10">
        <f>F192/H192</f>
        <v>0.90549828178694158</v>
      </c>
      <c r="J192" s="11">
        <f>1-I192</f>
        <v>9.4501718213058417E-2</v>
      </c>
      <c r="K192">
        <f>H192-F194</f>
        <v>-53</v>
      </c>
      <c r="N192" s="10">
        <f>2*(F195*I192)/(F195+I192)</f>
        <v>0.86606409202958101</v>
      </c>
      <c r="O192" s="1"/>
      <c r="P192" s="1"/>
      <c r="S192" s="66" t="s">
        <v>51</v>
      </c>
      <c r="T192" s="67">
        <f>N508*100</f>
        <v>100</v>
      </c>
      <c r="U192" s="67">
        <f>N509*100</f>
        <v>95</v>
      </c>
      <c r="V192" s="67">
        <f>N510*100</f>
        <v>97.347480106100804</v>
      </c>
      <c r="W192" s="67">
        <f>N511*100</f>
        <v>92.068965517241381</v>
      </c>
      <c r="X192" s="67">
        <f>N512*100</f>
        <v>96.064581231079728</v>
      </c>
      <c r="AD192" s="51"/>
      <c r="AE192" s="51"/>
      <c r="AH192" s="78"/>
      <c r="AI192" s="78"/>
      <c r="BF192" s="51"/>
      <c r="BG192" s="1"/>
    </row>
    <row r="193" spans="1:59" x14ac:dyDescent="0.3">
      <c r="A193" t="s">
        <v>7</v>
      </c>
      <c r="B193" s="13">
        <v>4</v>
      </c>
      <c r="C193" s="7">
        <v>0</v>
      </c>
      <c r="D193" s="8">
        <v>0</v>
      </c>
      <c r="E193" s="8">
        <v>14</v>
      </c>
      <c r="F193" s="8">
        <v>106</v>
      </c>
      <c r="G193" s="28">
        <v>889</v>
      </c>
      <c r="H193" s="1">
        <f>SUM(C193:G193)</f>
        <v>1009</v>
      </c>
      <c r="I193" s="10">
        <f>G193/H193</f>
        <v>0.88107036669970262</v>
      </c>
      <c r="J193" s="11">
        <f>1-I193</f>
        <v>0.11892963330029738</v>
      </c>
      <c r="K193">
        <f>H193-G194</f>
        <v>87</v>
      </c>
      <c r="N193" s="10">
        <f>2*(G195*I193)/(G195+I193)</f>
        <v>0.92076644225789739</v>
      </c>
      <c r="O193" s="1"/>
      <c r="P193" s="1"/>
      <c r="R193" s="16" t="s">
        <v>61</v>
      </c>
      <c r="S193" t="s">
        <v>9</v>
      </c>
      <c r="T193" s="1">
        <f>N519</f>
        <v>588.08000000000004</v>
      </c>
      <c r="U193" s="1">
        <f>N520</f>
        <v>2477.5</v>
      </c>
      <c r="V193" s="1">
        <f>N521</f>
        <v>55117.760000000002</v>
      </c>
      <c r="W193" s="1">
        <f>N522</f>
        <v>30793.35</v>
      </c>
      <c r="X193" s="1">
        <f>N523</f>
        <v>7607.46</v>
      </c>
      <c r="Z193" t="s">
        <v>36</v>
      </c>
      <c r="AA193" s="1">
        <f>N524</f>
        <v>96584.150000000009</v>
      </c>
      <c r="AD193" s="51"/>
      <c r="AE193" s="51"/>
      <c r="AL193" s="131">
        <v>0</v>
      </c>
      <c r="AM193" s="132">
        <v>1</v>
      </c>
      <c r="AN193" s="132">
        <v>2</v>
      </c>
      <c r="AO193" s="132">
        <v>3</v>
      </c>
      <c r="AP193" s="133">
        <v>4</v>
      </c>
      <c r="BF193" s="51"/>
      <c r="BG193" s="1"/>
    </row>
    <row r="194" spans="1:59" ht="15.6" x14ac:dyDescent="0.35">
      <c r="B194" s="1" t="s">
        <v>19</v>
      </c>
      <c r="C194" s="1">
        <f>SUM(C189:C193)</f>
        <v>451</v>
      </c>
      <c r="D194" s="1">
        <f>SUM(D189:D193)</f>
        <v>62</v>
      </c>
      <c r="E194" s="1">
        <f>SUM(E189:E193)</f>
        <v>766</v>
      </c>
      <c r="F194" s="1">
        <f>SUM(F189:F193)</f>
        <v>635</v>
      </c>
      <c r="G194" s="1">
        <f>SUM(G189:G193)</f>
        <v>922</v>
      </c>
      <c r="H194" s="1">
        <f>SUM(H188:H193)</f>
        <v>2836</v>
      </c>
      <c r="I194" s="13" t="s">
        <v>12</v>
      </c>
      <c r="N194" s="16" t="s">
        <v>36</v>
      </c>
      <c r="O194" s="1">
        <f>SUM(O189:O193)</f>
        <v>0</v>
      </c>
      <c r="P194" s="1">
        <f>SUM(P189:P193)</f>
        <v>0</v>
      </c>
      <c r="R194" s="16" t="s">
        <v>318</v>
      </c>
      <c r="S194" t="s">
        <v>63</v>
      </c>
      <c r="T194" s="57">
        <f>$AA193*T186/100</f>
        <v>588.08000000000004</v>
      </c>
      <c r="U194" s="57">
        <f>$AA193*U186/100</f>
        <v>2794.9572164948454</v>
      </c>
      <c r="V194" s="57">
        <f>$AA193*V186/100</f>
        <v>56170.503901606862</v>
      </c>
      <c r="W194" s="57">
        <f>$AA193*W186/100</f>
        <v>28719.928915043183</v>
      </c>
      <c r="X194" s="57">
        <f>$AA193*X186/100</f>
        <v>8310.6799668551175</v>
      </c>
      <c r="Z194" t="s">
        <v>36</v>
      </c>
      <c r="AA194" s="25">
        <f>SUM(T194:X194)</f>
        <v>96584.15</v>
      </c>
      <c r="AD194" s="51"/>
      <c r="AE194" s="51"/>
      <c r="AH194" s="78"/>
      <c r="AI194" s="78"/>
      <c r="AJ194" t="s">
        <v>2</v>
      </c>
      <c r="AQ194" t="s">
        <v>633</v>
      </c>
      <c r="BF194" s="51"/>
      <c r="BG194" s="1"/>
    </row>
    <row r="195" spans="1:59" x14ac:dyDescent="0.3">
      <c r="A195" s="1" t="s">
        <v>316</v>
      </c>
      <c r="B195" s="1" t="s">
        <v>2</v>
      </c>
      <c r="C195" s="10">
        <f>C189/C194</f>
        <v>1</v>
      </c>
      <c r="D195" s="10">
        <f>D190/D194</f>
        <v>0.90322580645161288</v>
      </c>
      <c r="E195" s="10">
        <f>E191/E194</f>
        <v>0.95822454308093996</v>
      </c>
      <c r="F195" s="10">
        <f>F192/F194</f>
        <v>0.82992125984251963</v>
      </c>
      <c r="G195" s="10">
        <f>G193/G194</f>
        <v>0.96420824295010843</v>
      </c>
      <c r="H195" s="10"/>
      <c r="I195" s="14">
        <f>(C189+D190+E191+F192+G193)/H194</f>
        <v>0.93688293370944997</v>
      </c>
      <c r="R195" s="66"/>
      <c r="S195" s="66" t="s">
        <v>62</v>
      </c>
      <c r="T195" s="67">
        <f>$AA193*T187/100</f>
        <v>0</v>
      </c>
      <c r="U195" s="67">
        <f>$AA193*U187/100</f>
        <v>128.93158694481374</v>
      </c>
      <c r="V195" s="67">
        <f>$AA193*V187/100</f>
        <v>277.14619822249762</v>
      </c>
      <c r="W195" s="67">
        <f>$AA193*W187/100</f>
        <v>369.77525754244527</v>
      </c>
      <c r="X195" s="67">
        <f>$AA193*X187/100</f>
        <v>250.41364009622575</v>
      </c>
      <c r="AA195" s="1"/>
      <c r="AD195" s="51"/>
      <c r="AE195" s="51"/>
      <c r="AJ195" t="s">
        <v>633</v>
      </c>
      <c r="AK195">
        <v>0</v>
      </c>
      <c r="AL195" s="1">
        <v>515.76</v>
      </c>
      <c r="AM195" s="1">
        <v>112.85</v>
      </c>
      <c r="AN195">
        <v>3758.01</v>
      </c>
      <c r="AO195">
        <v>15161.21</v>
      </c>
      <c r="AP195">
        <v>5099.42</v>
      </c>
      <c r="AR195" s="1">
        <v>575.75</v>
      </c>
      <c r="AS195" s="1">
        <v>1949.49</v>
      </c>
      <c r="AT195" s="1">
        <v>55474.57</v>
      </c>
      <c r="AU195" s="1">
        <v>30683.279999999999</v>
      </c>
      <c r="AV195" s="1">
        <v>7901.08</v>
      </c>
      <c r="BF195" s="51"/>
      <c r="BG195" s="1"/>
    </row>
    <row r="196" spans="1:59" x14ac:dyDescent="0.3">
      <c r="B196" s="1" t="s">
        <v>14</v>
      </c>
      <c r="C196" s="11">
        <f>1-C195</f>
        <v>0</v>
      </c>
      <c r="D196" s="11">
        <f>1-D195</f>
        <v>9.6774193548387122E-2</v>
      </c>
      <c r="E196" s="11">
        <f>1-E195</f>
        <v>4.1775456919060039E-2</v>
      </c>
      <c r="F196" s="11">
        <f>1-F195</f>
        <v>0.17007874015748037</v>
      </c>
      <c r="G196" s="11">
        <f>1-G195</f>
        <v>3.579175704989157E-2</v>
      </c>
      <c r="R196" t="s">
        <v>106</v>
      </c>
      <c r="S196" t="s">
        <v>28</v>
      </c>
      <c r="T196" s="57">
        <f>C553</f>
        <v>0.62527851357820996</v>
      </c>
      <c r="U196" s="57">
        <f t="shared" ref="U196:X199" si="41">D553</f>
        <v>3.0087217819089744</v>
      </c>
      <c r="V196" s="57">
        <f t="shared" si="41"/>
        <v>56.997494053775995</v>
      </c>
      <c r="W196" s="57">
        <f t="shared" si="41"/>
        <v>31.287662460074117</v>
      </c>
      <c r="X196" s="57">
        <f t="shared" si="41"/>
        <v>8.0808431906627085</v>
      </c>
      <c r="Y196" s="13"/>
      <c r="Z196" s="74"/>
      <c r="AA196" s="12"/>
      <c r="AD196" s="51"/>
      <c r="AE196" s="51"/>
      <c r="AH196" s="78"/>
      <c r="AI196" s="78"/>
      <c r="AJ196" t="s">
        <v>633</v>
      </c>
      <c r="AK196">
        <v>1</v>
      </c>
      <c r="AL196" s="1">
        <v>452.44</v>
      </c>
      <c r="AM196" s="1">
        <v>136.74</v>
      </c>
      <c r="AN196">
        <v>3702.79</v>
      </c>
      <c r="AO196">
        <v>15484.12</v>
      </c>
      <c r="AP196">
        <v>4871.1400000000003</v>
      </c>
      <c r="AR196" s="1">
        <v>501.93</v>
      </c>
      <c r="AS196" s="1">
        <v>2261.5700000000002</v>
      </c>
      <c r="AT196" s="1">
        <v>55027.56</v>
      </c>
      <c r="AU196" s="1">
        <v>31692.53</v>
      </c>
      <c r="AV196" s="1">
        <v>7100.58</v>
      </c>
      <c r="BF196" s="51"/>
      <c r="BG196" s="1"/>
    </row>
    <row r="197" spans="1:59" x14ac:dyDescent="0.3">
      <c r="C197" s="2"/>
      <c r="S197" s="66" t="s">
        <v>39</v>
      </c>
      <c r="T197" s="67">
        <f>C554</f>
        <v>0</v>
      </c>
      <c r="U197" s="67">
        <f t="shared" si="41"/>
        <v>0.1369359604732503</v>
      </c>
      <c r="V197" s="67">
        <f t="shared" si="41"/>
        <v>0.29630230882429026</v>
      </c>
      <c r="W197" s="67">
        <f t="shared" si="41"/>
        <v>0.39599411956004882</v>
      </c>
      <c r="X197" s="67">
        <f t="shared" si="41"/>
        <v>0.26419718747636589</v>
      </c>
      <c r="AD197" s="51"/>
      <c r="AE197" s="51"/>
      <c r="AJ197" t="s">
        <v>633</v>
      </c>
      <c r="AK197">
        <v>2</v>
      </c>
      <c r="AL197" s="1">
        <v>425.71</v>
      </c>
      <c r="AM197" s="1">
        <v>171</v>
      </c>
      <c r="AN197">
        <v>3596.94</v>
      </c>
      <c r="AO197">
        <v>15336.09</v>
      </c>
      <c r="AP197">
        <v>5117.5</v>
      </c>
      <c r="AR197" s="1">
        <v>456.11</v>
      </c>
      <c r="AS197" s="1">
        <v>2296.85</v>
      </c>
      <c r="AT197" s="1">
        <v>54862.38</v>
      </c>
      <c r="AU197" s="1">
        <v>31356.04</v>
      </c>
      <c r="AV197" s="1">
        <v>7612.78</v>
      </c>
      <c r="BF197" s="51"/>
      <c r="BG197" s="1"/>
    </row>
    <row r="198" spans="1:59" ht="15.6" x14ac:dyDescent="0.35">
      <c r="A198" t="s">
        <v>317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41"/>
        <v>88.793722879573508</v>
      </c>
      <c r="V198" s="57">
        <f t="shared" si="41"/>
        <v>97.923254109841949</v>
      </c>
      <c r="W198" s="57">
        <f t="shared" si="41"/>
        <v>96.627622889352836</v>
      </c>
      <c r="X198" s="57">
        <f t="shared" si="41"/>
        <v>85.843807132730561</v>
      </c>
      <c r="AD198" s="51"/>
      <c r="AE198" s="51"/>
      <c r="AH198" s="78"/>
      <c r="AI198" s="78"/>
      <c r="AJ198" t="s">
        <v>633</v>
      </c>
      <c r="AK198">
        <v>3</v>
      </c>
      <c r="AL198" s="1">
        <v>419.54</v>
      </c>
      <c r="AM198" s="1">
        <v>152.53</v>
      </c>
      <c r="AN198">
        <v>3513.07</v>
      </c>
      <c r="AO198">
        <v>15270.07</v>
      </c>
      <c r="AP198">
        <v>5292.02</v>
      </c>
      <c r="AR198" s="1">
        <v>467.82</v>
      </c>
      <c r="AS198" s="1">
        <v>2304.5</v>
      </c>
      <c r="AT198" s="1">
        <v>54476.4</v>
      </c>
      <c r="AU198" s="1">
        <v>31332.37</v>
      </c>
      <c r="AV198" s="1">
        <v>8003.07</v>
      </c>
      <c r="BF198" s="51"/>
      <c r="BG198" s="1"/>
    </row>
    <row r="199" spans="1:59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41"/>
        <v>4.0447452478566639</v>
      </c>
      <c r="V199" s="67">
        <f t="shared" si="41"/>
        <v>0.4219648900459525</v>
      </c>
      <c r="W199" s="67">
        <f t="shared" si="41"/>
        <v>0.64841440943793782</v>
      </c>
      <c r="X199" s="67">
        <f t="shared" si="41"/>
        <v>3.00772773660651</v>
      </c>
      <c r="AD199" s="51"/>
      <c r="AE199" s="51"/>
      <c r="AJ199" t="s">
        <v>633</v>
      </c>
      <c r="AK199">
        <v>4</v>
      </c>
      <c r="AL199" s="1">
        <v>424.35</v>
      </c>
      <c r="AM199" s="1">
        <v>135.53</v>
      </c>
      <c r="AN199">
        <v>3783.52</v>
      </c>
      <c r="AO199">
        <v>15288.9</v>
      </c>
      <c r="AP199">
        <v>5014.95</v>
      </c>
      <c r="AR199" s="1">
        <v>477.81</v>
      </c>
      <c r="AS199" s="1">
        <v>2248.87</v>
      </c>
      <c r="AT199" s="1">
        <v>55346.41</v>
      </c>
      <c r="AU199" s="1">
        <v>30926.13</v>
      </c>
      <c r="AV199" s="1">
        <v>7584.94</v>
      </c>
      <c r="BF199" s="51"/>
      <c r="BG199" s="1"/>
    </row>
    <row r="200" spans="1:59" x14ac:dyDescent="0.3">
      <c r="A200" t="s">
        <v>3</v>
      </c>
      <c r="B200" s="13">
        <v>0</v>
      </c>
      <c r="C200" s="29">
        <f>(C189/$L200)*$O200</f>
        <v>0.47430137612627166</v>
      </c>
      <c r="D200" s="31">
        <f>(D189/$L200)*$O200</f>
        <v>0</v>
      </c>
      <c r="E200" s="31">
        <f>(E189/$L200)*$O200</f>
        <v>0</v>
      </c>
      <c r="F200" s="31">
        <f>(F189/$L200)*$O200</f>
        <v>0</v>
      </c>
      <c r="G200" s="32">
        <f>(G189/$L200)*$O200</f>
        <v>0</v>
      </c>
      <c r="H200" s="17">
        <f>SUM(C200:G200)</f>
        <v>0.47430137612627166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451</v>
      </c>
      <c r="M200">
        <v>0</v>
      </c>
      <c r="N200" s="1">
        <v>458.1</v>
      </c>
      <c r="O200" s="17">
        <f>N200/N205*100</f>
        <v>0.47430137612627166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100</v>
      </c>
      <c r="V200" s="57">
        <f>I550</f>
        <v>99.321573948439621</v>
      </c>
      <c r="W200" s="57">
        <f>I551</f>
        <v>92.439862542955325</v>
      </c>
      <c r="X200" s="57">
        <f>I552</f>
        <v>88.899900891972237</v>
      </c>
      <c r="AD200" s="51"/>
      <c r="AE200" s="51"/>
      <c r="AH200" s="78"/>
      <c r="AI200" s="78"/>
      <c r="AJ200" t="s">
        <v>633</v>
      </c>
      <c r="AK200">
        <v>5</v>
      </c>
      <c r="AL200" s="1">
        <v>574.95000000000005</v>
      </c>
      <c r="AM200" s="1">
        <v>154.28</v>
      </c>
      <c r="AN200">
        <v>3690.08</v>
      </c>
      <c r="AO200">
        <v>15242.03</v>
      </c>
      <c r="AP200">
        <v>4985.8999999999996</v>
      </c>
      <c r="AR200" s="1">
        <v>615.99</v>
      </c>
      <c r="AS200" s="1">
        <v>2354.1799999999998</v>
      </c>
      <c r="AT200" s="1">
        <v>54918.75</v>
      </c>
      <c r="AU200" s="1">
        <v>31276.46</v>
      </c>
      <c r="AV200" s="1">
        <v>7418.78</v>
      </c>
      <c r="BF200" s="51"/>
      <c r="BG200" s="1"/>
    </row>
    <row r="201" spans="1:59" x14ac:dyDescent="0.3">
      <c r="A201" t="s">
        <v>4</v>
      </c>
      <c r="B201" s="13">
        <v>1</v>
      </c>
      <c r="C201" s="33">
        <f t="shared" ref="C201:G204" si="42">(C190/$L201)*$O201</f>
        <v>0</v>
      </c>
      <c r="D201" s="34">
        <f t="shared" si="42"/>
        <v>2.335994537566394</v>
      </c>
      <c r="E201" s="19">
        <f t="shared" si="42"/>
        <v>4.1714188170828462E-2</v>
      </c>
      <c r="F201" s="18">
        <f t="shared" si="42"/>
        <v>0</v>
      </c>
      <c r="G201" s="20">
        <f t="shared" si="42"/>
        <v>0</v>
      </c>
      <c r="H201" s="17">
        <f>SUM(C201:G201)</f>
        <v>2.3777087257372225</v>
      </c>
      <c r="I201" s="17">
        <f>D201/H201*100</f>
        <v>98.245614035087712</v>
      </c>
      <c r="J201" s="17">
        <f>SQRT(I201*(100-I201)/(L201-1))</f>
        <v>1.7543859649122842</v>
      </c>
      <c r="K201" s="18">
        <f>100-I201</f>
        <v>1.7543859649122879</v>
      </c>
      <c r="L201" s="1">
        <f>H190</f>
        <v>57</v>
      </c>
      <c r="M201">
        <v>1</v>
      </c>
      <c r="N201" s="1">
        <v>2296.4899999999998</v>
      </c>
      <c r="O201" s="17">
        <f>N201/N205*100</f>
        <v>2.3777087257372225</v>
      </c>
      <c r="P201" s="52">
        <f>((O201*O201*(I201/100)*(K201/100))/(L201-1))</f>
        <v>1.7400734947512924E-3</v>
      </c>
      <c r="S201" s="66" t="s">
        <v>39</v>
      </c>
      <c r="T201" s="67">
        <f>J548</f>
        <v>0</v>
      </c>
      <c r="U201" s="67">
        <f>J549</f>
        <v>0</v>
      </c>
      <c r="V201" s="67">
        <f>J550</f>
        <v>0.30257577035375105</v>
      </c>
      <c r="W201" s="67">
        <f>J551</f>
        <v>1.0967469245051289</v>
      </c>
      <c r="X201" s="67">
        <f>J552</f>
        <v>0.98942709824063058</v>
      </c>
      <c r="AD201" s="51"/>
      <c r="AE201" s="51"/>
      <c r="AJ201" t="s">
        <v>633</v>
      </c>
      <c r="AK201">
        <v>6</v>
      </c>
      <c r="AL201" s="1">
        <v>431.12</v>
      </c>
      <c r="AM201" s="1">
        <v>119.59</v>
      </c>
      <c r="AN201">
        <v>3797.45</v>
      </c>
      <c r="AO201">
        <v>15178.93</v>
      </c>
      <c r="AP201">
        <v>5120.16</v>
      </c>
      <c r="AR201" s="1">
        <v>458.1</v>
      </c>
      <c r="AS201" s="1">
        <v>2296.4899999999998</v>
      </c>
      <c r="AT201" s="1">
        <v>55194.81</v>
      </c>
      <c r="AU201" s="1">
        <v>30707.759999999998</v>
      </c>
      <c r="AV201" s="1">
        <v>7927</v>
      </c>
      <c r="BF201" s="51"/>
      <c r="BG201" s="1"/>
    </row>
    <row r="202" spans="1:59" x14ac:dyDescent="0.3">
      <c r="A202" t="s">
        <v>5</v>
      </c>
      <c r="B202" s="13">
        <v>2</v>
      </c>
      <c r="C202" s="33">
        <f t="shared" si="42"/>
        <v>0</v>
      </c>
      <c r="D202" s="19">
        <f t="shared" si="42"/>
        <v>0</v>
      </c>
      <c r="E202" s="34">
        <f t="shared" si="42"/>
        <v>56.914235644758371</v>
      </c>
      <c r="F202" s="19">
        <f t="shared" si="42"/>
        <v>0.15507966115737973</v>
      </c>
      <c r="G202" s="20">
        <f t="shared" si="42"/>
        <v>7.7539830578689864E-2</v>
      </c>
      <c r="H202" s="17">
        <f>SUM(C202:G202)</f>
        <v>57.146855136494437</v>
      </c>
      <c r="I202" s="17">
        <f>E202/H202*100</f>
        <v>99.592944369063773</v>
      </c>
      <c r="J202" s="17">
        <f>SQRT(I202*(100-I202)/(L202-1))</f>
        <v>0.2346941488143626</v>
      </c>
      <c r="K202" s="18">
        <f>100-I202</f>
        <v>0.40705563093622743</v>
      </c>
      <c r="L202" s="1">
        <f>H191</f>
        <v>737</v>
      </c>
      <c r="M202">
        <v>2</v>
      </c>
      <c r="N202" s="1">
        <v>55194.81</v>
      </c>
      <c r="O202" s="17">
        <f>N202/N205*100</f>
        <v>57.146855136494437</v>
      </c>
      <c r="P202" s="52">
        <f>((O202*O202*(I202/100)*(K202/100))/(L202-1))</f>
        <v>1.7988261641617622E-2</v>
      </c>
      <c r="S202" s="66" t="s">
        <v>51</v>
      </c>
      <c r="T202" s="67">
        <f>N537*100</f>
        <v>100</v>
      </c>
      <c r="U202" s="67">
        <f>N538*100</f>
        <v>95</v>
      </c>
      <c r="V202" s="67">
        <f>N539*100</f>
        <v>97.405189620758478</v>
      </c>
      <c r="W202" s="67">
        <f>N540*100</f>
        <v>88.124488124488138</v>
      </c>
      <c r="X202" s="67">
        <f>N541*100</f>
        <v>93.146417445482854</v>
      </c>
      <c r="AD202" s="51"/>
      <c r="AE202" s="51"/>
      <c r="AH202" s="78"/>
      <c r="AI202" s="78"/>
      <c r="AJ202" t="s">
        <v>633</v>
      </c>
      <c r="AK202">
        <v>7</v>
      </c>
      <c r="AL202" s="1">
        <v>422.16</v>
      </c>
      <c r="AM202" s="1">
        <v>132.59</v>
      </c>
      <c r="AN202">
        <v>3653.28</v>
      </c>
      <c r="AO202">
        <v>15285.09</v>
      </c>
      <c r="AP202">
        <v>5154.13</v>
      </c>
      <c r="AR202" s="1">
        <v>496.71</v>
      </c>
      <c r="AS202" s="1">
        <v>2055.62</v>
      </c>
      <c r="AT202" s="1">
        <v>55134.04</v>
      </c>
      <c r="AU202" s="1">
        <v>31138.31</v>
      </c>
      <c r="AV202" s="1">
        <v>7759.48</v>
      </c>
      <c r="BF202" s="51"/>
      <c r="BG202" s="1"/>
    </row>
    <row r="203" spans="1:59" x14ac:dyDescent="0.3">
      <c r="A203" t="s">
        <v>6</v>
      </c>
      <c r="B203" s="13">
        <v>3</v>
      </c>
      <c r="C203" s="33">
        <f t="shared" si="42"/>
        <v>0</v>
      </c>
      <c r="D203" s="19">
        <f t="shared" si="42"/>
        <v>0.32777097751932072</v>
      </c>
      <c r="E203" s="19">
        <f t="shared" si="42"/>
        <v>0.92868443630474207</v>
      </c>
      <c r="F203" s="34">
        <f t="shared" si="42"/>
        <v>28.789217525447004</v>
      </c>
      <c r="G203" s="20">
        <f t="shared" si="42"/>
        <v>1.7481118801030437</v>
      </c>
      <c r="H203" s="17">
        <f>SUM(C203:G203)</f>
        <v>31.79378481937411</v>
      </c>
      <c r="I203" s="17">
        <f>F203/H203*100</f>
        <v>90.549828178694156</v>
      </c>
      <c r="J203" s="17">
        <f>SQRT(I203*(100-I203)/(L203-1))</f>
        <v>1.2136000942547684</v>
      </c>
      <c r="K203" s="18">
        <f>100-I203</f>
        <v>9.4501718213058439</v>
      </c>
      <c r="L203" s="1">
        <f>H192</f>
        <v>582</v>
      </c>
      <c r="M203">
        <v>3</v>
      </c>
      <c r="N203" s="1">
        <v>30707.759999999998</v>
      </c>
      <c r="O203" s="17">
        <f>N203/N205*100</f>
        <v>31.79378481937411</v>
      </c>
      <c r="P203" s="52">
        <f>((O203*O203*(I203/100)*(K203/100))/(L203-1))</f>
        <v>0.14887976143668014</v>
      </c>
      <c r="R203" s="16" t="s">
        <v>61</v>
      </c>
      <c r="S203" t="s">
        <v>9</v>
      </c>
      <c r="T203" s="1">
        <f>N548</f>
        <v>603.91999999999996</v>
      </c>
      <c r="U203" s="1">
        <f>N549</f>
        <v>2580.3000000000002</v>
      </c>
      <c r="V203" s="1">
        <f>N550</f>
        <v>54275.51</v>
      </c>
      <c r="W203" s="1">
        <f>N551</f>
        <v>31587.919999999998</v>
      </c>
      <c r="X203" s="1">
        <f>N552</f>
        <v>7536.51</v>
      </c>
      <c r="Z203" t="s">
        <v>36</v>
      </c>
      <c r="AA203" s="1">
        <f>N553</f>
        <v>96584.159999999989</v>
      </c>
      <c r="AD203" s="51"/>
      <c r="AE203" s="51"/>
      <c r="AJ203" t="s">
        <v>633</v>
      </c>
      <c r="AK203">
        <v>8</v>
      </c>
      <c r="AL203" s="1">
        <v>534.91999999999996</v>
      </c>
      <c r="AM203" s="1">
        <v>163.69999999999999</v>
      </c>
      <c r="AN203">
        <v>3637.7</v>
      </c>
      <c r="AO203">
        <v>15193.21</v>
      </c>
      <c r="AP203">
        <v>5117.71</v>
      </c>
      <c r="AR203" s="1">
        <v>574.4</v>
      </c>
      <c r="AS203" s="1">
        <v>2324.67</v>
      </c>
      <c r="AT203" s="1">
        <v>54788.13</v>
      </c>
      <c r="AU203" s="1">
        <v>31086.79</v>
      </c>
      <c r="AV203" s="1">
        <v>7810.17</v>
      </c>
      <c r="BF203" s="56"/>
      <c r="BG203" s="1"/>
    </row>
    <row r="204" spans="1:59" ht="15.6" x14ac:dyDescent="0.35">
      <c r="A204" t="s">
        <v>7</v>
      </c>
      <c r="B204" s="13">
        <v>4</v>
      </c>
      <c r="C204" s="35">
        <f t="shared" si="42"/>
        <v>0</v>
      </c>
      <c r="D204" s="36">
        <f t="shared" si="42"/>
        <v>0</v>
      </c>
      <c r="E204" s="21">
        <f t="shared" si="42"/>
        <v>0.11387799721680034</v>
      </c>
      <c r="F204" s="21">
        <f t="shared" si="42"/>
        <v>0.86221912178434545</v>
      </c>
      <c r="G204" s="37">
        <f t="shared" si="42"/>
        <v>7.2312528232668214</v>
      </c>
      <c r="H204" s="17">
        <f>SUM(C204:G204)</f>
        <v>8.2073499422679674</v>
      </c>
      <c r="I204" s="17">
        <f>G204/H204*100</f>
        <v>88.107036669970256</v>
      </c>
      <c r="J204" s="17">
        <f>SQRT(I204*(100-I204)/(L204-1))</f>
        <v>1.0195770969283762</v>
      </c>
      <c r="K204" s="18">
        <f>100-I204</f>
        <v>11.892963330029744</v>
      </c>
      <c r="L204" s="1">
        <f>H193</f>
        <v>1009</v>
      </c>
      <c r="M204">
        <v>4</v>
      </c>
      <c r="N204" s="1">
        <v>7927</v>
      </c>
      <c r="O204" s="17">
        <f>N204/N205*100</f>
        <v>8.2073499422679674</v>
      </c>
      <c r="P204" s="52">
        <f>((O204*O204*(I204/100)*(K204/100))/(L204-1))</f>
        <v>7.0023859598806071E-3</v>
      </c>
      <c r="R204" s="16" t="s">
        <v>318</v>
      </c>
      <c r="S204" t="s">
        <v>63</v>
      </c>
      <c r="T204" s="57">
        <f>$AA203*T196/100</f>
        <v>603.91999999999996</v>
      </c>
      <c r="U204" s="57">
        <f>$AA203*U196/100</f>
        <v>2905.9486597938148</v>
      </c>
      <c r="V204" s="57">
        <f>$AA203*V196/100</f>
        <v>55050.550852889486</v>
      </c>
      <c r="W204" s="57">
        <f>$AA203*W196/100</f>
        <v>30218.925970697914</v>
      </c>
      <c r="X204" s="57">
        <f>$AA203*X196/100</f>
        <v>7804.8145166187742</v>
      </c>
      <c r="Z204" t="s">
        <v>36</v>
      </c>
      <c r="AA204" s="25">
        <f>SUM(T204:X204)</f>
        <v>96584.159999999989</v>
      </c>
      <c r="AD204" s="51"/>
      <c r="AE204" s="51"/>
      <c r="AH204" s="78"/>
      <c r="AI204" s="78"/>
      <c r="AJ204" t="s">
        <v>633</v>
      </c>
      <c r="AK204">
        <v>9</v>
      </c>
      <c r="AL204" s="1">
        <v>615.4</v>
      </c>
      <c r="AM204" s="1">
        <v>108.34</v>
      </c>
      <c r="AN204">
        <v>3746.49</v>
      </c>
      <c r="AO204">
        <v>14897.83</v>
      </c>
      <c r="AP204">
        <v>5279.2</v>
      </c>
      <c r="AR204" s="1">
        <v>656.94</v>
      </c>
      <c r="AS204" s="1">
        <v>1867.04</v>
      </c>
      <c r="AT204" s="1">
        <v>55403.37</v>
      </c>
      <c r="AU204" s="1">
        <v>30600.01</v>
      </c>
      <c r="AV204" s="1">
        <v>8056.8</v>
      </c>
      <c r="BF204" s="51"/>
      <c r="BG204" s="1"/>
    </row>
    <row r="205" spans="1:59" x14ac:dyDescent="0.3">
      <c r="B205" t="s">
        <v>28</v>
      </c>
      <c r="C205" s="17">
        <f t="shared" ref="C205:H205" si="43">SUM(C200:C204)</f>
        <v>0.47430137612627166</v>
      </c>
      <c r="D205" s="17">
        <f t="shared" si="43"/>
        <v>2.6637655150857147</v>
      </c>
      <c r="E205" s="17">
        <f t="shared" si="43"/>
        <v>57.998512266450746</v>
      </c>
      <c r="F205" s="17">
        <f t="shared" si="43"/>
        <v>29.80651630838873</v>
      </c>
      <c r="G205" s="17">
        <f t="shared" si="43"/>
        <v>9.0569045339485541</v>
      </c>
      <c r="H205" s="18">
        <f t="shared" si="43"/>
        <v>100</v>
      </c>
      <c r="I205" s="13" t="s">
        <v>24</v>
      </c>
      <c r="J205" s="12" t="s">
        <v>29</v>
      </c>
      <c r="N205" s="1">
        <f>SUM(N200:N204)</f>
        <v>96584.159999999989</v>
      </c>
      <c r="O205" s="17">
        <f>SUM(O200:O204)</f>
        <v>100</v>
      </c>
      <c r="R205" s="66"/>
      <c r="S205" s="66" t="s">
        <v>62</v>
      </c>
      <c r="T205" s="67">
        <f>$AA203*T197/100</f>
        <v>0</v>
      </c>
      <c r="U205" s="67">
        <f>$AA203*U197/100</f>
        <v>132.25844716102083</v>
      </c>
      <c r="V205" s="67">
        <f>$AA203*V197/100</f>
        <v>286.18109603854663</v>
      </c>
      <c r="W205" s="67">
        <f>$AA203*W197/100</f>
        <v>382.46759402646882</v>
      </c>
      <c r="X205" s="67">
        <f>$AA203*X197/100</f>
        <v>255.17263426767317</v>
      </c>
      <c r="AA205" s="1"/>
      <c r="AD205" s="51"/>
      <c r="AE205" s="51"/>
      <c r="AJ205" t="s">
        <v>633</v>
      </c>
      <c r="AK205">
        <v>10</v>
      </c>
      <c r="AL205" s="1">
        <v>435.29</v>
      </c>
      <c r="AM205" s="1">
        <v>110.72</v>
      </c>
      <c r="AN205">
        <v>3729.06</v>
      </c>
      <c r="AO205">
        <v>15168.78</v>
      </c>
      <c r="AP205">
        <v>5203.3999999999996</v>
      </c>
      <c r="AR205" s="1">
        <v>476.46</v>
      </c>
      <c r="AS205" s="1">
        <v>2151.38</v>
      </c>
      <c r="AT205" s="1">
        <v>55080.5</v>
      </c>
      <c r="AU205" s="1">
        <v>30723.33</v>
      </c>
      <c r="AV205" s="1">
        <v>8152.49</v>
      </c>
      <c r="BF205" s="51"/>
      <c r="BG205" s="1"/>
    </row>
    <row r="206" spans="1:59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0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0.13939364162431075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0.2642680469712731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0.40852514695260567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0.3213187789967919</v>
      </c>
      <c r="H206" s="1"/>
      <c r="I206" s="14">
        <f>(C200+D201+E202+F203+G204)/H205</f>
        <v>0.95745001907164862</v>
      </c>
      <c r="J206" s="53">
        <f>SQRT(SUM(P200:P204))/100</f>
        <v>4.1905904420848576E-3</v>
      </c>
      <c r="M206" s="1"/>
      <c r="N206" s="9"/>
      <c r="R206" t="s">
        <v>107</v>
      </c>
      <c r="S206" t="s">
        <v>28</v>
      </c>
      <c r="T206" s="57">
        <f>C582</f>
        <v>0.34212652904229113</v>
      </c>
      <c r="U206" s="57">
        <f t="shared" ref="U206:X209" si="44">D582</f>
        <v>2.2705682075541653</v>
      </c>
      <c r="V206" s="57">
        <f t="shared" si="44"/>
        <v>58.674082180122774</v>
      </c>
      <c r="W206" s="57">
        <f t="shared" si="44"/>
        <v>29.54371210234952</v>
      </c>
      <c r="X206" s="57">
        <f>G582</f>
        <v>9.1695109809312569</v>
      </c>
      <c r="Y206" s="60"/>
      <c r="Z206" s="74"/>
      <c r="AA206" s="12"/>
      <c r="AD206" s="51"/>
      <c r="AE206" s="51"/>
      <c r="AH206" s="78"/>
      <c r="AI206" s="78"/>
      <c r="AJ206" t="s">
        <v>633</v>
      </c>
      <c r="AK206">
        <v>11</v>
      </c>
      <c r="AL206" s="1">
        <v>580.29</v>
      </c>
      <c r="AM206" s="1">
        <v>125.06</v>
      </c>
      <c r="AN206">
        <v>3515.36</v>
      </c>
      <c r="AO206">
        <v>15239.12</v>
      </c>
      <c r="AP206">
        <v>5187.41</v>
      </c>
      <c r="AR206" s="1">
        <v>606.45000000000005</v>
      </c>
      <c r="AS206" s="1">
        <v>2101.17</v>
      </c>
      <c r="AT206" s="1">
        <v>54296.28</v>
      </c>
      <c r="AU206" s="1">
        <v>31471.98</v>
      </c>
      <c r="AV206" s="1">
        <v>8108.29</v>
      </c>
      <c r="BF206" s="51"/>
      <c r="BG206" s="1"/>
    </row>
    <row r="207" spans="1:59" x14ac:dyDescent="0.3">
      <c r="B207" s="1" t="s">
        <v>30</v>
      </c>
      <c r="C207" s="17">
        <f>C200/C205*100</f>
        <v>100</v>
      </c>
      <c r="D207" s="17">
        <f>D201/D205*100</f>
        <v>87.695201560983733</v>
      </c>
      <c r="E207" s="17">
        <f>E202/E205*100</f>
        <v>98.13050959529599</v>
      </c>
      <c r="F207" s="17">
        <f>F203/F205*100</f>
        <v>96.586992010685208</v>
      </c>
      <c r="G207" s="17">
        <f>G204/G205*100</f>
        <v>79.842431773035372</v>
      </c>
      <c r="H207" s="1"/>
      <c r="S207" s="66" t="s">
        <v>39</v>
      </c>
      <c r="T207" s="67">
        <f>C583</f>
        <v>0</v>
      </c>
      <c r="U207" s="67">
        <f t="shared" si="44"/>
        <v>0.10933443500720365</v>
      </c>
      <c r="V207" s="67">
        <f t="shared" si="44"/>
        <v>0.28327062703989775</v>
      </c>
      <c r="W207" s="67">
        <f t="shared" si="44"/>
        <v>0.40350351950803848</v>
      </c>
      <c r="X207" s="67">
        <f t="shared" si="44"/>
        <v>0.3052520416667816</v>
      </c>
      <c r="AD207" s="51"/>
      <c r="AE207" s="51"/>
      <c r="AJ207" t="s">
        <v>633</v>
      </c>
      <c r="AK207">
        <v>12</v>
      </c>
      <c r="AL207" s="1">
        <v>416.8</v>
      </c>
      <c r="AM207" s="1">
        <v>111.76</v>
      </c>
      <c r="AN207">
        <v>3656.15</v>
      </c>
      <c r="AO207">
        <v>15351.31</v>
      </c>
      <c r="AP207">
        <v>5111.22</v>
      </c>
      <c r="AR207" s="1">
        <v>447.83</v>
      </c>
      <c r="AS207" s="1">
        <v>2126.27</v>
      </c>
      <c r="AT207" s="1">
        <v>54930.09</v>
      </c>
      <c r="AU207" s="1">
        <v>31205.62</v>
      </c>
      <c r="AV207" s="1">
        <v>7874.34</v>
      </c>
      <c r="BF207" s="51"/>
      <c r="BG207" s="1"/>
    </row>
    <row r="208" spans="1:59" x14ac:dyDescent="0.3">
      <c r="B208" s="16" t="s">
        <v>39</v>
      </c>
      <c r="C208" s="18">
        <f>SQRT((C211+C212)/(C205*C205))</f>
        <v>0</v>
      </c>
      <c r="D208" s="18">
        <f>SQRT((D211+D212)/(D205*D205))</f>
        <v>4.7908856431767441</v>
      </c>
      <c r="E208" s="18">
        <f>SQRT((E211+E212)/(E205*E205))</f>
        <v>0.38820111224564585</v>
      </c>
      <c r="F208" s="18">
        <f>SQRT((F211+F212)/(F205*F205))</f>
        <v>0.62231358835877904</v>
      </c>
      <c r="G208" s="18">
        <f>SQRT((G211+G212)/(G205*G205))</f>
        <v>3.3108185629644158</v>
      </c>
      <c r="H208" s="1"/>
      <c r="S208" t="s">
        <v>30</v>
      </c>
      <c r="T208" s="57">
        <f>C584</f>
        <v>100</v>
      </c>
      <c r="U208" s="57">
        <f t="shared" si="44"/>
        <v>90.33615442962909</v>
      </c>
      <c r="V208" s="57">
        <f t="shared" si="44"/>
        <v>97.80521675955427</v>
      </c>
      <c r="W208" s="57">
        <f t="shared" si="44"/>
        <v>98.037765123053177</v>
      </c>
      <c r="X208" s="57">
        <f t="shared" si="44"/>
        <v>81.798282603254492</v>
      </c>
      <c r="AD208" s="51"/>
      <c r="AE208" s="51"/>
      <c r="AH208" s="78"/>
      <c r="AI208" s="78"/>
      <c r="AJ208" t="s">
        <v>633</v>
      </c>
      <c r="AK208">
        <v>13</v>
      </c>
      <c r="AL208" s="1">
        <v>484.72</v>
      </c>
      <c r="AM208" s="1">
        <v>124.79</v>
      </c>
      <c r="AN208">
        <v>3936.17</v>
      </c>
      <c r="AO208">
        <v>15115.78</v>
      </c>
      <c r="AP208">
        <v>4985.8</v>
      </c>
      <c r="AR208" s="1">
        <v>523.63</v>
      </c>
      <c r="AS208" s="1">
        <v>2123.3000000000002</v>
      </c>
      <c r="AT208" s="1">
        <v>55557.14</v>
      </c>
      <c r="AU208" s="1">
        <v>30712.880000000001</v>
      </c>
      <c r="AV208" s="1">
        <v>7667.21</v>
      </c>
      <c r="BF208" s="51"/>
      <c r="BG208" s="1"/>
    </row>
    <row r="209" spans="1:59" x14ac:dyDescent="0.3">
      <c r="B209" s="1" t="s">
        <v>37</v>
      </c>
      <c r="C209" s="18">
        <f>100-C207</f>
        <v>0</v>
      </c>
      <c r="D209" s="18">
        <f>100-D207</f>
        <v>12.304798439016267</v>
      </c>
      <c r="E209" s="18">
        <f>100-E207</f>
        <v>1.8694904047040097</v>
      </c>
      <c r="F209" s="18">
        <f>100-F207</f>
        <v>3.4130079893147922</v>
      </c>
      <c r="G209" s="18">
        <f>100-G207</f>
        <v>20.157568226964628</v>
      </c>
      <c r="S209" s="66" t="s">
        <v>39</v>
      </c>
      <c r="T209" s="67">
        <f>C585</f>
        <v>0</v>
      </c>
      <c r="U209" s="67">
        <f t="shared" si="44"/>
        <v>4.3536893501337657</v>
      </c>
      <c r="V209" s="67">
        <f t="shared" si="44"/>
        <v>0.41841436585456143</v>
      </c>
      <c r="W209" s="67">
        <f t="shared" si="44"/>
        <v>0.48466271718341514</v>
      </c>
      <c r="X209" s="67">
        <f t="shared" si="44"/>
        <v>2.9556197588117206</v>
      </c>
      <c r="AD209" s="51"/>
      <c r="AE209" s="51"/>
      <c r="AJ209" t="s">
        <v>633</v>
      </c>
      <c r="AK209">
        <v>14</v>
      </c>
      <c r="AL209" s="1">
        <v>419.48</v>
      </c>
      <c r="AM209" s="1">
        <v>119.75</v>
      </c>
      <c r="AN209">
        <v>3872.54</v>
      </c>
      <c r="AO209">
        <v>15210.05</v>
      </c>
      <c r="AP209">
        <v>5025.42</v>
      </c>
      <c r="AR209" s="1">
        <v>472.32</v>
      </c>
      <c r="AS209" s="1">
        <v>2208.46</v>
      </c>
      <c r="AT209" s="1">
        <v>55410.32</v>
      </c>
      <c r="AU209" s="1">
        <v>30809.38</v>
      </c>
      <c r="AV209" s="1">
        <v>7683.68</v>
      </c>
      <c r="BF209" s="51"/>
      <c r="BG209" s="1"/>
    </row>
    <row r="210" spans="1:59" ht="15.6" x14ac:dyDescent="0.35">
      <c r="B210" s="1" t="s">
        <v>25</v>
      </c>
      <c r="C210" s="1">
        <f>C194</f>
        <v>451</v>
      </c>
      <c r="D210" s="1">
        <f>D194</f>
        <v>62</v>
      </c>
      <c r="E210" s="1">
        <f>E194</f>
        <v>766</v>
      </c>
      <c r="F210" s="1">
        <f>F194</f>
        <v>635</v>
      </c>
      <c r="G210" s="1">
        <f>G194</f>
        <v>922</v>
      </c>
      <c r="S210" s="15" t="s">
        <v>31</v>
      </c>
      <c r="T210" s="71">
        <f>I577</f>
        <v>100</v>
      </c>
      <c r="U210" s="71">
        <f>I578</f>
        <v>100</v>
      </c>
      <c r="V210" s="71">
        <f>I579</f>
        <v>99.592944369063773</v>
      </c>
      <c r="W210" s="71">
        <f>I580</f>
        <v>90.721649484536073</v>
      </c>
      <c r="X210" s="71">
        <f>I581</f>
        <v>93.062438057482652</v>
      </c>
      <c r="AD210" s="51"/>
      <c r="AE210" s="51"/>
      <c r="AH210" s="78"/>
      <c r="AI210" s="78"/>
      <c r="AJ210" t="s">
        <v>633</v>
      </c>
      <c r="AK210">
        <v>15</v>
      </c>
      <c r="AL210" s="1">
        <v>445.4</v>
      </c>
      <c r="AM210" s="1">
        <v>121.03</v>
      </c>
      <c r="AN210">
        <v>3746.18</v>
      </c>
      <c r="AO210">
        <v>15383.91</v>
      </c>
      <c r="AP210">
        <v>4950.72</v>
      </c>
      <c r="AR210" s="1">
        <v>483.03</v>
      </c>
      <c r="AS210" s="1">
        <v>2084.6</v>
      </c>
      <c r="AT210" s="1">
        <v>55280.06</v>
      </c>
      <c r="AU210" s="1">
        <v>31343.08</v>
      </c>
      <c r="AV210" s="1">
        <v>7393.4</v>
      </c>
      <c r="BF210" s="51"/>
      <c r="BG210" s="1"/>
    </row>
    <row r="211" spans="1:59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26.34611601452351</v>
      </c>
      <c r="E211" s="18">
        <f>(O202*O202*(100-E207)*(100-E207)*(I202)*(100-I202))/((L202-1)*100)</f>
        <v>6.2868873222548558</v>
      </c>
      <c r="F211" s="18">
        <f>(O203*O203*(100-F207)*(100-F207)*(I203)*(100-I203))/((L203-1)*100)</f>
        <v>173.4244292975346</v>
      </c>
      <c r="G211" s="18">
        <f>(O204*O204*(100-G207)*(100-G207)*(I204)*(100-I204))/((L204-1)*100)</f>
        <v>284.52623790221065</v>
      </c>
      <c r="S211" s="75" t="s">
        <v>39</v>
      </c>
      <c r="T211" s="76">
        <f>J577</f>
        <v>0</v>
      </c>
      <c r="U211" s="76">
        <f>J578</f>
        <v>0</v>
      </c>
      <c r="V211" s="76">
        <f>J579</f>
        <v>0.2346941488143626</v>
      </c>
      <c r="W211" s="76">
        <f>J580</f>
        <v>1.2036571232392483</v>
      </c>
      <c r="X211" s="76">
        <f>J581</f>
        <v>0.80031394419396396</v>
      </c>
      <c r="AD211" s="51"/>
      <c r="AE211" s="51"/>
      <c r="AJ211" t="s">
        <v>633</v>
      </c>
      <c r="AK211">
        <v>16</v>
      </c>
      <c r="AL211" s="1">
        <v>494.46</v>
      </c>
      <c r="AM211" s="1">
        <v>154.91999999999999</v>
      </c>
      <c r="AN211">
        <v>3819.08</v>
      </c>
      <c r="AO211">
        <v>15062.91</v>
      </c>
      <c r="AP211">
        <v>5115.88</v>
      </c>
      <c r="AR211" s="1">
        <v>554.04999999999995</v>
      </c>
      <c r="AS211" s="1">
        <v>2271.7199999999998</v>
      </c>
      <c r="AT211" s="1">
        <v>55513.91</v>
      </c>
      <c r="AU211" s="1">
        <v>30460.32</v>
      </c>
      <c r="AV211" s="1">
        <v>7784.15</v>
      </c>
      <c r="BF211" s="51"/>
      <c r="BG211" s="1"/>
    </row>
    <row r="212" spans="1:59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136.51732018706304</v>
      </c>
      <c r="E212" s="18">
        <f>E207*E207*(SUM((H200*E200*(1-E189/H189))/(H189-1),(H201*E201*(1-E190/H190))/(H190-1), (H203*E203*(1-E192/H192))/(H192-1),(H204*E204*(1-E193/H193))/(H193-1)))</f>
        <v>500.64225396372296</v>
      </c>
      <c r="F212" s="18">
        <f>F207*F207*(SUM((H200*F200*(1-F189/H189))/(H189-1),(H201*F201*(1-F190/H190))/(H190-1), (H202*F202*(1-F191/H191))/(H191-1),(H204*F204*(1-F193/H193))/(H193-1)))</f>
        <v>170.64097616713028</v>
      </c>
      <c r="G212" s="18">
        <f>G207*G207*(SUM((H200*G200*(1-G189/H189))/(H189-1),(H201*G201*(1-G190/H190))/(H190-1), (H202*G202*(1-G191/H191))/(H191-1),(H203*G203*(1-G192/H192))/(H192-1)))</f>
        <v>614.62002389706925</v>
      </c>
      <c r="S212" s="66" t="s">
        <v>51</v>
      </c>
      <c r="T212" s="67">
        <f>N566*100</f>
        <v>100</v>
      </c>
      <c r="U212" s="67">
        <f>N567*100</f>
        <v>96.610169491525426</v>
      </c>
      <c r="V212" s="67">
        <f>N568*100</f>
        <v>97.282968853545398</v>
      </c>
      <c r="W212" s="67">
        <f>N569*100</f>
        <v>90.643776824034333</v>
      </c>
      <c r="X212" s="67">
        <f>N570*100</f>
        <v>94.944388270980795</v>
      </c>
      <c r="AD212" s="51"/>
      <c r="AE212" s="51"/>
      <c r="AH212" s="78"/>
      <c r="AI212" s="78"/>
      <c r="AJ212" t="s">
        <v>633</v>
      </c>
      <c r="AK212">
        <v>17</v>
      </c>
      <c r="AL212" s="1">
        <v>551.44000000000005</v>
      </c>
      <c r="AM212" s="1">
        <v>152.68</v>
      </c>
      <c r="AN212">
        <v>3727.68</v>
      </c>
      <c r="AO212">
        <v>15070.93</v>
      </c>
      <c r="AP212">
        <v>5144.51</v>
      </c>
      <c r="AR212" s="1">
        <v>588.08000000000004</v>
      </c>
      <c r="AS212" s="1">
        <v>2477.5</v>
      </c>
      <c r="AT212" s="1">
        <v>55117.760000000002</v>
      </c>
      <c r="AU212" s="1">
        <v>30793.35</v>
      </c>
      <c r="AV212" s="1">
        <v>7607.46</v>
      </c>
      <c r="BF212" s="51"/>
      <c r="BG212" s="1"/>
    </row>
    <row r="213" spans="1:59" x14ac:dyDescent="0.3">
      <c r="A213" s="105" t="s">
        <v>645</v>
      </c>
      <c r="B213" s="69" t="s">
        <v>9</v>
      </c>
      <c r="C213" s="1">
        <v>288.45999999999998</v>
      </c>
      <c r="D213" s="1">
        <v>2392.6999999999998</v>
      </c>
      <c r="E213" s="1">
        <v>16230.69</v>
      </c>
      <c r="F213">
        <v>2062</v>
      </c>
      <c r="G213">
        <v>1171.0899999999999</v>
      </c>
      <c r="I213" t="s">
        <v>36</v>
      </c>
      <c r="J213" s="57">
        <f>SUM(C213:G213)</f>
        <v>22144.94</v>
      </c>
      <c r="R213" s="16" t="s">
        <v>61</v>
      </c>
      <c r="S213" t="s">
        <v>9</v>
      </c>
      <c r="T213" s="1">
        <f>N577</f>
        <v>330.44</v>
      </c>
      <c r="U213" s="1">
        <f>N578</f>
        <v>1981.08</v>
      </c>
      <c r="V213" s="1">
        <f>N579</f>
        <v>55652.62</v>
      </c>
      <c r="W213" s="1">
        <f>N580</f>
        <v>30835.67</v>
      </c>
      <c r="X213" s="1">
        <f>N581</f>
        <v>7784.34</v>
      </c>
      <c r="Z213" t="s">
        <v>36</v>
      </c>
      <c r="AA213" s="1">
        <f>N582</f>
        <v>96584.15</v>
      </c>
      <c r="AD213" s="51"/>
      <c r="AE213" s="51"/>
      <c r="AJ213" t="s">
        <v>633</v>
      </c>
      <c r="AK213">
        <v>18</v>
      </c>
      <c r="AL213" s="1">
        <v>556.01</v>
      </c>
      <c r="AM213" s="1">
        <v>170.64</v>
      </c>
      <c r="AN213">
        <v>3585.15</v>
      </c>
      <c r="AO213">
        <v>15404.85</v>
      </c>
      <c r="AP213">
        <v>4930.59</v>
      </c>
      <c r="AR213" s="1">
        <v>603.91999999999996</v>
      </c>
      <c r="AS213" s="1">
        <v>2580.3000000000002</v>
      </c>
      <c r="AT213" s="1">
        <v>54275.51</v>
      </c>
      <c r="AU213" s="1">
        <v>31587.919999999998</v>
      </c>
      <c r="AV213" s="1">
        <v>7536.51</v>
      </c>
      <c r="BF213" s="51"/>
      <c r="BG213" s="1"/>
    </row>
    <row r="214" spans="1:59" ht="15.6" x14ac:dyDescent="0.35">
      <c r="B214" t="s">
        <v>367</v>
      </c>
      <c r="C214" s="57">
        <f>(C213/$J213)*100</f>
        <v>1.3026000522015413</v>
      </c>
      <c r="D214" s="57">
        <f>(D213/$J213)*100</f>
        <v>10.804725594198946</v>
      </c>
      <c r="E214" s="57">
        <f>(E213/$J213)*100</f>
        <v>73.292996052371336</v>
      </c>
      <c r="F214" s="57">
        <f>(F213/$J213)*100</f>
        <v>9.3113821938555716</v>
      </c>
      <c r="G214" s="57">
        <f>(G213/$J213)*100</f>
        <v>5.2882961073726094</v>
      </c>
      <c r="R214" s="16" t="s">
        <v>318</v>
      </c>
      <c r="S214" t="s">
        <v>63</v>
      </c>
      <c r="T214" s="57">
        <f>$AA213*T206/100</f>
        <v>330.44</v>
      </c>
      <c r="U214" s="57">
        <f>$AA213*U206/100</f>
        <v>2193.0090034364262</v>
      </c>
      <c r="V214" s="57">
        <f>$AA213*V206/100</f>
        <v>56669.863543973042</v>
      </c>
      <c r="W214" s="57">
        <f>$AA213*W206/100</f>
        <v>28534.543212501412</v>
      </c>
      <c r="X214" s="57">
        <f>$AA213*X206/100</f>
        <v>8856.2942400891152</v>
      </c>
      <c r="Z214" t="s">
        <v>36</v>
      </c>
      <c r="AA214" s="25">
        <f>SUM(T214:X214)</f>
        <v>96584.150000000009</v>
      </c>
      <c r="AD214" s="51"/>
      <c r="AE214" s="51"/>
      <c r="AH214" s="78"/>
      <c r="AI214" s="78"/>
      <c r="AJ214" t="s">
        <v>633</v>
      </c>
      <c r="AK214">
        <v>19</v>
      </c>
      <c r="AL214" s="1">
        <v>280.39999999999998</v>
      </c>
      <c r="AM214" s="1">
        <v>104.69</v>
      </c>
      <c r="AN214">
        <v>3825.17</v>
      </c>
      <c r="AO214">
        <v>15268.11</v>
      </c>
      <c r="AP214">
        <v>5168.87</v>
      </c>
      <c r="AR214" s="1">
        <v>330.44</v>
      </c>
      <c r="AS214" s="1">
        <v>1981.08</v>
      </c>
      <c r="AT214" s="1">
        <v>55652.62</v>
      </c>
      <c r="AU214" s="1">
        <v>30835.67</v>
      </c>
      <c r="AV214" s="1">
        <v>7784.34</v>
      </c>
      <c r="BF214" s="51"/>
      <c r="BG214" s="1"/>
    </row>
    <row r="215" spans="1:59" x14ac:dyDescent="0.3">
      <c r="A215" s="348" t="s">
        <v>369</v>
      </c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 t="s">
        <v>80</v>
      </c>
      <c r="M215" s="348"/>
      <c r="N215" s="348"/>
      <c r="O215" s="348"/>
      <c r="P215" s="348"/>
      <c r="R215" s="66"/>
      <c r="S215" s="66" t="s">
        <v>62</v>
      </c>
      <c r="T215" s="67">
        <f>$AA213*T207/100</f>
        <v>0</v>
      </c>
      <c r="U215" s="67">
        <f>$AA213*U207/100</f>
        <v>105.59973470901008</v>
      </c>
      <c r="V215" s="67">
        <f>$AA213*V207/100</f>
        <v>273.5945273261554</v>
      </c>
      <c r="W215" s="67">
        <f>$AA213*W207/100</f>
        <v>389.72044453692308</v>
      </c>
      <c r="X215" s="67">
        <f>$AA213*X207/100</f>
        <v>294.82508980150686</v>
      </c>
      <c r="AA215" s="1"/>
      <c r="AD215" s="51"/>
      <c r="AE215" s="51"/>
      <c r="AL215" s="1"/>
      <c r="AM215" s="1"/>
      <c r="AN215" s="1"/>
      <c r="AO215" s="1"/>
      <c r="AP215" s="1"/>
      <c r="AQ215" t="s">
        <v>644</v>
      </c>
      <c r="BF215" s="51"/>
      <c r="BG215" s="1"/>
    </row>
    <row r="216" spans="1:59" x14ac:dyDescent="0.3">
      <c r="A216" t="s">
        <v>315</v>
      </c>
      <c r="B216" t="s">
        <v>21</v>
      </c>
      <c r="I216" s="1" t="s">
        <v>53</v>
      </c>
      <c r="O216" s="350" t="s">
        <v>377</v>
      </c>
      <c r="P216" s="350"/>
      <c r="AH216" s="78"/>
      <c r="AI216" s="78"/>
      <c r="AJ216" t="s">
        <v>644</v>
      </c>
      <c r="AK216">
        <v>0</v>
      </c>
      <c r="AL216" s="1">
        <v>1.0900000000000001</v>
      </c>
      <c r="AM216" s="1">
        <v>12.31</v>
      </c>
      <c r="AN216">
        <v>1128.48</v>
      </c>
      <c r="AO216">
        <v>290.97000000000003</v>
      </c>
      <c r="AP216">
        <v>29.37</v>
      </c>
      <c r="AQ216" s="1"/>
      <c r="AR216" s="1">
        <v>1.71</v>
      </c>
      <c r="AS216" s="1">
        <v>538.58000000000004</v>
      </c>
      <c r="AT216">
        <v>4967.01</v>
      </c>
      <c r="AU216">
        <v>562.53</v>
      </c>
      <c r="AV216">
        <v>154.44999999999999</v>
      </c>
      <c r="BF216" s="51"/>
      <c r="BG216" s="1"/>
    </row>
    <row r="217" spans="1:59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51</v>
      </c>
      <c r="O217" s="13" t="s">
        <v>644</v>
      </c>
      <c r="P217" s="13" t="s">
        <v>633</v>
      </c>
      <c r="AJ217" t="s">
        <v>644</v>
      </c>
      <c r="AK217">
        <v>1</v>
      </c>
      <c r="AL217" s="1">
        <v>1.48</v>
      </c>
      <c r="AM217" s="1">
        <v>14.29</v>
      </c>
      <c r="AN217">
        <v>1123.54</v>
      </c>
      <c r="AO217">
        <v>298.05</v>
      </c>
      <c r="AP217">
        <v>24.86</v>
      </c>
      <c r="AQ217" s="1"/>
      <c r="AR217" s="1">
        <v>2.34</v>
      </c>
      <c r="AS217" s="1">
        <v>508.25</v>
      </c>
      <c r="AT217">
        <v>4997.97</v>
      </c>
      <c r="AU217">
        <v>582.96</v>
      </c>
      <c r="AV217">
        <v>132.76</v>
      </c>
      <c r="BF217" s="51"/>
      <c r="BG217" s="1"/>
    </row>
    <row r="218" spans="1:59" x14ac:dyDescent="0.3">
      <c r="A218" t="s">
        <v>3</v>
      </c>
      <c r="B218" s="13">
        <v>0</v>
      </c>
      <c r="C218" s="26">
        <v>450</v>
      </c>
      <c r="D218" s="3">
        <v>0</v>
      </c>
      <c r="E218" s="3">
        <v>0</v>
      </c>
      <c r="F218" s="3">
        <v>1</v>
      </c>
      <c r="G218" s="4">
        <v>0</v>
      </c>
      <c r="H218" s="1">
        <f>SUM(C218:G218)</f>
        <v>451</v>
      </c>
      <c r="I218" s="10">
        <f>C218/H218</f>
        <v>0.99778270509977829</v>
      </c>
      <c r="J218" s="11">
        <f>1-I218</f>
        <v>2.2172949002217113E-3</v>
      </c>
      <c r="K218">
        <f>H218-C223</f>
        <v>1</v>
      </c>
      <c r="N218" s="10">
        <f>2*(C224*I218)/(C224+I218)</f>
        <v>0.99889012208657046</v>
      </c>
      <c r="O218" s="1"/>
      <c r="P218" s="1"/>
      <c r="R218" s="66"/>
      <c r="S218" s="66"/>
      <c r="T218" s="66"/>
      <c r="U218" s="66"/>
      <c r="V218" s="66"/>
      <c r="W218" s="66"/>
      <c r="X218" s="66"/>
      <c r="AH218" s="78"/>
      <c r="AI218" s="78"/>
      <c r="AJ218" t="s">
        <v>644</v>
      </c>
      <c r="AK218">
        <v>2</v>
      </c>
      <c r="AL218" s="1">
        <v>1.0900000000000001</v>
      </c>
      <c r="AM218" s="1">
        <v>15.09</v>
      </c>
      <c r="AN218">
        <v>1125.17</v>
      </c>
      <c r="AO218">
        <v>291.56</v>
      </c>
      <c r="AP218">
        <v>29.31</v>
      </c>
      <c r="AQ218" s="1"/>
      <c r="AR218" s="1">
        <v>1.89</v>
      </c>
      <c r="AS218" s="1">
        <v>527.6</v>
      </c>
      <c r="AT218">
        <v>4983.93</v>
      </c>
      <c r="AU218">
        <v>564.15</v>
      </c>
      <c r="AV218">
        <v>146.71</v>
      </c>
      <c r="BF218" s="51"/>
      <c r="BG218" s="1"/>
    </row>
    <row r="219" spans="1:59" x14ac:dyDescent="0.3">
      <c r="A219" t="s">
        <v>4</v>
      </c>
      <c r="B219" s="13">
        <v>1</v>
      </c>
      <c r="C219" s="5">
        <v>0</v>
      </c>
      <c r="D219" s="27">
        <v>56</v>
      </c>
      <c r="E219" s="1">
        <v>1</v>
      </c>
      <c r="F219" s="1">
        <v>0</v>
      </c>
      <c r="G219" s="6">
        <v>0</v>
      </c>
      <c r="H219" s="1">
        <f>SUM(C219:G219)</f>
        <v>57</v>
      </c>
      <c r="I219" s="10">
        <f>D219/H219</f>
        <v>0.98245614035087714</v>
      </c>
      <c r="J219" s="11">
        <f>1-I219</f>
        <v>1.7543859649122862E-2</v>
      </c>
      <c r="K219">
        <f>H219-D223</f>
        <v>-4</v>
      </c>
      <c r="N219" s="10">
        <f>2*(D224*I219)/(D224+I219)</f>
        <v>0.94915254237288127</v>
      </c>
      <c r="O219" s="1"/>
      <c r="P219" s="1"/>
      <c r="R219" t="s">
        <v>348</v>
      </c>
      <c r="S219" t="s">
        <v>28</v>
      </c>
      <c r="T219" s="57">
        <f>AVERAGE(T16,T26,T36,T46,T56,T66,T76,T86,T96,T106,T116,T126,T136,T146,T156,T166,T176,T186,T196,T206)</f>
        <v>0.53937446610851658</v>
      </c>
      <c r="U219" s="57">
        <f>AVERAGE(U16,U26,U36,U46,U56,U66,U76,U86,U96,U106,U116,U126,U136,U146,U156,U166,U176,U186,U196,U206)</f>
        <v>2.5757887651226006</v>
      </c>
      <c r="V219" s="57">
        <f>AVERAGE(V16,V26,V36,V46,V56,V66,V76,V86,V96,V106,V116,V126,V136,V146,V156,V166,V176,V186,V196,V206)</f>
        <v>57.734174129521897</v>
      </c>
      <c r="W219" s="57">
        <f>AVERAGE(W16,W26,W36,W46,W56,W66,W76,W86,W96,W106,W116,W126,W136,W146,W156,W166,W176,W186,W196,W206)</f>
        <v>30.381691576806968</v>
      </c>
      <c r="X219" s="57">
        <f>AVERAGE(X16,X26,X36,X46,X56,X66,X76,X86,X96,X106,X116,X126,X136,X146,X156,X166,X176,X186,X196,X206)</f>
        <v>8.7689710624400057</v>
      </c>
      <c r="AJ219" t="s">
        <v>644</v>
      </c>
      <c r="AK219">
        <v>3</v>
      </c>
      <c r="AL219" s="1">
        <v>1</v>
      </c>
      <c r="AM219" s="1">
        <v>14.14</v>
      </c>
      <c r="AN219">
        <v>1121.2</v>
      </c>
      <c r="AO219">
        <v>296.12</v>
      </c>
      <c r="AP219">
        <v>29.76</v>
      </c>
      <c r="AQ219" s="1"/>
      <c r="AR219" s="1">
        <v>1.53</v>
      </c>
      <c r="AS219" s="1">
        <v>562.52</v>
      </c>
      <c r="AT219">
        <v>4926.78</v>
      </c>
      <c r="AU219">
        <v>580.98</v>
      </c>
      <c r="AV219">
        <v>152.47</v>
      </c>
      <c r="BF219" s="51"/>
      <c r="BG219" s="1"/>
    </row>
    <row r="220" spans="1:59" x14ac:dyDescent="0.3">
      <c r="A220" t="s">
        <v>5</v>
      </c>
      <c r="B220" s="13">
        <v>2</v>
      </c>
      <c r="C220" s="5">
        <v>0</v>
      </c>
      <c r="D220" s="1">
        <v>0</v>
      </c>
      <c r="E220" s="27">
        <v>734</v>
      </c>
      <c r="F220" s="1">
        <v>2</v>
      </c>
      <c r="G220" s="6">
        <v>1</v>
      </c>
      <c r="H220" s="1">
        <f>SUM(C220:G220)</f>
        <v>737</v>
      </c>
      <c r="I220" s="10">
        <f>E220/H220</f>
        <v>0.99592944369063774</v>
      </c>
      <c r="J220" s="11">
        <f>1-I220</f>
        <v>4.070556309362261E-3</v>
      </c>
      <c r="K220">
        <f>H220-E223</f>
        <v>-35</v>
      </c>
      <c r="N220" s="10">
        <f>2*(E224*I220)/(E224+I220)</f>
        <v>0.97282968853545393</v>
      </c>
      <c r="O220" s="1"/>
      <c r="P220" s="1"/>
      <c r="S220" s="66" t="s">
        <v>39</v>
      </c>
      <c r="T220" s="67">
        <f t="shared" ref="T220:X228" si="45">AVERAGE(T17,T27,T37,T47,T57,T67,T77,T87,T97,T107,T117,T127,T137,T147,T157,T167,T177,T187,T197,T207)</f>
        <v>2.7640388029813688E-3</v>
      </c>
      <c r="U220" s="67">
        <f t="shared" si="45"/>
        <v>0.12775198310124669</v>
      </c>
      <c r="V220" s="67">
        <f t="shared" si="45"/>
        <v>0.30766535960139552</v>
      </c>
      <c r="W220" s="67">
        <f t="shared" si="45"/>
        <v>0.41743934903682584</v>
      </c>
      <c r="X220" s="67">
        <f t="shared" si="45"/>
        <v>0.28932604823262309</v>
      </c>
      <c r="AC220" t="s">
        <v>118</v>
      </c>
      <c r="AD220" t="s">
        <v>157</v>
      </c>
      <c r="AE220" t="s">
        <v>119</v>
      </c>
      <c r="AH220" s="78"/>
      <c r="AI220" s="78"/>
      <c r="AJ220" t="s">
        <v>644</v>
      </c>
      <c r="AK220">
        <v>4</v>
      </c>
      <c r="AL220" s="1">
        <v>1.0900000000000001</v>
      </c>
      <c r="AM220" s="1">
        <v>14.24</v>
      </c>
      <c r="AN220">
        <v>1128.8800000000001</v>
      </c>
      <c r="AO220">
        <v>289.75</v>
      </c>
      <c r="AP220">
        <v>28.25</v>
      </c>
      <c r="AQ220" s="1"/>
      <c r="AR220" s="1">
        <v>1.89</v>
      </c>
      <c r="AS220" s="1">
        <v>516.98</v>
      </c>
      <c r="AT220">
        <v>4999.7700000000004</v>
      </c>
      <c r="AU220">
        <v>556.4</v>
      </c>
      <c r="AV220">
        <v>149.22999999999999</v>
      </c>
      <c r="BF220" s="51"/>
      <c r="BG220" s="1"/>
    </row>
    <row r="221" spans="1:59" x14ac:dyDescent="0.3">
      <c r="A221" t="s">
        <v>6</v>
      </c>
      <c r="B221" s="13">
        <v>3</v>
      </c>
      <c r="C221" s="5">
        <v>0</v>
      </c>
      <c r="D221" s="1">
        <v>5</v>
      </c>
      <c r="E221" s="1">
        <v>20</v>
      </c>
      <c r="F221" s="27">
        <v>525</v>
      </c>
      <c r="G221" s="6">
        <v>32</v>
      </c>
      <c r="H221" s="1">
        <f>SUM(C221:G221)</f>
        <v>582</v>
      </c>
      <c r="I221" s="10">
        <f>F221/H221</f>
        <v>0.90206185567010311</v>
      </c>
      <c r="J221" s="11">
        <f>1-I221</f>
        <v>9.7938144329896892E-2</v>
      </c>
      <c r="K221">
        <f>H221-F223</f>
        <v>-6</v>
      </c>
      <c r="N221" s="10">
        <f>2*(F224*I221)/(F224+I221)</f>
        <v>0.89743589743589747</v>
      </c>
      <c r="O221" s="1"/>
      <c r="P221" s="1"/>
      <c r="S221" t="s">
        <v>30</v>
      </c>
      <c r="T221" s="57">
        <f t="shared" si="45"/>
        <v>99.568449752352834</v>
      </c>
      <c r="U221" s="57">
        <f t="shared" si="45"/>
        <v>88.468233104715168</v>
      </c>
      <c r="V221" s="57">
        <f t="shared" si="45"/>
        <v>97.927020121640055</v>
      </c>
      <c r="W221" s="57">
        <f t="shared" si="45"/>
        <v>96.741044184987445</v>
      </c>
      <c r="X221" s="57">
        <f t="shared" si="45"/>
        <v>83.369676101791129</v>
      </c>
      <c r="AB221">
        <v>0</v>
      </c>
      <c r="AC221">
        <v>31</v>
      </c>
      <c r="AD221">
        <v>26</v>
      </c>
      <c r="AE221">
        <v>15</v>
      </c>
      <c r="AJ221" t="s">
        <v>644</v>
      </c>
      <c r="AK221">
        <v>5</v>
      </c>
      <c r="AL221" s="1">
        <v>1.48</v>
      </c>
      <c r="AM221" s="1">
        <v>14.29</v>
      </c>
      <c r="AN221">
        <v>1129.49</v>
      </c>
      <c r="AO221">
        <v>292.62</v>
      </c>
      <c r="AP221">
        <v>24.33</v>
      </c>
      <c r="AQ221" s="1"/>
      <c r="AR221" s="1">
        <v>2.34</v>
      </c>
      <c r="AS221" s="1">
        <v>534.79999999999995</v>
      </c>
      <c r="AT221">
        <v>4981.59</v>
      </c>
      <c r="AU221">
        <v>578.46</v>
      </c>
      <c r="AV221">
        <v>127.09</v>
      </c>
      <c r="BF221" s="51"/>
      <c r="BG221" s="1"/>
    </row>
    <row r="222" spans="1:59" x14ac:dyDescent="0.3">
      <c r="A222" t="s">
        <v>7</v>
      </c>
      <c r="B222" s="13">
        <v>4</v>
      </c>
      <c r="C222" s="7">
        <v>0</v>
      </c>
      <c r="D222" s="8">
        <v>0</v>
      </c>
      <c r="E222" s="8">
        <v>17</v>
      </c>
      <c r="F222" s="8">
        <v>60</v>
      </c>
      <c r="G222" s="28">
        <v>932</v>
      </c>
      <c r="H222" s="1">
        <f>SUM(C222:G222)</f>
        <v>1009</v>
      </c>
      <c r="I222" s="10">
        <f>G222/H222</f>
        <v>0.92368681863230917</v>
      </c>
      <c r="J222" s="11">
        <f>1-I222</f>
        <v>7.631318136769083E-2</v>
      </c>
      <c r="K222">
        <f>H222-G223</f>
        <v>44</v>
      </c>
      <c r="N222" s="10">
        <f>2*(G224*I222)/(G224+I222)</f>
        <v>0.94427558257345501</v>
      </c>
      <c r="O222" s="1"/>
      <c r="P222" s="1"/>
      <c r="S222" s="66" t="s">
        <v>39</v>
      </c>
      <c r="T222" s="67">
        <f t="shared" si="45"/>
        <v>0.39430312439830256</v>
      </c>
      <c r="U222" s="67">
        <f t="shared" si="45"/>
        <v>4.4053118685645671</v>
      </c>
      <c r="V222" s="67">
        <f t="shared" si="45"/>
        <v>0.41419725731265056</v>
      </c>
      <c r="W222" s="67">
        <f t="shared" si="45"/>
        <v>0.70249498228105911</v>
      </c>
      <c r="X222" s="67">
        <f t="shared" si="45"/>
        <v>2.9971808850658053</v>
      </c>
      <c r="AB222">
        <v>1</v>
      </c>
      <c r="AC222">
        <v>60</v>
      </c>
      <c r="AD222">
        <v>55</v>
      </c>
      <c r="AE222">
        <v>44</v>
      </c>
      <c r="AH222" s="78"/>
      <c r="AI222" s="78"/>
      <c r="AJ222" t="s">
        <v>644</v>
      </c>
      <c r="AK222">
        <v>6</v>
      </c>
      <c r="AL222" s="1">
        <v>1.48</v>
      </c>
      <c r="AM222" s="1">
        <v>15.81</v>
      </c>
      <c r="AN222">
        <v>1129.96</v>
      </c>
      <c r="AO222">
        <v>287.02</v>
      </c>
      <c r="AP222">
        <v>27.94</v>
      </c>
      <c r="AQ222" s="1"/>
      <c r="AR222" s="1">
        <v>2.34</v>
      </c>
      <c r="AS222" s="1">
        <v>535.42999999999995</v>
      </c>
      <c r="AT222">
        <v>4988.25</v>
      </c>
      <c r="AU222">
        <v>554.15</v>
      </c>
      <c r="AV222">
        <v>144.1</v>
      </c>
      <c r="BF222" s="51"/>
      <c r="BG222" s="1"/>
    </row>
    <row r="223" spans="1:59" ht="15.6" x14ac:dyDescent="0.35">
      <c r="B223" s="1" t="s">
        <v>19</v>
      </c>
      <c r="C223" s="1">
        <f>SUM(C218:C222)</f>
        <v>450</v>
      </c>
      <c r="D223" s="1">
        <f>SUM(D218:D222)</f>
        <v>61</v>
      </c>
      <c r="E223" s="1">
        <f>SUM(E218:E222)</f>
        <v>772</v>
      </c>
      <c r="F223" s="1">
        <f>SUM(F218:F222)</f>
        <v>588</v>
      </c>
      <c r="G223" s="1">
        <f>SUM(G218:G222)</f>
        <v>965</v>
      </c>
      <c r="H223" s="1">
        <f>SUM(H217:H222)</f>
        <v>2836</v>
      </c>
      <c r="I223" s="13" t="s">
        <v>12</v>
      </c>
      <c r="N223" s="16" t="s">
        <v>36</v>
      </c>
      <c r="O223" s="1">
        <f>SUM(O218:O222)</f>
        <v>0</v>
      </c>
      <c r="P223" s="1">
        <f>SUM(P218:P222)</f>
        <v>0</v>
      </c>
      <c r="S223" s="15" t="s">
        <v>31</v>
      </c>
      <c r="T223" s="71">
        <f t="shared" si="45"/>
        <v>99.988913525498887</v>
      </c>
      <c r="U223" s="71">
        <f t="shared" si="45"/>
        <v>99.824561403508767</v>
      </c>
      <c r="V223" s="71">
        <f t="shared" si="45"/>
        <v>99.124830393487102</v>
      </c>
      <c r="W223" s="71">
        <f t="shared" si="45"/>
        <v>91.443298969072146</v>
      </c>
      <c r="X223" s="71">
        <f t="shared" si="45"/>
        <v>91.209117938553021</v>
      </c>
      <c r="AB223">
        <v>2</v>
      </c>
      <c r="AC223">
        <v>89</v>
      </c>
      <c r="AD223">
        <v>84</v>
      </c>
      <c r="AE223">
        <v>73</v>
      </c>
      <c r="AJ223" t="s">
        <v>644</v>
      </c>
      <c r="AK223">
        <v>7</v>
      </c>
      <c r="AL223" s="1">
        <v>0.82</v>
      </c>
      <c r="AM223" s="1">
        <v>12.46</v>
      </c>
      <c r="AN223">
        <v>1122.6300000000001</v>
      </c>
      <c r="AO223">
        <v>298.27999999999997</v>
      </c>
      <c r="AP223">
        <v>28.02</v>
      </c>
      <c r="AQ223" s="1"/>
      <c r="AR223" s="1">
        <v>1.44</v>
      </c>
      <c r="AS223" s="1">
        <v>503.75</v>
      </c>
      <c r="AT223">
        <v>4992.93</v>
      </c>
      <c r="AU223">
        <v>575.04</v>
      </c>
      <c r="AV223">
        <v>151.12</v>
      </c>
      <c r="BF223" s="51"/>
      <c r="BG223" s="1"/>
    </row>
    <row r="224" spans="1:59" x14ac:dyDescent="0.3">
      <c r="A224" s="1" t="s">
        <v>316</v>
      </c>
      <c r="B224" s="1" t="s">
        <v>2</v>
      </c>
      <c r="C224" s="10">
        <f>C218/C223</f>
        <v>1</v>
      </c>
      <c r="D224" s="10">
        <f>D219/D223</f>
        <v>0.91803278688524592</v>
      </c>
      <c r="E224" s="10">
        <f>E220/E223</f>
        <v>0.95077720207253891</v>
      </c>
      <c r="F224" s="10">
        <f>F221/F223</f>
        <v>0.8928571428571429</v>
      </c>
      <c r="G224" s="10">
        <f>G222/G223</f>
        <v>0.96580310880829012</v>
      </c>
      <c r="H224" s="10"/>
      <c r="I224" s="14">
        <f>(C218+D219+E220+F221+G222)/H223</f>
        <v>0.95098730606488013</v>
      </c>
      <c r="S224" s="75" t="s">
        <v>39</v>
      </c>
      <c r="T224" s="76">
        <f t="shared" si="45"/>
        <v>1.1086474501108581E-2</v>
      </c>
      <c r="U224" s="76">
        <f t="shared" si="45"/>
        <v>0.17543859649122809</v>
      </c>
      <c r="V224" s="76">
        <f t="shared" si="45"/>
        <v>0.32903950316721869</v>
      </c>
      <c r="W224" s="76">
        <f t="shared" si="45"/>
        <v>1.1595690774681799</v>
      </c>
      <c r="X224" s="76">
        <f t="shared" si="45"/>
        <v>0.8837909868716245</v>
      </c>
      <c r="AB224">
        <v>3</v>
      </c>
      <c r="AC224">
        <v>118</v>
      </c>
      <c r="AD224">
        <v>113</v>
      </c>
      <c r="AE224">
        <v>102</v>
      </c>
      <c r="AH224" s="78"/>
      <c r="AI224" s="78"/>
      <c r="AJ224" t="s">
        <v>644</v>
      </c>
      <c r="AK224">
        <v>8</v>
      </c>
      <c r="AL224" s="1">
        <v>1.18</v>
      </c>
      <c r="AM224" s="1">
        <v>18.059999999999999</v>
      </c>
      <c r="AN224">
        <v>1123</v>
      </c>
      <c r="AO224">
        <v>290.17</v>
      </c>
      <c r="AP224">
        <v>29.8</v>
      </c>
      <c r="AQ224" s="1"/>
      <c r="AR224" s="1">
        <v>1.98</v>
      </c>
      <c r="AS224" s="1">
        <v>545.24</v>
      </c>
      <c r="AT224">
        <v>4963.32</v>
      </c>
      <c r="AU224">
        <v>564.87</v>
      </c>
      <c r="AV224">
        <v>148.87</v>
      </c>
      <c r="BF224" s="51"/>
      <c r="BG224" s="1"/>
    </row>
    <row r="225" spans="1:59" x14ac:dyDescent="0.3">
      <c r="B225" s="1" t="s">
        <v>14</v>
      </c>
      <c r="C225" s="11">
        <f>1-C224</f>
        <v>0</v>
      </c>
      <c r="D225" s="11">
        <f>1-D224</f>
        <v>8.1967213114754078E-2</v>
      </c>
      <c r="E225" s="11">
        <f>1-E224</f>
        <v>4.9222797927461093E-2</v>
      </c>
      <c r="F225" s="11">
        <f>1-F224</f>
        <v>0.1071428571428571</v>
      </c>
      <c r="G225" s="11">
        <f>1-G224</f>
        <v>3.4196891191709877E-2</v>
      </c>
      <c r="S225" s="66" t="s">
        <v>51</v>
      </c>
      <c r="T225" s="67">
        <f t="shared" si="45"/>
        <v>99.988913511872497</v>
      </c>
      <c r="U225" s="67">
        <f t="shared" si="45"/>
        <v>95.396116829181295</v>
      </c>
      <c r="V225" s="67">
        <f t="shared" si="45"/>
        <v>97.202230020865514</v>
      </c>
      <c r="W225" s="67">
        <f t="shared" si="45"/>
        <v>89.306206695735412</v>
      </c>
      <c r="X225" s="67">
        <f t="shared" si="45"/>
        <v>94.118629485295287</v>
      </c>
      <c r="AB225">
        <v>4</v>
      </c>
      <c r="AC225">
        <v>147</v>
      </c>
      <c r="AD225">
        <v>142</v>
      </c>
      <c r="AE225">
        <v>131</v>
      </c>
      <c r="AJ225" t="s">
        <v>644</v>
      </c>
      <c r="AK225">
        <v>9</v>
      </c>
      <c r="AL225" s="1">
        <v>1.0900000000000001</v>
      </c>
      <c r="AM225" s="1">
        <v>11.61</v>
      </c>
      <c r="AN225">
        <v>1130.1600000000001</v>
      </c>
      <c r="AO225">
        <v>291.29000000000002</v>
      </c>
      <c r="AP225">
        <v>28.07</v>
      </c>
      <c r="AR225" s="1">
        <v>1.8</v>
      </c>
      <c r="AS225" s="1">
        <v>485.21</v>
      </c>
      <c r="AT225">
        <v>5021.91</v>
      </c>
      <c r="AU225">
        <v>569.82000000000005</v>
      </c>
      <c r="AV225">
        <v>145.54</v>
      </c>
      <c r="BF225" s="51"/>
      <c r="BG225" s="1"/>
    </row>
    <row r="226" spans="1:59" x14ac:dyDescent="0.3">
      <c r="C226" s="2"/>
      <c r="R226" s="16" t="s">
        <v>61</v>
      </c>
      <c r="S226" t="s">
        <v>9</v>
      </c>
      <c r="T226" s="1">
        <f t="shared" si="45"/>
        <v>518.38849999999991</v>
      </c>
      <c r="U226" s="1">
        <f t="shared" si="45"/>
        <v>2203.2530000000002</v>
      </c>
      <c r="V226" s="1">
        <f t="shared" si="45"/>
        <v>55087.030500000008</v>
      </c>
      <c r="W226" s="1">
        <f t="shared" si="45"/>
        <v>31037.160500000005</v>
      </c>
      <c r="X226" s="1">
        <f t="shared" si="45"/>
        <v>7738.3274999999994</v>
      </c>
      <c r="AB226">
        <v>5</v>
      </c>
      <c r="AC226">
        <v>176</v>
      </c>
      <c r="AD226">
        <v>171</v>
      </c>
      <c r="AE226">
        <v>160</v>
      </c>
      <c r="AH226" s="78"/>
      <c r="AI226" s="78"/>
      <c r="AJ226" t="s">
        <v>644</v>
      </c>
      <c r="AK226">
        <v>10</v>
      </c>
      <c r="AL226" s="1">
        <v>1.18</v>
      </c>
      <c r="AM226" s="1">
        <v>16.27</v>
      </c>
      <c r="AN226">
        <v>1126.06</v>
      </c>
      <c r="AO226">
        <v>292.2</v>
      </c>
      <c r="AP226">
        <v>26.5</v>
      </c>
      <c r="AR226" s="1">
        <v>2.0699999999999998</v>
      </c>
      <c r="AS226" s="1">
        <v>523.19000000000005</v>
      </c>
      <c r="AT226">
        <v>4986.99</v>
      </c>
      <c r="AU226">
        <v>565.5</v>
      </c>
      <c r="AV226">
        <v>146.53</v>
      </c>
      <c r="BF226" s="51"/>
      <c r="BG226" s="1"/>
    </row>
    <row r="227" spans="1:59" ht="15.6" x14ac:dyDescent="0.35">
      <c r="A227" t="s">
        <v>317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318</v>
      </c>
      <c r="S227" t="s">
        <v>63</v>
      </c>
      <c r="T227" s="57">
        <f>AVERAGE(T24,T34,T44,T54,T64,T74,T84,T94,T104,T114,T124,T134,T144,T154,T164,T174,T184,T194,T204,T214)</f>
        <v>520.95029835188711</v>
      </c>
      <c r="U227" s="57">
        <f t="shared" si="45"/>
        <v>2487.8039412642438</v>
      </c>
      <c r="V227" s="57">
        <f t="shared" si="45"/>
        <v>55762.067101316279</v>
      </c>
      <c r="W227" s="57">
        <f t="shared" si="45"/>
        <v>29343.901620570301</v>
      </c>
      <c r="X227" s="57">
        <f t="shared" si="45"/>
        <v>8469.4370384972826</v>
      </c>
      <c r="AB227">
        <v>6</v>
      </c>
      <c r="AC227">
        <v>205</v>
      </c>
      <c r="AD227">
        <v>200</v>
      </c>
      <c r="AE227">
        <v>189</v>
      </c>
      <c r="AJ227" t="s">
        <v>644</v>
      </c>
      <c r="AK227">
        <v>11</v>
      </c>
      <c r="AL227" s="1">
        <v>1.0900000000000001</v>
      </c>
      <c r="AM227" s="1">
        <v>13.9</v>
      </c>
      <c r="AN227">
        <v>1118.68</v>
      </c>
      <c r="AO227">
        <v>299.20999999999998</v>
      </c>
      <c r="AP227">
        <v>29.32</v>
      </c>
      <c r="AR227" s="1">
        <v>1.98</v>
      </c>
      <c r="AS227" s="1">
        <v>510.23</v>
      </c>
      <c r="AT227">
        <v>4968.2700000000004</v>
      </c>
      <c r="AU227">
        <v>587.91</v>
      </c>
      <c r="AV227">
        <v>155.88999999999999</v>
      </c>
      <c r="BF227" s="51"/>
      <c r="BG227" s="1"/>
    </row>
    <row r="228" spans="1:59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62</v>
      </c>
      <c r="T228" s="67">
        <f>AVERAGE(T25,T35,T45,T55,T65,T75,T85,T95,T105,T115,T125,T135,T145,T155,T165,T175,T185,T195,T205,T215)</f>
        <v>2.6696233892249226</v>
      </c>
      <c r="U228" s="67">
        <f t="shared" si="45"/>
        <v>123.38818009969361</v>
      </c>
      <c r="V228" s="67">
        <f t="shared" si="45"/>
        <v>297.15600363821079</v>
      </c>
      <c r="W228" s="67">
        <f t="shared" si="45"/>
        <v>403.1802891144211</v>
      </c>
      <c r="X228" s="67">
        <f t="shared" si="45"/>
        <v>279.44313320336903</v>
      </c>
      <c r="AB228">
        <v>7</v>
      </c>
      <c r="AC228">
        <v>234</v>
      </c>
      <c r="AD228">
        <v>229</v>
      </c>
      <c r="AE228">
        <v>218</v>
      </c>
      <c r="AI228" s="78"/>
      <c r="AJ228" t="s">
        <v>644</v>
      </c>
      <c r="AK228">
        <v>12</v>
      </c>
      <c r="AL228" s="1">
        <v>1.48</v>
      </c>
      <c r="AM228" s="1">
        <v>12.29</v>
      </c>
      <c r="AN228">
        <v>1126.82</v>
      </c>
      <c r="AO228">
        <v>293.97000000000003</v>
      </c>
      <c r="AP228">
        <v>27.66</v>
      </c>
      <c r="AR228" s="1">
        <v>2.52</v>
      </c>
      <c r="AS228" s="1">
        <v>483.05</v>
      </c>
      <c r="AT228">
        <v>5024.7</v>
      </c>
      <c r="AU228">
        <v>573.78</v>
      </c>
      <c r="AV228">
        <v>140.22999999999999</v>
      </c>
      <c r="BF228" s="51"/>
      <c r="BG228" s="1"/>
    </row>
    <row r="229" spans="1:59" x14ac:dyDescent="0.3">
      <c r="A229" t="s">
        <v>3</v>
      </c>
      <c r="B229" s="13">
        <v>0</v>
      </c>
      <c r="C229" s="29">
        <f>(C218/$L229)*$O229</f>
        <v>0.51313657172160609</v>
      </c>
      <c r="D229" s="31">
        <f>(D218/$L229)*$O229</f>
        <v>0</v>
      </c>
      <c r="E229" s="31">
        <f>(E218/$L229)*$O229</f>
        <v>0</v>
      </c>
      <c r="F229" s="31">
        <f>(F218/$L229)*$O229</f>
        <v>1.1403034927146801E-3</v>
      </c>
      <c r="G229" s="32">
        <f>(G218/$L229)*$O229</f>
        <v>0</v>
      </c>
      <c r="H229" s="17">
        <f>SUM(C229:G229)</f>
        <v>0.51427687521432075</v>
      </c>
      <c r="I229" s="17">
        <f>C229/H229*100</f>
        <v>99.77827050997783</v>
      </c>
      <c r="J229" s="17">
        <f>SQRT(I229*(100-I229)/(L229-1))</f>
        <v>0.2217294900221716</v>
      </c>
      <c r="K229" s="18">
        <f>100-I229</f>
        <v>0.22172949002217024</v>
      </c>
      <c r="L229" s="1">
        <f>H218</f>
        <v>451</v>
      </c>
      <c r="M229">
        <v>0</v>
      </c>
      <c r="N229" s="1">
        <v>496.71</v>
      </c>
      <c r="O229" s="17">
        <f>N229/N234*100</f>
        <v>0.51427687521432075</v>
      </c>
      <c r="P229" s="52">
        <f>((O229*O229*(I229/100)*(K229/100))/(L229-1))</f>
        <v>1.300292055497283E-6</v>
      </c>
      <c r="AB229">
        <v>8</v>
      </c>
      <c r="AC229">
        <v>263</v>
      </c>
      <c r="AD229">
        <v>258</v>
      </c>
      <c r="AE229">
        <v>247</v>
      </c>
      <c r="AH229" s="78"/>
      <c r="AJ229" t="s">
        <v>644</v>
      </c>
      <c r="AK229">
        <v>13</v>
      </c>
      <c r="AL229" s="1">
        <v>1.18</v>
      </c>
      <c r="AM229" s="1">
        <v>12.61</v>
      </c>
      <c r="AN229">
        <v>1139.67</v>
      </c>
      <c r="AO229">
        <v>282.99</v>
      </c>
      <c r="AP229">
        <v>25.76</v>
      </c>
      <c r="AR229" s="1">
        <v>2.16</v>
      </c>
      <c r="AS229" s="1">
        <v>512.75</v>
      </c>
      <c r="AT229">
        <v>5009.22</v>
      </c>
      <c r="AU229">
        <v>547.49</v>
      </c>
      <c r="AV229">
        <v>152.65</v>
      </c>
      <c r="BF229" s="51"/>
      <c r="BG229" s="1"/>
    </row>
    <row r="230" spans="1:59" x14ac:dyDescent="0.3">
      <c r="A230" t="s">
        <v>4</v>
      </c>
      <c r="B230" s="13">
        <v>1</v>
      </c>
      <c r="C230" s="33">
        <f t="shared" ref="C230:G233" si="46">(C219/$L230)*$O230</f>
        <v>0</v>
      </c>
      <c r="D230" s="34">
        <f t="shared" si="46"/>
        <v>2.0909810586208648</v>
      </c>
      <c r="E230" s="19">
        <f t="shared" si="46"/>
        <v>3.7338947475372593E-2</v>
      </c>
      <c r="F230" s="18">
        <f t="shared" si="46"/>
        <v>0</v>
      </c>
      <c r="G230" s="20">
        <f t="shared" si="46"/>
        <v>0</v>
      </c>
      <c r="H230" s="17">
        <f>SUM(C230:G230)</f>
        <v>2.1283200060962373</v>
      </c>
      <c r="I230" s="17">
        <f>D230/H230*100</f>
        <v>98.245614035087726</v>
      </c>
      <c r="J230" s="17">
        <f>SQRT(I230*(100-I230)/(L230-1))</f>
        <v>1.7543859649122773</v>
      </c>
      <c r="K230" s="18">
        <f>100-I230</f>
        <v>1.7543859649122737</v>
      </c>
      <c r="L230" s="1">
        <f>H219</f>
        <v>57</v>
      </c>
      <c r="M230">
        <v>1</v>
      </c>
      <c r="N230" s="1">
        <v>2055.62</v>
      </c>
      <c r="O230" s="17">
        <f>N230/N234*100</f>
        <v>2.1283200060962377</v>
      </c>
      <c r="P230" s="52">
        <f>((O230*O230*(I230/100)*(K230/100))/(L230-1))</f>
        <v>1.3941969985686276E-3</v>
      </c>
      <c r="S230" t="s">
        <v>64</v>
      </c>
      <c r="T230" s="1" t="s">
        <v>639</v>
      </c>
      <c r="U230" s="1" t="s">
        <v>640</v>
      </c>
      <c r="V230" s="1" t="s">
        <v>641</v>
      </c>
      <c r="W230" s="1" t="s">
        <v>642</v>
      </c>
      <c r="X230" s="1" t="s">
        <v>643</v>
      </c>
      <c r="AB230">
        <v>9</v>
      </c>
      <c r="AC230">
        <v>292</v>
      </c>
      <c r="AD230">
        <v>287</v>
      </c>
      <c r="AE230">
        <v>276</v>
      </c>
      <c r="AI230" s="78"/>
      <c r="AJ230" t="s">
        <v>644</v>
      </c>
      <c r="AK230">
        <v>14</v>
      </c>
      <c r="AL230" s="1">
        <v>1.25</v>
      </c>
      <c r="AM230" s="1">
        <v>12.68</v>
      </c>
      <c r="AN230">
        <v>1134.8</v>
      </c>
      <c r="AO230">
        <v>287.60000000000002</v>
      </c>
      <c r="AP230">
        <v>25.89</v>
      </c>
      <c r="AR230" s="1">
        <v>2.16</v>
      </c>
      <c r="AS230" s="1">
        <v>481.97</v>
      </c>
      <c r="AT230">
        <v>5038.29</v>
      </c>
      <c r="AU230">
        <v>554.51</v>
      </c>
      <c r="AV230">
        <v>147.34</v>
      </c>
      <c r="BF230" s="51"/>
      <c r="BG230" s="1"/>
    </row>
    <row r="231" spans="1:59" x14ac:dyDescent="0.3">
      <c r="A231" t="s">
        <v>5</v>
      </c>
      <c r="B231" s="13">
        <v>2</v>
      </c>
      <c r="C231" s="33">
        <f t="shared" si="46"/>
        <v>0</v>
      </c>
      <c r="D231" s="19">
        <f t="shared" si="46"/>
        <v>0</v>
      </c>
      <c r="E231" s="34">
        <f t="shared" si="46"/>
        <v>56.851572541105462</v>
      </c>
      <c r="F231" s="19">
        <f t="shared" si="46"/>
        <v>0.15490891700573695</v>
      </c>
      <c r="G231" s="20">
        <f t="shared" si="46"/>
        <v>7.7454458502868473E-2</v>
      </c>
      <c r="H231" s="17">
        <f>SUM(C231:G231)</f>
        <v>57.083935916614067</v>
      </c>
      <c r="I231" s="17">
        <f>E231/H231*100</f>
        <v>99.592944369063773</v>
      </c>
      <c r="J231" s="17">
        <f>SQRT(I231*(100-I231)/(L231-1))</f>
        <v>0.2346941488143626</v>
      </c>
      <c r="K231" s="18">
        <f>100-I231</f>
        <v>0.40705563093622743</v>
      </c>
      <c r="L231" s="1">
        <f>H220</f>
        <v>737</v>
      </c>
      <c r="M231">
        <v>2</v>
      </c>
      <c r="N231" s="1">
        <v>55134.04</v>
      </c>
      <c r="O231" s="17">
        <f>N231/N234*100</f>
        <v>57.083935916614067</v>
      </c>
      <c r="P231" s="52">
        <f>((O231*O231*(I231/100)*(K231/100))/(L231-1))</f>
        <v>1.7948672960086402E-2</v>
      </c>
      <c r="T231" s="57">
        <f>T24</f>
        <v>575.75</v>
      </c>
      <c r="U231" s="57">
        <f>U24</f>
        <v>2213.0920618556706</v>
      </c>
      <c r="V231" s="57">
        <f>V24</f>
        <v>56127.372411546654</v>
      </c>
      <c r="W231" s="57">
        <f>W24</f>
        <v>29013.610184638939</v>
      </c>
      <c r="X231" s="57">
        <f>X24</f>
        <v>8654.3453419587404</v>
      </c>
      <c r="AB231">
        <v>10</v>
      </c>
      <c r="AC231">
        <v>321</v>
      </c>
      <c r="AD231">
        <v>316</v>
      </c>
      <c r="AE231">
        <v>305</v>
      </c>
      <c r="AH231" s="78"/>
      <c r="AJ231" t="s">
        <v>644</v>
      </c>
      <c r="AK231">
        <v>15</v>
      </c>
      <c r="AL231" s="1">
        <v>1.48</v>
      </c>
      <c r="AM231" s="1">
        <v>12.83</v>
      </c>
      <c r="AN231">
        <v>1124.8699999999999</v>
      </c>
      <c r="AO231">
        <v>299.39</v>
      </c>
      <c r="AP231">
        <v>23.64</v>
      </c>
      <c r="AR231" s="1">
        <v>2.34</v>
      </c>
      <c r="AS231" s="1">
        <v>492.23</v>
      </c>
      <c r="AT231">
        <v>5017.41</v>
      </c>
      <c r="AU231">
        <v>592.23</v>
      </c>
      <c r="AV231">
        <v>120.07</v>
      </c>
      <c r="BF231" s="51"/>
      <c r="BG231" s="1"/>
    </row>
    <row r="232" spans="1:59" x14ac:dyDescent="0.3">
      <c r="A232" t="s">
        <v>6</v>
      </c>
      <c r="B232" s="13">
        <v>3</v>
      </c>
      <c r="C232" s="33">
        <f t="shared" si="46"/>
        <v>0</v>
      </c>
      <c r="D232" s="19">
        <f t="shared" si="46"/>
        <v>0.27697218083745062</v>
      </c>
      <c r="E232" s="19">
        <f t="shared" si="46"/>
        <v>1.1078887233498025</v>
      </c>
      <c r="F232" s="34">
        <f t="shared" si="46"/>
        <v>29.082078987932316</v>
      </c>
      <c r="G232" s="20">
        <f t="shared" si="46"/>
        <v>1.772621957359684</v>
      </c>
      <c r="H232" s="17">
        <f>SUM(C232:G232)</f>
        <v>32.239561849479252</v>
      </c>
      <c r="I232" s="17">
        <f>F232/H232*100</f>
        <v>90.206185567010309</v>
      </c>
      <c r="J232" s="17">
        <f>SQRT(I232*(100-I232)/(L232-1))</f>
        <v>1.2331219507927451</v>
      </c>
      <c r="K232" s="18">
        <f>100-I232</f>
        <v>9.7938144329896915</v>
      </c>
      <c r="L232" s="1">
        <f>H221</f>
        <v>582</v>
      </c>
      <c r="M232">
        <v>3</v>
      </c>
      <c r="N232" s="1">
        <v>31138.31</v>
      </c>
      <c r="O232" s="17">
        <f>N232/N234*100</f>
        <v>32.239561849479252</v>
      </c>
      <c r="P232" s="52">
        <f>((O232*O232*(I232/100)*(K232/100))/(L232-1))</f>
        <v>0.15804847845533662</v>
      </c>
      <c r="T232" s="57">
        <f>T34</f>
        <v>501.93</v>
      </c>
      <c r="U232" s="57">
        <f>U34</f>
        <v>2588.2971134020618</v>
      </c>
      <c r="V232" s="57">
        <f>V34</f>
        <v>55292.934593186037</v>
      </c>
      <c r="W232" s="57">
        <f>W34</f>
        <v>30529.645657297311</v>
      </c>
      <c r="X232" s="57">
        <f>X34</f>
        <v>7671.3626361145953</v>
      </c>
      <c r="AB232">
        <v>11</v>
      </c>
      <c r="AC232">
        <v>350</v>
      </c>
      <c r="AD232">
        <v>345</v>
      </c>
      <c r="AE232">
        <v>334</v>
      </c>
      <c r="AI232" s="78"/>
      <c r="AJ232" t="s">
        <v>644</v>
      </c>
      <c r="AK232">
        <v>16</v>
      </c>
      <c r="AL232" s="1">
        <v>1.25</v>
      </c>
      <c r="AM232" s="1">
        <v>11.1</v>
      </c>
      <c r="AN232">
        <v>1133.04</v>
      </c>
      <c r="AO232">
        <v>289.72000000000003</v>
      </c>
      <c r="AP232">
        <v>27.11</v>
      </c>
      <c r="AQ232" s="1"/>
      <c r="AR232" s="1">
        <v>3.06</v>
      </c>
      <c r="AS232" s="1">
        <v>451.46</v>
      </c>
      <c r="AT232">
        <v>5065.57</v>
      </c>
      <c r="AU232">
        <v>563.52</v>
      </c>
      <c r="AV232">
        <v>140.68</v>
      </c>
      <c r="BF232" s="51"/>
      <c r="BG232" s="1"/>
    </row>
    <row r="233" spans="1:59" x14ac:dyDescent="0.3">
      <c r="A233" t="s">
        <v>7</v>
      </c>
      <c r="B233" s="13">
        <v>4</v>
      </c>
      <c r="C233" s="35">
        <f t="shared" si="46"/>
        <v>0</v>
      </c>
      <c r="D233" s="36">
        <f t="shared" si="46"/>
        <v>0</v>
      </c>
      <c r="E233" s="21">
        <f t="shared" si="46"/>
        <v>0.13535816748675322</v>
      </c>
      <c r="F233" s="21">
        <f t="shared" si="46"/>
        <v>0.4777347087767761</v>
      </c>
      <c r="G233" s="37">
        <f t="shared" si="46"/>
        <v>7.4208124763325882</v>
      </c>
      <c r="H233" s="17">
        <f>SUM(C233:G233)</f>
        <v>8.0339053525961184</v>
      </c>
      <c r="I233" s="17">
        <f>G233/H233*100</f>
        <v>92.368681863230918</v>
      </c>
      <c r="J233" s="17">
        <f>SQRT(I233*(100-I233)/(L233-1))</f>
        <v>0.83624182747586007</v>
      </c>
      <c r="K233" s="18">
        <f>100-I233</f>
        <v>7.6313181367690817</v>
      </c>
      <c r="L233" s="1">
        <f>H222</f>
        <v>1009</v>
      </c>
      <c r="M233">
        <v>4</v>
      </c>
      <c r="N233" s="1">
        <v>7759.48</v>
      </c>
      <c r="O233" s="17">
        <f>N233/N234*100</f>
        <v>8.0339053525961184</v>
      </c>
      <c r="P233" s="52">
        <f>((O233*O233*(I233/100)*(K233/100))/(L233-1))</f>
        <v>4.5135389536974527E-3</v>
      </c>
      <c r="T233" s="57">
        <f>T44</f>
        <v>456.11</v>
      </c>
      <c r="U233" s="57">
        <f>U44</f>
        <v>2673.9845017182133</v>
      </c>
      <c r="V233" s="57">
        <f>V44</f>
        <v>55603.306400747977</v>
      </c>
      <c r="W233" s="57">
        <f>W44</f>
        <v>29576.538065585071</v>
      </c>
      <c r="X233" s="57">
        <f>X44</f>
        <v>8274.2210319487349</v>
      </c>
      <c r="AB233">
        <v>12</v>
      </c>
      <c r="AC233">
        <v>379</v>
      </c>
      <c r="AD233">
        <v>374</v>
      </c>
      <c r="AE233">
        <v>363</v>
      </c>
      <c r="AH233" s="78"/>
      <c r="AJ233" t="s">
        <v>644</v>
      </c>
      <c r="AK233">
        <v>17</v>
      </c>
      <c r="AL233" s="1">
        <v>1.0900000000000001</v>
      </c>
      <c r="AM233" s="1">
        <v>15.74</v>
      </c>
      <c r="AN233">
        <v>1123.03</v>
      </c>
      <c r="AO233">
        <v>297.67</v>
      </c>
      <c r="AP233">
        <v>24.68</v>
      </c>
      <c r="AQ233" s="1"/>
      <c r="AR233" s="1">
        <v>1.98</v>
      </c>
      <c r="AS233" s="1">
        <v>540.29</v>
      </c>
      <c r="AT233">
        <v>4977.54</v>
      </c>
      <c r="AU233">
        <v>575.76</v>
      </c>
      <c r="AV233">
        <v>128.71</v>
      </c>
      <c r="BF233" s="51"/>
      <c r="BG233" s="1"/>
    </row>
    <row r="234" spans="1:59" x14ac:dyDescent="0.3">
      <c r="B234" t="s">
        <v>28</v>
      </c>
      <c r="C234" s="17">
        <f>SUM(C229:C233)</f>
        <v>0.51313657172160609</v>
      </c>
      <c r="D234" s="17">
        <f>SUM(D229:D233)</f>
        <v>2.3679532394583154</v>
      </c>
      <c r="E234" s="17">
        <f>SUM(E229:E233)</f>
        <v>58.132158379417383</v>
      </c>
      <c r="F234" s="17">
        <f>SUM(F229:F233)</f>
        <v>29.715862917207545</v>
      </c>
      <c r="G234" s="17">
        <f>SUM(G229:G233)</f>
        <v>9.2708888921951402</v>
      </c>
      <c r="H234" s="1">
        <f>SUM(H228:H233)</f>
        <v>100</v>
      </c>
      <c r="I234" s="13" t="s">
        <v>24</v>
      </c>
      <c r="J234" s="12" t="s">
        <v>29</v>
      </c>
      <c r="N234" s="1">
        <f>SUM(N229:N233)</f>
        <v>96584.16</v>
      </c>
      <c r="O234" s="17">
        <f>SUM(O229:O233)</f>
        <v>100</v>
      </c>
      <c r="T234" s="57">
        <f>T54</f>
        <v>467.82</v>
      </c>
      <c r="U234" s="57">
        <f>U54</f>
        <v>2627.5141237113403</v>
      </c>
      <c r="V234" s="57">
        <f>V54</f>
        <v>54921.278830426403</v>
      </c>
      <c r="W234" s="57">
        <f>W54</f>
        <v>29614.323957743138</v>
      </c>
      <c r="X234" s="57">
        <f>X54</f>
        <v>8953.2230881191208</v>
      </c>
      <c r="AB234">
        <v>13</v>
      </c>
      <c r="AC234">
        <v>408</v>
      </c>
      <c r="AD234">
        <v>403</v>
      </c>
      <c r="AE234">
        <v>392</v>
      </c>
      <c r="AI234" s="78"/>
      <c r="AJ234" t="s">
        <v>644</v>
      </c>
      <c r="AK234">
        <v>18</v>
      </c>
      <c r="AL234" s="1">
        <v>1.0900000000000001</v>
      </c>
      <c r="AM234" s="1">
        <v>12.2</v>
      </c>
      <c r="AN234">
        <v>1125.82</v>
      </c>
      <c r="AO234">
        <v>297.98</v>
      </c>
      <c r="AP234">
        <v>25.12</v>
      </c>
      <c r="AR234" s="1">
        <v>1.8</v>
      </c>
      <c r="AS234" s="1">
        <v>489.71</v>
      </c>
      <c r="AT234">
        <v>5002.29</v>
      </c>
      <c r="AU234">
        <v>593.66999999999996</v>
      </c>
      <c r="AV234">
        <v>136.81</v>
      </c>
      <c r="BF234" s="51"/>
      <c r="BG234" s="1"/>
    </row>
    <row r="235" spans="1:59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1.1390385966040988E-3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0.12876585301766783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0.28216229318102359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0.4163192132052379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0.32139471553455107</v>
      </c>
      <c r="H235" s="1"/>
      <c r="I235" s="14">
        <f>(C229+D230+E231+F232+G233)/H234</f>
        <v>0.95958581635712836</v>
      </c>
      <c r="J235" s="53">
        <f>SQRT(SUM(P229:P233))/100</f>
        <v>4.2650461622325336E-3</v>
      </c>
      <c r="M235" s="1"/>
      <c r="N235" s="9"/>
      <c r="T235" s="57">
        <f>T64</f>
        <v>477.81</v>
      </c>
      <c r="U235" s="57">
        <f>U64</f>
        <v>2514.5584020618558</v>
      </c>
      <c r="V235" s="57">
        <f>V64</f>
        <v>56191.542117444842</v>
      </c>
      <c r="W235" s="57">
        <f>W64</f>
        <v>29320.845305288047</v>
      </c>
      <c r="X235" s="57">
        <f>X64</f>
        <v>8079.404175205259</v>
      </c>
      <c r="AB235">
        <v>14</v>
      </c>
      <c r="AC235">
        <v>437</v>
      </c>
      <c r="AD235">
        <v>432</v>
      </c>
      <c r="AE235">
        <v>421</v>
      </c>
      <c r="AH235" s="78"/>
      <c r="AJ235" t="s">
        <v>644</v>
      </c>
      <c r="AK235">
        <v>19</v>
      </c>
      <c r="AL235" s="1">
        <v>1.0900000000000001</v>
      </c>
      <c r="AM235" s="1">
        <v>11.62</v>
      </c>
      <c r="AN235">
        <v>1127.33</v>
      </c>
      <c r="AO235">
        <v>294.08</v>
      </c>
      <c r="AP235">
        <v>28.1</v>
      </c>
      <c r="AR235" s="1">
        <v>1.8</v>
      </c>
      <c r="AS235" s="1">
        <v>463.25</v>
      </c>
      <c r="AT235">
        <v>5045.68</v>
      </c>
      <c r="AU235">
        <v>569.37</v>
      </c>
      <c r="AV235">
        <v>144.19</v>
      </c>
      <c r="BF235" s="51"/>
      <c r="BG235" s="1"/>
    </row>
    <row r="236" spans="1:59" x14ac:dyDescent="0.3">
      <c r="B236" s="1" t="s">
        <v>30</v>
      </c>
      <c r="C236" s="17">
        <f>C229/C234*100</f>
        <v>100</v>
      </c>
      <c r="D236" s="17">
        <f>D230/D234*100</f>
        <v>88.303308687767426</v>
      </c>
      <c r="E236" s="17">
        <f>E231/E234*100</f>
        <v>97.797112864872858</v>
      </c>
      <c r="F236" s="17">
        <f>F232/F234*100</f>
        <v>97.867186522427303</v>
      </c>
      <c r="G236" s="17">
        <f>G233/G234*100</f>
        <v>80.044239151435931</v>
      </c>
      <c r="H236" s="1"/>
      <c r="T236" s="57">
        <f>T74</f>
        <v>615.99000000000012</v>
      </c>
      <c r="U236" s="57">
        <f>U74</f>
        <v>2676.6177319587628</v>
      </c>
      <c r="V236" s="57">
        <f>V74</f>
        <v>55491.960746987061</v>
      </c>
      <c r="W236" s="57">
        <f>W74</f>
        <v>29746.723395557936</v>
      </c>
      <c r="X236" s="57">
        <f>X74</f>
        <v>8052.8681254962412</v>
      </c>
      <c r="AB236">
        <v>15</v>
      </c>
      <c r="AC236">
        <v>466</v>
      </c>
      <c r="AD236">
        <v>461</v>
      </c>
      <c r="AE236">
        <v>450</v>
      </c>
      <c r="AI236" s="78"/>
      <c r="BF236" s="51"/>
      <c r="BG236" s="1"/>
    </row>
    <row r="237" spans="1:59" x14ac:dyDescent="0.3">
      <c r="B237" s="16" t="s">
        <v>39</v>
      </c>
      <c r="C237" s="18">
        <f>SQRT((C240+C241)/(C234*C234))</f>
        <v>0</v>
      </c>
      <c r="D237" s="18">
        <f>SQRT((D240+D241)/(D234*D234))</f>
        <v>4.9589035565043789</v>
      </c>
      <c r="E237" s="18">
        <f>SQRT((E240+E241)/(E234*E234))</f>
        <v>0.42135218713126354</v>
      </c>
      <c r="F237" s="18">
        <f>SQRT((F240+F241)/(F234*F234))</f>
        <v>0.50024202831442277</v>
      </c>
      <c r="G237" s="18">
        <f>SQRT((G240+G241)/(G234*G234))</f>
        <v>3.0769681877155337</v>
      </c>
      <c r="H237" s="1"/>
      <c r="T237" s="57">
        <f>T84</f>
        <v>458.1</v>
      </c>
      <c r="U237" s="57">
        <f>U84</f>
        <v>2572.7755471152104</v>
      </c>
      <c r="V237" s="57">
        <f>V84</f>
        <v>56017.375885048408</v>
      </c>
      <c r="W237" s="57">
        <f>W84</f>
        <v>28788.373401720262</v>
      </c>
      <c r="X237" s="57">
        <f>X84</f>
        <v>8747.5351661161258</v>
      </c>
      <c r="AB237">
        <v>16</v>
      </c>
      <c r="AC237">
        <v>495</v>
      </c>
      <c r="AD237">
        <v>490</v>
      </c>
      <c r="AE237">
        <v>479</v>
      </c>
      <c r="AH237" s="78"/>
      <c r="AM237" s="78"/>
      <c r="AN237" s="78"/>
      <c r="BF237" s="51"/>
      <c r="BG237" s="1"/>
    </row>
    <row r="238" spans="1:59" x14ac:dyDescent="0.3">
      <c r="B238" s="1" t="s">
        <v>37</v>
      </c>
      <c r="C238" s="18">
        <f>100-C236</f>
        <v>0</v>
      </c>
      <c r="D238" s="18">
        <f>100-D236</f>
        <v>11.696691312232574</v>
      </c>
      <c r="E238" s="18">
        <f>100-E236</f>
        <v>2.202887135127142</v>
      </c>
      <c r="F238" s="18">
        <f>100-F236</f>
        <v>2.1328134775726966</v>
      </c>
      <c r="G238" s="18">
        <f>100-G236</f>
        <v>19.955760848564069</v>
      </c>
      <c r="T238" s="57">
        <f>T94</f>
        <v>495.60864745011082</v>
      </c>
      <c r="U238" s="57">
        <f>U94</f>
        <v>2287.0677455236028</v>
      </c>
      <c r="V238" s="57">
        <f>V94</f>
        <v>56146.4568606299</v>
      </c>
      <c r="W238" s="57">
        <f>W94</f>
        <v>28700.816585336401</v>
      </c>
      <c r="X238" s="57">
        <f>X94</f>
        <v>8954.2101610599821</v>
      </c>
      <c r="AB238">
        <v>17</v>
      </c>
      <c r="AC238">
        <v>524</v>
      </c>
      <c r="AD238">
        <v>519</v>
      </c>
      <c r="AE238">
        <v>508</v>
      </c>
      <c r="AI238" s="78"/>
      <c r="BF238" s="51"/>
      <c r="BG238" s="1"/>
    </row>
    <row r="239" spans="1:59" ht="15.6" x14ac:dyDescent="0.35">
      <c r="B239" s="1" t="s">
        <v>25</v>
      </c>
      <c r="C239" s="1">
        <f>C223</f>
        <v>450</v>
      </c>
      <c r="D239" s="1">
        <f>D223</f>
        <v>61</v>
      </c>
      <c r="E239" s="1">
        <f>E223</f>
        <v>772</v>
      </c>
      <c r="F239" s="1">
        <f>F223</f>
        <v>588</v>
      </c>
      <c r="G239" s="1">
        <f>G223</f>
        <v>965</v>
      </c>
      <c r="T239" s="57">
        <f>T104</f>
        <v>574.4</v>
      </c>
      <c r="U239" s="57">
        <f>U104</f>
        <v>2645.152371134021</v>
      </c>
      <c r="V239" s="57">
        <f>V104</f>
        <v>54605.736976367727</v>
      </c>
      <c r="W239" s="57">
        <f>W104</f>
        <v>30226.383415888562</v>
      </c>
      <c r="X239" s="57">
        <f>X104</f>
        <v>8532.4872366096861</v>
      </c>
      <c r="AB239">
        <v>18</v>
      </c>
      <c r="AC239">
        <v>553</v>
      </c>
      <c r="AD239">
        <v>548</v>
      </c>
      <c r="AE239">
        <v>537</v>
      </c>
      <c r="AH239" s="78"/>
      <c r="AM239" s="78"/>
      <c r="AN239" s="78"/>
      <c r="BF239" s="51"/>
      <c r="BG239" s="1"/>
    </row>
    <row r="240" spans="1:59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19.074369907313585</v>
      </c>
      <c r="E240" s="18">
        <f>(O231*O231*(100-E236)*(100-E236)*(I231)*(100-I231))/((L231-1)*100)</f>
        <v>8.7099735813295531</v>
      </c>
      <c r="F240" s="18">
        <f>(O232*O232*(100-F236)*(100-F236)*(I232)*(100-I232))/((L232-1)*100)</f>
        <v>71.894566948042197</v>
      </c>
      <c r="G240" s="18">
        <f>(O233*O233*(100-G236)*(100-G236)*(I233)*(100-I233))/((L233-1)*100)</f>
        <v>179.74374096060566</v>
      </c>
      <c r="T240" s="57">
        <f>T114</f>
        <v>656.94000000000017</v>
      </c>
      <c r="U240" s="57">
        <f>U114</f>
        <v>2024.7720103092784</v>
      </c>
      <c r="V240" s="57">
        <f>V114</f>
        <v>56575.447450017091</v>
      </c>
      <c r="W240" s="57">
        <f>W114</f>
        <v>28704.391817045067</v>
      </c>
      <c r="X240" s="57">
        <f>X114</f>
        <v>8622.608722628569</v>
      </c>
      <c r="AB240">
        <v>19</v>
      </c>
      <c r="AC240">
        <v>582</v>
      </c>
      <c r="AD240">
        <v>577</v>
      </c>
      <c r="AE240">
        <v>566</v>
      </c>
      <c r="AI240" s="78"/>
      <c r="BF240" s="51"/>
      <c r="BG240" s="1"/>
    </row>
    <row r="241" spans="1:59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118.81080297737235</v>
      </c>
      <c r="E241" s="18">
        <f>E236*E236*(SUM((H229*E229*(1-E218/H218))/(H218-1),(H230*E230*(1-E219/H219))/(H219-1), (H232*E232*(1-E221/H221))/(H221-1),(H233*E233*(1-E222/H222))/(H222-1)))</f>
        <v>591.25155280191916</v>
      </c>
      <c r="F241" s="18">
        <f>F236*F236*(SUM((H229*F229*(1-F218/H218))/(H218-1),(H230*F230*(1-F219/H219))/(H219-1), (H231*F231*(1-F220/H220))/(H220-1),(H233*F233*(1-F222/H222))/(H222-1)))</f>
        <v>149.07733087625627</v>
      </c>
      <c r="G241" s="18">
        <f>G236*G236*(SUM((H229*G229*(1-G218/H218))/(H218-1),(H230*G230*(1-G219/H219))/(H219-1), (H231*G231*(1-G220/H220))/(H220-1),(H232*G232*(1-G221/H221))/(H221-1)))</f>
        <v>634.00206807082191</v>
      </c>
      <c r="T241" s="57">
        <f>T124</f>
        <v>476.45999999999992</v>
      </c>
      <c r="U241" s="57">
        <f>U124</f>
        <v>2468.1153608247423</v>
      </c>
      <c r="V241" s="57">
        <f>V124</f>
        <v>55844.878522131963</v>
      </c>
      <c r="W241" s="57">
        <f>W124</f>
        <v>28748.695221869504</v>
      </c>
      <c r="X241" s="57">
        <f>X124</f>
        <v>9046.010895173793</v>
      </c>
      <c r="AB241">
        <v>20</v>
      </c>
      <c r="AC241">
        <v>611</v>
      </c>
      <c r="AD241">
        <v>606</v>
      </c>
      <c r="AE241">
        <v>595</v>
      </c>
      <c r="AH241" s="78"/>
      <c r="AM241" s="78"/>
      <c r="AN241" s="78"/>
      <c r="BF241" s="51"/>
      <c r="BG241" s="1"/>
    </row>
    <row r="242" spans="1:59" x14ac:dyDescent="0.3">
      <c r="A242" s="105" t="s">
        <v>645</v>
      </c>
      <c r="B242" s="69" t="s">
        <v>9</v>
      </c>
      <c r="C242" s="1">
        <v>287.2</v>
      </c>
      <c r="D242" s="1">
        <v>2421.23</v>
      </c>
      <c r="E242" s="1">
        <v>16199.1</v>
      </c>
      <c r="F242">
        <v>2040.76</v>
      </c>
      <c r="G242">
        <v>1196.6600000000001</v>
      </c>
      <c r="I242" t="s">
        <v>36</v>
      </c>
      <c r="J242" s="57">
        <f>SUM(C242:G242)</f>
        <v>22144.949999999997</v>
      </c>
      <c r="T242" s="57">
        <f>T134</f>
        <v>606.45000000000005</v>
      </c>
      <c r="U242" s="57">
        <f>U134</f>
        <v>2479.6989690721648</v>
      </c>
      <c r="V242" s="57">
        <f>V134</f>
        <v>54694.98764013483</v>
      </c>
      <c r="W242" s="57">
        <f>W134</f>
        <v>29959.606473759828</v>
      </c>
      <c r="X242" s="57">
        <f>X134</f>
        <v>8843.4269170331663</v>
      </c>
      <c r="AB242">
        <v>21</v>
      </c>
      <c r="AC242">
        <v>640</v>
      </c>
      <c r="AD242">
        <v>635</v>
      </c>
      <c r="AE242">
        <v>624</v>
      </c>
      <c r="AI242" s="78"/>
      <c r="BF242" s="51"/>
      <c r="BG242" s="1"/>
    </row>
    <row r="243" spans="1:59" x14ac:dyDescent="0.3">
      <c r="B243" t="s">
        <v>367</v>
      </c>
      <c r="C243" s="57">
        <f>(C242/$J242)*100</f>
        <v>1.2969096791819354</v>
      </c>
      <c r="D243" s="57">
        <f>(D242/$J242)*100</f>
        <v>10.933553699601942</v>
      </c>
      <c r="E243" s="57">
        <f>(E242/$J242)*100</f>
        <v>73.150311922131237</v>
      </c>
      <c r="F243" s="57">
        <f>(F242/$J242)*100</f>
        <v>9.2154644738416671</v>
      </c>
      <c r="G243" s="57">
        <f>(G242/$J242)*100</f>
        <v>5.4037602252432277</v>
      </c>
      <c r="T243" s="57">
        <f>T144</f>
        <v>447.83</v>
      </c>
      <c r="U243" s="57">
        <f>U144</f>
        <v>2394.3595189003436</v>
      </c>
      <c r="V243" s="57">
        <f>V144</f>
        <v>55257.829323412261</v>
      </c>
      <c r="W243" s="57">
        <f>W144</f>
        <v>30153.705415217079</v>
      </c>
      <c r="X243" s="57">
        <f>X144</f>
        <v>8330.4257424702955</v>
      </c>
      <c r="AB243">
        <v>22</v>
      </c>
      <c r="AC243">
        <v>669</v>
      </c>
      <c r="AD243">
        <v>664</v>
      </c>
      <c r="AE243">
        <v>653</v>
      </c>
      <c r="AH243" s="78"/>
      <c r="AM243" s="78"/>
      <c r="AN243" s="78"/>
      <c r="BF243" s="51"/>
      <c r="BG243" s="1"/>
    </row>
    <row r="244" spans="1:59" x14ac:dyDescent="0.3">
      <c r="A244" s="348" t="s">
        <v>369</v>
      </c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 t="s">
        <v>81</v>
      </c>
      <c r="M244" s="348"/>
      <c r="N244" s="348"/>
      <c r="O244" s="348"/>
      <c r="P244" s="348"/>
      <c r="T244" s="57">
        <f>T154</f>
        <v>523.63000000000011</v>
      </c>
      <c r="U244" s="57">
        <f>U154</f>
        <v>2387.1563573883163</v>
      </c>
      <c r="V244" s="57">
        <f>V154</f>
        <v>56508.183003696358</v>
      </c>
      <c r="W244" s="57">
        <f>W154</f>
        <v>28530.111402602553</v>
      </c>
      <c r="X244" s="57">
        <f>X154</f>
        <v>8635.079236312773</v>
      </c>
      <c r="AB244">
        <v>23</v>
      </c>
      <c r="AC244">
        <v>698</v>
      </c>
      <c r="AD244">
        <v>693</v>
      </c>
      <c r="AE244">
        <v>682</v>
      </c>
      <c r="AI244" s="78"/>
      <c r="BF244" s="51"/>
      <c r="BG244" s="1"/>
    </row>
    <row r="245" spans="1:59" x14ac:dyDescent="0.3">
      <c r="A245" t="s">
        <v>315</v>
      </c>
      <c r="B245" t="s">
        <v>21</v>
      </c>
      <c r="I245" s="1" t="s">
        <v>53</v>
      </c>
      <c r="O245" s="350" t="s">
        <v>377</v>
      </c>
      <c r="P245" s="350"/>
      <c r="T245" s="57">
        <f>T164</f>
        <v>472.31999999999994</v>
      </c>
      <c r="U245" s="57">
        <f>U164</f>
        <v>2420.2083161512032</v>
      </c>
      <c r="V245" s="57">
        <f>V164</f>
        <v>56011.451562415852</v>
      </c>
      <c r="W245" s="57">
        <f>W164</f>
        <v>29360.141760742721</v>
      </c>
      <c r="X245" s="57">
        <f>X164</f>
        <v>8320.0383606902269</v>
      </c>
      <c r="AB245">
        <v>24</v>
      </c>
      <c r="AC245">
        <v>727</v>
      </c>
      <c r="AD245">
        <v>722</v>
      </c>
      <c r="AE245">
        <v>711</v>
      </c>
      <c r="AH245" s="78"/>
      <c r="AM245" s="78"/>
      <c r="AN245" s="78"/>
      <c r="BF245" s="51"/>
      <c r="BG245" s="1"/>
    </row>
    <row r="246" spans="1:59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51</v>
      </c>
      <c r="O246" s="13" t="s">
        <v>644</v>
      </c>
      <c r="P246" s="13" t="s">
        <v>633</v>
      </c>
      <c r="T246" s="57">
        <f>T174</f>
        <v>483.02999999999992</v>
      </c>
      <c r="U246" s="57">
        <f>U174</f>
        <v>2407.7245360824741</v>
      </c>
      <c r="V246" s="57">
        <f>V174</f>
        <v>55609.276745386291</v>
      </c>
      <c r="W246" s="57">
        <f>W174</f>
        <v>29840.92094723017</v>
      </c>
      <c r="X246" s="57">
        <f>X174</f>
        <v>8243.2177713010442</v>
      </c>
      <c r="AB246">
        <v>25</v>
      </c>
      <c r="AC246">
        <v>756</v>
      </c>
      <c r="AD246">
        <v>751</v>
      </c>
      <c r="AE246">
        <v>740</v>
      </c>
      <c r="AI246" s="78"/>
      <c r="BF246" s="51"/>
      <c r="BG246" s="1"/>
    </row>
    <row r="247" spans="1:59" x14ac:dyDescent="0.3">
      <c r="A247" t="s">
        <v>3</v>
      </c>
      <c r="B247" s="13">
        <v>0</v>
      </c>
      <c r="C247" s="26">
        <v>451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451</v>
      </c>
      <c r="I247" s="10">
        <f>C247/H247</f>
        <v>1</v>
      </c>
      <c r="J247" s="11">
        <f>1-I247</f>
        <v>0</v>
      </c>
      <c r="K247">
        <f>H247-C252</f>
        <v>0</v>
      </c>
      <c r="N247" s="10">
        <f>2*(C253*I247)/(C253+I247)</f>
        <v>1</v>
      </c>
      <c r="O247" s="1"/>
      <c r="P247" s="1"/>
      <c r="T247" s="57">
        <f>T184</f>
        <v>606.38731958762878</v>
      </c>
      <c r="U247" s="57">
        <f>U184</f>
        <v>2481.0692783505156</v>
      </c>
      <c r="V247" s="57">
        <f>V184</f>
        <v>56450.404658276522</v>
      </c>
      <c r="W247" s="57">
        <f>W184</f>
        <v>28589.801305640998</v>
      </c>
      <c r="X247" s="57">
        <f>X184</f>
        <v>8456.4874381443369</v>
      </c>
      <c r="AB247">
        <v>26</v>
      </c>
      <c r="AC247">
        <v>785</v>
      </c>
      <c r="AD247">
        <v>780</v>
      </c>
      <c r="AE247">
        <v>769</v>
      </c>
      <c r="AH247" s="78"/>
      <c r="AM247" s="78"/>
      <c r="AN247" s="78"/>
      <c r="BF247" s="51"/>
      <c r="BG247" s="1"/>
    </row>
    <row r="248" spans="1:59" x14ac:dyDescent="0.3">
      <c r="A248" t="s">
        <v>4</v>
      </c>
      <c r="B248" s="13">
        <v>1</v>
      </c>
      <c r="C248" s="5">
        <v>0</v>
      </c>
      <c r="D248" s="27">
        <v>57</v>
      </c>
      <c r="E248" s="1">
        <v>0</v>
      </c>
      <c r="F248" s="1">
        <v>0</v>
      </c>
      <c r="G248" s="6">
        <v>0</v>
      </c>
      <c r="H248" s="1">
        <f>SUM(C248:G248)</f>
        <v>57</v>
      </c>
      <c r="I248" s="10">
        <f>D248/H248</f>
        <v>1</v>
      </c>
      <c r="J248" s="11">
        <f>1-I248</f>
        <v>0</v>
      </c>
      <c r="K248">
        <f>H248-D252</f>
        <v>-6</v>
      </c>
      <c r="N248" s="10">
        <f>2*(D253*I248)/(D253+I248)</f>
        <v>0.95000000000000007</v>
      </c>
      <c r="O248" s="1"/>
      <c r="P248" s="1"/>
      <c r="T248" s="57">
        <f>T194</f>
        <v>588.08000000000004</v>
      </c>
      <c r="U248" s="57">
        <f>U194</f>
        <v>2794.9572164948454</v>
      </c>
      <c r="V248" s="57">
        <f>V194</f>
        <v>56170.503901606862</v>
      </c>
      <c r="W248" s="57">
        <f>W194</f>
        <v>28719.928915043183</v>
      </c>
      <c r="X248" s="57">
        <f>X194</f>
        <v>8310.6799668551175</v>
      </c>
      <c r="AB248">
        <v>27</v>
      </c>
      <c r="AC248">
        <v>814</v>
      </c>
      <c r="AD248">
        <v>809</v>
      </c>
      <c r="AE248">
        <v>798</v>
      </c>
      <c r="AI248" s="78"/>
      <c r="BF248" s="51"/>
      <c r="BG248" s="1"/>
    </row>
    <row r="249" spans="1:59" x14ac:dyDescent="0.3">
      <c r="A249" t="s">
        <v>5</v>
      </c>
      <c r="B249" s="13">
        <v>2</v>
      </c>
      <c r="C249" s="5">
        <v>0</v>
      </c>
      <c r="D249" s="1">
        <v>0</v>
      </c>
      <c r="E249" s="27">
        <v>718</v>
      </c>
      <c r="F249" s="1">
        <v>18</v>
      </c>
      <c r="G249" s="6">
        <v>1</v>
      </c>
      <c r="H249" s="1">
        <f>SUM(C249:G249)</f>
        <v>737</v>
      </c>
      <c r="I249" s="10">
        <f>E249/H249</f>
        <v>0.97421981004070557</v>
      </c>
      <c r="J249" s="11">
        <f>1-I249</f>
        <v>2.5780189959294431E-2</v>
      </c>
      <c r="K249">
        <f>H249-E252</f>
        <v>-16</v>
      </c>
      <c r="N249" s="10">
        <f>2*(E253*I249)/(E253+I249)</f>
        <v>0.96375838926174495</v>
      </c>
      <c r="O249" s="1"/>
      <c r="P249" s="1"/>
      <c r="T249" s="57">
        <f>T204</f>
        <v>603.91999999999996</v>
      </c>
      <c r="U249" s="57">
        <f>U204</f>
        <v>2905.9486597938148</v>
      </c>
      <c r="V249" s="57">
        <f>V204</f>
        <v>55050.550852889486</v>
      </c>
      <c r="W249" s="57">
        <f>W204</f>
        <v>30218.925970697914</v>
      </c>
      <c r="X249" s="57">
        <f>X204</f>
        <v>7804.8145166187742</v>
      </c>
      <c r="AB249">
        <v>28</v>
      </c>
      <c r="AC249">
        <v>843</v>
      </c>
      <c r="AD249">
        <v>838</v>
      </c>
      <c r="AE249">
        <v>827</v>
      </c>
      <c r="AH249" s="78"/>
      <c r="AM249" s="78"/>
      <c r="AN249" s="78"/>
      <c r="BF249" s="51"/>
      <c r="BG249" s="1"/>
    </row>
    <row r="250" spans="1:59" x14ac:dyDescent="0.3">
      <c r="A250" t="s">
        <v>6</v>
      </c>
      <c r="B250" s="13">
        <v>3</v>
      </c>
      <c r="C250" s="5">
        <v>0</v>
      </c>
      <c r="D250" s="1">
        <v>6</v>
      </c>
      <c r="E250" s="1">
        <v>21</v>
      </c>
      <c r="F250" s="27">
        <v>532</v>
      </c>
      <c r="G250" s="6">
        <v>23</v>
      </c>
      <c r="H250" s="1">
        <f>SUM(C250:G250)</f>
        <v>582</v>
      </c>
      <c r="I250" s="10">
        <f>F250/H250</f>
        <v>0.91408934707903777</v>
      </c>
      <c r="J250" s="11">
        <f>1-I250</f>
        <v>8.5910652920962227E-2</v>
      </c>
      <c r="K250">
        <f>H250-F252</f>
        <v>-29</v>
      </c>
      <c r="N250" s="10">
        <f>2*(F253*I250)/(F253+I250)</f>
        <v>0.89186923721709976</v>
      </c>
      <c r="O250" s="1"/>
      <c r="P250" s="1"/>
      <c r="T250" s="57">
        <f>T214</f>
        <v>330.44</v>
      </c>
      <c r="U250" s="57">
        <f>U214</f>
        <v>2193.0090034364262</v>
      </c>
      <c r="V250" s="57">
        <f>V214</f>
        <v>56669.863543973042</v>
      </c>
      <c r="W250" s="57">
        <f>W214</f>
        <v>28534.543212501412</v>
      </c>
      <c r="X250" s="57">
        <f>X214</f>
        <v>8856.2942400891152</v>
      </c>
      <c r="AB250">
        <v>29</v>
      </c>
      <c r="AC250">
        <v>872</v>
      </c>
      <c r="AD250">
        <v>867</v>
      </c>
      <c r="AE250">
        <v>856</v>
      </c>
      <c r="AI250" s="78"/>
      <c r="BF250" s="51"/>
      <c r="BG250" s="1"/>
    </row>
    <row r="251" spans="1:59" x14ac:dyDescent="0.3">
      <c r="A251" t="s">
        <v>7</v>
      </c>
      <c r="B251" s="13">
        <v>4</v>
      </c>
      <c r="C251" s="7">
        <v>0</v>
      </c>
      <c r="D251" s="8">
        <v>0</v>
      </c>
      <c r="E251" s="8">
        <v>14</v>
      </c>
      <c r="F251" s="8">
        <v>61</v>
      </c>
      <c r="G251" s="28">
        <v>934</v>
      </c>
      <c r="H251" s="1">
        <f>SUM(C251:G251)</f>
        <v>1009</v>
      </c>
      <c r="I251" s="10">
        <f>G251/H251</f>
        <v>0.92566897918731417</v>
      </c>
      <c r="J251" s="11">
        <f>1-I251</f>
        <v>7.4331020812685833E-2</v>
      </c>
      <c r="K251">
        <f>H251-G252</f>
        <v>51</v>
      </c>
      <c r="N251" s="10">
        <f>2*(G253*I251)/(G253+I251)</f>
        <v>0.94966954753431632</v>
      </c>
      <c r="O251" s="1"/>
      <c r="P251" s="1"/>
      <c r="AH251" s="78"/>
      <c r="AM251" s="78"/>
      <c r="AN251" s="78"/>
      <c r="BF251" s="51"/>
      <c r="BG251" s="1"/>
    </row>
    <row r="252" spans="1:59" ht="15.6" x14ac:dyDescent="0.35">
      <c r="B252" s="1" t="s">
        <v>19</v>
      </c>
      <c r="C252" s="1">
        <f>SUM(C247:C251)</f>
        <v>451</v>
      </c>
      <c r="D252" s="1">
        <f>SUM(D247:D251)</f>
        <v>63</v>
      </c>
      <c r="E252" s="1">
        <f>SUM(E247:E251)</f>
        <v>753</v>
      </c>
      <c r="F252" s="1">
        <f>SUM(F247:F251)</f>
        <v>611</v>
      </c>
      <c r="G252" s="1">
        <f>SUM(G247:G251)</f>
        <v>958</v>
      </c>
      <c r="H252" s="1">
        <f>SUM(H246:H251)</f>
        <v>2836</v>
      </c>
      <c r="I252" s="13" t="s">
        <v>12</v>
      </c>
      <c r="N252" s="16" t="s">
        <v>36</v>
      </c>
      <c r="O252" s="1">
        <f>SUM(O247:O251)</f>
        <v>0</v>
      </c>
      <c r="P252" s="1">
        <f>SUM(P247:P251)</f>
        <v>0</v>
      </c>
      <c r="AI252" s="78"/>
      <c r="BF252" s="51"/>
      <c r="BG252" s="1"/>
    </row>
    <row r="253" spans="1:59" x14ac:dyDescent="0.3">
      <c r="A253" s="1" t="s">
        <v>316</v>
      </c>
      <c r="B253" s="1" t="s">
        <v>2</v>
      </c>
      <c r="C253" s="10">
        <f>C247/C252</f>
        <v>1</v>
      </c>
      <c r="D253" s="10">
        <f>D248/D252</f>
        <v>0.90476190476190477</v>
      </c>
      <c r="E253" s="10">
        <f>E249/E252</f>
        <v>0.95351925630810097</v>
      </c>
      <c r="F253" s="10">
        <f>F250/F252</f>
        <v>0.87070376432078556</v>
      </c>
      <c r="G253" s="10">
        <f>G251/G252</f>
        <v>0.97494780793319413</v>
      </c>
      <c r="H253" s="10"/>
      <c r="I253" s="14">
        <f>(C247+D248+E249+F250+G251)/H252</f>
        <v>0.94922425952045131</v>
      </c>
      <c r="AH253" s="78"/>
      <c r="AM253" s="78"/>
      <c r="AN253" s="78"/>
      <c r="BF253" s="51"/>
      <c r="BG253" s="1"/>
    </row>
    <row r="254" spans="1:59" x14ac:dyDescent="0.3">
      <c r="B254" s="1" t="s">
        <v>14</v>
      </c>
      <c r="C254" s="11">
        <f>1-C253</f>
        <v>0</v>
      </c>
      <c r="D254" s="11">
        <f>1-D253</f>
        <v>9.5238095238095233E-2</v>
      </c>
      <c r="E254" s="11">
        <f>1-E253</f>
        <v>4.6480743691899029E-2</v>
      </c>
      <c r="F254" s="11">
        <f>1-F253</f>
        <v>0.12929623567921444</v>
      </c>
      <c r="G254" s="11">
        <f>1-G253</f>
        <v>2.5052192066805867E-2</v>
      </c>
      <c r="AI254" s="78"/>
      <c r="BF254" s="51"/>
      <c r="BG254" s="1"/>
    </row>
    <row r="255" spans="1:59" x14ac:dyDescent="0.3">
      <c r="C255" s="2"/>
      <c r="AH255" s="78"/>
      <c r="AM255" s="78"/>
      <c r="AN255" s="78"/>
      <c r="BF255" s="51"/>
      <c r="BG255" s="1"/>
    </row>
    <row r="256" spans="1:59" ht="15.6" x14ac:dyDescent="0.35">
      <c r="A256" t="s">
        <v>317</v>
      </c>
      <c r="B256" s="15" t="s">
        <v>23</v>
      </c>
      <c r="N256" s="12" t="s">
        <v>17</v>
      </c>
      <c r="O256" s="1" t="s">
        <v>27</v>
      </c>
      <c r="P256" s="1" t="s">
        <v>33</v>
      </c>
      <c r="AI256" s="78"/>
      <c r="BF256" s="51"/>
      <c r="BG256" s="1"/>
    </row>
    <row r="257" spans="1:59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H257" s="78"/>
      <c r="AM257" s="78"/>
      <c r="AN257" s="78"/>
      <c r="BF257" s="51"/>
      <c r="BG257" s="1"/>
    </row>
    <row r="258" spans="1:59" x14ac:dyDescent="0.3">
      <c r="A258" t="s">
        <v>3</v>
      </c>
      <c r="B258" s="13">
        <v>0</v>
      </c>
      <c r="C258" s="29">
        <f>(C247/$L258)*$O258</f>
        <v>0.59471449562744039</v>
      </c>
      <c r="D258" s="31">
        <f>(D247/$L258)*$O258</f>
        <v>0</v>
      </c>
      <c r="E258" s="31">
        <f>(E247/$L258)*$O258</f>
        <v>0</v>
      </c>
      <c r="F258" s="31">
        <f>(F247/$L258)*$O258</f>
        <v>0</v>
      </c>
      <c r="G258" s="32">
        <f>(G247/$L258)*$O258</f>
        <v>0</v>
      </c>
      <c r="H258" s="17">
        <f>SUM(C258:G258)</f>
        <v>0.59471449562744039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451</v>
      </c>
      <c r="M258">
        <v>0</v>
      </c>
      <c r="N258" s="1">
        <v>574.4</v>
      </c>
      <c r="O258" s="17">
        <f>N258/N263*100</f>
        <v>0.59471449562744039</v>
      </c>
      <c r="P258" s="52">
        <f>((O258*O258*(I258/100)*(K258/100))/(L258-1))</f>
        <v>0</v>
      </c>
      <c r="AI258" s="78"/>
      <c r="BF258" s="51"/>
      <c r="BG258" s="1"/>
    </row>
    <row r="259" spans="1:59" x14ac:dyDescent="0.3">
      <c r="A259" t="s">
        <v>4</v>
      </c>
      <c r="B259" s="13">
        <v>1</v>
      </c>
      <c r="C259" s="33">
        <f t="shared" ref="C259:G262" si="47">(C248/$L259)*$O259</f>
        <v>0</v>
      </c>
      <c r="D259" s="34">
        <f t="shared" si="47"/>
        <v>2.4068853526292515</v>
      </c>
      <c r="E259" s="19">
        <f t="shared" si="47"/>
        <v>0</v>
      </c>
      <c r="F259" s="18">
        <f t="shared" si="47"/>
        <v>0</v>
      </c>
      <c r="G259" s="20">
        <f t="shared" si="47"/>
        <v>0</v>
      </c>
      <c r="H259" s="17">
        <f>SUM(C259:G259)</f>
        <v>2.4068853526292515</v>
      </c>
      <c r="I259" s="17">
        <f>D259/H259*100</f>
        <v>100</v>
      </c>
      <c r="J259" s="17">
        <f>SQRT(I259*(100-I259)/(L259-1))</f>
        <v>0</v>
      </c>
      <c r="K259" s="18">
        <f>100-I259</f>
        <v>0</v>
      </c>
      <c r="L259" s="1">
        <f>H248</f>
        <v>57</v>
      </c>
      <c r="M259">
        <v>1</v>
      </c>
      <c r="N259" s="1">
        <v>2324.67</v>
      </c>
      <c r="O259" s="17">
        <f>N259/N263*100</f>
        <v>2.4068853526292515</v>
      </c>
      <c r="P259" s="52">
        <f>((O259*O259*(I259/100)*(K259/100))/(L259-1))</f>
        <v>0</v>
      </c>
      <c r="AH259" s="78"/>
      <c r="AM259" s="78"/>
      <c r="AN259" s="78"/>
      <c r="BF259" s="51"/>
      <c r="BG259" s="1"/>
    </row>
    <row r="260" spans="1:59" x14ac:dyDescent="0.3">
      <c r="A260" t="s">
        <v>5</v>
      </c>
      <c r="B260" s="13">
        <v>2</v>
      </c>
      <c r="C260" s="33">
        <f t="shared" si="47"/>
        <v>0</v>
      </c>
      <c r="D260" s="19">
        <f t="shared" si="47"/>
        <v>0</v>
      </c>
      <c r="E260" s="34">
        <f t="shared" si="47"/>
        <v>55.263390602646943</v>
      </c>
      <c r="F260" s="19">
        <f t="shared" si="47"/>
        <v>1.3854331905956057</v>
      </c>
      <c r="G260" s="20">
        <f t="shared" si="47"/>
        <v>7.6968510588644762E-2</v>
      </c>
      <c r="H260" s="17">
        <f>SUM(C260:G260)</f>
        <v>56.725792303831192</v>
      </c>
      <c r="I260" s="17">
        <f>E260/H260*100</f>
        <v>97.42198100407056</v>
      </c>
      <c r="J260" s="17">
        <f>SQRT(I260*(100-I260)/(L260-1))</f>
        <v>0.5841610921561714</v>
      </c>
      <c r="K260" s="18">
        <f>100-I260</f>
        <v>2.5780189959294404</v>
      </c>
      <c r="L260" s="1">
        <f>H249</f>
        <v>737</v>
      </c>
      <c r="M260">
        <v>2</v>
      </c>
      <c r="N260" s="1">
        <v>54788.13</v>
      </c>
      <c r="O260" s="17">
        <f>N260/N263*100</f>
        <v>56.725792303831192</v>
      </c>
      <c r="P260" s="52">
        <f>((O260*O260*(I260/100)*(K260/100))/(L260-1))</f>
        <v>0.10980608210668548</v>
      </c>
      <c r="AI260" s="78"/>
      <c r="BF260" s="51"/>
      <c r="BG260" s="1"/>
    </row>
    <row r="261" spans="1:59" x14ac:dyDescent="0.3">
      <c r="A261" t="s">
        <v>6</v>
      </c>
      <c r="B261" s="13">
        <v>3</v>
      </c>
      <c r="C261" s="33">
        <f t="shared" si="47"/>
        <v>0</v>
      </c>
      <c r="D261" s="19">
        <f t="shared" si="47"/>
        <v>0.33181669865329955</v>
      </c>
      <c r="E261" s="19">
        <f t="shared" si="47"/>
        <v>1.1613584452865482</v>
      </c>
      <c r="F261" s="34">
        <f t="shared" si="47"/>
        <v>29.421080613925891</v>
      </c>
      <c r="G261" s="20">
        <f t="shared" si="47"/>
        <v>1.2719640115043149</v>
      </c>
      <c r="H261" s="17">
        <f>SUM(C261:G261)</f>
        <v>32.186219769370055</v>
      </c>
      <c r="I261" s="17">
        <f>F261/H261*100</f>
        <v>91.408934707903782</v>
      </c>
      <c r="J261" s="17">
        <f>SQRT(I261*(100-I261)/(L261-1))</f>
        <v>1.1625985245807122</v>
      </c>
      <c r="K261" s="18">
        <f>100-I261</f>
        <v>8.5910652920962178</v>
      </c>
      <c r="L261" s="1">
        <f>H250</f>
        <v>582</v>
      </c>
      <c r="M261">
        <v>3</v>
      </c>
      <c r="N261" s="1">
        <v>31086.79</v>
      </c>
      <c r="O261" s="17">
        <f>N261/N263*100</f>
        <v>32.186219769370055</v>
      </c>
      <c r="P261" s="52">
        <f>((O261*O261*(I261/100)*(K261/100))/(L261-1))</f>
        <v>0.14002303270403726</v>
      </c>
      <c r="AH261" s="78"/>
      <c r="AM261" s="78"/>
      <c r="AN261" s="78"/>
    </row>
    <row r="262" spans="1:59" x14ac:dyDescent="0.3">
      <c r="A262" t="s">
        <v>7</v>
      </c>
      <c r="B262" s="13">
        <v>4</v>
      </c>
      <c r="C262" s="35">
        <f t="shared" si="47"/>
        <v>0</v>
      </c>
      <c r="D262" s="36">
        <f t="shared" si="47"/>
        <v>0</v>
      </c>
      <c r="E262" s="21">
        <f t="shared" si="47"/>
        <v>0.11219963637223886</v>
      </c>
      <c r="F262" s="21">
        <f t="shared" si="47"/>
        <v>0.48886984419332641</v>
      </c>
      <c r="G262" s="37">
        <f t="shared" si="47"/>
        <v>7.4853185979765069</v>
      </c>
      <c r="H262" s="17">
        <f>SUM(C262:G262)</f>
        <v>8.0863880785420719</v>
      </c>
      <c r="I262" s="17">
        <f>G262/H262*100</f>
        <v>92.566897918731414</v>
      </c>
      <c r="J262" s="17">
        <f>SQRT(I262*(100-I262)/(L262-1))</f>
        <v>0.82619514296696372</v>
      </c>
      <c r="K262" s="18">
        <f>100-I262</f>
        <v>7.4331020812685864</v>
      </c>
      <c r="L262" s="1">
        <f>H251</f>
        <v>1009</v>
      </c>
      <c r="M262">
        <v>4</v>
      </c>
      <c r="N262" s="1">
        <v>7810.17</v>
      </c>
      <c r="O262" s="17">
        <f>N262/N263*100</f>
        <v>8.0863880785420719</v>
      </c>
      <c r="P262" s="52">
        <f>((O262*O262*(I262/100)*(K262/100))/(L262-1))</f>
        <v>4.4634886523348275E-3</v>
      </c>
      <c r="AI262" s="78"/>
    </row>
    <row r="263" spans="1:59" x14ac:dyDescent="0.3">
      <c r="B263" t="s">
        <v>28</v>
      </c>
      <c r="C263" s="17">
        <f>SUM(C258:C262)</f>
        <v>0.59471449562744039</v>
      </c>
      <c r="D263" s="17">
        <f>SUM(D258:D262)</f>
        <v>2.7387020512825511</v>
      </c>
      <c r="E263" s="17">
        <f>SUM(E258:E262)</f>
        <v>56.536948684305727</v>
      </c>
      <c r="F263" s="17">
        <f>SUM(F258:F262)</f>
        <v>31.295383648714825</v>
      </c>
      <c r="G263" s="17">
        <f>SUM(G258:G262)</f>
        <v>8.8342511200694673</v>
      </c>
      <c r="H263" s="1">
        <f>SUM(H257:H262)</f>
        <v>100.00000000000001</v>
      </c>
      <c r="I263" s="13" t="s">
        <v>24</v>
      </c>
      <c r="J263" s="12" t="s">
        <v>29</v>
      </c>
      <c r="N263" s="1">
        <f>SUM(N258:N262)</f>
        <v>96584.159999999989</v>
      </c>
      <c r="O263" s="17">
        <f>SUM(O258:O262)</f>
        <v>100.00000000000001</v>
      </c>
      <c r="AH263" s="78"/>
      <c r="AM263" s="78"/>
      <c r="AN263" s="78"/>
    </row>
    <row r="264" spans="1:59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0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0.13476352500197017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0.41527427140701972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0.49748755203171791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0.27917457678509411</v>
      </c>
      <c r="H264" s="1"/>
      <c r="I264" s="56">
        <f>(C258+D259+E260+F261+G262)/H263</f>
        <v>0.95171389662806027</v>
      </c>
      <c r="J264" s="53">
        <f>SQRT(SUM(P258:P262))/100</f>
        <v>5.0427433353588159E-3</v>
      </c>
      <c r="M264" s="1"/>
      <c r="N264" s="9"/>
      <c r="AI264" s="78"/>
    </row>
    <row r="265" spans="1:59" x14ac:dyDescent="0.3">
      <c r="B265" s="1" t="s">
        <v>30</v>
      </c>
      <c r="C265" s="17">
        <f>C258/C263*100</f>
        <v>100</v>
      </c>
      <c r="D265" s="17">
        <f>D259/D263*100</f>
        <v>87.884162189241877</v>
      </c>
      <c r="E265" s="17">
        <f>E260/E263*100</f>
        <v>97.74738801563177</v>
      </c>
      <c r="F265" s="17">
        <f>F261/F263*100</f>
        <v>94.010928078634038</v>
      </c>
      <c r="G265" s="17">
        <f>G262/G263*100</f>
        <v>84.73065227873721</v>
      </c>
      <c r="H265" s="1"/>
      <c r="AH265" s="78"/>
      <c r="AM265" s="78"/>
      <c r="AN265" s="78"/>
    </row>
    <row r="266" spans="1:59" x14ac:dyDescent="0.3">
      <c r="B266" s="16" t="s">
        <v>39</v>
      </c>
      <c r="C266" s="18">
        <f>SQRT((C269+C270)/(C263*C263))</f>
        <v>0</v>
      </c>
      <c r="D266" s="18">
        <f>SQRT((D269+D270)/(D263*D263))</f>
        <v>4.3282428295426394</v>
      </c>
      <c r="E266" s="18">
        <f>SQRT((E269+E270)/(E263*E263))</f>
        <v>0.45327394067834725</v>
      </c>
      <c r="F266" s="18">
        <f>SQRT((F269+F270)/(F263*F263))</f>
        <v>1.219057600824192</v>
      </c>
      <c r="G266" s="18">
        <f>SQRT((G269+G270)/(G263*G263))</f>
        <v>2.846799600611726</v>
      </c>
      <c r="H266" s="1"/>
      <c r="AI266" s="78"/>
    </row>
    <row r="267" spans="1:59" x14ac:dyDescent="0.3">
      <c r="B267" s="1" t="s">
        <v>37</v>
      </c>
      <c r="C267" s="18">
        <f>100-C265</f>
        <v>0</v>
      </c>
      <c r="D267" s="18">
        <f>100-D265</f>
        <v>12.115837810758123</v>
      </c>
      <c r="E267" s="18">
        <f>100-E265</f>
        <v>2.2526119843682295</v>
      </c>
      <c r="F267" s="18">
        <f>100-F265</f>
        <v>5.9890719213659622</v>
      </c>
      <c r="G267" s="18">
        <f>100-G265</f>
        <v>15.26934772126279</v>
      </c>
      <c r="AH267" s="78"/>
      <c r="AM267" s="78"/>
      <c r="AN267" s="78"/>
    </row>
    <row r="268" spans="1:59" ht="15.6" x14ac:dyDescent="0.35">
      <c r="B268" s="1" t="s">
        <v>25</v>
      </c>
      <c r="C268" s="1">
        <f>C252</f>
        <v>451</v>
      </c>
      <c r="D268" s="1">
        <f>D252</f>
        <v>63</v>
      </c>
      <c r="E268" s="1">
        <f>E252</f>
        <v>753</v>
      </c>
      <c r="F268" s="1">
        <f>F252</f>
        <v>611</v>
      </c>
      <c r="G268" s="1">
        <f>G252</f>
        <v>958</v>
      </c>
      <c r="AI268" s="78"/>
    </row>
    <row r="269" spans="1:59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0</v>
      </c>
      <c r="E269" s="18">
        <f>(O260*O260*(100-E265)*(100-E265)*(I260)*(100-I260))/((L260-1)*100)</f>
        <v>55.718469277795144</v>
      </c>
      <c r="F269" s="18">
        <f>(O261*O261*(100-F265)*(100-F265)*(I261)*(100-I261))/((L261-1)*100)</f>
        <v>502.24837067587487</v>
      </c>
      <c r="G269" s="18">
        <f>(O262*O262*(100-G265)*(100-G265)*(I262)*(100-I262))/((L262-1)*100)</f>
        <v>104.06756797419018</v>
      </c>
      <c r="AH269" s="78"/>
      <c r="AM269" s="78"/>
      <c r="AN269" s="78"/>
    </row>
    <row r="270" spans="1:59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140.51180431667754</v>
      </c>
      <c r="E270" s="18">
        <f>E265*E265*(SUM((H258*E258*(1-E247/H247))/(H247-1),(H259*E259*(1-E248/H248))/(H248-1), (H261*E261*(1-E250/H250))/(H250-1),(H262*E262*(1-E251/H251))/(H251-1)))</f>
        <v>601.01059180795687</v>
      </c>
      <c r="F270" s="18">
        <f>F265*F265*(SUM((H258*F258*(1-F247/H247))/(H247-1),(H259*F259*(1-F248/H248))/(H248-1), (H260*F260*(1-F249/H249))/(H249-1),(H262*F262*(1-F251/H251))/(H251-1)))</f>
        <v>953.24091606588684</v>
      </c>
      <c r="G270" s="18">
        <f>G265*G265*(SUM((H258*G258*(1-G247/H247))/(H247-1),(H259*G259*(1-G248/H248))/(H248-1), (H260*G260*(1-G249/H249))/(H249-1),(H261*G261*(1-G250/H250))/(H250-1)))</f>
        <v>528.42186324200475</v>
      </c>
      <c r="AI270" s="78"/>
    </row>
    <row r="271" spans="1:59" x14ac:dyDescent="0.3">
      <c r="A271" s="105" t="s">
        <v>645</v>
      </c>
      <c r="B271" s="69" t="s">
        <v>9</v>
      </c>
      <c r="C271" s="1">
        <v>288.91000000000003</v>
      </c>
      <c r="D271" s="1">
        <v>2401.61</v>
      </c>
      <c r="E271" s="1">
        <v>16146.52</v>
      </c>
      <c r="F271">
        <v>2079.56</v>
      </c>
      <c r="G271">
        <v>1228.3499999999999</v>
      </c>
      <c r="I271" t="s">
        <v>36</v>
      </c>
      <c r="J271" s="57">
        <f>SUM(C271:G271)</f>
        <v>22144.95</v>
      </c>
      <c r="AH271" s="78"/>
      <c r="AM271" s="78"/>
      <c r="AN271" s="78"/>
    </row>
    <row r="272" spans="1:59" x14ac:dyDescent="0.3">
      <c r="B272" t="s">
        <v>367</v>
      </c>
      <c r="C272" s="57">
        <f>(C271/$J271)*100</f>
        <v>1.3046315299876496</v>
      </c>
      <c r="D272" s="57">
        <f>(D271/$J271)*100</f>
        <v>10.844955621936379</v>
      </c>
      <c r="E272" s="57">
        <f>(E271/$J271)*100</f>
        <v>72.91287629911109</v>
      </c>
      <c r="F272" s="57">
        <f>(F271/$J271)*100</f>
        <v>9.3906737201935435</v>
      </c>
      <c r="G272" s="57">
        <f>(G271/$J271)*100</f>
        <v>5.546862828771344</v>
      </c>
      <c r="T272" s="2"/>
      <c r="AI272" s="78"/>
    </row>
    <row r="273" spans="1:40" x14ac:dyDescent="0.3">
      <c r="A273" s="348" t="s">
        <v>369</v>
      </c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 t="s">
        <v>82</v>
      </c>
      <c r="M273" s="348"/>
      <c r="N273" s="348"/>
      <c r="O273" s="348"/>
      <c r="P273" s="348"/>
      <c r="AH273" s="78"/>
      <c r="AM273" s="78"/>
      <c r="AN273" s="78"/>
    </row>
    <row r="274" spans="1:40" ht="15" thickBot="1" x14ac:dyDescent="0.35">
      <c r="A274" t="s">
        <v>315</v>
      </c>
      <c r="B274" t="s">
        <v>21</v>
      </c>
      <c r="I274" s="1" t="s">
        <v>53</v>
      </c>
      <c r="O274" s="350" t="s">
        <v>377</v>
      </c>
      <c r="P274" s="350"/>
      <c r="R274" s="59" t="s">
        <v>73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72</v>
      </c>
      <c r="AA274" s="12" t="s">
        <v>29</v>
      </c>
      <c r="AI274" s="78"/>
    </row>
    <row r="275" spans="1:40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51</v>
      </c>
      <c r="O275" s="13" t="s">
        <v>644</v>
      </c>
      <c r="P275" s="13" t="s">
        <v>633</v>
      </c>
      <c r="S275" t="s">
        <v>28</v>
      </c>
      <c r="T275" s="57">
        <f t="shared" ref="T275:X276" si="48">AVERAGE(T16,T26,T36,T46,T56)</f>
        <v>0.51342163941181229</v>
      </c>
      <c r="U275" s="57">
        <f t="shared" si="48"/>
        <v>2.6127360233043304</v>
      </c>
      <c r="V275" s="57">
        <f t="shared" si="48"/>
        <v>57.594624795052979</v>
      </c>
      <c r="W275" s="57">
        <f t="shared" si="48"/>
        <v>30.658227395805717</v>
      </c>
      <c r="X275" s="57">
        <f t="shared" si="48"/>
        <v>8.6209901464251644</v>
      </c>
      <c r="Z275" s="14">
        <f>AVERAGE(AE16,AE17,AE18,AE19,AE20)</f>
        <v>0.95971055020265283</v>
      </c>
      <c r="AA275" s="72">
        <f>AVERAGE(AF16,AF17,AF18,AF19,AF20)</f>
        <v>4.319497387421125E-3</v>
      </c>
      <c r="AH275" s="78"/>
      <c r="AM275" s="78"/>
      <c r="AN275" s="78"/>
    </row>
    <row r="276" spans="1:40" x14ac:dyDescent="0.3">
      <c r="A276" t="s">
        <v>3</v>
      </c>
      <c r="B276" s="13">
        <v>0</v>
      </c>
      <c r="C276" s="26">
        <v>451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451</v>
      </c>
      <c r="I276" s="10">
        <f>C276/H276</f>
        <v>1</v>
      </c>
      <c r="J276" s="11">
        <f>1-I276</f>
        <v>0</v>
      </c>
      <c r="K276">
        <f>H276-C281</f>
        <v>0</v>
      </c>
      <c r="N276" s="10">
        <f>2*(C282*I276)/(C282+I276)</f>
        <v>1</v>
      </c>
      <c r="O276" s="1"/>
      <c r="P276" s="1"/>
      <c r="S276" t="s">
        <v>39</v>
      </c>
      <c r="T276" s="57">
        <f t="shared" si="48"/>
        <v>0</v>
      </c>
      <c r="U276" s="57">
        <f t="shared" si="48"/>
        <v>0.13278687391453575</v>
      </c>
      <c r="V276" s="57">
        <f t="shared" si="48"/>
        <v>0.31412254114482224</v>
      </c>
      <c r="W276" s="57">
        <f t="shared" si="48"/>
        <v>0.42371217284276402</v>
      </c>
      <c r="X276" s="57">
        <f t="shared" si="48"/>
        <v>0.29009173980327163</v>
      </c>
      <c r="AI276" s="78"/>
    </row>
    <row r="277" spans="1:40" x14ac:dyDescent="0.3">
      <c r="A277" t="s">
        <v>4</v>
      </c>
      <c r="B277" s="13">
        <v>1</v>
      </c>
      <c r="C277" s="5">
        <v>0</v>
      </c>
      <c r="D277" s="27">
        <v>57</v>
      </c>
      <c r="E277" s="1">
        <v>0</v>
      </c>
      <c r="F277" s="1">
        <v>0</v>
      </c>
      <c r="G277" s="6">
        <v>0</v>
      </c>
      <c r="H277" s="1">
        <f>SUM(C277:G277)</f>
        <v>57</v>
      </c>
      <c r="I277" s="10">
        <f>D277/H277</f>
        <v>1</v>
      </c>
      <c r="J277" s="11">
        <f>1-I277</f>
        <v>0</v>
      </c>
      <c r="K277">
        <f>H277-D281</f>
        <v>-3</v>
      </c>
      <c r="N277" s="10">
        <f>2*(D282*I277)/(D282+I277)</f>
        <v>0.97435897435897434</v>
      </c>
      <c r="O277" s="1"/>
      <c r="P277" s="1"/>
      <c r="S277" s="66" t="s">
        <v>60</v>
      </c>
      <c r="T277" s="67">
        <f>1.96*T276</f>
        <v>0</v>
      </c>
      <c r="U277" s="67">
        <f>1.96*U276</f>
        <v>0.2602622728724901</v>
      </c>
      <c r="V277" s="67">
        <f>1.96*V276</f>
        <v>0.61568018064385155</v>
      </c>
      <c r="W277" s="67">
        <f>1.96*W276</f>
        <v>0.83047585877181751</v>
      </c>
      <c r="X277" s="67">
        <f>1.96*X276</f>
        <v>0.56857981001441238</v>
      </c>
      <c r="AH277" s="78"/>
      <c r="AM277" s="78"/>
      <c r="AN277" s="78"/>
    </row>
    <row r="278" spans="1:40" x14ac:dyDescent="0.3">
      <c r="A278" t="s">
        <v>5</v>
      </c>
      <c r="B278" s="13">
        <v>2</v>
      </c>
      <c r="C278" s="5">
        <v>0</v>
      </c>
      <c r="D278" s="1">
        <v>0</v>
      </c>
      <c r="E278" s="27">
        <v>734</v>
      </c>
      <c r="F278" s="1">
        <v>2</v>
      </c>
      <c r="G278" s="6">
        <v>1</v>
      </c>
      <c r="H278" s="1">
        <f>SUM(C278:G278)</f>
        <v>737</v>
      </c>
      <c r="I278" s="10">
        <f>E278/H278</f>
        <v>0.99592944369063774</v>
      </c>
      <c r="J278" s="11">
        <f>1-I278</f>
        <v>4.070556309362261E-3</v>
      </c>
      <c r="K278">
        <f>H278-E281</f>
        <v>-38</v>
      </c>
      <c r="N278" s="10">
        <f>2*(E282*I278)/(E282+I278)</f>
        <v>0.97089947089947093</v>
      </c>
      <c r="O278" s="1"/>
      <c r="P278" s="1"/>
      <c r="S278" t="s">
        <v>30</v>
      </c>
      <c r="T278" s="57">
        <f t="shared" ref="T278:X279" si="49">AVERAGE(T18,T28,T38,T48,T58)</f>
        <v>100</v>
      </c>
      <c r="U278" s="57">
        <f t="shared" si="49"/>
        <v>87.700470300978992</v>
      </c>
      <c r="V278" s="57">
        <f t="shared" si="49"/>
        <v>97.974487694924008</v>
      </c>
      <c r="W278" s="57">
        <f t="shared" si="49"/>
        <v>96.459408112509891</v>
      </c>
      <c r="X278" s="57">
        <f t="shared" si="49"/>
        <v>83.132164824473946</v>
      </c>
    </row>
    <row r="279" spans="1:40" x14ac:dyDescent="0.3">
      <c r="A279" t="s">
        <v>6</v>
      </c>
      <c r="B279" s="13">
        <v>3</v>
      </c>
      <c r="C279" s="5">
        <v>0</v>
      </c>
      <c r="D279" s="1">
        <v>3</v>
      </c>
      <c r="E279" s="1">
        <v>24</v>
      </c>
      <c r="F279" s="27">
        <v>532</v>
      </c>
      <c r="G279" s="6">
        <v>23</v>
      </c>
      <c r="H279" s="1">
        <f>SUM(C279:G279)</f>
        <v>582</v>
      </c>
      <c r="I279" s="10">
        <f>F279/H279</f>
        <v>0.91408934707903777</v>
      </c>
      <c r="J279" s="11">
        <f>1-I279</f>
        <v>8.5910652920962227E-2</v>
      </c>
      <c r="K279">
        <f>H279-F281</f>
        <v>-25</v>
      </c>
      <c r="N279" s="10">
        <f>2*(F282*I279)/(F282+I279)</f>
        <v>0.89486963835155586</v>
      </c>
      <c r="O279" s="1"/>
      <c r="P279" s="1"/>
      <c r="S279" t="s">
        <v>39</v>
      </c>
      <c r="T279" s="57">
        <f t="shared" si="49"/>
        <v>0</v>
      </c>
      <c r="U279" s="57">
        <f t="shared" si="49"/>
        <v>4.4618113103545163</v>
      </c>
      <c r="V279" s="57">
        <f t="shared" si="49"/>
        <v>0.41051640150854041</v>
      </c>
      <c r="W279" s="57">
        <f t="shared" si="49"/>
        <v>0.76568509661910511</v>
      </c>
      <c r="X279" s="57">
        <f t="shared" si="49"/>
        <v>3.0727468468466839</v>
      </c>
      <c r="AH279" s="78"/>
      <c r="AM279" s="78"/>
      <c r="AN279" s="78"/>
    </row>
    <row r="280" spans="1:40" x14ac:dyDescent="0.3">
      <c r="A280" t="s">
        <v>7</v>
      </c>
      <c r="B280" s="13">
        <v>4</v>
      </c>
      <c r="C280" s="7">
        <v>0</v>
      </c>
      <c r="D280" s="8">
        <v>0</v>
      </c>
      <c r="E280" s="8">
        <v>17</v>
      </c>
      <c r="F280" s="8">
        <v>73</v>
      </c>
      <c r="G280" s="28">
        <v>919</v>
      </c>
      <c r="H280" s="1">
        <f>SUM(C280:G280)</f>
        <v>1009</v>
      </c>
      <c r="I280" s="10">
        <f>G280/H280</f>
        <v>0.91080277502477702</v>
      </c>
      <c r="J280" s="11">
        <f>1-I280</f>
        <v>8.9197224975222977E-2</v>
      </c>
      <c r="K280">
        <f>H280-G281</f>
        <v>66</v>
      </c>
      <c r="N280" s="10">
        <f>2*(G282*I280)/(G282+I280)</f>
        <v>0.94159836065573776</v>
      </c>
      <c r="O280" s="1"/>
      <c r="P280" s="1"/>
      <c r="S280" s="66" t="s">
        <v>60</v>
      </c>
      <c r="T280" s="67">
        <f>1.96*T279</f>
        <v>0</v>
      </c>
      <c r="U280" s="67">
        <f>1.96*U279</f>
        <v>8.7451501682948525</v>
      </c>
      <c r="V280" s="67">
        <f>1.96*V279</f>
        <v>0.80461214695673922</v>
      </c>
      <c r="W280" s="67">
        <f>1.96*W279</f>
        <v>1.500742789373446</v>
      </c>
      <c r="X280" s="67">
        <f>1.96*X279</f>
        <v>6.0225838198195003</v>
      </c>
    </row>
    <row r="281" spans="1:40" ht="15.6" x14ac:dyDescent="0.35">
      <c r="B281" s="1" t="s">
        <v>19</v>
      </c>
      <c r="C281" s="1">
        <f>SUM(C276:C280)</f>
        <v>451</v>
      </c>
      <c r="D281" s="1">
        <f>SUM(D276:D280)</f>
        <v>60</v>
      </c>
      <c r="E281" s="1">
        <f>SUM(E276:E280)</f>
        <v>775</v>
      </c>
      <c r="F281" s="1">
        <f>SUM(F276:F280)</f>
        <v>607</v>
      </c>
      <c r="G281" s="1">
        <f>SUM(G276:G280)</f>
        <v>943</v>
      </c>
      <c r="H281" s="1">
        <f>SUM(H275:H280)</f>
        <v>2836</v>
      </c>
      <c r="I281" s="13" t="s">
        <v>12</v>
      </c>
      <c r="N281" s="16" t="s">
        <v>36</v>
      </c>
      <c r="O281" s="1">
        <f>SUM(O276:O280)</f>
        <v>0</v>
      </c>
      <c r="P281" s="1">
        <f>SUM(P276:P280)</f>
        <v>0</v>
      </c>
      <c r="S281" t="s">
        <v>31</v>
      </c>
      <c r="T281" s="57">
        <f t="shared" ref="T281:X282" si="50">AVERAGE(T20,T30,T40,T50,T60)</f>
        <v>100</v>
      </c>
      <c r="U281" s="57">
        <f t="shared" si="50"/>
        <v>100</v>
      </c>
      <c r="V281" s="57">
        <f t="shared" si="50"/>
        <v>99.023066485753048</v>
      </c>
      <c r="W281" s="57">
        <f t="shared" si="50"/>
        <v>91.546391752577307</v>
      </c>
      <c r="X281" s="57">
        <f t="shared" si="50"/>
        <v>90.564915758176411</v>
      </c>
      <c r="AH281" s="78"/>
      <c r="AM281" s="78"/>
      <c r="AN281" s="78"/>
    </row>
    <row r="282" spans="1:40" x14ac:dyDescent="0.3">
      <c r="A282" s="1" t="s">
        <v>316</v>
      </c>
      <c r="B282" s="1" t="s">
        <v>2</v>
      </c>
      <c r="C282" s="10">
        <f>C276/C281</f>
        <v>1</v>
      </c>
      <c r="D282" s="10">
        <f>D277/D281</f>
        <v>0.95</v>
      </c>
      <c r="E282" s="10">
        <f>E278/E281</f>
        <v>0.94709677419354843</v>
      </c>
      <c r="F282" s="10">
        <f>F279/F281</f>
        <v>0.87644151565074135</v>
      </c>
      <c r="G282" s="10">
        <f>G280/G281</f>
        <v>0.97454931071049844</v>
      </c>
      <c r="H282" s="10"/>
      <c r="I282" s="14">
        <f>(C276+D277+E278+F279+G280)/H281</f>
        <v>0.94957686882933712</v>
      </c>
      <c r="S282" t="s">
        <v>39</v>
      </c>
      <c r="T282" s="57">
        <f t="shared" si="50"/>
        <v>0</v>
      </c>
      <c r="U282" s="57">
        <f t="shared" si="50"/>
        <v>0</v>
      </c>
      <c r="V282" s="57">
        <f t="shared" si="50"/>
        <v>0.35879094979676707</v>
      </c>
      <c r="W282" s="57">
        <f t="shared" si="50"/>
        <v>1.1533464030242313</v>
      </c>
      <c r="X282" s="57">
        <f t="shared" si="50"/>
        <v>0.91216507830114768</v>
      </c>
    </row>
    <row r="283" spans="1:40" x14ac:dyDescent="0.3">
      <c r="B283" s="1" t="s">
        <v>14</v>
      </c>
      <c r="C283" s="11">
        <f>1-C282</f>
        <v>0</v>
      </c>
      <c r="D283" s="11">
        <f>1-D282</f>
        <v>5.0000000000000044E-2</v>
      </c>
      <c r="E283" s="11">
        <f>1-E282</f>
        <v>5.290322580645157E-2</v>
      </c>
      <c r="F283" s="11">
        <f>1-F282</f>
        <v>0.12355848434925865</v>
      </c>
      <c r="G283" s="11">
        <f>1-G282</f>
        <v>2.545068928950156E-2</v>
      </c>
      <c r="S283" s="66" t="s">
        <v>60</v>
      </c>
      <c r="T283" s="67">
        <f>1.96*T282</f>
        <v>0</v>
      </c>
      <c r="U283" s="67">
        <f>1.96*U282</f>
        <v>0</v>
      </c>
      <c r="V283" s="67">
        <f>1.96*V282</f>
        <v>0.70323026160166346</v>
      </c>
      <c r="W283" s="67">
        <f>1.96*W282</f>
        <v>2.2605589499274932</v>
      </c>
      <c r="X283" s="67">
        <f>1.96*X282</f>
        <v>1.7878435534702495</v>
      </c>
      <c r="AH283" s="78"/>
      <c r="AM283" s="78"/>
      <c r="AN283" s="78"/>
    </row>
    <row r="284" spans="1:40" x14ac:dyDescent="0.3">
      <c r="C284" s="2"/>
      <c r="S284" t="s">
        <v>51</v>
      </c>
      <c r="T284" s="57">
        <f>AVERAGE(T22,T32,T42,T52,T62)</f>
        <v>100</v>
      </c>
      <c r="U284" s="57">
        <f>AVERAGE(U22,U32,U42,U52,U62)</f>
        <v>95.162302937703998</v>
      </c>
      <c r="V284" s="57">
        <f>AVERAGE(V22,V32,V42,V52,V62)</f>
        <v>97.125698133327802</v>
      </c>
      <c r="W284" s="57">
        <f>AVERAGE(W22,W32,W42,W52,W62)</f>
        <v>88.910483497942508</v>
      </c>
      <c r="X284" s="57">
        <f>AVERAGE(X22,X32,X42,X52,X62)</f>
        <v>93.775232060821892</v>
      </c>
    </row>
    <row r="285" spans="1:40" ht="15.6" x14ac:dyDescent="0.35">
      <c r="A285" t="s">
        <v>317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</v>
      </c>
      <c r="U285" s="57">
        <f>_xlfn.STDEV.S(U22,U32,U42,U52,U62)</f>
        <v>0.66319980465698269</v>
      </c>
      <c r="V285" s="57">
        <f>_xlfn.STDEV.S(V22,V32,V42,V52,V62)</f>
        <v>0.19015481251394983</v>
      </c>
      <c r="W285" s="57">
        <f>_xlfn.STDEV.S(W22,W32,W42,W52,W62)</f>
        <v>1.6806571877672318</v>
      </c>
      <c r="X285" s="57">
        <f>_xlfn.STDEV.S(X22,X32,X42,X52,X62)</f>
        <v>1.4688338813937636</v>
      </c>
      <c r="AH285" s="78"/>
      <c r="AM285" s="78"/>
      <c r="AN285" s="78"/>
    </row>
    <row r="286" spans="1:40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60</v>
      </c>
      <c r="T286" s="67">
        <f>1.96*T285</f>
        <v>0</v>
      </c>
      <c r="U286" s="67">
        <f>1.96*U285</f>
        <v>1.2998716171276861</v>
      </c>
      <c r="V286" s="67">
        <f>1.96*V285</f>
        <v>0.37270343252734167</v>
      </c>
      <c r="W286" s="67">
        <f>1.96*W285</f>
        <v>3.2940880880237744</v>
      </c>
      <c r="X286" s="67">
        <f>1.96*X285</f>
        <v>2.8789144075317767</v>
      </c>
    </row>
    <row r="287" spans="1:40" x14ac:dyDescent="0.3">
      <c r="A287" t="s">
        <v>3</v>
      </c>
      <c r="B287" s="13">
        <v>0</v>
      </c>
      <c r="C287" s="29">
        <f>(C276/$L287)*$O287</f>
        <v>0.68017364338003261</v>
      </c>
      <c r="D287" s="31">
        <f>(D276/$L287)*$O287</f>
        <v>0</v>
      </c>
      <c r="E287" s="31">
        <f>(E276/$L287)*$O287</f>
        <v>0</v>
      </c>
      <c r="F287" s="31">
        <f>(F276/$L287)*$O287</f>
        <v>0</v>
      </c>
      <c r="G287" s="32">
        <f>(G276/$L287)*$O287</f>
        <v>0</v>
      </c>
      <c r="H287" s="17">
        <f>SUM(C287:G287)</f>
        <v>0.68017364338003261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451</v>
      </c>
      <c r="M287">
        <v>0</v>
      </c>
      <c r="N287" s="1">
        <v>656.94</v>
      </c>
      <c r="O287" s="17">
        <f>N287/N292*100</f>
        <v>0.68017364338003261</v>
      </c>
      <c r="P287" s="52">
        <f>((O287*O287*(I287/100)*(K287/100))/(L287-1))</f>
        <v>0</v>
      </c>
      <c r="R287" s="16" t="s">
        <v>70</v>
      </c>
      <c r="S287" t="s">
        <v>9</v>
      </c>
      <c r="T287" s="57">
        <f>AVERAGE(T23,T33,T43,T53,T63)</f>
        <v>495.88400000000001</v>
      </c>
      <c r="U287" s="57">
        <f>AVERAGE(U23,U33,U43,U53,U63)</f>
        <v>2212.2559999999999</v>
      </c>
      <c r="V287" s="57">
        <f>AVERAGE(V23,V33,V43,V53,V63)</f>
        <v>55037.464</v>
      </c>
      <c r="W287" s="57">
        <f>AVERAGE(W23,W33,W43,W53,W63)</f>
        <v>31198.07</v>
      </c>
      <c r="X287" s="57">
        <f>AVERAGE(X23,X33,X43,X53,X63)</f>
        <v>7640.49</v>
      </c>
      <c r="Z287" t="s">
        <v>36</v>
      </c>
      <c r="AA287" s="57">
        <f>AVERAGE(AA23,AA33,AA43,AA53,AA63)</f>
        <v>96584.164000000019</v>
      </c>
      <c r="AH287" s="78"/>
      <c r="AM287" s="78"/>
      <c r="AN287" s="78"/>
    </row>
    <row r="288" spans="1:40" x14ac:dyDescent="0.3">
      <c r="A288" t="s">
        <v>4</v>
      </c>
      <c r="B288" s="13">
        <v>1</v>
      </c>
      <c r="C288" s="33">
        <f t="shared" ref="C288:G291" si="51">(C277/$L288)*$O288</f>
        <v>0</v>
      </c>
      <c r="D288" s="34">
        <f t="shared" si="51"/>
        <v>1.9330705987400003</v>
      </c>
      <c r="E288" s="19">
        <f t="shared" si="51"/>
        <v>0</v>
      </c>
      <c r="F288" s="18">
        <f t="shared" si="51"/>
        <v>0</v>
      </c>
      <c r="G288" s="20">
        <f t="shared" si="51"/>
        <v>0</v>
      </c>
      <c r="H288" s="17">
        <f>SUM(C288:G288)</f>
        <v>1.9330705987400003</v>
      </c>
      <c r="I288" s="17">
        <f>D288/H288*100</f>
        <v>100</v>
      </c>
      <c r="J288" s="17">
        <f>SQRT(I288*(100-I288)/(L288-1))</f>
        <v>0</v>
      </c>
      <c r="K288" s="18">
        <f>100-I288</f>
        <v>0</v>
      </c>
      <c r="L288" s="1">
        <f>H277</f>
        <v>57</v>
      </c>
      <c r="M288">
        <v>1</v>
      </c>
      <c r="N288" s="1">
        <v>1867.04</v>
      </c>
      <c r="O288" s="17">
        <f>N288/N292*100</f>
        <v>1.9330705987400003</v>
      </c>
      <c r="P288" s="52">
        <f>((O288*O288*(I288/100)*(K288/100))/(L288-1))</f>
        <v>0</v>
      </c>
      <c r="S288" t="s">
        <v>29</v>
      </c>
      <c r="T288" s="57">
        <f>_xlfn.STDEV.S(T23,T33,T43,T53,T63)</f>
        <v>47.726723960481507</v>
      </c>
      <c r="U288" s="57">
        <f>_xlfn.STDEV.S(U23,U33,U43,U53,U63)</f>
        <v>148.73090358093035</v>
      </c>
      <c r="V288" s="57">
        <f>_xlfn.STDEV.S(V23,V33,V43,V53,V63)</f>
        <v>397.50930634388965</v>
      </c>
      <c r="W288" s="57">
        <f>_xlfn.STDEV.S(W23,W33,W43,W53,W63)</f>
        <v>395.74038529065979</v>
      </c>
      <c r="X288" s="57">
        <f>_xlfn.STDEV.S(X23,X33,X43,X53,X63)</f>
        <v>351.684467669529</v>
      </c>
      <c r="Z288" t="s">
        <v>29</v>
      </c>
      <c r="AA288" s="57">
        <f>_xlfn.STDEV.S(AA23,AA33,AA43,AA53,AA63)</f>
        <v>5.4772255721823124E-3</v>
      </c>
    </row>
    <row r="289" spans="1:40" x14ac:dyDescent="0.3">
      <c r="A289" t="s">
        <v>5</v>
      </c>
      <c r="B289" s="13">
        <v>2</v>
      </c>
      <c r="C289" s="33">
        <f t="shared" si="51"/>
        <v>0</v>
      </c>
      <c r="D289" s="19">
        <f t="shared" si="51"/>
        <v>0</v>
      </c>
      <c r="E289" s="34">
        <f t="shared" si="51"/>
        <v>57.129292694253976</v>
      </c>
      <c r="F289" s="19">
        <f t="shared" si="51"/>
        <v>0.15566564766826696</v>
      </c>
      <c r="G289" s="20">
        <f t="shared" si="51"/>
        <v>7.783282383413348E-2</v>
      </c>
      <c r="H289" s="17">
        <f>SUM(C289:G289)</f>
        <v>57.362791165756377</v>
      </c>
      <c r="I289" s="17">
        <f>E289/H289*100</f>
        <v>99.592944369063773</v>
      </c>
      <c r="J289" s="17">
        <f>SQRT(I289*(100-I289)/(L289-1))</f>
        <v>0.2346941488143626</v>
      </c>
      <c r="K289" s="18">
        <f>100-I289</f>
        <v>0.40705563093622743</v>
      </c>
      <c r="L289" s="1">
        <f>H278</f>
        <v>737</v>
      </c>
      <c r="M289">
        <v>2</v>
      </c>
      <c r="N289" s="1">
        <v>55403.37</v>
      </c>
      <c r="O289" s="17">
        <f>N289/N292*100</f>
        <v>57.362791165756377</v>
      </c>
      <c r="P289" s="52">
        <f>((O289*O289*(I289/100)*(K289/100))/(L289-1))</f>
        <v>1.8124459948534701E-2</v>
      </c>
      <c r="S289" t="s">
        <v>60</v>
      </c>
      <c r="T289" s="57">
        <f>1.96*T288</f>
        <v>93.544378962543746</v>
      </c>
      <c r="U289" s="57">
        <f>1.96*U288</f>
        <v>291.51257101862348</v>
      </c>
      <c r="V289" s="57">
        <f>1.96*V288</f>
        <v>779.11824043402373</v>
      </c>
      <c r="W289" s="57">
        <f>1.96*W288</f>
        <v>775.6511551696932</v>
      </c>
      <c r="X289" s="57">
        <f>1.96*X288</f>
        <v>689.30155663227686</v>
      </c>
      <c r="AH289" s="78"/>
      <c r="AM289" s="78"/>
      <c r="AN289" s="78"/>
    </row>
    <row r="290" spans="1:40" x14ac:dyDescent="0.3">
      <c r="A290" t="s">
        <v>6</v>
      </c>
      <c r="B290" s="13">
        <v>3</v>
      </c>
      <c r="C290" s="33">
        <f t="shared" si="51"/>
        <v>0</v>
      </c>
      <c r="D290" s="19">
        <f t="shared" si="51"/>
        <v>0.16331043341814883</v>
      </c>
      <c r="E290" s="19">
        <f t="shared" si="51"/>
        <v>1.3064834673451906</v>
      </c>
      <c r="F290" s="34">
        <f t="shared" si="51"/>
        <v>28.960383526151727</v>
      </c>
      <c r="G290" s="20">
        <f t="shared" si="51"/>
        <v>1.2520466562058077</v>
      </c>
      <c r="H290" s="17">
        <f>SUM(C290:G290)</f>
        <v>31.682224083120872</v>
      </c>
      <c r="I290" s="17">
        <f>F290/H290*100</f>
        <v>91.408934707903782</v>
      </c>
      <c r="J290" s="17">
        <f>SQRT(I290*(100-I290)/(L290-1))</f>
        <v>1.1625985245807122</v>
      </c>
      <c r="K290" s="18">
        <f>100-I290</f>
        <v>8.5910652920962178</v>
      </c>
      <c r="L290" s="1">
        <f>H279</f>
        <v>582</v>
      </c>
      <c r="M290">
        <v>3</v>
      </c>
      <c r="N290" s="1">
        <v>30600.01</v>
      </c>
      <c r="O290" s="17">
        <f>N290/N292*100</f>
        <v>31.682224083120875</v>
      </c>
      <c r="P290" s="52">
        <f>((O290*O290*(I290/100)*(K290/100))/(L290-1))</f>
        <v>0.13567219694812546</v>
      </c>
      <c r="R290" s="16" t="s">
        <v>69</v>
      </c>
      <c r="S290" t="s">
        <v>9</v>
      </c>
      <c r="T290" s="57">
        <f>AVERAGE(T24,T34,T44,T54,T64)</f>
        <v>495.88400000000001</v>
      </c>
      <c r="U290" s="57">
        <f>AVERAGE(U24,U34,U44,U54,U64)</f>
        <v>2523.4892405498285</v>
      </c>
      <c r="V290" s="57">
        <f>AVERAGE(V24,V34,V44,V54,V64)</f>
        <v>55627.286870670374</v>
      </c>
      <c r="W290" s="57">
        <f>AVERAGE(W24,W34,W44,W54,W64)</f>
        <v>29610.992634110502</v>
      </c>
      <c r="X290" s="57">
        <f>AVERAGE(X24,X34,X44,X54,X64)</f>
        <v>8326.511254669289</v>
      </c>
      <c r="Z290" t="s">
        <v>36</v>
      </c>
      <c r="AA290" s="24">
        <f>SUM(T290:X290)</f>
        <v>96584.16399999999</v>
      </c>
    </row>
    <row r="291" spans="1:40" x14ac:dyDescent="0.3">
      <c r="A291" t="s">
        <v>7</v>
      </c>
      <c r="B291" s="13">
        <v>4</v>
      </c>
      <c r="C291" s="35">
        <f t="shared" si="51"/>
        <v>0</v>
      </c>
      <c r="D291" s="36">
        <f t="shared" si="51"/>
        <v>0</v>
      </c>
      <c r="E291" s="21">
        <f t="shared" si="51"/>
        <v>0.14054468647477325</v>
      </c>
      <c r="F291" s="21">
        <f t="shared" si="51"/>
        <v>0.60351541839167344</v>
      </c>
      <c r="G291" s="37">
        <f t="shared" si="51"/>
        <v>7.5976804041362724</v>
      </c>
      <c r="H291" s="17">
        <f>SUM(C291:G291)</f>
        <v>8.3417405090027188</v>
      </c>
      <c r="I291" s="17">
        <f>G291/H291*100</f>
        <v>91.080277502477699</v>
      </c>
      <c r="J291" s="17">
        <f>SQRT(I291*(100-I291)/(L291-1))</f>
        <v>0.89775447398216002</v>
      </c>
      <c r="K291" s="18">
        <f>100-I291</f>
        <v>8.9197224975223008</v>
      </c>
      <c r="L291" s="1">
        <f>H280</f>
        <v>1009</v>
      </c>
      <c r="M291">
        <v>4</v>
      </c>
      <c r="N291" s="1">
        <v>8056.8</v>
      </c>
      <c r="O291" s="17">
        <f>N291/N292*100</f>
        <v>8.3417405090027188</v>
      </c>
      <c r="P291" s="52">
        <f>((O291*O291*(I291/100)*(K291/100))/(L291-1))</f>
        <v>5.608264760162086E-3</v>
      </c>
      <c r="S291" t="s">
        <v>29</v>
      </c>
      <c r="T291" s="57">
        <f>_xlfn.STDEV.S(T24,T34,T44,T54,T64)</f>
        <v>47.726723960481507</v>
      </c>
      <c r="U291" s="57">
        <f>_xlfn.STDEV.S(U24,U34,U44,U54,U64)</f>
        <v>183.09575961223746</v>
      </c>
      <c r="V291" s="57">
        <f>_xlfn.STDEV.S(V24,V34,V44,V54,V64)</f>
        <v>542.97407695760012</v>
      </c>
      <c r="W291" s="57">
        <f>_xlfn.STDEV.S(W24,W34,W44,W54,W64)</f>
        <v>567.04780560794279</v>
      </c>
      <c r="X291" s="57">
        <f>_xlfn.STDEV.S(X24,X34,X44,X54,X64)</f>
        <v>498.31185002026803</v>
      </c>
      <c r="AH291" s="78"/>
      <c r="AM291" s="78"/>
      <c r="AN291" s="78"/>
    </row>
    <row r="292" spans="1:40" x14ac:dyDescent="0.3">
      <c r="B292" t="s">
        <v>28</v>
      </c>
      <c r="C292" s="17">
        <f>SUM(C287:C291)</f>
        <v>0.68017364338003261</v>
      </c>
      <c r="D292" s="17">
        <f>SUM(D287:D291)</f>
        <v>2.0963810321581491</v>
      </c>
      <c r="E292" s="17">
        <f>SUM(E287:E291)</f>
        <v>58.576320848073941</v>
      </c>
      <c r="F292" s="17">
        <f>SUM(F287:F291)</f>
        <v>29.719564592211668</v>
      </c>
      <c r="G292" s="17">
        <f>SUM(G287:G291)</f>
        <v>8.9275598841762136</v>
      </c>
      <c r="H292" s="1">
        <f>SUM(H286:H291)</f>
        <v>100</v>
      </c>
      <c r="I292" s="13" t="s">
        <v>24</v>
      </c>
      <c r="J292" s="12" t="s">
        <v>29</v>
      </c>
      <c r="N292" s="1">
        <f>SUM(N287:N291)</f>
        <v>96584.16</v>
      </c>
      <c r="O292" s="17">
        <f>SUM(O287:O291)</f>
        <v>100</v>
      </c>
      <c r="S292" s="66" t="s">
        <v>60</v>
      </c>
      <c r="T292" s="67">
        <f>1.96*T291</f>
        <v>93.544378962543746</v>
      </c>
      <c r="U292" s="67">
        <f>1.96*U291</f>
        <v>358.86768883998542</v>
      </c>
      <c r="V292" s="67">
        <f>1.96*V291</f>
        <v>1064.2291908368961</v>
      </c>
      <c r="W292" s="67">
        <f>1.96*W291</f>
        <v>1111.4136989915678</v>
      </c>
      <c r="X292" s="67">
        <f>1.96*X291</f>
        <v>976.69122603972528</v>
      </c>
    </row>
    <row r="293" spans="1:40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0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9.4044000166718045E-2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0.2956859796869058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0.39006484460408164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0.27769831837343978</v>
      </c>
      <c r="H293" s="1"/>
      <c r="I293" s="56">
        <f>(C287+D288+E289+F290+G291)/H292</f>
        <v>0.96300600866662012</v>
      </c>
      <c r="J293" s="53">
        <f>SQRT(SUM(P287:P291))/100</f>
        <v>3.9925545914467125E-3</v>
      </c>
      <c r="M293" s="1"/>
      <c r="N293" s="9"/>
      <c r="AH293" s="78"/>
      <c r="AM293" s="78"/>
      <c r="AN293" s="78"/>
    </row>
    <row r="294" spans="1:40" x14ac:dyDescent="0.3">
      <c r="B294" s="1" t="s">
        <v>30</v>
      </c>
      <c r="C294" s="17">
        <f>C287/C292*100</f>
        <v>100</v>
      </c>
      <c r="D294" s="17">
        <f>D288/D292*100</f>
        <v>92.209887853734941</v>
      </c>
      <c r="E294" s="17">
        <f>E289/E292*100</f>
        <v>97.529670466035185</v>
      </c>
      <c r="F294" s="17">
        <f>F290/F292*100</f>
        <v>97.445517535412023</v>
      </c>
      <c r="G294" s="17">
        <f>G291/G292*100</f>
        <v>85.103662173164409</v>
      </c>
      <c r="H294" s="1"/>
    </row>
    <row r="295" spans="1:40" x14ac:dyDescent="0.3">
      <c r="B295" s="16" t="s">
        <v>39</v>
      </c>
      <c r="C295" s="18">
        <f>SQRT((C298+C299)/(C292*C292))</f>
        <v>0</v>
      </c>
      <c r="D295" s="18">
        <f>SQRT((D298+D299)/(D292*D292))</f>
        <v>4.1401091587839565</v>
      </c>
      <c r="E295" s="18">
        <f>SQRT((E298+E299)/(E292*E292))</f>
        <v>0.44243833180262709</v>
      </c>
      <c r="F295" s="18">
        <f>SQRT((F298+F299)/(F292*F292))</f>
        <v>0.52926392824128976</v>
      </c>
      <c r="G295" s="18">
        <f>SQRT((G298+G299)/(G292*G292))</f>
        <v>2.8409532490032823</v>
      </c>
      <c r="H295" s="1"/>
      <c r="AH295" s="78"/>
      <c r="AM295" s="78"/>
      <c r="AN295" s="78"/>
    </row>
    <row r="296" spans="1:40" x14ac:dyDescent="0.3">
      <c r="B296" s="1" t="s">
        <v>37</v>
      </c>
      <c r="C296" s="18">
        <f>100-C294</f>
        <v>0</v>
      </c>
      <c r="D296" s="18">
        <f>100-D294</f>
        <v>7.7901121462650593</v>
      </c>
      <c r="E296" s="18">
        <f>100-E294</f>
        <v>2.470329533964815</v>
      </c>
      <c r="F296" s="18">
        <f>100-F294</f>
        <v>2.5544824645879771</v>
      </c>
      <c r="G296" s="18">
        <f>100-G294</f>
        <v>14.896337826835591</v>
      </c>
    </row>
    <row r="297" spans="1:40" ht="15.6" x14ac:dyDescent="0.35">
      <c r="B297" s="1" t="s">
        <v>25</v>
      </c>
      <c r="C297" s="1">
        <f>C281</f>
        <v>451</v>
      </c>
      <c r="D297" s="1">
        <f>D281</f>
        <v>60</v>
      </c>
      <c r="E297" s="1">
        <f>E281</f>
        <v>775</v>
      </c>
      <c r="F297" s="1">
        <f>F281</f>
        <v>607</v>
      </c>
      <c r="G297" s="1">
        <f>G281</f>
        <v>943</v>
      </c>
      <c r="AH297" s="78"/>
      <c r="AM297" s="78"/>
      <c r="AN297" s="78"/>
    </row>
    <row r="298" spans="1:40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0</v>
      </c>
      <c r="E298" s="18">
        <f>(O289*O289*(100-E294)*(100-E294)*(I289)*(100-I289))/((L289-1)*100)</f>
        <v>11.060502443642424</v>
      </c>
      <c r="F298" s="18">
        <f>(O290*O290*(100-F294)*(100-F294)*(I290)*(100-I290))/((L290-1)*100)</f>
        <v>88.531273032108601</v>
      </c>
      <c r="G298" s="18">
        <f>(O291*O291*(100-G294)*(100-G294)*(I291)*(100-I291))/((L291-1)*100)</f>
        <v>124.44788892051299</v>
      </c>
    </row>
    <row r="299" spans="1:40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75.329316536361915</v>
      </c>
      <c r="E299" s="18">
        <f>E294*E294*(SUM((H287*E287*(1-E276/H276))/(H276-1),(H288*E288*(1-E277/H277))/(H277-1), (H290*E290*(1-E279/H279))/(H279-1),(H291*E291*(1-E280/H280))/(H280-1)))</f>
        <v>660.59978821427467</v>
      </c>
      <c r="F299" s="18">
        <f>F294*F294*(SUM((H287*F287*(1-F276/H276))/(H276-1),(H288*F288*(1-F277/H277))/(H277-1), (H289*F289*(1-F278/H278))/(H278-1),(H291*F291*(1-F280/H280))/(H280-1)))</f>
        <v>158.88569278774693</v>
      </c>
      <c r="G299" s="18">
        <f>G294*G294*(SUM((H287*G287*(1-G276/H276))/(H276-1),(H288*G288*(1-G277/H277))/(H277-1), (H289*G289*(1-G278/H278))/(H278-1),(H290*G290*(1-G279/H279))/(H279-1)))</f>
        <v>518.82273352662162</v>
      </c>
      <c r="AH299" s="78"/>
      <c r="AM299" s="78"/>
      <c r="AN299" s="78"/>
    </row>
    <row r="300" spans="1:40" x14ac:dyDescent="0.3">
      <c r="A300" s="105" t="s">
        <v>645</v>
      </c>
      <c r="B300" s="69" t="s">
        <v>9</v>
      </c>
      <c r="C300" s="1">
        <v>287.02</v>
      </c>
      <c r="D300" s="1">
        <v>2364.25</v>
      </c>
      <c r="E300" s="1">
        <v>16230.51</v>
      </c>
      <c r="F300">
        <v>2094.6</v>
      </c>
      <c r="G300">
        <v>1168.57</v>
      </c>
      <c r="I300" t="s">
        <v>36</v>
      </c>
      <c r="J300" s="57">
        <f>SUM(C300:G300)</f>
        <v>22144.949999999997</v>
      </c>
    </row>
    <row r="301" spans="1:40" x14ac:dyDescent="0.3">
      <c r="B301" t="s">
        <v>367</v>
      </c>
      <c r="C301" s="57">
        <f>(C300/$J300)*100</f>
        <v>1.2960968527813339</v>
      </c>
      <c r="D301" s="57">
        <f>(D300/$J300)*100</f>
        <v>10.676248986789314</v>
      </c>
      <c r="E301" s="57">
        <f>(E300/$J300)*100</f>
        <v>73.292150129036202</v>
      </c>
      <c r="F301" s="57">
        <f>(F300/$J300)*100</f>
        <v>9.4585898816660237</v>
      </c>
      <c r="G301" s="57">
        <f>(G300/$J300)*100</f>
        <v>5.2769141497271388</v>
      </c>
      <c r="AH301" s="78"/>
      <c r="AM301" s="78"/>
      <c r="AN301" s="78"/>
    </row>
    <row r="302" spans="1:40" x14ac:dyDescent="0.3">
      <c r="A302" s="348" t="s">
        <v>369</v>
      </c>
      <c r="B302" s="348"/>
      <c r="C302" s="348"/>
      <c r="D302" s="348"/>
      <c r="E302" s="348"/>
      <c r="F302" s="348"/>
      <c r="G302" s="348"/>
      <c r="H302" s="348"/>
      <c r="I302" s="348"/>
      <c r="J302" s="348"/>
      <c r="K302" s="348"/>
      <c r="L302" s="348" t="s">
        <v>83</v>
      </c>
      <c r="M302" s="348"/>
      <c r="N302" s="348"/>
      <c r="O302" s="348"/>
      <c r="P302" s="348"/>
    </row>
    <row r="303" spans="1:40" x14ac:dyDescent="0.3">
      <c r="A303" t="s">
        <v>315</v>
      </c>
      <c r="B303" t="s">
        <v>21</v>
      </c>
      <c r="I303" s="1" t="s">
        <v>53</v>
      </c>
      <c r="O303" s="350" t="s">
        <v>377</v>
      </c>
      <c r="P303" s="350"/>
      <c r="AH303" s="78"/>
      <c r="AM303" s="78"/>
      <c r="AN303" s="78"/>
    </row>
    <row r="304" spans="1:40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51</v>
      </c>
      <c r="O304" s="13" t="s">
        <v>644</v>
      </c>
      <c r="P304" s="13" t="s">
        <v>633</v>
      </c>
    </row>
    <row r="305" spans="1:40" x14ac:dyDescent="0.3">
      <c r="A305" t="s">
        <v>3</v>
      </c>
      <c r="B305" s="13">
        <v>0</v>
      </c>
      <c r="C305" s="26">
        <v>451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451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/>
      <c r="P305" s="1"/>
      <c r="AH305" s="78"/>
      <c r="AM305" s="78"/>
      <c r="AN305" s="78"/>
    </row>
    <row r="306" spans="1:40" x14ac:dyDescent="0.3">
      <c r="A306" t="s">
        <v>4</v>
      </c>
      <c r="B306" s="13">
        <v>1</v>
      </c>
      <c r="C306" s="5">
        <v>0</v>
      </c>
      <c r="D306" s="27">
        <v>57</v>
      </c>
      <c r="E306" s="1">
        <v>0</v>
      </c>
      <c r="F306" s="1">
        <v>0</v>
      </c>
      <c r="G306" s="6">
        <v>0</v>
      </c>
      <c r="H306" s="1">
        <f>SUM(C306:G306)</f>
        <v>57</v>
      </c>
      <c r="I306" s="10">
        <f>D306/H306</f>
        <v>1</v>
      </c>
      <c r="J306" s="11">
        <f>1-I306</f>
        <v>0</v>
      </c>
      <c r="K306">
        <f>H306-D310</f>
        <v>-6</v>
      </c>
      <c r="N306" s="10">
        <f>2*(D311*I306)/(D311+I306)</f>
        <v>0.95000000000000007</v>
      </c>
      <c r="O306" s="1"/>
      <c r="P306" s="1"/>
    </row>
    <row r="307" spans="1:40" x14ac:dyDescent="0.3">
      <c r="A307" t="s">
        <v>5</v>
      </c>
      <c r="B307" s="13">
        <v>2</v>
      </c>
      <c r="C307" s="5">
        <v>0</v>
      </c>
      <c r="D307" s="1">
        <v>0</v>
      </c>
      <c r="E307" s="27">
        <v>733</v>
      </c>
      <c r="F307" s="1">
        <v>3</v>
      </c>
      <c r="G307" s="6">
        <v>1</v>
      </c>
      <c r="H307" s="1">
        <f>SUM(C307:G307)</f>
        <v>737</v>
      </c>
      <c r="I307" s="10">
        <f>E307/H307</f>
        <v>0.99457259158751699</v>
      </c>
      <c r="J307" s="11">
        <f>1-I307</f>
        <v>5.4274084124830146E-3</v>
      </c>
      <c r="K307">
        <f>H307-E310</f>
        <v>-28</v>
      </c>
      <c r="N307" s="10">
        <f>2*(E311*I307)/(E311+I307)</f>
        <v>0.97603195739014637</v>
      </c>
      <c r="O307" s="1"/>
      <c r="P307" s="1"/>
      <c r="AH307" s="78"/>
      <c r="AM307" s="78"/>
      <c r="AN307" s="78"/>
    </row>
    <row r="308" spans="1:40" x14ac:dyDescent="0.3">
      <c r="A308" t="s">
        <v>6</v>
      </c>
      <c r="B308" s="13">
        <v>3</v>
      </c>
      <c r="C308" s="5">
        <v>0</v>
      </c>
      <c r="D308" s="1">
        <v>6</v>
      </c>
      <c r="E308" s="1">
        <v>18</v>
      </c>
      <c r="F308" s="27">
        <v>533</v>
      </c>
      <c r="G308" s="6">
        <v>25</v>
      </c>
      <c r="H308" s="1">
        <f>SUM(C308:G308)</f>
        <v>582</v>
      </c>
      <c r="I308" s="10">
        <f>F308/H308</f>
        <v>0.91580756013745701</v>
      </c>
      <c r="J308" s="11">
        <f>1-I308</f>
        <v>8.4192439862542989E-2</v>
      </c>
      <c r="K308">
        <f>H308-F310</f>
        <v>-2</v>
      </c>
      <c r="N308" s="10">
        <f>2*(F311*I308)/(F311+I308)</f>
        <v>0.91423670668953683</v>
      </c>
      <c r="O308" s="1"/>
      <c r="P308" s="1"/>
    </row>
    <row r="309" spans="1:40" x14ac:dyDescent="0.3">
      <c r="A309" t="s">
        <v>7</v>
      </c>
      <c r="B309" s="13">
        <v>4</v>
      </c>
      <c r="C309" s="7">
        <v>0</v>
      </c>
      <c r="D309" s="8">
        <v>0</v>
      </c>
      <c r="E309" s="8">
        <v>14</v>
      </c>
      <c r="F309" s="8">
        <v>48</v>
      </c>
      <c r="G309" s="28">
        <v>947</v>
      </c>
      <c r="H309" s="1">
        <f>SUM(C309:G309)</f>
        <v>1009</v>
      </c>
      <c r="I309" s="10">
        <f>G309/H309</f>
        <v>0.93855302279484643</v>
      </c>
      <c r="J309" s="11">
        <f>1-I309</f>
        <v>6.1446977205153575E-2</v>
      </c>
      <c r="K309">
        <f>H309-G310</f>
        <v>36</v>
      </c>
      <c r="N309" s="10">
        <f>2*(G311*I309)/(G311+I309)</f>
        <v>0.95560040363269416</v>
      </c>
      <c r="O309" s="1"/>
      <c r="P309" s="1"/>
      <c r="AH309" s="78"/>
      <c r="AM309" s="78"/>
      <c r="AN309" s="78"/>
    </row>
    <row r="310" spans="1:40" ht="15.6" x14ac:dyDescent="0.35">
      <c r="B310" s="1" t="s">
        <v>19</v>
      </c>
      <c r="C310" s="1">
        <f>SUM(C305:C309)</f>
        <v>451</v>
      </c>
      <c r="D310" s="1">
        <f>SUM(D305:D309)</f>
        <v>63</v>
      </c>
      <c r="E310" s="1">
        <f>SUM(E305:E309)</f>
        <v>765</v>
      </c>
      <c r="F310" s="1">
        <f>SUM(F305:F309)</f>
        <v>584</v>
      </c>
      <c r="G310" s="1">
        <f>SUM(G305:G309)</f>
        <v>973</v>
      </c>
      <c r="H310" s="1">
        <f>SUM(H304:H309)</f>
        <v>2836</v>
      </c>
      <c r="I310" s="13" t="s">
        <v>12</v>
      </c>
      <c r="N310" s="16" t="s">
        <v>36</v>
      </c>
      <c r="O310" s="1">
        <f>SUM(O305:O309)</f>
        <v>0</v>
      </c>
      <c r="P310" s="1">
        <f>SUM(P305:P309)</f>
        <v>0</v>
      </c>
    </row>
    <row r="311" spans="1:40" x14ac:dyDescent="0.3">
      <c r="A311" s="1" t="s">
        <v>316</v>
      </c>
      <c r="B311" s="1" t="s">
        <v>2</v>
      </c>
      <c r="C311" s="10">
        <f>C305/C310</f>
        <v>1</v>
      </c>
      <c r="D311" s="10">
        <f>D306/D310</f>
        <v>0.90476190476190477</v>
      </c>
      <c r="E311" s="10">
        <f>E307/E310</f>
        <v>0.95816993464052291</v>
      </c>
      <c r="F311" s="10">
        <f>F308/F310</f>
        <v>0.91267123287671237</v>
      </c>
      <c r="G311" s="10">
        <f>G309/G310</f>
        <v>0.97327852004110993</v>
      </c>
      <c r="H311" s="10"/>
      <c r="I311" s="14">
        <f>(C305+D306+E307+F308+G309)/H310</f>
        <v>0.95944992947813823</v>
      </c>
      <c r="AH311" s="78"/>
      <c r="AM311" s="78"/>
      <c r="AN311" s="78"/>
    </row>
    <row r="312" spans="1:40" x14ac:dyDescent="0.3">
      <c r="B312" s="1" t="s">
        <v>14</v>
      </c>
      <c r="C312" s="11">
        <f>1-C311</f>
        <v>0</v>
      </c>
      <c r="D312" s="11">
        <f>1-D311</f>
        <v>9.5238095238095233E-2</v>
      </c>
      <c r="E312" s="11">
        <f>1-E311</f>
        <v>4.1830065359477087E-2</v>
      </c>
      <c r="F312" s="11">
        <f>1-F311</f>
        <v>8.7328767123287632E-2</v>
      </c>
      <c r="G312" s="11">
        <f>1-G311</f>
        <v>2.6721479958890071E-2</v>
      </c>
      <c r="Q312" s="25"/>
    </row>
    <row r="313" spans="1:40" x14ac:dyDescent="0.3">
      <c r="C313" s="2"/>
      <c r="Q313" s="25"/>
      <c r="AH313" s="78"/>
      <c r="AM313" s="78"/>
      <c r="AN313" s="78"/>
    </row>
    <row r="314" spans="1:40" ht="15.6" x14ac:dyDescent="0.35">
      <c r="A314" t="s">
        <v>317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0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</row>
    <row r="316" spans="1:40" x14ac:dyDescent="0.3">
      <c r="A316" t="s">
        <v>3</v>
      </c>
      <c r="B316" s="13">
        <v>0</v>
      </c>
      <c r="C316" s="29">
        <f>(C305/$L316)*$O316</f>
        <v>0.49331070436394531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0.49331070436394531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451</v>
      </c>
      <c r="M316">
        <v>0</v>
      </c>
      <c r="N316" s="1">
        <v>476.46</v>
      </c>
      <c r="O316" s="17">
        <f>N316/N321*100</f>
        <v>0.49331070436394531</v>
      </c>
      <c r="P316" s="52">
        <f>((O316*O316*(I316/100)*(K316/100))/(L316-1))</f>
        <v>0</v>
      </c>
    </row>
    <row r="317" spans="1:40" x14ac:dyDescent="0.3">
      <c r="A317" t="s">
        <v>4</v>
      </c>
      <c r="B317" s="13">
        <v>1</v>
      </c>
      <c r="C317" s="33">
        <f t="shared" ref="C317:G320" si="52">(C306/$L317)*$O317</f>
        <v>0</v>
      </c>
      <c r="D317" s="34">
        <f t="shared" si="52"/>
        <v>2.2274666984731244</v>
      </c>
      <c r="E317" s="19">
        <f t="shared" si="52"/>
        <v>0</v>
      </c>
      <c r="F317" s="18">
        <f t="shared" si="52"/>
        <v>0</v>
      </c>
      <c r="G317" s="20">
        <f t="shared" si="52"/>
        <v>0</v>
      </c>
      <c r="H317" s="17">
        <f>SUM(C317:G317)</f>
        <v>2.2274666984731244</v>
      </c>
      <c r="I317" s="17">
        <f>D317/H317*100</f>
        <v>100</v>
      </c>
      <c r="J317" s="17">
        <f>SQRT(I317*(100-I317)/(L317-1))</f>
        <v>0</v>
      </c>
      <c r="K317" s="18">
        <f>100-I317</f>
        <v>0</v>
      </c>
      <c r="L317" s="1">
        <f>H306</f>
        <v>57</v>
      </c>
      <c r="M317">
        <v>1</v>
      </c>
      <c r="N317" s="1">
        <v>2151.38</v>
      </c>
      <c r="O317" s="17">
        <f>N317/N321*100</f>
        <v>2.2274666984731244</v>
      </c>
      <c r="P317" s="52">
        <f>((O317*O317*(I317/100)*(K317/100))/(L317-1))</f>
        <v>0</v>
      </c>
      <c r="AM317" s="78"/>
      <c r="AN317" s="78"/>
    </row>
    <row r="318" spans="1:40" x14ac:dyDescent="0.3">
      <c r="A318" t="s">
        <v>5</v>
      </c>
      <c r="B318" s="13">
        <v>2</v>
      </c>
      <c r="C318" s="33">
        <f t="shared" si="52"/>
        <v>0</v>
      </c>
      <c r="D318" s="19">
        <f t="shared" si="52"/>
        <v>0</v>
      </c>
      <c r="E318" s="34">
        <f t="shared" si="52"/>
        <v>56.718985422595409</v>
      </c>
      <c r="F318" s="19">
        <f t="shared" si="52"/>
        <v>0.232137730242546</v>
      </c>
      <c r="G318" s="20">
        <f t="shared" si="52"/>
        <v>7.7379243414181995E-2</v>
      </c>
      <c r="H318" s="17">
        <f>SUM(C318:G318)</f>
        <v>57.028502396252144</v>
      </c>
      <c r="I318" s="17">
        <f>E318/H318*100</f>
        <v>99.457259158751683</v>
      </c>
      <c r="J318" s="17">
        <f>SQRT(I318*(100-I318)/(L318-1))</f>
        <v>0.27081679117169544</v>
      </c>
      <c r="K318" s="18">
        <f>100-I318</f>
        <v>0.54274084124831745</v>
      </c>
      <c r="L318" s="1">
        <f>H307</f>
        <v>737</v>
      </c>
      <c r="M318">
        <v>2</v>
      </c>
      <c r="N318" s="1">
        <v>55080.5</v>
      </c>
      <c r="O318" s="17">
        <f>N318/N321*100</f>
        <v>57.028502396252136</v>
      </c>
      <c r="P318" s="52">
        <f>((O318*O318*(I318/100)*(K318/100))/(L318-1))</f>
        <v>2.3852566191416083E-2</v>
      </c>
    </row>
    <row r="319" spans="1:40" x14ac:dyDescent="0.3">
      <c r="A319" t="s">
        <v>6</v>
      </c>
      <c r="B319" s="13">
        <v>3</v>
      </c>
      <c r="C319" s="33">
        <f t="shared" si="52"/>
        <v>0</v>
      </c>
      <c r="D319" s="19">
        <f t="shared" si="52"/>
        <v>0.32793716984725269</v>
      </c>
      <c r="E319" s="19">
        <f t="shared" si="52"/>
        <v>0.983811509541758</v>
      </c>
      <c r="F319" s="34">
        <f t="shared" si="52"/>
        <v>29.131751921430943</v>
      </c>
      <c r="G319" s="20">
        <f t="shared" si="52"/>
        <v>1.3664048743635528</v>
      </c>
      <c r="H319" s="17">
        <f>SUM(C319:G319)</f>
        <v>31.809905475183509</v>
      </c>
      <c r="I319" s="17">
        <f>F319/H319*100</f>
        <v>91.580756013745699</v>
      </c>
      <c r="J319" s="17">
        <f>SQRT(I319*(100-I319)/(L319-1))</f>
        <v>1.1519949988277658</v>
      </c>
      <c r="K319" s="18">
        <f>100-I319</f>
        <v>8.4192439862543011</v>
      </c>
      <c r="L319" s="1">
        <f>H308</f>
        <v>582</v>
      </c>
      <c r="M319">
        <v>3</v>
      </c>
      <c r="N319" s="1">
        <v>30723.33</v>
      </c>
      <c r="O319" s="17">
        <f>N319/N321*100</f>
        <v>31.809905475183509</v>
      </c>
      <c r="P319" s="52">
        <f>((O319*O319*(I319/100)*(K319/100))/(L319-1))</f>
        <v>0.13428451796113325</v>
      </c>
      <c r="AM319" s="78"/>
      <c r="AN319" s="78"/>
    </row>
    <row r="320" spans="1:40" x14ac:dyDescent="0.3">
      <c r="A320" t="s">
        <v>7</v>
      </c>
      <c r="B320" s="13">
        <v>4</v>
      </c>
      <c r="C320" s="35">
        <f t="shared" si="52"/>
        <v>0</v>
      </c>
      <c r="D320" s="36">
        <f t="shared" si="52"/>
        <v>0</v>
      </c>
      <c r="E320" s="21">
        <f t="shared" si="52"/>
        <v>0.11711735001009113</v>
      </c>
      <c r="F320" s="21">
        <f t="shared" si="52"/>
        <v>0.40154520003459815</v>
      </c>
      <c r="G320" s="37">
        <f t="shared" si="52"/>
        <v>7.9221521756825934</v>
      </c>
      <c r="H320" s="17">
        <f>SUM(C320:G320)</f>
        <v>8.4408147257272823</v>
      </c>
      <c r="I320" s="17">
        <f>G320/H320*100</f>
        <v>93.855302279484647</v>
      </c>
      <c r="J320" s="17">
        <f>SQRT(I320*(100-I320)/(L320-1))</f>
        <v>0.75639631076802649</v>
      </c>
      <c r="K320" s="18">
        <f>100-I320</f>
        <v>6.144697720515353</v>
      </c>
      <c r="L320" s="1">
        <f>H309</f>
        <v>1009</v>
      </c>
      <c r="M320">
        <v>4</v>
      </c>
      <c r="N320" s="1">
        <v>8152.49</v>
      </c>
      <c r="O320" s="17">
        <f>N320/N321*100</f>
        <v>8.4408147257272823</v>
      </c>
      <c r="P320" s="52">
        <f>((O320*O320*(I320/100)*(K320/100))/(L320-1))</f>
        <v>4.076313144128583E-3</v>
      </c>
    </row>
    <row r="321" spans="1:40" x14ac:dyDescent="0.3">
      <c r="B321" t="s">
        <v>28</v>
      </c>
      <c r="C321" s="17">
        <f t="shared" ref="C321:H321" si="53">SUM(C316:C320)</f>
        <v>0.49331070436394531</v>
      </c>
      <c r="D321" s="17">
        <f t="shared" si="53"/>
        <v>2.555403868320377</v>
      </c>
      <c r="E321" s="17">
        <f t="shared" si="53"/>
        <v>57.819914282147259</v>
      </c>
      <c r="F321" s="17">
        <f t="shared" si="53"/>
        <v>29.765434851708086</v>
      </c>
      <c r="G321" s="17">
        <f t="shared" si="53"/>
        <v>9.3659362934603276</v>
      </c>
      <c r="H321" s="18">
        <f t="shared" si="53"/>
        <v>100</v>
      </c>
      <c r="I321" s="13" t="s">
        <v>24</v>
      </c>
      <c r="J321" s="12" t="s">
        <v>29</v>
      </c>
      <c r="N321" s="1">
        <f>SUM(N316:N320)</f>
        <v>96584.16</v>
      </c>
      <c r="O321" s="17">
        <f>SUM(O316:O320)</f>
        <v>100</v>
      </c>
      <c r="AM321" s="78"/>
      <c r="AN321" s="78"/>
    </row>
    <row r="322" spans="1:40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0.13318789912367213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0.27729896622450295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0.39388151594440707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0.28552789131988626</v>
      </c>
      <c r="H322" s="1"/>
      <c r="I322" s="14">
        <f>(C316+D317+E318+F319+G320)/H321</f>
        <v>0.96493666922546029</v>
      </c>
      <c r="J322" s="53">
        <f>SQRT(SUM(P316:P320))/100</f>
        <v>4.0275724363030138E-3</v>
      </c>
      <c r="M322" s="1"/>
      <c r="N322" s="9"/>
    </row>
    <row r="323" spans="1:40" x14ac:dyDescent="0.3">
      <c r="B323" s="1" t="s">
        <v>30</v>
      </c>
      <c r="C323" s="17">
        <f>C316/C321*100</f>
        <v>100</v>
      </c>
      <c r="D323" s="17">
        <f>D317/D321*100</f>
        <v>87.166914243469463</v>
      </c>
      <c r="E323" s="17">
        <f>E318/E321*100</f>
        <v>98.095934812044888</v>
      </c>
      <c r="F323" s="17">
        <f>F319/F321*100</f>
        <v>97.871077867888829</v>
      </c>
      <c r="G323" s="17">
        <f>G320/G321*100</f>
        <v>84.584732668042577</v>
      </c>
      <c r="H323" s="1"/>
      <c r="AM323" s="78"/>
      <c r="AN323" s="78"/>
    </row>
    <row r="324" spans="1:40" x14ac:dyDescent="0.3">
      <c r="B324" s="16" t="s">
        <v>39</v>
      </c>
      <c r="C324" s="18">
        <f>SQRT((C327+C328)/(C321*C321))</f>
        <v>0</v>
      </c>
      <c r="D324" s="18">
        <f>SQRT((D327+D328)/(D321*D321))</f>
        <v>4.5470561663445794</v>
      </c>
      <c r="E324" s="18">
        <f>SQRT((E327+E328)/(E321*E321))</f>
        <v>0.39448177596202272</v>
      </c>
      <c r="F324" s="18">
        <f>SQRT((F327+F328)/(F321*F321))</f>
        <v>0.54497044630927804</v>
      </c>
      <c r="G324" s="18">
        <f>SQRT((G327+G328)/(G321*G321))</f>
        <v>2.7261968800609107</v>
      </c>
      <c r="H324" s="1"/>
      <c r="I324" s="14"/>
    </row>
    <row r="325" spans="1:40" x14ac:dyDescent="0.3">
      <c r="B325" s="1" t="s">
        <v>37</v>
      </c>
      <c r="C325" s="18">
        <f>100-C323</f>
        <v>0</v>
      </c>
      <c r="D325" s="18">
        <f>100-D323</f>
        <v>12.833085756530537</v>
      </c>
      <c r="E325" s="18">
        <f>100-E323</f>
        <v>1.904065187955112</v>
      </c>
      <c r="F325" s="18">
        <f>100-F323</f>
        <v>2.1289221321111711</v>
      </c>
      <c r="G325" s="18">
        <f>100-G323</f>
        <v>15.415267331957423</v>
      </c>
      <c r="AM325" s="78"/>
      <c r="AN325" s="78"/>
    </row>
    <row r="326" spans="1:40" ht="15.6" x14ac:dyDescent="0.35">
      <c r="B326" s="1" t="s">
        <v>25</v>
      </c>
      <c r="C326" s="1">
        <f>C310</f>
        <v>451</v>
      </c>
      <c r="D326" s="1">
        <f>D310</f>
        <v>63</v>
      </c>
      <c r="E326" s="1">
        <f>E310</f>
        <v>765</v>
      </c>
      <c r="F326" s="1">
        <f>F310</f>
        <v>584</v>
      </c>
      <c r="G326" s="1">
        <f>G310</f>
        <v>973</v>
      </c>
    </row>
    <row r="327" spans="1:40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0</v>
      </c>
      <c r="E327" s="18">
        <f>(O318*O318*(100-E323)*(100-E323)*(I318)*(100-I318))/((L318-1)*100)</f>
        <v>8.6476625758795436</v>
      </c>
      <c r="F327" s="18">
        <f>(O319*O319*(100-F323)*(100-F323)*(I319)*(100-I319))/((L319-1)*100)</f>
        <v>60.861898901783213</v>
      </c>
      <c r="G327" s="18">
        <f>(O320*O320*(100-G323)*(100-G323)*(I320)*(100-I320))/((L320-1)*100)</f>
        <v>96.86561957339363</v>
      </c>
      <c r="AM327" s="78"/>
      <c r="AN327" s="78"/>
    </row>
    <row r="328" spans="1:40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135.01428885914467</v>
      </c>
      <c r="E328" s="18">
        <f>E323*E323*(SUM((H316*E316*(1-E305/H305))/(H305-1),(H317*E317*(1-E306/H306))/(H306-1), (H319*E319*(1-E308/H308))/(H308-1),(H320*E320*(1-E309/H309))/(H309-1)))</f>
        <v>511.59836940102576</v>
      </c>
      <c r="F328" s="18">
        <f>F323*F323*(SUM((H316*F316*(1-F305/H305))/(H305-1),(H317*F317*(1-F306/H306))/(H306-1), (H318*F318*(1-F307/H307))/(H307-1),(H320*F320*(1-F309/H309))/(H309-1)))</f>
        <v>202.26810106467249</v>
      </c>
      <c r="G328" s="18">
        <f>G323*G323*(SUM((H316*G316*(1-G305/H305))/(H305-1),(H317*G317*(1-G306/H306))/(H306-1), (H318*G318*(1-G307/H307))/(H307-1),(H319*G319*(1-G308/H308))/(H308-1)))</f>
        <v>555.08819647789358</v>
      </c>
    </row>
    <row r="329" spans="1:40" x14ac:dyDescent="0.3">
      <c r="A329" s="105" t="s">
        <v>645</v>
      </c>
      <c r="B329" s="69" t="s">
        <v>9</v>
      </c>
      <c r="C329" s="1">
        <v>284.32</v>
      </c>
      <c r="D329" s="1">
        <v>2352.63</v>
      </c>
      <c r="E329" s="1">
        <v>16221.6</v>
      </c>
      <c r="F329">
        <v>2080.1</v>
      </c>
      <c r="G329">
        <v>1206.29</v>
      </c>
      <c r="I329" t="s">
        <v>36</v>
      </c>
      <c r="J329" s="57">
        <f>SUM(C329:G329)</f>
        <v>22144.94</v>
      </c>
      <c r="AM329" s="78"/>
      <c r="AN329" s="78"/>
    </row>
    <row r="330" spans="1:40" x14ac:dyDescent="0.3">
      <c r="B330" t="s">
        <v>367</v>
      </c>
      <c r="C330" s="57">
        <f>(C329/$J329)*100</f>
        <v>1.2839050365455946</v>
      </c>
      <c r="D330" s="57">
        <f>(D329/$J329)*100</f>
        <v>10.62378132431156</v>
      </c>
      <c r="E330" s="57">
        <f>(E329/$J329)*100</f>
        <v>73.251948300605022</v>
      </c>
      <c r="F330" s="57">
        <f>(F329/$J329)*100</f>
        <v>9.3931164410470291</v>
      </c>
      <c r="G330" s="57">
        <f>(G329/$J329)*100</f>
        <v>5.4472488974908044</v>
      </c>
    </row>
    <row r="331" spans="1:40" x14ac:dyDescent="0.3">
      <c r="A331" s="348" t="s">
        <v>369</v>
      </c>
      <c r="B331" s="348"/>
      <c r="C331" s="348"/>
      <c r="D331" s="348"/>
      <c r="E331" s="348"/>
      <c r="F331" s="348"/>
      <c r="G331" s="348"/>
      <c r="H331" s="348"/>
      <c r="I331" s="348"/>
      <c r="J331" s="348"/>
      <c r="K331" s="348"/>
      <c r="L331" s="348" t="s">
        <v>84</v>
      </c>
      <c r="M331" s="348"/>
      <c r="N331" s="348"/>
      <c r="O331" s="348"/>
      <c r="P331" s="348"/>
      <c r="AM331" s="78"/>
      <c r="AN331" s="78"/>
    </row>
    <row r="332" spans="1:40" x14ac:dyDescent="0.3">
      <c r="A332" t="s">
        <v>315</v>
      </c>
      <c r="B332" t="s">
        <v>21</v>
      </c>
      <c r="I332" s="1" t="s">
        <v>53</v>
      </c>
      <c r="O332" s="350" t="s">
        <v>377</v>
      </c>
      <c r="P332" s="350"/>
    </row>
    <row r="333" spans="1:40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51</v>
      </c>
      <c r="O333" s="13" t="s">
        <v>644</v>
      </c>
      <c r="P333" s="13" t="s">
        <v>633</v>
      </c>
      <c r="AM333" s="78"/>
      <c r="AN333" s="78"/>
    </row>
    <row r="334" spans="1:40" x14ac:dyDescent="0.3">
      <c r="A334" t="s">
        <v>3</v>
      </c>
      <c r="B334" s="13">
        <v>0</v>
      </c>
      <c r="C334" s="26">
        <v>451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451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/>
      <c r="P334" s="1"/>
    </row>
    <row r="335" spans="1:40" x14ac:dyDescent="0.3">
      <c r="A335" t="s">
        <v>4</v>
      </c>
      <c r="B335" s="13">
        <v>1</v>
      </c>
      <c r="C335" s="5">
        <v>0</v>
      </c>
      <c r="D335" s="27">
        <v>57</v>
      </c>
      <c r="E335" s="1">
        <v>0</v>
      </c>
      <c r="F335" s="1">
        <v>0</v>
      </c>
      <c r="G335" s="6">
        <v>0</v>
      </c>
      <c r="H335" s="1">
        <f>SUM(C335:G335)</f>
        <v>57</v>
      </c>
      <c r="I335" s="10">
        <f>D335/H335</f>
        <v>1</v>
      </c>
      <c r="J335" s="11">
        <f>1-I335</f>
        <v>0</v>
      </c>
      <c r="K335">
        <f>H335-D339</f>
        <v>-7</v>
      </c>
      <c r="N335" s="10">
        <f>2*(D340*I335)/(D340+I335)</f>
        <v>0.94214876033057848</v>
      </c>
      <c r="O335" s="1"/>
      <c r="P335" s="1"/>
      <c r="AM335" s="78"/>
      <c r="AN335" s="78"/>
    </row>
    <row r="336" spans="1:40" x14ac:dyDescent="0.3">
      <c r="A336" t="s">
        <v>5</v>
      </c>
      <c r="B336" s="13">
        <v>2</v>
      </c>
      <c r="C336" s="5">
        <v>0</v>
      </c>
      <c r="D336" s="1">
        <v>0</v>
      </c>
      <c r="E336" s="27">
        <v>728</v>
      </c>
      <c r="F336" s="1">
        <v>8</v>
      </c>
      <c r="G336" s="6">
        <v>1</v>
      </c>
      <c r="H336" s="1">
        <f>SUM(C336:G336)</f>
        <v>737</v>
      </c>
      <c r="I336" s="10">
        <f>E336/H336</f>
        <v>0.98778833107191311</v>
      </c>
      <c r="J336" s="11">
        <f>1-I336</f>
        <v>1.2211668928086894E-2</v>
      </c>
      <c r="K336">
        <f>H336-E339</f>
        <v>-20</v>
      </c>
      <c r="N336" s="10">
        <f>2*(E340*I336)/(E340+I336)</f>
        <v>0.9745649263721553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7</v>
      </c>
      <c r="E337" s="1">
        <v>18</v>
      </c>
      <c r="F337" s="27">
        <v>536</v>
      </c>
      <c r="G337" s="6">
        <v>21</v>
      </c>
      <c r="H337" s="1">
        <f>SUM(C337:G337)</f>
        <v>582</v>
      </c>
      <c r="I337" s="10">
        <f>F337/H337</f>
        <v>0.92096219931271472</v>
      </c>
      <c r="J337" s="11">
        <f>1-I337</f>
        <v>7.9037800687285276E-2</v>
      </c>
      <c r="K337">
        <f>H337-F339</f>
        <v>-10</v>
      </c>
      <c r="N337" s="10">
        <f>2*(F340*I337)/(F340+I337)</f>
        <v>0.91311754684838153</v>
      </c>
      <c r="O337" s="1"/>
      <c r="P337" s="1"/>
      <c r="AM337" s="78"/>
      <c r="AN337" s="78"/>
    </row>
    <row r="338" spans="1:40" x14ac:dyDescent="0.3">
      <c r="A338" t="s">
        <v>7</v>
      </c>
      <c r="B338" s="13">
        <v>4</v>
      </c>
      <c r="C338" s="7">
        <v>0</v>
      </c>
      <c r="D338" s="8">
        <v>0</v>
      </c>
      <c r="E338" s="8">
        <v>11</v>
      </c>
      <c r="F338" s="8">
        <v>48</v>
      </c>
      <c r="G338" s="28">
        <v>950</v>
      </c>
      <c r="H338" s="1">
        <f>SUM(C338:G338)</f>
        <v>1009</v>
      </c>
      <c r="I338" s="10">
        <f>G338/H338</f>
        <v>0.94152626362735381</v>
      </c>
      <c r="J338" s="11">
        <f>1-I338</f>
        <v>5.847373637264619E-2</v>
      </c>
      <c r="K338">
        <f>H338-G339</f>
        <v>37</v>
      </c>
      <c r="N338" s="10">
        <f>2*(G340*I338)/(G340+I338)</f>
        <v>0.95911155981827367</v>
      </c>
      <c r="O338" s="1"/>
      <c r="P338" s="1"/>
    </row>
    <row r="339" spans="1:40" ht="15.6" x14ac:dyDescent="0.35">
      <c r="B339" s="1" t="s">
        <v>19</v>
      </c>
      <c r="C339" s="1">
        <f>SUM(C334:C338)</f>
        <v>451</v>
      </c>
      <c r="D339" s="1">
        <f>SUM(D334:D338)</f>
        <v>64</v>
      </c>
      <c r="E339" s="1">
        <f>SUM(E334:E338)</f>
        <v>757</v>
      </c>
      <c r="F339" s="1">
        <f>SUM(F334:F338)</f>
        <v>592</v>
      </c>
      <c r="G339" s="1">
        <f>SUM(G334:G338)</f>
        <v>972</v>
      </c>
      <c r="H339" s="1">
        <f>SUM(H333:H338)</f>
        <v>2836</v>
      </c>
      <c r="I339" s="13" t="s">
        <v>12</v>
      </c>
      <c r="N339" s="16" t="s">
        <v>36</v>
      </c>
      <c r="O339" s="1">
        <f>SUM(O334:O338)</f>
        <v>0</v>
      </c>
      <c r="P339" s="1">
        <f>SUM(P334:P338)</f>
        <v>0</v>
      </c>
      <c r="AM339" s="78"/>
      <c r="AN339" s="78"/>
    </row>
    <row r="340" spans="1:40" x14ac:dyDescent="0.3">
      <c r="A340" s="1" t="s">
        <v>316</v>
      </c>
      <c r="B340" s="1" t="s">
        <v>2</v>
      </c>
      <c r="C340" s="10">
        <f>C334/C339</f>
        <v>1</v>
      </c>
      <c r="D340" s="10">
        <f>D335/D339</f>
        <v>0.890625</v>
      </c>
      <c r="E340" s="10">
        <f>E336/E339</f>
        <v>0.96169088507265521</v>
      </c>
      <c r="F340" s="10">
        <f>F337/F339</f>
        <v>0.90540540540540537</v>
      </c>
      <c r="G340" s="10">
        <f>G338/G339</f>
        <v>0.97736625514403297</v>
      </c>
      <c r="H340" s="10"/>
      <c r="I340" s="14">
        <f>(C334+D335+E336+F337+G338)/H339</f>
        <v>0.95980253878702393</v>
      </c>
    </row>
    <row r="341" spans="1:40" x14ac:dyDescent="0.3">
      <c r="B341" s="1" t="s">
        <v>14</v>
      </c>
      <c r="C341" s="11">
        <f>1-C340</f>
        <v>0</v>
      </c>
      <c r="D341" s="11">
        <f>1-D340</f>
        <v>0.109375</v>
      </c>
      <c r="E341" s="11">
        <f>1-E340</f>
        <v>3.830911492734479E-2</v>
      </c>
      <c r="F341" s="11">
        <f>1-F340</f>
        <v>9.4594594594594628E-2</v>
      </c>
      <c r="G341" s="11">
        <f>1-G340</f>
        <v>2.2633744855967031E-2</v>
      </c>
      <c r="AM341" s="78"/>
      <c r="AN341" s="78"/>
    </row>
    <row r="342" spans="1:40" x14ac:dyDescent="0.3">
      <c r="C342" s="2"/>
    </row>
    <row r="343" spans="1:40" ht="15.6" x14ac:dyDescent="0.35">
      <c r="A343" t="s">
        <v>317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0.62789792571598435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0.62789792571598435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451</v>
      </c>
      <c r="M345">
        <v>0</v>
      </c>
      <c r="N345" s="1">
        <v>606.45000000000005</v>
      </c>
      <c r="O345" s="17">
        <f>N345/N350*100</f>
        <v>0.62789792571598435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54">(C335/$L346)*$O346</f>
        <v>0</v>
      </c>
      <c r="D346" s="34">
        <f t="shared" si="54"/>
        <v>2.1754807231868329</v>
      </c>
      <c r="E346" s="19">
        <f t="shared" si="54"/>
        <v>0</v>
      </c>
      <c r="F346" s="18">
        <f t="shared" si="54"/>
        <v>0</v>
      </c>
      <c r="G346" s="20">
        <f t="shared" si="54"/>
        <v>0</v>
      </c>
      <c r="H346" s="17">
        <f>SUM(C346:G346)</f>
        <v>2.1754807231868329</v>
      </c>
      <c r="I346" s="17">
        <f>D346/H346*100</f>
        <v>100</v>
      </c>
      <c r="J346" s="17">
        <f>SQRT(I346*(100-I346)/(L346-1))</f>
        <v>0</v>
      </c>
      <c r="K346" s="18">
        <f>100-I346</f>
        <v>0</v>
      </c>
      <c r="L346" s="1">
        <f>H335</f>
        <v>57</v>
      </c>
      <c r="M346">
        <v>1</v>
      </c>
      <c r="N346" s="1">
        <v>2101.17</v>
      </c>
      <c r="O346" s="17">
        <f>N346/N350*100</f>
        <v>2.1754807231868329</v>
      </c>
      <c r="P346" s="52">
        <f>((O346*O346*(I346/100)*(K346/100))/(L346-1))</f>
        <v>0</v>
      </c>
    </row>
    <row r="347" spans="1:40" x14ac:dyDescent="0.3">
      <c r="A347" t="s">
        <v>5</v>
      </c>
      <c r="B347" s="13">
        <v>2</v>
      </c>
      <c r="C347" s="33">
        <f t="shared" si="54"/>
        <v>0</v>
      </c>
      <c r="D347" s="19">
        <f t="shared" si="54"/>
        <v>0</v>
      </c>
      <c r="E347" s="34">
        <f t="shared" si="54"/>
        <v>55.53004369620124</v>
      </c>
      <c r="F347" s="19">
        <f t="shared" si="54"/>
        <v>0.61022026039781585</v>
      </c>
      <c r="G347" s="20">
        <f t="shared" si="54"/>
        <v>7.6277532549726981E-2</v>
      </c>
      <c r="H347" s="17">
        <f>SUM(C347:G347)</f>
        <v>56.216541489148781</v>
      </c>
      <c r="I347" s="17">
        <f>E347/H347*100</f>
        <v>98.778833107191318</v>
      </c>
      <c r="J347" s="17">
        <f>SQRT(I347*(100-I347)/(L347-1))</f>
        <v>0.40483732760419566</v>
      </c>
      <c r="K347" s="18">
        <f>100-I347</f>
        <v>1.2211668928086823</v>
      </c>
      <c r="L347" s="1">
        <f>H336</f>
        <v>737</v>
      </c>
      <c r="M347">
        <v>2</v>
      </c>
      <c r="N347" s="1">
        <v>54296.28</v>
      </c>
      <c r="O347" s="17">
        <f>N347/N350*100</f>
        <v>56.216541489148788</v>
      </c>
      <c r="P347" s="52">
        <f>((O347*O347*(I347/100)*(K347/100))/(L347-1))</f>
        <v>5.1795179945275438E-2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54"/>
        <v>0</v>
      </c>
      <c r="D348" s="19">
        <f t="shared" si="54"/>
        <v>0.39191615879927832</v>
      </c>
      <c r="E348" s="19">
        <f t="shared" si="54"/>
        <v>1.0077844083410015</v>
      </c>
      <c r="F348" s="34">
        <f t="shared" si="54"/>
        <v>30.009580159487594</v>
      </c>
      <c r="G348" s="20">
        <f t="shared" si="54"/>
        <v>1.175748476397835</v>
      </c>
      <c r="H348" s="17">
        <f>SUM(C348:G348)</f>
        <v>32.585029203025705</v>
      </c>
      <c r="I348" s="17">
        <f>F348/H348*100</f>
        <v>92.096219931271477</v>
      </c>
      <c r="J348" s="17">
        <f>SQRT(I348*(100-I348)/(L348-1))</f>
        <v>1.1193096805290426</v>
      </c>
      <c r="K348" s="18">
        <f>100-I348</f>
        <v>7.9037800687285227</v>
      </c>
      <c r="L348" s="1">
        <f>H337</f>
        <v>582</v>
      </c>
      <c r="M348">
        <v>3</v>
      </c>
      <c r="N348" s="1">
        <v>31471.98</v>
      </c>
      <c r="O348" s="17">
        <f>N348/N350*100</f>
        <v>32.585029203025712</v>
      </c>
      <c r="P348" s="52">
        <f>((O348*O348*(I348/100)*(K348/100))/(L348-1))</f>
        <v>0.13302606629730243</v>
      </c>
    </row>
    <row r="349" spans="1:40" x14ac:dyDescent="0.3">
      <c r="A349" t="s">
        <v>7</v>
      </c>
      <c r="B349" s="13">
        <v>4</v>
      </c>
      <c r="C349" s="35">
        <f t="shared" si="54"/>
        <v>0</v>
      </c>
      <c r="D349" s="36">
        <f t="shared" si="54"/>
        <v>0</v>
      </c>
      <c r="E349" s="21">
        <f t="shared" si="54"/>
        <v>9.1521860503616922E-2</v>
      </c>
      <c r="F349" s="21">
        <f t="shared" si="54"/>
        <v>0.39936811856123744</v>
      </c>
      <c r="G349" s="37">
        <f t="shared" si="54"/>
        <v>7.9041606798578252</v>
      </c>
      <c r="H349" s="17">
        <f>SUM(C349:G349)</f>
        <v>8.3950506589226794</v>
      </c>
      <c r="I349" s="17">
        <f>G349/H349*100</f>
        <v>94.152626362735376</v>
      </c>
      <c r="J349" s="17">
        <f>SQRT(I349*(100-I349)/(L349-1))</f>
        <v>0.73903733049539455</v>
      </c>
      <c r="K349" s="18">
        <f>100-I349</f>
        <v>5.8473736372646243</v>
      </c>
      <c r="L349" s="1">
        <f>H338</f>
        <v>1009</v>
      </c>
      <c r="M349">
        <v>4</v>
      </c>
      <c r="N349" s="1">
        <v>8108.29</v>
      </c>
      <c r="O349" s="17">
        <f>N349/N350*100</f>
        <v>8.3950506589226794</v>
      </c>
      <c r="P349" s="52">
        <f>((O349*O349*(I349/100)*(K349/100))/(L349-1))</f>
        <v>3.8492790383538268E-3</v>
      </c>
      <c r="AM349" s="78"/>
      <c r="AN349" s="78"/>
    </row>
    <row r="350" spans="1:40" x14ac:dyDescent="0.3">
      <c r="B350" t="s">
        <v>28</v>
      </c>
      <c r="C350" s="17">
        <f t="shared" ref="C350:H350" si="55">SUM(C345:C349)</f>
        <v>0.62789792571598435</v>
      </c>
      <c r="D350" s="17">
        <f t="shared" si="55"/>
        <v>2.5673968819861113</v>
      </c>
      <c r="E350" s="17">
        <f t="shared" si="55"/>
        <v>56.629349965045861</v>
      </c>
      <c r="F350" s="17">
        <f t="shared" si="55"/>
        <v>31.01916853844665</v>
      </c>
      <c r="G350" s="17">
        <f t="shared" si="55"/>
        <v>9.1561866888053878</v>
      </c>
      <c r="H350" s="18">
        <f t="shared" si="55"/>
        <v>99.999999999999986</v>
      </c>
      <c r="I350" s="13" t="s">
        <v>24</v>
      </c>
      <c r="J350" s="12" t="s">
        <v>29</v>
      </c>
      <c r="N350" s="1">
        <f>SUM(N345:N349)</f>
        <v>96584.17</v>
      </c>
      <c r="O350" s="17">
        <f>SUM(O345:O349)</f>
        <v>100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0.14723687115308021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0.32734823348185305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0.42661819423792396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0.27038571125147681</v>
      </c>
      <c r="H351" s="1"/>
      <c r="I351" s="14">
        <f>(C345+D346+E347+F348+G349)/H350</f>
        <v>0.96247163184449491</v>
      </c>
      <c r="J351" s="53">
        <f>SQRT(SUM(P345:P349))/100</f>
        <v>4.3436220517090538E-3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84.734882185566264</v>
      </c>
      <c r="E352" s="17">
        <f>E347/E350*100</f>
        <v>98.058769402221358</v>
      </c>
      <c r="F352" s="17">
        <f>F348/F350*100</f>
        <v>96.745275819667043</v>
      </c>
      <c r="G352" s="17">
        <f>G349/G350*100</f>
        <v>86.325901256706302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4.8636154184953124</v>
      </c>
      <c r="E353" s="18">
        <f>SQRT((E356+E357)/(E350*E350))</f>
        <v>0.41542518629032898</v>
      </c>
      <c r="F353" s="18">
        <f>SQRT((F356+F357)/(F350*F350))</f>
        <v>0.79103689136440714</v>
      </c>
      <c r="G353" s="18">
        <f>SQRT((G356+G357)/(G350*G350))</f>
        <v>2.6506056086505181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15.265117814433736</v>
      </c>
      <c r="E354" s="18">
        <f>100-E352</f>
        <v>1.9412305977786417</v>
      </c>
      <c r="F354" s="18">
        <f>100-F352</f>
        <v>3.254724180332957</v>
      </c>
      <c r="G354" s="18">
        <f>100-G352</f>
        <v>13.674098743293698</v>
      </c>
    </row>
    <row r="355" spans="1:40" ht="15.6" x14ac:dyDescent="0.35">
      <c r="B355" s="1" t="s">
        <v>25</v>
      </c>
      <c r="C355" s="1">
        <f>C339</f>
        <v>451</v>
      </c>
      <c r="D355" s="1">
        <f>D339</f>
        <v>64</v>
      </c>
      <c r="E355" s="1">
        <f>E339</f>
        <v>757</v>
      </c>
      <c r="F355" s="1">
        <f>F339</f>
        <v>592</v>
      </c>
      <c r="G355" s="1">
        <f>G339</f>
        <v>972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0</v>
      </c>
      <c r="E356" s="18">
        <f>(O347*O347*(100-E352)*(100-E352)*(I347)*(100-I347))/((L347-1)*100)</f>
        <v>19.518372512868535</v>
      </c>
      <c r="F356" s="18">
        <f>(O348*O348*(100-F352)*(100-F352)*(I348)*(100-I348))/((L348-1)*100)</f>
        <v>140.91756484451378</v>
      </c>
      <c r="G356" s="18">
        <f>(O349*O349*(100-G352)*(100-G352)*(I349)*(100-I349))/((L349-1)*100)</f>
        <v>71.974195318660477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155.92094993657531</v>
      </c>
      <c r="E357" s="18">
        <f>E352*E352*(SUM((H345*E345*(1-E334/H334))/(H334-1),(H346*E346*(1-E335/H335))/(H335-1), (H348*E348*(1-E337/H337))/(H337-1),(H349*E349*(1-E338/H338))/(H338-1)))</f>
        <v>533.91940362704793</v>
      </c>
      <c r="F357" s="18">
        <f>F352*F352*(SUM((H345*F345*(1-F334/H334))/(H334-1),(H346*F346*(1-F335/H335))/(H335-1), (H347*F347*(1-F336/H336))/(H336-1),(H349*F349*(1-F338/H338))/(H338-1)))</f>
        <v>461.16185295658278</v>
      </c>
      <c r="G357" s="18">
        <f>G352*G352*(SUM((H345*G345*(1-G334/H334))/(H334-1),(H346*G346*(1-G335/H335))/(H335-1), (H347*G347*(1-G336/H336))/(H336-1),(H348*G348*(1-G337/H337))/(H337-1)))</f>
        <v>517.03151245996207</v>
      </c>
      <c r="AM357" s="78"/>
      <c r="AN357" s="78"/>
    </row>
    <row r="358" spans="1:40" x14ac:dyDescent="0.3">
      <c r="A358" s="105" t="s">
        <v>645</v>
      </c>
      <c r="B358" s="69" t="s">
        <v>9</v>
      </c>
      <c r="C358" s="1">
        <v>288.37</v>
      </c>
      <c r="D358" s="1">
        <v>2433.48</v>
      </c>
      <c r="E358" s="1">
        <v>16126.62</v>
      </c>
      <c r="F358">
        <v>2039.14</v>
      </c>
      <c r="G358">
        <v>1257.3399999999999</v>
      </c>
      <c r="I358" t="s">
        <v>36</v>
      </c>
      <c r="J358" s="57">
        <f>SUM(C358:G358)</f>
        <v>22144.95</v>
      </c>
    </row>
    <row r="359" spans="1:40" x14ac:dyDescent="0.3">
      <c r="B359" t="s">
        <v>367</v>
      </c>
      <c r="C359" s="57">
        <f>(C358/$J358)*100</f>
        <v>1.302193050785845</v>
      </c>
      <c r="D359" s="57">
        <f>(D358/$J358)*100</f>
        <v>10.988871051865097</v>
      </c>
      <c r="E359" s="57">
        <f>(E358/$J358)*100</f>
        <v>72.823013824822368</v>
      </c>
      <c r="F359" s="57">
        <f>(F358/$J358)*100</f>
        <v>9.2081490362362537</v>
      </c>
      <c r="G359" s="57">
        <f>(G358/$J358)*100</f>
        <v>5.6777730362904411</v>
      </c>
      <c r="AM359" s="78"/>
      <c r="AN359" s="78"/>
    </row>
    <row r="360" spans="1:40" x14ac:dyDescent="0.3">
      <c r="A360" s="348" t="s">
        <v>369</v>
      </c>
      <c r="B360" s="348"/>
      <c r="C360" s="348"/>
      <c r="D360" s="348"/>
      <c r="E360" s="348"/>
      <c r="F360" s="348"/>
      <c r="G360" s="348"/>
      <c r="H360" s="348"/>
      <c r="I360" s="348"/>
      <c r="J360" s="348"/>
      <c r="K360" s="348"/>
      <c r="L360" s="348" t="s">
        <v>85</v>
      </c>
      <c r="M360" s="348"/>
      <c r="N360" s="348"/>
      <c r="O360" s="348"/>
      <c r="P360" s="348"/>
    </row>
    <row r="361" spans="1:40" x14ac:dyDescent="0.3">
      <c r="A361" t="s">
        <v>15</v>
      </c>
      <c r="B361" t="s">
        <v>21</v>
      </c>
      <c r="I361" s="1" t="s">
        <v>53</v>
      </c>
      <c r="O361" s="350" t="s">
        <v>377</v>
      </c>
      <c r="P361" s="350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51</v>
      </c>
      <c r="O362" s="13" t="s">
        <v>644</v>
      </c>
      <c r="P362" s="13" t="s">
        <v>633</v>
      </c>
    </row>
    <row r="363" spans="1:40" x14ac:dyDescent="0.3">
      <c r="A363" t="s">
        <v>3</v>
      </c>
      <c r="B363" s="13">
        <v>0</v>
      </c>
      <c r="C363" s="26">
        <v>451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451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57</v>
      </c>
      <c r="E364" s="1">
        <v>0</v>
      </c>
      <c r="F364" s="1">
        <v>0</v>
      </c>
      <c r="G364" s="6">
        <v>0</v>
      </c>
      <c r="H364" s="1">
        <f>SUM(C364:G364)</f>
        <v>57</v>
      </c>
      <c r="I364" s="10">
        <f>D364/H364</f>
        <v>1</v>
      </c>
      <c r="J364" s="11">
        <f>1-I364</f>
        <v>0</v>
      </c>
      <c r="K364">
        <f>H364-D368</f>
        <v>-5</v>
      </c>
      <c r="N364" s="10">
        <f>2*(D369*I364)/(D369+I364)</f>
        <v>0.95798319327731085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0</v>
      </c>
      <c r="E365" s="27">
        <v>724</v>
      </c>
      <c r="F365" s="1">
        <v>12</v>
      </c>
      <c r="G365" s="6">
        <v>1</v>
      </c>
      <c r="H365" s="1">
        <f>SUM(C365:G365)</f>
        <v>737</v>
      </c>
      <c r="I365" s="10">
        <f>E365/H365</f>
        <v>0.98236092265943009</v>
      </c>
      <c r="J365" s="11">
        <f>1-I365</f>
        <v>1.7639077340569909E-2</v>
      </c>
      <c r="K365">
        <f>H365-E368</f>
        <v>-24</v>
      </c>
      <c r="N365" s="10">
        <f>2*(E369*I365)/(E369+I365)</f>
        <v>0.96662216288384506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5</v>
      </c>
      <c r="E366" s="1">
        <v>22</v>
      </c>
      <c r="F366" s="27">
        <v>531</v>
      </c>
      <c r="G366" s="6">
        <v>24</v>
      </c>
      <c r="H366" s="1">
        <f>SUM(C366:G366)</f>
        <v>582</v>
      </c>
      <c r="I366" s="10">
        <f>F366/H366</f>
        <v>0.91237113402061853</v>
      </c>
      <c r="J366" s="11">
        <f>1-I366</f>
        <v>8.7628865979381465E-2</v>
      </c>
      <c r="K366">
        <f>H366-F368</f>
        <v>-62</v>
      </c>
      <c r="N366" s="10">
        <f>2*(F369*I366)/(F369+I366)</f>
        <v>0.86623164763458405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0</v>
      </c>
      <c r="E367" s="8">
        <v>15</v>
      </c>
      <c r="F367" s="8">
        <v>101</v>
      </c>
      <c r="G367" s="28">
        <v>893</v>
      </c>
      <c r="H367" s="1">
        <f>SUM(C367:G367)</f>
        <v>1009</v>
      </c>
      <c r="I367" s="10">
        <f>G367/H367</f>
        <v>0.88503468780971262</v>
      </c>
      <c r="J367" s="11">
        <f>1-I367</f>
        <v>0.11496531219028738</v>
      </c>
      <c r="K367">
        <f>H367-G368</f>
        <v>91</v>
      </c>
      <c r="N367" s="10">
        <f>2*(G369*I367)/(G369+I367)</f>
        <v>0.92682926829268297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451</v>
      </c>
      <c r="D368" s="1">
        <f>SUM(D363:D367)</f>
        <v>62</v>
      </c>
      <c r="E368" s="1">
        <f>SUM(E363:E367)</f>
        <v>761</v>
      </c>
      <c r="F368" s="1">
        <f>SUM(F363:F367)</f>
        <v>644</v>
      </c>
      <c r="G368" s="1">
        <f>SUM(G363:G367)</f>
        <v>918</v>
      </c>
      <c r="H368" s="1">
        <f>SUM(H362:H367)</f>
        <v>2836</v>
      </c>
      <c r="I368" s="13" t="s">
        <v>12</v>
      </c>
      <c r="N368" s="16" t="s">
        <v>36</v>
      </c>
      <c r="O368" s="1">
        <f>SUM(O363:O367)</f>
        <v>0</v>
      </c>
      <c r="P368" s="1">
        <f>SUM(P363:P367)</f>
        <v>0</v>
      </c>
    </row>
    <row r="369" spans="1:40" x14ac:dyDescent="0.3">
      <c r="A369" s="1" t="s">
        <v>52</v>
      </c>
      <c r="B369" s="1" t="s">
        <v>2</v>
      </c>
      <c r="C369" s="10">
        <f>C363/C368</f>
        <v>1</v>
      </c>
      <c r="D369" s="10">
        <f>D364/D368</f>
        <v>0.91935483870967738</v>
      </c>
      <c r="E369" s="10">
        <f>E365/E368</f>
        <v>0.95137976346911957</v>
      </c>
      <c r="F369" s="10">
        <f>F366/F368</f>
        <v>0.82453416149068326</v>
      </c>
      <c r="G369" s="10">
        <f>G367/G368</f>
        <v>0.97276688453159044</v>
      </c>
      <c r="H369" s="10"/>
      <c r="I369" s="14">
        <f>(C363+D364+E365+F366+G367)/H368</f>
        <v>0.93653032440056416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8.064516129032262E-2</v>
      </c>
      <c r="E370" s="11">
        <f>1-E369</f>
        <v>4.8620236530880434E-2</v>
      </c>
      <c r="F370" s="11">
        <f>1-F369</f>
        <v>0.17546583850931674</v>
      </c>
      <c r="G370" s="11">
        <f>1-G369</f>
        <v>2.7233115468409563E-2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0.46366821057078206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0.46366821057078206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451</v>
      </c>
      <c r="M374">
        <v>0</v>
      </c>
      <c r="N374" s="1">
        <v>447.83</v>
      </c>
      <c r="O374" s="17">
        <f>N374/N379*100</f>
        <v>0.46366821057078206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56">(C364/$L375)*$O375</f>
        <v>0</v>
      </c>
      <c r="D375" s="34">
        <f t="shared" si="56"/>
        <v>2.2014688745513626</v>
      </c>
      <c r="E375" s="19">
        <f t="shared" si="56"/>
        <v>0</v>
      </c>
      <c r="F375" s="18">
        <f t="shared" si="56"/>
        <v>0</v>
      </c>
      <c r="G375" s="20">
        <f t="shared" si="56"/>
        <v>0</v>
      </c>
      <c r="H375" s="17">
        <f>SUM(C375:G375)</f>
        <v>2.2014688745513626</v>
      </c>
      <c r="I375" s="17">
        <f>D375/H375*100</f>
        <v>100</v>
      </c>
      <c r="J375" s="17">
        <f>SQRT(I375*(100-I375)/(L375-1))</f>
        <v>0</v>
      </c>
      <c r="K375" s="18">
        <f>100-I375</f>
        <v>0</v>
      </c>
      <c r="L375" s="1">
        <f>H364</f>
        <v>57</v>
      </c>
      <c r="M375">
        <v>1</v>
      </c>
      <c r="N375" s="1">
        <v>2126.27</v>
      </c>
      <c r="O375" s="17">
        <f>N375/N379*100</f>
        <v>2.2014688745513626</v>
      </c>
      <c r="P375" s="52">
        <f>((O375*O375*(I375/100)*(K375/100))/(L375-1))</f>
        <v>0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56"/>
        <v>0</v>
      </c>
      <c r="D376" s="19">
        <f t="shared" si="56"/>
        <v>0</v>
      </c>
      <c r="E376" s="34">
        <f t="shared" si="56"/>
        <v>55.86959547106386</v>
      </c>
      <c r="F376" s="19">
        <f t="shared" si="56"/>
        <v>0.92601539454801973</v>
      </c>
      <c r="G376" s="20">
        <f t="shared" si="56"/>
        <v>7.7167949545668316E-2</v>
      </c>
      <c r="H376" s="17">
        <f>SUM(C376:G376)</f>
        <v>56.872778815157545</v>
      </c>
      <c r="I376" s="17">
        <f>E376/H376*100</f>
        <v>98.236092265943014</v>
      </c>
      <c r="J376" s="17">
        <f>SQRT(I376*(100-I376)/(L376-1))</f>
        <v>0.48521538655225582</v>
      </c>
      <c r="K376" s="18">
        <f>100-I376</f>
        <v>1.7639077340569855</v>
      </c>
      <c r="L376" s="1">
        <f>H365</f>
        <v>737</v>
      </c>
      <c r="M376">
        <v>2</v>
      </c>
      <c r="N376" s="1">
        <v>54930.09</v>
      </c>
      <c r="O376" s="17">
        <f>N376/N379*100</f>
        <v>56.872778815157552</v>
      </c>
      <c r="P376" s="52">
        <f>((O376*O376*(I376/100)*(K376/100))/(L376-1))</f>
        <v>7.6151423393781725E-2</v>
      </c>
    </row>
    <row r="377" spans="1:40" x14ac:dyDescent="0.3">
      <c r="A377" t="s">
        <v>6</v>
      </c>
      <c r="B377" s="13">
        <v>3</v>
      </c>
      <c r="C377" s="33">
        <f t="shared" si="56"/>
        <v>0</v>
      </c>
      <c r="D377" s="19">
        <f t="shared" si="56"/>
        <v>0.27757092535404998</v>
      </c>
      <c r="E377" s="19">
        <f t="shared" si="56"/>
        <v>1.2213120715578196</v>
      </c>
      <c r="F377" s="34">
        <f t="shared" si="56"/>
        <v>29.478032272600103</v>
      </c>
      <c r="G377" s="20">
        <f t="shared" si="56"/>
        <v>1.3323404416994398</v>
      </c>
      <c r="H377" s="17">
        <f>SUM(C377:G377)</f>
        <v>32.309255711211414</v>
      </c>
      <c r="I377" s="17">
        <f>F377/H377*100</f>
        <v>91.237113402061851</v>
      </c>
      <c r="J377" s="17">
        <f>SQRT(I377*(100-I377)/(L377-1))</f>
        <v>1.1730628945942423</v>
      </c>
      <c r="K377" s="18">
        <f>100-I377</f>
        <v>8.7628865979381487</v>
      </c>
      <c r="L377" s="1">
        <f>H366</f>
        <v>582</v>
      </c>
      <c r="M377">
        <v>3</v>
      </c>
      <c r="N377" s="1">
        <v>31205.62</v>
      </c>
      <c r="O377" s="17">
        <f>N377/N379*100</f>
        <v>32.309255711211414</v>
      </c>
      <c r="P377" s="52">
        <f>((O377*O377*(I377/100)*(K377/100))/(L377-1))</f>
        <v>0.1436469808852428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56"/>
        <v>0</v>
      </c>
      <c r="D378" s="36">
        <f t="shared" si="56"/>
        <v>0</v>
      </c>
      <c r="E378" s="21">
        <f t="shared" si="56"/>
        <v>0.1212016113257019</v>
      </c>
      <c r="F378" s="21">
        <f t="shared" si="56"/>
        <v>0.81609084959305955</v>
      </c>
      <c r="G378" s="37">
        <f t="shared" si="56"/>
        <v>7.2155359275901203</v>
      </c>
      <c r="H378" s="17">
        <f>SUM(C378:G378)</f>
        <v>8.1528283885088815</v>
      </c>
      <c r="I378" s="17">
        <f>G378/H378*100</f>
        <v>88.503468780971261</v>
      </c>
      <c r="J378" s="17">
        <f>SQRT(I378*(100-I378)/(L378-1))</f>
        <v>1.0046928041876679</v>
      </c>
      <c r="K378" s="18">
        <f>100-I378</f>
        <v>11.496531219028739</v>
      </c>
      <c r="L378" s="1">
        <f>H367</f>
        <v>1009</v>
      </c>
      <c r="M378">
        <v>4</v>
      </c>
      <c r="N378" s="1">
        <v>7874.34</v>
      </c>
      <c r="O378" s="17">
        <f>N378/N379*100</f>
        <v>8.1528283885088815</v>
      </c>
      <c r="P378" s="52">
        <f>((O378*O378*(I378/100)*(K378/100))/(L378-1))</f>
        <v>6.7093922881137705E-3</v>
      </c>
    </row>
    <row r="379" spans="1:40" x14ac:dyDescent="0.3">
      <c r="B379" t="s">
        <v>28</v>
      </c>
      <c r="C379" s="17">
        <f t="shared" ref="C379:H379" si="57">SUM(C374:C378)</f>
        <v>0.46366821057078206</v>
      </c>
      <c r="D379" s="17">
        <f t="shared" si="57"/>
        <v>2.4790397999054128</v>
      </c>
      <c r="E379" s="17">
        <f t="shared" si="57"/>
        <v>57.212109153947381</v>
      </c>
      <c r="F379" s="17">
        <f t="shared" si="57"/>
        <v>31.220138516741184</v>
      </c>
      <c r="G379" s="17">
        <f t="shared" si="57"/>
        <v>8.6250443188352293</v>
      </c>
      <c r="H379" s="18">
        <f t="shared" si="57"/>
        <v>99.999999999999986</v>
      </c>
      <c r="I379" s="13" t="s">
        <v>24</v>
      </c>
      <c r="J379" s="12" t="s">
        <v>29</v>
      </c>
      <c r="N379" s="1">
        <f>SUM(N374:N378)</f>
        <v>96584.15</v>
      </c>
      <c r="O379" s="17">
        <f>SUM(O374:O378)</f>
        <v>100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0.12359912189172273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0.37716059275470365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0.46864635413271449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0.2890731668165763</v>
      </c>
      <c r="H380" s="1"/>
      <c r="I380" s="14">
        <f>(C374+D375+E376+F377+G378)/H379</f>
        <v>0.95228300756376261</v>
      </c>
      <c r="J380" s="53">
        <f>SQRT(SUM(P374:P378))/100</f>
        <v>4.7592835234637814E-3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88.803288863509138</v>
      </c>
      <c r="E381" s="17">
        <f>E376/E379*100</f>
        <v>97.653444869038026</v>
      </c>
      <c r="F381" s="17">
        <f>F377/F379*100</f>
        <v>94.419927883385554</v>
      </c>
      <c r="G381" s="17">
        <f>G378/G379*100</f>
        <v>83.65795769690078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4.4313327501054625</v>
      </c>
      <c r="E382" s="18">
        <f>SQRT((E385+E386)/(E379*E379))</f>
        <v>0.45388643841991366</v>
      </c>
      <c r="F382" s="18">
        <f>SQRT((F385+F386)/(F379*F379))</f>
        <v>1.0756627432879751</v>
      </c>
      <c r="G382" s="18">
        <f>SQRT((G385+G386)/(G379*G379))</f>
        <v>3.1067410378635101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11.196711136490862</v>
      </c>
      <c r="E383" s="18">
        <f>100-E381</f>
        <v>2.3465551309619741</v>
      </c>
      <c r="F383" s="18">
        <f>100-F381</f>
        <v>5.5800721166144456</v>
      </c>
      <c r="G383" s="18">
        <f>100-G381</f>
        <v>16.34204230309922</v>
      </c>
      <c r="AM383" s="78"/>
      <c r="AN383" s="78"/>
    </row>
    <row r="384" spans="1:40" ht="15.6" x14ac:dyDescent="0.35">
      <c r="B384" s="1" t="s">
        <v>25</v>
      </c>
      <c r="C384" s="1">
        <f>C368</f>
        <v>451</v>
      </c>
      <c r="D384" s="1">
        <f>D368</f>
        <v>62</v>
      </c>
      <c r="E384" s="1">
        <f>E368</f>
        <v>761</v>
      </c>
      <c r="F384" s="1">
        <f>F368</f>
        <v>644</v>
      </c>
      <c r="G384" s="1">
        <f>G368</f>
        <v>918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0</v>
      </c>
      <c r="E385" s="18">
        <f>(O376*O376*(100-E381)*(100-E381)*(I376)*(100-I376))/((L376-1)*100)</f>
        <v>41.9314180491385</v>
      </c>
      <c r="F385" s="18">
        <f>(O377*O377*(100-F381)*(100-F381)*(I377)*(100-I377))/((L377-1)*100)</f>
        <v>447.27654665490871</v>
      </c>
      <c r="G385" s="18">
        <f>(O378*O378*(100-G381)*(100-G381)*(I378)*(100-I378))/((L378-1)*100)</f>
        <v>179.18260489670533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120.68011728609116</v>
      </c>
      <c r="E386" s="18">
        <f>E381*E381*(SUM((H374*E374*(1-E363/H363))/(H363-1),(H375*E375*(1-E364/H364))/(H364-1), (H377*E377*(1-E366/H366))/(H366-1),(H378*E378*(1-E367/H367))/(H367-1)))</f>
        <v>632.39524259692121</v>
      </c>
      <c r="F386" s="18">
        <f>F381*F381*(SUM((H374*F374*(1-F363/H363))/(H363-1),(H375*F375*(1-F364/H364))/(H364-1), (H376*F376*(1-F365/H365))/(H365-1),(H378*F378*(1-F367/H367))/(H367-1)))</f>
        <v>680.49700265893739</v>
      </c>
      <c r="G386" s="18">
        <f>G381*G381*(SUM((H374*G374*(1-G363/H363))/(H363-1),(H375*G375*(1-G364/H364))/(H364-1), (H376*G376*(1-G365/H365))/(H365-1),(H377*G377*(1-G366/H366))/(H366-1)))</f>
        <v>538.83117475419226</v>
      </c>
    </row>
    <row r="387" spans="1:40" x14ac:dyDescent="0.3">
      <c r="A387" s="105" t="s">
        <v>645</v>
      </c>
      <c r="B387" s="69" t="s">
        <v>9</v>
      </c>
      <c r="C387" s="1">
        <v>290.89</v>
      </c>
      <c r="D387" s="1">
        <v>2287.09</v>
      </c>
      <c r="E387" s="1">
        <v>16341.97</v>
      </c>
      <c r="F387">
        <v>2037.61</v>
      </c>
      <c r="G387">
        <v>1187.3900000000001</v>
      </c>
      <c r="I387" t="s">
        <v>36</v>
      </c>
      <c r="J387" s="57">
        <f>SUM(C387:G387)</f>
        <v>22144.95</v>
      </c>
      <c r="AM387" s="78"/>
      <c r="AN387" s="78"/>
    </row>
    <row r="388" spans="1:40" x14ac:dyDescent="0.3">
      <c r="B388" t="s">
        <v>367</v>
      </c>
      <c r="C388" s="57">
        <f>(C387/$J387)*100</f>
        <v>1.3135726203942659</v>
      </c>
      <c r="D388" s="57">
        <f>(D387/$J387)*100</f>
        <v>10.327817403064806</v>
      </c>
      <c r="E388" s="57">
        <f>(E387/$J387)*100</f>
        <v>73.795470299097531</v>
      </c>
      <c r="F388" s="57">
        <f>(F387/$J387)*100</f>
        <v>9.201240011831139</v>
      </c>
      <c r="G388" s="57">
        <f>(G387/$J387)*100</f>
        <v>5.3618996656122508</v>
      </c>
    </row>
    <row r="389" spans="1:40" x14ac:dyDescent="0.3">
      <c r="A389" s="348" t="s">
        <v>369</v>
      </c>
      <c r="B389" s="348"/>
      <c r="C389" s="348"/>
      <c r="D389" s="348"/>
      <c r="E389" s="348"/>
      <c r="F389" s="348"/>
      <c r="G389" s="348"/>
      <c r="H389" s="348"/>
      <c r="I389" s="348"/>
      <c r="J389" s="348"/>
      <c r="K389" s="348"/>
      <c r="L389" s="348" t="s">
        <v>86</v>
      </c>
      <c r="M389" s="348"/>
      <c r="N389" s="348"/>
      <c r="O389" s="348"/>
      <c r="P389" s="348"/>
      <c r="AM389" s="78"/>
      <c r="AN389" s="78"/>
    </row>
    <row r="390" spans="1:40" x14ac:dyDescent="0.3">
      <c r="A390" t="s">
        <v>15</v>
      </c>
      <c r="B390" t="s">
        <v>21</v>
      </c>
      <c r="I390" s="1" t="s">
        <v>53</v>
      </c>
      <c r="O390" s="350" t="s">
        <v>377</v>
      </c>
      <c r="P390" s="350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51</v>
      </c>
      <c r="O391" s="13" t="s">
        <v>644</v>
      </c>
      <c r="P391" s="13" t="s">
        <v>633</v>
      </c>
      <c r="AM391" s="78"/>
      <c r="AN391" s="78"/>
    </row>
    <row r="392" spans="1:40" x14ac:dyDescent="0.3">
      <c r="A392" t="s">
        <v>3</v>
      </c>
      <c r="B392" s="13">
        <v>0</v>
      </c>
      <c r="C392" s="26">
        <v>451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451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57</v>
      </c>
      <c r="E393" s="1">
        <v>0</v>
      </c>
      <c r="F393" s="1">
        <v>0</v>
      </c>
      <c r="G393" s="6">
        <v>0</v>
      </c>
      <c r="H393" s="1">
        <f>SUM(C393:G393)</f>
        <v>57</v>
      </c>
      <c r="I393" s="10">
        <f>D393/H393</f>
        <v>1</v>
      </c>
      <c r="J393" s="11">
        <f>1-I393</f>
        <v>0</v>
      </c>
      <c r="K393">
        <f>H393-D397</f>
        <v>-5</v>
      </c>
      <c r="N393" s="10">
        <f>2*(D398*I393)/(D398+I393)</f>
        <v>0.95798319327731085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0</v>
      </c>
      <c r="E394" s="27">
        <v>733</v>
      </c>
      <c r="F394" s="1">
        <v>3</v>
      </c>
      <c r="G394" s="6">
        <v>1</v>
      </c>
      <c r="H394" s="1">
        <f>SUM(C394:G394)</f>
        <v>737</v>
      </c>
      <c r="I394" s="10">
        <f>E394/H394</f>
        <v>0.99457259158751699</v>
      </c>
      <c r="J394" s="11">
        <f>1-I394</f>
        <v>5.4274084124830146E-3</v>
      </c>
      <c r="K394">
        <f>H394-E397</f>
        <v>-36</v>
      </c>
      <c r="N394" s="10">
        <f>2*(E398*I394)/(E398+I394)</f>
        <v>0.97086092715231787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5</v>
      </c>
      <c r="E395" s="1">
        <v>21</v>
      </c>
      <c r="F395" s="27">
        <v>528</v>
      </c>
      <c r="G395" s="6">
        <v>28</v>
      </c>
      <c r="H395" s="1">
        <f>SUM(C395:G395)</f>
        <v>582</v>
      </c>
      <c r="I395" s="10">
        <f>F395/H395</f>
        <v>0.90721649484536082</v>
      </c>
      <c r="J395" s="11">
        <f>1-I395</f>
        <v>9.2783505154639179E-2</v>
      </c>
      <c r="K395">
        <f>H395-F397</f>
        <v>-7</v>
      </c>
      <c r="N395" s="10">
        <f>2*(F398*I395)/(F398+I395)</f>
        <v>0.90179333902647318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0</v>
      </c>
      <c r="E396" s="8">
        <v>19</v>
      </c>
      <c r="F396" s="8">
        <v>58</v>
      </c>
      <c r="G396" s="28">
        <v>932</v>
      </c>
      <c r="H396" s="1">
        <f>SUM(C396:G396)</f>
        <v>1009</v>
      </c>
      <c r="I396" s="10">
        <f>G396/H396</f>
        <v>0.92368681863230917</v>
      </c>
      <c r="J396" s="11">
        <f>1-I396</f>
        <v>7.631318136769083E-2</v>
      </c>
      <c r="K396">
        <f>H396-G397</f>
        <v>48</v>
      </c>
      <c r="N396" s="10">
        <f>2*(G398*I396)/(G398+I396)</f>
        <v>0.9461928934010152</v>
      </c>
      <c r="O396" s="1"/>
      <c r="P396" s="1"/>
    </row>
    <row r="397" spans="1:40" ht="15.6" x14ac:dyDescent="0.35">
      <c r="B397" s="1" t="s">
        <v>19</v>
      </c>
      <c r="C397" s="1">
        <f>SUM(C392:C396)</f>
        <v>451</v>
      </c>
      <c r="D397" s="1">
        <f>SUM(D392:D396)</f>
        <v>62</v>
      </c>
      <c r="E397" s="1">
        <f>SUM(E392:E396)</f>
        <v>773</v>
      </c>
      <c r="F397" s="1">
        <f>SUM(F392:F396)</f>
        <v>589</v>
      </c>
      <c r="G397" s="1">
        <f>SUM(G392:G396)</f>
        <v>961</v>
      </c>
      <c r="H397" s="1">
        <f>SUM(H391:H396)</f>
        <v>2836</v>
      </c>
      <c r="I397" s="13" t="s">
        <v>12</v>
      </c>
      <c r="N397" s="16" t="s">
        <v>36</v>
      </c>
      <c r="O397" s="1">
        <f>SUM(O392:O396)</f>
        <v>0</v>
      </c>
      <c r="P397" s="1">
        <f>SUM(P392:P396)</f>
        <v>0</v>
      </c>
      <c r="AM397" s="78"/>
      <c r="AN397" s="78"/>
    </row>
    <row r="398" spans="1:40" x14ac:dyDescent="0.3">
      <c r="A398" s="1" t="s">
        <v>52</v>
      </c>
      <c r="B398" s="1" t="s">
        <v>2</v>
      </c>
      <c r="C398" s="10">
        <f>C392/C397</f>
        <v>1</v>
      </c>
      <c r="D398" s="10">
        <f>D393/D397</f>
        <v>0.91935483870967738</v>
      </c>
      <c r="E398" s="10">
        <f>E394/E397</f>
        <v>0.94825355756791718</v>
      </c>
      <c r="F398" s="10">
        <f>F395/F397</f>
        <v>0.89643463497453313</v>
      </c>
      <c r="G398" s="10">
        <f>G396/G397</f>
        <v>0.96982310093652446</v>
      </c>
      <c r="H398" s="10"/>
      <c r="I398" s="14">
        <f>(C392+D393+E394+F395+G396)/H397</f>
        <v>0.95239774330042315</v>
      </c>
    </row>
    <row r="399" spans="1:40" x14ac:dyDescent="0.3">
      <c r="B399" s="1" t="s">
        <v>14</v>
      </c>
      <c r="C399" s="11">
        <f>1-C398</f>
        <v>0</v>
      </c>
      <c r="D399" s="11">
        <f>1-D398</f>
        <v>8.064516129032262E-2</v>
      </c>
      <c r="E399" s="11">
        <f>1-E398</f>
        <v>5.1746442432082818E-2</v>
      </c>
      <c r="F399" s="11">
        <f>1-F398</f>
        <v>0.10356536502546687</v>
      </c>
      <c r="G399" s="11">
        <f>1-G398</f>
        <v>3.0176899063475537E-2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0.54214894036454842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0.54214894036454842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451</v>
      </c>
      <c r="M403">
        <v>0</v>
      </c>
      <c r="N403" s="1">
        <v>523.63</v>
      </c>
      <c r="O403" s="17">
        <f>N403/N408*100</f>
        <v>0.54214894036454842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58">(C393/$L404)*$O404</f>
        <v>0</v>
      </c>
      <c r="D404" s="34">
        <f t="shared" si="58"/>
        <v>2.1983936082272706</v>
      </c>
      <c r="E404" s="19">
        <f t="shared" si="58"/>
        <v>0</v>
      </c>
      <c r="F404" s="18">
        <f t="shared" si="58"/>
        <v>0</v>
      </c>
      <c r="G404" s="20">
        <f t="shared" si="58"/>
        <v>0</v>
      </c>
      <c r="H404" s="17">
        <f>SUM(C404:G404)</f>
        <v>2.1983936082272706</v>
      </c>
      <c r="I404" s="17">
        <f>D404/H404*100</f>
        <v>100</v>
      </c>
      <c r="J404" s="17">
        <f>SQRT(I404*(100-I404)/(L404-1))</f>
        <v>0</v>
      </c>
      <c r="K404" s="18">
        <f>100-I404</f>
        <v>0</v>
      </c>
      <c r="L404" s="1">
        <f>H393</f>
        <v>57</v>
      </c>
      <c r="M404">
        <v>1</v>
      </c>
      <c r="N404" s="1">
        <v>2123.3000000000002</v>
      </c>
      <c r="O404" s="17">
        <f>N404/N408*100</f>
        <v>2.1983936082272706</v>
      </c>
      <c r="P404" s="52">
        <f>((O404*O404*(I404/100)*(K404/100))/(L404-1))</f>
        <v>0</v>
      </c>
    </row>
    <row r="405" spans="1:40" x14ac:dyDescent="0.3">
      <c r="A405" t="s">
        <v>5</v>
      </c>
      <c r="B405" s="13">
        <v>2</v>
      </c>
      <c r="C405" s="33">
        <f t="shared" si="58"/>
        <v>0</v>
      </c>
      <c r="D405" s="19">
        <f t="shared" si="58"/>
        <v>0</v>
      </c>
      <c r="E405" s="34">
        <f t="shared" si="58"/>
        <v>57.209804082771441</v>
      </c>
      <c r="F405" s="19">
        <f t="shared" si="58"/>
        <v>0.2341465378558176</v>
      </c>
      <c r="G405" s="20">
        <f t="shared" si="58"/>
        <v>7.80488459519392E-2</v>
      </c>
      <c r="H405" s="17">
        <f>SUM(C405:G405)</f>
        <v>57.521999466579196</v>
      </c>
      <c r="I405" s="17">
        <f>E405/H405*100</f>
        <v>99.457259158751697</v>
      </c>
      <c r="J405" s="17">
        <f>SQRT(I405*(100-I405)/(L405-1))</f>
        <v>0.27081679117169194</v>
      </c>
      <c r="K405" s="18">
        <f>100-I405</f>
        <v>0.54274084124830324</v>
      </c>
      <c r="L405" s="1">
        <f>H394</f>
        <v>737</v>
      </c>
      <c r="M405">
        <v>2</v>
      </c>
      <c r="N405" s="1">
        <v>55557.14</v>
      </c>
      <c r="O405" s="17">
        <f>N405/N408*100</f>
        <v>57.521999466579196</v>
      </c>
      <c r="P405" s="52">
        <f>((O405*O405*(I405/100)*(K405/100))/(L405-1))</f>
        <v>2.4267169488026333E-2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58"/>
        <v>0</v>
      </c>
      <c r="D406" s="19">
        <f t="shared" si="58"/>
        <v>0.27318802315857604</v>
      </c>
      <c r="E406" s="19">
        <f t="shared" si="58"/>
        <v>1.1473896972660194</v>
      </c>
      <c r="F406" s="34">
        <f t="shared" si="58"/>
        <v>28.848655245545629</v>
      </c>
      <c r="G406" s="20">
        <f t="shared" si="58"/>
        <v>1.5298529296880259</v>
      </c>
      <c r="H406" s="17">
        <f>SUM(C406:G406)</f>
        <v>31.799085895658251</v>
      </c>
      <c r="I406" s="17">
        <f>F406/H406*100</f>
        <v>90.721649484536087</v>
      </c>
      <c r="J406" s="17">
        <f>SQRT(I406*(100-I406)/(L406-1))</f>
        <v>1.2036571232392477</v>
      </c>
      <c r="K406" s="18">
        <f>100-I406</f>
        <v>9.278350515463913</v>
      </c>
      <c r="L406" s="1">
        <f>H395</f>
        <v>582</v>
      </c>
      <c r="M406">
        <v>3</v>
      </c>
      <c r="N406" s="1">
        <v>30712.880000000001</v>
      </c>
      <c r="O406" s="17">
        <f>N406/N408*100</f>
        <v>31.799085895658251</v>
      </c>
      <c r="P406" s="52">
        <f>((O406*O406*(I406/100)*(K406/100))/(L406-1))</f>
        <v>0.14649906480376942</v>
      </c>
    </row>
    <row r="407" spans="1:40" x14ac:dyDescent="0.3">
      <c r="A407" t="s">
        <v>7</v>
      </c>
      <c r="B407" s="13">
        <v>4</v>
      </c>
      <c r="C407" s="35">
        <f t="shared" si="58"/>
        <v>0</v>
      </c>
      <c r="D407" s="36">
        <f t="shared" si="58"/>
        <v>0</v>
      </c>
      <c r="E407" s="21">
        <f t="shared" si="58"/>
        <v>0.14948371624801177</v>
      </c>
      <c r="F407" s="21">
        <f t="shared" si="58"/>
        <v>0.45631871275708852</v>
      </c>
      <c r="G407" s="37">
        <f t="shared" si="58"/>
        <v>7.3325696601656292</v>
      </c>
      <c r="H407" s="17">
        <f>SUM(C407:G407)</f>
        <v>7.9383720891707297</v>
      </c>
      <c r="I407" s="17">
        <f>G407/H407*100</f>
        <v>92.368681863230918</v>
      </c>
      <c r="J407" s="17">
        <f>SQRT(I407*(100-I407)/(L407-1))</f>
        <v>0.83624182747586007</v>
      </c>
      <c r="K407" s="18">
        <f>100-I407</f>
        <v>7.6313181367690817</v>
      </c>
      <c r="L407" s="1">
        <f>H396</f>
        <v>1009</v>
      </c>
      <c r="M407">
        <v>4</v>
      </c>
      <c r="N407" s="1">
        <v>7667.21</v>
      </c>
      <c r="O407" s="17">
        <f>N407/N408*100</f>
        <v>7.9383720891707297</v>
      </c>
      <c r="P407" s="52">
        <f>((O407*O407*(I407/100)*(K407/100))/(L407-1))</f>
        <v>4.4068338402553997E-3</v>
      </c>
      <c r="AM407" s="78"/>
      <c r="AN407" s="78"/>
    </row>
    <row r="408" spans="1:40" x14ac:dyDescent="0.3">
      <c r="B408" t="s">
        <v>28</v>
      </c>
      <c r="C408" s="17">
        <f t="shared" ref="C408:H408" si="59">SUM(C403:C407)</f>
        <v>0.54214894036454842</v>
      </c>
      <c r="D408" s="17">
        <f t="shared" si="59"/>
        <v>2.4715816313858467</v>
      </c>
      <c r="E408" s="17">
        <f t="shared" si="59"/>
        <v>58.506677496285477</v>
      </c>
      <c r="F408" s="17">
        <f t="shared" si="59"/>
        <v>29.539120496158535</v>
      </c>
      <c r="G408" s="17">
        <f t="shared" si="59"/>
        <v>8.9404714358055948</v>
      </c>
      <c r="H408" s="18">
        <f t="shared" si="59"/>
        <v>99.999999999999986</v>
      </c>
      <c r="I408" s="13" t="s">
        <v>24</v>
      </c>
      <c r="J408" s="12" t="s">
        <v>29</v>
      </c>
      <c r="N408" s="1">
        <f>SUM(N403:N407)</f>
        <v>96584.16</v>
      </c>
      <c r="O408" s="17">
        <f>SUM(O403:O407)</f>
        <v>99.999999999999986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0.12164746624909052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0.29294497940348674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0.40967251997880044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0.30008653922760953</v>
      </c>
      <c r="H409" s="1"/>
      <c r="I409" s="56">
        <f>(C403+D404+E405+F406+G407)/H408</f>
        <v>0.96131571537074534</v>
      </c>
      <c r="J409" s="53">
        <f>SQRT(SUM(P403:P407))/100</f>
        <v>4.1853681813199088E-3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88.946833894157223</v>
      </c>
      <c r="E410" s="17">
        <f>E405/E408*100</f>
        <v>97.783375387200252</v>
      </c>
      <c r="F410" s="17">
        <f>F406/F408*100</f>
        <v>97.66253957797187</v>
      </c>
      <c r="G410" s="17">
        <f>G407/G408*100</f>
        <v>82.015469909109072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4.3815929444600412</v>
      </c>
      <c r="E411" s="18">
        <f>SQRT((E414+E415)/(E408*E408))</f>
        <v>0.41928047697585669</v>
      </c>
      <c r="F411" s="18">
        <f>SQRT((F414+F415)/(F408*F408))</f>
        <v>0.57269388651744435</v>
      </c>
      <c r="G411" s="18">
        <f>SQRT((G414+G415)/(G408*G408))</f>
        <v>3.0005189953851468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11.053166105842777</v>
      </c>
      <c r="E412" s="18">
        <f>100-E410</f>
        <v>2.2166246127997482</v>
      </c>
      <c r="F412" s="18">
        <f>100-F410</f>
        <v>2.3374604220281299</v>
      </c>
      <c r="G412" s="18">
        <f>100-G410</f>
        <v>17.984530090890928</v>
      </c>
    </row>
    <row r="413" spans="1:40" ht="15.6" x14ac:dyDescent="0.35">
      <c r="B413" s="1" t="s">
        <v>25</v>
      </c>
      <c r="C413" s="1">
        <f>C397</f>
        <v>451</v>
      </c>
      <c r="D413" s="1">
        <f>D397</f>
        <v>62</v>
      </c>
      <c r="E413" s="1">
        <f>E397</f>
        <v>773</v>
      </c>
      <c r="F413" s="1">
        <f>F397</f>
        <v>589</v>
      </c>
      <c r="G413" s="1">
        <f>G397</f>
        <v>961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0</v>
      </c>
      <c r="E414" s="18">
        <f>(O405*O405*(100-E410)*(100-E410)*(I405)*(100-I405))/((L405-1)*100)</f>
        <v>11.923490933229834</v>
      </c>
      <c r="F414" s="18">
        <f>(O406*O406*(100-F410)*(100-F410)*(I406)*(100-I406))/((L406-1)*100)</f>
        <v>80.043004974477668</v>
      </c>
      <c r="G414" s="18">
        <f>(O407*O407*(100-G410)*(100-G410)*(I407)*(100-I407))/((L407-1)*100)</f>
        <v>142.53609793949664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117.27730434000193</v>
      </c>
      <c r="E415" s="18">
        <f>E410*E410*(SUM((H403*E403*(1-E392/H392))/(H392-1),(H404*E404*(1-E393/H393))/(H393-1), (H406*E406*(1-E395/H395))/(H395-1),(H407*E407*(1-E396/H396))/(H396-1)))</f>
        <v>589.83212672519392</v>
      </c>
      <c r="F415" s="18">
        <f>F410*F410*(SUM((H403*F403*(1-F392/H392))/(H392-1),(H404*F404*(1-F393/H393))/(H393-1), (H405*F405*(1-F394/H394))/(H394-1),(H407*F407*(1-F396/H396))/(H396-1)))</f>
        <v>206.13761152631329</v>
      </c>
      <c r="G415" s="18">
        <f>G410*G410*(SUM((H403*G403*(1-G392/H392))/(H392-1),(H404*G404*(1-G393/H393))/(H393-1), (H405*G405*(1-G394/H394))/(H394-1),(H406*G406*(1-G395/H395))/(H395-1)))</f>
        <v>577.1010951673918</v>
      </c>
      <c r="AM415" s="78"/>
      <c r="AN415" s="78"/>
    </row>
    <row r="416" spans="1:40" x14ac:dyDescent="0.3">
      <c r="A416" s="105" t="s">
        <v>645</v>
      </c>
      <c r="B416" s="69" t="s">
        <v>9</v>
      </c>
      <c r="C416" s="1">
        <v>291.7</v>
      </c>
      <c r="D416" s="1">
        <v>2376.13</v>
      </c>
      <c r="E416" s="1">
        <v>16267.87</v>
      </c>
      <c r="F416">
        <v>2082.35</v>
      </c>
      <c r="G416">
        <v>1126.8900000000001</v>
      </c>
      <c r="I416" t="s">
        <v>36</v>
      </c>
      <c r="J416" s="57">
        <f>SUM(C416:G416)</f>
        <v>22144.94</v>
      </c>
    </row>
    <row r="417" spans="1:40" x14ac:dyDescent="0.3">
      <c r="B417" t="s">
        <v>367</v>
      </c>
      <c r="C417" s="57">
        <f>(C416/$J416)*100</f>
        <v>1.3172309340192387</v>
      </c>
      <c r="D417" s="57">
        <f>(D416/$J416)*100</f>
        <v>10.729900374532512</v>
      </c>
      <c r="E417" s="57">
        <f>(E416/$J416)*100</f>
        <v>73.460889936933683</v>
      </c>
      <c r="F417" s="57">
        <f>(F416/$J416)*100</f>
        <v>9.4032767756426523</v>
      </c>
      <c r="G417" s="57">
        <f>(G416/$J416)*100</f>
        <v>5.0887019788719234</v>
      </c>
      <c r="AM417" s="78"/>
      <c r="AN417" s="78"/>
    </row>
    <row r="418" spans="1:40" x14ac:dyDescent="0.3">
      <c r="A418" s="348" t="s">
        <v>369</v>
      </c>
      <c r="B418" s="348"/>
      <c r="C418" s="348"/>
      <c r="D418" s="348"/>
      <c r="E418" s="348"/>
      <c r="F418" s="348"/>
      <c r="G418" s="348"/>
      <c r="H418" s="348"/>
      <c r="I418" s="348"/>
      <c r="J418" s="348"/>
      <c r="K418" s="348"/>
      <c r="L418" s="348" t="s">
        <v>87</v>
      </c>
      <c r="M418" s="348"/>
      <c r="N418" s="348"/>
      <c r="O418" s="348"/>
      <c r="P418" s="348"/>
    </row>
    <row r="419" spans="1:40" x14ac:dyDescent="0.3">
      <c r="A419" t="s">
        <v>15</v>
      </c>
      <c r="B419" t="s">
        <v>21</v>
      </c>
      <c r="I419" s="1" t="s">
        <v>53</v>
      </c>
      <c r="O419" s="350" t="s">
        <v>377</v>
      </c>
      <c r="P419" s="350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51</v>
      </c>
      <c r="O420" s="13" t="s">
        <v>644</v>
      </c>
      <c r="P420" s="13" t="s">
        <v>633</v>
      </c>
    </row>
    <row r="421" spans="1:40" x14ac:dyDescent="0.3">
      <c r="A421" t="s">
        <v>3</v>
      </c>
      <c r="B421" s="13">
        <v>0</v>
      </c>
      <c r="C421" s="26">
        <v>451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451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57</v>
      </c>
      <c r="E422" s="1">
        <v>0</v>
      </c>
      <c r="F422" s="1">
        <v>0</v>
      </c>
      <c r="G422" s="6">
        <v>0</v>
      </c>
      <c r="H422" s="1">
        <f>SUM(C422:G422)</f>
        <v>57</v>
      </c>
      <c r="I422" s="10">
        <f>D422/H422</f>
        <v>1</v>
      </c>
      <c r="J422" s="11">
        <f>1-I422</f>
        <v>0</v>
      </c>
      <c r="K422">
        <f>H422-D426</f>
        <v>-4</v>
      </c>
      <c r="N422" s="10">
        <f>2*(D427*I422)/(D427+I422)</f>
        <v>0.96610169491525433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0</v>
      </c>
      <c r="E423" s="27">
        <v>731</v>
      </c>
      <c r="F423" s="1">
        <v>5</v>
      </c>
      <c r="G423" s="6">
        <v>1</v>
      </c>
      <c r="H423" s="1">
        <f>SUM(C423:G423)</f>
        <v>737</v>
      </c>
      <c r="I423" s="10">
        <f>E423/H423</f>
        <v>0.99185888738127548</v>
      </c>
      <c r="J423" s="11">
        <f>1-I423</f>
        <v>8.141112618724522E-3</v>
      </c>
      <c r="K423">
        <f>H423-E426</f>
        <v>-31</v>
      </c>
      <c r="N423" s="10">
        <f>2*(E427*I423)/(E427+I423)</f>
        <v>0.97142857142857142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4</v>
      </c>
      <c r="E424" s="1">
        <v>17</v>
      </c>
      <c r="F424" s="27">
        <v>534</v>
      </c>
      <c r="G424" s="6">
        <v>27</v>
      </c>
      <c r="H424" s="1">
        <f>SUM(C424:G424)</f>
        <v>582</v>
      </c>
      <c r="I424" s="10">
        <f>F424/H424</f>
        <v>0.91752577319587625</v>
      </c>
      <c r="J424" s="11">
        <f>1-I424</f>
        <v>8.2474226804123751E-2</v>
      </c>
      <c r="K424">
        <f>H424-F426</f>
        <v>-51</v>
      </c>
      <c r="N424" s="10">
        <f>2*(F427*I424)/(F427+I424)</f>
        <v>0.87901234567901243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0</v>
      </c>
      <c r="E425" s="8">
        <v>20</v>
      </c>
      <c r="F425" s="8">
        <v>94</v>
      </c>
      <c r="G425" s="28">
        <v>895</v>
      </c>
      <c r="H425" s="1">
        <f>SUM(C425:G425)</f>
        <v>1009</v>
      </c>
      <c r="I425" s="10">
        <f>G425/H425</f>
        <v>0.8870168483647175</v>
      </c>
      <c r="J425" s="11">
        <f>1-I425</f>
        <v>0.1129831516352825</v>
      </c>
      <c r="K425">
        <f>H425-G426</f>
        <v>86</v>
      </c>
      <c r="N425" s="10">
        <f>2*(G427*I425)/(G427+I425)</f>
        <v>0.92650103519668736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451</v>
      </c>
      <c r="D426" s="1">
        <f>SUM(D421:D425)</f>
        <v>61</v>
      </c>
      <c r="E426" s="1">
        <f>SUM(E421:E425)</f>
        <v>768</v>
      </c>
      <c r="F426" s="1">
        <f>SUM(F421:F425)</f>
        <v>633</v>
      </c>
      <c r="G426" s="1">
        <f>SUM(G421:G425)</f>
        <v>923</v>
      </c>
      <c r="H426" s="1">
        <f>SUM(H420:H425)</f>
        <v>2836</v>
      </c>
      <c r="I426" s="13" t="s">
        <v>12</v>
      </c>
      <c r="N426" s="16" t="s">
        <v>36</v>
      </c>
      <c r="O426" s="1">
        <f>SUM(O421:O425)</f>
        <v>0</v>
      </c>
      <c r="P426" s="1">
        <f>SUM(P421:P425)</f>
        <v>0</v>
      </c>
    </row>
    <row r="427" spans="1:40" x14ac:dyDescent="0.3">
      <c r="A427" s="1" t="s">
        <v>52</v>
      </c>
      <c r="B427" s="1" t="s">
        <v>2</v>
      </c>
      <c r="C427" s="10">
        <f>C421/C426</f>
        <v>1</v>
      </c>
      <c r="D427" s="10">
        <f>D422/D426</f>
        <v>0.93442622950819676</v>
      </c>
      <c r="E427" s="10">
        <f>E423/E426</f>
        <v>0.95182291666666663</v>
      </c>
      <c r="F427" s="10">
        <f>F424/F426</f>
        <v>0.84360189573459721</v>
      </c>
      <c r="G427" s="10">
        <f>G425/G426</f>
        <v>0.96966413867822321</v>
      </c>
      <c r="H427" s="10"/>
      <c r="I427" s="14">
        <f>(C421+D422+E423+F424+G425)/H426</f>
        <v>0.94076163610719321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6.557377049180324E-2</v>
      </c>
      <c r="E428" s="11">
        <f>1-E427</f>
        <v>4.817708333333337E-2</v>
      </c>
      <c r="F428" s="11">
        <f>1-F427</f>
        <v>0.15639810426540279</v>
      </c>
      <c r="G428" s="11">
        <f>1-G427</f>
        <v>3.0335861321776791E-2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0.489024287212313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0.489024287212313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451</v>
      </c>
      <c r="M432">
        <v>0</v>
      </c>
      <c r="N432" s="1">
        <v>472.32</v>
      </c>
      <c r="O432" s="17">
        <f>N432/N437*100</f>
        <v>0.489024287212313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60">(C422/$L433)*$O433</f>
        <v>0</v>
      </c>
      <c r="D433" s="34">
        <f t="shared" si="60"/>
        <v>2.2865654161096396</v>
      </c>
      <c r="E433" s="19">
        <f t="shared" si="60"/>
        <v>0</v>
      </c>
      <c r="F433" s="18">
        <f t="shared" si="60"/>
        <v>0</v>
      </c>
      <c r="G433" s="20">
        <f t="shared" si="60"/>
        <v>0</v>
      </c>
      <c r="H433" s="17">
        <f>SUM(C433:G433)</f>
        <v>2.2865654161096396</v>
      </c>
      <c r="I433" s="17">
        <f>D433/H433*100</f>
        <v>100</v>
      </c>
      <c r="J433" s="17">
        <f>SQRT(I433*(100-I433)/(L433-1))</f>
        <v>0</v>
      </c>
      <c r="K433" s="18">
        <f>100-I433</f>
        <v>0</v>
      </c>
      <c r="L433" s="1">
        <f>H422</f>
        <v>57</v>
      </c>
      <c r="M433">
        <v>1</v>
      </c>
      <c r="N433" s="1">
        <v>2208.46</v>
      </c>
      <c r="O433" s="17">
        <f>N433/N437*100</f>
        <v>2.2865654161096396</v>
      </c>
      <c r="P433" s="52">
        <f>((O433*O433*(I433/100)*(K433/100))/(L433-1))</f>
        <v>0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60"/>
        <v>0</v>
      </c>
      <c r="D434" s="19">
        <f t="shared" si="60"/>
        <v>0</v>
      </c>
      <c r="E434" s="34">
        <f t="shared" si="60"/>
        <v>56.902931437867693</v>
      </c>
      <c r="F434" s="19">
        <f t="shared" si="60"/>
        <v>0.38921293733151635</v>
      </c>
      <c r="G434" s="20">
        <f t="shared" si="60"/>
        <v>7.7842587466303265E-2</v>
      </c>
      <c r="H434" s="17">
        <f>SUM(C434:G434)</f>
        <v>57.369986962665507</v>
      </c>
      <c r="I434" s="17">
        <f>E434/H434*100</f>
        <v>99.185888738127545</v>
      </c>
      <c r="J434" s="17">
        <f>SQRT(I434*(100-I434)/(L434-1))</f>
        <v>0.3312286683872645</v>
      </c>
      <c r="K434" s="18">
        <f>100-I434</f>
        <v>0.81411126187245486</v>
      </c>
      <c r="L434" s="1">
        <f>H423</f>
        <v>737</v>
      </c>
      <c r="M434">
        <v>2</v>
      </c>
      <c r="N434" s="1">
        <v>55410.32</v>
      </c>
      <c r="O434" s="17">
        <f>N434/N437*100</f>
        <v>57.369986962665507</v>
      </c>
      <c r="P434" s="52">
        <f>((O434*O434*(I434/100)*(K434/100))/(L434-1))</f>
        <v>3.6109821338651635E-2</v>
      </c>
    </row>
    <row r="435" spans="1:40" x14ac:dyDescent="0.3">
      <c r="A435" t="s">
        <v>6</v>
      </c>
      <c r="B435" s="13">
        <v>3</v>
      </c>
      <c r="C435" s="33">
        <f t="shared" si="60"/>
        <v>0</v>
      </c>
      <c r="D435" s="19">
        <f t="shared" si="60"/>
        <v>0.2192371048743425</v>
      </c>
      <c r="E435" s="19">
        <f t="shared" si="60"/>
        <v>0.93175769571595568</v>
      </c>
      <c r="F435" s="34">
        <f t="shared" si="60"/>
        <v>29.268153500724722</v>
      </c>
      <c r="G435" s="20">
        <f t="shared" si="60"/>
        <v>1.4798504579018119</v>
      </c>
      <c r="H435" s="17">
        <f>SUM(C435:G435)</f>
        <v>31.89899875921683</v>
      </c>
      <c r="I435" s="17">
        <f>F435/H435*100</f>
        <v>91.75257731958763</v>
      </c>
      <c r="J435" s="17">
        <f>SQRT(I435*(100-I435)/(L435-1))</f>
        <v>1.1412484385858428</v>
      </c>
      <c r="K435" s="18">
        <f>100-I435</f>
        <v>8.2474226804123703</v>
      </c>
      <c r="L435" s="1">
        <f>H424</f>
        <v>582</v>
      </c>
      <c r="M435">
        <v>3</v>
      </c>
      <c r="N435" s="1">
        <v>30809.38</v>
      </c>
      <c r="O435" s="17">
        <f>N435/N437*100</f>
        <v>31.898998759216834</v>
      </c>
      <c r="P435" s="52">
        <f>((O435*O435*(I435/100)*(K435/100))/(L435-1))</f>
        <v>0.13253009098485519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60"/>
        <v>0</v>
      </c>
      <c r="D436" s="36">
        <f t="shared" si="60"/>
        <v>0</v>
      </c>
      <c r="E436" s="21">
        <f t="shared" si="60"/>
        <v>0.15768928790477107</v>
      </c>
      <c r="F436" s="21">
        <f t="shared" si="60"/>
        <v>0.74113965315242414</v>
      </c>
      <c r="G436" s="37">
        <f t="shared" si="60"/>
        <v>7.0565956337385058</v>
      </c>
      <c r="H436" s="17">
        <f>SUM(C436:G436)</f>
        <v>7.9554245747957015</v>
      </c>
      <c r="I436" s="17">
        <f>G436/H436*100</f>
        <v>88.701684836471756</v>
      </c>
      <c r="J436" s="17">
        <f>SQRT(I436*(100-I436)/(L436-1))</f>
        <v>0.99710871249933197</v>
      </c>
      <c r="K436" s="18">
        <f>100-I436</f>
        <v>11.298315163528244</v>
      </c>
      <c r="L436" s="1">
        <f>H425</f>
        <v>1009</v>
      </c>
      <c r="M436">
        <v>4</v>
      </c>
      <c r="N436" s="1">
        <v>7683.68</v>
      </c>
      <c r="O436" s="17">
        <f>N436/N437*100</f>
        <v>7.9554245747957015</v>
      </c>
      <c r="P436" s="52">
        <f>((O436*O436*(I436/100)*(K436/100))/(L436-1))</f>
        <v>6.292333711251992E-3</v>
      </c>
    </row>
    <row r="437" spans="1:40" x14ac:dyDescent="0.3">
      <c r="B437" t="s">
        <v>28</v>
      </c>
      <c r="C437" s="17">
        <f t="shared" ref="C437:H437" si="61">SUM(C432:C436)</f>
        <v>0.489024287212313</v>
      </c>
      <c r="D437" s="17">
        <f t="shared" si="61"/>
        <v>2.5058025209839823</v>
      </c>
      <c r="E437" s="17">
        <f t="shared" si="61"/>
        <v>57.992378421488425</v>
      </c>
      <c r="F437" s="17">
        <f t="shared" si="61"/>
        <v>30.398506091208663</v>
      </c>
      <c r="G437" s="17">
        <f t="shared" si="61"/>
        <v>8.6142886791066218</v>
      </c>
      <c r="H437" s="18">
        <f t="shared" si="61"/>
        <v>100</v>
      </c>
      <c r="I437" s="13" t="s">
        <v>24</v>
      </c>
      <c r="J437" s="12" t="s">
        <v>29</v>
      </c>
      <c r="N437" s="1">
        <f>SUM(N432:N436)</f>
        <v>96584.16</v>
      </c>
      <c r="O437" s="17">
        <f>SUM(O432:O436)</f>
        <v>100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0.109241206902796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0.29471467025874754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0.40950369207784898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0.29947297585907756</v>
      </c>
      <c r="H438" s="1"/>
      <c r="I438" s="56">
        <f>(C432+D433+E434+F435+G436)/H437</f>
        <v>0.96003270275652886</v>
      </c>
      <c r="J438" s="53">
        <f>SQRT(SUM(P432:P436))/100</f>
        <v>4.1824902394955905E-3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91.250822718932682</v>
      </c>
      <c r="E439" s="17">
        <f>E434/E437*100</f>
        <v>98.121396270898515</v>
      </c>
      <c r="F439" s="17">
        <f>F435/F437*100</f>
        <v>96.281552168740149</v>
      </c>
      <c r="G439" s="17">
        <f>G436/G437*100</f>
        <v>81.917334055147279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3.9815288106152757</v>
      </c>
      <c r="E440" s="18">
        <f>SQRT((E443+E444)/(E437*E437))</f>
        <v>0.38659244879611265</v>
      </c>
      <c r="F440" s="18">
        <f>SQRT((F443+F444)/(F437*F437))</f>
        <v>0.744180413751935</v>
      </c>
      <c r="G440" s="18">
        <f>SQRT((G443+G444)/(G437*G437))</f>
        <v>3.2135855647796774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8.7491772810673183</v>
      </c>
      <c r="E441" s="18">
        <f>100-E439</f>
        <v>1.878603729101485</v>
      </c>
      <c r="F441" s="18">
        <f>100-F439</f>
        <v>3.7184478312598515</v>
      </c>
      <c r="G441" s="18">
        <f>100-G439</f>
        <v>18.082665944852721</v>
      </c>
      <c r="AM441" s="78"/>
      <c r="AN441" s="78"/>
    </row>
    <row r="442" spans="1:40" ht="15.6" x14ac:dyDescent="0.35">
      <c r="B442" s="1" t="s">
        <v>25</v>
      </c>
      <c r="C442" s="1">
        <f>C426</f>
        <v>451</v>
      </c>
      <c r="D442" s="1">
        <f>D426</f>
        <v>61</v>
      </c>
      <c r="E442" s="1">
        <f>E426</f>
        <v>768</v>
      </c>
      <c r="F442" s="1">
        <f>F426</f>
        <v>633</v>
      </c>
      <c r="G442" s="1">
        <f>G426</f>
        <v>923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0</v>
      </c>
      <c r="E443" s="18">
        <f>(O434*O434*(100-E439)*(100-E439)*(I434)*(100-I434))/((L434-1)*100)</f>
        <v>12.743704714954383</v>
      </c>
      <c r="F443" s="18">
        <f>(O435*O435*(100-F439)*(100-F439)*(I435)*(100-I435))/((L435-1)*100)</f>
        <v>183.24742549411926</v>
      </c>
      <c r="G443" s="18">
        <f>(O436*O436*(100-G439)*(100-G439)*(I436)*(100-I436))/((L436-1)*100)</f>
        <v>205.74849437215022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99.539031079011167</v>
      </c>
      <c r="E444" s="18">
        <f>E439*E439*(SUM((H432*E432*(1-E421/H421))/(H421-1),(H433*E433*(1-E422/H422))/(H422-1), (H435*E435*(1-E424/H424))/(H424-1),(H436*E436*(1-E425/H425))/(H425-1)))</f>
        <v>489.88649047924252</v>
      </c>
      <c r="F444" s="18">
        <f>F439*F439*(SUM((H432*F432*(1-F421/H421))/(H421-1),(H433*F433*(1-F422/H422))/(H422-1), (H434*F434*(1-F423/H423))/(H423-1),(H436*F436*(1-F425/H425))/(H425-1)))</f>
        <v>328.50622969751225</v>
      </c>
      <c r="G444" s="18">
        <f>G439*G439*(SUM((H432*G432*(1-G421/H421))/(H421-1),(H433*G433*(1-G422/H422))/(H422-1), (H434*G434*(1-G423/H423))/(H423-1),(H435*G435*(1-G424/H424))/(H424-1)))</f>
        <v>560.58636081220891</v>
      </c>
    </row>
    <row r="445" spans="1:40" x14ac:dyDescent="0.3">
      <c r="A445" s="105" t="s">
        <v>645</v>
      </c>
      <c r="B445" s="69" t="s">
        <v>9</v>
      </c>
      <c r="C445" s="1">
        <v>291.16000000000003</v>
      </c>
      <c r="D445" s="1">
        <v>2348.85</v>
      </c>
      <c r="E445" s="1">
        <v>16254.1</v>
      </c>
      <c r="F445">
        <v>2028.6</v>
      </c>
      <c r="G445">
        <v>1222.23</v>
      </c>
      <c r="I445" t="s">
        <v>36</v>
      </c>
      <c r="J445" s="57">
        <f>SUM(C445:G445)</f>
        <v>22144.94</v>
      </c>
      <c r="AM445" s="78"/>
      <c r="AN445" s="78"/>
    </row>
    <row r="446" spans="1:40" x14ac:dyDescent="0.3">
      <c r="B446" t="s">
        <v>367</v>
      </c>
      <c r="C446" s="57">
        <f>(C445/$J445)*100</f>
        <v>1.3147924537162894</v>
      </c>
      <c r="D446" s="57">
        <f>(D445/$J445)*100</f>
        <v>10.606711962190911</v>
      </c>
      <c r="E446" s="57">
        <f>(E445/$J445)*100</f>
        <v>73.398708689208476</v>
      </c>
      <c r="F446" s="57">
        <f>(F445/$J445)*100</f>
        <v>9.1605576714138763</v>
      </c>
      <c r="G446" s="57">
        <f>(G445/$J445)*100</f>
        <v>5.5192292234704636</v>
      </c>
    </row>
    <row r="447" spans="1:40" x14ac:dyDescent="0.3">
      <c r="A447" s="348" t="s">
        <v>369</v>
      </c>
      <c r="B447" s="348"/>
      <c r="C447" s="348"/>
      <c r="D447" s="348"/>
      <c r="E447" s="348"/>
      <c r="F447" s="348"/>
      <c r="G447" s="348"/>
      <c r="H447" s="348"/>
      <c r="I447" s="348"/>
      <c r="J447" s="348"/>
      <c r="K447" s="348"/>
      <c r="L447" s="348" t="s">
        <v>88</v>
      </c>
      <c r="M447" s="348"/>
      <c r="N447" s="348"/>
      <c r="O447" s="348"/>
      <c r="P447" s="348"/>
      <c r="AM447" s="78"/>
      <c r="AN447" s="78"/>
    </row>
    <row r="448" spans="1:40" x14ac:dyDescent="0.3">
      <c r="A448" t="s">
        <v>15</v>
      </c>
      <c r="B448" t="s">
        <v>21</v>
      </c>
      <c r="I448" s="1" t="s">
        <v>53</v>
      </c>
      <c r="O448" s="350" t="s">
        <v>377</v>
      </c>
      <c r="P448" s="350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51</v>
      </c>
      <c r="O449" s="13" t="s">
        <v>644</v>
      </c>
      <c r="P449" s="13" t="s">
        <v>633</v>
      </c>
      <c r="AM449" s="78"/>
      <c r="AN449" s="78"/>
    </row>
    <row r="450" spans="1:40" x14ac:dyDescent="0.3">
      <c r="A450" t="s">
        <v>3</v>
      </c>
      <c r="B450" s="13">
        <v>0</v>
      </c>
      <c r="C450" s="26">
        <v>451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451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57</v>
      </c>
      <c r="E451" s="1">
        <v>0</v>
      </c>
      <c r="F451" s="1">
        <v>0</v>
      </c>
      <c r="G451" s="6">
        <v>0</v>
      </c>
      <c r="H451" s="1">
        <f>SUM(C451:G451)</f>
        <v>57</v>
      </c>
      <c r="I451" s="10">
        <f>D451/H451</f>
        <v>1</v>
      </c>
      <c r="J451" s="11">
        <f>1-I451</f>
        <v>0</v>
      </c>
      <c r="K451">
        <f>H451-D455</f>
        <v>-6</v>
      </c>
      <c r="N451" s="10">
        <f>2*(D456*I451)/(D456+I451)</f>
        <v>0.95000000000000007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0</v>
      </c>
      <c r="E452" s="27">
        <v>727</v>
      </c>
      <c r="F452" s="1">
        <v>9</v>
      </c>
      <c r="G452" s="6">
        <v>1</v>
      </c>
      <c r="H452" s="1">
        <f>SUM(C452:G452)</f>
        <v>737</v>
      </c>
      <c r="I452" s="10">
        <f>E452/H452</f>
        <v>0.98643147896879235</v>
      </c>
      <c r="J452" s="11">
        <f>1-I452</f>
        <v>1.3568521031207648E-2</v>
      </c>
      <c r="K452">
        <f>H452-E455</f>
        <v>-23</v>
      </c>
      <c r="N452" s="10">
        <f>2*(E456*I452)/(E456+I452)</f>
        <v>0.97127588510354035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6</v>
      </c>
      <c r="E453" s="1">
        <v>18</v>
      </c>
      <c r="F453" s="27">
        <v>533</v>
      </c>
      <c r="G453" s="6">
        <v>25</v>
      </c>
      <c r="H453" s="1">
        <f>SUM(C453:G453)</f>
        <v>582</v>
      </c>
      <c r="I453" s="10">
        <f>F453/H453</f>
        <v>0.91580756013745701</v>
      </c>
      <c r="J453" s="11">
        <f>1-I453</f>
        <v>8.4192439862542989E-2</v>
      </c>
      <c r="K453">
        <f>H453-F455</f>
        <v>-23</v>
      </c>
      <c r="N453" s="10">
        <f>2*(F456*I453)/(F456+I453)</f>
        <v>0.89806234203875324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0</v>
      </c>
      <c r="E454" s="8">
        <v>15</v>
      </c>
      <c r="F454" s="8">
        <v>63</v>
      </c>
      <c r="G454" s="28">
        <v>931</v>
      </c>
      <c r="H454" s="1">
        <f>SUM(C454:G454)</f>
        <v>1009</v>
      </c>
      <c r="I454" s="10">
        <f>G454/H454</f>
        <v>0.92269573835480678</v>
      </c>
      <c r="J454" s="11">
        <f>1-I454</f>
        <v>7.7304261645193217E-2</v>
      </c>
      <c r="K454">
        <f>H454-G455</f>
        <v>52</v>
      </c>
      <c r="N454" s="10">
        <f>2*(G456*I454)/(G456+I454)</f>
        <v>0.9471007121057986</v>
      </c>
      <c r="O454" s="1"/>
      <c r="P454" s="1"/>
    </row>
    <row r="455" spans="1:40" ht="15.6" x14ac:dyDescent="0.35">
      <c r="B455" s="1" t="s">
        <v>19</v>
      </c>
      <c r="C455" s="1">
        <f>SUM(C450:C454)</f>
        <v>451</v>
      </c>
      <c r="D455" s="1">
        <f>SUM(D450:D454)</f>
        <v>63</v>
      </c>
      <c r="E455" s="1">
        <f>SUM(E450:E454)</f>
        <v>760</v>
      </c>
      <c r="F455" s="1">
        <f>SUM(F450:F454)</f>
        <v>605</v>
      </c>
      <c r="G455" s="1">
        <f>SUM(G450:G454)</f>
        <v>957</v>
      </c>
      <c r="H455" s="1">
        <f>SUM(H449:H454)</f>
        <v>2836</v>
      </c>
      <c r="I455" s="13" t="s">
        <v>12</v>
      </c>
      <c r="N455" s="16" t="s">
        <v>36</v>
      </c>
      <c r="O455" s="1">
        <f>SUM(O450:O454)</f>
        <v>0</v>
      </c>
      <c r="P455" s="1">
        <f>SUM(P450:P454)</f>
        <v>0</v>
      </c>
      <c r="AM455" s="78"/>
      <c r="AN455" s="78"/>
    </row>
    <row r="456" spans="1:40" x14ac:dyDescent="0.3">
      <c r="A456" s="1" t="s">
        <v>52</v>
      </c>
      <c r="B456" s="1" t="s">
        <v>2</v>
      </c>
      <c r="C456" s="10">
        <f>C450/C455</f>
        <v>1</v>
      </c>
      <c r="D456" s="10">
        <f>D451/D455</f>
        <v>0.90476190476190477</v>
      </c>
      <c r="E456" s="10">
        <f>E452/E455</f>
        <v>0.95657894736842108</v>
      </c>
      <c r="F456" s="10">
        <f>F453/F455</f>
        <v>0.88099173553719012</v>
      </c>
      <c r="G456" s="10">
        <f>G454/G455</f>
        <v>0.97283176593521425</v>
      </c>
      <c r="H456" s="10"/>
      <c r="I456" s="14">
        <f>(C450+D451+E452+F453+G454)/H455</f>
        <v>0.95169252468265164</v>
      </c>
    </row>
    <row r="457" spans="1:40" x14ac:dyDescent="0.3">
      <c r="B457" s="1" t="s">
        <v>14</v>
      </c>
      <c r="C457" s="11">
        <f>1-C456</f>
        <v>0</v>
      </c>
      <c r="D457" s="11">
        <f>1-D456</f>
        <v>9.5238095238095233E-2</v>
      </c>
      <c r="E457" s="11">
        <f>1-E456</f>
        <v>4.3421052631578916E-2</v>
      </c>
      <c r="F457" s="11">
        <f>1-F456</f>
        <v>0.11900826446280988</v>
      </c>
      <c r="G457" s="11">
        <f>1-G456</f>
        <v>2.7168234064785746E-2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0.50011301023759902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0.50011301023759902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451</v>
      </c>
      <c r="M461">
        <v>0</v>
      </c>
      <c r="N461" s="1">
        <v>483.03</v>
      </c>
      <c r="O461" s="17">
        <f>N461/N466*100</f>
        <v>0.50011301023759902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62">(C451/$L462)*$O462</f>
        <v>0</v>
      </c>
      <c r="D462" s="34">
        <f t="shared" si="62"/>
        <v>2.1583247026919632</v>
      </c>
      <c r="E462" s="19">
        <f t="shared" si="62"/>
        <v>0</v>
      </c>
      <c r="F462" s="18">
        <f t="shared" si="62"/>
        <v>0</v>
      </c>
      <c r="G462" s="20">
        <f t="shared" si="62"/>
        <v>0</v>
      </c>
      <c r="H462" s="17">
        <f>SUM(C462:G462)</f>
        <v>2.1583247026919632</v>
      </c>
      <c r="I462" s="17">
        <f>D462/H462*100</f>
        <v>100</v>
      </c>
      <c r="J462" s="17">
        <f>SQRT(I462*(100-I462)/(L462-1))</f>
        <v>0</v>
      </c>
      <c r="K462" s="18">
        <f>100-I462</f>
        <v>0</v>
      </c>
      <c r="L462" s="1">
        <f>H451</f>
        <v>57</v>
      </c>
      <c r="M462">
        <v>1</v>
      </c>
      <c r="N462" s="1">
        <v>2084.6</v>
      </c>
      <c r="O462" s="17">
        <f>N462/N466*100</f>
        <v>2.1583247026919632</v>
      </c>
      <c r="P462" s="52">
        <f>((O462*O462*(I462/100)*(K462/100))/(L462-1))</f>
        <v>0</v>
      </c>
    </row>
    <row r="463" spans="1:40" x14ac:dyDescent="0.3">
      <c r="A463" t="s">
        <v>5</v>
      </c>
      <c r="B463" s="13">
        <v>2</v>
      </c>
      <c r="C463" s="33">
        <f t="shared" si="62"/>
        <v>0</v>
      </c>
      <c r="D463" s="19">
        <f t="shared" si="62"/>
        <v>0</v>
      </c>
      <c r="E463" s="34">
        <f t="shared" si="62"/>
        <v>56.458518350660967</v>
      </c>
      <c r="F463" s="19">
        <f t="shared" si="62"/>
        <v>0.69893626568906297</v>
      </c>
      <c r="G463" s="20">
        <f t="shared" si="62"/>
        <v>7.7659585076562537E-2</v>
      </c>
      <c r="H463" s="17">
        <f>SUM(C463:G463)</f>
        <v>57.23511420142659</v>
      </c>
      <c r="I463" s="17">
        <f>E463/H463*100</f>
        <v>98.643147896879242</v>
      </c>
      <c r="J463" s="17">
        <f>SQRT(I463*(100-I463)/(L463-1))</f>
        <v>0.42644282372358333</v>
      </c>
      <c r="K463" s="18">
        <f>100-I463</f>
        <v>1.3568521031207581</v>
      </c>
      <c r="L463" s="1">
        <f>H452</f>
        <v>737</v>
      </c>
      <c r="M463">
        <v>2</v>
      </c>
      <c r="N463" s="1">
        <v>55280.06</v>
      </c>
      <c r="O463" s="17">
        <f>N463/N466*100</f>
        <v>57.235114201426597</v>
      </c>
      <c r="P463" s="52">
        <f>((O463*O463*(I463/100)*(K463/100))/(L463-1))</f>
        <v>5.9572623765622536E-2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62"/>
        <v>0</v>
      </c>
      <c r="D464" s="19">
        <f t="shared" si="62"/>
        <v>0.33455227298891138</v>
      </c>
      <c r="E464" s="19">
        <f t="shared" si="62"/>
        <v>1.0036568189667343</v>
      </c>
      <c r="F464" s="34">
        <f t="shared" si="62"/>
        <v>29.719393583848294</v>
      </c>
      <c r="G464" s="20">
        <f t="shared" si="62"/>
        <v>1.3939678041204642</v>
      </c>
      <c r="H464" s="17">
        <f>SUM(C464:G464)</f>
        <v>32.451570479924406</v>
      </c>
      <c r="I464" s="17">
        <f>F464/H464*100</f>
        <v>91.580756013745699</v>
      </c>
      <c r="J464" s="17">
        <f>SQRT(I464*(100-I464)/(L464-1))</f>
        <v>1.1519949988277658</v>
      </c>
      <c r="K464" s="18">
        <f>100-I464</f>
        <v>8.4192439862543011</v>
      </c>
      <c r="L464" s="1">
        <f>H453</f>
        <v>582</v>
      </c>
      <c r="M464">
        <v>3</v>
      </c>
      <c r="N464" s="1">
        <v>31343.08</v>
      </c>
      <c r="O464" s="17">
        <f>N464/N466*100</f>
        <v>32.451570479924406</v>
      </c>
      <c r="P464" s="52">
        <f>((O464*O464*(I464/100)*(K464/100))/(L464-1))</f>
        <v>0.13975669623955755</v>
      </c>
    </row>
    <row r="465" spans="1:40" x14ac:dyDescent="0.3">
      <c r="A465" t="s">
        <v>7</v>
      </c>
      <c r="B465" s="13">
        <v>4</v>
      </c>
      <c r="C465" s="35">
        <f t="shared" si="62"/>
        <v>0</v>
      </c>
      <c r="D465" s="36">
        <f t="shared" si="62"/>
        <v>0</v>
      </c>
      <c r="E465" s="21">
        <f t="shared" si="62"/>
        <v>0.11379897332585898</v>
      </c>
      <c r="F465" s="21">
        <f t="shared" si="62"/>
        <v>0.47795568796860766</v>
      </c>
      <c r="G465" s="37">
        <f t="shared" si="62"/>
        <v>7.0631229444249808</v>
      </c>
      <c r="H465" s="17">
        <f>SUM(C465:G465)</f>
        <v>7.654877605719447</v>
      </c>
      <c r="I465" s="17">
        <f>G465/H465*100</f>
        <v>92.269573835480685</v>
      </c>
      <c r="J465" s="17">
        <f>SQRT(I465*(100-I465)/(L465-1))</f>
        <v>0.84120279990163371</v>
      </c>
      <c r="K465" s="18">
        <f>100-I465</f>
        <v>7.7304261645193151</v>
      </c>
      <c r="L465" s="1">
        <f>H454</f>
        <v>1009</v>
      </c>
      <c r="M465">
        <v>4</v>
      </c>
      <c r="N465" s="1">
        <v>7393.4</v>
      </c>
      <c r="O465" s="17">
        <f>N465/N466*100</f>
        <v>7.654877605719447</v>
      </c>
      <c r="P465" s="52">
        <f>((O465*O465*(I465/100)*(K465/100))/(L465-1))</f>
        <v>4.1464642119636661E-3</v>
      </c>
      <c r="AM465" s="78"/>
      <c r="AN465" s="78"/>
    </row>
    <row r="466" spans="1:40" x14ac:dyDescent="0.3">
      <c r="B466" t="s">
        <v>28</v>
      </c>
      <c r="C466" s="17">
        <f t="shared" ref="C466:H466" si="63">SUM(C461:C465)</f>
        <v>0.50011301023759902</v>
      </c>
      <c r="D466" s="17">
        <f t="shared" si="63"/>
        <v>2.4928769756808746</v>
      </c>
      <c r="E466" s="17">
        <f t="shared" si="63"/>
        <v>57.575974142953555</v>
      </c>
      <c r="F466" s="17">
        <f t="shared" si="63"/>
        <v>30.896285537505964</v>
      </c>
      <c r="G466" s="17">
        <f t="shared" si="63"/>
        <v>8.5347503336220072</v>
      </c>
      <c r="H466" s="18">
        <f t="shared" si="63"/>
        <v>100.00000000000001</v>
      </c>
      <c r="I466" s="13" t="s">
        <v>24</v>
      </c>
      <c r="J466" s="12" t="s">
        <v>29</v>
      </c>
      <c r="N466" s="1">
        <f>SUM(N461:N465)</f>
        <v>96584.169999999984</v>
      </c>
      <c r="O466" s="17">
        <f>SUM(O461:O465)</f>
        <v>100.00000000000001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0.13587454696641074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0.33848798232472277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0.44331983963338623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0.2907787698784009</v>
      </c>
      <c r="H467" s="1"/>
      <c r="I467" s="14">
        <f>(C461+D462+E463+F464+G465)/H466</f>
        <v>0.95899472591863788</v>
      </c>
      <c r="J467" s="53">
        <f>SQRT(SUM(P461:P465))/100</f>
        <v>4.510829017122504E-3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86.579671750647222</v>
      </c>
      <c r="E468" s="17">
        <f>E463/E466*100</f>
        <v>98.059163029498919</v>
      </c>
      <c r="F468" s="17">
        <f>F464/F466*100</f>
        <v>96.190830278840465</v>
      </c>
      <c r="G468" s="17">
        <f>G465/G466*100</f>
        <v>82.757229776251791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4.7230943763371975</v>
      </c>
      <c r="E469" s="18">
        <f>SQRT((E472+E473)/(E466*E466))</f>
        <v>0.40843168406401809</v>
      </c>
      <c r="F469" s="18">
        <f>SQRT((F472+F473)/(F466*F466))</f>
        <v>0.87511263760382874</v>
      </c>
      <c r="G469" s="18">
        <f>SQRT((G472+G473)/(G466*G466))</f>
        <v>3.043936994280799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13.420328249352778</v>
      </c>
      <c r="E470" s="18">
        <f>100-E468</f>
        <v>1.9408369705010813</v>
      </c>
      <c r="F470" s="18">
        <f>100-F468</f>
        <v>3.8091697211595346</v>
      </c>
      <c r="G470" s="18">
        <f>100-G468</f>
        <v>17.242770223748209</v>
      </c>
    </row>
    <row r="471" spans="1:40" ht="15.6" x14ac:dyDescent="0.35">
      <c r="B471" s="1" t="s">
        <v>25</v>
      </c>
      <c r="C471" s="1">
        <f>C455</f>
        <v>451</v>
      </c>
      <c r="D471" s="1">
        <f>D455</f>
        <v>63</v>
      </c>
      <c r="E471" s="1">
        <f>E455</f>
        <v>760</v>
      </c>
      <c r="F471" s="1">
        <f>F455</f>
        <v>605</v>
      </c>
      <c r="G471" s="1">
        <f>G455</f>
        <v>957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0</v>
      </c>
      <c r="E472" s="18">
        <f>(O463*O463*(100-E468)*(100-E468)*(I463)*(100-I463))/((L463-1)*100)</f>
        <v>22.440102738769237</v>
      </c>
      <c r="F472" s="18">
        <f>(O464*O464*(100-F468)*(100-F468)*(I464)*(100-I464))/((L464-1)*100)</f>
        <v>202.78380724750482</v>
      </c>
      <c r="G472" s="18">
        <f>(O465*O465*(100-G468)*(100-G468)*(I465)*(100-I465))/((L465-1)*100)</f>
        <v>123.2798232513877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138.62927126484061</v>
      </c>
      <c r="E473" s="18">
        <f>E468*E468*(SUM((H461*E461*(1-E450/H450))/(H450-1),(H462*E462*(1-E451/H451))/(H451-1), (H464*E464*(1-E453/H453))/(H453-1),(H465*E465*(1-E454/H454))/(H454-1)))</f>
        <v>530.55519634884286</v>
      </c>
      <c r="F473" s="18">
        <f>F468*F468*(SUM((H461*F461*(1-F450/H450))/(H450-1),(H462*F462*(1-F451/H451))/(H451-1), (H463*F463*(1-F452/H452))/(H452-1),(H465*F465*(1-F454/H454))/(H454-1)))</f>
        <v>528.25503245997413</v>
      </c>
      <c r="G473" s="18">
        <f>G468*G468*(SUM((H461*G461*(1-G450/H450))/(H450-1),(H462*G462*(1-G451/H451))/(H451-1), (H463*G463*(1-G452/H452))/(H452-1),(H464*G464*(1-G453/H453))/(H453-1)))</f>
        <v>551.64120605970288</v>
      </c>
      <c r="AM473" s="78"/>
      <c r="AN473" s="78"/>
    </row>
    <row r="474" spans="1:40" x14ac:dyDescent="0.3">
      <c r="A474" s="105" t="s">
        <v>645</v>
      </c>
      <c r="B474" s="69" t="s">
        <v>9</v>
      </c>
      <c r="C474" s="1">
        <v>290.89</v>
      </c>
      <c r="D474" s="1">
        <v>2478.13</v>
      </c>
      <c r="E474" s="1">
        <v>16103.76</v>
      </c>
      <c r="F474">
        <v>2033.11</v>
      </c>
      <c r="G474">
        <v>1239.06</v>
      </c>
      <c r="I474" t="s">
        <v>36</v>
      </c>
      <c r="J474" s="57">
        <f>SUM(C474:G474)</f>
        <v>22144.95</v>
      </c>
    </row>
    <row r="475" spans="1:40" x14ac:dyDescent="0.3">
      <c r="B475" t="s">
        <v>367</v>
      </c>
      <c r="C475" s="57">
        <f>(C474/$J474)*100</f>
        <v>1.3135726203942659</v>
      </c>
      <c r="D475" s="57">
        <f>(D474/$J474)*100</f>
        <v>11.190497156236523</v>
      </c>
      <c r="E475" s="57">
        <f>(E474/$J474)*100</f>
        <v>72.719784871945976</v>
      </c>
      <c r="F475" s="57">
        <f>(F474/$J474)*100</f>
        <v>9.180919351816101</v>
      </c>
      <c r="G475" s="57">
        <f>(G474/$J474)*100</f>
        <v>5.5952259996071332</v>
      </c>
      <c r="AM475" s="78"/>
      <c r="AN475" s="78"/>
    </row>
    <row r="476" spans="1:40" x14ac:dyDescent="0.3">
      <c r="A476" s="348" t="s">
        <v>369</v>
      </c>
      <c r="B476" s="348"/>
      <c r="C476" s="348"/>
      <c r="D476" s="348"/>
      <c r="E476" s="348"/>
      <c r="F476" s="348"/>
      <c r="G476" s="348"/>
      <c r="H476" s="348"/>
      <c r="I476" s="348"/>
      <c r="J476" s="348"/>
      <c r="K476" s="348"/>
      <c r="L476" s="348" t="s">
        <v>89</v>
      </c>
      <c r="M476" s="348"/>
      <c r="N476" s="348"/>
      <c r="O476" s="348"/>
      <c r="P476" s="348"/>
    </row>
    <row r="477" spans="1:40" x14ac:dyDescent="0.3">
      <c r="A477" t="s">
        <v>15</v>
      </c>
      <c r="B477" t="s">
        <v>21</v>
      </c>
      <c r="I477" s="1" t="s">
        <v>53</v>
      </c>
      <c r="O477" s="350" t="s">
        <v>377</v>
      </c>
      <c r="P477" s="350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51</v>
      </c>
      <c r="O478" s="13" t="s">
        <v>644</v>
      </c>
      <c r="P478" s="13" t="s">
        <v>633</v>
      </c>
    </row>
    <row r="479" spans="1:40" x14ac:dyDescent="0.3">
      <c r="A479" t="s">
        <v>3</v>
      </c>
      <c r="B479" s="13">
        <v>0</v>
      </c>
      <c r="C479" s="26">
        <v>451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451</v>
      </c>
      <c r="I479" s="10">
        <f>C479/H479</f>
        <v>1</v>
      </c>
      <c r="J479" s="11">
        <f>1-I479</f>
        <v>0</v>
      </c>
      <c r="K479">
        <f>H479-C484</f>
        <v>-1</v>
      </c>
      <c r="N479" s="10">
        <f>2*(C485*I479)/(C485+I479)</f>
        <v>0.99889258028792915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57</v>
      </c>
      <c r="E480" s="1">
        <v>0</v>
      </c>
      <c r="F480" s="1">
        <v>0</v>
      </c>
      <c r="G480" s="6">
        <v>0</v>
      </c>
      <c r="H480" s="1">
        <f>SUM(C480:G480)</f>
        <v>57</v>
      </c>
      <c r="I480" s="10">
        <f>D480/H480</f>
        <v>1</v>
      </c>
      <c r="J480" s="11">
        <f>1-I480</f>
        <v>0</v>
      </c>
      <c r="K480">
        <f>H480-D484</f>
        <v>-4</v>
      </c>
      <c r="N480" s="10">
        <f>2*(D485*I480)/(D485+I480)</f>
        <v>0.96610169491525433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0</v>
      </c>
      <c r="E481" s="27">
        <v>734</v>
      </c>
      <c r="F481" s="1">
        <v>2</v>
      </c>
      <c r="G481" s="6">
        <v>1</v>
      </c>
      <c r="H481" s="1">
        <f>SUM(C481:G481)</f>
        <v>737</v>
      </c>
      <c r="I481" s="10">
        <f>E481/H481</f>
        <v>0.99592944369063774</v>
      </c>
      <c r="J481" s="11">
        <f>1-I481</f>
        <v>4.070556309362261E-3</v>
      </c>
      <c r="K481">
        <f>H481-E484</f>
        <v>-32</v>
      </c>
      <c r="N481" s="10">
        <f>2*(E485*I481)/(E485+I481)</f>
        <v>0.97476759628154042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1</v>
      </c>
      <c r="D482" s="1">
        <v>4</v>
      </c>
      <c r="E482" s="1">
        <v>20</v>
      </c>
      <c r="F482" s="27">
        <v>531</v>
      </c>
      <c r="G482" s="6">
        <v>26</v>
      </c>
      <c r="H482" s="1">
        <f>SUM(C482:G482)</f>
        <v>582</v>
      </c>
      <c r="I482" s="10">
        <f>F482/H482</f>
        <v>0.91237113402061853</v>
      </c>
      <c r="J482" s="11">
        <f>1-I482</f>
        <v>8.7628865979381465E-2</v>
      </c>
      <c r="K482">
        <f>H482-F484</f>
        <v>-35</v>
      </c>
      <c r="N482" s="10">
        <f>2*(F485*I482)/(F485+I482)</f>
        <v>0.88573811509591327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0</v>
      </c>
      <c r="E483" s="8">
        <v>15</v>
      </c>
      <c r="F483" s="8">
        <v>84</v>
      </c>
      <c r="G483" s="28">
        <v>910</v>
      </c>
      <c r="H483" s="1">
        <f>SUM(C483:G483)</f>
        <v>1009</v>
      </c>
      <c r="I483" s="10">
        <f>G483/H483</f>
        <v>0.90188305252725476</v>
      </c>
      <c r="J483" s="11">
        <f>1-I483</f>
        <v>9.8116947472745242E-2</v>
      </c>
      <c r="K483">
        <f>H483-G484</f>
        <v>72</v>
      </c>
      <c r="N483" s="10">
        <f>2*(G485*I483)/(G485+I483)</f>
        <v>0.93525179856115104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452</v>
      </c>
      <c r="D484" s="1">
        <f>SUM(D479:D483)</f>
        <v>61</v>
      </c>
      <c r="E484" s="1">
        <f>SUM(E479:E483)</f>
        <v>769</v>
      </c>
      <c r="F484" s="1">
        <f>SUM(F479:F483)</f>
        <v>617</v>
      </c>
      <c r="G484" s="1">
        <f>SUM(G479:G483)</f>
        <v>937</v>
      </c>
      <c r="H484" s="1">
        <f>SUM(H478:H483)</f>
        <v>2836</v>
      </c>
      <c r="I484" s="13" t="s">
        <v>12</v>
      </c>
      <c r="N484" s="16" t="s">
        <v>36</v>
      </c>
      <c r="O484" s="1">
        <f>SUM(O479:O483)</f>
        <v>0</v>
      </c>
      <c r="P484" s="1">
        <f>SUM(P479:P483)</f>
        <v>0</v>
      </c>
    </row>
    <row r="485" spans="1:40" x14ac:dyDescent="0.3">
      <c r="A485" s="1" t="s">
        <v>52</v>
      </c>
      <c r="B485" s="1" t="s">
        <v>2</v>
      </c>
      <c r="C485" s="10">
        <f>C479/C484</f>
        <v>0.99778761061946908</v>
      </c>
      <c r="D485" s="10">
        <f>D480/D484</f>
        <v>0.93442622950819676</v>
      </c>
      <c r="E485" s="10">
        <f>E481/E484</f>
        <v>0.95448634590377113</v>
      </c>
      <c r="F485" s="10">
        <f>F482/F484</f>
        <v>0.86061588330632088</v>
      </c>
      <c r="G485" s="10">
        <f>G483/G484</f>
        <v>0.97118463180362857</v>
      </c>
      <c r="H485" s="10"/>
      <c r="I485" s="14">
        <f>(C479+D480+E481+F482+G483)/H484</f>
        <v>0.94605077574047958</v>
      </c>
      <c r="AM485" s="78"/>
      <c r="AN485" s="78"/>
    </row>
    <row r="486" spans="1:40" x14ac:dyDescent="0.3">
      <c r="B486" s="1" t="s">
        <v>14</v>
      </c>
      <c r="C486" s="11">
        <f>1-C485</f>
        <v>2.2123893805309214E-3</v>
      </c>
      <c r="D486" s="11">
        <f>1-D485</f>
        <v>6.557377049180324E-2</v>
      </c>
      <c r="E486" s="11">
        <f>1-E485</f>
        <v>4.5513654096228873E-2</v>
      </c>
      <c r="F486" s="11">
        <f>1-F485</f>
        <v>0.13938411669367912</v>
      </c>
      <c r="G486" s="11">
        <f>1-G485</f>
        <v>2.8815368196371427E-2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0.57364484752415379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0.57364484752415379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451</v>
      </c>
      <c r="M490">
        <v>0</v>
      </c>
      <c r="N490" s="1">
        <v>554.04999999999995</v>
      </c>
      <c r="O490" s="17">
        <f>N490/N495*100</f>
        <v>0.57364484752415379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64">(C480/$L491)*$O491</f>
        <v>0</v>
      </c>
      <c r="D491" s="34">
        <f t="shared" si="64"/>
        <v>2.3520629420044594</v>
      </c>
      <c r="E491" s="19">
        <f t="shared" si="64"/>
        <v>0</v>
      </c>
      <c r="F491" s="18">
        <f t="shared" si="64"/>
        <v>0</v>
      </c>
      <c r="G491" s="20">
        <f t="shared" si="64"/>
        <v>0</v>
      </c>
      <c r="H491" s="17">
        <f>SUM(C491:G491)</f>
        <v>2.3520629420044594</v>
      </c>
      <c r="I491" s="17">
        <f>D491/H491*100</f>
        <v>100</v>
      </c>
      <c r="J491" s="17">
        <f>SQRT(I491*(100-I491)/(L491-1))</f>
        <v>0</v>
      </c>
      <c r="K491" s="18">
        <f>100-I491</f>
        <v>0</v>
      </c>
      <c r="L491" s="1">
        <f>H480</f>
        <v>57</v>
      </c>
      <c r="M491">
        <v>1</v>
      </c>
      <c r="N491" s="1">
        <v>2271.7199999999998</v>
      </c>
      <c r="O491" s="17">
        <f>N491/N495*100</f>
        <v>2.3520629420044594</v>
      </c>
      <c r="P491" s="52">
        <f>((O491*O491*(I491/100)*(K491/100))/(L491-1))</f>
        <v>0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64"/>
        <v>0</v>
      </c>
      <c r="D492" s="19">
        <f t="shared" si="64"/>
        <v>0</v>
      </c>
      <c r="E492" s="34">
        <f t="shared" si="64"/>
        <v>57.243282156950322</v>
      </c>
      <c r="F492" s="19">
        <f t="shared" si="64"/>
        <v>0.15597624565926518</v>
      </c>
      <c r="G492" s="20">
        <f t="shared" si="64"/>
        <v>7.7988122829632592E-2</v>
      </c>
      <c r="H492" s="17">
        <f>SUM(C492:G492)</f>
        <v>57.47724652543922</v>
      </c>
      <c r="I492" s="17">
        <f>E492/H492*100</f>
        <v>99.592944369063773</v>
      </c>
      <c r="J492" s="17">
        <f>SQRT(I492*(100-I492)/(L492-1))</f>
        <v>0.2346941488143626</v>
      </c>
      <c r="K492" s="18">
        <f>100-I492</f>
        <v>0.40705563093622743</v>
      </c>
      <c r="L492" s="1">
        <f>H481</f>
        <v>737</v>
      </c>
      <c r="M492">
        <v>2</v>
      </c>
      <c r="N492" s="1">
        <v>55513.91</v>
      </c>
      <c r="O492" s="17">
        <f>N492/N495*100</f>
        <v>57.47724652543922</v>
      </c>
      <c r="P492" s="52">
        <f>((O492*O492*(I492/100)*(K492/100))/(L492-1))</f>
        <v>1.8196859184894911E-2</v>
      </c>
    </row>
    <row r="493" spans="1:40" x14ac:dyDescent="0.3">
      <c r="A493" t="s">
        <v>6</v>
      </c>
      <c r="B493" s="13">
        <v>3</v>
      </c>
      <c r="C493" s="33">
        <f t="shared" si="64"/>
        <v>5.4188311009237926E-2</v>
      </c>
      <c r="D493" s="19">
        <f t="shared" si="64"/>
        <v>0.2167532440369517</v>
      </c>
      <c r="E493" s="19">
        <f t="shared" si="64"/>
        <v>1.0837662201847587</v>
      </c>
      <c r="F493" s="34">
        <f t="shared" si="64"/>
        <v>28.773993145905337</v>
      </c>
      <c r="G493" s="20">
        <f t="shared" si="64"/>
        <v>1.408896086240186</v>
      </c>
      <c r="H493" s="17">
        <f>SUM(C493:G493)</f>
        <v>31.537597007376473</v>
      </c>
      <c r="I493" s="17">
        <f>F493/H493*100</f>
        <v>91.237113402061851</v>
      </c>
      <c r="J493" s="17">
        <f>SQRT(I493*(100-I493)/(L493-1))</f>
        <v>1.1730628945942423</v>
      </c>
      <c r="K493" s="18">
        <f>100-I493</f>
        <v>8.7628865979381487</v>
      </c>
      <c r="L493" s="1">
        <f>H482</f>
        <v>582</v>
      </c>
      <c r="M493">
        <v>3</v>
      </c>
      <c r="N493" s="1">
        <v>30460.32</v>
      </c>
      <c r="O493" s="17">
        <f>N493/N495*100</f>
        <v>31.537597007376473</v>
      </c>
      <c r="P493" s="52">
        <f>((O493*O493*(I493/100)*(K493/100))/(L493-1))</f>
        <v>0.13686732972111529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64"/>
        <v>0</v>
      </c>
      <c r="D494" s="36">
        <f t="shared" si="64"/>
        <v>0</v>
      </c>
      <c r="E494" s="21">
        <f t="shared" si="64"/>
        <v>0.11981340947951985</v>
      </c>
      <c r="F494" s="21">
        <f t="shared" si="64"/>
        <v>0.67095509308531109</v>
      </c>
      <c r="G494" s="37">
        <f t="shared" si="64"/>
        <v>7.2686801750908714</v>
      </c>
      <c r="H494" s="17">
        <f>SUM(C494:G494)</f>
        <v>8.0594486776557019</v>
      </c>
      <c r="I494" s="17">
        <f>G494/H494*100</f>
        <v>90.18830525272547</v>
      </c>
      <c r="J494" s="17">
        <f>SQRT(I494*(100-I494)/(L494-1))</f>
        <v>0.93695096140679068</v>
      </c>
      <c r="K494" s="18">
        <f>100-I494</f>
        <v>9.8116947472745295</v>
      </c>
      <c r="L494" s="1">
        <f>H483</f>
        <v>1009</v>
      </c>
      <c r="M494">
        <v>4</v>
      </c>
      <c r="N494" s="1">
        <v>7784.15</v>
      </c>
      <c r="O494" s="17">
        <f>N494/N495*100</f>
        <v>8.0594486776557019</v>
      </c>
      <c r="P494" s="52">
        <f>((O494*O494*(I494/100)*(K494/100))/(L494-1))</f>
        <v>5.7022255334119865E-3</v>
      </c>
    </row>
    <row r="495" spans="1:40" x14ac:dyDescent="0.3">
      <c r="B495" t="s">
        <v>28</v>
      </c>
      <c r="C495" s="17">
        <f t="shared" ref="C495:H495" si="65">SUM(C490:C494)</f>
        <v>0.62783315853339172</v>
      </c>
      <c r="D495" s="17">
        <f t="shared" si="65"/>
        <v>2.5688161860414112</v>
      </c>
      <c r="E495" s="17">
        <f t="shared" si="65"/>
        <v>58.446861786614598</v>
      </c>
      <c r="F495" s="17">
        <f t="shared" si="65"/>
        <v>29.600924484649912</v>
      </c>
      <c r="G495" s="17">
        <f t="shared" si="65"/>
        <v>8.7555643841606905</v>
      </c>
      <c r="H495" s="18">
        <f t="shared" si="65"/>
        <v>100</v>
      </c>
      <c r="I495" s="13" t="s">
        <v>24</v>
      </c>
      <c r="J495" s="12" t="s">
        <v>29</v>
      </c>
      <c r="N495" s="1">
        <f>SUM(N490:N494)</f>
        <v>96584.15</v>
      </c>
      <c r="O495" s="17">
        <f>SUM(O490:O494)</f>
        <v>100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5.4141737463023275E-2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0.1080035516445281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0.2753621135811124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0.39201604053038236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0.29104215430817615</v>
      </c>
      <c r="H496" s="1"/>
      <c r="I496" s="14">
        <f>(C490+D491+E492+F493+G494)/H495</f>
        <v>0.96211663267475156</v>
      </c>
      <c r="J496" s="53">
        <f>SQRT(SUM(P490:P494))/100</f>
        <v>4.0095687354056199E-3</v>
      </c>
      <c r="M496" s="1"/>
      <c r="N496" s="9"/>
    </row>
    <row r="497" spans="1:40" x14ac:dyDescent="0.3">
      <c r="B497" s="1" t="s">
        <v>30</v>
      </c>
      <c r="C497" s="17">
        <f>C490/C495*100</f>
        <v>91.368995047056615</v>
      </c>
      <c r="D497" s="17">
        <f>D491/D495*100</f>
        <v>91.562134915890098</v>
      </c>
      <c r="E497" s="17">
        <f>E492/E495*100</f>
        <v>97.940728393496201</v>
      </c>
      <c r="F497" s="17">
        <f>F493/F495*100</f>
        <v>97.206400296134689</v>
      </c>
      <c r="G497" s="17">
        <f>G494/G495*100</f>
        <v>83.017837071021077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7.8860624879660515</v>
      </c>
      <c r="D498" s="18">
        <f>SQRT((D501+D502)/(D495*D495))</f>
        <v>3.8529586195619951</v>
      </c>
      <c r="E498" s="18">
        <f>SQRT((E501+E502)/(E495*E495))</f>
        <v>0.40549410359750904</v>
      </c>
      <c r="F498" s="18">
        <f>SQRT((F501+F502)/(F495*F495))</f>
        <v>0.55311921607136771</v>
      </c>
      <c r="G498" s="18">
        <f>SQRT((G501+G502)/(G495*G495))</f>
        <v>3.0430820139070112</v>
      </c>
      <c r="H498" s="1"/>
    </row>
    <row r="499" spans="1:40" x14ac:dyDescent="0.3">
      <c r="B499" s="1" t="s">
        <v>37</v>
      </c>
      <c r="C499" s="18">
        <f>100-C497</f>
        <v>8.6310049529433854</v>
      </c>
      <c r="D499" s="18">
        <f>100-D497</f>
        <v>8.4378650841099017</v>
      </c>
      <c r="E499" s="18">
        <f>100-E497</f>
        <v>2.059271606503799</v>
      </c>
      <c r="F499" s="18">
        <f>100-F497</f>
        <v>2.7935997038653113</v>
      </c>
      <c r="G499" s="18">
        <f>100-G497</f>
        <v>16.982162928978923</v>
      </c>
      <c r="AM499" s="78"/>
      <c r="AN499" s="78"/>
    </row>
    <row r="500" spans="1:40" ht="15.6" x14ac:dyDescent="0.35">
      <c r="B500" s="1" t="s">
        <v>25</v>
      </c>
      <c r="C500" s="1">
        <f>C484</f>
        <v>452</v>
      </c>
      <c r="D500" s="1">
        <f>D484</f>
        <v>61</v>
      </c>
      <c r="E500" s="1">
        <f>E484</f>
        <v>769</v>
      </c>
      <c r="F500" s="1">
        <f>F484</f>
        <v>617</v>
      </c>
      <c r="G500" s="1">
        <f>G484</f>
        <v>937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0</v>
      </c>
      <c r="E501" s="18">
        <f>(O492*O492*(100-E497)*(100-E497)*(I492)*(100-I492))/((L492-1)*100)</f>
        <v>7.7165592859100576</v>
      </c>
      <c r="F501" s="18">
        <f>(O493*O493*(100-F497)*(100-F497)*(I493)*(100-I493))/((L493-1)*100)</f>
        <v>106.81399195464562</v>
      </c>
      <c r="G501" s="18">
        <f>(O494*O494*(100-G497)*(100-G497)*(I494)*(100-I494))/((L494-1)*100)</f>
        <v>164.44868193206264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24.513703330431085</v>
      </c>
      <c r="D502" s="18">
        <f>D497*D497*(SUM((H490*D490*(1-D479/H479))/(H479-1),(H492*D492*(1-D481/H481))/(H481-1), (H493*D493*(1-D482/H482))/(H482-1),(H494*D494*(1-D483/H483))/(H483-1)))</f>
        <v>97.961346867829732</v>
      </c>
      <c r="E502" s="18">
        <f>E497*E497*(SUM((H490*E490*(1-E479/H479))/(H479-1),(H491*E491*(1-E480/H480))/(H480-1), (H493*E493*(1-E482/H482))/(H482-1),(H494*E494*(1-E483/H483))/(H483-1)))</f>
        <v>553.96670179339026</v>
      </c>
      <c r="F502" s="18">
        <f>F497*F497*(SUM((H490*F490*(1-F479/H479))/(H479-1),(H491*F491*(1-F480/H480))/(H480-1), (H492*F492*(1-F481/H481))/(H481-1),(H494*F494*(1-F483/H483))/(H483-1)))</f>
        <v>161.25590248977096</v>
      </c>
      <c r="G502" s="18">
        <f>G497*G497*(SUM((H490*G490*(1-G479/H479))/(H479-1),(H491*G491*(1-G480/H480))/(H480-1), (H492*G492*(1-G481/H481))/(H481-1),(H493*G493*(1-G482/H482))/(H482-1)))</f>
        <v>545.44875187090577</v>
      </c>
    </row>
    <row r="503" spans="1:40" x14ac:dyDescent="0.3">
      <c r="A503" s="105" t="s">
        <v>645</v>
      </c>
      <c r="B503" s="69" t="s">
        <v>9</v>
      </c>
      <c r="C503" s="1">
        <v>277.66000000000003</v>
      </c>
      <c r="D503" s="1">
        <v>2302.7600000000002</v>
      </c>
      <c r="E503" s="1">
        <v>16283.81</v>
      </c>
      <c r="F503">
        <v>2061.56</v>
      </c>
      <c r="G503">
        <v>1219.17</v>
      </c>
      <c r="I503" t="s">
        <v>36</v>
      </c>
      <c r="J503" s="57">
        <f>SUM(C503:G503)</f>
        <v>22144.959999999999</v>
      </c>
      <c r="AM503" s="78"/>
      <c r="AN503" s="78"/>
    </row>
    <row r="504" spans="1:40" x14ac:dyDescent="0.3">
      <c r="B504" t="s">
        <v>367</v>
      </c>
      <c r="C504" s="57">
        <f>(C503/$J503)*100</f>
        <v>1.2538293137580743</v>
      </c>
      <c r="D504" s="57">
        <f>(D503/$J503)*100</f>
        <v>10.398573761253125</v>
      </c>
      <c r="E504" s="57">
        <f>(E503/$J503)*100</f>
        <v>73.532803852434142</v>
      </c>
      <c r="F504" s="57">
        <f>(F503/$J503)*100</f>
        <v>9.3093868762914909</v>
      </c>
      <c r="G504" s="57">
        <f>(G503/$J503)*100</f>
        <v>5.5054061962631682</v>
      </c>
    </row>
    <row r="505" spans="1:40" x14ac:dyDescent="0.3">
      <c r="A505" s="348" t="s">
        <v>369</v>
      </c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 t="s">
        <v>90</v>
      </c>
      <c r="M505" s="348"/>
      <c r="N505" s="348"/>
      <c r="O505" s="348"/>
      <c r="P505" s="348"/>
      <c r="AM505" s="78"/>
      <c r="AN505" s="78"/>
    </row>
    <row r="506" spans="1:40" x14ac:dyDescent="0.3">
      <c r="A506" t="s">
        <v>15</v>
      </c>
      <c r="B506" t="s">
        <v>21</v>
      </c>
      <c r="I506" s="1" t="s">
        <v>53</v>
      </c>
      <c r="O506" s="350" t="s">
        <v>377</v>
      </c>
      <c r="P506" s="350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51</v>
      </c>
      <c r="O507" s="13" t="s">
        <v>644</v>
      </c>
      <c r="P507" s="13" t="s">
        <v>633</v>
      </c>
      <c r="AM507" s="78"/>
      <c r="AN507" s="78"/>
    </row>
    <row r="508" spans="1:40" x14ac:dyDescent="0.3">
      <c r="A508" t="s">
        <v>3</v>
      </c>
      <c r="B508" s="13">
        <v>0</v>
      </c>
      <c r="C508" s="26">
        <v>451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451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57</v>
      </c>
      <c r="E509" s="1">
        <v>0</v>
      </c>
      <c r="F509" s="1">
        <v>0</v>
      </c>
      <c r="G509" s="6">
        <v>0</v>
      </c>
      <c r="H509" s="1">
        <f>SUM(C509:G509)</f>
        <v>57</v>
      </c>
      <c r="I509" s="10">
        <f>D509/H509</f>
        <v>1</v>
      </c>
      <c r="J509" s="11">
        <f>1-I509</f>
        <v>0</v>
      </c>
      <c r="K509">
        <f>H509-D513</f>
        <v>-6</v>
      </c>
      <c r="N509" s="10">
        <f>2*(D514*I509)/(D514+I509)</f>
        <v>0.95000000000000007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0</v>
      </c>
      <c r="E510" s="27">
        <v>734</v>
      </c>
      <c r="F510" s="1">
        <v>2</v>
      </c>
      <c r="G510" s="6">
        <v>1</v>
      </c>
      <c r="H510" s="1">
        <f>SUM(C510:G510)</f>
        <v>737</v>
      </c>
      <c r="I510" s="10">
        <f>E510/H510</f>
        <v>0.99592944369063774</v>
      </c>
      <c r="J510" s="11">
        <f>1-I510</f>
        <v>4.070556309362261E-3</v>
      </c>
      <c r="K510">
        <f>H510-E513</f>
        <v>-34</v>
      </c>
      <c r="N510" s="10">
        <f>2*(E514*I510)/(E514+I510)</f>
        <v>0.97347480106100803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6</v>
      </c>
      <c r="E511" s="1">
        <v>22</v>
      </c>
      <c r="F511" s="27">
        <v>534</v>
      </c>
      <c r="G511" s="6">
        <v>20</v>
      </c>
      <c r="H511" s="1">
        <f>SUM(C511:G511)</f>
        <v>582</v>
      </c>
      <c r="I511" s="10">
        <f>F511/H511</f>
        <v>0.91752577319587625</v>
      </c>
      <c r="J511" s="11">
        <f>1-I511</f>
        <v>8.2474226804123751E-2</v>
      </c>
      <c r="K511">
        <f>H511-F513</f>
        <v>4</v>
      </c>
      <c r="N511" s="10">
        <f>2*(F514*I511)/(F514+I511)</f>
        <v>0.92068965517241386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0</v>
      </c>
      <c r="E512" s="8">
        <v>15</v>
      </c>
      <c r="F512" s="8">
        <v>42</v>
      </c>
      <c r="G512" s="28">
        <v>952</v>
      </c>
      <c r="H512" s="1">
        <f>SUM(C512:G512)</f>
        <v>1009</v>
      </c>
      <c r="I512" s="10">
        <f>G512/H512</f>
        <v>0.94350842418235881</v>
      </c>
      <c r="J512" s="11">
        <f>1-I512</f>
        <v>5.6491575817641193E-2</v>
      </c>
      <c r="K512">
        <f>H512-G513</f>
        <v>36</v>
      </c>
      <c r="N512" s="10">
        <f>2*(G514*I512)/(G514+I512)</f>
        <v>0.96064581231079726</v>
      </c>
      <c r="O512" s="1"/>
      <c r="P512" s="1"/>
    </row>
    <row r="513" spans="1:40" ht="15.6" x14ac:dyDescent="0.35">
      <c r="B513" s="1" t="s">
        <v>19</v>
      </c>
      <c r="C513" s="1">
        <f>SUM(C508:C512)</f>
        <v>451</v>
      </c>
      <c r="D513" s="1">
        <f>SUM(D508:D512)</f>
        <v>63</v>
      </c>
      <c r="E513" s="1">
        <f>SUM(E508:E512)</f>
        <v>771</v>
      </c>
      <c r="F513" s="1">
        <f>SUM(F508:F512)</f>
        <v>578</v>
      </c>
      <c r="G513" s="1">
        <f>SUM(G508:G512)</f>
        <v>973</v>
      </c>
      <c r="H513" s="1">
        <f>SUM(H507:H512)</f>
        <v>2836</v>
      </c>
      <c r="I513" s="13" t="s">
        <v>12</v>
      </c>
      <c r="N513" s="16" t="s">
        <v>36</v>
      </c>
      <c r="O513" s="1">
        <f>SUM(O508:O512)</f>
        <v>0</v>
      </c>
      <c r="P513" s="1">
        <f>SUM(P508:P512)</f>
        <v>0</v>
      </c>
      <c r="AM513" s="78"/>
      <c r="AN513" s="78"/>
    </row>
    <row r="514" spans="1:40" x14ac:dyDescent="0.3">
      <c r="A514" s="1" t="s">
        <v>52</v>
      </c>
      <c r="B514" s="1" t="s">
        <v>2</v>
      </c>
      <c r="C514" s="10">
        <f>C508/C513</f>
        <v>1</v>
      </c>
      <c r="D514" s="10">
        <f>D509/D513</f>
        <v>0.90476190476190477</v>
      </c>
      <c r="E514" s="10">
        <f>E510/E513</f>
        <v>0.9520103761348897</v>
      </c>
      <c r="F514" s="10">
        <f>F511/F513</f>
        <v>0.92387543252595161</v>
      </c>
      <c r="G514" s="10">
        <f>G512/G513</f>
        <v>0.97841726618705038</v>
      </c>
      <c r="H514" s="10"/>
      <c r="I514" s="14">
        <f>(C508+D509+E510+F511+G512)/H513</f>
        <v>0.96191819464033845</v>
      </c>
    </row>
    <row r="515" spans="1:40" x14ac:dyDescent="0.3">
      <c r="B515" s="1" t="s">
        <v>14</v>
      </c>
      <c r="C515" s="11">
        <f>1-C514</f>
        <v>0</v>
      </c>
      <c r="D515" s="11">
        <f>1-D514</f>
        <v>9.5238095238095233E-2</v>
      </c>
      <c r="E515" s="11">
        <f>1-E514</f>
        <v>4.7989623865110298E-2</v>
      </c>
      <c r="F515" s="11">
        <f>1-F514</f>
        <v>7.6124567474048388E-2</v>
      </c>
      <c r="G515" s="11">
        <f>1-G514</f>
        <v>2.1582733812949617E-2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0.60887837186536298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0.60887837186536298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451</v>
      </c>
      <c r="M519">
        <v>0</v>
      </c>
      <c r="N519" s="1">
        <v>588.08000000000004</v>
      </c>
      <c r="O519" s="17">
        <f>N519/N524*100</f>
        <v>0.60887837186536298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66">(C509/$L520)*$O520</f>
        <v>0</v>
      </c>
      <c r="D520" s="34">
        <f t="shared" si="66"/>
        <v>2.5651206745620265</v>
      </c>
      <c r="E520" s="19">
        <f t="shared" si="66"/>
        <v>0</v>
      </c>
      <c r="F520" s="18">
        <f t="shared" si="66"/>
        <v>0</v>
      </c>
      <c r="G520" s="20">
        <f t="shared" si="66"/>
        <v>0</v>
      </c>
      <c r="H520" s="17">
        <f>SUM(C520:G520)</f>
        <v>2.5651206745620265</v>
      </c>
      <c r="I520" s="17">
        <f>D520/H520*100</f>
        <v>100</v>
      </c>
      <c r="J520" s="17">
        <f>SQRT(I520*(100-I520)/(L520-1))</f>
        <v>0</v>
      </c>
      <c r="K520" s="18">
        <f>100-I520</f>
        <v>0</v>
      </c>
      <c r="L520" s="1">
        <f>H509</f>
        <v>57</v>
      </c>
      <c r="M520">
        <v>1</v>
      </c>
      <c r="N520" s="1">
        <v>2477.5</v>
      </c>
      <c r="O520" s="17">
        <f>N520/N524*100</f>
        <v>2.5651206745620265</v>
      </c>
      <c r="P520" s="52">
        <f>((O520*O520*(I520/100)*(K520/100))/(L520-1))</f>
        <v>0</v>
      </c>
    </row>
    <row r="521" spans="1:40" x14ac:dyDescent="0.3">
      <c r="A521" t="s">
        <v>5</v>
      </c>
      <c r="B521" s="13">
        <v>2</v>
      </c>
      <c r="C521" s="33">
        <f t="shared" si="66"/>
        <v>0</v>
      </c>
      <c r="D521" s="19">
        <f t="shared" si="66"/>
        <v>0</v>
      </c>
      <c r="E521" s="34">
        <f t="shared" si="66"/>
        <v>56.834791271936531</v>
      </c>
      <c r="F521" s="19">
        <f t="shared" si="66"/>
        <v>0.15486319147666627</v>
      </c>
      <c r="G521" s="20">
        <f t="shared" si="66"/>
        <v>7.7431595738333137E-2</v>
      </c>
      <c r="H521" s="17">
        <f>SUM(C521:G521)</f>
        <v>57.067086059151528</v>
      </c>
      <c r="I521" s="17">
        <f>E521/H521*100</f>
        <v>99.592944369063773</v>
      </c>
      <c r="J521" s="17">
        <f>SQRT(I521*(100-I521)/(L521-1))</f>
        <v>0.2346941488143626</v>
      </c>
      <c r="K521" s="18">
        <f>100-I521</f>
        <v>0.40705563093622743</v>
      </c>
      <c r="L521" s="1">
        <f>H510</f>
        <v>737</v>
      </c>
      <c r="M521">
        <v>2</v>
      </c>
      <c r="N521" s="1">
        <v>55117.760000000002</v>
      </c>
      <c r="O521" s="17">
        <f>N521/N524*100</f>
        <v>57.067086059151528</v>
      </c>
      <c r="P521" s="52">
        <f>((O521*O521*(I521/100)*(K521/100))/(L521-1))</f>
        <v>1.7938078457776341E-2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66"/>
        <v>0</v>
      </c>
      <c r="D522" s="19">
        <f t="shared" si="66"/>
        <v>0.32868458902919923</v>
      </c>
      <c r="E522" s="19">
        <f t="shared" si="66"/>
        <v>1.205176826440397</v>
      </c>
      <c r="F522" s="34">
        <f t="shared" si="66"/>
        <v>29.252928423598732</v>
      </c>
      <c r="G522" s="20">
        <f t="shared" si="66"/>
        <v>1.0956152967639976</v>
      </c>
      <c r="H522" s="17">
        <f>SUM(C522:G522)</f>
        <v>31.882405135832325</v>
      </c>
      <c r="I522" s="17">
        <f>F522/H522*100</f>
        <v>91.75257731958763</v>
      </c>
      <c r="J522" s="17">
        <f>SQRT(I522*(100-I522)/(L522-1))</f>
        <v>1.1412484385858428</v>
      </c>
      <c r="K522" s="18">
        <f>100-I522</f>
        <v>8.2474226804123703</v>
      </c>
      <c r="L522" s="1">
        <f>H511</f>
        <v>582</v>
      </c>
      <c r="M522">
        <v>3</v>
      </c>
      <c r="N522" s="1">
        <v>30793.35</v>
      </c>
      <c r="O522" s="17">
        <f>N522/N524*100</f>
        <v>31.882405135832325</v>
      </c>
      <c r="P522" s="52">
        <f>((O522*O522*(I522/100)*(K522/100))/(L522-1))</f>
        <v>0.1323922444999811</v>
      </c>
    </row>
    <row r="523" spans="1:40" x14ac:dyDescent="0.3">
      <c r="A523" t="s">
        <v>7</v>
      </c>
      <c r="B523" s="13">
        <v>4</v>
      </c>
      <c r="C523" s="35">
        <f t="shared" si="66"/>
        <v>0</v>
      </c>
      <c r="D523" s="36">
        <f t="shared" si="66"/>
        <v>0</v>
      </c>
      <c r="E523" s="21">
        <f t="shared" si="66"/>
        <v>0.11709380215939674</v>
      </c>
      <c r="F523" s="21">
        <f t="shared" si="66"/>
        <v>0.32786264604631088</v>
      </c>
      <c r="G523" s="37">
        <f t="shared" si="66"/>
        <v>7.4315533103830465</v>
      </c>
      <c r="H523" s="17">
        <f>SUM(C523:G523)</f>
        <v>7.876509758588754</v>
      </c>
      <c r="I523" s="17">
        <f>G523/H523*100</f>
        <v>94.350842418235885</v>
      </c>
      <c r="J523" s="17">
        <f>SQRT(I523*(100-I523)/(L523-1))</f>
        <v>0.72716751579303351</v>
      </c>
      <c r="K523" s="18">
        <f>100-I523</f>
        <v>5.6491575817641149</v>
      </c>
      <c r="L523" s="1">
        <f>H512</f>
        <v>1009</v>
      </c>
      <c r="M523">
        <v>4</v>
      </c>
      <c r="N523" s="1">
        <v>7607.46</v>
      </c>
      <c r="O523" s="17">
        <f>N523/N524*100</f>
        <v>7.876509758588754</v>
      </c>
      <c r="P523" s="52">
        <f>((O523*O523*(I523/100)*(K523/100))/(L523-1))</f>
        <v>3.2804737754359172E-3</v>
      </c>
      <c r="AM523" s="78"/>
      <c r="AN523" s="78"/>
    </row>
    <row r="524" spans="1:40" x14ac:dyDescent="0.3">
      <c r="B524" t="s">
        <v>28</v>
      </c>
      <c r="C524" s="17">
        <f>SUM(C519:C523)</f>
        <v>0.60887837186536298</v>
      </c>
      <c r="D524" s="17">
        <f>SUM(D519:D523)</f>
        <v>2.8938052635912257</v>
      </c>
      <c r="E524" s="17">
        <f>SUM(E519:E523)</f>
        <v>58.157061900536327</v>
      </c>
      <c r="F524" s="17">
        <f>SUM(F519:F523)</f>
        <v>29.735654261121706</v>
      </c>
      <c r="G524" s="17">
        <f>SUM(G519:G523)</f>
        <v>8.6046002028853774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96584.150000000009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0.13349145480372682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0.2869479083498665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0.3828529396825931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0.25926991136353711</v>
      </c>
      <c r="H525" s="1"/>
      <c r="I525" s="14">
        <f>(C519+D520+E521+F522+G523)/H524</f>
        <v>0.96693272052345702</v>
      </c>
      <c r="J525" s="53">
        <f>SQRT(SUM(P519:P523))/100</f>
        <v>3.9193213281535537E-3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88.641786191884236</v>
      </c>
      <c r="E526" s="17">
        <f>E521/E524*100</f>
        <v>97.726379934974673</v>
      </c>
      <c r="F526" s="17">
        <f>F522/F524*100</f>
        <v>98.376609328034462</v>
      </c>
      <c r="G526" s="17">
        <f>G523/G524*100</f>
        <v>86.367212132540757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4.0925697395098446</v>
      </c>
      <c r="E527" s="18">
        <f>SQRT((E530+E531)/(E524*E524))</f>
        <v>0.43008236041975501</v>
      </c>
      <c r="F527" s="18">
        <f>SQRT((F530+F531)/(F524*F524))</f>
        <v>0.44430158911866829</v>
      </c>
      <c r="G527" s="18">
        <f>SQRT((G530+G531)/(G524*G524))</f>
        <v>2.6975042611390752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11.358213808115764</v>
      </c>
      <c r="E528" s="18">
        <f>100-E526</f>
        <v>2.2736200650253267</v>
      </c>
      <c r="F528" s="18">
        <f>100-F526</f>
        <v>1.623390671965538</v>
      </c>
      <c r="G528" s="18">
        <f>100-G526</f>
        <v>13.632787867459243</v>
      </c>
    </row>
    <row r="529" spans="1:40" ht="15.6" x14ac:dyDescent="0.35">
      <c r="B529" s="1" t="s">
        <v>25</v>
      </c>
      <c r="C529" s="1">
        <f>C513</f>
        <v>451</v>
      </c>
      <c r="D529" s="1">
        <f>D513</f>
        <v>63</v>
      </c>
      <c r="E529" s="1">
        <f>E513</f>
        <v>771</v>
      </c>
      <c r="F529" s="1">
        <f>F513</f>
        <v>578</v>
      </c>
      <c r="G529" s="1">
        <f>G513</f>
        <v>973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0</v>
      </c>
      <c r="E530" s="18">
        <f>(O521*O521*(100-E526)*(100-E526)*(I521)*(100-I521))/((L521-1)*100)</f>
        <v>9.2728173588703466</v>
      </c>
      <c r="F530" s="18">
        <f>(O522*O522*(100-F526)*(100-F526)*(I522)*(100-I522))/((L522-1)*100)</f>
        <v>34.890616023078614</v>
      </c>
      <c r="G530" s="18">
        <f>(O523*O523*(100-G526)*(100-G526)*(I523)*(100-I523))/((L523-1)*100)</f>
        <v>60.968558106949352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140.25901414726138</v>
      </c>
      <c r="E531" s="18">
        <f>E526*E526*(SUM((H519*E519*(1-E508/H508))/(H508-1),(H520*E520*(1-E509/H509))/(H509-1), (H522*E522*(1-E511/H511))/(H511-1),(H523*E523*(1-E512/H512))/(H512-1)))</f>
        <v>616.34365744570152</v>
      </c>
      <c r="F531" s="18">
        <f>F526*F526*(SUM((H519*F519*(1-F508/H508))/(H508-1),(H520*F520*(1-F509/H509))/(H509-1), (H521*F521*(1-F510/H510))/(H510-1),(H523*F523*(1-F512/H512))/(H512-1)))</f>
        <v>139.65571736164264</v>
      </c>
      <c r="G531" s="18">
        <f>G526*G526*(SUM((H519*G519*(1-G508/H508))/(H508-1),(H520*G520*(1-G509/H509))/(H509-1), (H521*G521*(1-G510/H510))/(H510-1),(H522*G522*(1-G511/H511))/(H511-1)))</f>
        <v>477.7794427700963</v>
      </c>
      <c r="AM531" s="78"/>
      <c r="AN531" s="78"/>
    </row>
    <row r="532" spans="1:40" x14ac:dyDescent="0.3">
      <c r="A532" s="105" t="s">
        <v>645</v>
      </c>
      <c r="B532" s="69" t="s">
        <v>9</v>
      </c>
      <c r="C532" s="1">
        <v>292.77999999999997</v>
      </c>
      <c r="D532" s="1">
        <v>2379.73</v>
      </c>
      <c r="E532" s="1">
        <v>16202.6</v>
      </c>
      <c r="F532">
        <v>2049.94</v>
      </c>
      <c r="G532">
        <v>1219.8900000000001</v>
      </c>
      <c r="I532" t="s">
        <v>36</v>
      </c>
      <c r="J532" s="57">
        <f>SUM(C532:G532)</f>
        <v>22144.94</v>
      </c>
    </row>
    <row r="533" spans="1:40" x14ac:dyDescent="0.3">
      <c r="B533" t="s">
        <v>367</v>
      </c>
      <c r="C533" s="57">
        <f>(C532/$J532)*100</f>
        <v>1.3221078946251379</v>
      </c>
      <c r="D533" s="57">
        <f>(D532/$J532)*100</f>
        <v>10.74615690988551</v>
      </c>
      <c r="E533" s="57">
        <f>(E532/$J532)*100</f>
        <v>73.166149919575318</v>
      </c>
      <c r="F533" s="57">
        <f>(F532/$J532)*100</f>
        <v>9.2569228004230322</v>
      </c>
      <c r="G533" s="57">
        <f>(G532/$J532)*100</f>
        <v>5.5086624754910156</v>
      </c>
      <c r="AM533" s="78"/>
      <c r="AN533" s="78"/>
    </row>
    <row r="534" spans="1:40" x14ac:dyDescent="0.3">
      <c r="A534" s="348" t="s">
        <v>369</v>
      </c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 t="s">
        <v>91</v>
      </c>
      <c r="M534" s="348"/>
      <c r="N534" s="348"/>
      <c r="O534" s="348"/>
      <c r="P534" s="348"/>
    </row>
    <row r="535" spans="1:40" x14ac:dyDescent="0.3">
      <c r="A535" t="s">
        <v>15</v>
      </c>
      <c r="B535" t="s">
        <v>21</v>
      </c>
      <c r="I535" s="1" t="s">
        <v>53</v>
      </c>
      <c r="O535" s="350" t="s">
        <v>377</v>
      </c>
      <c r="P535" s="350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51</v>
      </c>
      <c r="O536" s="13" t="s">
        <v>644</v>
      </c>
      <c r="P536" s="13" t="s">
        <v>633</v>
      </c>
    </row>
    <row r="537" spans="1:40" x14ac:dyDescent="0.3">
      <c r="A537" t="s">
        <v>3</v>
      </c>
      <c r="B537" s="13">
        <v>0</v>
      </c>
      <c r="C537" s="26">
        <v>451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451</v>
      </c>
      <c r="I537" s="10">
        <f>C537/H537</f>
        <v>1</v>
      </c>
      <c r="J537" s="11">
        <f>1-I537</f>
        <v>0</v>
      </c>
      <c r="K537">
        <f>H537-C542</f>
        <v>0</v>
      </c>
      <c r="N537" s="10">
        <f>2*(C543*I537)/(C543+I537)</f>
        <v>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57</v>
      </c>
      <c r="E538" s="1">
        <v>0</v>
      </c>
      <c r="F538" s="1">
        <v>0</v>
      </c>
      <c r="G538" s="6">
        <v>0</v>
      </c>
      <c r="H538" s="1">
        <f>SUM(C538:G538)</f>
        <v>57</v>
      </c>
      <c r="I538" s="10">
        <f>D538/H538</f>
        <v>1</v>
      </c>
      <c r="J538" s="11">
        <f>1-I538</f>
        <v>0</v>
      </c>
      <c r="K538">
        <f>H538-D542</f>
        <v>-6</v>
      </c>
      <c r="N538" s="10">
        <f>2*(D543*I538)/(D543+I538)</f>
        <v>0.95000000000000007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0</v>
      </c>
      <c r="E539" s="27">
        <v>732</v>
      </c>
      <c r="F539" s="1">
        <v>4</v>
      </c>
      <c r="G539" s="6">
        <v>1</v>
      </c>
      <c r="H539" s="1">
        <f>SUM(C539:G539)</f>
        <v>737</v>
      </c>
      <c r="I539" s="10">
        <f>E539/H539</f>
        <v>0.99321573948439623</v>
      </c>
      <c r="J539" s="11">
        <f>1-I539</f>
        <v>6.7842605156037683E-3</v>
      </c>
      <c r="K539">
        <f>H539-E542</f>
        <v>-29</v>
      </c>
      <c r="N539" s="10">
        <f>2*(E543*I539)/(E543+I539)</f>
        <v>0.97405189620758481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6</v>
      </c>
      <c r="E540" s="1">
        <v>19</v>
      </c>
      <c r="F540" s="27">
        <v>538</v>
      </c>
      <c r="G540" s="6">
        <v>19</v>
      </c>
      <c r="H540" s="1">
        <f>SUM(C540:G540)</f>
        <v>582</v>
      </c>
      <c r="I540" s="10">
        <f>F540/H540</f>
        <v>0.92439862542955331</v>
      </c>
      <c r="J540" s="11">
        <f>1-I540</f>
        <v>7.5601374570446689E-2</v>
      </c>
      <c r="K540">
        <f>H540-F542</f>
        <v>-57</v>
      </c>
      <c r="N540" s="10">
        <f>2*(F543*I540)/(F543+I540)</f>
        <v>0.88124488124488132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0</v>
      </c>
      <c r="E541" s="8">
        <v>15</v>
      </c>
      <c r="F541" s="8">
        <v>97</v>
      </c>
      <c r="G541" s="28">
        <v>897</v>
      </c>
      <c r="H541" s="1">
        <f>SUM(C541:G541)</f>
        <v>1009</v>
      </c>
      <c r="I541" s="10">
        <f>G541/H541</f>
        <v>0.8889990089197225</v>
      </c>
      <c r="J541" s="11">
        <f>1-I541</f>
        <v>0.1110009910802775</v>
      </c>
      <c r="K541">
        <f>H541-G542</f>
        <v>92</v>
      </c>
      <c r="N541" s="10">
        <f>2*(G543*I541)/(G543+I541)</f>
        <v>0.93146417445482854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451</v>
      </c>
      <c r="D542" s="1">
        <f>SUM(D537:D541)</f>
        <v>63</v>
      </c>
      <c r="E542" s="1">
        <f>SUM(E537:E541)</f>
        <v>766</v>
      </c>
      <c r="F542" s="1">
        <f>SUM(F537:F541)</f>
        <v>639</v>
      </c>
      <c r="G542" s="1">
        <f>SUM(G537:G541)</f>
        <v>917</v>
      </c>
      <c r="H542" s="1">
        <f>SUM(H536:H541)</f>
        <v>2836</v>
      </c>
      <c r="I542" s="13" t="s">
        <v>12</v>
      </c>
      <c r="N542" s="16" t="s">
        <v>36</v>
      </c>
      <c r="O542" s="1">
        <f>SUM(O537:O541)</f>
        <v>0</v>
      </c>
      <c r="P542" s="1">
        <f>SUM(P537:P541)</f>
        <v>0</v>
      </c>
    </row>
    <row r="543" spans="1:40" x14ac:dyDescent="0.3">
      <c r="A543" s="1" t="s">
        <v>52</v>
      </c>
      <c r="B543" s="1" t="s">
        <v>2</v>
      </c>
      <c r="C543" s="10">
        <f>C537/C542</f>
        <v>1</v>
      </c>
      <c r="D543" s="10">
        <f>D538/D542</f>
        <v>0.90476190476190477</v>
      </c>
      <c r="E543" s="10">
        <f>E539/E542</f>
        <v>0.95561357702349869</v>
      </c>
      <c r="F543" s="10">
        <f>F540/F542</f>
        <v>0.8419405320813772</v>
      </c>
      <c r="G543" s="10">
        <f>G541/G542</f>
        <v>0.97818974918211554</v>
      </c>
      <c r="H543" s="10"/>
      <c r="I543" s="14">
        <f>(C537+D538+E539+F540+G541)/H542</f>
        <v>0.94322990126939354</v>
      </c>
    </row>
    <row r="544" spans="1:40" x14ac:dyDescent="0.3">
      <c r="B544" s="1" t="s">
        <v>14</v>
      </c>
      <c r="C544" s="11">
        <f>1-C543</f>
        <v>0</v>
      </c>
      <c r="D544" s="11">
        <f>1-D543</f>
        <v>9.5238095238095233E-2</v>
      </c>
      <c r="E544" s="11">
        <f>1-E543</f>
        <v>4.4386422976501305E-2</v>
      </c>
      <c r="F544" s="11">
        <f>1-F543</f>
        <v>0.1580594679186228</v>
      </c>
      <c r="G544" s="11">
        <f>1-G543</f>
        <v>2.1810250817884458E-2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0.62527851357820996</v>
      </c>
      <c r="D548" s="31">
        <f>(D537/$L548)*$O548</f>
        <v>0</v>
      </c>
      <c r="E548" s="31">
        <f>(E537/$L548)*$O548</f>
        <v>0</v>
      </c>
      <c r="F548" s="31">
        <f>(F537/$L548)*$O548</f>
        <v>0</v>
      </c>
      <c r="G548" s="32">
        <f>(G537/$L548)*$O548</f>
        <v>0</v>
      </c>
      <c r="H548" s="17">
        <f>SUM(C548:G548)</f>
        <v>0.62527851357820996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451</v>
      </c>
      <c r="M548">
        <v>0</v>
      </c>
      <c r="N548" s="1">
        <v>603.91999999999996</v>
      </c>
      <c r="O548" s="17">
        <f>N548/N553*100</f>
        <v>0.62527851357820996</v>
      </c>
      <c r="P548" s="52">
        <f>((O548*O548*(I548/100)*(K548/100))/(L548-1))</f>
        <v>0</v>
      </c>
    </row>
    <row r="549" spans="1:16" x14ac:dyDescent="0.3">
      <c r="A549" t="s">
        <v>4</v>
      </c>
      <c r="B549" s="13">
        <v>1</v>
      </c>
      <c r="C549" s="33">
        <f t="shared" ref="C549:G552" si="67">(C538/$L549)*$O549</f>
        <v>0</v>
      </c>
      <c r="D549" s="34">
        <f t="shared" si="67"/>
        <v>2.6715560812456207</v>
      </c>
      <c r="E549" s="19">
        <f t="shared" si="67"/>
        <v>0</v>
      </c>
      <c r="F549" s="18">
        <f t="shared" si="67"/>
        <v>0</v>
      </c>
      <c r="G549" s="20">
        <f t="shared" si="67"/>
        <v>0</v>
      </c>
      <c r="H549" s="17">
        <f>SUM(C549:G549)</f>
        <v>2.6715560812456207</v>
      </c>
      <c r="I549" s="17">
        <f>D549/H549*100</f>
        <v>100</v>
      </c>
      <c r="J549" s="17">
        <f>SQRT(I549*(100-I549)/(L549-1))</f>
        <v>0</v>
      </c>
      <c r="K549" s="18">
        <f>100-I549</f>
        <v>0</v>
      </c>
      <c r="L549" s="1">
        <f>H538</f>
        <v>57</v>
      </c>
      <c r="M549">
        <v>1</v>
      </c>
      <c r="N549" s="1">
        <v>2580.3000000000002</v>
      </c>
      <c r="O549" s="17">
        <f>N549/N553*100</f>
        <v>2.6715560812456207</v>
      </c>
      <c r="P549" s="52">
        <f>((O549*O549*(I549/100)*(K549/100))/(L549-1))</f>
        <v>0</v>
      </c>
    </row>
    <row r="550" spans="1:16" x14ac:dyDescent="0.3">
      <c r="A550" t="s">
        <v>5</v>
      </c>
      <c r="B550" s="13">
        <v>2</v>
      </c>
      <c r="C550" s="33">
        <f t="shared" si="67"/>
        <v>0</v>
      </c>
      <c r="D550" s="19">
        <f t="shared" si="67"/>
        <v>0</v>
      </c>
      <c r="E550" s="34">
        <f t="shared" si="67"/>
        <v>55.813800938521126</v>
      </c>
      <c r="F550" s="19">
        <f t="shared" si="67"/>
        <v>0.30499344775148152</v>
      </c>
      <c r="G550" s="20">
        <f t="shared" si="67"/>
        <v>7.6248361937870379E-2</v>
      </c>
      <c r="H550" s="17">
        <f>SUM(C550:G550)</f>
        <v>56.195042748210476</v>
      </c>
      <c r="I550" s="17">
        <f>E550/H550*100</f>
        <v>99.321573948439621</v>
      </c>
      <c r="J550" s="17">
        <f>SQRT(I550*(100-I550)/(L550-1))</f>
        <v>0.30257577035375105</v>
      </c>
      <c r="K550" s="18">
        <f>100-I550</f>
        <v>0.67842605156037905</v>
      </c>
      <c r="L550" s="1">
        <f>H539</f>
        <v>737</v>
      </c>
      <c r="M550">
        <v>2</v>
      </c>
      <c r="N550" s="1">
        <v>54275.51</v>
      </c>
      <c r="O550" s="17">
        <f>N550/N553*100</f>
        <v>56.195042748210476</v>
      </c>
      <c r="P550" s="52">
        <f>((O550*O550*(I550/100)*(K550/100))/(L550-1))</f>
        <v>2.8911079450330186E-2</v>
      </c>
    </row>
    <row r="551" spans="1:16" x14ac:dyDescent="0.3">
      <c r="A551" t="s">
        <v>6</v>
      </c>
      <c r="B551" s="13">
        <v>3</v>
      </c>
      <c r="C551" s="33">
        <f t="shared" si="67"/>
        <v>0</v>
      </c>
      <c r="D551" s="19">
        <f t="shared" si="67"/>
        <v>0.3371657006633535</v>
      </c>
      <c r="E551" s="19">
        <f t="shared" si="67"/>
        <v>1.0676913854339529</v>
      </c>
      <c r="F551" s="34">
        <f t="shared" si="67"/>
        <v>30.232524492814033</v>
      </c>
      <c r="G551" s="20">
        <f t="shared" si="67"/>
        <v>1.0676913854339529</v>
      </c>
      <c r="H551" s="17">
        <f>SUM(C551:G551)</f>
        <v>32.705072964345291</v>
      </c>
      <c r="I551" s="17">
        <f>F551/H551*100</f>
        <v>92.439862542955325</v>
      </c>
      <c r="J551" s="17">
        <f>SQRT(I551*(100-I551)/(L551-1))</f>
        <v>1.0967469245051289</v>
      </c>
      <c r="K551" s="18">
        <f>100-I551</f>
        <v>7.5601374570446751</v>
      </c>
      <c r="L551" s="1">
        <f>H540</f>
        <v>582</v>
      </c>
      <c r="M551">
        <v>3</v>
      </c>
      <c r="N551" s="1">
        <v>31587.919999999998</v>
      </c>
      <c r="O551" s="17">
        <f>N551/N553*100</f>
        <v>32.705072964345291</v>
      </c>
      <c r="P551" s="52">
        <f>((O551*O551*(I551/100)*(K551/100))/(L551-1))</f>
        <v>0.12865986613638331</v>
      </c>
    </row>
    <row r="552" spans="1:16" x14ac:dyDescent="0.3">
      <c r="A552" t="s">
        <v>7</v>
      </c>
      <c r="B552" s="13">
        <v>4</v>
      </c>
      <c r="C552" s="35">
        <f t="shared" si="67"/>
        <v>0</v>
      </c>
      <c r="D552" s="36">
        <f t="shared" si="67"/>
        <v>0</v>
      </c>
      <c r="E552" s="21">
        <f t="shared" si="67"/>
        <v>0.11600172982091783</v>
      </c>
      <c r="F552" s="21">
        <f t="shared" si="67"/>
        <v>0.75014451950860206</v>
      </c>
      <c r="G552" s="37">
        <f t="shared" si="67"/>
        <v>6.9369034432908858</v>
      </c>
      <c r="H552" s="17">
        <f>SUM(C552:G552)</f>
        <v>7.803049692620406</v>
      </c>
      <c r="I552" s="17">
        <f>G552/H552*100</f>
        <v>88.899900891972237</v>
      </c>
      <c r="J552" s="17">
        <f>SQRT(I552*(100-I552)/(L552-1))</f>
        <v>0.98942709824063058</v>
      </c>
      <c r="K552" s="18">
        <f>100-I552</f>
        <v>11.100099108027763</v>
      </c>
      <c r="L552" s="1">
        <f>H541</f>
        <v>1009</v>
      </c>
      <c r="M552">
        <v>4</v>
      </c>
      <c r="N552" s="1">
        <v>7536.51</v>
      </c>
      <c r="O552" s="17">
        <f>N552/N553*100</f>
        <v>7.803049692620406</v>
      </c>
      <c r="P552" s="52">
        <f>((O552*O552*(I552/100)*(K552/100))/(L552-1))</f>
        <v>5.9606874001661096E-3</v>
      </c>
    </row>
    <row r="553" spans="1:16" x14ac:dyDescent="0.3">
      <c r="B553" t="s">
        <v>28</v>
      </c>
      <c r="C553" s="17">
        <f>SUM(C548:C552)</f>
        <v>0.62527851357820996</v>
      </c>
      <c r="D553" s="17">
        <f>SUM(D548:D552)</f>
        <v>3.0087217819089744</v>
      </c>
      <c r="E553" s="17">
        <f>SUM(E548:E552)</f>
        <v>56.997494053775995</v>
      </c>
      <c r="F553" s="17">
        <f>SUM(F548:F552)</f>
        <v>31.287662460074117</v>
      </c>
      <c r="G553" s="17">
        <f>SUM(G548:G552)</f>
        <v>8.0808431906627085</v>
      </c>
      <c r="H553" s="1">
        <f>SUM(H547:H552)</f>
        <v>100</v>
      </c>
      <c r="I553" s="13" t="s">
        <v>24</v>
      </c>
      <c r="J553" s="12" t="s">
        <v>29</v>
      </c>
      <c r="N553" s="1">
        <f>SUM(N548:N552)</f>
        <v>96584.159999999989</v>
      </c>
      <c r="O553" s="17">
        <f>SUM(O548:O552)</f>
        <v>100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0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0.1369359604732503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0.29630230882429026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0.39599411956004882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0.26419718747636589</v>
      </c>
      <c r="H554" s="1"/>
      <c r="I554" s="56">
        <f>(C548+D549+E550+F551+G552)/H553</f>
        <v>0.96280063469449872</v>
      </c>
      <c r="J554" s="53">
        <f>SQRT(SUM(P548:P552))/100</f>
        <v>4.0439044621118289E-3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88.793722879573508</v>
      </c>
      <c r="E555" s="17">
        <f>E550/E553*100</f>
        <v>97.923254109841949</v>
      </c>
      <c r="F555" s="17">
        <f>F551/F553*100</f>
        <v>96.627622889352836</v>
      </c>
      <c r="G555" s="17">
        <f>G552/G553*100</f>
        <v>85.843807132730561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4.0447452478566639</v>
      </c>
      <c r="E556" s="18">
        <f>SQRT((E559+E560)/(E553*E553))</f>
        <v>0.4219648900459525</v>
      </c>
      <c r="F556" s="18">
        <f>SQRT((F559+F560)/(F553*F553))</f>
        <v>0.64841440943793782</v>
      </c>
      <c r="G556" s="18">
        <f>SQRT((G559+G560)/(G553*G553))</f>
        <v>3.00772773660651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11.206277120426492</v>
      </c>
      <c r="E557" s="18">
        <f>100-E555</f>
        <v>2.0767458901580511</v>
      </c>
      <c r="F557" s="18">
        <f>100-F555</f>
        <v>3.3723771106471645</v>
      </c>
      <c r="G557" s="18">
        <f>100-G555</f>
        <v>14.156192867269439</v>
      </c>
    </row>
    <row r="558" spans="1:16" ht="15.6" x14ac:dyDescent="0.35">
      <c r="B558" s="1" t="s">
        <v>25</v>
      </c>
      <c r="C558" s="1">
        <f>C542</f>
        <v>451</v>
      </c>
      <c r="D558" s="1">
        <f>D542</f>
        <v>63</v>
      </c>
      <c r="E558" s="1">
        <f>E542</f>
        <v>766</v>
      </c>
      <c r="F558" s="1">
        <f>F542</f>
        <v>639</v>
      </c>
      <c r="G558" s="1">
        <f>G542</f>
        <v>917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0</v>
      </c>
      <c r="E559" s="18">
        <f>(O550*O550*(100-E555)*(100-E555)*(I550)*(100-I550))/((L550-1)*100)</f>
        <v>12.468982819477166</v>
      </c>
      <c r="F559" s="18">
        <f>(O551*O551*(100-F555)*(100-F555)*(I551)*(100-I551))/((L551-1)*100)</f>
        <v>146.32393138286102</v>
      </c>
      <c r="G559" s="18">
        <f>(O552*O552*(100-G555)*(100-G555)*(I552)*(100-I552))/((L552-1)*100)</f>
        <v>119.45086205907667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148.09704980905241</v>
      </c>
      <c r="E560" s="18">
        <f>E555*E555*(SUM((H548*E548*(1-E537/H537))/(H537-1),(H549*E549*(1-E538/H538))/(H538-1), (H551*E551*(1-E540/H540))/(H540-1),(H552*E552*(1-E541/H541))/(H541-1)))</f>
        <v>565.97879513994758</v>
      </c>
      <c r="F560" s="18">
        <f>F555*F555*(SUM((H548*F548*(1-F537/H537))/(H537-1),(H549*F549*(1-F538/H538))/(H538-1), (H550*F550*(1-F539/H539))/(H539-1),(H552*F552*(1-F541/H541))/(H541-1)))</f>
        <v>265.25349788006116</v>
      </c>
      <c r="G560" s="18">
        <f>G555*G555*(SUM((H548*G548*(1-G537/H537))/(H537-1),(H549*G549*(1-G538/H538))/(H538-1), (H550*G550*(1-G539/H539))/(H539-1),(H551*G551*(1-G540/H540))/(H540-1)))</f>
        <v>471.28100601007714</v>
      </c>
    </row>
    <row r="561" spans="1:16" x14ac:dyDescent="0.3">
      <c r="A561" s="105" t="s">
        <v>645</v>
      </c>
      <c r="B561" s="69" t="s">
        <v>9</v>
      </c>
      <c r="C561" s="1">
        <v>290.26</v>
      </c>
      <c r="D561" s="1">
        <v>2444.1</v>
      </c>
      <c r="E561" s="1">
        <v>16187.93</v>
      </c>
      <c r="F561">
        <v>2002.5</v>
      </c>
      <c r="G561">
        <v>1220.1600000000001</v>
      </c>
      <c r="I561" t="s">
        <v>36</v>
      </c>
      <c r="J561" s="57">
        <f>SUM(C561:G561)</f>
        <v>22144.95</v>
      </c>
    </row>
    <row r="562" spans="1:16" x14ac:dyDescent="0.3">
      <c r="B562" t="s">
        <v>367</v>
      </c>
      <c r="C562" s="57">
        <f>(C561/$J561)*100</f>
        <v>1.3107277279921608</v>
      </c>
      <c r="D562" s="57">
        <f>(D561/$J561)*100</f>
        <v>11.036827809500585</v>
      </c>
      <c r="E562" s="57">
        <f>(E561/$J561)*100</f>
        <v>73.099871528271692</v>
      </c>
      <c r="F562" s="57">
        <f>(F561/$J561)*100</f>
        <v>9.0426937066915922</v>
      </c>
      <c r="G562" s="57">
        <f>(G561/$J561)*100</f>
        <v>5.5098792275439772</v>
      </c>
    </row>
    <row r="563" spans="1:16" x14ac:dyDescent="0.3">
      <c r="A563" s="348" t="s">
        <v>369</v>
      </c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 t="s">
        <v>92</v>
      </c>
      <c r="M563" s="348"/>
      <c r="N563" s="348"/>
      <c r="O563" s="348"/>
      <c r="P563" s="348"/>
    </row>
    <row r="564" spans="1:16" x14ac:dyDescent="0.3">
      <c r="A564" t="s">
        <v>15</v>
      </c>
      <c r="B564" t="s">
        <v>21</v>
      </c>
      <c r="I564" s="1" t="s">
        <v>53</v>
      </c>
      <c r="O564" s="350" t="s">
        <v>377</v>
      </c>
      <c r="P564" s="350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51</v>
      </c>
      <c r="O565" s="13" t="s">
        <v>644</v>
      </c>
      <c r="P565" s="13" t="s">
        <v>633</v>
      </c>
    </row>
    <row r="566" spans="1:16" x14ac:dyDescent="0.3">
      <c r="A566" t="s">
        <v>3</v>
      </c>
      <c r="B566" s="13">
        <v>0</v>
      </c>
      <c r="C566" s="26">
        <v>451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451</v>
      </c>
      <c r="I566" s="10">
        <f>C566/H566</f>
        <v>1</v>
      </c>
      <c r="J566" s="11">
        <f>1-I566</f>
        <v>0</v>
      </c>
      <c r="K566">
        <f>H566-C571</f>
        <v>0</v>
      </c>
      <c r="N566" s="10">
        <f>2*(C572*I566)/(C572+I566)</f>
        <v>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57</v>
      </c>
      <c r="E567" s="1">
        <v>0</v>
      </c>
      <c r="F567" s="1">
        <v>0</v>
      </c>
      <c r="G567" s="6">
        <v>0</v>
      </c>
      <c r="H567" s="1">
        <f>SUM(C567:G567)</f>
        <v>57</v>
      </c>
      <c r="I567" s="10">
        <f>D567/H567</f>
        <v>1</v>
      </c>
      <c r="J567" s="11">
        <f>1-I567</f>
        <v>0</v>
      </c>
      <c r="K567">
        <f>H567-D571</f>
        <v>-4</v>
      </c>
      <c r="N567" s="10">
        <f>2*(D572*I567)/(D572+I567)</f>
        <v>0.96610169491525433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0</v>
      </c>
      <c r="E568" s="27">
        <v>734</v>
      </c>
      <c r="F568" s="1">
        <v>2</v>
      </c>
      <c r="G568" s="6">
        <v>1</v>
      </c>
      <c r="H568" s="1">
        <f>SUM(C568:G568)</f>
        <v>737</v>
      </c>
      <c r="I568" s="10">
        <f>E568/H568</f>
        <v>0.99592944369063774</v>
      </c>
      <c r="J568" s="11">
        <f>1-I568</f>
        <v>4.070556309362261E-3</v>
      </c>
      <c r="K568">
        <f>H568-E571</f>
        <v>-35</v>
      </c>
      <c r="N568" s="10">
        <f>2*(E572*I568)/(E572+I568)</f>
        <v>0.97282968853545393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4</v>
      </c>
      <c r="E569" s="1">
        <v>21</v>
      </c>
      <c r="F569" s="27">
        <v>528</v>
      </c>
      <c r="G569" s="6">
        <v>29</v>
      </c>
      <c r="H569" s="1">
        <f>SUM(C569:G569)</f>
        <v>582</v>
      </c>
      <c r="I569" s="10">
        <f>F569/H569</f>
        <v>0.90721649484536082</v>
      </c>
      <c r="J569" s="11">
        <f>1-I569</f>
        <v>9.2783505154639179E-2</v>
      </c>
      <c r="K569">
        <f>H569-F571</f>
        <v>-1</v>
      </c>
      <c r="N569" s="10">
        <f>2*(F572*I569)/(F572+I569)</f>
        <v>0.90643776824034328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0</v>
      </c>
      <c r="E570" s="8">
        <v>17</v>
      </c>
      <c r="F570" s="8">
        <v>53</v>
      </c>
      <c r="G570" s="28">
        <v>939</v>
      </c>
      <c r="H570" s="1">
        <f>SUM(C570:G570)</f>
        <v>1009</v>
      </c>
      <c r="I570" s="10">
        <f>G570/H570</f>
        <v>0.93062438057482655</v>
      </c>
      <c r="J570" s="11">
        <f>1-I570</f>
        <v>6.9375619425173451E-2</v>
      </c>
      <c r="K570">
        <f>H570-G571</f>
        <v>40</v>
      </c>
      <c r="N570" s="10">
        <f>2*(G572*I570)/(G572+I570)</f>
        <v>0.94944388270980795</v>
      </c>
      <c r="O570" s="1"/>
      <c r="P570" s="1"/>
    </row>
    <row r="571" spans="1:16" ht="15.6" x14ac:dyDescent="0.35">
      <c r="B571" s="1" t="s">
        <v>19</v>
      </c>
      <c r="C571" s="1">
        <f>SUM(C566:C570)</f>
        <v>451</v>
      </c>
      <c r="D571" s="1">
        <f>SUM(D566:D570)</f>
        <v>61</v>
      </c>
      <c r="E571" s="1">
        <f>SUM(E566:E570)</f>
        <v>772</v>
      </c>
      <c r="F571" s="1">
        <f>SUM(F566:F570)</f>
        <v>583</v>
      </c>
      <c r="G571" s="1">
        <f>SUM(G566:G570)</f>
        <v>969</v>
      </c>
      <c r="H571" s="1">
        <f>SUM(H565:H570)</f>
        <v>2836</v>
      </c>
      <c r="I571" s="13" t="s">
        <v>12</v>
      </c>
      <c r="N571" s="16" t="s">
        <v>36</v>
      </c>
      <c r="O571" s="1">
        <f>SUM(O566:O570)</f>
        <v>0</v>
      </c>
      <c r="P571" s="1">
        <f>SUM(P566:P570)</f>
        <v>0</v>
      </c>
    </row>
    <row r="572" spans="1:16" x14ac:dyDescent="0.3">
      <c r="A572" s="1" t="s">
        <v>52</v>
      </c>
      <c r="B572" s="1" t="s">
        <v>2</v>
      </c>
      <c r="C572" s="10">
        <f>C566/C571</f>
        <v>1</v>
      </c>
      <c r="D572" s="10">
        <f>D567/D571</f>
        <v>0.93442622950819676</v>
      </c>
      <c r="E572" s="10">
        <f>E568/E571</f>
        <v>0.95077720207253891</v>
      </c>
      <c r="F572" s="10">
        <f>F569/F571</f>
        <v>0.90566037735849059</v>
      </c>
      <c r="G572" s="10">
        <f>G570/G571</f>
        <v>0.96904024767801855</v>
      </c>
      <c r="H572" s="10"/>
      <c r="I572" s="14">
        <f>(C566+D567+E568+F569+G570)/H571</f>
        <v>0.95521861777150918</v>
      </c>
    </row>
    <row r="573" spans="1:16" x14ac:dyDescent="0.3">
      <c r="B573" s="1" t="s">
        <v>14</v>
      </c>
      <c r="C573" s="11">
        <f>1-C572</f>
        <v>0</v>
      </c>
      <c r="D573" s="11">
        <f>1-D572</f>
        <v>6.557377049180324E-2</v>
      </c>
      <c r="E573" s="11">
        <f>1-E572</f>
        <v>4.9222797927461093E-2</v>
      </c>
      <c r="F573" s="11">
        <f>1-F572</f>
        <v>9.4339622641509413E-2</v>
      </c>
      <c r="G573" s="11">
        <f>1-G572</f>
        <v>3.0959752321981449E-2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0.34212652904229113</v>
      </c>
      <c r="D577" s="31">
        <f>(D566/$L577)*$O577</f>
        <v>0</v>
      </c>
      <c r="E577" s="31">
        <f>(E566/$L577)*$O577</f>
        <v>0</v>
      </c>
      <c r="F577" s="31">
        <f>(F566/$L577)*$O577</f>
        <v>0</v>
      </c>
      <c r="G577" s="32">
        <f>(G566/$L577)*$O577</f>
        <v>0</v>
      </c>
      <c r="H577" s="17">
        <f>SUM(C577:G577)</f>
        <v>0.34212652904229113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451</v>
      </c>
      <c r="M577">
        <v>0</v>
      </c>
      <c r="N577" s="1">
        <v>330.44</v>
      </c>
      <c r="O577" s="17">
        <f>N577/N582*100</f>
        <v>0.34212652904229113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ref="C578:G581" si="68">(C567/$L578)*$O578</f>
        <v>0</v>
      </c>
      <c r="D578" s="34">
        <f t="shared" si="68"/>
        <v>2.051144002406192</v>
      </c>
      <c r="E578" s="19">
        <f t="shared" si="68"/>
        <v>0</v>
      </c>
      <c r="F578" s="18">
        <f t="shared" si="68"/>
        <v>0</v>
      </c>
      <c r="G578" s="20">
        <f t="shared" si="68"/>
        <v>0</v>
      </c>
      <c r="H578" s="17">
        <f>SUM(C578:G578)</f>
        <v>2.051144002406192</v>
      </c>
      <c r="I578" s="17">
        <f>D578/H578*100</f>
        <v>100</v>
      </c>
      <c r="J578" s="17">
        <f>SQRT(I578*(100-I578)/(L578-1))</f>
        <v>0</v>
      </c>
      <c r="K578" s="18">
        <f>100-I578</f>
        <v>0</v>
      </c>
      <c r="L578" s="1">
        <f>H567</f>
        <v>57</v>
      </c>
      <c r="M578">
        <v>1</v>
      </c>
      <c r="N578" s="1">
        <v>1981.08</v>
      </c>
      <c r="O578" s="17">
        <f>N578/N582*100</f>
        <v>2.051144002406192</v>
      </c>
      <c r="P578" s="52">
        <f>((O578*O578*(I578/100)*(K578/100))/(L578-1))</f>
        <v>0</v>
      </c>
    </row>
    <row r="579" spans="1:16" x14ac:dyDescent="0.3">
      <c r="A579" t="s">
        <v>5</v>
      </c>
      <c r="B579" s="13">
        <v>2</v>
      </c>
      <c r="C579" s="33">
        <f t="shared" si="68"/>
        <v>0</v>
      </c>
      <c r="D579" s="19">
        <f t="shared" si="68"/>
        <v>0</v>
      </c>
      <c r="E579" s="34">
        <f t="shared" si="68"/>
        <v>57.386313257948082</v>
      </c>
      <c r="F579" s="19">
        <f t="shared" si="68"/>
        <v>0.15636597617969503</v>
      </c>
      <c r="G579" s="20">
        <f t="shared" si="68"/>
        <v>7.8182988089847513E-2</v>
      </c>
      <c r="H579" s="17">
        <f>SUM(C579:G579)</f>
        <v>57.620862222217625</v>
      </c>
      <c r="I579" s="17">
        <f>E579/H579*100</f>
        <v>99.592944369063773</v>
      </c>
      <c r="J579" s="17">
        <f>SQRT(I579*(100-I579)/(L579-1))</f>
        <v>0.2346941488143626</v>
      </c>
      <c r="K579" s="18">
        <f>100-I579</f>
        <v>0.40705563093622743</v>
      </c>
      <c r="L579" s="1">
        <f>H568</f>
        <v>737</v>
      </c>
      <c r="M579">
        <v>2</v>
      </c>
      <c r="N579" s="1">
        <v>55652.62</v>
      </c>
      <c r="O579" s="17">
        <f>N579/N582*100</f>
        <v>57.620862222217625</v>
      </c>
      <c r="P579" s="52">
        <f>((O579*O579*(I579/100)*(K579/100))/(L579-1))</f>
        <v>1.828790806779786E-2</v>
      </c>
    </row>
    <row r="580" spans="1:16" x14ac:dyDescent="0.3">
      <c r="A580" t="s">
        <v>6</v>
      </c>
      <c r="B580" s="13">
        <v>3</v>
      </c>
      <c r="C580" s="33">
        <f t="shared" si="68"/>
        <v>0</v>
      </c>
      <c r="D580" s="19">
        <f t="shared" si="68"/>
        <v>0.21942420514797317</v>
      </c>
      <c r="E580" s="19">
        <f t="shared" si="68"/>
        <v>1.1519770770268589</v>
      </c>
      <c r="F580" s="34">
        <f t="shared" si="68"/>
        <v>28.963995079532459</v>
      </c>
      <c r="G580" s="20">
        <f t="shared" si="68"/>
        <v>1.5908254873228056</v>
      </c>
      <c r="H580" s="17">
        <f>SUM(C580:G580)</f>
        <v>31.9262218490301</v>
      </c>
      <c r="I580" s="17">
        <f>F580/H580*100</f>
        <v>90.721649484536073</v>
      </c>
      <c r="J580" s="17">
        <f>SQRT(I580*(100-I580)/(L580-1))</f>
        <v>1.2036571232392483</v>
      </c>
      <c r="K580" s="18">
        <f>100-I580</f>
        <v>9.2783505154639272</v>
      </c>
      <c r="L580" s="1">
        <f>H569</f>
        <v>582</v>
      </c>
      <c r="M580">
        <v>3</v>
      </c>
      <c r="N580" s="1">
        <v>30835.67</v>
      </c>
      <c r="O580" s="17">
        <f>N580/N582*100</f>
        <v>31.926221849030096</v>
      </c>
      <c r="P580" s="52">
        <f>((O580*O580*(I580/100)*(K580/100))/(L580-1))</f>
        <v>0.14767284264404301</v>
      </c>
    </row>
    <row r="581" spans="1:16" x14ac:dyDescent="0.3">
      <c r="A581" t="s">
        <v>7</v>
      </c>
      <c r="B581" s="13">
        <v>4</v>
      </c>
      <c r="C581" s="35">
        <f t="shared" si="68"/>
        <v>0</v>
      </c>
      <c r="D581" s="36">
        <f t="shared" si="68"/>
        <v>0</v>
      </c>
      <c r="E581" s="21">
        <f t="shared" si="68"/>
        <v>0.13579184514783413</v>
      </c>
      <c r="F581" s="21">
        <f t="shared" si="68"/>
        <v>0.42335104663736522</v>
      </c>
      <c r="G581" s="37">
        <f t="shared" si="68"/>
        <v>7.500502505518603</v>
      </c>
      <c r="H581" s="17">
        <f>SUM(C581:G581)</f>
        <v>8.059645397303802</v>
      </c>
      <c r="I581" s="17">
        <f>G581/H581*100</f>
        <v>93.062438057482652</v>
      </c>
      <c r="J581" s="17">
        <f>SQRT(I581*(100-I581)/(L581-1))</f>
        <v>0.80031394419396396</v>
      </c>
      <c r="K581" s="18">
        <f>100-I581</f>
        <v>6.9375619425173483</v>
      </c>
      <c r="L581" s="1">
        <f>H570</f>
        <v>1009</v>
      </c>
      <c r="M581">
        <v>4</v>
      </c>
      <c r="N581" s="1">
        <v>7784.34</v>
      </c>
      <c r="O581" s="17">
        <f>N581/N582*100</f>
        <v>8.059645397303802</v>
      </c>
      <c r="P581" s="52">
        <f>((O581*O581*(I581/100)*(K581/100))/(L581-1))</f>
        <v>4.1605681158509997E-3</v>
      </c>
    </row>
    <row r="582" spans="1:16" x14ac:dyDescent="0.3">
      <c r="B582" t="s">
        <v>28</v>
      </c>
      <c r="C582" s="17">
        <f t="shared" ref="C582:H582" si="69">SUM(C577:C581)</f>
        <v>0.34212652904229113</v>
      </c>
      <c r="D582" s="17">
        <f t="shared" si="69"/>
        <v>2.2705682075541653</v>
      </c>
      <c r="E582" s="17">
        <f t="shared" si="69"/>
        <v>58.674082180122774</v>
      </c>
      <c r="F582" s="17">
        <f t="shared" si="69"/>
        <v>29.54371210234952</v>
      </c>
      <c r="G582" s="17">
        <f t="shared" si="69"/>
        <v>9.1695109809312569</v>
      </c>
      <c r="H582" s="18">
        <f t="shared" si="69"/>
        <v>100</v>
      </c>
      <c r="I582" s="13" t="s">
        <v>24</v>
      </c>
      <c r="J582" s="12" t="s">
        <v>29</v>
      </c>
      <c r="N582" s="1">
        <f>SUM(N577:N581)</f>
        <v>96584.15</v>
      </c>
      <c r="O582" s="17">
        <f>SUM(O577:O581)</f>
        <v>100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0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0.10933443500720365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0.28327062703989775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0.40350351950803848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0.3052520416667816</v>
      </c>
      <c r="H583" s="1"/>
      <c r="I583" s="56">
        <f>(C577+D578+E579+F580+G581)/H582</f>
        <v>0.96244081374447632</v>
      </c>
      <c r="J583" s="53">
        <f>SQRT(SUM(P577:P581))/100</f>
        <v>4.1245765701183427E-3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90.33615442962909</v>
      </c>
      <c r="E584" s="17">
        <f>E579/E582*100</f>
        <v>97.80521675955427</v>
      </c>
      <c r="F584" s="17">
        <f>F580/F582*100</f>
        <v>98.037765123053177</v>
      </c>
      <c r="G584" s="17">
        <f>G581/G582*100</f>
        <v>81.798282603254492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4.3536893501337657</v>
      </c>
      <c r="E585" s="18">
        <f>SQRT((E588+E589)/(E582*E582))</f>
        <v>0.41841436585456143</v>
      </c>
      <c r="F585" s="18">
        <f>SQRT((F588+F589)/(F582*F582))</f>
        <v>0.48466271718341514</v>
      </c>
      <c r="G585" s="18">
        <f>SQRT((G588+G589)/(G582*G582))</f>
        <v>2.9556197588117206</v>
      </c>
      <c r="H585" s="1"/>
    </row>
    <row r="586" spans="1:16" x14ac:dyDescent="0.3">
      <c r="B586" s="1" t="s">
        <v>37</v>
      </c>
      <c r="C586" s="18">
        <f>100-C584</f>
        <v>0</v>
      </c>
      <c r="D586" s="18">
        <f>100-D584</f>
        <v>9.6638455703709099</v>
      </c>
      <c r="E586" s="18">
        <f>100-E584</f>
        <v>2.1947832404457301</v>
      </c>
      <c r="F586" s="18">
        <f>100-F584</f>
        <v>1.9622348769468232</v>
      </c>
      <c r="G586" s="18">
        <f>100-G584</f>
        <v>18.201717396745508</v>
      </c>
    </row>
    <row r="587" spans="1:16" ht="15.6" x14ac:dyDescent="0.35">
      <c r="B587" s="1" t="s">
        <v>25</v>
      </c>
      <c r="C587" s="1">
        <f>C571</f>
        <v>451</v>
      </c>
      <c r="D587" s="1">
        <f>D571</f>
        <v>61</v>
      </c>
      <c r="E587" s="1">
        <f>E571</f>
        <v>772</v>
      </c>
      <c r="F587" s="1">
        <f>F571</f>
        <v>583</v>
      </c>
      <c r="G587" s="1">
        <f>G571</f>
        <v>969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0</v>
      </c>
      <c r="E588" s="18">
        <f>(O579*O579*(100-E584)*(100-E584)*(I579)*(100-I579))/((L579-1)*100)</f>
        <v>8.8094196821666007</v>
      </c>
      <c r="F588" s="18">
        <f>(O580*O580*(100-F584)*(100-F584)*(I580)*(100-I580))/((L580-1)*100)</f>
        <v>56.859444995545843</v>
      </c>
      <c r="G588" s="18">
        <f>(O581*O581*(100-G584)*(100-G584)*(I581)*(100-I581))/((L581-1)*100)</f>
        <v>137.84066855654345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97.720117417640751</v>
      </c>
      <c r="E589" s="18">
        <f>E584*E584*(SUM((H577*E577*(1-E566/H566))/(H566-1),(H578*E578*(1-E567/H567))/(H567-1), (H580*E580*(1-E569/H569))/(H569-1),(H581*E581*(1-E570/H570))/(H570-1)))</f>
        <v>593.89695370003642</v>
      </c>
      <c r="F589" s="18">
        <f>F584*F584*(SUM((H577*F577*(1-F566/H566))/(H566-1),(H578*F578*(1-F567/H567))/(H567-1), (H579*F579*(1-F568/H568))/(H568-1),(H581*F581*(1-F570/H570))/(H570-1)))</f>
        <v>148.16674943381156</v>
      </c>
      <c r="G589" s="18">
        <f>G584*G584*(SUM((H577*G577*(1-G566/H566))/(H566-1),(H578*G578*(1-G567/H567))/(H567-1), (H579*G579*(1-G568/H568))/(H568-1),(H580*G580*(1-G569/H569))/(H569-1)))</f>
        <v>596.65539456104841</v>
      </c>
    </row>
    <row r="590" spans="1:16" x14ac:dyDescent="0.3">
      <c r="A590" s="105" t="s">
        <v>645</v>
      </c>
      <c r="B590" s="69" t="s">
        <v>9</v>
      </c>
      <c r="C590" s="1">
        <v>292.60000000000002</v>
      </c>
      <c r="D590" s="1">
        <v>2557.62</v>
      </c>
      <c r="E590" s="1">
        <v>16050.82</v>
      </c>
      <c r="F590">
        <v>2088.4699999999998</v>
      </c>
      <c r="G590">
        <v>1155.43</v>
      </c>
      <c r="I590" t="s">
        <v>36</v>
      </c>
      <c r="J590" s="57">
        <f>SUM(C590:G590)</f>
        <v>22144.940000000002</v>
      </c>
    </row>
    <row r="591" spans="1:16" x14ac:dyDescent="0.3">
      <c r="B591" t="s">
        <v>367</v>
      </c>
      <c r="C591" s="57">
        <f>(C590/$J590)*100</f>
        <v>1.321295067857488</v>
      </c>
      <c r="D591" s="57">
        <f>(D590/$J590)*100</f>
        <v>11.549455541536799</v>
      </c>
      <c r="E591" s="57">
        <f>(E590/$J590)*100</f>
        <v>72.48075632627588</v>
      </c>
      <c r="F591" s="57">
        <f>(F590/$J590)*100</f>
        <v>9.430912885742746</v>
      </c>
      <c r="G591" s="57">
        <f>(G590/$J590)*100</f>
        <v>5.2175801785870712</v>
      </c>
    </row>
    <row r="592" spans="1:16" x14ac:dyDescent="0.3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48"/>
      <c r="B998" s="348"/>
      <c r="C998" s="348"/>
      <c r="D998" s="348"/>
      <c r="E998" s="348"/>
      <c r="F998" s="348"/>
      <c r="G998" s="348"/>
      <c r="H998" s="348"/>
      <c r="I998" s="348"/>
      <c r="J998" s="348"/>
      <c r="K998" s="348"/>
      <c r="L998" s="348"/>
      <c r="M998" s="348"/>
      <c r="N998" s="348"/>
      <c r="O998" s="348"/>
      <c r="P998" s="348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48"/>
      <c r="B1027" s="348"/>
      <c r="C1027" s="348"/>
      <c r="D1027" s="348"/>
      <c r="E1027" s="348"/>
      <c r="F1027" s="348"/>
      <c r="G1027" s="348"/>
      <c r="H1027" s="348"/>
      <c r="I1027" s="348"/>
      <c r="J1027" s="348"/>
      <c r="K1027" s="348"/>
      <c r="L1027" s="348"/>
      <c r="M1027" s="348"/>
      <c r="N1027" s="348"/>
      <c r="O1027" s="348"/>
      <c r="P1027" s="348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48"/>
      <c r="B1056" s="348"/>
      <c r="C1056" s="348"/>
      <c r="D1056" s="348"/>
      <c r="E1056" s="348"/>
      <c r="F1056" s="348"/>
      <c r="G1056" s="348"/>
      <c r="H1056" s="348"/>
      <c r="I1056" s="348"/>
      <c r="J1056" s="348"/>
      <c r="K1056" s="348"/>
      <c r="L1056" s="348"/>
      <c r="M1056" s="348"/>
      <c r="N1056" s="348"/>
      <c r="O1056" s="348"/>
      <c r="P1056" s="348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48"/>
      <c r="B1085" s="348"/>
      <c r="C1085" s="348"/>
      <c r="D1085" s="348"/>
      <c r="E1085" s="348"/>
      <c r="F1085" s="348"/>
      <c r="G1085" s="348"/>
      <c r="H1085" s="348"/>
      <c r="I1085" s="348"/>
      <c r="J1085" s="348"/>
      <c r="K1085" s="348"/>
      <c r="L1085" s="348"/>
      <c r="M1085" s="348"/>
      <c r="N1085" s="348"/>
      <c r="O1085" s="348"/>
      <c r="P1085" s="348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48"/>
      <c r="B1114" s="348"/>
      <c r="C1114" s="348"/>
      <c r="D1114" s="348"/>
      <c r="E1114" s="348"/>
      <c r="F1114" s="348"/>
      <c r="G1114" s="348"/>
      <c r="H1114" s="348"/>
      <c r="I1114" s="348"/>
      <c r="J1114" s="348"/>
      <c r="K1114" s="348"/>
      <c r="L1114" s="348"/>
      <c r="M1114" s="348"/>
      <c r="N1114" s="348"/>
      <c r="O1114" s="348"/>
      <c r="P1114" s="348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48"/>
      <c r="B1143" s="348"/>
      <c r="C1143" s="348"/>
      <c r="D1143" s="348"/>
      <c r="E1143" s="348"/>
      <c r="F1143" s="348"/>
      <c r="G1143" s="348"/>
      <c r="H1143" s="348"/>
      <c r="I1143" s="348"/>
      <c r="J1143" s="348"/>
      <c r="K1143" s="348"/>
      <c r="L1143" s="348"/>
      <c r="M1143" s="348"/>
      <c r="N1143" s="348"/>
      <c r="O1143" s="348"/>
      <c r="P1143" s="348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48"/>
      <c r="B1172" s="348"/>
      <c r="C1172" s="348"/>
      <c r="D1172" s="348"/>
      <c r="E1172" s="348"/>
      <c r="F1172" s="348"/>
      <c r="G1172" s="348"/>
      <c r="H1172" s="348"/>
      <c r="I1172" s="348"/>
      <c r="J1172" s="348"/>
      <c r="K1172" s="348"/>
      <c r="L1172" s="348"/>
      <c r="M1172" s="348"/>
      <c r="N1172" s="348"/>
      <c r="O1172" s="348"/>
      <c r="P1172" s="348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48"/>
      <c r="B1201" s="348"/>
      <c r="C1201" s="348"/>
      <c r="D1201" s="348"/>
      <c r="E1201" s="348"/>
      <c r="F1201" s="348"/>
      <c r="G1201" s="348"/>
      <c r="H1201" s="348"/>
      <c r="I1201" s="348"/>
      <c r="J1201" s="348"/>
      <c r="K1201" s="348"/>
      <c r="L1201" s="348"/>
      <c r="M1201" s="348"/>
      <c r="N1201" s="348"/>
      <c r="O1201" s="348"/>
      <c r="P1201" s="348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48"/>
      <c r="B1230" s="348"/>
      <c r="C1230" s="348"/>
      <c r="D1230" s="348"/>
      <c r="E1230" s="348"/>
      <c r="F1230" s="348"/>
      <c r="G1230" s="348"/>
      <c r="H1230" s="348"/>
      <c r="I1230" s="348"/>
      <c r="J1230" s="348"/>
      <c r="K1230" s="348"/>
      <c r="L1230" s="348"/>
      <c r="M1230" s="348"/>
      <c r="N1230" s="348"/>
      <c r="O1230" s="348"/>
      <c r="P1230" s="348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48"/>
      <c r="B1259" s="348"/>
      <c r="C1259" s="348"/>
      <c r="D1259" s="348"/>
      <c r="E1259" s="348"/>
      <c r="F1259" s="348"/>
      <c r="G1259" s="348"/>
      <c r="H1259" s="348"/>
      <c r="I1259" s="348"/>
      <c r="J1259" s="348"/>
      <c r="K1259" s="348"/>
      <c r="L1259" s="348"/>
      <c r="M1259" s="348"/>
      <c r="N1259" s="348"/>
      <c r="O1259" s="348"/>
      <c r="P1259" s="348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48"/>
      <c r="B1288" s="348"/>
      <c r="C1288" s="348"/>
      <c r="D1288" s="348"/>
      <c r="E1288" s="348"/>
      <c r="F1288" s="348"/>
      <c r="G1288" s="348"/>
      <c r="H1288" s="348"/>
      <c r="I1288" s="348"/>
      <c r="J1288" s="348"/>
      <c r="K1288" s="348"/>
      <c r="L1288" s="348"/>
      <c r="M1288" s="348"/>
      <c r="N1288" s="348"/>
      <c r="O1288" s="348"/>
      <c r="P1288" s="348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48"/>
      <c r="B1317" s="348"/>
      <c r="C1317" s="348"/>
      <c r="D1317" s="348"/>
      <c r="E1317" s="348"/>
      <c r="F1317" s="348"/>
      <c r="G1317" s="348"/>
      <c r="H1317" s="348"/>
      <c r="I1317" s="348"/>
      <c r="J1317" s="348"/>
      <c r="K1317" s="348"/>
      <c r="L1317" s="348"/>
      <c r="M1317" s="348"/>
      <c r="N1317" s="348"/>
      <c r="O1317" s="348"/>
      <c r="P1317" s="348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48"/>
      <c r="B1346" s="348"/>
      <c r="C1346" s="348"/>
      <c r="D1346" s="348"/>
      <c r="E1346" s="348"/>
      <c r="F1346" s="348"/>
      <c r="G1346" s="348"/>
      <c r="H1346" s="348"/>
      <c r="I1346" s="348"/>
      <c r="J1346" s="348"/>
      <c r="K1346" s="348"/>
      <c r="L1346" s="348"/>
      <c r="M1346" s="348"/>
      <c r="N1346" s="348"/>
      <c r="O1346" s="348"/>
      <c r="P1346" s="348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48"/>
      <c r="B1375" s="348"/>
      <c r="C1375" s="348"/>
      <c r="D1375" s="348"/>
      <c r="E1375" s="348"/>
      <c r="F1375" s="348"/>
      <c r="G1375" s="348"/>
      <c r="H1375" s="348"/>
      <c r="I1375" s="348"/>
      <c r="J1375" s="348"/>
      <c r="K1375" s="348"/>
      <c r="L1375" s="348"/>
      <c r="M1375" s="348"/>
      <c r="N1375" s="348"/>
      <c r="O1375" s="348"/>
      <c r="P1375" s="348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48"/>
      <c r="B1404" s="348"/>
      <c r="C1404" s="348"/>
      <c r="D1404" s="348"/>
      <c r="E1404" s="348"/>
      <c r="F1404" s="348"/>
      <c r="G1404" s="348"/>
      <c r="H1404" s="348"/>
      <c r="I1404" s="348"/>
      <c r="J1404" s="348"/>
      <c r="K1404" s="348"/>
      <c r="L1404" s="348"/>
      <c r="M1404" s="348"/>
      <c r="N1404" s="348"/>
      <c r="O1404" s="348"/>
      <c r="P1404" s="348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48"/>
      <c r="B1433" s="348"/>
      <c r="C1433" s="348"/>
      <c r="D1433" s="348"/>
      <c r="E1433" s="348"/>
      <c r="F1433" s="348"/>
      <c r="G1433" s="348"/>
      <c r="H1433" s="348"/>
      <c r="I1433" s="348"/>
      <c r="J1433" s="348"/>
      <c r="K1433" s="348"/>
      <c r="L1433" s="348"/>
      <c r="M1433" s="348"/>
      <c r="N1433" s="348"/>
      <c r="O1433" s="348"/>
      <c r="P1433" s="348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sortState xmlns:xlrd2="http://schemas.microsoft.com/office/spreadsheetml/2017/richdata2" ref="BE64:BE163">
    <sortCondition ref="BE64:BE163"/>
  </sortState>
  <mergeCells count="123">
    <mergeCell ref="O390:P390"/>
    <mergeCell ref="O419:P419"/>
    <mergeCell ref="O448:P448"/>
    <mergeCell ref="O477:P477"/>
    <mergeCell ref="O506:P506"/>
    <mergeCell ref="O535:P535"/>
    <mergeCell ref="O564:P564"/>
    <mergeCell ref="O71:P71"/>
    <mergeCell ref="O100:P100"/>
    <mergeCell ref="O129:P129"/>
    <mergeCell ref="O158:P158"/>
    <mergeCell ref="O187:P187"/>
    <mergeCell ref="O216:P216"/>
    <mergeCell ref="O245:P245"/>
    <mergeCell ref="O274:P274"/>
    <mergeCell ref="O303:P303"/>
    <mergeCell ref="BF5:BN5"/>
    <mergeCell ref="A12:K12"/>
    <mergeCell ref="L12:P12"/>
    <mergeCell ref="A41:K41"/>
    <mergeCell ref="L41:P41"/>
    <mergeCell ref="A70:K70"/>
    <mergeCell ref="L70:P70"/>
    <mergeCell ref="O13:P13"/>
    <mergeCell ref="O42:P42"/>
    <mergeCell ref="A157:K157"/>
    <mergeCell ref="L157:P157"/>
    <mergeCell ref="A186:K186"/>
    <mergeCell ref="L186:P186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O332:P332"/>
    <mergeCell ref="O361:P361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DBCBE-3651-4063-A396-838AD57C73CF}">
  <dimension ref="A1:BN1459"/>
  <sheetViews>
    <sheetView topLeftCell="AE87" zoomScale="80" zoomScaleNormal="80" workbookViewId="0">
      <selection activeCell="AL100" sqref="AL100:AP100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  <col min="63" max="64" width="12" bestFit="1" customWidth="1"/>
    <col min="65" max="65" width="9.109375" bestFit="1" customWidth="1"/>
  </cols>
  <sheetData>
    <row r="1" spans="1:66" x14ac:dyDescent="0.3">
      <c r="A1" s="12"/>
      <c r="B1" s="12" t="s">
        <v>10</v>
      </c>
      <c r="C1" s="12"/>
      <c r="D1" s="12"/>
      <c r="E1" s="12"/>
      <c r="F1" s="12"/>
    </row>
    <row r="2" spans="1:66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AG2" s="51" t="s">
        <v>122</v>
      </c>
      <c r="AH2" s="51" t="s">
        <v>126</v>
      </c>
    </row>
    <row r="3" spans="1:66" x14ac:dyDescent="0.3">
      <c r="A3" s="12" t="s">
        <v>3</v>
      </c>
      <c r="B3" s="103">
        <v>51.51</v>
      </c>
      <c r="C3" s="22">
        <f>B3/$B$8</f>
        <v>7.4793088427472038E-2</v>
      </c>
      <c r="D3" s="85">
        <v>0.01</v>
      </c>
      <c r="E3" s="86">
        <f>D3-C3</f>
        <v>-6.4793088427472043E-2</v>
      </c>
      <c r="F3" s="12"/>
      <c r="G3" t="s">
        <v>46</v>
      </c>
      <c r="AG3" s="51" t="s">
        <v>123</v>
      </c>
      <c r="AH3" s="51" t="s">
        <v>129</v>
      </c>
    </row>
    <row r="4" spans="1:66" x14ac:dyDescent="0.3">
      <c r="A4" s="12" t="s">
        <v>4</v>
      </c>
      <c r="B4" s="103">
        <v>20.98</v>
      </c>
      <c r="C4" s="22">
        <f>B4/$B$8</f>
        <v>3.0463191520255551E-2</v>
      </c>
      <c r="D4" s="85">
        <v>0.01</v>
      </c>
      <c r="E4" s="86">
        <f>D4-C4</f>
        <v>-2.0463191520255553E-2</v>
      </c>
      <c r="F4" s="12"/>
      <c r="G4" t="s">
        <v>635</v>
      </c>
      <c r="AG4" s="51" t="s">
        <v>124</v>
      </c>
      <c r="AH4" s="51" t="s">
        <v>127</v>
      </c>
    </row>
    <row r="5" spans="1:66" ht="18" x14ac:dyDescent="0.35">
      <c r="A5" s="12" t="s">
        <v>5</v>
      </c>
      <c r="B5" s="103">
        <v>234.23</v>
      </c>
      <c r="C5" s="22">
        <f>B5/$B$8</f>
        <v>0.34010454479454039</v>
      </c>
      <c r="D5" s="85">
        <v>0.42</v>
      </c>
      <c r="E5" s="86">
        <f>D5-C5</f>
        <v>7.9895455205459598E-2</v>
      </c>
      <c r="F5" s="12" t="s">
        <v>45</v>
      </c>
      <c r="AG5" s="51" t="s">
        <v>125</v>
      </c>
      <c r="AH5" s="51" t="s">
        <v>128</v>
      </c>
      <c r="BF5" s="349" t="s">
        <v>337</v>
      </c>
      <c r="BG5" s="349"/>
      <c r="BH5" s="349"/>
      <c r="BI5" s="349"/>
      <c r="BJ5" s="349"/>
      <c r="BK5" s="349"/>
      <c r="BL5" s="349"/>
      <c r="BM5" s="349"/>
      <c r="BN5" s="349"/>
    </row>
    <row r="6" spans="1:66" x14ac:dyDescent="0.3">
      <c r="A6" s="12" t="s">
        <v>6</v>
      </c>
      <c r="B6" s="103">
        <v>206.92</v>
      </c>
      <c r="C6" s="22">
        <f>B6/$B$8</f>
        <v>0.30045012342093796</v>
      </c>
      <c r="D6" s="85">
        <v>0.35</v>
      </c>
      <c r="E6" s="86">
        <f>D6-C6</f>
        <v>4.9549876579062013E-2</v>
      </c>
      <c r="F6" s="12" t="s">
        <v>45</v>
      </c>
      <c r="I6" s="12"/>
      <c r="J6" s="12" t="s">
        <v>50</v>
      </c>
      <c r="K6" s="12"/>
      <c r="AG6" s="51" t="s">
        <v>150</v>
      </c>
      <c r="AH6" s="51" t="s">
        <v>152</v>
      </c>
      <c r="BF6" s="12" t="s">
        <v>353</v>
      </c>
    </row>
    <row r="7" spans="1:66" x14ac:dyDescent="0.3">
      <c r="A7" s="12" t="s">
        <v>7</v>
      </c>
      <c r="B7" s="103">
        <v>175.06</v>
      </c>
      <c r="C7" s="22">
        <f>B7/$B$8</f>
        <v>0.25418905183679397</v>
      </c>
      <c r="D7" s="85">
        <v>0.21</v>
      </c>
      <c r="E7" s="86">
        <f>D7-C7</f>
        <v>-4.4189051836793974E-2</v>
      </c>
      <c r="F7" s="12"/>
      <c r="I7" s="12"/>
      <c r="J7" s="12">
        <v>8608</v>
      </c>
      <c r="K7" s="12"/>
      <c r="AG7" s="51" t="s">
        <v>151</v>
      </c>
      <c r="AH7" s="51" t="s">
        <v>153</v>
      </c>
    </row>
    <row r="8" spans="1:66" ht="18" x14ac:dyDescent="0.35">
      <c r="A8" s="12"/>
      <c r="B8" s="103">
        <f>SUM(B3:B7)</f>
        <v>688.7</v>
      </c>
      <c r="C8" s="61">
        <f>SUM(C3:C7)</f>
        <v>0.99999999999999989</v>
      </c>
      <c r="D8" s="12"/>
      <c r="E8" s="12" t="s">
        <v>16</v>
      </c>
      <c r="F8" s="134">
        <v>83000.52</v>
      </c>
      <c r="I8" s="12" t="s">
        <v>55</v>
      </c>
      <c r="J8" s="12" t="s">
        <v>50</v>
      </c>
      <c r="K8" s="12" t="s">
        <v>54</v>
      </c>
      <c r="AG8" s="51" t="s">
        <v>205</v>
      </c>
      <c r="AH8" s="51" t="s">
        <v>210</v>
      </c>
      <c r="BF8" s="83"/>
    </row>
    <row r="9" spans="1:66" x14ac:dyDescent="0.3">
      <c r="A9" s="12"/>
      <c r="B9" s="87">
        <f>B8/0.36</f>
        <v>1913.0555555555557</v>
      </c>
      <c r="C9" s="12" t="s">
        <v>44</v>
      </c>
      <c r="D9" s="12"/>
      <c r="E9" s="12" t="s">
        <v>47</v>
      </c>
      <c r="F9" s="88">
        <f>B8/F8</f>
        <v>8.2975383768680005E-3</v>
      </c>
      <c r="G9" s="46"/>
      <c r="I9" s="12">
        <v>2836</v>
      </c>
      <c r="J9" s="12">
        <v>8525</v>
      </c>
      <c r="K9" s="89">
        <f>(J7-J9)/J7</f>
        <v>9.6421933085501857E-3</v>
      </c>
      <c r="AG9" s="51" t="s">
        <v>206</v>
      </c>
      <c r="AH9" s="51" t="s">
        <v>211</v>
      </c>
    </row>
    <row r="10" spans="1:66" x14ac:dyDescent="0.3">
      <c r="A10" s="129" t="s">
        <v>636</v>
      </c>
      <c r="B10" s="130">
        <v>24756</v>
      </c>
      <c r="F10" s="46"/>
      <c r="I10" s="89">
        <f>I9/(I9+J9)</f>
        <v>0.24962591321186514</v>
      </c>
      <c r="J10" s="89">
        <f>J9/(J9+I9)</f>
        <v>0.75037408678813489</v>
      </c>
      <c r="K10" s="12"/>
      <c r="AG10" s="51" t="s">
        <v>207</v>
      </c>
      <c r="AH10" s="51" t="s">
        <v>212</v>
      </c>
      <c r="BF10" s="82"/>
      <c r="BG10" s="1"/>
      <c r="BH10" s="59"/>
      <c r="BI10" s="1"/>
      <c r="BJ10" s="59"/>
      <c r="BK10" s="1"/>
    </row>
    <row r="11" spans="1:66" x14ac:dyDescent="0.3">
      <c r="B11" s="18"/>
      <c r="F11" s="46"/>
      <c r="I11" s="45"/>
      <c r="J11" s="45"/>
      <c r="AG11" s="51" t="s">
        <v>208</v>
      </c>
      <c r="AH11" s="51" t="s">
        <v>213</v>
      </c>
      <c r="BJ11" s="13"/>
      <c r="BK11" s="13"/>
    </row>
    <row r="12" spans="1:66" x14ac:dyDescent="0.3">
      <c r="A12" s="348" t="s">
        <v>371</v>
      </c>
      <c r="B12" s="348"/>
      <c r="C12" s="348"/>
      <c r="D12" s="348"/>
      <c r="E12" s="348"/>
      <c r="F12" s="348"/>
      <c r="G12" s="348"/>
      <c r="H12" s="348"/>
      <c r="I12" s="348"/>
      <c r="J12" s="348"/>
      <c r="K12" s="348"/>
      <c r="L12" s="348" t="s">
        <v>48</v>
      </c>
      <c r="M12" s="348"/>
      <c r="N12" s="348"/>
      <c r="O12" s="348"/>
      <c r="P12" s="348"/>
      <c r="R12" s="47" t="s">
        <v>371</v>
      </c>
      <c r="S12" s="47" t="s">
        <v>633</v>
      </c>
      <c r="T12" s="47"/>
      <c r="U12" s="47"/>
      <c r="V12" s="47"/>
      <c r="W12" s="47"/>
      <c r="X12" s="47"/>
      <c r="Y12" s="47"/>
      <c r="Z12" s="47"/>
      <c r="AA12" s="47"/>
      <c r="AB12" s="47" t="s">
        <v>58</v>
      </c>
      <c r="AC12" s="47"/>
      <c r="AD12" s="47"/>
      <c r="AE12" s="47"/>
      <c r="AF12" s="47"/>
      <c r="AG12" s="51" t="s">
        <v>209</v>
      </c>
      <c r="AH12" s="51" t="s">
        <v>214</v>
      </c>
      <c r="AW12" s="66"/>
      <c r="AX12" s="77" t="s">
        <v>323</v>
      </c>
      <c r="AY12" s="77" t="s">
        <v>326</v>
      </c>
      <c r="AZ12" s="77" t="s">
        <v>324</v>
      </c>
      <c r="BA12" s="77" t="s">
        <v>325</v>
      </c>
      <c r="BB12" s="77" t="s">
        <v>327</v>
      </c>
      <c r="BC12" s="77" t="s">
        <v>328</v>
      </c>
      <c r="BD12" s="77" t="s">
        <v>349</v>
      </c>
      <c r="BE12" s="13"/>
      <c r="BF12" s="12"/>
      <c r="BH12" s="59"/>
      <c r="BI12" s="49"/>
      <c r="BJ12" s="1"/>
      <c r="BK12" s="1"/>
    </row>
    <row r="13" spans="1:66" x14ac:dyDescent="0.3">
      <c r="A13" t="s">
        <v>315</v>
      </c>
      <c r="B13" t="s">
        <v>21</v>
      </c>
      <c r="I13" s="1" t="s">
        <v>53</v>
      </c>
      <c r="O13" s="350" t="s">
        <v>377</v>
      </c>
      <c r="P13" s="350"/>
      <c r="AG13" s="51" t="s">
        <v>319</v>
      </c>
      <c r="AH13" s="51" t="s">
        <v>321</v>
      </c>
      <c r="AW13" s="51" t="s">
        <v>126</v>
      </c>
      <c r="AX13" s="80">
        <f>MIN($AE$16:$AE$20)</f>
        <v>0.93928544864962948</v>
      </c>
      <c r="AY13" s="80">
        <f>_xlfn.QUARTILE.EXC($AE$16:$AE$20,1)</f>
        <v>0.94334617337275506</v>
      </c>
      <c r="AZ13" s="80">
        <f>MEDIAN($AE$16:$AE$20)</f>
        <v>0.95054121275792081</v>
      </c>
      <c r="BA13" s="80">
        <f>AVERAGE($AE$16:$AE$20)</f>
        <v>0.94876676026930329</v>
      </c>
      <c r="BB13" s="80">
        <f>_xlfn.QUARTILE.EXC(AE16:AE20,3)</f>
        <v>0.95330012092154304</v>
      </c>
      <c r="BC13" s="80">
        <f>MAX(AE16:AE20)</f>
        <v>0.95384517171065963</v>
      </c>
      <c r="BD13" s="80">
        <f>(BB13-AY13)/AZ13</f>
        <v>1.0471873723294311E-2</v>
      </c>
      <c r="BE13" s="80"/>
      <c r="BF13" s="51"/>
      <c r="BH13" s="59"/>
      <c r="BI13" s="49"/>
      <c r="BJ13" s="1"/>
      <c r="BK13" s="1"/>
    </row>
    <row r="14" spans="1:66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51</v>
      </c>
      <c r="O14" s="13" t="s">
        <v>644</v>
      </c>
      <c r="P14" s="13" t="s">
        <v>633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320</v>
      </c>
      <c r="AH14" s="51" t="s">
        <v>322</v>
      </c>
      <c r="AW14" s="51" t="s">
        <v>129</v>
      </c>
      <c r="AX14" s="80">
        <f>MIN($AE$16:$AE$25)</f>
        <v>0.93928544864962948</v>
      </c>
      <c r="AY14" s="80">
        <f>_xlfn.QUARTILE.EXC($AE$16:$AE$25,1)</f>
        <v>0.94167460516217738</v>
      </c>
      <c r="AZ14" s="80">
        <f>MEDIAN($AE$16:$AE$25)</f>
        <v>0.947145140607902</v>
      </c>
      <c r="BA14" s="80">
        <f>AVERAGE($AE$16:$AE$25)</f>
        <v>0.94683366248947709</v>
      </c>
      <c r="BB14" s="80">
        <f>_xlfn.QUARTILE.EXC($AE$16:$AE$25,3)</f>
        <v>0.95109467710154716</v>
      </c>
      <c r="BC14" s="80">
        <f>MAX($AE$16:$AE$25)</f>
        <v>0.95384517171065963</v>
      </c>
      <c r="BD14" s="80">
        <f t="shared" ref="BD14:BD23" si="0">(BB14-AY14)/AZ14</f>
        <v>9.9457533333526214E-3</v>
      </c>
      <c r="BE14" s="80"/>
      <c r="BF14" s="51"/>
      <c r="BH14" s="59"/>
      <c r="BI14" s="49"/>
      <c r="BJ14" s="1"/>
      <c r="BK14" s="1"/>
    </row>
    <row r="15" spans="1:66" x14ac:dyDescent="0.3">
      <c r="A15" t="s">
        <v>3</v>
      </c>
      <c r="B15" s="13">
        <v>0</v>
      </c>
      <c r="C15" s="26">
        <v>451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451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O15" s="1"/>
      <c r="P15" s="1"/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72</v>
      </c>
      <c r="AF15" s="12" t="s">
        <v>29</v>
      </c>
      <c r="AH15" t="s">
        <v>120</v>
      </c>
      <c r="AI15" t="s">
        <v>121</v>
      </c>
      <c r="AW15" s="51" t="s">
        <v>127</v>
      </c>
      <c r="AX15" s="80">
        <f>MIN($AE$16:$AE$35)</f>
        <v>0.93928544864962948</v>
      </c>
      <c r="AY15" s="80">
        <f>_xlfn.QUARTILE.EXC($AE$16:$AE$35,1)</f>
        <v>0.94514423557002347</v>
      </c>
      <c r="AZ15" s="126">
        <f>MEDIAN($AE$16:$AE$35)</f>
        <v>0.94837487334040282</v>
      </c>
      <c r="BA15" s="126">
        <f>AVERAGE($AE$16:$AE$35)</f>
        <v>0.94768795119488303</v>
      </c>
      <c r="BB15" s="80">
        <f>_xlfn.QUARTILE.EXC($AE$16:$AE$35,3)</f>
        <v>0.95106355284383071</v>
      </c>
      <c r="BC15" s="80">
        <f>MAX($AE$16:$AE$35)</f>
        <v>0.95384517171065963</v>
      </c>
      <c r="BD15" s="80">
        <f t="shared" si="0"/>
        <v>6.2415374344092275E-3</v>
      </c>
      <c r="BE15" s="80"/>
      <c r="BF15" s="51"/>
      <c r="BH15" s="59"/>
      <c r="BI15" s="49"/>
      <c r="BJ15" s="1"/>
      <c r="BK15" s="1"/>
    </row>
    <row r="16" spans="1:66" x14ac:dyDescent="0.3">
      <c r="A16" t="s">
        <v>4</v>
      </c>
      <c r="B16" s="13">
        <v>1</v>
      </c>
      <c r="C16" s="5">
        <v>0</v>
      </c>
      <c r="D16" s="27">
        <v>55</v>
      </c>
      <c r="E16" s="1">
        <v>2</v>
      </c>
      <c r="F16" s="1">
        <v>0</v>
      </c>
      <c r="G16" s="6">
        <v>0</v>
      </c>
      <c r="H16" s="1">
        <f>SUM(C16:G16)</f>
        <v>57</v>
      </c>
      <c r="I16" s="10">
        <f>D16/H16</f>
        <v>0.96491228070175439</v>
      </c>
      <c r="J16" s="11">
        <f>1-I16</f>
        <v>3.5087719298245612E-2</v>
      </c>
      <c r="K16">
        <f>H16-D20</f>
        <v>-71</v>
      </c>
      <c r="N16" s="10">
        <f>2*(D21*I16)/(D21+I16)</f>
        <v>0.59459459459459463</v>
      </c>
      <c r="O16" s="1"/>
      <c r="P16" s="1"/>
      <c r="R16" t="s">
        <v>65</v>
      </c>
      <c r="S16" t="s">
        <v>28</v>
      </c>
      <c r="T16" s="57">
        <f t="shared" ref="T16:X19" si="1">C31</f>
        <v>0.23826232311731543</v>
      </c>
      <c r="U16" s="57">
        <f t="shared" si="1"/>
        <v>2.0164705567548022</v>
      </c>
      <c r="V16" s="57">
        <f t="shared" si="1"/>
        <v>58.298921300143959</v>
      </c>
      <c r="W16" s="57">
        <f t="shared" si="1"/>
        <v>30.111258287527299</v>
      </c>
      <c r="X16" s="57">
        <f t="shared" si="1"/>
        <v>9.3350875324566296</v>
      </c>
      <c r="AC16" t="s">
        <v>65</v>
      </c>
      <c r="AD16" s="51">
        <f>I21</f>
        <v>0.92383638928067702</v>
      </c>
      <c r="AE16" s="55">
        <f>I32</f>
        <v>0.95275507013242633</v>
      </c>
      <c r="AF16" s="55">
        <f>J32</f>
        <v>4.5951064539896678E-3</v>
      </c>
      <c r="AH16">
        <v>21</v>
      </c>
      <c r="AI16">
        <v>32</v>
      </c>
      <c r="AW16" s="51" t="s">
        <v>128</v>
      </c>
      <c r="AX16" s="80">
        <f>MIN($AE$16:$AE$45)</f>
        <v>0.93928544864962948</v>
      </c>
      <c r="AY16" s="80">
        <f>_xlfn.QUARTILE.EXC($AE$16:$AE$45,1)</f>
        <v>0.94645473567463667</v>
      </c>
      <c r="AZ16" s="80">
        <f>MEDIAN($AE$16:$AE$45)</f>
        <v>0.94883940237768694</v>
      </c>
      <c r="BA16" s="80">
        <f>AVERAGE($AE$16:$AE$45)</f>
        <v>0.94821187301727816</v>
      </c>
      <c r="BB16" s="80">
        <f>_xlfn.QUARTILE.EXC($AE$16:$AE$45,3)</f>
        <v>0.95102315058992948</v>
      </c>
      <c r="BC16" s="80">
        <f>MAX($AE$16:$AE$45)</f>
        <v>0.95384517171065963</v>
      </c>
      <c r="BD16" s="80">
        <f t="shared" si="0"/>
        <v>4.814739885216468E-3</v>
      </c>
      <c r="BE16" s="80"/>
      <c r="BF16" s="51"/>
      <c r="BH16" s="59"/>
      <c r="BI16" s="49"/>
      <c r="BJ16" s="1"/>
      <c r="BK16" s="1"/>
    </row>
    <row r="17" spans="1:66" x14ac:dyDescent="0.3">
      <c r="A17" t="s">
        <v>5</v>
      </c>
      <c r="B17" s="13">
        <v>2</v>
      </c>
      <c r="C17" s="5">
        <v>0</v>
      </c>
      <c r="D17" s="1">
        <v>0</v>
      </c>
      <c r="E17" s="27">
        <v>720</v>
      </c>
      <c r="F17" s="1">
        <v>10</v>
      </c>
      <c r="G17" s="6">
        <v>7</v>
      </c>
      <c r="H17" s="1">
        <f>SUM(C17:G17)</f>
        <v>737</v>
      </c>
      <c r="I17" s="10">
        <f>E17/H17</f>
        <v>0.97693351424694708</v>
      </c>
      <c r="J17" s="11">
        <f>1-I17</f>
        <v>2.3066485753052923E-2</v>
      </c>
      <c r="K17">
        <f>H17-E20</f>
        <v>-13</v>
      </c>
      <c r="N17" s="10">
        <f>2*(E21*I17)/(E21+I17)</f>
        <v>0.96839273705447215</v>
      </c>
      <c r="O17" s="1"/>
      <c r="P17" s="1"/>
      <c r="S17" s="66" t="s">
        <v>39</v>
      </c>
      <c r="T17" s="67">
        <f t="shared" si="1"/>
        <v>0</v>
      </c>
      <c r="U17" s="67">
        <f t="shared" si="1"/>
        <v>8.0721574519373424E-2</v>
      </c>
      <c r="V17" s="67">
        <f t="shared" si="1"/>
        <v>0.37508118880047303</v>
      </c>
      <c r="W17" s="67">
        <f t="shared" si="1"/>
        <v>0.40157931997719398</v>
      </c>
      <c r="X17" s="67">
        <f t="shared" si="1"/>
        <v>0.34391867052060671</v>
      </c>
      <c r="AC17" t="s">
        <v>66</v>
      </c>
      <c r="AD17" s="51">
        <f>I50</f>
        <v>0.92736248236953456</v>
      </c>
      <c r="AE17" s="55">
        <f>I61</f>
        <v>0.94740689809588063</v>
      </c>
      <c r="AF17" s="55">
        <f>J61</f>
        <v>5.0732397319161616E-3</v>
      </c>
      <c r="AH17">
        <v>50</v>
      </c>
      <c r="AI17">
        <v>61</v>
      </c>
      <c r="AW17" s="51" t="s">
        <v>152</v>
      </c>
      <c r="AX17" s="80">
        <f>MIN($AE$16:$AE$55)</f>
        <v>0.93928544864962948</v>
      </c>
      <c r="AY17" s="80">
        <f>_xlfn.QUARTILE.EXC($AE$16:$AE$55,1)</f>
        <v>0.945545860948242</v>
      </c>
      <c r="AZ17" s="80">
        <f>MEDIAN($AE$16:$AE$55)</f>
        <v>0.94747336004963678</v>
      </c>
      <c r="BA17" s="80">
        <f>AVERAGE($AE$16:$AE$55)</f>
        <v>0.94776277219045291</v>
      </c>
      <c r="BB17" s="80">
        <f>_xlfn.QUARTILE.EXC($AE$16:$AE$55,3)</f>
        <v>0.95084903722795944</v>
      </c>
      <c r="BC17" s="80">
        <f>MAX($AE$16:$AE$55)</f>
        <v>0.95384517171065963</v>
      </c>
      <c r="BD17" s="80">
        <f t="shared" si="0"/>
        <v>5.5971771907545884E-3</v>
      </c>
      <c r="BE17" s="80"/>
      <c r="BF17" s="51"/>
      <c r="BH17" s="59"/>
      <c r="BI17" s="49"/>
      <c r="BJ17" s="1"/>
      <c r="BK17" s="1"/>
    </row>
    <row r="18" spans="1:66" x14ac:dyDescent="0.3">
      <c r="A18" t="s">
        <v>6</v>
      </c>
      <c r="B18" s="13">
        <v>3</v>
      </c>
      <c r="C18" s="5">
        <v>0</v>
      </c>
      <c r="D18" s="1">
        <v>0</v>
      </c>
      <c r="E18" s="1">
        <v>12</v>
      </c>
      <c r="F18" s="27">
        <v>546</v>
      </c>
      <c r="G18" s="6">
        <v>24</v>
      </c>
      <c r="H18" s="1">
        <f>SUM(C18:G18)</f>
        <v>582</v>
      </c>
      <c r="I18" s="10">
        <f>F18/H18</f>
        <v>0.93814432989690721</v>
      </c>
      <c r="J18" s="11">
        <f>1-I18</f>
        <v>6.1855670103092786E-2</v>
      </c>
      <c r="K18">
        <f>H18-F20</f>
        <v>-46</v>
      </c>
      <c r="N18" s="10">
        <f>2*(F21*I18)/(F21+I18)</f>
        <v>0.90247933884297515</v>
      </c>
      <c r="O18" s="1"/>
      <c r="P18" s="1"/>
      <c r="S18" s="70" t="s">
        <v>30</v>
      </c>
      <c r="T18" s="64">
        <f t="shared" si="1"/>
        <v>100</v>
      </c>
      <c r="U18" s="64">
        <f t="shared" si="1"/>
        <v>67.914171849679818</v>
      </c>
      <c r="V18" s="64">
        <f t="shared" si="1"/>
        <v>98.590328359298866</v>
      </c>
      <c r="W18" s="64">
        <f t="shared" si="1"/>
        <v>95.229587353781241</v>
      </c>
      <c r="X18" s="64">
        <f t="shared" si="1"/>
        <v>80.511836989171897</v>
      </c>
      <c r="AC18" t="s">
        <v>67</v>
      </c>
      <c r="AD18" s="51">
        <f>I79</f>
        <v>0.92348377997179121</v>
      </c>
      <c r="AE18" s="55">
        <f>I90</f>
        <v>0.93928544864962948</v>
      </c>
      <c r="AF18" s="55">
        <f>J90</f>
        <v>5.5094009024723696E-3</v>
      </c>
      <c r="AH18">
        <v>79</v>
      </c>
      <c r="AI18">
        <v>90</v>
      </c>
      <c r="AW18" s="51" t="s">
        <v>153</v>
      </c>
      <c r="AX18" s="80">
        <f>MIN($AE$16:$AE$65)</f>
        <v>0.93928544864962948</v>
      </c>
      <c r="AY18" s="80">
        <f>_xlfn.QUARTILE.EXC($AE$16:$AE$65,1)</f>
        <v>0.94582620808204998</v>
      </c>
      <c r="AZ18" s="80">
        <f>MEDIAN($AE$16:$AE$65)</f>
        <v>0.94766817293155992</v>
      </c>
      <c r="BA18" s="80">
        <f>AVERAGE($AE$16:$AE$65)</f>
        <v>0.94771274268851968</v>
      </c>
      <c r="BB18" s="80">
        <f>_xlfn.QUARTILE.EXC($AE$16:$AE$65,3)</f>
        <v>0.95042271980531079</v>
      </c>
      <c r="BC18" s="80">
        <f>MAX($AE$16:$AE$65)</f>
        <v>0.95384517171065963</v>
      </c>
      <c r="BD18" s="80">
        <f t="shared" si="0"/>
        <v>4.8503388153701005E-3</v>
      </c>
      <c r="BE18" s="80"/>
      <c r="BF18" s="127"/>
      <c r="BH18" s="59"/>
      <c r="BI18" s="49"/>
      <c r="BJ18" s="1"/>
      <c r="BK18" s="1"/>
    </row>
    <row r="19" spans="1:66" x14ac:dyDescent="0.3">
      <c r="A19" t="s">
        <v>7</v>
      </c>
      <c r="B19" s="13">
        <v>4</v>
      </c>
      <c r="C19" s="7">
        <v>0</v>
      </c>
      <c r="D19" s="8">
        <v>73</v>
      </c>
      <c r="E19" s="8">
        <v>16</v>
      </c>
      <c r="F19" s="8">
        <v>72</v>
      </c>
      <c r="G19" s="28">
        <v>848</v>
      </c>
      <c r="H19" s="1">
        <f>SUM(C19:G19)</f>
        <v>1009</v>
      </c>
      <c r="I19" s="10">
        <f>G19/H19</f>
        <v>0.84043607532210107</v>
      </c>
      <c r="J19" s="11">
        <f>1-I19</f>
        <v>0.15956392467789893</v>
      </c>
      <c r="K19">
        <f>H19-G20</f>
        <v>130</v>
      </c>
      <c r="N19" s="10">
        <f>2*(G21*I19)/(G21+I19)</f>
        <v>0.89830508474576276</v>
      </c>
      <c r="O19" s="1"/>
      <c r="P19" s="1"/>
      <c r="S19" s="66" t="s">
        <v>39</v>
      </c>
      <c r="T19" s="67">
        <f t="shared" si="1"/>
        <v>0</v>
      </c>
      <c r="U19" s="67">
        <f t="shared" si="1"/>
        <v>6.0723807344723051</v>
      </c>
      <c r="V19" s="67">
        <f t="shared" si="1"/>
        <v>0.32570459977354238</v>
      </c>
      <c r="W19" s="67">
        <f t="shared" si="1"/>
        <v>0.9572826566945406</v>
      </c>
      <c r="X19" s="67">
        <f t="shared" si="1"/>
        <v>3.5576807846421583</v>
      </c>
      <c r="AC19" t="s">
        <v>68</v>
      </c>
      <c r="AD19" s="51">
        <f>I108</f>
        <v>0.92700987306064875</v>
      </c>
      <c r="AE19" s="73">
        <f>I119</f>
        <v>0.95384517171065963</v>
      </c>
      <c r="AF19" s="73">
        <f>J119</f>
        <v>4.5768205683500264E-3</v>
      </c>
      <c r="AH19">
        <v>108</v>
      </c>
      <c r="AI19">
        <v>119</v>
      </c>
      <c r="AW19" s="51" t="s">
        <v>210</v>
      </c>
      <c r="AX19" s="80">
        <f>MIN($AE$16:$AE$75)</f>
        <v>0.93928544864962948</v>
      </c>
      <c r="AY19" s="80">
        <f>_xlfn.QUARTILE.EXC($AE$16:$AE$75,1)</f>
        <v>0.945545860948242</v>
      </c>
      <c r="AZ19" s="80">
        <f>MEDIAN($AE$16:$AE$75)</f>
        <v>0.94766817293155992</v>
      </c>
      <c r="BA19" s="80">
        <f>AVERAGE($AE$16:$AE$75)</f>
        <v>0.94773175469071058</v>
      </c>
      <c r="BB19" s="80">
        <f>_xlfn.QUARTILE.EXC($AE$16:$AE$75,3)</f>
        <v>0.95050171510705084</v>
      </c>
      <c r="BC19" s="80">
        <f>MAX($AE$16:$AE$75)</f>
        <v>0.95435025079908098</v>
      </c>
      <c r="BD19" s="80">
        <f t="shared" si="0"/>
        <v>5.2295247433267406E-3</v>
      </c>
      <c r="BE19" s="80"/>
      <c r="BF19" s="51"/>
      <c r="BH19" s="59"/>
      <c r="BI19" s="49"/>
      <c r="BJ19" s="1"/>
      <c r="BK19" s="1"/>
    </row>
    <row r="20" spans="1:66" ht="15.6" x14ac:dyDescent="0.35">
      <c r="B20" s="1" t="s">
        <v>19</v>
      </c>
      <c r="C20" s="1">
        <f>SUM(C15:C19)</f>
        <v>451</v>
      </c>
      <c r="D20" s="1">
        <f>SUM(D15:D19)</f>
        <v>128</v>
      </c>
      <c r="E20" s="1">
        <f>SUM(E15:E19)</f>
        <v>750</v>
      </c>
      <c r="F20" s="1">
        <f>SUM(F15:F19)</f>
        <v>628</v>
      </c>
      <c r="G20" s="1">
        <f>SUM(G15:G19)</f>
        <v>879</v>
      </c>
      <c r="H20" s="1">
        <f>SUM(H14:H19)</f>
        <v>2836</v>
      </c>
      <c r="I20" s="13" t="s">
        <v>12</v>
      </c>
      <c r="N20" s="16" t="s">
        <v>36</v>
      </c>
      <c r="O20" s="1">
        <f>SUM(O15:O19)</f>
        <v>0</v>
      </c>
      <c r="P20" s="1">
        <f>SUM(P15:P19)</f>
        <v>0</v>
      </c>
      <c r="S20" s="70" t="s">
        <v>31</v>
      </c>
      <c r="T20" s="64">
        <f>I26</f>
        <v>100</v>
      </c>
      <c r="U20" s="64">
        <f>I27</f>
        <v>96.491228070175438</v>
      </c>
      <c r="V20" s="64">
        <f>I28</f>
        <v>97.693351424694725</v>
      </c>
      <c r="W20" s="64">
        <f>I29</f>
        <v>93.814432989690715</v>
      </c>
      <c r="X20" s="64">
        <f>I30</f>
        <v>84.043607532210103</v>
      </c>
      <c r="AC20" t="s">
        <v>71</v>
      </c>
      <c r="AD20" s="51">
        <f>I137</f>
        <v>0.92771509167842026</v>
      </c>
      <c r="AE20" s="73">
        <f>I148</f>
        <v>0.95054121275792081</v>
      </c>
      <c r="AF20" s="73">
        <f>J148</f>
        <v>4.8789312875371603E-3</v>
      </c>
      <c r="AH20">
        <v>137</v>
      </c>
      <c r="AI20">
        <v>148</v>
      </c>
      <c r="AW20" s="51" t="s">
        <v>211</v>
      </c>
      <c r="AX20" s="80">
        <f>MIN($AE$16:$AE$85)</f>
        <v>0.93928544864962948</v>
      </c>
      <c r="AY20" s="80">
        <f>_xlfn.QUARTILE.EXC($AE$16:$AE$85,1)</f>
        <v>0.94540204266475847</v>
      </c>
      <c r="AZ20" s="80">
        <f>MEDIAN($AE$16:$AE$85)</f>
        <v>0.94747336004963678</v>
      </c>
      <c r="BA20" s="80">
        <f>AVERAGE($AE$16:$AE$85)</f>
        <v>0.94765843873042366</v>
      </c>
      <c r="BB20" s="80">
        <f>_xlfn.QUARTILE.EXC($AE$16:$AE$85,3)</f>
        <v>0.95042271980531079</v>
      </c>
      <c r="BC20" s="80">
        <f>MAX($AE$16:$AE$85)</f>
        <v>0.95442617594977097</v>
      </c>
      <c r="BD20" s="80">
        <f t="shared" si="0"/>
        <v>5.2990166818930873E-3</v>
      </c>
      <c r="BE20" s="80"/>
      <c r="BF20" s="51"/>
      <c r="BH20" s="59"/>
      <c r="BI20" s="49"/>
      <c r="BJ20" s="1"/>
      <c r="BK20" s="1"/>
    </row>
    <row r="21" spans="1:66" x14ac:dyDescent="0.3">
      <c r="A21" s="1" t="s">
        <v>316</v>
      </c>
      <c r="B21" s="1" t="s">
        <v>2</v>
      </c>
      <c r="C21" s="10">
        <f>C15/C20</f>
        <v>1</v>
      </c>
      <c r="D21" s="10">
        <f>D16/D20</f>
        <v>0.4296875</v>
      </c>
      <c r="E21" s="10">
        <f>E17/E20</f>
        <v>0.96</v>
      </c>
      <c r="F21" s="10">
        <f>F18/F20</f>
        <v>0.86942675159235672</v>
      </c>
      <c r="G21" s="10">
        <f>G19/G20</f>
        <v>0.96473265073947667</v>
      </c>
      <c r="H21" s="10"/>
      <c r="I21" s="14">
        <f>(C15+D16+E17+F18+G19)/H20</f>
        <v>0.92383638928067702</v>
      </c>
      <c r="S21" s="66" t="s">
        <v>39</v>
      </c>
      <c r="T21" s="67">
        <f>J26</f>
        <v>0</v>
      </c>
      <c r="U21" s="67">
        <f>J27</f>
        <v>2.4588241692166148</v>
      </c>
      <c r="V21" s="67">
        <f>J28</f>
        <v>0.55333012332712261</v>
      </c>
      <c r="W21" s="67">
        <f>J29</f>
        <v>0.99939350092616819</v>
      </c>
      <c r="X21" s="67">
        <f>J30</f>
        <v>1.1534251899634023</v>
      </c>
      <c r="AC21" t="s">
        <v>93</v>
      </c>
      <c r="AD21" s="51">
        <f>I166</f>
        <v>0.90655853314527501</v>
      </c>
      <c r="AE21" s="55">
        <f>I177</f>
        <v>0.94148669604380342</v>
      </c>
      <c r="AF21" s="55">
        <f>J177</f>
        <v>5.0244062003975938E-3</v>
      </c>
      <c r="AH21">
        <v>166</v>
      </c>
      <c r="AI21">
        <v>177</v>
      </c>
      <c r="AW21" s="51" t="s">
        <v>212</v>
      </c>
      <c r="AX21" s="80">
        <f>MIN($AE$16:$AE$95)</f>
        <v>0.93928544864962948</v>
      </c>
      <c r="AY21" s="80">
        <f>_xlfn.QUARTILE.EXC($AE$16:$AE$95,1)</f>
        <v>0.94539475323159949</v>
      </c>
      <c r="AZ21" s="80">
        <f>MEDIAN($AE$16:$AE$95)</f>
        <v>0.94741325975514434</v>
      </c>
      <c r="BA21" s="80">
        <f>AVERAGE($AE$16:$AE$95)</f>
        <v>0.94765519323228187</v>
      </c>
      <c r="BB21" s="80">
        <f>_xlfn.QUARTILE.EXC($AE$16:$AE$95,3)</f>
        <v>0.95032174618284659</v>
      </c>
      <c r="BC21" s="80">
        <f>MAX($AE$16:$AE$95)</f>
        <v>0.95646447213028296</v>
      </c>
      <c r="BD21" s="80">
        <f t="shared" si="0"/>
        <v>5.2004686450350763E-3</v>
      </c>
      <c r="BE21" s="80"/>
      <c r="BF21" s="51"/>
      <c r="BH21" s="59"/>
      <c r="BI21" s="49"/>
      <c r="BJ21" s="1"/>
      <c r="BK21" s="1"/>
      <c r="BM21" s="1"/>
      <c r="BN21" s="1"/>
    </row>
    <row r="22" spans="1:66" x14ac:dyDescent="0.3">
      <c r="B22" s="1" t="s">
        <v>14</v>
      </c>
      <c r="C22" s="11">
        <f>1-C21</f>
        <v>0</v>
      </c>
      <c r="D22" s="11">
        <f>1-D21</f>
        <v>0.5703125</v>
      </c>
      <c r="E22" s="11">
        <f>1-E21</f>
        <v>4.0000000000000036E-2</v>
      </c>
      <c r="F22" s="11">
        <f>1-F21</f>
        <v>0.13057324840764328</v>
      </c>
      <c r="G22" s="11">
        <f>1-G21</f>
        <v>3.5267349260523329E-2</v>
      </c>
      <c r="S22" s="68" t="s">
        <v>51</v>
      </c>
      <c r="T22" s="65">
        <f>N15*100</f>
        <v>100</v>
      </c>
      <c r="U22" s="65">
        <f>N16*100</f>
        <v>59.45945945945946</v>
      </c>
      <c r="V22" s="65">
        <f>N17*100</f>
        <v>96.839273705447212</v>
      </c>
      <c r="W22" s="65">
        <f>N18*100</f>
        <v>90.24793388429751</v>
      </c>
      <c r="X22" s="65">
        <f>N19*100</f>
        <v>89.830508474576277</v>
      </c>
      <c r="Y22" s="46"/>
      <c r="Z22" s="46"/>
      <c r="AA22" s="46"/>
      <c r="AC22" t="s">
        <v>94</v>
      </c>
      <c r="AD22" s="51">
        <f>I195</f>
        <v>0.91748942172073344</v>
      </c>
      <c r="AE22" s="55">
        <f>I206</f>
        <v>0.94173724153496874</v>
      </c>
      <c r="AF22" s="55">
        <f>J206</f>
        <v>5.3317632432293375E-3</v>
      </c>
      <c r="AH22">
        <v>195</v>
      </c>
      <c r="AI22">
        <v>206</v>
      </c>
      <c r="AW22" s="51" t="s">
        <v>213</v>
      </c>
      <c r="AX22" s="80">
        <f>MIN($AE$16:$AE$105)</f>
        <v>0.93928544864962948</v>
      </c>
      <c r="AY22" s="80">
        <f>_xlfn.QUARTILE.EXC($AE$16:$AE$105,1)</f>
        <v>0.94540204266475847</v>
      </c>
      <c r="AZ22" s="80">
        <f>MEDIAN($AE$16:$AE$105)</f>
        <v>0.94731040871058303</v>
      </c>
      <c r="BA22" s="80">
        <f>AVERAGE($AE$16:$AE$105)</f>
        <v>0.94767961731476347</v>
      </c>
      <c r="BB22" s="80">
        <f>_xlfn.QUARTILE.EXC($AE$16:$AE$105,3)</f>
        <v>0.95042271980531079</v>
      </c>
      <c r="BC22" s="80">
        <f>MAX($AE$16:$AE$105)</f>
        <v>0.95646447213028296</v>
      </c>
      <c r="BD22" s="80">
        <f t="shared" si="0"/>
        <v>5.2999281907882105E-3</v>
      </c>
      <c r="BE22" s="80"/>
      <c r="BF22" s="51"/>
      <c r="BI22" s="1"/>
      <c r="BJ22" s="13"/>
      <c r="BK22" s="1"/>
      <c r="BM22" s="1"/>
      <c r="BN22" s="81"/>
    </row>
    <row r="23" spans="1:66" x14ac:dyDescent="0.3">
      <c r="C23" s="2"/>
      <c r="R23" s="16" t="s">
        <v>61</v>
      </c>
      <c r="S23" t="s">
        <v>9</v>
      </c>
      <c r="T23" s="30">
        <f>N26</f>
        <v>197.67</v>
      </c>
      <c r="U23" s="30">
        <f>N27</f>
        <v>1177.47</v>
      </c>
      <c r="V23" s="30">
        <f>N28</f>
        <v>48810.720000000001</v>
      </c>
      <c r="W23" s="30">
        <f>N29</f>
        <v>25358.09</v>
      </c>
      <c r="X23" s="30">
        <f>N30</f>
        <v>7419.23</v>
      </c>
      <c r="Z23" t="s">
        <v>36</v>
      </c>
      <c r="AA23" s="1">
        <f>N31</f>
        <v>82963.179999999993</v>
      </c>
      <c r="AC23" t="s">
        <v>95</v>
      </c>
      <c r="AD23" s="51">
        <f>I224</f>
        <v>0.9227785613540197</v>
      </c>
      <c r="AE23" s="55">
        <f>I235</f>
        <v>0.9446854976665281</v>
      </c>
      <c r="AF23" s="55">
        <f>J235</f>
        <v>5.2653000213348684E-3</v>
      </c>
      <c r="AH23">
        <v>224</v>
      </c>
      <c r="AI23">
        <v>235</v>
      </c>
      <c r="AW23" s="51" t="s">
        <v>214</v>
      </c>
      <c r="AX23" s="80">
        <f>MIN($AE$16:$AE$115)</f>
        <v>0.93928544864962948</v>
      </c>
      <c r="AY23" s="80">
        <f>_xlfn.QUARTILE.EXC($AE$16:$AE$115,1)</f>
        <v>0.94540652931219871</v>
      </c>
      <c r="AZ23" s="126">
        <f>MEDIAN($AE$16:$AE$115)</f>
        <v>0.94731040871058303</v>
      </c>
      <c r="BA23" s="126">
        <f>AVERAGE($AE$16:$AE$115)</f>
        <v>0.94761294864206613</v>
      </c>
      <c r="BB23" s="80">
        <f>_xlfn.QUARTILE.EXC($AE$16:$AE$115,3)</f>
        <v>0.95011694911533251</v>
      </c>
      <c r="BC23" s="80">
        <f>MAX($AE$16:$AE$115)</f>
        <v>0.95646447213028296</v>
      </c>
      <c r="BD23" s="80">
        <f t="shared" si="0"/>
        <v>4.9724142792279867E-3</v>
      </c>
      <c r="BE23" s="80"/>
      <c r="BF23" s="51"/>
      <c r="BI23" s="1"/>
      <c r="BJ23" s="1"/>
      <c r="BK23" s="1"/>
      <c r="BM23" s="23"/>
      <c r="BN23" s="1"/>
    </row>
    <row r="24" spans="1:66" ht="15.6" x14ac:dyDescent="0.35">
      <c r="A24" t="s">
        <v>317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318</v>
      </c>
      <c r="S24" t="s">
        <v>63</v>
      </c>
      <c r="T24" s="57">
        <f>$AA23*T16/100</f>
        <v>197.67</v>
      </c>
      <c r="U24" s="57">
        <f>$AA23*U16/100</f>
        <v>1672.9280976474884</v>
      </c>
      <c r="V24" s="57">
        <f>$AA23*V16/100</f>
        <v>48366.639016296773</v>
      </c>
      <c r="W24" s="57">
        <f>$AA23*W16/100</f>
        <v>24981.257413346189</v>
      </c>
      <c r="X24" s="57">
        <f>$AA23*X16/100</f>
        <v>7744.6854727095515</v>
      </c>
      <c r="Z24" t="s">
        <v>36</v>
      </c>
      <c r="AA24" s="25">
        <f>SUM(T24:X24)</f>
        <v>82963.180000000008</v>
      </c>
      <c r="AC24" t="s">
        <v>96</v>
      </c>
      <c r="AD24" s="51">
        <f>I253</f>
        <v>0.92454160789844853</v>
      </c>
      <c r="AE24" s="55">
        <f>I264</f>
        <v>0.94971000518303206</v>
      </c>
      <c r="AF24" s="55">
        <f>J264</f>
        <v>4.8348241713250476E-3</v>
      </c>
      <c r="AH24">
        <v>253</v>
      </c>
      <c r="AI24">
        <v>264</v>
      </c>
      <c r="BE24" s="80"/>
      <c r="BF24" s="51"/>
      <c r="BI24" s="1"/>
      <c r="BJ24" s="13"/>
      <c r="BK24" s="1"/>
      <c r="BM24" s="23"/>
      <c r="BN24" s="1"/>
    </row>
    <row r="25" spans="1:66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62</v>
      </c>
      <c r="T25" s="67">
        <f>$AA23*T17/100</f>
        <v>0</v>
      </c>
      <c r="U25" s="67">
        <f>$AA23*U17/100</f>
        <v>66.969185167341905</v>
      </c>
      <c r="V25" s="67">
        <f>$AA23*V17/100</f>
        <v>311.17928181067623</v>
      </c>
      <c r="W25" s="67">
        <f>$AA23*W17/100</f>
        <v>333.16297407545534</v>
      </c>
      <c r="X25" s="67">
        <f>$AA23*X17/100</f>
        <v>285.32586567761786</v>
      </c>
      <c r="AA25" s="1"/>
      <c r="AC25" t="s">
        <v>97</v>
      </c>
      <c r="AD25" s="51">
        <f>I282</f>
        <v>0.92559943582510573</v>
      </c>
      <c r="AE25" s="55">
        <f>I293</f>
        <v>0.94688338311992337</v>
      </c>
      <c r="AF25" s="55">
        <f>J293</f>
        <v>5.0631579966924399E-3</v>
      </c>
      <c r="AH25">
        <v>282</v>
      </c>
      <c r="AI25">
        <v>293</v>
      </c>
      <c r="BE25" s="80"/>
      <c r="BF25" s="51"/>
      <c r="BJ25" s="12"/>
    </row>
    <row r="26" spans="1:66" x14ac:dyDescent="0.3">
      <c r="A26" t="s">
        <v>3</v>
      </c>
      <c r="B26" s="13">
        <v>0</v>
      </c>
      <c r="C26" s="29">
        <f>(C15/$L26)*$O26</f>
        <v>0.23826232311731543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0.23826232311731543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451</v>
      </c>
      <c r="M26">
        <v>0</v>
      </c>
      <c r="N26" s="1">
        <v>197.67</v>
      </c>
      <c r="O26" s="17">
        <f>N26/N31*100</f>
        <v>0.23826232311731543</v>
      </c>
      <c r="P26" s="52">
        <f>((O26*O26*(I26/100)*(K26/100))/(L26-1))</f>
        <v>0</v>
      </c>
      <c r="R26" t="s">
        <v>66</v>
      </c>
      <c r="S26" s="70" t="s">
        <v>28</v>
      </c>
      <c r="T26" s="64">
        <f t="shared" ref="T26:X29" si="3">C60</f>
        <v>0.24554263161770903</v>
      </c>
      <c r="U26" s="64">
        <f t="shared" si="3"/>
        <v>2.4154645148906573</v>
      </c>
      <c r="V26" s="64">
        <f t="shared" si="3"/>
        <v>56.159860369488278</v>
      </c>
      <c r="W26" s="64">
        <f t="shared" si="3"/>
        <v>30.4477130651902</v>
      </c>
      <c r="X26" s="64">
        <f t="shared" si="3"/>
        <v>10.731419418813156</v>
      </c>
      <c r="Y26" s="13"/>
      <c r="Z26" s="74"/>
      <c r="AA26" s="12"/>
      <c r="AC26" t="s">
        <v>98</v>
      </c>
      <c r="AD26" s="51">
        <f>I311</f>
        <v>0.91537376586741892</v>
      </c>
      <c r="AE26" s="55">
        <f>I322</f>
        <v>0.93980134528367587</v>
      </c>
      <c r="AF26" s="55">
        <f>J322</f>
        <v>5.3905333663183726E-3</v>
      </c>
      <c r="AH26">
        <v>311</v>
      </c>
      <c r="AI26">
        <v>322</v>
      </c>
      <c r="BF26" s="51"/>
      <c r="BJ26" s="13"/>
      <c r="BK26" s="13"/>
    </row>
    <row r="27" spans="1:66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1.3694692792126517</v>
      </c>
      <c r="E27" s="19">
        <f t="shared" si="2"/>
        <v>4.9798882880460062E-2</v>
      </c>
      <c r="F27" s="18">
        <f t="shared" si="2"/>
        <v>0</v>
      </c>
      <c r="G27" s="20">
        <f t="shared" si="2"/>
        <v>0</v>
      </c>
      <c r="H27" s="17">
        <f>SUM(C27:G27)</f>
        <v>1.4192681620931118</v>
      </c>
      <c r="I27" s="17">
        <f>D27/H27*100</f>
        <v>96.491228070175438</v>
      </c>
      <c r="J27" s="17">
        <f>SQRT(I27*(100-I27)/(L27-1))</f>
        <v>2.4588241692166148</v>
      </c>
      <c r="K27" s="18">
        <f>100-I27</f>
        <v>3.5087719298245617</v>
      </c>
      <c r="L27" s="1">
        <f>H16</f>
        <v>57</v>
      </c>
      <c r="M27">
        <v>1</v>
      </c>
      <c r="N27" s="1">
        <v>1177.47</v>
      </c>
      <c r="O27" s="17">
        <f>N27/N31*100</f>
        <v>1.4192681620931118</v>
      </c>
      <c r="P27" s="52">
        <f>((O27*O27*(I27/100)*(K27/100))/(L27-1))</f>
        <v>1.2178221472124804E-3</v>
      </c>
      <c r="S27" s="66" t="s">
        <v>39</v>
      </c>
      <c r="T27" s="67">
        <f t="shared" si="3"/>
        <v>0</v>
      </c>
      <c r="U27" s="67">
        <f t="shared" si="3"/>
        <v>0.12366396020788929</v>
      </c>
      <c r="V27" s="67">
        <f t="shared" si="3"/>
        <v>0.41960593133331825</v>
      </c>
      <c r="W27" s="67">
        <f t="shared" si="3"/>
        <v>0.41543902482110884</v>
      </c>
      <c r="X27" s="67">
        <f t="shared" si="3"/>
        <v>0.39432301551338012</v>
      </c>
      <c r="AC27" t="s">
        <v>99</v>
      </c>
      <c r="AD27" s="51">
        <f>I340</f>
        <v>0.9143159379407616</v>
      </c>
      <c r="AE27" s="55">
        <f>I351</f>
        <v>0.94673390978026828</v>
      </c>
      <c r="AF27" s="55">
        <f>J351</f>
        <v>4.9662053799096545E-3</v>
      </c>
      <c r="AH27">
        <v>340</v>
      </c>
      <c r="AI27">
        <v>351</v>
      </c>
      <c r="BF27" s="51"/>
    </row>
    <row r="28" spans="1:66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0</v>
      </c>
      <c r="E28" s="34">
        <f t="shared" si="2"/>
        <v>57.477097939741157</v>
      </c>
      <c r="F28" s="19">
        <f t="shared" si="2"/>
        <v>0.79829302694084947</v>
      </c>
      <c r="G28" s="20">
        <f t="shared" si="2"/>
        <v>0.55880511885859463</v>
      </c>
      <c r="H28" s="17">
        <f>SUM(C28:G28)</f>
        <v>58.834196085540597</v>
      </c>
      <c r="I28" s="17">
        <f>E28/H28*100</f>
        <v>97.693351424694725</v>
      </c>
      <c r="J28" s="17">
        <f>SQRT(I28*(100-I28)/(L28-1))</f>
        <v>0.55333012332712261</v>
      </c>
      <c r="K28" s="18">
        <f>100-I28</f>
        <v>2.3066485753052746</v>
      </c>
      <c r="L28" s="1">
        <f>H17</f>
        <v>737</v>
      </c>
      <c r="M28">
        <v>2</v>
      </c>
      <c r="N28" s="1">
        <v>48810.720000000001</v>
      </c>
      <c r="O28" s="17">
        <f>N28/N31*100</f>
        <v>58.834196085540604</v>
      </c>
      <c r="P28" s="52">
        <f>((O28*O28*(I28/100)*(K28/100))/(L28-1))</f>
        <v>0.10598106391298263</v>
      </c>
      <c r="S28" t="s">
        <v>30</v>
      </c>
      <c r="T28" s="57">
        <f t="shared" si="3"/>
        <v>100</v>
      </c>
      <c r="U28" s="57">
        <f t="shared" si="3"/>
        <v>60.243626827592834</v>
      </c>
      <c r="V28" s="57">
        <f t="shared" si="3"/>
        <v>99.369548243381516</v>
      </c>
      <c r="W28" s="57">
        <f t="shared" si="3"/>
        <v>94.794855871658854</v>
      </c>
      <c r="X28" s="57">
        <f t="shared" si="3"/>
        <v>78.007560445856413</v>
      </c>
      <c r="AC28" t="s">
        <v>100</v>
      </c>
      <c r="AD28" s="51">
        <f>I369</f>
        <v>0.92313117066290551</v>
      </c>
      <c r="AE28" s="55">
        <f>I380</f>
        <v>0.95123766620580075</v>
      </c>
      <c r="AF28" s="55">
        <f>J380</f>
        <v>4.7952506813226112E-3</v>
      </c>
      <c r="AH28">
        <v>369</v>
      </c>
      <c r="AI28">
        <v>380</v>
      </c>
      <c r="BF28" s="51"/>
    </row>
    <row r="29" spans="1:66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0</v>
      </c>
      <c r="E29" s="19">
        <f t="shared" si="2"/>
        <v>0.63021597833502208</v>
      </c>
      <c r="F29" s="34">
        <f t="shared" si="2"/>
        <v>28.674827014243505</v>
      </c>
      <c r="G29" s="20">
        <f t="shared" si="2"/>
        <v>1.2604319566700442</v>
      </c>
      <c r="H29" s="17">
        <f>SUM(C29:G29)</f>
        <v>30.565474949248571</v>
      </c>
      <c r="I29" s="17">
        <f>F29/H29*100</f>
        <v>93.814432989690715</v>
      </c>
      <c r="J29" s="17">
        <f>SQRT(I29*(100-I29)/(L29-1))</f>
        <v>0.99939350092616819</v>
      </c>
      <c r="K29" s="18">
        <f>100-I29</f>
        <v>6.1855670103092848</v>
      </c>
      <c r="L29" s="1">
        <f>H18</f>
        <v>582</v>
      </c>
      <c r="M29">
        <v>3</v>
      </c>
      <c r="N29" s="1">
        <v>25358.09</v>
      </c>
      <c r="O29" s="17">
        <f>N29/N31*100</f>
        <v>30.565474949248571</v>
      </c>
      <c r="P29" s="52">
        <f>((O29*O29*(I29/100)*(K29/100))/(L29-1))</f>
        <v>9.3311536112060278E-2</v>
      </c>
      <c r="S29" s="66" t="s">
        <v>39</v>
      </c>
      <c r="T29" s="67">
        <f t="shared" si="3"/>
        <v>0</v>
      </c>
      <c r="U29" s="67">
        <f t="shared" si="3"/>
        <v>6.7772792656016367</v>
      </c>
      <c r="V29" s="67">
        <f t="shared" si="3"/>
        <v>0.22431686674625617</v>
      </c>
      <c r="W29" s="67">
        <f t="shared" si="3"/>
        <v>1.0538711807867336</v>
      </c>
      <c r="X29" s="67">
        <f t="shared" si="3"/>
        <v>3.5372363095057842</v>
      </c>
      <c r="AC29" t="s">
        <v>101</v>
      </c>
      <c r="AD29" s="51">
        <f>I398</f>
        <v>0.91925246826516216</v>
      </c>
      <c r="AE29" s="55">
        <f>I409</f>
        <v>0.94652044928050982</v>
      </c>
      <c r="AF29" s="55">
        <f>J409</f>
        <v>5.0399707685811037E-3</v>
      </c>
      <c r="AH29">
        <v>398</v>
      </c>
      <c r="AI29">
        <v>409</v>
      </c>
      <c r="BF29" s="51"/>
    </row>
    <row r="30" spans="1:66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0.64700127754215031</v>
      </c>
      <c r="E30" s="21">
        <f t="shared" si="2"/>
        <v>0.14180849918732061</v>
      </c>
      <c r="F30" s="21">
        <f t="shared" si="2"/>
        <v>0.63813824634294269</v>
      </c>
      <c r="G30" s="37">
        <f t="shared" si="2"/>
        <v>7.5158504569279918</v>
      </c>
      <c r="H30" s="17">
        <f>SUM(C30:G30)</f>
        <v>8.9427984800004054</v>
      </c>
      <c r="I30" s="17">
        <f>G30/H30*100</f>
        <v>84.043607532210103</v>
      </c>
      <c r="J30" s="17">
        <f>SQRT(I30*(100-I30)/(L30-1))</f>
        <v>1.1534251899634023</v>
      </c>
      <c r="K30" s="18">
        <f>100-I30</f>
        <v>15.956392467789897</v>
      </c>
      <c r="L30" s="1">
        <f>H19</f>
        <v>1009</v>
      </c>
      <c r="M30">
        <v>4</v>
      </c>
      <c r="N30" s="1">
        <v>7419.23</v>
      </c>
      <c r="O30" s="17">
        <f>N30/N31*100</f>
        <v>8.9427984800004054</v>
      </c>
      <c r="P30" s="52">
        <f>((O30*O30*(I30/100)*(K30/100))/(L30-1))</f>
        <v>1.063961106271954E-2</v>
      </c>
      <c r="S30" t="s">
        <v>31</v>
      </c>
      <c r="T30" s="57">
        <f>I55</f>
        <v>100</v>
      </c>
      <c r="U30" s="57">
        <f>I56</f>
        <v>96.491228070175438</v>
      </c>
      <c r="V30" s="57">
        <f>I57</f>
        <v>96.336499321573939</v>
      </c>
      <c r="W30" s="57">
        <f>I58</f>
        <v>94.50171821305841</v>
      </c>
      <c r="X30" s="57">
        <f>I59</f>
        <v>85.629335976214065</v>
      </c>
      <c r="AC30" t="s">
        <v>102</v>
      </c>
      <c r="AD30" s="51">
        <f>I427</f>
        <v>0.91607898448519043</v>
      </c>
      <c r="AE30" s="55">
        <f>I438</f>
        <v>0.94920992467741283</v>
      </c>
      <c r="AF30" s="55">
        <f>J438</f>
        <v>4.8259892007739523E-3</v>
      </c>
      <c r="AH30">
        <v>427</v>
      </c>
      <c r="AI30">
        <v>438</v>
      </c>
      <c r="BF30" s="56"/>
    </row>
    <row r="31" spans="1:66" x14ac:dyDescent="0.3">
      <c r="B31" t="s">
        <v>28</v>
      </c>
      <c r="C31" s="17">
        <f>SUM(C26:C30)</f>
        <v>0.23826232311731543</v>
      </c>
      <c r="D31" s="17">
        <f>SUM(D26:D30)</f>
        <v>2.0164705567548022</v>
      </c>
      <c r="E31" s="17">
        <f>SUM(E26:E30)</f>
        <v>58.298921300143959</v>
      </c>
      <c r="F31" s="17">
        <f>SUM(F26:F30)</f>
        <v>30.111258287527299</v>
      </c>
      <c r="G31" s="17">
        <f>SUM(G26:G30)</f>
        <v>9.3350875324566296</v>
      </c>
      <c r="H31" s="1">
        <f>SUM(H25:H30)</f>
        <v>100</v>
      </c>
      <c r="I31" s="13" t="s">
        <v>24</v>
      </c>
      <c r="J31" s="12" t="s">
        <v>29</v>
      </c>
      <c r="N31" s="1">
        <f>SUM(N26:N30)</f>
        <v>82963.179999999993</v>
      </c>
      <c r="O31" s="17">
        <f>SUM(O26:O30)</f>
        <v>100.00000000000001</v>
      </c>
      <c r="S31" s="66" t="s">
        <v>39</v>
      </c>
      <c r="T31" s="67">
        <f>J55</f>
        <v>0</v>
      </c>
      <c r="U31" s="67">
        <f>J56</f>
        <v>2.4588241692166148</v>
      </c>
      <c r="V31" s="67">
        <f>J57</f>
        <v>0.69247589683153088</v>
      </c>
      <c r="W31" s="67">
        <f>J58</f>
        <v>0.94568234896218317</v>
      </c>
      <c r="X31" s="67">
        <f>J59</f>
        <v>1.1048910103427256</v>
      </c>
      <c r="AC31" t="s">
        <v>103</v>
      </c>
      <c r="AD31" s="51">
        <f>I456</f>
        <v>0.92559943582510573</v>
      </c>
      <c r="AE31" s="55">
        <f>I467</f>
        <v>0.95038322215444082</v>
      </c>
      <c r="AF31" s="55">
        <f>J467</f>
        <v>4.794330427374374E-3</v>
      </c>
      <c r="AH31">
        <v>456</v>
      </c>
      <c r="AI31">
        <v>467</v>
      </c>
      <c r="BF31" s="51"/>
    </row>
    <row r="32" spans="1:66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8.0721574519373424E-2</v>
      </c>
      <c r="E32" s="18">
        <f>SQRT(SUM((O26*O26*(E26/O26)*(1-E26/O26))/L26,(O27*O27*(E27/O27)*(1-E27/O27))/L27,(O28*O28*(E28/O28)*(1-E28/O28))/L28,(O29*O29*(E29/O29)*(1-E29/O29))/L29,(O30*O30*(E30/O30)*(1-E30/O30))/L30))</f>
        <v>0.37508118880047303</v>
      </c>
      <c r="F32" s="18">
        <f>SQRT(SUM((O26*O26*(F26/O26)*(1-F26/O26))/L26,(O27*O27*(F27/O27)*(1-F27/O27))/L27,(O28*O28*(F28/O28)*(1-F28/O28))/L28,(O29*O29*(F29/O29)*(1-F29/O29))/L29,(O30*O30*(F30/O30)*(1-F30/O30))/L30))</f>
        <v>0.40157931997719398</v>
      </c>
      <c r="G32" s="18">
        <f>SQRT(SUM((O26*O26*(G26/O26)*(1-G26/O26))/L26,(O27*O27*(G27/O27)*(1-G27/O27))/L27,(O28*O28*(G28/O28)*(1-G28/O28))/L28,(O29*O29*(G29/O29)*(1-G29/O29))/L29,(O30*O30*(G30/O30)*(1-G30/O30))/L30))</f>
        <v>0.34391867052060671</v>
      </c>
      <c r="H32" s="1"/>
      <c r="I32" s="14">
        <f>(C26+D27+E28+F29+G30)/H31</f>
        <v>0.95275507013242633</v>
      </c>
      <c r="J32" s="53">
        <f>SQRT(SUM(P26:P30))/100</f>
        <v>4.5951064539896678E-3</v>
      </c>
      <c r="M32" s="1"/>
      <c r="N32" s="9"/>
      <c r="S32" s="66" t="s">
        <v>51</v>
      </c>
      <c r="T32" s="67">
        <f>N44*100</f>
        <v>100</v>
      </c>
      <c r="U32" s="67">
        <f>N45*100</f>
        <v>53.921568627450988</v>
      </c>
      <c r="V32" s="67">
        <f>N46*100</f>
        <v>97.393689986282581</v>
      </c>
      <c r="W32" s="67">
        <f>N47*100</f>
        <v>91.973244147157189</v>
      </c>
      <c r="X32" s="67">
        <f>N48*100</f>
        <v>90.376569037656907</v>
      </c>
      <c r="AC32" t="s">
        <v>104</v>
      </c>
      <c r="AD32" s="51">
        <f>I485</f>
        <v>0.92066290550070518</v>
      </c>
      <c r="AE32" s="55">
        <f>I496</f>
        <v>0.94753982200339282</v>
      </c>
      <c r="AF32" s="55">
        <f>J496</f>
        <v>5.0179755664314972E-3</v>
      </c>
      <c r="AH32">
        <v>485</v>
      </c>
      <c r="AI32">
        <v>496</v>
      </c>
      <c r="BF32" s="120"/>
    </row>
    <row r="33" spans="1:65" x14ac:dyDescent="0.3">
      <c r="B33" s="1" t="s">
        <v>30</v>
      </c>
      <c r="C33" s="17">
        <f>C26/C31*100</f>
        <v>100</v>
      </c>
      <c r="D33" s="17">
        <f>D27/D31*100</f>
        <v>67.914171849679818</v>
      </c>
      <c r="E33" s="17">
        <f>E28/E31*100</f>
        <v>98.590328359298866</v>
      </c>
      <c r="F33" s="17">
        <f>F29/F31*100</f>
        <v>95.229587353781241</v>
      </c>
      <c r="G33" s="17">
        <f>G30/G31*100</f>
        <v>80.511836989171897</v>
      </c>
      <c r="H33" s="1"/>
      <c r="R33" s="16" t="s">
        <v>61</v>
      </c>
      <c r="S33" t="s">
        <v>9</v>
      </c>
      <c r="T33" s="30">
        <f>N55</f>
        <v>203.71</v>
      </c>
      <c r="U33" s="30">
        <f>N56</f>
        <v>1251.1500000000001</v>
      </c>
      <c r="V33" s="30">
        <f>N57</f>
        <v>48058.91</v>
      </c>
      <c r="W33" s="30">
        <f>N58</f>
        <v>25338.75</v>
      </c>
      <c r="X33" s="30">
        <f>N59</f>
        <v>8110.67</v>
      </c>
      <c r="Z33" t="s">
        <v>36</v>
      </c>
      <c r="AA33" s="1">
        <f>N60</f>
        <v>82963.19</v>
      </c>
      <c r="AC33" t="s">
        <v>105</v>
      </c>
      <c r="AD33" s="51">
        <f>I514</f>
        <v>0.92806770098730607</v>
      </c>
      <c r="AE33" s="55">
        <f>I525</f>
        <v>0.95266675401840817</v>
      </c>
      <c r="AF33" s="55">
        <f>J525</f>
        <v>4.8014884811452578E-3</v>
      </c>
      <c r="AH33">
        <v>514</v>
      </c>
      <c r="AI33">
        <v>525</v>
      </c>
    </row>
    <row r="34" spans="1:65" ht="18" x14ac:dyDescent="0.35">
      <c r="B34" s="16" t="s">
        <v>39</v>
      </c>
      <c r="C34" s="18">
        <f>SQRT((C37+C38)/(C31*C31))</f>
        <v>0</v>
      </c>
      <c r="D34" s="18">
        <f>SQRT((D37+D38)/(D31*D31))</f>
        <v>6.0723807344723051</v>
      </c>
      <c r="E34" s="18">
        <f>SQRT((E37+E38)/(E31*E31))</f>
        <v>0.32570459977354238</v>
      </c>
      <c r="F34" s="18">
        <f>SQRT((F37+F38)/(F31*F31))</f>
        <v>0.9572826566945406</v>
      </c>
      <c r="G34" s="18">
        <f>SQRT((G37+G38)/(G31*G31))</f>
        <v>3.5576807846421583</v>
      </c>
      <c r="H34" s="1"/>
      <c r="R34" s="16" t="s">
        <v>318</v>
      </c>
      <c r="S34" t="s">
        <v>63</v>
      </c>
      <c r="T34" s="57">
        <f>$AA33*T26/100</f>
        <v>203.71000000000004</v>
      </c>
      <c r="U34" s="57">
        <f>$AA33*U26/100</f>
        <v>2003.9464148713146</v>
      </c>
      <c r="V34" s="57">
        <f>$AA33*V26/100</f>
        <v>46592.011662073266</v>
      </c>
      <c r="W34" s="57">
        <f>$AA33*W26/100</f>
        <v>25260.394040928571</v>
      </c>
      <c r="X34" s="57">
        <f>$AA33*X26/100</f>
        <v>8903.1278821268534</v>
      </c>
      <c r="Z34" t="s">
        <v>36</v>
      </c>
      <c r="AA34" s="25">
        <f>SUM(T34:X34)</f>
        <v>82963.19</v>
      </c>
      <c r="AB34" s="25"/>
      <c r="AC34" t="s">
        <v>106</v>
      </c>
      <c r="AD34" s="51">
        <f>I543</f>
        <v>0.92101551480959098</v>
      </c>
      <c r="AE34" s="55">
        <f>I554</f>
        <v>0.9515114339582581</v>
      </c>
      <c r="AF34" s="55">
        <f>J554</f>
        <v>4.6830901377388247E-3</v>
      </c>
      <c r="AH34">
        <v>543</v>
      </c>
      <c r="AI34">
        <v>554</v>
      </c>
      <c r="BF34" s="83" t="s">
        <v>338</v>
      </c>
    </row>
    <row r="35" spans="1:65" x14ac:dyDescent="0.3">
      <c r="B35" s="1" t="s">
        <v>37</v>
      </c>
      <c r="C35" s="18">
        <f>100-C33</f>
        <v>0</v>
      </c>
      <c r="D35" s="18">
        <f>100-D33</f>
        <v>32.085828150320182</v>
      </c>
      <c r="E35" s="18">
        <f>100-E33</f>
        <v>1.4096716407011343</v>
      </c>
      <c r="F35" s="18">
        <f>100-F33</f>
        <v>4.7704126462187588</v>
      </c>
      <c r="G35" s="18">
        <f>100-G33</f>
        <v>19.488163010828103</v>
      </c>
      <c r="R35" s="66"/>
      <c r="S35" s="66" t="s">
        <v>62</v>
      </c>
      <c r="T35" s="67">
        <f>$AA33*T27/100</f>
        <v>0</v>
      </c>
      <c r="U35" s="67">
        <f>$AA33*U27/100</f>
        <v>102.59556626879559</v>
      </c>
      <c r="V35" s="67">
        <f>$AA33*V27/100</f>
        <v>348.11846606333035</v>
      </c>
      <c r="W35" s="67">
        <f>$AA33*W27/100</f>
        <v>344.66146749648368</v>
      </c>
      <c r="X35" s="67">
        <f>$AA33*X27/100</f>
        <v>327.14295257409503</v>
      </c>
      <c r="AA35" s="1"/>
      <c r="AB35" s="25"/>
      <c r="AC35" s="58" t="s">
        <v>107</v>
      </c>
      <c r="AD35" s="120">
        <f>I572</f>
        <v>0.92630465444287724</v>
      </c>
      <c r="AE35" s="121">
        <f>I583</f>
        <v>0.94981787164071751</v>
      </c>
      <c r="AF35" s="121">
        <f>J583</f>
        <v>4.8695065748782249E-3</v>
      </c>
      <c r="AH35">
        <v>572</v>
      </c>
      <c r="AI35">
        <v>583</v>
      </c>
    </row>
    <row r="36" spans="1:65" ht="15.6" x14ac:dyDescent="0.35">
      <c r="B36" s="1" t="s">
        <v>25</v>
      </c>
      <c r="C36" s="1">
        <f>C20</f>
        <v>451</v>
      </c>
      <c r="D36" s="1">
        <f>D20</f>
        <v>128</v>
      </c>
      <c r="E36" s="1">
        <f>E20</f>
        <v>750</v>
      </c>
      <c r="F36" s="1">
        <f>F20</f>
        <v>628</v>
      </c>
      <c r="G36" s="1">
        <f>G20</f>
        <v>879</v>
      </c>
      <c r="R36" t="s">
        <v>67</v>
      </c>
      <c r="S36" t="s">
        <v>28</v>
      </c>
      <c r="T36" s="57">
        <f t="shared" ref="T36:X39" si="4">C89</f>
        <v>0.24162520249942143</v>
      </c>
      <c r="U36" s="57">
        <f t="shared" si="4"/>
        <v>2.1162675410921961</v>
      </c>
      <c r="V36" s="57">
        <f t="shared" si="4"/>
        <v>56.472690790633756</v>
      </c>
      <c r="W36" s="57">
        <f t="shared" si="4"/>
        <v>30.386936471187369</v>
      </c>
      <c r="X36" s="57">
        <f t="shared" si="4"/>
        <v>10.78247999458727</v>
      </c>
      <c r="Y36" s="13"/>
      <c r="Z36" s="74"/>
      <c r="AA36" s="12"/>
      <c r="AC36" t="s">
        <v>108</v>
      </c>
      <c r="AD36" s="51">
        <v>0.91607898448518998</v>
      </c>
      <c r="AE36" s="51">
        <v>0.94729073059952296</v>
      </c>
      <c r="AH36">
        <v>601</v>
      </c>
      <c r="AI36">
        <v>612</v>
      </c>
      <c r="BF36" s="82" t="s">
        <v>330</v>
      </c>
      <c r="BG36" s="1">
        <v>0.05</v>
      </c>
      <c r="BH36" s="59" t="s">
        <v>331</v>
      </c>
      <c r="BI36" s="1">
        <v>20</v>
      </c>
      <c r="BJ36" s="59" t="s">
        <v>332</v>
      </c>
      <c r="BK36" s="1">
        <f>_xlfn.VAR.S(BF39:BF58)*(BI36-1)</f>
        <v>3.6064564582079391E-4</v>
      </c>
    </row>
    <row r="37" spans="1:6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125.3748348825691</v>
      </c>
      <c r="E37" s="18">
        <f>(O28*O28*(100-E33)*(100-E33)*(I28)*(100-I28))/((L28-1)*100)</f>
        <v>21.060282896495352</v>
      </c>
      <c r="F37" s="18">
        <f>(O29*O29*(100-F33)*(100-F33)*(I29)*(100-I29))/((L29-1)*100)</f>
        <v>212.34754002781582</v>
      </c>
      <c r="G37" s="18">
        <f>(O30*O30*(100-G33)*(100-G33)*(I30)*(100-I30))/((L30-1)*100)</f>
        <v>404.08018998841351</v>
      </c>
      <c r="S37" s="66" t="s">
        <v>39</v>
      </c>
      <c r="T37" s="67">
        <f t="shared" si="4"/>
        <v>0</v>
      </c>
      <c r="U37" s="67">
        <f t="shared" si="4"/>
        <v>8.2559161705263118E-2</v>
      </c>
      <c r="V37" s="67">
        <f t="shared" si="4"/>
        <v>0.45994348347136049</v>
      </c>
      <c r="W37" s="67">
        <f t="shared" si="4"/>
        <v>0.48734645754205475</v>
      </c>
      <c r="X37" s="67">
        <f t="shared" si="4"/>
        <v>0.39772390227515664</v>
      </c>
      <c r="AC37" t="s">
        <v>109</v>
      </c>
      <c r="AD37" s="51">
        <v>0.929830747531734</v>
      </c>
      <c r="AE37" s="51">
        <v>0.95367738472516295</v>
      </c>
      <c r="AH37">
        <v>630</v>
      </c>
      <c r="AI37">
        <v>641</v>
      </c>
    </row>
    <row r="38" spans="1:65" ht="15.6" x14ac:dyDescent="0.35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24.559727929051199</v>
      </c>
      <c r="E38" s="18">
        <f>E33*E33*(SUM((H26*E26*(1-E15/H15))/(H15-1),(H27*E27*(1-E16/H16))/(H16-1), (H29*E29*(1-E18/H18))/(H18-1),(H30*E30*(1-E19/H19))/(H19-1)))</f>
        <v>339.49247522417329</v>
      </c>
      <c r="F38" s="18">
        <f>F33*F33*(SUM((H26*F26*(1-F15/H15))/(H15-1),(H27*F27*(1-F16/H16))/(H16-1), (H28*F28*(1-F17/H17))/(H17-1),(H30*F30*(1-F19/H19))/(H19-1)))</f>
        <v>618.53223924111353</v>
      </c>
      <c r="G38" s="18">
        <f>G33*G33*(SUM((H26*G26*(1-G15/H15))/(H15-1),(H27*G27*(1-G16/H16))/(H16-1), (H28*G28*(1-G17/H17))/(H17-1),(H29*G29*(1-G18/H18))/(H18-1)))</f>
        <v>698.90770290212822</v>
      </c>
      <c r="S38" t="s">
        <v>30</v>
      </c>
      <c r="T38" s="57">
        <f t="shared" si="4"/>
        <v>100</v>
      </c>
      <c r="U38" s="57">
        <f t="shared" si="4"/>
        <v>71.672516519716325</v>
      </c>
      <c r="V38" s="57">
        <f t="shared" si="4"/>
        <v>98.456120261046436</v>
      </c>
      <c r="W38" s="57">
        <f t="shared" si="4"/>
        <v>93.164183751929713</v>
      </c>
      <c r="X38" s="57">
        <f t="shared" si="4"/>
        <v>76.601818631193012</v>
      </c>
      <c r="Z38" s="50"/>
      <c r="AA38" s="54"/>
      <c r="AC38" t="s">
        <v>110</v>
      </c>
      <c r="AD38" s="51">
        <v>0.92207334273624797</v>
      </c>
      <c r="AE38" s="51">
        <v>0.95217135937651398</v>
      </c>
      <c r="AH38">
        <v>659</v>
      </c>
      <c r="AI38">
        <v>670</v>
      </c>
      <c r="BF38" s="12" t="s">
        <v>329</v>
      </c>
      <c r="BG38" s="13" t="s">
        <v>339</v>
      </c>
      <c r="BH38" s="13" t="s">
        <v>344</v>
      </c>
      <c r="BI38" s="13" t="s">
        <v>345</v>
      </c>
      <c r="BJ38" s="13" t="s">
        <v>346</v>
      </c>
      <c r="BK38" s="13" t="s">
        <v>340</v>
      </c>
      <c r="BL38">
        <f>1/(SQRT(BI36))</f>
        <v>0.22360679774997896</v>
      </c>
    </row>
    <row r="39" spans="1:65" x14ac:dyDescent="0.3">
      <c r="S39" s="66" t="s">
        <v>39</v>
      </c>
      <c r="T39" s="67">
        <f t="shared" si="4"/>
        <v>0</v>
      </c>
      <c r="U39" s="67">
        <f t="shared" si="4"/>
        <v>5.7365200018565101</v>
      </c>
      <c r="V39" s="67">
        <f t="shared" si="4"/>
        <v>0.33994596351818079</v>
      </c>
      <c r="W39" s="67">
        <f t="shared" si="4"/>
        <v>1.321518457256269</v>
      </c>
      <c r="X39" s="67">
        <f t="shared" si="4"/>
        <v>3.5521940681127018</v>
      </c>
      <c r="AC39" t="s">
        <v>111</v>
      </c>
      <c r="AD39" s="51">
        <v>0.91607898448518998</v>
      </c>
      <c r="AE39" s="51">
        <v>0.94596638164895397</v>
      </c>
      <c r="AH39">
        <v>688</v>
      </c>
      <c r="AI39">
        <v>699</v>
      </c>
      <c r="BF39" s="51">
        <v>0.93928544864962948</v>
      </c>
      <c r="BG39" s="27">
        <v>1</v>
      </c>
      <c r="BH39" s="84">
        <f>_xlfn.NORM.S.INV((BG39-0.375)/($BI$36+0.25))</f>
        <v>-1.8682416548639302</v>
      </c>
      <c r="BI39" s="84">
        <f>-BI58</f>
        <v>-0.47336806621893501</v>
      </c>
      <c r="BJ39">
        <f>BI39*BF39</f>
        <v>-0.44462773645485987</v>
      </c>
      <c r="BK39" s="13" t="s">
        <v>335</v>
      </c>
      <c r="BL39">
        <f>SUMSQ(BH39:BH58)</f>
        <v>17.633567020527028</v>
      </c>
    </row>
    <row r="40" spans="1:65" x14ac:dyDescent="0.3">
      <c r="S40" t="s">
        <v>31</v>
      </c>
      <c r="T40" s="57">
        <f>I84</f>
        <v>100</v>
      </c>
      <c r="U40" s="57">
        <f>I85</f>
        <v>96.491228070175438</v>
      </c>
      <c r="V40" s="57">
        <f>I86</f>
        <v>95.929443690637711</v>
      </c>
      <c r="W40" s="57">
        <f>I87</f>
        <v>92.439862542955325</v>
      </c>
      <c r="X40" s="57">
        <f>I88</f>
        <v>86.025768087215056</v>
      </c>
      <c r="AC40" t="s">
        <v>112</v>
      </c>
      <c r="AD40" s="51">
        <v>0.92277856135401903</v>
      </c>
      <c r="AE40" s="51">
        <v>0.95095164538463905</v>
      </c>
      <c r="AH40">
        <v>717</v>
      </c>
      <c r="AI40">
        <v>728</v>
      </c>
      <c r="BF40" s="51">
        <v>0.93980134528367587</v>
      </c>
      <c r="BG40" s="27">
        <v>2</v>
      </c>
      <c r="BH40" s="84">
        <f t="shared" ref="BH40:BH58" si="5">_xlfn.NORM.S.INV((BG40-0.375)/($BI$36+0.25))</f>
        <v>-1.4034126358514019</v>
      </c>
      <c r="BI40" s="84">
        <f>-BI57</f>
        <v>-0.32175145499838514</v>
      </c>
      <c r="BJ40">
        <f t="shared" ref="BJ40:BJ58" si="6">BI40*BF40</f>
        <v>-0.30238245025446248</v>
      </c>
      <c r="BK40" s="74" t="s">
        <v>341</v>
      </c>
      <c r="BL40">
        <f>(BL39-2*(BH58^2)-2*(BH57^2))/(1-2*(BI58^2)-2*(BI57^2))</f>
        <v>19.471667059296756</v>
      </c>
    </row>
    <row r="41" spans="1:65" x14ac:dyDescent="0.3">
      <c r="A41" s="348" t="s">
        <v>371</v>
      </c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 t="s">
        <v>49</v>
      </c>
      <c r="M41" s="348"/>
      <c r="N41" s="348"/>
      <c r="O41" s="348"/>
      <c r="P41" s="348"/>
      <c r="S41" s="66" t="s">
        <v>39</v>
      </c>
      <c r="T41" s="67">
        <f>J84</f>
        <v>0</v>
      </c>
      <c r="U41" s="67">
        <f>J85</f>
        <v>2.4588241692166148</v>
      </c>
      <c r="V41" s="67">
        <f>J86</f>
        <v>0.72838994038644445</v>
      </c>
      <c r="W41" s="67">
        <f>J87</f>
        <v>1.0967469245051289</v>
      </c>
      <c r="X41" s="67">
        <f>J88</f>
        <v>1.092063738094853</v>
      </c>
      <c r="AC41" t="s">
        <v>113</v>
      </c>
      <c r="AD41" s="51">
        <v>0.924894217207334</v>
      </c>
      <c r="AE41" s="51">
        <v>0.94918805288774799</v>
      </c>
      <c r="AH41">
        <v>746</v>
      </c>
      <c r="AI41">
        <v>757</v>
      </c>
      <c r="BF41" s="51">
        <v>0.94148669604380342</v>
      </c>
      <c r="BG41" s="1">
        <v>3</v>
      </c>
      <c r="BH41">
        <f t="shared" si="5"/>
        <v>-1.1281436452787641</v>
      </c>
      <c r="BI41">
        <f t="shared" ref="BI41:BI56" si="7">BH41/SQRT($BL$40)</f>
        <v>-0.25566002901309814</v>
      </c>
      <c r="BJ41">
        <f t="shared" si="6"/>
        <v>-0.2407005160260047</v>
      </c>
      <c r="BK41" s="74" t="s">
        <v>333</v>
      </c>
      <c r="BL41" s="48">
        <f>CORREL(BF39:BF58,BI39:BI58)^2</f>
        <v>0.92824519944175365</v>
      </c>
      <c r="BM41" s="48">
        <f>(BJ59^2)/BK36</f>
        <v>0.92824519944172756</v>
      </c>
    </row>
    <row r="42" spans="1:65" x14ac:dyDescent="0.3">
      <c r="A42" t="s">
        <v>315</v>
      </c>
      <c r="B42" t="s">
        <v>21</v>
      </c>
      <c r="I42" s="1" t="s">
        <v>53</v>
      </c>
      <c r="O42" s="350" t="s">
        <v>377</v>
      </c>
      <c r="P42" s="350"/>
      <c r="S42" s="66" t="s">
        <v>51</v>
      </c>
      <c r="T42" s="67">
        <f>N73*100</f>
        <v>100</v>
      </c>
      <c r="U42" s="67">
        <f>N74*100</f>
        <v>62.857142857142854</v>
      </c>
      <c r="V42" s="67">
        <f>N75*100</f>
        <v>95.411605937921721</v>
      </c>
      <c r="W42" s="67">
        <f>N76*100</f>
        <v>90.192791282481139</v>
      </c>
      <c r="X42" s="67">
        <f>N77*100</f>
        <v>90.416666666666671</v>
      </c>
      <c r="AC42" t="s">
        <v>114</v>
      </c>
      <c r="AD42" s="51">
        <v>0.91325811001410395</v>
      </c>
      <c r="AE42" s="51">
        <v>0.94625759485701699</v>
      </c>
      <c r="AH42">
        <v>775</v>
      </c>
      <c r="AI42">
        <v>786</v>
      </c>
      <c r="BF42" s="51">
        <v>0.94173724153496874</v>
      </c>
      <c r="BG42" s="1">
        <v>4</v>
      </c>
      <c r="BH42">
        <f t="shared" si="5"/>
        <v>-0.91913552204621074</v>
      </c>
      <c r="BI42">
        <f t="shared" si="7"/>
        <v>-0.20829458661289388</v>
      </c>
      <c r="BJ42">
        <f t="shared" si="6"/>
        <v>-0.19615876942349331</v>
      </c>
      <c r="BK42" s="74" t="s">
        <v>73</v>
      </c>
      <c r="BL42">
        <f>0.0038915*(LN(BI36)^3)-0.083751*(LN(BI36)^2)-0.31082*LN(BI36)-1.5861</f>
        <v>-3.1642267470723917</v>
      </c>
    </row>
    <row r="43" spans="1:6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51</v>
      </c>
      <c r="O43" s="13" t="s">
        <v>644</v>
      </c>
      <c r="P43" s="13" t="s">
        <v>633</v>
      </c>
      <c r="R43" s="16" t="s">
        <v>61</v>
      </c>
      <c r="S43" t="s">
        <v>9</v>
      </c>
      <c r="T43" s="30">
        <f>N84</f>
        <v>200.46</v>
      </c>
      <c r="U43" s="30">
        <f>N85</f>
        <v>1304.1300000000001</v>
      </c>
      <c r="V43" s="30">
        <f>N86</f>
        <v>48085.57</v>
      </c>
      <c r="W43" s="30">
        <f>N87</f>
        <v>25407.51</v>
      </c>
      <c r="X43" s="30">
        <f>N88</f>
        <v>7965.53</v>
      </c>
      <c r="Z43" t="s">
        <v>36</v>
      </c>
      <c r="AA43" s="1">
        <f>N89</f>
        <v>82963.199999999997</v>
      </c>
      <c r="AC43" t="s">
        <v>115</v>
      </c>
      <c r="AD43" s="51">
        <v>0.927362482369534</v>
      </c>
      <c r="AE43" s="51">
        <v>0.94849075186762599</v>
      </c>
      <c r="AH43">
        <v>804</v>
      </c>
      <c r="AI43">
        <v>815</v>
      </c>
      <c r="BF43" s="51">
        <v>0.9446854976665281</v>
      </c>
      <c r="BG43" s="1">
        <v>5</v>
      </c>
      <c r="BH43">
        <f t="shared" si="5"/>
        <v>-0.74414274222016763</v>
      </c>
      <c r="BI43">
        <f t="shared" si="7"/>
        <v>-0.16863770483667825</v>
      </c>
      <c r="BJ43">
        <f t="shared" si="6"/>
        <v>-0.15930959411897846</v>
      </c>
      <c r="BK43" s="74" t="s">
        <v>347</v>
      </c>
      <c r="BL43">
        <f>EXP(0.0030301*(LN(BI36)^2)-0.082676*LN(BI36)-0.4803)</f>
        <v>0.49619722706220387</v>
      </c>
    </row>
    <row r="44" spans="1:65" ht="15.6" x14ac:dyDescent="0.35">
      <c r="A44" t="s">
        <v>3</v>
      </c>
      <c r="B44" s="13">
        <v>0</v>
      </c>
      <c r="C44" s="26">
        <v>451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451</v>
      </c>
      <c r="I44" s="10">
        <f>C44/H44</f>
        <v>1</v>
      </c>
      <c r="J44" s="11">
        <f>1-I44</f>
        <v>0</v>
      </c>
      <c r="K44">
        <f>H44-C49</f>
        <v>0</v>
      </c>
      <c r="N44" s="10">
        <f>2*(C50*I44)/(C50+I44)</f>
        <v>1</v>
      </c>
      <c r="O44" s="1"/>
      <c r="P44" s="1"/>
      <c r="R44" s="16" t="s">
        <v>318</v>
      </c>
      <c r="S44" t="s">
        <v>63</v>
      </c>
      <c r="T44" s="57">
        <f>$AA43*T36/100</f>
        <v>200.46</v>
      </c>
      <c r="U44" s="57">
        <f>$AA43*U36/100</f>
        <v>1755.7232726514007</v>
      </c>
      <c r="V44" s="57">
        <f>$AA43*V36/100</f>
        <v>46851.551406015067</v>
      </c>
      <c r="W44" s="57">
        <f>$AA43*W36/100</f>
        <v>25209.974878464116</v>
      </c>
      <c r="X44" s="57">
        <f>$AA43*X36/100</f>
        <v>8945.4904428694263</v>
      </c>
      <c r="Z44" t="s">
        <v>36</v>
      </c>
      <c r="AA44" s="25">
        <f>SUM(T44:X44)</f>
        <v>82963.200000000012</v>
      </c>
      <c r="AC44" t="s">
        <v>116</v>
      </c>
      <c r="AD44" s="51">
        <v>0.919957686882933</v>
      </c>
      <c r="AE44" s="51">
        <v>0.94846594700543396</v>
      </c>
      <c r="AH44">
        <v>833</v>
      </c>
      <c r="AI44">
        <v>844</v>
      </c>
      <c r="BF44" s="127">
        <v>0.94652044928050982</v>
      </c>
      <c r="BG44" s="1">
        <v>6</v>
      </c>
      <c r="BH44">
        <f t="shared" si="5"/>
        <v>-0.58945579784977842</v>
      </c>
      <c r="BI44">
        <f t="shared" si="7"/>
        <v>-0.13358253358150615</v>
      </c>
      <c r="BJ44">
        <f t="shared" si="6"/>
        <v>-0.12643859970159599</v>
      </c>
      <c r="BK44" s="74" t="s">
        <v>343</v>
      </c>
      <c r="BL44">
        <f>(LN(1-BL41)-BL42)/BL43</f>
        <v>1.0675719216797701</v>
      </c>
    </row>
    <row r="45" spans="1:65" x14ac:dyDescent="0.3">
      <c r="A45" t="s">
        <v>4</v>
      </c>
      <c r="B45" s="13">
        <v>1</v>
      </c>
      <c r="C45" s="5">
        <v>0</v>
      </c>
      <c r="D45" s="27">
        <v>55</v>
      </c>
      <c r="E45" s="1">
        <v>2</v>
      </c>
      <c r="F45" s="1">
        <v>0</v>
      </c>
      <c r="G45" s="6">
        <v>0</v>
      </c>
      <c r="H45" s="1">
        <f>SUM(C45:G45)</f>
        <v>57</v>
      </c>
      <c r="I45" s="10">
        <f>D45/H45</f>
        <v>0.96491228070175439</v>
      </c>
      <c r="J45" s="11">
        <f>1-I45</f>
        <v>3.5087719298245612E-2</v>
      </c>
      <c r="K45">
        <f>H45-D49</f>
        <v>-90</v>
      </c>
      <c r="N45" s="10">
        <f>2*(D50*I45)/(D50+I45)</f>
        <v>0.53921568627450989</v>
      </c>
      <c r="O45" s="1"/>
      <c r="P45" s="1"/>
      <c r="R45" s="66"/>
      <c r="S45" s="66" t="s">
        <v>62</v>
      </c>
      <c r="T45" s="67">
        <f>$AA43*T37/100</f>
        <v>0</v>
      </c>
      <c r="U45" s="67">
        <f>$AA43*U37/100</f>
        <v>68.493722443860847</v>
      </c>
      <c r="V45" s="67">
        <f>$AA43*V37/100</f>
        <v>381.58383207931178</v>
      </c>
      <c r="W45" s="67">
        <f>$AA43*W37/100</f>
        <v>404.31821626352996</v>
      </c>
      <c r="X45" s="67">
        <f>$AA43*X37/100</f>
        <v>329.96447649234273</v>
      </c>
      <c r="AA45" s="1"/>
      <c r="AC45" t="s">
        <v>117</v>
      </c>
      <c r="AD45" s="51">
        <v>0.92101551480959098</v>
      </c>
      <c r="AE45" s="51">
        <v>0.95013731826806402</v>
      </c>
      <c r="AH45">
        <v>862</v>
      </c>
      <c r="AI45">
        <v>873</v>
      </c>
      <c r="BF45" s="51">
        <v>0.94673390978026828</v>
      </c>
      <c r="BG45" s="1">
        <v>7</v>
      </c>
      <c r="BH45">
        <f t="shared" si="5"/>
        <v>-0.44776751848294888</v>
      </c>
      <c r="BI45">
        <f t="shared" si="7"/>
        <v>-0.10147312112739562</v>
      </c>
      <c r="BJ45">
        <f t="shared" si="6"/>
        <v>-9.6068044702545999E-2</v>
      </c>
      <c r="BK45" s="74" t="s">
        <v>334</v>
      </c>
      <c r="BL45">
        <f>1-NORMSDIST(BL44)</f>
        <v>0.14285682745031425</v>
      </c>
    </row>
    <row r="46" spans="1:65" x14ac:dyDescent="0.3">
      <c r="A46" t="s">
        <v>5</v>
      </c>
      <c r="B46" s="13">
        <v>2</v>
      </c>
      <c r="C46" s="5">
        <v>0</v>
      </c>
      <c r="D46" s="1">
        <v>1</v>
      </c>
      <c r="E46" s="27">
        <v>710</v>
      </c>
      <c r="F46" s="1">
        <v>14</v>
      </c>
      <c r="G46" s="6">
        <v>12</v>
      </c>
      <c r="H46" s="1">
        <f>SUM(C46:G46)</f>
        <v>737</v>
      </c>
      <c r="I46" s="10">
        <f>E46/H46</f>
        <v>0.96336499321573943</v>
      </c>
      <c r="J46" s="11">
        <f>1-I46</f>
        <v>3.6635006784260571E-2</v>
      </c>
      <c r="K46">
        <f>H46-E49</f>
        <v>16</v>
      </c>
      <c r="N46" s="10">
        <f>2*(E50*I46)/(E50+I46)</f>
        <v>0.97393689986282583</v>
      </c>
      <c r="O46" s="1"/>
      <c r="P46" s="1"/>
      <c r="R46" t="s">
        <v>68</v>
      </c>
      <c r="S46" t="s">
        <v>28</v>
      </c>
      <c r="T46" s="57">
        <f t="shared" ref="T46:X49" si="8">C118</f>
        <v>0.23847928683543707</v>
      </c>
      <c r="U46" s="57">
        <f t="shared" si="8"/>
        <v>2.0727176173748543</v>
      </c>
      <c r="V46" s="57">
        <f t="shared" si="8"/>
        <v>57.275591185050949</v>
      </c>
      <c r="W46" s="57">
        <f t="shared" si="8"/>
        <v>30.789815817212659</v>
      </c>
      <c r="X46" s="57">
        <f t="shared" si="8"/>
        <v>9.6233960935260932</v>
      </c>
      <c r="Y46" s="60"/>
      <c r="Z46" s="74"/>
      <c r="AA46" s="12"/>
      <c r="AC46" t="s">
        <v>130</v>
      </c>
      <c r="AD46" s="51">
        <v>0.919957686882933</v>
      </c>
      <c r="AE46" s="51">
        <v>0.94539110851501995</v>
      </c>
      <c r="AH46">
        <v>891</v>
      </c>
      <c r="AI46">
        <v>902</v>
      </c>
      <c r="BF46" s="51">
        <v>0.94688338311992337</v>
      </c>
      <c r="BG46" s="1">
        <v>8</v>
      </c>
      <c r="BH46">
        <f t="shared" si="5"/>
        <v>-0.31457229183888502</v>
      </c>
      <c r="BI46">
        <f t="shared" si="7"/>
        <v>-7.1288405155509674E-2</v>
      </c>
      <c r="BJ46">
        <f t="shared" si="6"/>
        <v>-6.7501806250872792E-2</v>
      </c>
      <c r="BK46" s="13" t="s">
        <v>336</v>
      </c>
      <c r="BL46" s="13" t="str">
        <f>IF(GESTEP(BL45,BG36)=0,"YES","NO")</f>
        <v>NO</v>
      </c>
    </row>
    <row r="47" spans="1:65" x14ac:dyDescent="0.3">
      <c r="A47" t="s">
        <v>6</v>
      </c>
      <c r="B47" s="13">
        <v>3</v>
      </c>
      <c r="C47" s="5">
        <v>0</v>
      </c>
      <c r="D47" s="1">
        <v>0</v>
      </c>
      <c r="E47" s="1">
        <v>5</v>
      </c>
      <c r="F47" s="27">
        <v>550</v>
      </c>
      <c r="G47" s="6">
        <v>27</v>
      </c>
      <c r="H47" s="1">
        <f>SUM(C47:G47)</f>
        <v>582</v>
      </c>
      <c r="I47" s="10">
        <f>F47/H47</f>
        <v>0.94501718213058417</v>
      </c>
      <c r="J47" s="11">
        <f>1-I47</f>
        <v>5.4982817869415834E-2</v>
      </c>
      <c r="K47">
        <f>H47-F49</f>
        <v>-32</v>
      </c>
      <c r="N47" s="10">
        <f>2*(F50*I47)/(F50+I47)</f>
        <v>0.91973244147157185</v>
      </c>
      <c r="O47" s="1"/>
      <c r="P47" s="1"/>
      <c r="S47" s="66" t="s">
        <v>39</v>
      </c>
      <c r="T47" s="67">
        <f t="shared" si="8"/>
        <v>0</v>
      </c>
      <c r="U47" s="67">
        <f t="shared" si="8"/>
        <v>7.43353335765818E-2</v>
      </c>
      <c r="V47" s="67">
        <f t="shared" si="8"/>
        <v>0.36296878812585098</v>
      </c>
      <c r="W47" s="67">
        <f t="shared" si="8"/>
        <v>0.40182748808758667</v>
      </c>
      <c r="X47" s="67">
        <f t="shared" si="8"/>
        <v>0.35167146185838288</v>
      </c>
      <c r="AC47" t="s">
        <v>131</v>
      </c>
      <c r="AD47" s="51">
        <v>0.91819464033850495</v>
      </c>
      <c r="AE47" s="51">
        <v>0.94458736682159705</v>
      </c>
      <c r="AH47">
        <v>920</v>
      </c>
      <c r="AI47">
        <v>931</v>
      </c>
      <c r="BF47" s="51">
        <v>0.94740689809588063</v>
      </c>
      <c r="BG47" s="1">
        <v>9</v>
      </c>
      <c r="BH47">
        <f t="shared" si="5"/>
        <v>-0.18675612106373712</v>
      </c>
      <c r="BI47">
        <f t="shared" si="7"/>
        <v>-4.2322691378304626E-2</v>
      </c>
      <c r="BJ47">
        <f t="shared" si="6"/>
        <v>-4.0096809757788857E-2</v>
      </c>
    </row>
    <row r="48" spans="1:65" x14ac:dyDescent="0.3">
      <c r="A48" t="s">
        <v>7</v>
      </c>
      <c r="B48" s="13">
        <v>4</v>
      </c>
      <c r="C48" s="7">
        <v>0</v>
      </c>
      <c r="D48" s="8">
        <v>91</v>
      </c>
      <c r="E48" s="8">
        <v>4</v>
      </c>
      <c r="F48" s="8">
        <v>50</v>
      </c>
      <c r="G48" s="28">
        <v>864</v>
      </c>
      <c r="H48" s="1">
        <f>SUM(C48:G48)</f>
        <v>1009</v>
      </c>
      <c r="I48" s="10">
        <f>G48/H48</f>
        <v>0.85629335976214072</v>
      </c>
      <c r="J48" s="11">
        <f>1-I48</f>
        <v>0.14370664023785928</v>
      </c>
      <c r="K48">
        <f>H48-G49</f>
        <v>106</v>
      </c>
      <c r="N48" s="10">
        <f>2*(G50*I48)/(G50+I48)</f>
        <v>0.90376569037656906</v>
      </c>
      <c r="O48" s="1"/>
      <c r="P48" s="1"/>
      <c r="S48" t="s">
        <v>30</v>
      </c>
      <c r="T48" s="57">
        <f t="shared" si="8"/>
        <v>100</v>
      </c>
      <c r="U48" s="57">
        <f t="shared" si="8"/>
        <v>78.30042794971682</v>
      </c>
      <c r="V48" s="57">
        <f t="shared" si="8"/>
        <v>98.965358611244554</v>
      </c>
      <c r="W48" s="57">
        <f t="shared" si="8"/>
        <v>94.670963597604256</v>
      </c>
      <c r="X48" s="57">
        <f t="shared" si="8"/>
        <v>79.920659066833849</v>
      </c>
      <c r="AC48" t="s">
        <v>132</v>
      </c>
      <c r="AD48" s="51">
        <v>0.91925246826516205</v>
      </c>
      <c r="AE48" s="51">
        <v>0.94653144290992697</v>
      </c>
      <c r="AH48">
        <v>949</v>
      </c>
      <c r="AI48">
        <v>960</v>
      </c>
      <c r="BF48" s="51">
        <v>0.94753982200339282</v>
      </c>
      <c r="BG48" s="1">
        <v>10</v>
      </c>
      <c r="BH48">
        <f t="shared" si="5"/>
        <v>-6.1931623455317261E-2</v>
      </c>
      <c r="BI48">
        <f t="shared" si="7"/>
        <v>-1.4034950882076937E-2</v>
      </c>
      <c r="BJ48">
        <f t="shared" si="6"/>
        <v>-1.3298674860629542E-2</v>
      </c>
    </row>
    <row r="49" spans="1:64" ht="15.6" x14ac:dyDescent="0.35">
      <c r="B49" s="1" t="s">
        <v>19</v>
      </c>
      <c r="C49" s="1">
        <f>SUM(C44:C48)</f>
        <v>451</v>
      </c>
      <c r="D49" s="1">
        <f>SUM(D44:D48)</f>
        <v>147</v>
      </c>
      <c r="E49" s="1">
        <f>SUM(E44:E48)</f>
        <v>721</v>
      </c>
      <c r="F49" s="1">
        <f>SUM(F44:F48)</f>
        <v>614</v>
      </c>
      <c r="G49" s="1">
        <f>SUM(G44:G48)</f>
        <v>903</v>
      </c>
      <c r="H49" s="1">
        <f>SUM(H43:H48)</f>
        <v>2836</v>
      </c>
      <c r="I49" s="13" t="s">
        <v>12</v>
      </c>
      <c r="N49" s="16" t="s">
        <v>36</v>
      </c>
      <c r="O49" s="1">
        <f>SUM(O44:O48)</f>
        <v>0</v>
      </c>
      <c r="P49" s="1">
        <f>SUM(P44:P48)</f>
        <v>0</v>
      </c>
      <c r="S49" s="66" t="s">
        <v>39</v>
      </c>
      <c r="T49" s="67">
        <f t="shared" si="8"/>
        <v>0</v>
      </c>
      <c r="U49" s="67">
        <f t="shared" si="8"/>
        <v>4.9233291508097121</v>
      </c>
      <c r="V49" s="67">
        <f t="shared" si="8"/>
        <v>0.26693587656079765</v>
      </c>
      <c r="W49" s="67">
        <f t="shared" si="8"/>
        <v>0.98037057419020823</v>
      </c>
      <c r="X49" s="67">
        <f t="shared" si="8"/>
        <v>3.5235534435250848</v>
      </c>
      <c r="AC49" t="s">
        <v>133</v>
      </c>
      <c r="AD49" s="51">
        <v>0.91537376586741803</v>
      </c>
      <c r="AE49" s="51">
        <v>0.94300361966417001</v>
      </c>
      <c r="AH49">
        <v>978</v>
      </c>
      <c r="AI49">
        <v>989</v>
      </c>
      <c r="BF49" s="51">
        <v>0.94920992467741283</v>
      </c>
      <c r="BG49" s="1">
        <v>11</v>
      </c>
      <c r="BH49">
        <f t="shared" si="5"/>
        <v>6.1931623455317261E-2</v>
      </c>
      <c r="BI49">
        <f t="shared" si="7"/>
        <v>1.4034950882076937E-2</v>
      </c>
      <c r="BJ49">
        <f t="shared" si="6"/>
        <v>1.3322114669627438E-2</v>
      </c>
    </row>
    <row r="50" spans="1:64" x14ac:dyDescent="0.3">
      <c r="A50" s="1" t="s">
        <v>316</v>
      </c>
      <c r="B50" s="1" t="s">
        <v>2</v>
      </c>
      <c r="C50" s="10">
        <f>C44/C49</f>
        <v>1</v>
      </c>
      <c r="D50" s="10">
        <f>D45/D49</f>
        <v>0.37414965986394561</v>
      </c>
      <c r="E50" s="10">
        <f>E46/E49</f>
        <v>0.98474341192787795</v>
      </c>
      <c r="F50" s="10">
        <f>F47/F49</f>
        <v>0.89576547231270354</v>
      </c>
      <c r="G50" s="10">
        <f>G48/G49</f>
        <v>0.95681063122923593</v>
      </c>
      <c r="H50" s="10"/>
      <c r="I50" s="14">
        <f>(C44+D45+E46+F47+G48)/H49</f>
        <v>0.92736248236953456</v>
      </c>
      <c r="S50" s="15" t="s">
        <v>31</v>
      </c>
      <c r="T50" s="71">
        <f>I113</f>
        <v>100</v>
      </c>
      <c r="U50" s="71">
        <f>I114</f>
        <v>96.491228070175438</v>
      </c>
      <c r="V50" s="71">
        <f>I115</f>
        <v>97.557666214382635</v>
      </c>
      <c r="W50" s="71">
        <f>I116</f>
        <v>94.329896907216479</v>
      </c>
      <c r="X50" s="71">
        <f>I117</f>
        <v>84.737363726461851</v>
      </c>
      <c r="AC50" t="s">
        <v>134</v>
      </c>
      <c r="AD50" s="51">
        <v>0.91537376586741803</v>
      </c>
      <c r="AE50" s="51">
        <v>0.946374960857571</v>
      </c>
      <c r="AH50">
        <v>1007</v>
      </c>
      <c r="AI50">
        <v>1018</v>
      </c>
      <c r="BF50" s="51">
        <v>0.94971000518303206</v>
      </c>
      <c r="BG50" s="1">
        <v>12</v>
      </c>
      <c r="BH50">
        <f t="shared" si="5"/>
        <v>0.18675612106373712</v>
      </c>
      <c r="BI50">
        <f t="shared" si="7"/>
        <v>4.2322691378304626E-2</v>
      </c>
      <c r="BJ50">
        <f t="shared" si="6"/>
        <v>4.0194283448249553E-2</v>
      </c>
    </row>
    <row r="51" spans="1:64" x14ac:dyDescent="0.3">
      <c r="B51" s="1" t="s">
        <v>14</v>
      </c>
      <c r="C51" s="11">
        <f>1-C50</f>
        <v>0</v>
      </c>
      <c r="D51" s="11">
        <f>1-D50</f>
        <v>0.62585034013605445</v>
      </c>
      <c r="E51" s="11">
        <f>1-E50</f>
        <v>1.5256588072122046E-2</v>
      </c>
      <c r="F51" s="11">
        <f>1-F50</f>
        <v>0.10423452768729646</v>
      </c>
      <c r="G51" s="11">
        <f>1-G50</f>
        <v>4.3189368770764069E-2</v>
      </c>
      <c r="S51" s="75" t="s">
        <v>39</v>
      </c>
      <c r="T51" s="76">
        <f>J113</f>
        <v>0</v>
      </c>
      <c r="U51" s="76">
        <f>J114</f>
        <v>2.4588241692166148</v>
      </c>
      <c r="V51" s="76">
        <f>J115</f>
        <v>0.56897646499591747</v>
      </c>
      <c r="W51" s="76">
        <f>J116</f>
        <v>0.95947152711900763</v>
      </c>
      <c r="X51" s="76">
        <f>J117</f>
        <v>1.1327184787574289</v>
      </c>
      <c r="AC51" t="s">
        <v>135</v>
      </c>
      <c r="AD51" s="51">
        <v>0.92630465444287702</v>
      </c>
      <c r="AE51" s="51">
        <v>0.95136059906857096</v>
      </c>
      <c r="AH51">
        <v>1036</v>
      </c>
      <c r="AI51">
        <v>1047</v>
      </c>
      <c r="BF51" s="51">
        <v>0.94981787164071751</v>
      </c>
      <c r="BG51" s="1">
        <v>13</v>
      </c>
      <c r="BH51">
        <f t="shared" si="5"/>
        <v>0.31457229183888502</v>
      </c>
      <c r="BI51">
        <f t="shared" si="7"/>
        <v>7.1288405155509674E-2</v>
      </c>
      <c r="BJ51">
        <f t="shared" si="6"/>
        <v>6.7711001257467346E-2</v>
      </c>
    </row>
    <row r="52" spans="1:64" x14ac:dyDescent="0.3">
      <c r="C52" s="2"/>
      <c r="S52" s="66" t="s">
        <v>51</v>
      </c>
      <c r="T52" s="67">
        <f>N102*100</f>
        <v>100</v>
      </c>
      <c r="U52" s="67">
        <f>N103*100</f>
        <v>67.901234567901241</v>
      </c>
      <c r="V52" s="67">
        <f>N104*100</f>
        <v>96.965610249494262</v>
      </c>
      <c r="W52" s="67">
        <f>N105*100</f>
        <v>89.413680781758956</v>
      </c>
      <c r="X52" s="67">
        <f>N106*100</f>
        <v>90.142329994728527</v>
      </c>
      <c r="AC52" t="s">
        <v>136</v>
      </c>
      <c r="AD52" s="51">
        <v>0.91784203102961903</v>
      </c>
      <c r="AE52" s="51">
        <v>0.94414387233830199</v>
      </c>
      <c r="AH52">
        <v>1065</v>
      </c>
      <c r="AI52">
        <v>1076</v>
      </c>
      <c r="BF52" s="51">
        <v>0.95038322215444082</v>
      </c>
      <c r="BG52" s="1">
        <v>14</v>
      </c>
      <c r="BH52">
        <f t="shared" si="5"/>
        <v>0.44776751848294888</v>
      </c>
      <c r="BI52">
        <f t="shared" si="7"/>
        <v>0.10147312112739562</v>
      </c>
      <c r="BJ52">
        <f t="shared" si="6"/>
        <v>9.6438351819122109E-2</v>
      </c>
    </row>
    <row r="53" spans="1:64" ht="15.6" x14ac:dyDescent="0.35">
      <c r="A53" t="s">
        <v>317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61</v>
      </c>
      <c r="S53" t="s">
        <v>9</v>
      </c>
      <c r="T53" s="30">
        <f>N113</f>
        <v>197.85</v>
      </c>
      <c r="U53" s="30">
        <f>N114</f>
        <v>1395.41</v>
      </c>
      <c r="V53" s="30">
        <f>N115</f>
        <v>48203.3</v>
      </c>
      <c r="W53" s="30">
        <f>N116</f>
        <v>25636.57</v>
      </c>
      <c r="X53" s="30">
        <f>N117</f>
        <v>7530.05</v>
      </c>
      <c r="Z53" t="s">
        <v>36</v>
      </c>
      <c r="AA53" s="1">
        <f>N118</f>
        <v>82963.180000000008</v>
      </c>
      <c r="AC53" t="s">
        <v>137</v>
      </c>
      <c r="AD53" s="51">
        <v>0.922425952045134</v>
      </c>
      <c r="AE53" s="51">
        <v>0.94540568738133801</v>
      </c>
      <c r="AH53">
        <v>1094</v>
      </c>
      <c r="AI53">
        <v>1105</v>
      </c>
      <c r="BF53" s="51">
        <v>0.95054121275792081</v>
      </c>
      <c r="BG53" s="1">
        <v>15</v>
      </c>
      <c r="BH53">
        <f t="shared" si="5"/>
        <v>0.58945579784977842</v>
      </c>
      <c r="BI53">
        <f t="shared" si="7"/>
        <v>0.13358253358150615</v>
      </c>
      <c r="BJ53">
        <f t="shared" si="6"/>
        <v>0.12697570347384055</v>
      </c>
    </row>
    <row r="54" spans="1:64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318</v>
      </c>
      <c r="S54" t="s">
        <v>63</v>
      </c>
      <c r="T54" s="57">
        <f>$AA53*T46/100</f>
        <v>197.84999999999997</v>
      </c>
      <c r="U54" s="57">
        <f>$AA53*U46/100</f>
        <v>1719.5924477944118</v>
      </c>
      <c r="V54" s="57">
        <f>$AA53*V46/100</f>
        <v>47517.65181091796</v>
      </c>
      <c r="W54" s="57">
        <f>$AA53*W46/100</f>
        <v>25544.210318102614</v>
      </c>
      <c r="X54" s="57">
        <f>$AA53*X46/100</f>
        <v>7983.8754231850216</v>
      </c>
      <c r="Z54" t="s">
        <v>36</v>
      </c>
      <c r="AA54" s="25">
        <f>SUM(T54:X54)</f>
        <v>82963.180000000008</v>
      </c>
      <c r="AC54" t="s">
        <v>138</v>
      </c>
      <c r="AD54" s="51">
        <v>0.92383638928067702</v>
      </c>
      <c r="AE54" s="51">
        <v>0.95100421908983801</v>
      </c>
      <c r="AH54">
        <v>1123</v>
      </c>
      <c r="AI54">
        <v>1134</v>
      </c>
      <c r="BF54" s="51">
        <v>0.95123766620580075</v>
      </c>
      <c r="BG54" s="1">
        <v>16</v>
      </c>
      <c r="BH54">
        <f t="shared" si="5"/>
        <v>0.74414274222016763</v>
      </c>
      <c r="BI54">
        <f t="shared" si="7"/>
        <v>0.16863770483667825</v>
      </c>
      <c r="BJ54">
        <f t="shared" si="6"/>
        <v>0.16041453678314449</v>
      </c>
    </row>
    <row r="55" spans="1:64" x14ac:dyDescent="0.3">
      <c r="A55" t="s">
        <v>3</v>
      </c>
      <c r="B55" s="13">
        <v>0</v>
      </c>
      <c r="C55" s="29">
        <f>(C44/$L55)*$O55</f>
        <v>0.24554263161770903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0.24554263161770903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451</v>
      </c>
      <c r="M55">
        <v>0</v>
      </c>
      <c r="N55" s="1">
        <v>203.71</v>
      </c>
      <c r="O55" s="17">
        <f>N55/N60*100</f>
        <v>0.24554263161770903</v>
      </c>
      <c r="P55" s="52">
        <f>((O55*O55*(I55/100)*(K55/100))/(L55-1))</f>
        <v>0</v>
      </c>
      <c r="R55" s="66"/>
      <c r="S55" s="66" t="s">
        <v>62</v>
      </c>
      <c r="T55" s="67">
        <f>$AA53*T47/100</f>
        <v>0</v>
      </c>
      <c r="U55" s="67">
        <f>$AA53*U47/100</f>
        <v>61.670956598740005</v>
      </c>
      <c r="V55" s="67">
        <f>$AA53*V47/100</f>
        <v>301.13044903666838</v>
      </c>
      <c r="W55" s="67">
        <f>$AA53*W47/100</f>
        <v>333.36886223158314</v>
      </c>
      <c r="X55" s="67">
        <f>$AA53*X47/100</f>
        <v>291.75782791020157</v>
      </c>
      <c r="AA55" s="1"/>
      <c r="AC55" t="s">
        <v>139</v>
      </c>
      <c r="AD55" s="51">
        <v>0.92665726375176305</v>
      </c>
      <c r="AE55" s="51">
        <v>0.94635182045344102</v>
      </c>
      <c r="AH55">
        <v>1152</v>
      </c>
      <c r="AI55">
        <v>1163</v>
      </c>
      <c r="BF55" s="51">
        <v>0.9515114339582581</v>
      </c>
      <c r="BG55" s="1">
        <v>17</v>
      </c>
      <c r="BH55">
        <f t="shared" si="5"/>
        <v>0.91913552204621074</v>
      </c>
      <c r="BI55">
        <f t="shared" si="7"/>
        <v>0.20829458661289388</v>
      </c>
      <c r="BJ55">
        <f t="shared" si="6"/>
        <v>0.19819468079377725</v>
      </c>
    </row>
    <row r="56" spans="1:64" x14ac:dyDescent="0.3">
      <c r="A56" t="s">
        <v>4</v>
      </c>
      <c r="B56" s="13">
        <v>1</v>
      </c>
      <c r="C56" s="33">
        <f t="shared" ref="C56:G59" si="9">(C45/$L56)*$O56</f>
        <v>0</v>
      </c>
      <c r="D56" s="34">
        <f t="shared" si="9"/>
        <v>1.4551634285036532</v>
      </c>
      <c r="E56" s="19">
        <f t="shared" si="9"/>
        <v>5.2915033763769201E-2</v>
      </c>
      <c r="F56" s="18">
        <f t="shared" si="9"/>
        <v>0</v>
      </c>
      <c r="G56" s="20">
        <f t="shared" si="9"/>
        <v>0</v>
      </c>
      <c r="H56" s="17">
        <f>SUM(C56:G56)</f>
        <v>1.5080784622674224</v>
      </c>
      <c r="I56" s="17">
        <f>D56/H56*100</f>
        <v>96.491228070175438</v>
      </c>
      <c r="J56" s="17">
        <f>SQRT(I56*(100-I56)/(L56-1))</f>
        <v>2.4588241692166148</v>
      </c>
      <c r="K56" s="18">
        <f>100-I56</f>
        <v>3.5087719298245617</v>
      </c>
      <c r="L56" s="1">
        <f>H45</f>
        <v>57</v>
      </c>
      <c r="M56">
        <v>1</v>
      </c>
      <c r="N56" s="1">
        <v>1251.1500000000001</v>
      </c>
      <c r="O56" s="17">
        <f>N56/N60*100</f>
        <v>1.5080784622674224</v>
      </c>
      <c r="P56" s="52">
        <f>((O56*O56*(I56/100)*(K56/100))/(L56-1))</f>
        <v>1.3750003919834458E-3</v>
      </c>
      <c r="R56" t="s">
        <v>71</v>
      </c>
      <c r="S56" t="s">
        <v>28</v>
      </c>
      <c r="T56" s="57">
        <f t="shared" ref="T56:X59" si="10">C147</f>
        <v>0.25465510668044467</v>
      </c>
      <c r="U56" s="57">
        <f t="shared" si="10"/>
        <v>2.2373727184176593</v>
      </c>
      <c r="V56" s="57">
        <f t="shared" si="10"/>
        <v>56.969416545844759</v>
      </c>
      <c r="W56" s="57">
        <f t="shared" si="10"/>
        <v>31.003879225567648</v>
      </c>
      <c r="X56" s="57">
        <f t="shared" si="10"/>
        <v>9.5346764034894989</v>
      </c>
      <c r="Y56" s="13"/>
      <c r="Z56" s="74"/>
      <c r="AA56" s="12"/>
      <c r="AC56" t="s">
        <v>140</v>
      </c>
      <c r="AD56" s="51">
        <v>0.92454160789844797</v>
      </c>
      <c r="AE56" s="51">
        <v>0.94779652385972701</v>
      </c>
      <c r="AH56">
        <v>1181</v>
      </c>
      <c r="AI56">
        <v>1192</v>
      </c>
      <c r="BF56" s="56">
        <v>0.95266675401840817</v>
      </c>
      <c r="BG56" s="1">
        <v>18</v>
      </c>
      <c r="BH56">
        <f t="shared" si="5"/>
        <v>1.1281436452787641</v>
      </c>
      <c r="BI56">
        <f t="shared" si="7"/>
        <v>0.25566002901309814</v>
      </c>
      <c r="BJ56">
        <f t="shared" si="6"/>
        <v>0.24355880997216026</v>
      </c>
    </row>
    <row r="57" spans="1:64" x14ac:dyDescent="0.3">
      <c r="A57" t="s">
        <v>5</v>
      </c>
      <c r="B57" s="13">
        <v>2</v>
      </c>
      <c r="C57" s="33">
        <f t="shared" si="9"/>
        <v>0</v>
      </c>
      <c r="D57" s="19">
        <f t="shared" si="9"/>
        <v>7.8599717666583593E-2</v>
      </c>
      <c r="E57" s="34">
        <f t="shared" si="9"/>
        <v>55.805799543274354</v>
      </c>
      <c r="F57" s="19">
        <f t="shared" si="9"/>
        <v>1.1003960473321703</v>
      </c>
      <c r="G57" s="20">
        <f t="shared" si="9"/>
        <v>0.94319661199900318</v>
      </c>
      <c r="H57" s="17">
        <f>SUM(C57:G57)</f>
        <v>57.927991920272113</v>
      </c>
      <c r="I57" s="17">
        <f>E57/H57*100</f>
        <v>96.336499321573939</v>
      </c>
      <c r="J57" s="17">
        <f>SQRT(I57*(100-I57)/(L57-1))</f>
        <v>0.69247589683153088</v>
      </c>
      <c r="K57" s="18">
        <f>100-I57</f>
        <v>3.6635006784260611</v>
      </c>
      <c r="L57" s="1">
        <f>H46</f>
        <v>737</v>
      </c>
      <c r="M57">
        <v>2</v>
      </c>
      <c r="N57" s="1">
        <v>48058.91</v>
      </c>
      <c r="O57" s="17">
        <f>N57/N60*100</f>
        <v>57.927991920272113</v>
      </c>
      <c r="P57" s="52">
        <f>((O57*O57*(I57/100)*(K57/100))/(L57-1))</f>
        <v>0.16091119888994845</v>
      </c>
      <c r="S57" s="66" t="s">
        <v>39</v>
      </c>
      <c r="T57" s="67">
        <f t="shared" si="10"/>
        <v>0</v>
      </c>
      <c r="U57" s="67">
        <f t="shared" si="10"/>
        <v>8.2059635304782247E-2</v>
      </c>
      <c r="V57" s="67">
        <f t="shared" si="10"/>
        <v>0.40893070259382086</v>
      </c>
      <c r="W57" s="67">
        <f t="shared" si="10"/>
        <v>0.42920374449495646</v>
      </c>
      <c r="X57" s="67">
        <f t="shared" si="10"/>
        <v>0.35027152427325314</v>
      </c>
      <c r="AC57" t="s">
        <v>141</v>
      </c>
      <c r="AD57" s="51">
        <v>0.92101551480959098</v>
      </c>
      <c r="AE57" s="51">
        <v>0.94912475379116401</v>
      </c>
      <c r="AH57">
        <v>1210</v>
      </c>
      <c r="AI57">
        <v>1221</v>
      </c>
      <c r="BF57" s="51">
        <v>0.95275507013242633</v>
      </c>
      <c r="BG57" s="27">
        <v>19</v>
      </c>
      <c r="BH57" s="84">
        <f t="shared" si="5"/>
        <v>1.4034126358514019</v>
      </c>
      <c r="BI57" s="84">
        <f>-3.562633*($BL$38)^5+5.682633*($BL$38)^4-1.752461*($BL$38)^3-0.293762*($BL$38)^2+0.042981*$BL$38+BH57*($BL$39^-0.5)</f>
        <v>0.32175145499838514</v>
      </c>
      <c r="BJ57">
        <f t="shared" si="6"/>
        <v>0.30655033007219668</v>
      </c>
    </row>
    <row r="58" spans="1:64" x14ac:dyDescent="0.3">
      <c r="A58" t="s">
        <v>6</v>
      </c>
      <c r="B58" s="13">
        <v>3</v>
      </c>
      <c r="C58" s="33">
        <f t="shared" si="9"/>
        <v>0</v>
      </c>
      <c r="D58" s="19">
        <f t="shared" si="9"/>
        <v>0</v>
      </c>
      <c r="E58" s="19">
        <f t="shared" si="9"/>
        <v>0.26238968833057541</v>
      </c>
      <c r="F58" s="34">
        <f t="shared" si="9"/>
        <v>28.862865716363292</v>
      </c>
      <c r="G58" s="20">
        <f t="shared" si="9"/>
        <v>1.416904316985107</v>
      </c>
      <c r="H58" s="17">
        <f>SUM(C58:G58)</f>
        <v>30.542159721678974</v>
      </c>
      <c r="I58" s="17">
        <f>F58/H58*100</f>
        <v>94.50171821305841</v>
      </c>
      <c r="J58" s="17">
        <f>SQRT(I58*(100-I58)/(L58-1))</f>
        <v>0.94568234896218317</v>
      </c>
      <c r="K58" s="18">
        <f>100-I58</f>
        <v>5.4982817869415896</v>
      </c>
      <c r="L58" s="1">
        <f>H47</f>
        <v>582</v>
      </c>
      <c r="M58">
        <v>3</v>
      </c>
      <c r="N58" s="1">
        <v>25338.75</v>
      </c>
      <c r="O58" s="17">
        <f>N58/N60*100</f>
        <v>30.542159721678974</v>
      </c>
      <c r="P58" s="52">
        <f>((O58*O58*(I58/100)*(K58/100))/(L58-1))</f>
        <v>8.3423816478004273E-2</v>
      </c>
      <c r="S58" t="s">
        <v>30</v>
      </c>
      <c r="T58" s="57">
        <f t="shared" si="10"/>
        <v>100</v>
      </c>
      <c r="U58" s="57">
        <f t="shared" si="10"/>
        <v>66.993689399350174</v>
      </c>
      <c r="V58" s="57">
        <f t="shared" si="10"/>
        <v>98.711723711004169</v>
      </c>
      <c r="W58" s="57">
        <f t="shared" si="10"/>
        <v>94.812715329815205</v>
      </c>
      <c r="X58" s="57">
        <f t="shared" si="10"/>
        <v>80.437494709099042</v>
      </c>
      <c r="AC58" t="s">
        <v>142</v>
      </c>
      <c r="AD58" s="51">
        <v>0.92348377997179099</v>
      </c>
      <c r="AE58" s="51">
        <v>0.94984724566104495</v>
      </c>
      <c r="AH58">
        <v>1239</v>
      </c>
      <c r="AI58">
        <v>1250</v>
      </c>
      <c r="BF58" s="120">
        <v>0.95384517171065963</v>
      </c>
      <c r="BG58" s="27">
        <v>20</v>
      </c>
      <c r="BH58" s="84">
        <f t="shared" si="5"/>
        <v>1.8682416548639302</v>
      </c>
      <c r="BI58" s="84">
        <f>-2.70605*($BL$38)^5+4.4334685*($BL$38)^4-2.07119*($BL$38)^3-0.147981*($BL$38)^2+0.221157*$BL$38+BH58*($BL$39^-0.5)</f>
        <v>0.47336806621893501</v>
      </c>
      <c r="BJ58">
        <f t="shared" si="6"/>
        <v>0.45151984440494297</v>
      </c>
    </row>
    <row r="59" spans="1:64" x14ac:dyDescent="0.3">
      <c r="A59" t="s">
        <v>7</v>
      </c>
      <c r="B59" s="13">
        <v>4</v>
      </c>
      <c r="C59" s="35">
        <f t="shared" si="9"/>
        <v>0</v>
      </c>
      <c r="D59" s="36">
        <f t="shared" si="9"/>
        <v>0.88170136872042038</v>
      </c>
      <c r="E59" s="21">
        <f t="shared" si="9"/>
        <v>3.8756104119578916E-2</v>
      </c>
      <c r="F59" s="21">
        <f t="shared" si="9"/>
        <v>0.48445130149473642</v>
      </c>
      <c r="G59" s="37">
        <f t="shared" si="9"/>
        <v>8.3713184898290454</v>
      </c>
      <c r="H59" s="17">
        <f>SUM(C59:G59)</f>
        <v>9.7762272641637811</v>
      </c>
      <c r="I59" s="17">
        <f>G59/H59*100</f>
        <v>85.629335976214065</v>
      </c>
      <c r="J59" s="17">
        <f>SQRT(I59*(100-I59)/(L59-1))</f>
        <v>1.1048910103427256</v>
      </c>
      <c r="K59" s="18">
        <f>100-I59</f>
        <v>14.370664023785935</v>
      </c>
      <c r="L59" s="1">
        <f>H48</f>
        <v>1009</v>
      </c>
      <c r="M59">
        <v>4</v>
      </c>
      <c r="N59" s="1">
        <v>8110.67</v>
      </c>
      <c r="O59" s="17">
        <f>N59/N60*100</f>
        <v>9.7762272641637811</v>
      </c>
      <c r="P59" s="52">
        <f>((O59*O59*(I59/100)*(K59/100))/(L59-1))</f>
        <v>1.1667598014991506E-2</v>
      </c>
      <c r="S59" s="66" t="s">
        <v>39</v>
      </c>
      <c r="T59" s="67">
        <f t="shared" si="10"/>
        <v>0</v>
      </c>
      <c r="U59" s="67">
        <f t="shared" si="10"/>
        <v>4.5829167713972963</v>
      </c>
      <c r="V59" s="67">
        <f t="shared" si="10"/>
        <v>0.33562123650497055</v>
      </c>
      <c r="W59" s="67">
        <f t="shared" si="10"/>
        <v>1.0496906410086826</v>
      </c>
      <c r="X59" s="67">
        <f t="shared" si="10"/>
        <v>3.4965808141324146</v>
      </c>
      <c r="AC59" t="s">
        <v>143</v>
      </c>
      <c r="AD59" s="51">
        <v>0.91078984485190395</v>
      </c>
      <c r="AE59" s="51">
        <v>0.94154158272160904</v>
      </c>
      <c r="AH59">
        <v>1268</v>
      </c>
      <c r="AI59">
        <v>1279</v>
      </c>
      <c r="BI59" t="s">
        <v>342</v>
      </c>
      <c r="BJ59">
        <f>SUM(BJ39:BJ58)</f>
        <v>1.829665514329637E-2</v>
      </c>
    </row>
    <row r="60" spans="1:64" x14ac:dyDescent="0.3">
      <c r="B60" t="s">
        <v>28</v>
      </c>
      <c r="C60" s="17">
        <f>SUM(C55:C59)</f>
        <v>0.24554263161770903</v>
      </c>
      <c r="D60" s="17">
        <f>SUM(D55:D59)</f>
        <v>2.4154645148906573</v>
      </c>
      <c r="E60" s="17">
        <f>SUM(E55:E59)</f>
        <v>56.159860369488278</v>
      </c>
      <c r="F60" s="17">
        <f>SUM(F55:F59)</f>
        <v>30.4477130651902</v>
      </c>
      <c r="G60" s="17">
        <f>SUM(G55:G59)</f>
        <v>10.731419418813156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82963.19</v>
      </c>
      <c r="O60" s="17">
        <f>SUM(O55:O59)</f>
        <v>100</v>
      </c>
      <c r="S60" s="15" t="s">
        <v>31</v>
      </c>
      <c r="T60" s="71">
        <f>I142</f>
        <v>100</v>
      </c>
      <c r="U60" s="71">
        <f>I143</f>
        <v>98.245614035087726</v>
      </c>
      <c r="V60" s="71">
        <f>I144</f>
        <v>97.014925373134332</v>
      </c>
      <c r="W60" s="71">
        <f>I145</f>
        <v>93.986254295532646</v>
      </c>
      <c r="X60" s="71">
        <f>I146</f>
        <v>85.431119920713584</v>
      </c>
      <c r="AC60" t="s">
        <v>144</v>
      </c>
      <c r="AD60" s="51">
        <v>0.91678420310296105</v>
      </c>
      <c r="AE60" s="51">
        <v>0.95349481405668501</v>
      </c>
      <c r="AH60">
        <v>1297</v>
      </c>
      <c r="AI60">
        <v>1308</v>
      </c>
    </row>
    <row r="61" spans="1:64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0</v>
      </c>
      <c r="D61" s="18">
        <f>SQRT(SUM((O55*O55*(D55/O55)*(1-D55/O55))/L55,(O56*O56*(D56/O56)*(1-D56/O56))/L56,(O57*O57*(D57/O57)*(1-D57/O57))/L57,(O58*O58*(D58/O58)*(1-D58/O58))/L58,(O59*O59*(D59/O59)*(1-D59/O59))/L59))</f>
        <v>0.12366396020788929</v>
      </c>
      <c r="E61" s="18">
        <f>SQRT(SUM((O55*O55*(E55/O55)*(1-E55/O55))/L55,(O56*O56*(E56/O56)*(1-E56/O56))/L56,(O57*O57*(E57/O57)*(1-E57/O57))/L57,(O58*O58*(E58/O58)*(1-E58/O58))/L58,(O59*O59*(E59/O59)*(1-E59/O59))/L59))</f>
        <v>0.41960593133331825</v>
      </c>
      <c r="F61" s="18">
        <f>SQRT(SUM((O55*O55*(F55/O55)*(1-F55/O55))/L55,(O56*O56*(F56/O56)*(1-F56/O56))/L56,(O57*O57*(F57/O57)*(1-F57/O57))/L57,(O58*O58*(F58/O58)*(1-F58/O58))/L58,(O59*O59*(F59/O59)*(1-F59/O59))/L59))</f>
        <v>0.41543902482110884</v>
      </c>
      <c r="G61" s="18">
        <f>SQRT(SUM((O55*O55*(G55/O55)*(1-G55/O55))/L55,(O56*O56*(G56/O56)*(1-G56/O56))/L56,(O57*O57*(G57/O57)*(1-G57/O57))/L57,(O58*O58*(G58/O58)*(1-G58/O58))/L58,(O59*O59*(G59/O59)*(1-G59/O59))/L59))</f>
        <v>0.39432301551338012</v>
      </c>
      <c r="H61" s="1"/>
      <c r="I61" s="14">
        <f>(C55+D56+E57+F58+G59)/H60</f>
        <v>0.94740689809588063</v>
      </c>
      <c r="J61" s="53">
        <f>SQRT(SUM(P55:P59))/100</f>
        <v>5.0732397319161616E-3</v>
      </c>
      <c r="M61" s="1"/>
      <c r="N61" s="9"/>
      <c r="S61" s="75" t="s">
        <v>39</v>
      </c>
      <c r="T61" s="76">
        <f>J142</f>
        <v>0</v>
      </c>
      <c r="U61" s="76">
        <f>J143</f>
        <v>1.7543859649122773</v>
      </c>
      <c r="V61" s="76">
        <f>J144</f>
        <v>0.62727498147894845</v>
      </c>
      <c r="W61" s="76">
        <f>J145</f>
        <v>0.98631726317118351</v>
      </c>
      <c r="X61" s="76">
        <f>J146</f>
        <v>1.1111965081506527</v>
      </c>
      <c r="AC61" t="s">
        <v>145</v>
      </c>
      <c r="AD61" s="51">
        <v>0.92136812411847602</v>
      </c>
      <c r="AE61" s="51">
        <v>0.94833947117249195</v>
      </c>
      <c r="AH61">
        <v>1326</v>
      </c>
      <c r="AI61">
        <v>1337</v>
      </c>
      <c r="BF61" s="82" t="s">
        <v>330</v>
      </c>
      <c r="BG61" s="1">
        <v>0.05</v>
      </c>
      <c r="BH61" s="59" t="s">
        <v>331</v>
      </c>
      <c r="BI61" s="1">
        <v>100</v>
      </c>
      <c r="BJ61" s="59" t="s">
        <v>332</v>
      </c>
      <c r="BK61" s="1">
        <f>_xlfn.VAR.S(BF64:BF163)*(BI61-1)</f>
        <v>1.345391709699859E-3</v>
      </c>
    </row>
    <row r="62" spans="1:64" x14ac:dyDescent="0.3">
      <c r="B62" s="1" t="s">
        <v>30</v>
      </c>
      <c r="C62" s="17">
        <f>C55/C60*100</f>
        <v>100</v>
      </c>
      <c r="D62" s="17">
        <f>D56/D60*100</f>
        <v>60.243626827592834</v>
      </c>
      <c r="E62" s="17">
        <f>E57/E60*100</f>
        <v>99.369548243381516</v>
      </c>
      <c r="F62" s="17">
        <f>F58/F60*100</f>
        <v>94.794855871658854</v>
      </c>
      <c r="G62" s="17">
        <f>G59/G60*100</f>
        <v>78.007560445856413</v>
      </c>
      <c r="H62" s="1"/>
      <c r="S62" s="66" t="s">
        <v>51</v>
      </c>
      <c r="T62" s="67">
        <f>N131*100</f>
        <v>100</v>
      </c>
      <c r="U62" s="67">
        <f>N132*100</f>
        <v>57.142857142857153</v>
      </c>
      <c r="V62" s="67">
        <f>N133*100</f>
        <v>97.146739130434796</v>
      </c>
      <c r="W62" s="67">
        <f>N134*100</f>
        <v>91.166666666666657</v>
      </c>
      <c r="X62" s="67">
        <f>N135*100</f>
        <v>90.641430073606742</v>
      </c>
      <c r="AC62" t="s">
        <v>146</v>
      </c>
      <c r="AD62" s="51">
        <v>0.912552891396332</v>
      </c>
      <c r="AE62" s="51">
        <v>0.94211834993783095</v>
      </c>
      <c r="AH62">
        <v>1355</v>
      </c>
      <c r="AI62">
        <v>1366</v>
      </c>
    </row>
    <row r="63" spans="1:64" ht="15.6" x14ac:dyDescent="0.35">
      <c r="B63" s="16" t="s">
        <v>39</v>
      </c>
      <c r="C63" s="18">
        <f>SQRT((C66+C67)/(C60*C60))</f>
        <v>0</v>
      </c>
      <c r="D63" s="18">
        <f>SQRT((D66+D67)/(D60*D60))</f>
        <v>6.7772792656016367</v>
      </c>
      <c r="E63" s="18">
        <f>SQRT((E66+E67)/(E60*E60))</f>
        <v>0.22431686674625617</v>
      </c>
      <c r="F63" s="18">
        <f>SQRT((F66+F67)/(F60*F60))</f>
        <v>1.0538711807867336</v>
      </c>
      <c r="G63" s="18">
        <f>SQRT((G66+G67)/(G60*G60))</f>
        <v>3.5372363095057842</v>
      </c>
      <c r="H63" s="1"/>
      <c r="R63" s="16" t="s">
        <v>61</v>
      </c>
      <c r="S63" t="s">
        <v>9</v>
      </c>
      <c r="T63" s="30">
        <f>N142</f>
        <v>211.27</v>
      </c>
      <c r="U63" s="30">
        <f>N143</f>
        <v>1265.74</v>
      </c>
      <c r="V63" s="30">
        <f>N144</f>
        <v>48090.29</v>
      </c>
      <c r="W63" s="30">
        <f>N145</f>
        <v>25947.99</v>
      </c>
      <c r="X63" s="30">
        <f>N146</f>
        <v>7447.9</v>
      </c>
      <c r="Z63" t="s">
        <v>36</v>
      </c>
      <c r="AA63" s="1">
        <f>N147</f>
        <v>82963.19</v>
      </c>
      <c r="AC63" t="s">
        <v>147</v>
      </c>
      <c r="AD63" s="51">
        <v>0.92207334273624797</v>
      </c>
      <c r="AE63" s="51">
        <v>0.94950788080716098</v>
      </c>
      <c r="AH63">
        <v>1384</v>
      </c>
      <c r="AI63">
        <v>1395</v>
      </c>
      <c r="BF63" s="12" t="s">
        <v>329</v>
      </c>
      <c r="BG63" s="13" t="s">
        <v>339</v>
      </c>
      <c r="BH63" s="13" t="s">
        <v>344</v>
      </c>
      <c r="BI63" s="13" t="s">
        <v>345</v>
      </c>
      <c r="BJ63" s="13" t="s">
        <v>346</v>
      </c>
      <c r="BK63" s="13" t="s">
        <v>340</v>
      </c>
      <c r="BL63">
        <f>1/(SQRT(BI61))</f>
        <v>0.1</v>
      </c>
    </row>
    <row r="64" spans="1:64" ht="15.6" x14ac:dyDescent="0.35">
      <c r="B64" s="1" t="s">
        <v>37</v>
      </c>
      <c r="C64" s="18">
        <f>100-C62</f>
        <v>0</v>
      </c>
      <c r="D64" s="18">
        <f>100-D62</f>
        <v>39.756373172407166</v>
      </c>
      <c r="E64" s="18">
        <f>100-E62</f>
        <v>0.63045175661848418</v>
      </c>
      <c r="F64" s="18">
        <f>100-F62</f>
        <v>5.2051441283411464</v>
      </c>
      <c r="G64" s="18">
        <f>100-G62</f>
        <v>21.992439554143587</v>
      </c>
      <c r="R64" s="16" t="s">
        <v>318</v>
      </c>
      <c r="S64" t="s">
        <v>63</v>
      </c>
      <c r="T64" s="57">
        <f>$AA63*T56/100</f>
        <v>211.27</v>
      </c>
      <c r="U64" s="57">
        <f>$AA63*U56/100</f>
        <v>1856.1957793890076</v>
      </c>
      <c r="V64" s="57">
        <f>$AA63*V56/100</f>
        <v>47263.645290820627</v>
      </c>
      <c r="W64" s="57">
        <f>$AA63*W56/100</f>
        <v>25721.807229278216</v>
      </c>
      <c r="X64" s="57">
        <f>$AA63*X56/100</f>
        <v>7910.2717005121604</v>
      </c>
      <c r="Z64" t="s">
        <v>36</v>
      </c>
      <c r="AA64" s="25">
        <f>SUM(T64:X64)</f>
        <v>82963.190000000017</v>
      </c>
      <c r="AC64" t="s">
        <v>148</v>
      </c>
      <c r="AD64" s="51">
        <v>0.92630465444287702</v>
      </c>
      <c r="AE64" s="51">
        <v>0.94628616306740998</v>
      </c>
      <c r="AH64">
        <v>1413</v>
      </c>
      <c r="AI64">
        <v>1424</v>
      </c>
      <c r="BF64" s="51">
        <v>0.93928544864962948</v>
      </c>
      <c r="BG64" s="27">
        <v>1</v>
      </c>
      <c r="BH64" s="84">
        <f>_xlfn.NORM.S.INV((BG64-0.375)/($BI$61+0.25))</f>
        <v>-2.4985905609622558</v>
      </c>
      <c r="BI64" s="84">
        <f>-BI163</f>
        <v>-0.27283801696664034</v>
      </c>
      <c r="BJ64">
        <f>BI64*BF64</f>
        <v>-0.25627277917518598</v>
      </c>
      <c r="BK64" s="13" t="s">
        <v>335</v>
      </c>
      <c r="BL64">
        <f>SUMSQ(BH64:BH163)</f>
        <v>96.875018496226488</v>
      </c>
    </row>
    <row r="65" spans="1:65" ht="15.6" x14ac:dyDescent="0.35">
      <c r="B65" s="1" t="s">
        <v>25</v>
      </c>
      <c r="C65" s="1">
        <f>C49</f>
        <v>451</v>
      </c>
      <c r="D65" s="1">
        <f>D49</f>
        <v>147</v>
      </c>
      <c r="E65" s="1">
        <f>E49</f>
        <v>721</v>
      </c>
      <c r="F65" s="1">
        <f>F49</f>
        <v>614</v>
      </c>
      <c r="G65" s="1">
        <f>G49</f>
        <v>903</v>
      </c>
      <c r="R65" s="66"/>
      <c r="S65" s="66" t="s">
        <v>62</v>
      </c>
      <c r="T65" s="67">
        <f>$AA63*T57/100</f>
        <v>0</v>
      </c>
      <c r="U65" s="67">
        <f>$AA63*U57/100</f>
        <v>68.079291151213567</v>
      </c>
      <c r="V65" s="67">
        <f>$AA63*V57/100</f>
        <v>339.26195576124655</v>
      </c>
      <c r="W65" s="67">
        <f>$AA63*W57/100</f>
        <v>356.08111803246533</v>
      </c>
      <c r="X65" s="67">
        <f>$AA63*X57/100</f>
        <v>290.59643019871515</v>
      </c>
      <c r="AA65" s="1"/>
      <c r="AC65" t="s">
        <v>149</v>
      </c>
      <c r="AD65" s="51">
        <v>0.92454160789844797</v>
      </c>
      <c r="AE65" s="51">
        <v>0.94706946173274598</v>
      </c>
      <c r="AH65">
        <v>1442</v>
      </c>
      <c r="AI65">
        <v>1453</v>
      </c>
      <c r="BF65" s="51">
        <v>0.93980134528367587</v>
      </c>
      <c r="BG65" s="27">
        <v>2</v>
      </c>
      <c r="BH65" s="84">
        <f>_xlfn.NORM.S.INV((BG65-0.375)/($BI$61+0.25))</f>
        <v>-2.1392064429859778</v>
      </c>
      <c r="BI65" s="84">
        <f>-BI162</f>
        <v>-0.21748422717250435</v>
      </c>
      <c r="BJ65">
        <f t="shared" ref="BJ65:BJ128" si="11">BI65*BF65</f>
        <v>-0.20439196927470016</v>
      </c>
      <c r="BK65" s="74" t="s">
        <v>341</v>
      </c>
      <c r="BL65">
        <f>(BL64-2*(BH163^2)-2*(BH162^2))/(1-2*(BI163^2)-2*(BI162^2))</f>
        <v>99.451032420132819</v>
      </c>
    </row>
    <row r="66" spans="1:65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217.32832803145467</v>
      </c>
      <c r="E66" s="18">
        <f>(O57*O57*(100-E62)*(100-E62)*(I57)*(100-I57))/((L57-1)*100)</f>
        <v>6.3957280479677783</v>
      </c>
      <c r="F66" s="18">
        <f>(O58*O58*(100-F62)*(100-F62)*(I58)*(100-I58))/((L58-1)*100)</f>
        <v>226.02452904451508</v>
      </c>
      <c r="G66" s="18">
        <f>(O59*O59*(100-G62)*(100-G62)*(I59)*(100-I59))/((L59-1)*100)</f>
        <v>564.3236767484841</v>
      </c>
      <c r="R66" t="s">
        <v>93</v>
      </c>
      <c r="S66" t="s">
        <v>28</v>
      </c>
      <c r="T66" s="57">
        <f>C176</f>
        <v>0.23837077624425962</v>
      </c>
      <c r="U66" s="57">
        <f t="shared" ref="U66:X69" si="12">D176</f>
        <v>2.8703434077721326</v>
      </c>
      <c r="V66" s="57">
        <f t="shared" si="12"/>
        <v>57.087836160123977</v>
      </c>
      <c r="W66" s="57">
        <f t="shared" si="12"/>
        <v>29.554314209183335</v>
      </c>
      <c r="X66" s="57">
        <f t="shared" si="12"/>
        <v>10.249135446676304</v>
      </c>
      <c r="Y66" s="13"/>
      <c r="Z66" s="74"/>
      <c r="AA66" s="12"/>
      <c r="AC66" t="s">
        <v>158</v>
      </c>
      <c r="AD66" s="51">
        <v>0.934767277856135</v>
      </c>
      <c r="AE66" s="51">
        <v>0.95204063433322805</v>
      </c>
      <c r="AH66" s="78"/>
      <c r="BF66" s="51">
        <v>0.94081039909184605</v>
      </c>
      <c r="BG66" s="1">
        <v>3</v>
      </c>
      <c r="BH66">
        <f>_xlfn.NORM.S.INV((BG66-0.375)/($BI$61+0.25))</f>
        <v>-1.9400873318827652</v>
      </c>
      <c r="BI66">
        <f>BH66/SQRT($BL$65)</f>
        <v>-0.19454345832260236</v>
      </c>
      <c r="BJ66">
        <f t="shared" si="11"/>
        <v>-0.18302850866519546</v>
      </c>
      <c r="BK66" s="74" t="s">
        <v>333</v>
      </c>
      <c r="BL66" s="48">
        <f>CORREL(BF64:BF163,BI64:BI163)^2</f>
        <v>0.99147498581196003</v>
      </c>
      <c r="BM66" s="48">
        <f>(BJ164^2)/BK61</f>
        <v>0.99147498581184079</v>
      </c>
    </row>
    <row r="67" spans="1:65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50.657659804109507</v>
      </c>
      <c r="E67" s="18">
        <f>E62*E62*(SUM((H55*E55*(1-E44/H44))/(H44-1),(H56*E56*(1-E45/H45))/(H45-1), (H58*E58*(1-E47/H47))/(H47-1),(H59*E59*(1-E48/H48))/(H48-1)))</f>
        <v>152.30389635102512</v>
      </c>
      <c r="F67" s="18">
        <f>F62*F62*(SUM((H55*F55*(1-F44/H44))/(H44-1),(H56*F56*(1-F45/H45))/(H45-1), (H57*F57*(1-F46/H46))/(H46-1),(H59*F59*(1-F48/H48))/(H48-1)))</f>
        <v>803.61311770204964</v>
      </c>
      <c r="G67" s="18">
        <f>G62*G62*(SUM((H55*G55*(1-G44/H44))/(H44-1),(H56*G56*(1-G45/H45))/(H45-1), (H57*G57*(1-G46/H46))/(H46-1),(H58*G58*(1-G47/H47))/(H47-1)))</f>
        <v>876.60500610370877</v>
      </c>
      <c r="S67" s="66" t="s">
        <v>39</v>
      </c>
      <c r="T67" s="67">
        <f>C177</f>
        <v>0</v>
      </c>
      <c r="U67" s="67">
        <f t="shared" si="12"/>
        <v>0.13446622672658179</v>
      </c>
      <c r="V67" s="67">
        <f t="shared" si="12"/>
        <v>0.39197654806403309</v>
      </c>
      <c r="W67" s="67">
        <f t="shared" si="12"/>
        <v>0.41875208496207628</v>
      </c>
      <c r="X67" s="67">
        <f t="shared" si="12"/>
        <v>0.40446719977846568</v>
      </c>
      <c r="AC67" t="s">
        <v>159</v>
      </c>
      <c r="AD67" s="51">
        <v>0.93124118476727702</v>
      </c>
      <c r="AE67" s="51">
        <v>0.95435025079908098</v>
      </c>
      <c r="AI67" s="78"/>
      <c r="BF67" s="51">
        <v>0.94148669604380342</v>
      </c>
      <c r="BG67" s="1">
        <v>4</v>
      </c>
      <c r="BH67">
        <f t="shared" ref="BH67:BH130" si="13">_xlfn.NORM.S.INV((BG67-0.375)/($BI$61+0.25))</f>
        <v>-1.7971034256260587</v>
      </c>
      <c r="BI67">
        <f t="shared" ref="BI67:BI130" si="14">BH67/SQRT($BL$65)</f>
        <v>-0.18020565860063845</v>
      </c>
      <c r="BJ67">
        <f t="shared" si="11"/>
        <v>-0.1696612301243127</v>
      </c>
      <c r="BK67" s="74" t="s">
        <v>73</v>
      </c>
      <c r="BL67">
        <f>0.0038915*(LN(BI61)^3)-0.083751*(LN(BI61)^2)-0.31082*LN(BI61)-1.5861</f>
        <v>-4.4135743881998408</v>
      </c>
    </row>
    <row r="68" spans="1:65" x14ac:dyDescent="0.3">
      <c r="S68" t="s">
        <v>30</v>
      </c>
      <c r="T68" s="57">
        <f>C178</f>
        <v>100</v>
      </c>
      <c r="U68" s="57">
        <f t="shared" si="12"/>
        <v>53.325424558002979</v>
      </c>
      <c r="V68" s="57">
        <f t="shared" si="12"/>
        <v>98.893713483239793</v>
      </c>
      <c r="W68" s="57">
        <f t="shared" si="12"/>
        <v>95.567792995642122</v>
      </c>
      <c r="X68" s="57">
        <f t="shared" si="12"/>
        <v>74.923286056004031</v>
      </c>
      <c r="AC68" t="s">
        <v>160</v>
      </c>
      <c r="AD68" s="51">
        <v>0.924894217207334</v>
      </c>
      <c r="AE68" s="51">
        <v>0.94380129662421397</v>
      </c>
      <c r="AH68" s="2"/>
      <c r="AI68" s="2"/>
      <c r="BF68" s="51">
        <v>0.94151742483060796</v>
      </c>
      <c r="BG68" s="1">
        <v>5</v>
      </c>
      <c r="BH68">
        <f t="shared" si="13"/>
        <v>-1.68354659767802</v>
      </c>
      <c r="BI68">
        <f t="shared" si="14"/>
        <v>-0.16881867737453188</v>
      </c>
      <c r="BJ68">
        <f t="shared" si="11"/>
        <v>-0.15894572638497848</v>
      </c>
      <c r="BK68" s="74" t="s">
        <v>347</v>
      </c>
      <c r="BL68">
        <f>EXP(0.0030301*(LN(BI61)^2)-0.082676*LN(BI61)-0.4803)</f>
        <v>0.45077997247289642</v>
      </c>
    </row>
    <row r="69" spans="1:65" x14ac:dyDescent="0.3">
      <c r="S69" s="66" t="s">
        <v>39</v>
      </c>
      <c r="T69" s="67">
        <f>C179</f>
        <v>0</v>
      </c>
      <c r="U69" s="67">
        <f t="shared" si="12"/>
        <v>6.7791880957614641</v>
      </c>
      <c r="V69" s="67">
        <f t="shared" si="12"/>
        <v>0.29225502284602756</v>
      </c>
      <c r="W69" s="67">
        <f t="shared" si="12"/>
        <v>0.96820767014607934</v>
      </c>
      <c r="X69" s="67">
        <f t="shared" si="12"/>
        <v>4.0732322292332039</v>
      </c>
      <c r="AC69" t="s">
        <v>161</v>
      </c>
      <c r="AD69" s="51">
        <v>0.91431593794076105</v>
      </c>
      <c r="AE69" s="51">
        <v>0.94491558323103098</v>
      </c>
      <c r="BF69" s="51">
        <v>0.94154158272160904</v>
      </c>
      <c r="BG69" s="1">
        <v>6</v>
      </c>
      <c r="BH69">
        <f t="shared" si="13"/>
        <v>-1.5882958682169486</v>
      </c>
      <c r="BI69">
        <f t="shared" si="14"/>
        <v>-0.15926735150760582</v>
      </c>
      <c r="BJ69">
        <f t="shared" si="11"/>
        <v>-0.14995683421435002</v>
      </c>
      <c r="BK69" s="74" t="s">
        <v>343</v>
      </c>
      <c r="BL69">
        <f>(LN(1-BL66)-BL67)/BL68</f>
        <v>-0.7790412724003668</v>
      </c>
    </row>
    <row r="70" spans="1:65" x14ac:dyDescent="0.3">
      <c r="A70" s="348" t="s">
        <v>371</v>
      </c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 t="s">
        <v>56</v>
      </c>
      <c r="M70" s="348"/>
      <c r="N70" s="348"/>
      <c r="O70" s="348"/>
      <c r="P70" s="348"/>
      <c r="S70" s="15" t="s">
        <v>31</v>
      </c>
      <c r="T70" s="71">
        <f>I171</f>
        <v>100</v>
      </c>
      <c r="U70" s="71">
        <f>I172</f>
        <v>96.491228070175424</v>
      </c>
      <c r="V70" s="71">
        <f>I173</f>
        <v>97.150610583446408</v>
      </c>
      <c r="W70" s="71">
        <f>I174</f>
        <v>92.611683848797242</v>
      </c>
      <c r="X70" s="71">
        <f>I175</f>
        <v>80.277502477700708</v>
      </c>
      <c r="AC70" t="s">
        <v>162</v>
      </c>
      <c r="AD70" s="51">
        <v>0.92101551480959098</v>
      </c>
      <c r="AE70" s="51">
        <v>0.94639296583382704</v>
      </c>
      <c r="AH70" s="2"/>
      <c r="AI70" s="2"/>
      <c r="BF70" s="51">
        <v>0.941626762876556</v>
      </c>
      <c r="BG70" s="1">
        <v>7</v>
      </c>
      <c r="BH70">
        <f t="shared" si="13"/>
        <v>-1.505601216304423</v>
      </c>
      <c r="BI70">
        <f t="shared" si="14"/>
        <v>-0.15097509409039248</v>
      </c>
      <c r="BJ70">
        <f t="shared" si="11"/>
        <v>-0.14216218912331974</v>
      </c>
      <c r="BK70" s="74" t="s">
        <v>334</v>
      </c>
      <c r="BL70">
        <f>1-NORMSDIST(BL69)</f>
        <v>0.78202229857637318</v>
      </c>
    </row>
    <row r="71" spans="1:65" x14ac:dyDescent="0.3">
      <c r="A71" t="s">
        <v>315</v>
      </c>
      <c r="B71" t="s">
        <v>21</v>
      </c>
      <c r="I71" s="1" t="s">
        <v>53</v>
      </c>
      <c r="O71" s="350" t="s">
        <v>377</v>
      </c>
      <c r="P71" s="350"/>
      <c r="S71" s="75" t="s">
        <v>39</v>
      </c>
      <c r="T71" s="76">
        <f>J171</f>
        <v>0</v>
      </c>
      <c r="U71" s="76">
        <f>J172</f>
        <v>2.4588241692166193</v>
      </c>
      <c r="V71" s="76">
        <f>J173</f>
        <v>0.61328135788084515</v>
      </c>
      <c r="W71" s="76">
        <f>J174</f>
        <v>1.0852194266964796</v>
      </c>
      <c r="X71" s="76">
        <f>J175</f>
        <v>1.2532785748679514</v>
      </c>
      <c r="AC71" t="s">
        <v>163</v>
      </c>
      <c r="AD71" s="51">
        <v>0.91643159379407602</v>
      </c>
      <c r="AE71" s="51">
        <v>0.94921365767987698</v>
      </c>
      <c r="BF71" s="51">
        <v>0.94173724153496874</v>
      </c>
      <c r="BG71" s="1">
        <v>8</v>
      </c>
      <c r="BH71">
        <f t="shared" si="13"/>
        <v>-1.43208428708654</v>
      </c>
      <c r="BI71">
        <f t="shared" si="14"/>
        <v>-0.14360313849835979</v>
      </c>
      <c r="BJ71">
        <f t="shared" si="11"/>
        <v>-0.13523642352520943</v>
      </c>
      <c r="BK71" s="13" t="s">
        <v>336</v>
      </c>
      <c r="BL71" s="13" t="str">
        <f>IF(GESTEP(BL70,BG61)=0,"YES","NO")</f>
        <v>NO</v>
      </c>
    </row>
    <row r="72" spans="1:65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51</v>
      </c>
      <c r="O72" s="13" t="s">
        <v>644</v>
      </c>
      <c r="P72" s="13" t="s">
        <v>633</v>
      </c>
      <c r="S72" s="66" t="s">
        <v>51</v>
      </c>
      <c r="T72" s="67">
        <f>N160*100</f>
        <v>100</v>
      </c>
      <c r="U72" s="67">
        <f>N161*100</f>
        <v>44.715447154471541</v>
      </c>
      <c r="V72" s="67">
        <f>N162*100</f>
        <v>97.084745762711862</v>
      </c>
      <c r="W72" s="67">
        <f>N163*100</f>
        <v>90.893760539629014</v>
      </c>
      <c r="X72" s="67">
        <f>N164*100</f>
        <v>86.956521739130437</v>
      </c>
      <c r="AC72" t="s">
        <v>154</v>
      </c>
      <c r="AD72" s="51">
        <v>0.91854724964738999</v>
      </c>
      <c r="AE72" s="51">
        <v>0.94151742483060796</v>
      </c>
      <c r="AH72" s="2"/>
      <c r="AI72" s="2"/>
      <c r="BF72" s="51">
        <v>0.94211834993783095</v>
      </c>
      <c r="BG72" s="1">
        <v>9</v>
      </c>
      <c r="BH72">
        <f t="shared" si="13"/>
        <v>-1.3655831908785105</v>
      </c>
      <c r="BI72">
        <f t="shared" si="14"/>
        <v>-0.13693469990492851</v>
      </c>
      <c r="BJ72">
        <f t="shared" si="11"/>
        <v>-0.12900869352366331</v>
      </c>
    </row>
    <row r="73" spans="1:65" x14ac:dyDescent="0.3">
      <c r="A73" t="s">
        <v>3</v>
      </c>
      <c r="B73" s="13">
        <v>0</v>
      </c>
      <c r="C73" s="26">
        <v>451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451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/>
      <c r="P73" s="1"/>
      <c r="R73" s="16" t="s">
        <v>61</v>
      </c>
      <c r="S73" t="s">
        <v>9</v>
      </c>
      <c r="T73" s="1">
        <f>N171</f>
        <v>197.76</v>
      </c>
      <c r="U73" s="1">
        <f>N172</f>
        <v>1316.03</v>
      </c>
      <c r="V73" s="1">
        <f>N173</f>
        <v>48211.67</v>
      </c>
      <c r="W73" s="1">
        <f>N174</f>
        <v>25301.84</v>
      </c>
      <c r="X73" s="1">
        <f>N175</f>
        <v>7935.89</v>
      </c>
      <c r="Z73" t="s">
        <v>36</v>
      </c>
      <c r="AA73" s="1">
        <f>N176</f>
        <v>82963.19</v>
      </c>
      <c r="AC73" t="s">
        <v>164</v>
      </c>
      <c r="AD73" s="51">
        <v>0.91466854724964697</v>
      </c>
      <c r="AE73" s="51">
        <v>0.94673409868757996</v>
      </c>
      <c r="BF73" s="51">
        <v>0.94221828905644101</v>
      </c>
      <c r="BG73" s="1">
        <v>10</v>
      </c>
      <c r="BH73">
        <f t="shared" si="13"/>
        <v>-1.3046268229653299</v>
      </c>
      <c r="BI73">
        <f t="shared" si="14"/>
        <v>-0.13082226237403305</v>
      </c>
      <c r="BJ73">
        <f t="shared" si="11"/>
        <v>-0.12326312822455424</v>
      </c>
    </row>
    <row r="74" spans="1:65" ht="15.6" x14ac:dyDescent="0.35">
      <c r="A74" t="s">
        <v>4</v>
      </c>
      <c r="B74" s="13">
        <v>1</v>
      </c>
      <c r="C74" s="5">
        <v>0</v>
      </c>
      <c r="D74" s="27">
        <v>55</v>
      </c>
      <c r="E74" s="1">
        <v>2</v>
      </c>
      <c r="F74" s="1">
        <v>0</v>
      </c>
      <c r="G74" s="6">
        <v>0</v>
      </c>
      <c r="H74" s="1">
        <f>SUM(C74:G74)</f>
        <v>57</v>
      </c>
      <c r="I74" s="10">
        <f>D74/H74</f>
        <v>0.96491228070175439</v>
      </c>
      <c r="J74" s="11">
        <f>1-I74</f>
        <v>3.5087719298245612E-2</v>
      </c>
      <c r="K74">
        <f>H74-D78</f>
        <v>-61</v>
      </c>
      <c r="N74" s="10">
        <f>2*(D79*I74)/(D79+I74)</f>
        <v>0.62857142857142856</v>
      </c>
      <c r="O74" s="1"/>
      <c r="P74" s="1"/>
      <c r="R74" s="16" t="s">
        <v>318</v>
      </c>
      <c r="S74" t="s">
        <v>63</v>
      </c>
      <c r="T74" s="57">
        <f>$AA73*T66/100</f>
        <v>197.75999999999996</v>
      </c>
      <c r="U74" s="57">
        <f>$AA73*U66/100</f>
        <v>2381.3284550424692</v>
      </c>
      <c r="V74" s="57">
        <f>$AA73*V66/100</f>
        <v>47361.889980412358</v>
      </c>
      <c r="W74" s="57">
        <f>$AA73*W66/100</f>
        <v>24519.201850561771</v>
      </c>
      <c r="X74" s="57">
        <f>$AA73*X66/100</f>
        <v>8503.0097139834106</v>
      </c>
      <c r="Z74" t="s">
        <v>36</v>
      </c>
      <c r="AA74" s="25">
        <f>SUM(T74:X74)</f>
        <v>82963.19</v>
      </c>
      <c r="AC74" t="s">
        <v>165</v>
      </c>
      <c r="AD74" s="51">
        <v>0.92700987306064797</v>
      </c>
      <c r="AE74" s="51">
        <v>0.95082782916004505</v>
      </c>
      <c r="AH74" s="2"/>
      <c r="AI74" s="2"/>
      <c r="BF74" s="51">
        <v>0.94228170770029296</v>
      </c>
      <c r="BG74" s="1">
        <v>11</v>
      </c>
      <c r="BH74">
        <f t="shared" si="13"/>
        <v>-1.248166539458073</v>
      </c>
      <c r="BI74">
        <f t="shared" si="14"/>
        <v>-0.12516067249049057</v>
      </c>
      <c r="BJ74">
        <f t="shared" si="11"/>
        <v>-0.11793661221125652</v>
      </c>
    </row>
    <row r="75" spans="1:65" x14ac:dyDescent="0.3">
      <c r="A75" t="s">
        <v>5</v>
      </c>
      <c r="B75" s="13">
        <v>2</v>
      </c>
      <c r="C75" s="5">
        <v>0</v>
      </c>
      <c r="D75" s="1">
        <v>0</v>
      </c>
      <c r="E75" s="27">
        <v>707</v>
      </c>
      <c r="F75" s="1">
        <v>20</v>
      </c>
      <c r="G75" s="6">
        <v>10</v>
      </c>
      <c r="H75" s="1">
        <f>SUM(C75:G75)</f>
        <v>737</v>
      </c>
      <c r="I75" s="10">
        <f>E75/H75</f>
        <v>0.95929443690637717</v>
      </c>
      <c r="J75" s="11">
        <f>1-I75</f>
        <v>4.0705563093622832E-2</v>
      </c>
      <c r="K75">
        <f>H75-E78</f>
        <v>-8</v>
      </c>
      <c r="N75" s="10">
        <f>2*(E79*I75)/(E79+I75)</f>
        <v>0.95411605937921717</v>
      </c>
      <c r="O75" s="1"/>
      <c r="P75" s="1"/>
      <c r="R75" s="66"/>
      <c r="S75" s="66" t="s">
        <v>62</v>
      </c>
      <c r="T75" s="67">
        <f>$AA73*T67/100</f>
        <v>0</v>
      </c>
      <c r="U75" s="67">
        <f>$AA73*U67/100</f>
        <v>111.55747116500483</v>
      </c>
      <c r="V75" s="67">
        <f>$AA73*V67/100</f>
        <v>325.19624832580507</v>
      </c>
      <c r="W75" s="67">
        <f>$AA73*W67/100</f>
        <v>347.41008787604881</v>
      </c>
      <c r="X75" s="67">
        <f>$AA73*X67/100</f>
        <v>335.5588914398881</v>
      </c>
      <c r="AA75" s="1"/>
      <c r="AC75" t="s">
        <v>166</v>
      </c>
      <c r="AD75" s="51">
        <v>0.92277856135401903</v>
      </c>
      <c r="AE75" s="51">
        <v>0.94847440583715303</v>
      </c>
      <c r="BF75" s="51">
        <v>0.94241582743714802</v>
      </c>
      <c r="BG75" s="1">
        <v>12</v>
      </c>
      <c r="BH75">
        <f t="shared" si="13"/>
        <v>-1.1954271085021433</v>
      </c>
      <c r="BI75">
        <f t="shared" si="14"/>
        <v>-0.11987219340013142</v>
      </c>
      <c r="BJ75">
        <f t="shared" si="11"/>
        <v>-0.11296945232989068</v>
      </c>
    </row>
    <row r="76" spans="1:65" x14ac:dyDescent="0.3">
      <c r="A76" t="s">
        <v>6</v>
      </c>
      <c r="B76" s="13">
        <v>3</v>
      </c>
      <c r="C76" s="5">
        <v>0</v>
      </c>
      <c r="D76" s="1">
        <v>0</v>
      </c>
      <c r="E76" s="1">
        <v>11</v>
      </c>
      <c r="F76" s="27">
        <v>538</v>
      </c>
      <c r="G76" s="6">
        <v>33</v>
      </c>
      <c r="H76" s="1">
        <f>SUM(C76:G76)</f>
        <v>582</v>
      </c>
      <c r="I76" s="10">
        <f>F76/H76</f>
        <v>0.92439862542955331</v>
      </c>
      <c r="J76" s="11">
        <f>1-I76</f>
        <v>7.5601374570446689E-2</v>
      </c>
      <c r="K76">
        <f>H76-F78</f>
        <v>-29</v>
      </c>
      <c r="N76" s="10">
        <f>2*(F79*I76)/(F79+I76)</f>
        <v>0.90192791282481144</v>
      </c>
      <c r="O76" s="1"/>
      <c r="P76" s="1"/>
      <c r="R76" t="s">
        <v>94</v>
      </c>
      <c r="S76" t="s">
        <v>28</v>
      </c>
      <c r="T76" s="57">
        <f>C205</f>
        <v>0.24304754916005517</v>
      </c>
      <c r="U76" s="57">
        <f t="shared" ref="U76:X79" si="15">D205</f>
        <v>2.5896226139505405</v>
      </c>
      <c r="V76" s="57">
        <f t="shared" si="15"/>
        <v>56.631163251930637</v>
      </c>
      <c r="W76" s="57">
        <f t="shared" si="15"/>
        <v>30.664799685137911</v>
      </c>
      <c r="X76" s="57">
        <f t="shared" si="15"/>
        <v>9.8713668998208508</v>
      </c>
      <c r="AC76" t="s">
        <v>167</v>
      </c>
      <c r="AD76" s="51">
        <v>0.92700987306064797</v>
      </c>
      <c r="AE76" s="51">
        <v>0.95005584165713797</v>
      </c>
      <c r="AH76" s="78"/>
      <c r="AI76" s="78"/>
      <c r="BF76" s="51">
        <v>0.94300361966417001</v>
      </c>
      <c r="BG76" s="1">
        <v>13</v>
      </c>
      <c r="BH76">
        <f t="shared" si="13"/>
        <v>-1.1458183419972177</v>
      </c>
      <c r="BI76">
        <f t="shared" si="14"/>
        <v>-0.11489764362580719</v>
      </c>
      <c r="BJ76">
        <f t="shared" si="11"/>
        <v>-0.10834889383002003</v>
      </c>
    </row>
    <row r="77" spans="1:65" x14ac:dyDescent="0.3">
      <c r="A77" t="s">
        <v>7</v>
      </c>
      <c r="B77" s="13">
        <v>4</v>
      </c>
      <c r="C77" s="7">
        <v>0</v>
      </c>
      <c r="D77" s="8">
        <v>63</v>
      </c>
      <c r="E77" s="8">
        <v>25</v>
      </c>
      <c r="F77" s="8">
        <v>53</v>
      </c>
      <c r="G77" s="28">
        <v>868</v>
      </c>
      <c r="H77" s="1">
        <f>SUM(C77:G77)</f>
        <v>1009</v>
      </c>
      <c r="I77" s="10">
        <f>G77/H77</f>
        <v>0.8602576808721506</v>
      </c>
      <c r="J77" s="11">
        <f>1-I77</f>
        <v>0.1397423191278494</v>
      </c>
      <c r="K77">
        <f>H77-G78</f>
        <v>98</v>
      </c>
      <c r="N77" s="10">
        <f>2*(G79*I77)/(G79+I77)</f>
        <v>0.90416666666666667</v>
      </c>
      <c r="O77" s="1"/>
      <c r="P77" s="1"/>
      <c r="S77" s="66" t="s">
        <v>39</v>
      </c>
      <c r="T77" s="67">
        <f>C206</f>
        <v>0</v>
      </c>
      <c r="U77" s="67">
        <f t="shared" si="15"/>
        <v>0.14810766553311655</v>
      </c>
      <c r="V77" s="67">
        <f t="shared" si="15"/>
        <v>0.46023557053293151</v>
      </c>
      <c r="W77" s="67">
        <f t="shared" si="15"/>
        <v>0.45885322308291432</v>
      </c>
      <c r="X77" s="67">
        <f t="shared" si="15"/>
        <v>0.3619053269722674</v>
      </c>
      <c r="AC77" t="s">
        <v>168</v>
      </c>
      <c r="AD77" s="51">
        <v>0.91220028208744697</v>
      </c>
      <c r="AE77" s="51">
        <v>0.94419219043728597</v>
      </c>
      <c r="BF77" s="51">
        <v>0.94332196264043</v>
      </c>
      <c r="BG77" s="1">
        <v>14</v>
      </c>
      <c r="BH77">
        <f t="shared" si="13"/>
        <v>-1.0988799140705434</v>
      </c>
      <c r="BI77">
        <f t="shared" si="14"/>
        <v>-0.11019086370563748</v>
      </c>
      <c r="BJ77">
        <f t="shared" si="11"/>
        <v>-0.10394546181584607</v>
      </c>
    </row>
    <row r="78" spans="1:65" ht="15.6" x14ac:dyDescent="0.35">
      <c r="B78" s="1" t="s">
        <v>19</v>
      </c>
      <c r="C78" s="1">
        <f>SUM(C73:C77)</f>
        <v>451</v>
      </c>
      <c r="D78" s="1">
        <f>SUM(D73:D77)</f>
        <v>118</v>
      </c>
      <c r="E78" s="1">
        <f>SUM(E73:E77)</f>
        <v>745</v>
      </c>
      <c r="F78" s="1">
        <f>SUM(F73:F77)</f>
        <v>611</v>
      </c>
      <c r="G78" s="1">
        <f>SUM(G73:G77)</f>
        <v>911</v>
      </c>
      <c r="H78" s="1">
        <f>SUM(H72:H77)</f>
        <v>2836</v>
      </c>
      <c r="I78" s="13" t="s">
        <v>12</v>
      </c>
      <c r="N78" s="16" t="s">
        <v>36</v>
      </c>
      <c r="O78" s="1">
        <f>SUM(O73:O77)</f>
        <v>0</v>
      </c>
      <c r="P78" s="1">
        <f>SUM(P73:P77)</f>
        <v>0</v>
      </c>
      <c r="S78" s="70" t="s">
        <v>30</v>
      </c>
      <c r="T78" s="64">
        <f>C207</f>
        <v>100</v>
      </c>
      <c r="U78" s="64">
        <f t="shared" si="15"/>
        <v>56.924175376421637</v>
      </c>
      <c r="V78" s="64">
        <f t="shared" si="15"/>
        <v>98.722388235007216</v>
      </c>
      <c r="W78" s="64">
        <f t="shared" si="15"/>
        <v>93.416931742859134</v>
      </c>
      <c r="X78" s="64">
        <f t="shared" si="15"/>
        <v>80.057843332781815</v>
      </c>
      <c r="AC78" t="s">
        <v>169</v>
      </c>
      <c r="AD78" s="51">
        <v>0.90655853314527501</v>
      </c>
      <c r="AE78" s="51">
        <v>0.941626762876556</v>
      </c>
      <c r="AH78" s="78"/>
      <c r="AI78" s="78"/>
      <c r="BF78" s="51">
        <v>0.94342725767160596</v>
      </c>
      <c r="BG78" s="1">
        <v>15</v>
      </c>
      <c r="BH78">
        <f t="shared" si="13"/>
        <v>-1.0542454124924514</v>
      </c>
      <c r="BI78">
        <f t="shared" si="14"/>
        <v>-0.10571511142644452</v>
      </c>
      <c r="BJ78">
        <f t="shared" si="11"/>
        <v>-9.9734517667498815E-2</v>
      </c>
    </row>
    <row r="79" spans="1:65" x14ac:dyDescent="0.3">
      <c r="A79" s="1" t="s">
        <v>316</v>
      </c>
      <c r="B79" s="1" t="s">
        <v>2</v>
      </c>
      <c r="C79" s="10">
        <f>C73/C78</f>
        <v>1</v>
      </c>
      <c r="D79" s="10">
        <f>D74/D78</f>
        <v>0.46610169491525422</v>
      </c>
      <c r="E79" s="10">
        <f>E75/E78</f>
        <v>0.94899328859060406</v>
      </c>
      <c r="F79" s="10">
        <f>F76/F78</f>
        <v>0.88052373158756136</v>
      </c>
      <c r="G79" s="10">
        <f>G77/G78</f>
        <v>0.95279912184412729</v>
      </c>
      <c r="H79" s="10"/>
      <c r="I79" s="14">
        <f>(C73+D74+E75+F76+G77)/H78</f>
        <v>0.92348377997179121</v>
      </c>
      <c r="S79" s="66" t="s">
        <v>39</v>
      </c>
      <c r="T79" s="67">
        <f>C208</f>
        <v>0</v>
      </c>
      <c r="U79" s="67">
        <f t="shared" si="15"/>
        <v>6.9988699592903227</v>
      </c>
      <c r="V79" s="67">
        <f t="shared" si="15"/>
        <v>0.32590502129006588</v>
      </c>
      <c r="W79" s="67">
        <f t="shared" si="15"/>
        <v>1.2388351242862816</v>
      </c>
      <c r="X79" s="67">
        <f t="shared" si="15"/>
        <v>3.5825528412424341</v>
      </c>
      <c r="AC79" t="s">
        <v>170</v>
      </c>
      <c r="AD79" s="51">
        <v>0.92207334273624797</v>
      </c>
      <c r="AE79" s="51">
        <v>0.95442617594977097</v>
      </c>
      <c r="BF79" s="51">
        <v>0.94380129662421397</v>
      </c>
      <c r="BG79" s="1">
        <v>16</v>
      </c>
      <c r="BH79">
        <f t="shared" si="13"/>
        <v>-1.0116180790824523</v>
      </c>
      <c r="BI79">
        <f t="shared" si="14"/>
        <v>-0.10144062917795522</v>
      </c>
      <c r="BJ79">
        <f t="shared" si="11"/>
        <v>-9.573979734853022E-2</v>
      </c>
    </row>
    <row r="80" spans="1:65" x14ac:dyDescent="0.3">
      <c r="B80" s="1" t="s">
        <v>14</v>
      </c>
      <c r="C80" s="11">
        <f>1-C79</f>
        <v>0</v>
      </c>
      <c r="D80" s="11">
        <f>1-D79</f>
        <v>0.53389830508474578</v>
      </c>
      <c r="E80" s="11">
        <f>1-E79</f>
        <v>5.1006711409395944E-2</v>
      </c>
      <c r="F80" s="11">
        <f>1-F79</f>
        <v>0.11947626841243864</v>
      </c>
      <c r="G80" s="11">
        <f>1-G79</f>
        <v>4.7200878155872705E-2</v>
      </c>
      <c r="S80" s="70" t="s">
        <v>31</v>
      </c>
      <c r="T80" s="64">
        <f>I200</f>
        <v>100</v>
      </c>
      <c r="U80" s="64">
        <f>I201</f>
        <v>96.491228070175438</v>
      </c>
      <c r="V80" s="64">
        <f>I202</f>
        <v>95.92944369063774</v>
      </c>
      <c r="W80" s="64">
        <f>I203</f>
        <v>93.986254295532632</v>
      </c>
      <c r="X80" s="64">
        <f>I204</f>
        <v>83.448959365708617</v>
      </c>
      <c r="AC80" t="s">
        <v>171</v>
      </c>
      <c r="AD80" s="51">
        <v>0.92031029619181903</v>
      </c>
      <c r="AE80" s="51">
        <v>0.94612916500005195</v>
      </c>
      <c r="AH80" s="78"/>
      <c r="AI80" s="78"/>
      <c r="AJ80" s="348" t="s">
        <v>372</v>
      </c>
      <c r="AK80" s="348"/>
      <c r="AL80" s="348"/>
      <c r="AM80" s="348"/>
      <c r="AN80" s="348"/>
      <c r="AO80" s="348"/>
      <c r="AP80" s="348"/>
      <c r="AQ80" s="348"/>
      <c r="AR80" s="348"/>
      <c r="AS80" s="348"/>
      <c r="AT80" s="348"/>
      <c r="AU80" s="348" t="s">
        <v>351</v>
      </c>
      <c r="AV80" s="348"/>
      <c r="AW80" s="348"/>
      <c r="AX80" s="348"/>
      <c r="AY80" s="348"/>
      <c r="BF80" s="51">
        <v>0.94405624437476798</v>
      </c>
      <c r="BG80" s="1">
        <v>17</v>
      </c>
      <c r="BH80">
        <f t="shared" si="13"/>
        <v>-0.97075394243172186</v>
      </c>
      <c r="BI80">
        <f t="shared" si="14"/>
        <v>-9.7342952576105798E-2</v>
      </c>
      <c r="BJ80">
        <f t="shared" si="11"/>
        <v>-9.1897222225349587E-2</v>
      </c>
    </row>
    <row r="81" spans="1:62" x14ac:dyDescent="0.3">
      <c r="C81" s="2"/>
      <c r="S81" s="66" t="s">
        <v>39</v>
      </c>
      <c r="T81" s="67">
        <f>J200</f>
        <v>0</v>
      </c>
      <c r="U81" s="67">
        <f>J201</f>
        <v>2.4588241692166148</v>
      </c>
      <c r="V81" s="67">
        <f>J202</f>
        <v>0.728389940386442</v>
      </c>
      <c r="W81" s="67">
        <f>J203</f>
        <v>0.98631726317118462</v>
      </c>
      <c r="X81" s="67">
        <f>J204</f>
        <v>1.1705577617369731</v>
      </c>
      <c r="AC81" t="s">
        <v>172</v>
      </c>
      <c r="AD81" s="51">
        <v>0.92277856135401903</v>
      </c>
      <c r="AE81" s="51">
        <v>0.94910071727908696</v>
      </c>
      <c r="AJ81" t="s">
        <v>315</v>
      </c>
      <c r="AK81" t="s">
        <v>21</v>
      </c>
      <c r="AR81" s="1" t="s">
        <v>53</v>
      </c>
      <c r="BF81" s="51">
        <v>0.94414387233830199</v>
      </c>
      <c r="BG81" s="1">
        <v>18</v>
      </c>
      <c r="BH81">
        <f t="shared" si="13"/>
        <v>-0.93144978630264041</v>
      </c>
      <c r="BI81">
        <f t="shared" si="14"/>
        <v>-9.3401703986856682E-2</v>
      </c>
      <c r="BJ81">
        <f t="shared" si="11"/>
        <v>-8.8184646485146692E-2</v>
      </c>
    </row>
    <row r="82" spans="1:62" ht="15.6" x14ac:dyDescent="0.35">
      <c r="A82" t="s">
        <v>317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51</v>
      </c>
      <c r="T82" s="65">
        <f>N189*100</f>
        <v>100</v>
      </c>
      <c r="U82" s="65">
        <f>N190*100</f>
        <v>50.925925925925917</v>
      </c>
      <c r="V82" s="65">
        <f>N191*100</f>
        <v>96.387184730743016</v>
      </c>
      <c r="W82" s="65">
        <f>N192*100</f>
        <v>90.939318370739812</v>
      </c>
      <c r="X82" s="65">
        <f>N193*100</f>
        <v>89.384288747346091</v>
      </c>
      <c r="Z82" s="46"/>
      <c r="AA82" s="46"/>
      <c r="AC82" t="s">
        <v>173</v>
      </c>
      <c r="AD82" s="51">
        <v>0.91678420310296105</v>
      </c>
      <c r="AE82" s="51">
        <v>0.94548830381826998</v>
      </c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51</v>
      </c>
      <c r="BF82" s="51">
        <v>0.94419219043728597</v>
      </c>
      <c r="BG82" s="1">
        <v>19</v>
      </c>
      <c r="BH82">
        <f t="shared" si="13"/>
        <v>-0.89353437460601337</v>
      </c>
      <c r="BI82">
        <f t="shared" si="14"/>
        <v>-8.9599712605350768E-2</v>
      </c>
      <c r="BJ82">
        <f t="shared" si="11"/>
        <v>-8.459934890739744E-2</v>
      </c>
    </row>
    <row r="83" spans="1:62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61</v>
      </c>
      <c r="S83" t="s">
        <v>9</v>
      </c>
      <c r="T83" s="30">
        <f>N200</f>
        <v>201.64</v>
      </c>
      <c r="U83" s="30">
        <f>N201</f>
        <v>1267.45</v>
      </c>
      <c r="V83" s="30">
        <f>N202</f>
        <v>48350.91</v>
      </c>
      <c r="W83" s="30">
        <f>N203</f>
        <v>25286.39</v>
      </c>
      <c r="X83" s="30">
        <f>N204</f>
        <v>7856.8</v>
      </c>
      <c r="Z83" t="s">
        <v>36</v>
      </c>
      <c r="AA83" s="1">
        <f>N205</f>
        <v>82963.19</v>
      </c>
      <c r="AC83" t="s">
        <v>174</v>
      </c>
      <c r="AD83" s="51">
        <v>0.92806770098730595</v>
      </c>
      <c r="AE83" s="51">
        <v>0.95232995989248503</v>
      </c>
      <c r="AJ83" t="s">
        <v>3</v>
      </c>
      <c r="AK83" s="13">
        <v>0</v>
      </c>
      <c r="AL83" s="26">
        <v>451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451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  <c r="BF83" s="120">
        <v>0.94458736682159705</v>
      </c>
      <c r="BG83" s="1">
        <v>20</v>
      </c>
      <c r="BH83">
        <f t="shared" si="13"/>
        <v>-0.8568619257010005</v>
      </c>
      <c r="BI83">
        <f t="shared" si="14"/>
        <v>-8.5922360087298644E-2</v>
      </c>
      <c r="BJ83">
        <f t="shared" si="11"/>
        <v>-8.1161175865958515E-2</v>
      </c>
    </row>
    <row r="84" spans="1:62" ht="15.6" x14ac:dyDescent="0.35">
      <c r="A84" t="s">
        <v>3</v>
      </c>
      <c r="B84" s="13">
        <v>0</v>
      </c>
      <c r="C84" s="29">
        <f>(C73/$L84)*$O84</f>
        <v>0.24162520249942143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0.24162520249942143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451</v>
      </c>
      <c r="M84">
        <v>0</v>
      </c>
      <c r="N84" s="1">
        <v>200.46</v>
      </c>
      <c r="O84" s="17">
        <f>N84/N89*100</f>
        <v>0.24162520249942143</v>
      </c>
      <c r="P84" s="52">
        <f>((O84*O84*(I84/100)*(K84/100))/(L84-1))</f>
        <v>0</v>
      </c>
      <c r="R84" s="16" t="s">
        <v>318</v>
      </c>
      <c r="S84" t="s">
        <v>63</v>
      </c>
      <c r="T84" s="57">
        <f>$AA83*T76/100</f>
        <v>201.63999999999996</v>
      </c>
      <c r="U84" s="57">
        <f>$AA83*U76/100</f>
        <v>2148.4335294947537</v>
      </c>
      <c r="V84" s="57">
        <f>$AA83*V76/100</f>
        <v>46983.019567909396</v>
      </c>
      <c r="W84" s="57">
        <f>$AA83*W76/100</f>
        <v>25440.496025900367</v>
      </c>
      <c r="X84" s="57">
        <f>$AA83*X76/100</f>
        <v>8189.6008766954819</v>
      </c>
      <c r="Z84" t="s">
        <v>36</v>
      </c>
      <c r="AA84" s="25">
        <f>SUM(T84:X84)</f>
        <v>82963.189999999988</v>
      </c>
      <c r="AC84" t="s">
        <v>175</v>
      </c>
      <c r="AD84" s="51">
        <v>0.91643159379407602</v>
      </c>
      <c r="AE84" s="51">
        <v>0.94540905510478102</v>
      </c>
      <c r="AH84" s="78"/>
      <c r="AI84" s="78"/>
      <c r="AJ84" t="s">
        <v>4</v>
      </c>
      <c r="AK84" s="13">
        <v>1</v>
      </c>
      <c r="AL84" s="5">
        <v>0</v>
      </c>
      <c r="AM84" s="27">
        <v>55</v>
      </c>
      <c r="AN84" s="1">
        <v>2</v>
      </c>
      <c r="AO84" s="1">
        <v>0</v>
      </c>
      <c r="AP84" s="6">
        <v>0</v>
      </c>
      <c r="AQ84" s="1">
        <f>SUM(AL84:AP84)</f>
        <v>57</v>
      </c>
      <c r="AR84" s="10">
        <f>AM84/AQ84</f>
        <v>0.96491228070175439</v>
      </c>
      <c r="AS84" s="11">
        <f>1-AR84</f>
        <v>3.5087719298245612E-2</v>
      </c>
      <c r="AT84">
        <f>AQ84-AM88</f>
        <v>-85</v>
      </c>
      <c r="AW84" s="10">
        <f>2*(AM89*AR84)/(AM89+AR84)</f>
        <v>0.55276381909547734</v>
      </c>
      <c r="BF84" s="51">
        <v>0.9446854976665281</v>
      </c>
      <c r="BG84" s="1">
        <v>21</v>
      </c>
      <c r="BH84">
        <f t="shared" si="13"/>
        <v>-0.82130717520561125</v>
      </c>
      <c r="BI84">
        <f t="shared" si="14"/>
        <v>-8.2357085469244348E-2</v>
      </c>
      <c r="BJ84">
        <f t="shared" si="11"/>
        <v>-7.7801544272877887E-2</v>
      </c>
    </row>
    <row r="85" spans="1:62" x14ac:dyDescent="0.3">
      <c r="A85" t="s">
        <v>4</v>
      </c>
      <c r="B85" s="13">
        <v>1</v>
      </c>
      <c r="C85" s="33">
        <f t="shared" ref="C85:G88" si="16">(C74/$L85)*$O85</f>
        <v>0</v>
      </c>
      <c r="D85" s="34">
        <f t="shared" si="16"/>
        <v>1.5167822029906985</v>
      </c>
      <c r="E85" s="19">
        <f t="shared" si="16"/>
        <v>5.5155716472389038E-2</v>
      </c>
      <c r="F85" s="18">
        <f t="shared" si="16"/>
        <v>0</v>
      </c>
      <c r="G85" s="20">
        <f t="shared" si="16"/>
        <v>0</v>
      </c>
      <c r="H85" s="17">
        <f>SUM(C85:G85)</f>
        <v>1.5719379194630876</v>
      </c>
      <c r="I85" s="17">
        <f>D85/H85*100</f>
        <v>96.491228070175438</v>
      </c>
      <c r="J85" s="17">
        <f>SQRT(I85*(100-I85)/(L85-1))</f>
        <v>2.4588241692166148</v>
      </c>
      <c r="K85" s="18">
        <f>100-I85</f>
        <v>3.5087719298245617</v>
      </c>
      <c r="L85" s="1">
        <f>H74</f>
        <v>57</v>
      </c>
      <c r="M85">
        <v>1</v>
      </c>
      <c r="N85" s="1">
        <v>1304.1300000000001</v>
      </c>
      <c r="O85" s="17">
        <f>N85/N89*100</f>
        <v>1.5719379194630876</v>
      </c>
      <c r="P85" s="52">
        <f>((O85*O85*(I85/100)*(K85/100))/(L85-1))</f>
        <v>1.4939144489021538E-3</v>
      </c>
      <c r="R85" s="66"/>
      <c r="S85" s="66" t="s">
        <v>62</v>
      </c>
      <c r="T85" s="67">
        <f>$AA83*T77/100</f>
        <v>0</v>
      </c>
      <c r="U85" s="67">
        <f>$AA83*U77/100</f>
        <v>122.87484396080399</v>
      </c>
      <c r="V85" s="67">
        <f>$AA83*V77/100</f>
        <v>381.82611082881999</v>
      </c>
      <c r="W85" s="67">
        <f>$AA83*W77/100</f>
        <v>380.67927128740206</v>
      </c>
      <c r="X85" s="67">
        <f>$AA83*X77/100</f>
        <v>300.24820403612347</v>
      </c>
      <c r="AA85" s="1"/>
      <c r="AC85" t="s">
        <v>176</v>
      </c>
      <c r="AD85" s="51">
        <v>0.92383638928067702</v>
      </c>
      <c r="AE85" s="51">
        <v>0.94342725767160596</v>
      </c>
      <c r="AJ85" t="s">
        <v>5</v>
      </c>
      <c r="AK85" s="13">
        <v>2</v>
      </c>
      <c r="AL85" s="5">
        <v>0</v>
      </c>
      <c r="AM85" s="1">
        <v>1</v>
      </c>
      <c r="AN85" s="27">
        <v>713</v>
      </c>
      <c r="AO85" s="1">
        <v>13</v>
      </c>
      <c r="AP85" s="6">
        <v>10</v>
      </c>
      <c r="AQ85" s="1">
        <f>SUM(AL85:AP85)</f>
        <v>737</v>
      </c>
      <c r="AR85" s="10">
        <f>AN85/AQ85</f>
        <v>0.9674355495251018</v>
      </c>
      <c r="AS85" s="11">
        <f>1-AR85</f>
        <v>3.2564450474898199E-2</v>
      </c>
      <c r="AT85">
        <f>AQ85-AN88</f>
        <v>3</v>
      </c>
      <c r="AW85" s="10">
        <f>2*(AN89*AR85)/(AN89+AR85)</f>
        <v>0.96940856560163147</v>
      </c>
      <c r="BF85" s="51">
        <v>0.944870916586242</v>
      </c>
      <c r="BG85" s="1">
        <v>22</v>
      </c>
      <c r="BH85">
        <f t="shared" si="13"/>
        <v>-0.78676158292306686</v>
      </c>
      <c r="BI85">
        <f t="shared" si="14"/>
        <v>-7.889300481575813E-2</v>
      </c>
      <c r="BJ85">
        <f t="shared" si="11"/>
        <v>-7.4543705772508184E-2</v>
      </c>
    </row>
    <row r="86" spans="1:62" x14ac:dyDescent="0.3">
      <c r="A86" t="s">
        <v>5</v>
      </c>
      <c r="B86" s="13">
        <v>2</v>
      </c>
      <c r="C86" s="33">
        <f t="shared" si="16"/>
        <v>0</v>
      </c>
      <c r="D86" s="19">
        <f t="shared" si="16"/>
        <v>0</v>
      </c>
      <c r="E86" s="34">
        <f t="shared" si="16"/>
        <v>55.600820359475271</v>
      </c>
      <c r="F86" s="19">
        <f t="shared" si="16"/>
        <v>1.5728662053599796</v>
      </c>
      <c r="G86" s="20">
        <f t="shared" si="16"/>
        <v>0.78643310267998978</v>
      </c>
      <c r="H86" s="17">
        <f>SUM(C86:G86)</f>
        <v>57.960119667515244</v>
      </c>
      <c r="I86" s="17">
        <f>E86/H86*100</f>
        <v>95.929443690637711</v>
      </c>
      <c r="J86" s="17">
        <f>SQRT(I86*(100-I86)/(L86-1))</f>
        <v>0.72838994038644445</v>
      </c>
      <c r="K86" s="18">
        <f>100-I86</f>
        <v>4.0705563093622885</v>
      </c>
      <c r="L86" s="1">
        <f>H75</f>
        <v>737</v>
      </c>
      <c r="M86">
        <v>2</v>
      </c>
      <c r="N86" s="1">
        <v>48085.57</v>
      </c>
      <c r="O86" s="17">
        <f>N86/N89*100</f>
        <v>57.960119667515244</v>
      </c>
      <c r="P86" s="52">
        <f>((O86*O86*(I86/100)*(K86/100))/(L86-1))</f>
        <v>0.17823230570728932</v>
      </c>
      <c r="R86" t="s">
        <v>95</v>
      </c>
      <c r="S86" s="70" t="s">
        <v>28</v>
      </c>
      <c r="T86" s="64">
        <f>C234</f>
        <v>0.24445781315785955</v>
      </c>
      <c r="U86" s="64">
        <f t="shared" ref="U86:X89" si="17">D234</f>
        <v>1.7488441617298069</v>
      </c>
      <c r="V86" s="64">
        <f t="shared" si="17"/>
        <v>56.783409272307487</v>
      </c>
      <c r="W86" s="64">
        <f t="shared" si="17"/>
        <v>31.614131909067687</v>
      </c>
      <c r="X86" s="64">
        <f t="shared" si="17"/>
        <v>9.6091568437371464</v>
      </c>
      <c r="AA86" s="12"/>
      <c r="AC86" t="s">
        <v>177</v>
      </c>
      <c r="AD86" s="51">
        <v>0.91607898448518998</v>
      </c>
      <c r="AE86" s="51">
        <v>0.94897511074171403</v>
      </c>
      <c r="AH86" s="78"/>
      <c r="AI86" s="78"/>
      <c r="AJ86" t="s">
        <v>6</v>
      </c>
      <c r="AK86" s="13">
        <v>3</v>
      </c>
      <c r="AL86" s="5">
        <v>0</v>
      </c>
      <c r="AM86" s="1">
        <v>0</v>
      </c>
      <c r="AN86" s="1">
        <v>10</v>
      </c>
      <c r="AO86" s="27">
        <v>551</v>
      </c>
      <c r="AP86" s="6">
        <v>21</v>
      </c>
      <c r="AQ86" s="1">
        <f>SUM(AL86:AP86)</f>
        <v>582</v>
      </c>
      <c r="AR86" s="10">
        <f>AO86/AQ86</f>
        <v>0.9467353951890034</v>
      </c>
      <c r="AS86" s="11">
        <f>1-AR86</f>
        <v>5.3264604810996596E-2</v>
      </c>
      <c r="AT86">
        <f>AQ86-AO88</f>
        <v>-35</v>
      </c>
      <c r="AW86" s="10">
        <f>2*(AO89*AR86)/(AO89+AR86)</f>
        <v>0.91909924937447884</v>
      </c>
      <c r="BF86" s="51">
        <v>0.94491558323103098</v>
      </c>
      <c r="BG86" s="1">
        <v>23</v>
      </c>
      <c r="BH86">
        <f t="shared" si="13"/>
        <v>-0.75313037838845598</v>
      </c>
      <c r="BI86">
        <f t="shared" si="14"/>
        <v>-7.5520614959798102E-2</v>
      </c>
      <c r="BJ86">
        <f t="shared" si="11"/>
        <v>-7.1360605930703744E-2</v>
      </c>
    </row>
    <row r="87" spans="1:62" x14ac:dyDescent="0.3">
      <c r="A87" t="s">
        <v>6</v>
      </c>
      <c r="B87" s="13">
        <v>3</v>
      </c>
      <c r="C87" s="33">
        <f t="shared" si="16"/>
        <v>0</v>
      </c>
      <c r="D87" s="19">
        <f t="shared" si="16"/>
        <v>0</v>
      </c>
      <c r="E87" s="19">
        <f t="shared" si="16"/>
        <v>0.57882370750295642</v>
      </c>
      <c r="F87" s="34">
        <f t="shared" si="16"/>
        <v>28.309741330599145</v>
      </c>
      <c r="G87" s="20">
        <f t="shared" si="16"/>
        <v>1.7364711225088694</v>
      </c>
      <c r="H87" s="17">
        <f>SUM(C87:G87)</f>
        <v>30.625036160610971</v>
      </c>
      <c r="I87" s="17">
        <f>F87/H87*100</f>
        <v>92.439862542955325</v>
      </c>
      <c r="J87" s="17">
        <f>SQRT(I87*(100-I87)/(L87-1))</f>
        <v>1.0967469245051289</v>
      </c>
      <c r="K87" s="18">
        <f>100-I87</f>
        <v>7.5601374570446751</v>
      </c>
      <c r="L87" s="1">
        <f>H76</f>
        <v>582</v>
      </c>
      <c r="M87">
        <v>3</v>
      </c>
      <c r="N87" s="1">
        <v>25407.51</v>
      </c>
      <c r="O87" s="17">
        <f>N87/N89*100</f>
        <v>30.625036160610968</v>
      </c>
      <c r="P87" s="52">
        <f>((O87*O87*(I87/100)*(K87/100))/(L87-1))</f>
        <v>0.11281479817849965</v>
      </c>
      <c r="S87" s="66" t="s">
        <v>39</v>
      </c>
      <c r="T87" s="67">
        <f>C235</f>
        <v>0</v>
      </c>
      <c r="U87" s="67">
        <f t="shared" si="17"/>
        <v>6.4566416033096402E-2</v>
      </c>
      <c r="V87" s="67">
        <f t="shared" si="17"/>
        <v>0.45367753544901041</v>
      </c>
      <c r="W87" s="67">
        <f t="shared" si="17"/>
        <v>0.467440453286257</v>
      </c>
      <c r="X87" s="67">
        <f t="shared" si="17"/>
        <v>0.36290273010184759</v>
      </c>
      <c r="AC87" t="s">
        <v>178</v>
      </c>
      <c r="AD87" s="51">
        <v>0.92313117066290495</v>
      </c>
      <c r="AE87" s="51">
        <v>0.94973908470906299</v>
      </c>
      <c r="AJ87" t="s">
        <v>7</v>
      </c>
      <c r="AK87" s="13">
        <v>4</v>
      </c>
      <c r="AL87" s="7">
        <v>0</v>
      </c>
      <c r="AM87" s="8">
        <v>86</v>
      </c>
      <c r="AN87" s="8">
        <v>9</v>
      </c>
      <c r="AO87" s="8">
        <v>53</v>
      </c>
      <c r="AP87" s="28">
        <v>861</v>
      </c>
      <c r="AQ87" s="1">
        <f>SUM(AL87:AP87)</f>
        <v>1009</v>
      </c>
      <c r="AR87" s="10">
        <f>AP87/AQ87</f>
        <v>0.85332011892963333</v>
      </c>
      <c r="AS87" s="11">
        <f>1-AR87</f>
        <v>0.14667988107036667</v>
      </c>
      <c r="AT87">
        <f>AQ87-AP88</f>
        <v>117</v>
      </c>
      <c r="AW87" s="10">
        <f>2*(AP89*AR87)/(AP89+AR87)</f>
        <v>0.90583903208837457</v>
      </c>
      <c r="BF87" s="51">
        <v>0.94539110851501995</v>
      </c>
      <c r="BG87" s="1">
        <v>24</v>
      </c>
      <c r="BH87">
        <f t="shared" si="13"/>
        <v>-0.72033023085752279</v>
      </c>
      <c r="BI87">
        <f t="shared" si="14"/>
        <v>-7.2231559859393529E-2</v>
      </c>
      <c r="BJ87">
        <f t="shared" si="11"/>
        <v>-6.8287074445241069E-2</v>
      </c>
    </row>
    <row r="88" spans="1:62" ht="15.6" x14ac:dyDescent="0.35">
      <c r="A88" t="s">
        <v>7</v>
      </c>
      <c r="B88" s="13">
        <v>4</v>
      </c>
      <c r="C88" s="35">
        <f t="shared" si="16"/>
        <v>0</v>
      </c>
      <c r="D88" s="36">
        <f t="shared" si="16"/>
        <v>0.59948533810149751</v>
      </c>
      <c r="E88" s="21">
        <f t="shared" si="16"/>
        <v>0.23789100718313394</v>
      </c>
      <c r="F88" s="21">
        <f t="shared" si="16"/>
        <v>0.50432893522824396</v>
      </c>
      <c r="G88" s="37">
        <f t="shared" si="16"/>
        <v>8.2595757693984098</v>
      </c>
      <c r="H88" s="17">
        <f>SUM(C88:G88)</f>
        <v>9.6012810499112859</v>
      </c>
      <c r="I88" s="17">
        <f>G88/H88*100</f>
        <v>86.025768087215056</v>
      </c>
      <c r="J88" s="17">
        <f>SQRT(I88*(100-I88)/(L88-1))</f>
        <v>1.092063738094853</v>
      </c>
      <c r="K88" s="18">
        <f>100-I88</f>
        <v>13.974231912784944</v>
      </c>
      <c r="L88" s="1">
        <f>H77</f>
        <v>1009</v>
      </c>
      <c r="M88">
        <v>4</v>
      </c>
      <c r="N88" s="1">
        <v>7965.53</v>
      </c>
      <c r="O88" s="17">
        <f>N88/N89*100</f>
        <v>9.6012810499112859</v>
      </c>
      <c r="P88" s="52">
        <f>((O88*O88*(I88/100)*(K88/100))/(L88-1))</f>
        <v>1.0993964706942508E-2</v>
      </c>
      <c r="S88" t="s">
        <v>30</v>
      </c>
      <c r="T88" s="57">
        <f>C236</f>
        <v>100</v>
      </c>
      <c r="U88" s="57">
        <f t="shared" si="17"/>
        <v>80.651383103938841</v>
      </c>
      <c r="V88" s="57">
        <f t="shared" si="17"/>
        <v>98.338877305748909</v>
      </c>
      <c r="W88" s="57">
        <f t="shared" si="17"/>
        <v>92.869770478626606</v>
      </c>
      <c r="X88" s="57">
        <f t="shared" si="17"/>
        <v>79.23157208753851</v>
      </c>
      <c r="AC88" t="s">
        <v>179</v>
      </c>
      <c r="AD88" s="51">
        <v>0.92524682651622003</v>
      </c>
      <c r="AE88" s="51">
        <v>0.94741962141440805</v>
      </c>
      <c r="AH88" s="78"/>
      <c r="AI88" s="78"/>
      <c r="AK88" s="1" t="s">
        <v>19</v>
      </c>
      <c r="AL88" s="1">
        <f>SUM(AL83:AL87)</f>
        <v>451</v>
      </c>
      <c r="AM88" s="1">
        <f>SUM(AM83:AM87)</f>
        <v>142</v>
      </c>
      <c r="AN88" s="1">
        <f>SUM(AN83:AN87)</f>
        <v>734</v>
      </c>
      <c r="AO88" s="1">
        <f>SUM(AO83:AO87)</f>
        <v>617</v>
      </c>
      <c r="AP88" s="1">
        <f>SUM(AP83:AP87)</f>
        <v>892</v>
      </c>
      <c r="AQ88" s="1">
        <f>SUM(AQ82:AQ87)</f>
        <v>2836</v>
      </c>
      <c r="AR88" s="13" t="s">
        <v>12</v>
      </c>
      <c r="BF88" s="51">
        <v>0.94540568738133801</v>
      </c>
      <c r="BG88" s="1">
        <v>25</v>
      </c>
      <c r="BH88">
        <f t="shared" si="13"/>
        <v>-0.68828739090267188</v>
      </c>
      <c r="BI88">
        <f t="shared" si="14"/>
        <v>-6.9018444245033631E-2</v>
      </c>
      <c r="BJ88">
        <f t="shared" si="11"/>
        <v>-6.5250429723466577E-2</v>
      </c>
    </row>
    <row r="89" spans="1:62" x14ac:dyDescent="0.3">
      <c r="B89" t="s">
        <v>28</v>
      </c>
      <c r="C89" s="17">
        <f>SUM(C84:C88)</f>
        <v>0.24162520249942143</v>
      </c>
      <c r="D89" s="17">
        <f>SUM(D84:D88)</f>
        <v>2.1162675410921961</v>
      </c>
      <c r="E89" s="17">
        <f>SUM(E84:E88)</f>
        <v>56.472690790633756</v>
      </c>
      <c r="F89" s="17">
        <f>SUM(F84:F88)</f>
        <v>30.386936471187369</v>
      </c>
      <c r="G89" s="17">
        <f>SUM(G84:G88)</f>
        <v>10.78247999458727</v>
      </c>
      <c r="H89" s="1">
        <f>SUM(H83:H88)</f>
        <v>100</v>
      </c>
      <c r="I89" s="13" t="s">
        <v>24</v>
      </c>
      <c r="J89" s="12" t="s">
        <v>29</v>
      </c>
      <c r="N89" s="1">
        <f>SUM(N84:N88)</f>
        <v>82963.199999999997</v>
      </c>
      <c r="O89" s="17">
        <f>SUM(O84:O88)</f>
        <v>100</v>
      </c>
      <c r="S89" s="66" t="s">
        <v>39</v>
      </c>
      <c r="T89" s="67">
        <f>C237</f>
        <v>0</v>
      </c>
      <c r="U89" s="67">
        <f t="shared" si="17"/>
        <v>4.6888819704821394</v>
      </c>
      <c r="V89" s="67">
        <f t="shared" si="17"/>
        <v>0.33559943792648517</v>
      </c>
      <c r="W89" s="67">
        <f t="shared" si="17"/>
        <v>1.2499083654282606</v>
      </c>
      <c r="X89" s="67">
        <f t="shared" si="17"/>
        <v>3.6195976048712479</v>
      </c>
      <c r="AC89" t="s">
        <v>180</v>
      </c>
      <c r="AD89" s="51">
        <v>0.92172073342736205</v>
      </c>
      <c r="AE89" s="51">
        <v>0.94733008682164299</v>
      </c>
      <c r="AJ89" s="1" t="s">
        <v>316</v>
      </c>
      <c r="AK89" s="1" t="s">
        <v>2</v>
      </c>
      <c r="AL89" s="10">
        <f>AL83/AL88</f>
        <v>1</v>
      </c>
      <c r="AM89" s="10">
        <f>AM84/AM88</f>
        <v>0.38732394366197181</v>
      </c>
      <c r="AN89" s="10">
        <f>AN85/AN88</f>
        <v>0.97138964577656672</v>
      </c>
      <c r="AO89" s="10">
        <f>AO86/AO88</f>
        <v>0.89303079416531606</v>
      </c>
      <c r="AP89" s="10">
        <f>AP87/AP88</f>
        <v>0.9652466367713004</v>
      </c>
      <c r="AQ89" s="10"/>
      <c r="AR89" s="14">
        <f>(AL83+AM84+AN85+AO86+AP87)/AQ88</f>
        <v>0.92771509167842026</v>
      </c>
      <c r="BF89" s="51">
        <v>0.94540905510478102</v>
      </c>
      <c r="BG89" s="1">
        <v>26</v>
      </c>
      <c r="BH89">
        <f t="shared" si="13"/>
        <v>-0.65693619279658544</v>
      </c>
      <c r="BI89">
        <f t="shared" si="14"/>
        <v>-6.5874683445257612E-2</v>
      </c>
      <c r="BJ89">
        <f t="shared" si="11"/>
        <v>-6.2278522231307559E-2</v>
      </c>
    </row>
    <row r="90" spans="1:62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8.2559161705263118E-2</v>
      </c>
      <c r="E90" s="18">
        <f>SQRT(SUM((O84*O84*(E84/O84)*(1-E84/O84))/L84,(O85*O85*(E85/O85)*(1-E85/O85))/L85,(O86*O86*(E86/O86)*(1-E86/O86))/L86,(O87*O87*(E87/O87)*(1-E87/O87))/L87,(O88*O88*(E88/O88)*(1-E88/O88))/L88))</f>
        <v>0.45994348347136049</v>
      </c>
      <c r="F90" s="18">
        <f>SQRT(SUM((O84*O84*(F84/O84)*(1-F84/O84))/L84,(O85*O85*(F85/O85)*(1-F85/O85))/L85,(O86*O86*(F86/O86)*(1-F86/O86))/L86,(O87*O87*(F87/O87)*(1-F87/O87))/L87,(O88*O88*(F88/O88)*(1-F88/O88))/L88))</f>
        <v>0.48734645754205475</v>
      </c>
      <c r="G90" s="18">
        <f>SQRT(SUM((O84*O84*(G84/O84)*(1-G84/O84))/L84,(O85*O85*(G85/O85)*(1-G85/O85))/L85,(O86*O86*(G86/O86)*(1-G86/O86))/L86,(O87*O87*(G87/O87)*(1-G87/O87))/L87,(O88*O88*(G88/O88)*(1-G88/O88))/L88))</f>
        <v>0.39772390227515664</v>
      </c>
      <c r="H90" s="1"/>
      <c r="I90" s="14">
        <f>(C84+D85+E86+F87+G88)/H89</f>
        <v>0.93928544864962948</v>
      </c>
      <c r="J90" s="53">
        <f>SQRT(SUM(P84:P88))/100</f>
        <v>5.5094009024723696E-3</v>
      </c>
      <c r="M90" s="1"/>
      <c r="N90" s="9"/>
      <c r="S90" t="s">
        <v>31</v>
      </c>
      <c r="T90" s="57">
        <f>I229</f>
        <v>100</v>
      </c>
      <c r="U90" s="57">
        <f>I230</f>
        <v>96.491228070175438</v>
      </c>
      <c r="V90" s="57">
        <f>I231</f>
        <v>96.065128900949802</v>
      </c>
      <c r="W90" s="57">
        <f>I232</f>
        <v>94.158075601374563</v>
      </c>
      <c r="X90" s="57">
        <f>I233</f>
        <v>84.737363726461851</v>
      </c>
      <c r="AC90" t="s">
        <v>181</v>
      </c>
      <c r="AD90" s="51">
        <v>0.910084626234132</v>
      </c>
      <c r="AE90" s="51">
        <v>0.94221828905644101</v>
      </c>
      <c r="AH90" s="78"/>
      <c r="AI90" s="78"/>
      <c r="AK90" s="1" t="s">
        <v>14</v>
      </c>
      <c r="AL90" s="11">
        <f>1-AL89</f>
        <v>0</v>
      </c>
      <c r="AM90" s="11">
        <f>1-AM89</f>
        <v>0.61267605633802824</v>
      </c>
      <c r="AN90" s="11">
        <f>1-AN89</f>
        <v>2.8610354223433276E-2</v>
      </c>
      <c r="AO90" s="11">
        <f>1-AO89</f>
        <v>0.10696920583468394</v>
      </c>
      <c r="AP90" s="11">
        <f>1-AP89</f>
        <v>3.4753363228699596E-2</v>
      </c>
      <c r="BF90" s="51">
        <v>0.94545761744478996</v>
      </c>
      <c r="BG90" s="1">
        <v>27</v>
      </c>
      <c r="BH90">
        <f t="shared" si="13"/>
        <v>-0.62621783615158122</v>
      </c>
      <c r="BI90">
        <f t="shared" si="14"/>
        <v>-6.2794381214787018E-2</v>
      </c>
      <c r="BJ90">
        <f t="shared" si="11"/>
        <v>-5.9369426052252407E-2</v>
      </c>
    </row>
    <row r="91" spans="1:62" x14ac:dyDescent="0.3">
      <c r="B91" s="1" t="s">
        <v>30</v>
      </c>
      <c r="C91" s="17">
        <f>C84/C89*100</f>
        <v>100</v>
      </c>
      <c r="D91" s="17">
        <f>D85/D89*100</f>
        <v>71.672516519716325</v>
      </c>
      <c r="E91" s="17">
        <f>E86/E89*100</f>
        <v>98.456120261046436</v>
      </c>
      <c r="F91" s="17">
        <f>F87/F89*100</f>
        <v>93.164183751929713</v>
      </c>
      <c r="G91" s="17">
        <f>G88/G89*100</f>
        <v>76.601818631193012</v>
      </c>
      <c r="H91" s="1"/>
      <c r="S91" s="66" t="s">
        <v>39</v>
      </c>
      <c r="T91" s="67">
        <f>J229</f>
        <v>0</v>
      </c>
      <c r="U91" s="67">
        <f>J230</f>
        <v>2.4588241692166148</v>
      </c>
      <c r="V91" s="67">
        <f>J231</f>
        <v>0.7166535107962011</v>
      </c>
      <c r="W91" s="67">
        <f>J232</f>
        <v>0.97301309901205002</v>
      </c>
      <c r="X91" s="67">
        <f>J233</f>
        <v>1.1327184787574289</v>
      </c>
      <c r="AC91" t="s">
        <v>182</v>
      </c>
      <c r="AD91" s="51">
        <v>0.91713681241184697</v>
      </c>
      <c r="AE91" s="51">
        <v>0.94332196264043</v>
      </c>
      <c r="AL91" s="2"/>
      <c r="BF91" s="51">
        <v>0.94548830381826998</v>
      </c>
      <c r="BG91" s="1">
        <v>28</v>
      </c>
      <c r="BH91">
        <f t="shared" si="13"/>
        <v>-0.59607938602766308</v>
      </c>
      <c r="BI91">
        <f t="shared" si="14"/>
        <v>-5.9772229469741457E-2</v>
      </c>
      <c r="BJ91">
        <f t="shared" si="11"/>
        <v>-5.651394385678226E-2</v>
      </c>
    </row>
    <row r="92" spans="1:62" ht="15.6" x14ac:dyDescent="0.35">
      <c r="B92" s="16" t="s">
        <v>39</v>
      </c>
      <c r="C92" s="18">
        <f>SQRT((C95+C96)/(C89*C89))</f>
        <v>0</v>
      </c>
      <c r="D92" s="18">
        <f>SQRT((D95+D96)/(D89*D89))</f>
        <v>5.7365200018565101</v>
      </c>
      <c r="E92" s="18">
        <f>SQRT((E95+E96)/(E89*E89))</f>
        <v>0.33994596351818079</v>
      </c>
      <c r="F92" s="18">
        <f>SQRT((F95+F96)/(F89*F89))</f>
        <v>1.321518457256269</v>
      </c>
      <c r="G92" s="18">
        <f>SQRT((G95+G96)/(G89*G89))</f>
        <v>3.5521940681127018</v>
      </c>
      <c r="H92" s="1"/>
      <c r="S92" s="66" t="s">
        <v>51</v>
      </c>
      <c r="T92" s="67">
        <f>N218*100</f>
        <v>100</v>
      </c>
      <c r="U92" s="67">
        <f>N219*100</f>
        <v>73.333333333333343</v>
      </c>
      <c r="V92" s="67">
        <f>N220*100</f>
        <v>94.589178356713418</v>
      </c>
      <c r="W92" s="67">
        <f>N221*100</f>
        <v>89.396411092985332</v>
      </c>
      <c r="X92" s="67">
        <f>N222*100</f>
        <v>90.142329994728527</v>
      </c>
      <c r="AC92" t="s">
        <v>183</v>
      </c>
      <c r="AD92" s="51">
        <v>0.93194640338504897</v>
      </c>
      <c r="AE92" s="51">
        <v>0.95646447213028296</v>
      </c>
      <c r="AH92" s="78"/>
      <c r="AI92" s="78"/>
      <c r="AJ92" t="s">
        <v>317</v>
      </c>
      <c r="AK92" s="15" t="s">
        <v>23</v>
      </c>
      <c r="AW92" s="12" t="s">
        <v>17</v>
      </c>
      <c r="AX92" s="1" t="s">
        <v>27</v>
      </c>
      <c r="AY92" s="1" t="s">
        <v>33</v>
      </c>
      <c r="BF92" s="51">
        <v>0.94569635170534505</v>
      </c>
      <c r="BG92" s="1">
        <v>29</v>
      </c>
      <c r="BH92">
        <f t="shared" si="13"/>
        <v>-0.56647294563250528</v>
      </c>
      <c r="BI92">
        <f t="shared" si="14"/>
        <v>-5.6803425329617289E-2</v>
      </c>
      <c r="BJ92">
        <f t="shared" si="11"/>
        <v>-5.3718792098586057E-2</v>
      </c>
    </row>
    <row r="93" spans="1:62" ht="15.6" x14ac:dyDescent="0.35">
      <c r="B93" s="1" t="s">
        <v>37</v>
      </c>
      <c r="C93" s="18">
        <f>100-C91</f>
        <v>0</v>
      </c>
      <c r="D93" s="18">
        <f>100-D91</f>
        <v>28.327483480283675</v>
      </c>
      <c r="E93" s="18">
        <f>100-E91</f>
        <v>1.5438797389535637</v>
      </c>
      <c r="F93" s="18">
        <f>100-F91</f>
        <v>6.8358162480702873</v>
      </c>
      <c r="G93" s="18">
        <f>100-G91</f>
        <v>23.398181368806988</v>
      </c>
      <c r="R93" s="16" t="s">
        <v>61</v>
      </c>
      <c r="S93" t="s">
        <v>9</v>
      </c>
      <c r="T93" s="30">
        <f>N229</f>
        <v>202.81</v>
      </c>
      <c r="U93" s="30">
        <f>N230</f>
        <v>1212.72</v>
      </c>
      <c r="V93" s="30">
        <f>N231</f>
        <v>48224.35</v>
      </c>
      <c r="W93" s="30">
        <f>N232</f>
        <v>25869.23</v>
      </c>
      <c r="X93" s="30">
        <f>N233</f>
        <v>7454.08</v>
      </c>
      <c r="Z93" t="s">
        <v>36</v>
      </c>
      <c r="AA93" s="1">
        <f>N234</f>
        <v>82963.19</v>
      </c>
      <c r="AC93" t="s">
        <v>184</v>
      </c>
      <c r="AD93" s="51">
        <v>0.924894217207334</v>
      </c>
      <c r="AE93" s="51">
        <v>0.95198426879981901</v>
      </c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  <c r="BF93" s="51">
        <v>0.94586871153838303</v>
      </c>
      <c r="BG93" s="1">
        <v>30</v>
      </c>
      <c r="BH93">
        <f t="shared" si="13"/>
        <v>-0.53735496659792503</v>
      </c>
      <c r="BI93">
        <f t="shared" si="14"/>
        <v>-5.3883601954833986E-2</v>
      </c>
      <c r="BJ93">
        <f t="shared" si="11"/>
        <v>-5.0966813154065919E-2</v>
      </c>
    </row>
    <row r="94" spans="1:62" ht="15.6" x14ac:dyDescent="0.35">
      <c r="B94" s="1" t="s">
        <v>25</v>
      </c>
      <c r="C94" s="1">
        <f>C78</f>
        <v>451</v>
      </c>
      <c r="D94" s="1">
        <f>D78</f>
        <v>118</v>
      </c>
      <c r="E94" s="1">
        <f>E78</f>
        <v>745</v>
      </c>
      <c r="F94" s="1">
        <f>F78</f>
        <v>611</v>
      </c>
      <c r="G94" s="1">
        <f>G78</f>
        <v>911</v>
      </c>
      <c r="R94" s="16" t="s">
        <v>318</v>
      </c>
      <c r="S94" t="s">
        <v>63</v>
      </c>
      <c r="T94" s="57">
        <f>$AA93*T86/100</f>
        <v>202.81000000000003</v>
      </c>
      <c r="U94" s="57">
        <f>$AA93*U86/100</f>
        <v>1450.896904699807</v>
      </c>
      <c r="V94" s="57">
        <f>$AA93*V86/100</f>
        <v>47109.327723062073</v>
      </c>
      <c r="W94" s="57">
        <f>$AA93*W86/100</f>
        <v>26228.092322570454</v>
      </c>
      <c r="X94" s="57">
        <f>$AA93*X86/100</f>
        <v>7972.0630496676522</v>
      </c>
      <c r="Z94" t="s">
        <v>36</v>
      </c>
      <c r="AA94" s="25">
        <f>SUM(T94:X94)</f>
        <v>82963.189999999988</v>
      </c>
      <c r="AC94" t="s">
        <v>185</v>
      </c>
      <c r="AD94" s="51">
        <v>0.91643159379407602</v>
      </c>
      <c r="AE94" s="51">
        <v>0.94228170770029296</v>
      </c>
      <c r="AH94" s="78"/>
      <c r="AI94" s="78"/>
      <c r="AJ94" t="s">
        <v>3</v>
      </c>
      <c r="AK94" s="13">
        <v>0</v>
      </c>
      <c r="AL94" s="29">
        <f>(AL83/$AU94)*$AX94</f>
        <v>0.24391540392793479</v>
      </c>
      <c r="AM94" s="31">
        <f t="shared" ref="AM94:AO95" si="18">(AM83/$AU94)*$AX94</f>
        <v>0</v>
      </c>
      <c r="AN94" s="31">
        <f t="shared" si="18"/>
        <v>0</v>
      </c>
      <c r="AO94" s="31">
        <f t="shared" si="18"/>
        <v>0</v>
      </c>
      <c r="AP94" s="32">
        <f>(AP83/$AU94)*$AX94</f>
        <v>0</v>
      </c>
      <c r="AQ94" s="17">
        <f>SUM(AL94:AP94)</f>
        <v>0.24391540392793479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451</v>
      </c>
      <c r="AV94">
        <v>0</v>
      </c>
      <c r="AW94" s="1">
        <v>202.36</v>
      </c>
      <c r="AX94" s="17">
        <f>AW94/AW99*100</f>
        <v>0.24391540392793479</v>
      </c>
      <c r="AY94" s="52">
        <f>((AX94*AX94*(AR94/100)*(AT94/100))/(AU94-1))</f>
        <v>0</v>
      </c>
      <c r="BF94" s="51">
        <v>0.94596633313137601</v>
      </c>
      <c r="BG94" s="1">
        <v>31</v>
      </c>
      <c r="BH94">
        <f t="shared" si="13"/>
        <v>-0.50868566982760044</v>
      </c>
      <c r="BI94">
        <f t="shared" si="14"/>
        <v>-5.1008770471880419E-2</v>
      </c>
      <c r="BJ94">
        <f t="shared" si="11"/>
        <v>-4.8252579560824731E-2</v>
      </c>
    </row>
    <row r="95" spans="1:62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119.8786152402996</v>
      </c>
      <c r="E95" s="18">
        <f>(O86*O86*(100-E91)*(100-E91)*(I86)*(100-I86))/((L86-1)*100)</f>
        <v>42.482822307804071</v>
      </c>
      <c r="F95" s="18">
        <f>(O87*O87*(100-F91)*(100-F91)*(I87)*(100-I87))/((L87-1)*100)</f>
        <v>527.16531850527986</v>
      </c>
      <c r="G95" s="18">
        <f>(O88*O88*(100-G91)*(100-G91)*(I88)*(100-I88))/((L88-1)*100)</f>
        <v>601.89196336324301</v>
      </c>
      <c r="R95" s="66"/>
      <c r="S95" s="66" t="s">
        <v>62</v>
      </c>
      <c r="T95" s="67">
        <f>$AA93*T87/100</f>
        <v>0</v>
      </c>
      <c r="U95" s="67">
        <f>$AA93*U87/100</f>
        <v>53.566358409728238</v>
      </c>
      <c r="V95" s="67">
        <f>$AA93*V87/100</f>
        <v>376.38535572187988</v>
      </c>
      <c r="W95" s="67">
        <f>$AA93*W87/100</f>
        <v>387.8035113967386</v>
      </c>
      <c r="X95" s="67">
        <f>$AA93*X87/100</f>
        <v>301.07568148958302</v>
      </c>
      <c r="AA95" s="1"/>
      <c r="AC95" t="s">
        <v>186</v>
      </c>
      <c r="AD95" s="51">
        <v>0.915021156558533</v>
      </c>
      <c r="AE95" s="51">
        <v>0.94659014343881098</v>
      </c>
      <c r="AJ95" t="s">
        <v>4</v>
      </c>
      <c r="AK95" s="13">
        <v>1</v>
      </c>
      <c r="AL95" s="33">
        <f t="shared" ref="AL95:AO98" si="19">(AL84/$AU95)*$AX95</f>
        <v>0</v>
      </c>
      <c r="AM95" s="34">
        <f>(AM84/$AU95)*$AX95</f>
        <v>1.4363683671563974</v>
      </c>
      <c r="AN95" s="19">
        <f t="shared" si="18"/>
        <v>5.2231576987505357E-2</v>
      </c>
      <c r="AO95" s="18">
        <f t="shared" si="18"/>
        <v>0</v>
      </c>
      <c r="AP95" s="20">
        <f>(AP84/$AU95)*$AX95</f>
        <v>0</v>
      </c>
      <c r="AQ95" s="17">
        <f>SUM(AL95:AP95)</f>
        <v>1.4885999441439028</v>
      </c>
      <c r="AR95" s="17">
        <f>AM95/AQ95*100</f>
        <v>96.491228070175424</v>
      </c>
      <c r="AS95" s="17">
        <f>SQRT(AR95*(100-AR95)/(AU95-1))</f>
        <v>2.4588241692166193</v>
      </c>
      <c r="AT95" s="18">
        <f>100-AR95</f>
        <v>3.5087719298245759</v>
      </c>
      <c r="AU95" s="1">
        <f>AQ84</f>
        <v>57</v>
      </c>
      <c r="AV95">
        <v>1</v>
      </c>
      <c r="AW95" s="1">
        <v>1234.99</v>
      </c>
      <c r="AX95" s="17">
        <f>AW95/AW99*100</f>
        <v>1.4885999441439028</v>
      </c>
      <c r="AY95" s="52">
        <f>((AX95*AX95*(AR95/100)*(AT95/100))/(AU95-1))</f>
        <v>1.3397104455633402E-3</v>
      </c>
      <c r="BF95" s="51">
        <v>0.94596638164895397</v>
      </c>
      <c r="BG95" s="1">
        <v>32</v>
      </c>
      <c r="BH95">
        <f t="shared" si="13"/>
        <v>-0.48042855588587818</v>
      </c>
      <c r="BI95">
        <f t="shared" si="14"/>
        <v>-4.817527087724946E-2</v>
      </c>
      <c r="BJ95">
        <f t="shared" si="11"/>
        <v>-4.5572186676709897E-2</v>
      </c>
    </row>
    <row r="96" spans="1:62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27.501253751996433</v>
      </c>
      <c r="E96" s="18">
        <f>E91*E91*(SUM((H84*E84*(1-E73/H73))/(H73-1),(H85*E85*(1-E74/H74))/(H74-1), (H87*E87*(1-E76/H76))/(H76-1),(H88*E88*(1-E77/H77))/(H77-1)))</f>
        <v>326.06745323063433</v>
      </c>
      <c r="F96" s="18">
        <f>F91*F91*(SUM((H84*F84*(1-F73/H73))/(H73-1),(H85*F85*(1-F74/H74))/(H74-1), (H86*F86*(1-F75/H75))/(H75-1),(H88*F88*(1-F77/H77))/(H77-1)))</f>
        <v>1085.4110907825989</v>
      </c>
      <c r="G96" s="18">
        <f>G91*G91*(SUM((H84*G84*(1-G73/H73))/(H73-1),(H85*G85*(1-G74/H74))/(H74-1), (H86*G86*(1-G75/H75))/(H75-1),(H87*G87*(1-G76/H76))/(H76-1)))</f>
        <v>865.10998785853519</v>
      </c>
      <c r="R96" t="s">
        <v>96</v>
      </c>
      <c r="S96" t="s">
        <v>28</v>
      </c>
      <c r="T96" s="57">
        <f>C263</f>
        <v>0.26463543651105992</v>
      </c>
      <c r="U96" s="57">
        <f t="shared" ref="U96:X99" si="20">D263</f>
        <v>2.542417796468234</v>
      </c>
      <c r="V96" s="57">
        <f t="shared" si="20"/>
        <v>57.494351854630921</v>
      </c>
      <c r="W96" s="57">
        <f t="shared" si="20"/>
        <v>29.85464095753624</v>
      </c>
      <c r="X96" s="57">
        <f t="shared" si="20"/>
        <v>9.8439539548535695</v>
      </c>
      <c r="Y96" s="13"/>
      <c r="Z96" s="74"/>
      <c r="AA96" s="12"/>
      <c r="AC96" t="s">
        <v>187</v>
      </c>
      <c r="AD96" s="51">
        <v>0.91043723554301803</v>
      </c>
      <c r="AE96" s="51">
        <v>0.94241582743714802</v>
      </c>
      <c r="AH96" s="78"/>
      <c r="AI96" s="78"/>
      <c r="AJ96" t="s">
        <v>5</v>
      </c>
      <c r="AK96" s="13">
        <v>2</v>
      </c>
      <c r="AL96" s="33">
        <f t="shared" si="19"/>
        <v>0</v>
      </c>
      <c r="AM96" s="19">
        <f t="shared" si="19"/>
        <v>7.9192581667330522E-2</v>
      </c>
      <c r="AN96" s="34">
        <f t="shared" si="19"/>
        <v>56.464310728806666</v>
      </c>
      <c r="AO96" s="19">
        <f t="shared" si="19"/>
        <v>1.0295035616752968</v>
      </c>
      <c r="AP96" s="20">
        <f>(AP85/$AU96)*$AX96</f>
        <v>0.79192581667330531</v>
      </c>
      <c r="AQ96" s="17">
        <f>SUM(AL96:AP96)</f>
        <v>58.364932688822599</v>
      </c>
      <c r="AR96" s="17">
        <f>AN96/AQ96*100</f>
        <v>96.743554952510181</v>
      </c>
      <c r="AS96" s="17">
        <f>SQRT(AR96*(100-AR96)/(AU96-1))</f>
        <v>0.65425039084076997</v>
      </c>
      <c r="AT96" s="18">
        <f>100-AR96</f>
        <v>3.2564450474898194</v>
      </c>
      <c r="AU96" s="1">
        <f>AQ85</f>
        <v>737</v>
      </c>
      <c r="AV96">
        <v>2</v>
      </c>
      <c r="AW96" s="1">
        <v>48421.41</v>
      </c>
      <c r="AX96" s="17">
        <f>AW96/AW99*100</f>
        <v>58.364932688822599</v>
      </c>
      <c r="AY96" s="52">
        <f>((AX96*AX96*(AR96/100)*(AT96/100))/(AU96-1))</f>
        <v>0.14581156104393078</v>
      </c>
      <c r="BF96" s="51">
        <v>0.94612916500005195</v>
      </c>
      <c r="BG96" s="1">
        <v>33</v>
      </c>
      <c r="BH96">
        <f t="shared" si="13"/>
        <v>-0.4525499884018015</v>
      </c>
      <c r="BI96">
        <f t="shared" si="14"/>
        <v>-4.5379730263018975E-2</v>
      </c>
      <c r="BJ96">
        <f t="shared" si="11"/>
        <v>-4.2935086301677729E-2</v>
      </c>
    </row>
    <row r="97" spans="1:62" x14ac:dyDescent="0.3">
      <c r="S97" s="66" t="s">
        <v>39</v>
      </c>
      <c r="T97" s="67">
        <f>C264</f>
        <v>0</v>
      </c>
      <c r="U97" s="67">
        <f t="shared" si="20"/>
        <v>0.11095420900245792</v>
      </c>
      <c r="V97" s="67">
        <f t="shared" si="20"/>
        <v>0.40289571609711949</v>
      </c>
      <c r="W97" s="67">
        <f t="shared" si="20"/>
        <v>0.40515540142213885</v>
      </c>
      <c r="X97" s="67">
        <f t="shared" si="20"/>
        <v>0.36561699152822247</v>
      </c>
      <c r="AC97" t="s">
        <v>188</v>
      </c>
      <c r="AD97" s="51">
        <v>0.91466854724964697</v>
      </c>
      <c r="AE97" s="51">
        <v>0.94586871153838303</v>
      </c>
      <c r="AJ97" t="s">
        <v>6</v>
      </c>
      <c r="AK97" s="13">
        <v>3</v>
      </c>
      <c r="AL97" s="33">
        <f t="shared" si="19"/>
        <v>0</v>
      </c>
      <c r="AM97" s="19">
        <f t="shared" si="19"/>
        <v>0</v>
      </c>
      <c r="AN97" s="19">
        <f t="shared" si="19"/>
        <v>0.53235405217671694</v>
      </c>
      <c r="AO97" s="34">
        <f t="shared" si="19"/>
        <v>29.332708274937101</v>
      </c>
      <c r="AP97" s="20">
        <f>(AP86/$AU97)*$AX97</f>
        <v>1.1179435095711054</v>
      </c>
      <c r="AQ97" s="17">
        <f>SUM(AL97:AP97)</f>
        <v>30.983005836684924</v>
      </c>
      <c r="AR97" s="17">
        <f>AO97/AQ97*100</f>
        <v>94.673539518900341</v>
      </c>
      <c r="AS97" s="17">
        <f>SQRT(AR97*(100-AR97)/(AU97-1))</f>
        <v>0.93163457010175987</v>
      </c>
      <c r="AT97" s="18">
        <f>100-AR97</f>
        <v>5.3264604810996588</v>
      </c>
      <c r="AU97" s="1">
        <f>AQ86</f>
        <v>582</v>
      </c>
      <c r="AV97">
        <v>3</v>
      </c>
      <c r="AW97" s="1">
        <v>25704.49</v>
      </c>
      <c r="AX97" s="17">
        <f>AW97/AW99*100</f>
        <v>30.983005836684924</v>
      </c>
      <c r="AY97" s="52">
        <f>((AX97*AX97*(AR97/100)*(AT97/100))/(AU97-1))</f>
        <v>8.3317894914955073E-2</v>
      </c>
      <c r="BF97" s="51">
        <v>0.94625759485701699</v>
      </c>
      <c r="BG97" s="1">
        <v>34</v>
      </c>
      <c r="BH97">
        <f t="shared" si="13"/>
        <v>-0.42501883739125579</v>
      </c>
      <c r="BI97">
        <f t="shared" si="14"/>
        <v>-4.2619027050759137E-2</v>
      </c>
      <c r="BJ97">
        <f t="shared" si="11"/>
        <v>-4.0328578032197485E-2</v>
      </c>
    </row>
    <row r="98" spans="1:62" x14ac:dyDescent="0.3">
      <c r="S98" t="s">
        <v>30</v>
      </c>
      <c r="T98" s="57">
        <f>C265</f>
        <v>100</v>
      </c>
      <c r="U98" s="57">
        <f t="shared" si="20"/>
        <v>58.910187137506767</v>
      </c>
      <c r="V98" s="57">
        <f t="shared" si="20"/>
        <v>98.7322214975067</v>
      </c>
      <c r="W98" s="57">
        <f t="shared" si="20"/>
        <v>95.786285555336406</v>
      </c>
      <c r="X98" s="57">
        <f t="shared" si="20"/>
        <v>79.709023175901621</v>
      </c>
      <c r="AA98" s="54"/>
      <c r="AC98" t="s">
        <v>189</v>
      </c>
      <c r="AD98" s="51">
        <v>0.92172073342736205</v>
      </c>
      <c r="AE98" s="51">
        <v>0.94545761744478996</v>
      </c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9"/>
        <v>0.76023881751454436</v>
      </c>
      <c r="AN98" s="21">
        <f t="shared" si="19"/>
        <v>7.9559876251522083E-2</v>
      </c>
      <c r="AO98" s="21">
        <f t="shared" si="19"/>
        <v>0.46851927125896342</v>
      </c>
      <c r="AP98" s="37">
        <f>(AP87/$AU98)*$AX98</f>
        <v>7.6112281613956139</v>
      </c>
      <c r="AQ98" s="17">
        <f>SUM(AL98:AP98)</f>
        <v>8.9195461264206433</v>
      </c>
      <c r="AR98" s="17">
        <f>AP98/AQ98*100</f>
        <v>85.332011892963337</v>
      </c>
      <c r="AS98" s="17">
        <f>SQRT(AR98*(100-AR98)/(AU98-1))</f>
        <v>1.1143227601931236</v>
      </c>
      <c r="AT98" s="18">
        <f>100-AR98</f>
        <v>14.667988107036663</v>
      </c>
      <c r="AU98" s="1">
        <f>AQ87</f>
        <v>1009</v>
      </c>
      <c r="AV98">
        <v>4</v>
      </c>
      <c r="AW98" s="1">
        <v>7399.94</v>
      </c>
      <c r="AX98" s="17">
        <f>AW98/AW99*100</f>
        <v>8.9195461264206433</v>
      </c>
      <c r="AY98" s="52">
        <f>((AX98*AX98*(AR98/100)*(AT98/100))/(AU98-1))</f>
        <v>9.8788755351768912E-3</v>
      </c>
      <c r="BF98" s="51">
        <v>0.94628616306740998</v>
      </c>
      <c r="BG98" s="1">
        <v>35</v>
      </c>
      <c r="BH98">
        <f t="shared" si="13"/>
        <v>-0.39780617203394542</v>
      </c>
      <c r="BI98">
        <f t="shared" si="14"/>
        <v>-3.9890260184553578E-2</v>
      </c>
      <c r="BJ98">
        <f t="shared" si="11"/>
        <v>-3.7747601253801881E-2</v>
      </c>
    </row>
    <row r="99" spans="1:62" x14ac:dyDescent="0.3">
      <c r="A99" s="348" t="s">
        <v>371</v>
      </c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 t="s">
        <v>57</v>
      </c>
      <c r="M99" s="348"/>
      <c r="N99" s="348"/>
      <c r="O99" s="348"/>
      <c r="P99" s="348"/>
      <c r="S99" s="66" t="s">
        <v>39</v>
      </c>
      <c r="T99" s="67">
        <f>C266</f>
        <v>0</v>
      </c>
      <c r="U99" s="67">
        <f t="shared" si="20"/>
        <v>6.6253917649360812</v>
      </c>
      <c r="V99" s="67">
        <f t="shared" si="20"/>
        <v>0.32712848308420406</v>
      </c>
      <c r="W99" s="67">
        <f t="shared" si="20"/>
        <v>0.96018183965867798</v>
      </c>
      <c r="X99" s="67">
        <f t="shared" si="20"/>
        <v>3.5722412470779594</v>
      </c>
      <c r="AC99" t="s">
        <v>190</v>
      </c>
      <c r="AD99" s="51">
        <v>0.92383638928067702</v>
      </c>
      <c r="AE99" s="51">
        <v>0.946550970703538</v>
      </c>
      <c r="AK99" t="s">
        <v>28</v>
      </c>
      <c r="AL99" s="17">
        <f t="shared" ref="AL99:AQ99" si="21">SUM(AL94:AL98)</f>
        <v>0.24391540392793479</v>
      </c>
      <c r="AM99" s="17">
        <f t="shared" si="21"/>
        <v>2.2757997663382721</v>
      </c>
      <c r="AN99" s="17">
        <f t="shared" si="21"/>
        <v>57.128456234222405</v>
      </c>
      <c r="AO99" s="17">
        <f t="shared" si="21"/>
        <v>30.830731107871362</v>
      </c>
      <c r="AP99" s="17">
        <f t="shared" si="21"/>
        <v>9.5210974876400236</v>
      </c>
      <c r="AQ99" s="18">
        <f t="shared" si="21"/>
        <v>100</v>
      </c>
      <c r="AR99" s="13" t="s">
        <v>24</v>
      </c>
      <c r="AS99" s="12" t="s">
        <v>29</v>
      </c>
      <c r="AW99" s="1">
        <f>SUM(AW94:AW98)</f>
        <v>82963.19</v>
      </c>
      <c r="AX99" s="17">
        <f>SUM(AX94:AX98)</f>
        <v>100</v>
      </c>
      <c r="BF99" s="51">
        <v>0.94635182045344102</v>
      </c>
      <c r="BG99" s="1">
        <v>36</v>
      </c>
      <c r="BH99">
        <f t="shared" si="13"/>
        <v>-0.37088499448209117</v>
      </c>
      <c r="BI99">
        <f t="shared" si="14"/>
        <v>-3.7190722438501737E-2</v>
      </c>
      <c r="BJ99">
        <f t="shared" si="11"/>
        <v>-3.5195507883654754E-2</v>
      </c>
    </row>
    <row r="100" spans="1:62" x14ac:dyDescent="0.3">
      <c r="A100" t="s">
        <v>315</v>
      </c>
      <c r="B100" t="s">
        <v>21</v>
      </c>
      <c r="I100" s="1" t="s">
        <v>53</v>
      </c>
      <c r="O100" s="350" t="s">
        <v>377</v>
      </c>
      <c r="P100" s="350"/>
      <c r="S100" t="s">
        <v>31</v>
      </c>
      <c r="T100" s="57">
        <f>I258</f>
        <v>100</v>
      </c>
      <c r="U100" s="57">
        <f>I259</f>
        <v>96.491228070175438</v>
      </c>
      <c r="V100" s="57">
        <f>I260</f>
        <v>97.150610583446394</v>
      </c>
      <c r="W100" s="57">
        <f>I261</f>
        <v>93.814432989690715</v>
      </c>
      <c r="X100" s="57">
        <f>I262</f>
        <v>84.638255698711589</v>
      </c>
      <c r="AC100" t="s">
        <v>191</v>
      </c>
      <c r="AD100" s="51">
        <v>0.92136812411847602</v>
      </c>
      <c r="AE100" s="51">
        <v>0.95195141663355698</v>
      </c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0.117161662664599</v>
      </c>
      <c r="AN100" s="18">
        <f>SQRT(SUM((AX94*AN94-AN94*AN94)/AU94,(AX95*AN95-AN95*AN95)/AU95,(AX96*AN96-AN96*AN96)/AU96,(AX97*AN97-AN97*AN97)/AU97,(AX98*AN98-AN98*AN98)/AU98))</f>
        <v>0.41890344787369943</v>
      </c>
      <c r="AO100" s="18">
        <f>SQRT(SUM((AX94*AO94-AO94*AO94)/AU94,(AX95*AO95-AO95*AO95)/AU95,(AX96*AO96-AO96*AO96)/AU96,(AX97*AO97-AO97*AO97)/AU97,(AX98*AO98-AO98*AO98)/AU98))</f>
        <v>0.40888853781418405</v>
      </c>
      <c r="AP100" s="18">
        <f>SQRT(SUM((AX94*AP94-AP94*AP94)/AU94,(AX95*AP95-AP95*AP95)/AU95,(AX96*AP96-AP96*AP96)/AU96,(AX97*AP97-AP97*AP97)/AU97,(AX98*AP98-AP98*AP98)/AU98))</f>
        <v>0.35930425362313367</v>
      </c>
      <c r="AQ100" s="1"/>
      <c r="AR100" s="56">
        <f>(AL94+AM95+AN96+AO97+AP98)/AQ99</f>
        <v>0.95088530936223714</v>
      </c>
      <c r="AS100" s="53">
        <f>SQRT(SUM(AY94:AY98))/100</f>
        <v>4.9025303868474503E-3</v>
      </c>
      <c r="AV100" s="1"/>
      <c r="AW100" s="9"/>
      <c r="BF100" s="51">
        <v>0.946374960857571</v>
      </c>
      <c r="BG100" s="1">
        <v>37</v>
      </c>
      <c r="BH100">
        <f t="shared" si="13"/>
        <v>-0.34423000787040897</v>
      </c>
      <c r="BI100">
        <f t="shared" si="14"/>
        <v>-3.4517877153775828E-2</v>
      </c>
      <c r="BJ100">
        <f t="shared" si="11"/>
        <v>-3.2666854640291045E-2</v>
      </c>
    </row>
    <row r="101" spans="1:62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51</v>
      </c>
      <c r="O101" s="13" t="s">
        <v>644</v>
      </c>
      <c r="P101" s="13" t="s">
        <v>633</v>
      </c>
      <c r="S101" s="66" t="s">
        <v>39</v>
      </c>
      <c r="T101" s="67">
        <f>J258</f>
        <v>0</v>
      </c>
      <c r="U101" s="67">
        <f>J259</f>
        <v>2.4588241692166148</v>
      </c>
      <c r="V101" s="67">
        <f>J260</f>
        <v>0.6132813578808467</v>
      </c>
      <c r="W101" s="67">
        <f>J261</f>
        <v>0.99939350092616819</v>
      </c>
      <c r="X101" s="67">
        <f>J262</f>
        <v>1.1357254351463504</v>
      </c>
      <c r="AC101" t="s">
        <v>192</v>
      </c>
      <c r="AD101" s="51">
        <v>0.91114245416078898</v>
      </c>
      <c r="AE101" s="51">
        <v>0.94707842871928405</v>
      </c>
      <c r="AK101" s="1" t="s">
        <v>30</v>
      </c>
      <c r="AL101" s="17">
        <f>AL94/AL99*100</f>
        <v>100</v>
      </c>
      <c r="AM101" s="17">
        <f>AM95/AM99*100</f>
        <v>63.114883321545143</v>
      </c>
      <c r="AN101" s="17">
        <f>AN96/AN99*100</f>
        <v>98.837452385037693</v>
      </c>
      <c r="AO101" s="17">
        <f>AO97/AO99*100</f>
        <v>95.141137497865557</v>
      </c>
      <c r="AP101" s="17">
        <f>AP98/AP99*100</f>
        <v>79.940659900565663</v>
      </c>
      <c r="AQ101" s="1"/>
      <c r="BF101" s="51">
        <v>0.94639296583382704</v>
      </c>
      <c r="BG101" s="1">
        <v>38</v>
      </c>
      <c r="BH101">
        <f t="shared" si="13"/>
        <v>-0.31781741294915428</v>
      </c>
      <c r="BI101">
        <f t="shared" si="14"/>
        <v>-3.186933784587348E-2</v>
      </c>
      <c r="BJ101">
        <f t="shared" si="11"/>
        <v>-3.0160917163116432E-2</v>
      </c>
    </row>
    <row r="102" spans="1:62" x14ac:dyDescent="0.3">
      <c r="A102" t="s">
        <v>3</v>
      </c>
      <c r="B102" s="13">
        <v>0</v>
      </c>
      <c r="C102" s="26">
        <v>451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451</v>
      </c>
      <c r="I102" s="10">
        <f>C102/H102</f>
        <v>1</v>
      </c>
      <c r="J102" s="11">
        <f>1-I102</f>
        <v>0</v>
      </c>
      <c r="K102">
        <f>H102-C107</f>
        <v>0</v>
      </c>
      <c r="N102" s="10">
        <f>2*(C108*I102)/(C108+I102)</f>
        <v>1</v>
      </c>
      <c r="O102" s="1"/>
      <c r="P102" s="1"/>
      <c r="S102" s="66" t="s">
        <v>51</v>
      </c>
      <c r="T102" s="67">
        <f>N247*100</f>
        <v>100</v>
      </c>
      <c r="U102" s="67">
        <f>N248*100</f>
        <v>49.773755656108605</v>
      </c>
      <c r="V102" s="67">
        <f>N249*100</f>
        <v>97.282608695652172</v>
      </c>
      <c r="W102" s="67">
        <f>N250*100</f>
        <v>92.464013547840821</v>
      </c>
      <c r="X102" s="67">
        <f>N251*100</f>
        <v>90.084388185654021</v>
      </c>
      <c r="AC102" t="s">
        <v>193</v>
      </c>
      <c r="AD102" s="51">
        <v>0.92630465444287702</v>
      </c>
      <c r="AE102" s="51">
        <v>0.95504100701050498</v>
      </c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6.6894426134528588</v>
      </c>
      <c r="AN102" s="18">
        <f>SQRT((AN105+AN106)/(AN99*AN99))</f>
        <v>0.30927443114784831</v>
      </c>
      <c r="AO102" s="18">
        <f>SQRT((AO105+AO106)/(AO99*AO99))</f>
        <v>1.004030974787786</v>
      </c>
      <c r="AP102" s="18">
        <f>SQRT((AP105+AP106)/(AP99*AP99))</f>
        <v>3.5781376817224078</v>
      </c>
      <c r="AQ102" s="1"/>
      <c r="BF102" s="51">
        <v>0.94652044928050982</v>
      </c>
      <c r="BG102" s="1">
        <v>39</v>
      </c>
      <c r="BH102">
        <f t="shared" si="13"/>
        <v>-0.29162472875305201</v>
      </c>
      <c r="BI102">
        <f t="shared" si="14"/>
        <v>-2.9242850222083651E-2</v>
      </c>
      <c r="BJ102">
        <f t="shared" si="11"/>
        <v>-2.7678955730449272E-2</v>
      </c>
    </row>
    <row r="103" spans="1:62" x14ac:dyDescent="0.3">
      <c r="A103" t="s">
        <v>4</v>
      </c>
      <c r="B103" s="13">
        <v>1</v>
      </c>
      <c r="C103" s="5">
        <v>0</v>
      </c>
      <c r="D103" s="27">
        <v>55</v>
      </c>
      <c r="E103" s="1">
        <v>2</v>
      </c>
      <c r="F103" s="1">
        <v>0</v>
      </c>
      <c r="G103" s="6">
        <v>0</v>
      </c>
      <c r="H103" s="1">
        <f>SUM(C103:G103)</f>
        <v>57</v>
      </c>
      <c r="I103" s="10">
        <f>D103/H103</f>
        <v>0.96491228070175439</v>
      </c>
      <c r="J103" s="11">
        <f>1-I103</f>
        <v>3.5087719298245612E-2</v>
      </c>
      <c r="K103">
        <f>H103-D107</f>
        <v>-48</v>
      </c>
      <c r="N103" s="10">
        <f>2*(D108*I103)/(D108+I103)</f>
        <v>0.67901234567901236</v>
      </c>
      <c r="O103" s="1"/>
      <c r="P103" s="1"/>
      <c r="R103" s="16" t="s">
        <v>61</v>
      </c>
      <c r="S103" t="s">
        <v>9</v>
      </c>
      <c r="T103" s="30">
        <f>N258</f>
        <v>219.55</v>
      </c>
      <c r="U103" s="30">
        <f>N259</f>
        <v>1287.76</v>
      </c>
      <c r="V103" s="30">
        <f>N260</f>
        <v>48475.69</v>
      </c>
      <c r="W103" s="30">
        <f>N261</f>
        <v>25288.959999999999</v>
      </c>
      <c r="X103" s="30">
        <f>N262</f>
        <v>7691.23</v>
      </c>
      <c r="Z103" t="s">
        <v>36</v>
      </c>
      <c r="AA103" s="1">
        <f>N263</f>
        <v>82963.189999999988</v>
      </c>
      <c r="AC103" t="s">
        <v>194</v>
      </c>
      <c r="AD103" s="51">
        <v>0.917489421720733</v>
      </c>
      <c r="AE103" s="51">
        <v>0.944870916586242</v>
      </c>
      <c r="AK103" s="1" t="s">
        <v>37</v>
      </c>
      <c r="AL103" s="18">
        <f>100-AL101</f>
        <v>0</v>
      </c>
      <c r="AM103" s="18">
        <f>100-AM101</f>
        <v>36.885116678454857</v>
      </c>
      <c r="AN103" s="18">
        <f>100-AN101</f>
        <v>1.1625476149623069</v>
      </c>
      <c r="AO103" s="18">
        <f>100-AO101</f>
        <v>4.8588625021344427</v>
      </c>
      <c r="AP103" s="18">
        <f>100-AP101</f>
        <v>20.059340099434337</v>
      </c>
      <c r="BF103" s="51">
        <v>0.94653144290992697</v>
      </c>
      <c r="BG103" s="1">
        <v>40</v>
      </c>
      <c r="BH103">
        <f t="shared" si="13"/>
        <v>-0.26563063350790211</v>
      </c>
      <c r="BI103">
        <f t="shared" si="14"/>
        <v>-2.6636276228298016E-2</v>
      </c>
      <c r="BJ103">
        <f t="shared" si="11"/>
        <v>-2.5212072972118308E-2</v>
      </c>
    </row>
    <row r="104" spans="1:62" ht="15.6" x14ac:dyDescent="0.35">
      <c r="A104" t="s">
        <v>5</v>
      </c>
      <c r="B104" s="13">
        <v>2</v>
      </c>
      <c r="C104" s="5">
        <v>0</v>
      </c>
      <c r="D104" s="1">
        <v>0</v>
      </c>
      <c r="E104" s="27">
        <v>719</v>
      </c>
      <c r="F104" s="1">
        <v>11</v>
      </c>
      <c r="G104" s="6">
        <v>7</v>
      </c>
      <c r="H104" s="1">
        <f>SUM(C104:G104)</f>
        <v>737</v>
      </c>
      <c r="I104" s="10">
        <f>E104/H104</f>
        <v>0.97557666214382632</v>
      </c>
      <c r="J104" s="11">
        <f>1-I104</f>
        <v>2.4423337856173677E-2</v>
      </c>
      <c r="K104">
        <f>H104-E107</f>
        <v>-9</v>
      </c>
      <c r="N104" s="10">
        <f>2*(E108*I104)/(E108+I104)</f>
        <v>0.96965610249494261</v>
      </c>
      <c r="O104" s="1"/>
      <c r="P104" s="1"/>
      <c r="R104" s="16" t="s">
        <v>318</v>
      </c>
      <c r="S104" t="s">
        <v>63</v>
      </c>
      <c r="T104" s="57">
        <f>$AA103*T96/100</f>
        <v>219.54999999999995</v>
      </c>
      <c r="U104" s="57">
        <f>$AA103*U96/100</f>
        <v>2109.2709070777537</v>
      </c>
      <c r="V104" s="57">
        <f>$AA103*V96/100</f>
        <v>47699.148368425966</v>
      </c>
      <c r="W104" s="57">
        <f>$AA103*W96/100</f>
        <v>24768.362501418604</v>
      </c>
      <c r="X104" s="57">
        <f>$AA103*X96/100</f>
        <v>8166.8582230776801</v>
      </c>
      <c r="Z104" t="s">
        <v>36</v>
      </c>
      <c r="AA104" s="25">
        <f>SUM(T104:X104)</f>
        <v>82963.19</v>
      </c>
      <c r="AC104" t="s">
        <v>195</v>
      </c>
      <c r="AD104" s="51">
        <v>0.91713681241184697</v>
      </c>
      <c r="AE104" s="51">
        <v>0.94653269513417504</v>
      </c>
      <c r="AH104" s="78"/>
      <c r="AI104" s="78"/>
      <c r="AK104" s="1" t="s">
        <v>25</v>
      </c>
      <c r="AL104" s="1">
        <f>AL88</f>
        <v>451</v>
      </c>
      <c r="AM104" s="1">
        <f>AM88</f>
        <v>142</v>
      </c>
      <c r="AN104" s="1">
        <f>AN88</f>
        <v>734</v>
      </c>
      <c r="AO104" s="1">
        <f>AO88</f>
        <v>617</v>
      </c>
      <c r="AP104" s="1">
        <f>AP88</f>
        <v>892</v>
      </c>
      <c r="BF104" s="51">
        <v>0.94653269513417504</v>
      </c>
      <c r="BG104" s="1">
        <v>41</v>
      </c>
      <c r="BH104">
        <f t="shared" si="13"/>
        <v>-0.23981482260806397</v>
      </c>
      <c r="BI104">
        <f t="shared" si="14"/>
        <v>-2.4047579807615273E-2</v>
      </c>
      <c r="BJ104">
        <f t="shared" si="11"/>
        <v>-2.2761820526756252E-2</v>
      </c>
    </row>
    <row r="105" spans="1:62" x14ac:dyDescent="0.3">
      <c r="A105" t="s">
        <v>6</v>
      </c>
      <c r="B105" s="13">
        <v>3</v>
      </c>
      <c r="C105" s="5">
        <v>0</v>
      </c>
      <c r="D105" s="1">
        <v>0</v>
      </c>
      <c r="E105" s="1">
        <v>7</v>
      </c>
      <c r="F105" s="27">
        <v>549</v>
      </c>
      <c r="G105" s="6">
        <v>26</v>
      </c>
      <c r="H105" s="1">
        <f>SUM(C105:G105)</f>
        <v>582</v>
      </c>
      <c r="I105" s="10">
        <f>F105/H105</f>
        <v>0.94329896907216493</v>
      </c>
      <c r="J105" s="11">
        <f>1-I105</f>
        <v>5.6701030927835072E-2</v>
      </c>
      <c r="K105">
        <f>H105-F107</f>
        <v>-64</v>
      </c>
      <c r="N105" s="10">
        <f>2*(F108*I105)/(F108+I105)</f>
        <v>0.89413680781758953</v>
      </c>
      <c r="O105" s="1"/>
      <c r="P105" s="1"/>
      <c r="R105" s="66"/>
      <c r="S105" s="66" t="s">
        <v>62</v>
      </c>
      <c r="T105" s="67">
        <f>$AA103*T97/100</f>
        <v>0</v>
      </c>
      <c r="U105" s="67">
        <f>$AA103*U97/100</f>
        <v>92.051151227706256</v>
      </c>
      <c r="V105" s="67">
        <f>$AA103*V97/100</f>
        <v>334.25513844751373</v>
      </c>
      <c r="W105" s="67">
        <f>$AA103*W97/100</f>
        <v>336.12984547711176</v>
      </c>
      <c r="X105" s="67">
        <f>$AA103*X97/100</f>
        <v>303.32751935384306</v>
      </c>
      <c r="AA105" s="1"/>
      <c r="AC105" t="s">
        <v>196</v>
      </c>
      <c r="AD105" s="51">
        <v>0.924894217207334</v>
      </c>
      <c r="AE105" s="51">
        <v>0.95298250853853705</v>
      </c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182.26919131563312</v>
      </c>
      <c r="AN105" s="18">
        <f>(AX96*AX96*(100-AN101)*(100-AN101)*(AR96)*(100-AR96))/((AU96-1)*100)</f>
        <v>19.706679728546675</v>
      </c>
      <c r="AO105" s="18">
        <f>(AX97*AX97*(100-AO101)*(100-AO101)*(AR97)*(100-AR97))/((AU97-1)*100)</f>
        <v>196.70142559618643</v>
      </c>
      <c r="AP105" s="18">
        <f>(AX98*AX98*(100-AP101)*(100-AP101)*(AR98)*(100-AR98))/((AU98-1)*100)</f>
        <v>397.50335382978312</v>
      </c>
      <c r="BF105" s="51">
        <v>0.946550970703538</v>
      </c>
      <c r="BG105" s="1">
        <v>42</v>
      </c>
      <c r="BH105">
        <f t="shared" si="13"/>
        <v>-0.21415788100561844</v>
      </c>
      <c r="BI105">
        <f t="shared" si="14"/>
        <v>-2.1474814104085378E-2</v>
      </c>
      <c r="BJ105">
        <f t="shared" si="11"/>
        <v>-2.0327006135900043E-2</v>
      </c>
    </row>
    <row r="106" spans="1:62" x14ac:dyDescent="0.3">
      <c r="A106" t="s">
        <v>7</v>
      </c>
      <c r="B106" s="13">
        <v>4</v>
      </c>
      <c r="C106" s="7">
        <v>0</v>
      </c>
      <c r="D106" s="8">
        <v>50</v>
      </c>
      <c r="E106" s="8">
        <v>18</v>
      </c>
      <c r="F106" s="8">
        <v>86</v>
      </c>
      <c r="G106" s="28">
        <v>855</v>
      </c>
      <c r="H106" s="1">
        <f>SUM(C106:G106)</f>
        <v>1009</v>
      </c>
      <c r="I106" s="10">
        <f>G106/H106</f>
        <v>0.84737363726461845</v>
      </c>
      <c r="J106" s="11">
        <f>1-I106</f>
        <v>0.15262636273538155</v>
      </c>
      <c r="K106">
        <f>H106-G107</f>
        <v>121</v>
      </c>
      <c r="N106" s="10">
        <f>2*(G108*I106)/(G108+I106)</f>
        <v>0.90142329994728521</v>
      </c>
      <c r="O106" s="1"/>
      <c r="P106" s="1"/>
      <c r="R106" t="s">
        <v>97</v>
      </c>
      <c r="S106" t="s">
        <v>28</v>
      </c>
      <c r="T106" s="57">
        <f>C292</f>
        <v>0.24792923222937785</v>
      </c>
      <c r="U106" s="57">
        <f t="shared" ref="U106:X109" si="22">D292</f>
        <v>2.3234337579767215</v>
      </c>
      <c r="V106" s="57">
        <f t="shared" si="22"/>
        <v>56.846554774753578</v>
      </c>
      <c r="W106" s="57">
        <f t="shared" si="22"/>
        <v>30.241875985149917</v>
      </c>
      <c r="X106" s="57">
        <f t="shared" si="22"/>
        <v>10.340206249890407</v>
      </c>
      <c r="Y106" s="60"/>
      <c r="Z106" s="74"/>
      <c r="AA106" s="12"/>
      <c r="AC106" t="s">
        <v>197</v>
      </c>
      <c r="AD106" s="51">
        <v>0.91043723554301803</v>
      </c>
      <c r="AE106" s="51">
        <v>0.94700777728911301</v>
      </c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49.495867519101012</v>
      </c>
      <c r="AN106" s="18">
        <f>AN101*AN101*(SUM((AQ94*AN94*(1-AN83/AQ83))/(AQ83-1),(AQ95*AN95*(1-AN84/AQ84))/(AQ84-1), (AQ97*AN97*(1-AN86/AQ86))/(AQ86-1),(AQ98*AN98*(1-AN87/AQ87))/(AQ87-1)))</f>
        <v>292.46464714594407</v>
      </c>
      <c r="AO106" s="18">
        <f>AO101*AO101*(SUM((AQ94*AO94*(1-AO83/AQ83))/(AQ83-1),(AQ95*AO95*(1-AO84/AQ84))/(AQ84-1), (AQ96*AO96*(1-AO85/AQ85))/(AQ85-1),(AQ98*AO98*(1-AO87/AQ87))/(AQ87-1)))</f>
        <v>761.51115706789028</v>
      </c>
      <c r="AP106" s="18">
        <f>AP101*AP101*(SUM((AQ94*AP94*(1-AP83/AQ83))/(AQ83-1),(AQ95*AP95*(1-AP84/AQ84))/(AQ84-1), (AQ96*AP96*(1-AP85/AQ85))/(AQ85-1),(AQ97*AP97*(1-AP86/AQ86))/(AQ86-1)))</f>
        <v>763.11148574489835</v>
      </c>
      <c r="BF106" s="51">
        <v>0.94659014343881098</v>
      </c>
      <c r="BG106" s="1">
        <v>43</v>
      </c>
      <c r="BH106">
        <f t="shared" si="13"/>
        <v>-0.18864116776152437</v>
      </c>
      <c r="BI106">
        <f t="shared" si="14"/>
        <v>-1.891610988600527E-2</v>
      </c>
      <c r="BJ106">
        <f t="shared" si="11"/>
        <v>-1.7905803170298037E-2</v>
      </c>
    </row>
    <row r="107" spans="1:62" ht="15.6" x14ac:dyDescent="0.35">
      <c r="B107" s="1" t="s">
        <v>19</v>
      </c>
      <c r="C107" s="1">
        <f>SUM(C102:C106)</f>
        <v>451</v>
      </c>
      <c r="D107" s="1">
        <f>SUM(D102:D106)</f>
        <v>105</v>
      </c>
      <c r="E107" s="1">
        <f>SUM(E102:E106)</f>
        <v>746</v>
      </c>
      <c r="F107" s="1">
        <f>SUM(F102:F106)</f>
        <v>646</v>
      </c>
      <c r="G107" s="1">
        <f>SUM(G102:G106)</f>
        <v>888</v>
      </c>
      <c r="H107" s="1">
        <f>SUM(H101:H106)</f>
        <v>2836</v>
      </c>
      <c r="I107" s="13" t="s">
        <v>12</v>
      </c>
      <c r="N107" s="16" t="s">
        <v>36</v>
      </c>
      <c r="O107" s="1">
        <f>SUM(O102:O106)</f>
        <v>0</v>
      </c>
      <c r="P107" s="1">
        <f>SUM(P102:P106)</f>
        <v>0</v>
      </c>
      <c r="S107" s="66" t="s">
        <v>39</v>
      </c>
      <c r="T107" s="67">
        <f>C293</f>
        <v>0</v>
      </c>
      <c r="U107" s="67">
        <f t="shared" si="22"/>
        <v>0.11975096045626976</v>
      </c>
      <c r="V107" s="67">
        <f t="shared" si="22"/>
        <v>0.42077079260348449</v>
      </c>
      <c r="W107" s="67">
        <f t="shared" si="22"/>
        <v>0.42804637897519876</v>
      </c>
      <c r="X107" s="67">
        <f t="shared" si="22"/>
        <v>0.37867762144950862</v>
      </c>
      <c r="AC107" t="s">
        <v>198</v>
      </c>
      <c r="AD107" s="51">
        <v>0.929830747531734</v>
      </c>
      <c r="AE107" s="51">
        <v>0.94915896059465599</v>
      </c>
      <c r="BF107" s="51">
        <v>0.94673390978026828</v>
      </c>
      <c r="BG107" s="1">
        <v>44</v>
      </c>
      <c r="BH107">
        <f t="shared" si="13"/>
        <v>-0.16324671084032114</v>
      </c>
      <c r="BI107">
        <f t="shared" si="14"/>
        <v>-1.6369664996392561E-2</v>
      </c>
      <c r="BJ107">
        <f t="shared" si="11"/>
        <v>-1.5497716943827931E-2</v>
      </c>
    </row>
    <row r="108" spans="1:62" x14ac:dyDescent="0.3">
      <c r="A108" s="1" t="s">
        <v>316</v>
      </c>
      <c r="B108" s="1" t="s">
        <v>2</v>
      </c>
      <c r="C108" s="10">
        <f>C102/C107</f>
        <v>1</v>
      </c>
      <c r="D108" s="10">
        <f>D103/D107</f>
        <v>0.52380952380952384</v>
      </c>
      <c r="E108" s="10">
        <f>E104/E107</f>
        <v>0.96380697050938335</v>
      </c>
      <c r="F108" s="10">
        <f>F105/F107</f>
        <v>0.84984520123839014</v>
      </c>
      <c r="G108" s="10">
        <f>G106/G107</f>
        <v>0.96283783783783783</v>
      </c>
      <c r="H108" s="10"/>
      <c r="I108" s="14">
        <f>(C102+D103+E104+F105+G106)/H107</f>
        <v>0.92700987306064875</v>
      </c>
      <c r="S108" t="s">
        <v>30</v>
      </c>
      <c r="T108" s="57">
        <f>C294</f>
        <v>100</v>
      </c>
      <c r="U108" s="57">
        <f t="shared" si="22"/>
        <v>63.246077104942152</v>
      </c>
      <c r="V108" s="57">
        <f t="shared" si="22"/>
        <v>98.960961668608405</v>
      </c>
      <c r="W108" s="57">
        <f t="shared" si="22"/>
        <v>94.498570540640955</v>
      </c>
      <c r="X108" s="57">
        <f t="shared" si="22"/>
        <v>78.691762870673642</v>
      </c>
      <c r="AC108" t="s">
        <v>199</v>
      </c>
      <c r="AD108" s="51">
        <v>0.93124118476727702</v>
      </c>
      <c r="AE108" s="51">
        <v>0.94901578248086504</v>
      </c>
      <c r="AH108" s="78"/>
      <c r="AI108" s="78"/>
      <c r="AJ108" s="118" t="s">
        <v>352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  <c r="BF108" s="51">
        <v>0.94673409868757996</v>
      </c>
      <c r="BG108" s="1">
        <v>45</v>
      </c>
      <c r="BH108">
        <f t="shared" si="13"/>
        <v>-0.13795711049811366</v>
      </c>
      <c r="BI108">
        <f t="shared" si="14"/>
        <v>-1.3833734665155898E-2</v>
      </c>
      <c r="BJ108">
        <f t="shared" si="11"/>
        <v>-1.3096868319699499E-2</v>
      </c>
    </row>
    <row r="109" spans="1:62" x14ac:dyDescent="0.3">
      <c r="B109" s="1" t="s">
        <v>14</v>
      </c>
      <c r="C109" s="11">
        <f>1-C108</f>
        <v>0</v>
      </c>
      <c r="D109" s="11">
        <f>1-D108</f>
        <v>0.47619047619047616</v>
      </c>
      <c r="E109" s="11">
        <f>1-E108</f>
        <v>3.6193029490616646E-2</v>
      </c>
      <c r="F109" s="11">
        <f>1-F108</f>
        <v>0.15015479876160986</v>
      </c>
      <c r="G109" s="11">
        <f>1-G108</f>
        <v>3.7162162162162171E-2</v>
      </c>
      <c r="S109" s="66" t="s">
        <v>39</v>
      </c>
      <c r="T109" s="67">
        <f>C295</f>
        <v>0</v>
      </c>
      <c r="U109" s="67">
        <f t="shared" si="22"/>
        <v>6.686100808398967</v>
      </c>
      <c r="V109" s="67">
        <f t="shared" si="22"/>
        <v>0.29132321382203608</v>
      </c>
      <c r="W109" s="67">
        <f t="shared" si="22"/>
        <v>1.0924753816147426</v>
      </c>
      <c r="X109" s="67">
        <f t="shared" si="22"/>
        <v>3.5296185586856095</v>
      </c>
      <c r="AC109" t="s">
        <v>200</v>
      </c>
      <c r="AD109" s="51">
        <v>0.91819464033850495</v>
      </c>
      <c r="AE109" s="51">
        <v>0.94405624437476798</v>
      </c>
      <c r="AJ109" s="106" t="s">
        <v>660</v>
      </c>
      <c r="AK109" s="107" t="s">
        <v>28</v>
      </c>
      <c r="AL109" s="108">
        <f t="shared" ref="AL109:AP112" si="23">AL99</f>
        <v>0.24391540392793479</v>
      </c>
      <c r="AM109" s="108">
        <f t="shared" si="23"/>
        <v>2.2757997663382721</v>
      </c>
      <c r="AN109" s="108">
        <f t="shared" si="23"/>
        <v>57.128456234222405</v>
      </c>
      <c r="AO109" s="108">
        <f t="shared" si="23"/>
        <v>30.830731107871362</v>
      </c>
      <c r="AP109" s="108">
        <f t="shared" si="23"/>
        <v>9.5210974876400236</v>
      </c>
      <c r="AQ109" s="107"/>
      <c r="AR109" s="228" t="s">
        <v>72</v>
      </c>
      <c r="AS109" s="229">
        <f>AR100</f>
        <v>0.95088530936223714</v>
      </c>
      <c r="BF109" s="51">
        <v>0.94688338311992337</v>
      </c>
      <c r="BG109" s="1">
        <v>46</v>
      </c>
      <c r="BH109">
        <f t="shared" si="13"/>
        <v>-0.1127554498305592</v>
      </c>
      <c r="BI109">
        <f t="shared" si="14"/>
        <v>-1.1306622539238973E-2</v>
      </c>
      <c r="BJ109">
        <f t="shared" si="11"/>
        <v>-1.0706053001614578E-2</v>
      </c>
    </row>
    <row r="110" spans="1:62" x14ac:dyDescent="0.3">
      <c r="C110" s="2"/>
      <c r="S110" s="15" t="s">
        <v>31</v>
      </c>
      <c r="T110" s="71">
        <f>I287</f>
        <v>100</v>
      </c>
      <c r="U110" s="71">
        <f>I288</f>
        <v>96.491228070175438</v>
      </c>
      <c r="V110" s="71">
        <f>I289</f>
        <v>96.607869742198105</v>
      </c>
      <c r="W110" s="71">
        <f>I290</f>
        <v>93.814432989690715</v>
      </c>
      <c r="X110" s="71">
        <f>I291</f>
        <v>85.332011892963337</v>
      </c>
      <c r="AC110" t="s">
        <v>201</v>
      </c>
      <c r="AD110" s="51">
        <v>0.92172073342736205</v>
      </c>
      <c r="AE110" s="51">
        <v>0.94967230399559199</v>
      </c>
      <c r="AH110" s="78"/>
      <c r="AI110" s="78"/>
      <c r="AJ110" s="107"/>
      <c r="AK110" s="109" t="s">
        <v>39</v>
      </c>
      <c r="AL110" s="110">
        <f t="shared" si="23"/>
        <v>0</v>
      </c>
      <c r="AM110" s="110">
        <f t="shared" si="23"/>
        <v>0.117161662664599</v>
      </c>
      <c r="AN110" s="110">
        <f t="shared" si="23"/>
        <v>0.41890344787369943</v>
      </c>
      <c r="AO110" s="110">
        <f t="shared" si="23"/>
        <v>0.40888853781418405</v>
      </c>
      <c r="AP110" s="110">
        <f t="shared" si="23"/>
        <v>0.35930425362313367</v>
      </c>
      <c r="AQ110" s="107"/>
      <c r="AR110" s="228" t="s">
        <v>29</v>
      </c>
      <c r="AS110" s="230">
        <f>AS100</f>
        <v>4.9025303868474503E-3</v>
      </c>
      <c r="AX110" s="103" t="s">
        <v>363</v>
      </c>
      <c r="BF110" s="51">
        <v>0.94700777728911301</v>
      </c>
      <c r="BG110" s="1">
        <v>47</v>
      </c>
      <c r="BH110">
        <f t="shared" si="13"/>
        <v>-8.7625211222515251E-2</v>
      </c>
      <c r="BI110">
        <f t="shared" si="14"/>
        <v>-8.7866723045572307E-3</v>
      </c>
      <c r="BJ110">
        <f t="shared" si="11"/>
        <v>-8.3210470089065507E-3</v>
      </c>
    </row>
    <row r="111" spans="1:62" ht="15.6" x14ac:dyDescent="0.35">
      <c r="A111" t="s">
        <v>317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2.4588241692166148</v>
      </c>
      <c r="V111" s="76">
        <f>J289</f>
        <v>0.66727308275993225</v>
      </c>
      <c r="W111" s="76">
        <f>J290</f>
        <v>0.99939350092616819</v>
      </c>
      <c r="X111" s="76">
        <f>J291</f>
        <v>1.1143227601931236</v>
      </c>
      <c r="AC111" t="s">
        <v>155</v>
      </c>
      <c r="AD111" s="51">
        <v>0.91431593794076105</v>
      </c>
      <c r="AE111" s="51">
        <v>0.94569635170534505</v>
      </c>
      <c r="AJ111" s="107"/>
      <c r="AK111" s="107" t="s">
        <v>30</v>
      </c>
      <c r="AL111" s="108">
        <f t="shared" si="23"/>
        <v>100</v>
      </c>
      <c r="AM111" s="108">
        <f t="shared" si="23"/>
        <v>63.114883321545143</v>
      </c>
      <c r="AN111" s="108">
        <f t="shared" si="23"/>
        <v>98.837452385037693</v>
      </c>
      <c r="AO111" s="108">
        <f t="shared" si="23"/>
        <v>95.141137497865557</v>
      </c>
      <c r="AP111" s="108">
        <f t="shared" si="23"/>
        <v>79.940659900565663</v>
      </c>
      <c r="AQ111" s="107"/>
      <c r="AR111" s="107"/>
      <c r="AS111" s="107"/>
      <c r="AU111" s="103" t="s">
        <v>363</v>
      </c>
      <c r="AW111" s="101"/>
      <c r="AX111" s="1" t="s">
        <v>357</v>
      </c>
      <c r="AY111" s="96"/>
      <c r="BF111" s="51">
        <v>0.94706946173274598</v>
      </c>
      <c r="BG111" s="1">
        <v>48</v>
      </c>
      <c r="BH111">
        <f t="shared" si="13"/>
        <v>-6.2550197581039788E-2</v>
      </c>
      <c r="BI111">
        <f t="shared" si="14"/>
        <v>-6.2722597875882035E-3</v>
      </c>
      <c r="BJ111">
        <f t="shared" si="11"/>
        <v>-5.9402657008791075E-3</v>
      </c>
    </row>
    <row r="112" spans="1:62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51</v>
      </c>
      <c r="T112" s="67">
        <f>N276*100</f>
        <v>100</v>
      </c>
      <c r="U112" s="67">
        <f>N277*100</f>
        <v>56.410256410256423</v>
      </c>
      <c r="V112" s="67">
        <f>N278*100</f>
        <v>97.068847989093385</v>
      </c>
      <c r="W112" s="67">
        <f>N279*100</f>
        <v>90.924229808492925</v>
      </c>
      <c r="X112" s="67">
        <f>N280*100</f>
        <v>90.298898793917161</v>
      </c>
      <c r="AC112" t="s">
        <v>202</v>
      </c>
      <c r="AD112" s="51">
        <v>0.91396332863187502</v>
      </c>
      <c r="AE112" s="51">
        <v>0.94596633313137601</v>
      </c>
      <c r="AH112" s="78"/>
      <c r="AI112" s="78"/>
      <c r="AJ112" s="107"/>
      <c r="AK112" s="109" t="s">
        <v>39</v>
      </c>
      <c r="AL112" s="110">
        <f t="shared" si="23"/>
        <v>0</v>
      </c>
      <c r="AM112" s="110">
        <f t="shared" si="23"/>
        <v>6.6894426134528588</v>
      </c>
      <c r="AN112" s="110">
        <f t="shared" si="23"/>
        <v>0.30927443114784831</v>
      </c>
      <c r="AO112" s="110">
        <f t="shared" si="23"/>
        <v>1.004030974787786</v>
      </c>
      <c r="AP112" s="110">
        <f t="shared" si="23"/>
        <v>3.5781376817224078</v>
      </c>
      <c r="AQ112" s="107"/>
      <c r="AR112" s="107"/>
      <c r="AS112" s="107"/>
      <c r="AU112" s="93"/>
      <c r="AV112" s="1" t="s">
        <v>357</v>
      </c>
      <c r="AW112" s="97"/>
      <c r="AX112" s="71" t="s">
        <v>358</v>
      </c>
      <c r="AY112" s="95"/>
      <c r="BF112" s="51">
        <v>0.94707842871928405</v>
      </c>
      <c r="BG112" s="1">
        <v>49</v>
      </c>
      <c r="BH112">
        <f t="shared" si="13"/>
        <v>-3.7514457344072563E-2</v>
      </c>
      <c r="BI112">
        <f t="shared" si="14"/>
        <v>-3.7617854355706075E-3</v>
      </c>
      <c r="BJ112">
        <f t="shared" si="11"/>
        <v>-3.5627058394992984E-3</v>
      </c>
    </row>
    <row r="113" spans="1:62" x14ac:dyDescent="0.3">
      <c r="A113" t="s">
        <v>3</v>
      </c>
      <c r="B113" s="13">
        <v>0</v>
      </c>
      <c r="C113" s="29">
        <f>(C102/$L113)*$O113</f>
        <v>0.23847928683543707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0.23847928683543707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451</v>
      </c>
      <c r="M113">
        <v>0</v>
      </c>
      <c r="N113" s="1">
        <v>197.85</v>
      </c>
      <c r="O113" s="17">
        <f>N113/N118*100</f>
        <v>0.23847928683543707</v>
      </c>
      <c r="P113" s="52">
        <f>((O113*O113*(I113/100)*(K113/100))/(L113-1))</f>
        <v>0</v>
      </c>
      <c r="R113" s="16" t="s">
        <v>61</v>
      </c>
      <c r="S113" t="s">
        <v>9</v>
      </c>
      <c r="T113" s="30">
        <f>N287</f>
        <v>205.69</v>
      </c>
      <c r="U113" s="30">
        <f>N288</f>
        <v>1263.46</v>
      </c>
      <c r="V113" s="30">
        <f>N289</f>
        <v>48310.44</v>
      </c>
      <c r="W113" s="30">
        <f>N290</f>
        <v>25272.59</v>
      </c>
      <c r="X113" s="30">
        <f>N291</f>
        <v>7911.01</v>
      </c>
      <c r="Z113" t="s">
        <v>36</v>
      </c>
      <c r="AA113" s="1">
        <f>N292</f>
        <v>82963.19</v>
      </c>
      <c r="AC113" t="s">
        <v>156</v>
      </c>
      <c r="AD113" s="51">
        <v>0.92136812411847602</v>
      </c>
      <c r="AE113" s="51">
        <v>0.95019271958426499</v>
      </c>
      <c r="AJ113" s="107"/>
      <c r="AK113" s="111" t="s">
        <v>31</v>
      </c>
      <c r="AL113" s="232">
        <f>AR94</f>
        <v>100</v>
      </c>
      <c r="AM113" s="232">
        <f>AR95</f>
        <v>96.491228070175424</v>
      </c>
      <c r="AN113" s="232">
        <f>AR96</f>
        <v>96.743554952510181</v>
      </c>
      <c r="AO113" s="232">
        <f>AR97</f>
        <v>94.673539518900341</v>
      </c>
      <c r="AP113" s="232">
        <f>AR98</f>
        <v>85.332011892963337</v>
      </c>
      <c r="AQ113" s="107"/>
      <c r="AR113" s="107"/>
      <c r="AS113" s="107"/>
      <c r="AU113" s="94"/>
      <c r="AV113" s="71" t="s">
        <v>360</v>
      </c>
      <c r="AW113" s="98"/>
      <c r="AX113" s="71" t="s">
        <v>359</v>
      </c>
      <c r="AY113" s="93"/>
      <c r="BF113" s="79">
        <v>0.94729073059952296</v>
      </c>
      <c r="BG113" s="1">
        <v>50</v>
      </c>
      <c r="BH113">
        <f t="shared" si="13"/>
        <v>-1.2502212342580959E-2</v>
      </c>
      <c r="BI113">
        <f t="shared" si="14"/>
        <v>-1.25366708283635E-3</v>
      </c>
      <c r="BJ113">
        <f t="shared" si="11"/>
        <v>-1.1875872068286186E-3</v>
      </c>
    </row>
    <row r="114" spans="1:62" ht="15.6" x14ac:dyDescent="0.35">
      <c r="A114" t="s">
        <v>4</v>
      </c>
      <c r="B114" s="13">
        <v>1</v>
      </c>
      <c r="C114" s="33">
        <f t="shared" ref="C114:G117" si="24">(C103/$L114)*$O114</f>
        <v>0</v>
      </c>
      <c r="D114" s="34">
        <f t="shared" si="24"/>
        <v>1.622946764593685</v>
      </c>
      <c r="E114" s="19">
        <f t="shared" si="24"/>
        <v>5.9016245985224904E-2</v>
      </c>
      <c r="F114" s="18">
        <f t="shared" si="24"/>
        <v>0</v>
      </c>
      <c r="G114" s="20">
        <f t="shared" si="24"/>
        <v>0</v>
      </c>
      <c r="H114" s="17">
        <f>SUM(C114:G114)</f>
        <v>1.6819630105789098</v>
      </c>
      <c r="I114" s="17">
        <f>D114/H114*100</f>
        <v>96.491228070175438</v>
      </c>
      <c r="J114" s="17">
        <f>SQRT(I114*(100-I114)/(L114-1))</f>
        <v>2.4588241692166148</v>
      </c>
      <c r="K114" s="18">
        <f>100-I114</f>
        <v>3.5087719298245617</v>
      </c>
      <c r="L114" s="1">
        <f>H103</f>
        <v>57</v>
      </c>
      <c r="M114">
        <v>1</v>
      </c>
      <c r="N114" s="1">
        <v>1395.41</v>
      </c>
      <c r="O114" s="17">
        <f>N114/N118*100</f>
        <v>1.6819630105789098</v>
      </c>
      <c r="P114" s="52">
        <f>((O114*O114*(I114/100)*(K114/100))/(L114-1))</f>
        <v>1.7103611692890327E-3</v>
      </c>
      <c r="R114" s="16" t="s">
        <v>318</v>
      </c>
      <c r="S114" t="s">
        <v>63</v>
      </c>
      <c r="T114" s="57">
        <f>$AA113*T106/100</f>
        <v>205.69</v>
      </c>
      <c r="U114" s="57">
        <f>$AA113*U106/100</f>
        <v>1927.5947631543677</v>
      </c>
      <c r="V114" s="57">
        <f>$AA113*V106/100</f>
        <v>47161.715246232889</v>
      </c>
      <c r="W114" s="57">
        <f>$AA113*W106/100</f>
        <v>25089.625033124299</v>
      </c>
      <c r="X114" s="57">
        <f>$AA113*X106/100</f>
        <v>8578.5649574884537</v>
      </c>
      <c r="Z114" t="s">
        <v>36</v>
      </c>
      <c r="AA114" s="25">
        <f>SUM(T114:X114)</f>
        <v>82963.190000000017</v>
      </c>
      <c r="AC114" t="s">
        <v>203</v>
      </c>
      <c r="AD114" s="51">
        <v>0.91078984485190395</v>
      </c>
      <c r="AE114" s="51">
        <v>0.94081039909184605</v>
      </c>
      <c r="AH114" s="78"/>
      <c r="AI114" s="78"/>
      <c r="AJ114" s="107"/>
      <c r="AK114" s="113" t="s">
        <v>39</v>
      </c>
      <c r="AL114" s="233">
        <f>AS94</f>
        <v>0</v>
      </c>
      <c r="AM114" s="233">
        <f>AS95</f>
        <v>2.4588241692166193</v>
      </c>
      <c r="AN114" s="233">
        <f>AS96</f>
        <v>0.65425039084076997</v>
      </c>
      <c r="AO114" s="233">
        <f>AS97</f>
        <v>0.93163457010175987</v>
      </c>
      <c r="AP114" s="233">
        <f>AS98</f>
        <v>1.1143227601931236</v>
      </c>
      <c r="AQ114" s="107"/>
      <c r="AR114" s="107"/>
      <c r="AS114" s="107"/>
      <c r="AU114" s="95"/>
      <c r="AV114" s="1" t="s">
        <v>361</v>
      </c>
      <c r="AW114" s="99"/>
      <c r="AX114" s="1" t="s">
        <v>364</v>
      </c>
      <c r="AY114" s="99"/>
      <c r="BF114" s="51">
        <v>0.94733008682164299</v>
      </c>
      <c r="BG114" s="1">
        <v>51</v>
      </c>
      <c r="BH114">
        <f t="shared" si="13"/>
        <v>1.2502212342580959E-2</v>
      </c>
      <c r="BI114">
        <f t="shared" si="14"/>
        <v>1.25366708283635E-3</v>
      </c>
      <c r="BJ114">
        <f t="shared" si="11"/>
        <v>1.1876365464287954E-3</v>
      </c>
    </row>
    <row r="115" spans="1:62" x14ac:dyDescent="0.3">
      <c r="A115" t="s">
        <v>5</v>
      </c>
      <c r="B115" s="13">
        <v>2</v>
      </c>
      <c r="C115" s="33">
        <f t="shared" si="24"/>
        <v>0</v>
      </c>
      <c r="D115" s="19">
        <f t="shared" si="24"/>
        <v>0</v>
      </c>
      <c r="E115" s="34">
        <f t="shared" si="24"/>
        <v>56.68299421299605</v>
      </c>
      <c r="F115" s="19">
        <f t="shared" si="24"/>
        <v>0.86719462634625388</v>
      </c>
      <c r="G115" s="20">
        <f t="shared" si="24"/>
        <v>0.55185112585670704</v>
      </c>
      <c r="H115" s="17">
        <f>SUM(C115:G115)</f>
        <v>58.102039965199012</v>
      </c>
      <c r="I115" s="17">
        <f>E115/H115*100</f>
        <v>97.557666214382635</v>
      </c>
      <c r="J115" s="17">
        <f>SQRT(I115*(100-I115)/(L115-1))</f>
        <v>0.56897646499591747</v>
      </c>
      <c r="K115" s="18">
        <f>100-I115</f>
        <v>2.4423337856173646</v>
      </c>
      <c r="L115" s="1">
        <f>H104</f>
        <v>737</v>
      </c>
      <c r="M115">
        <v>2</v>
      </c>
      <c r="N115" s="1">
        <v>48203.3</v>
      </c>
      <c r="O115" s="17">
        <f>N115/N118*100</f>
        <v>58.102039965199012</v>
      </c>
      <c r="P115" s="52">
        <f>((O115*O115*(I115/100)*(K115/100))/(L115-1))</f>
        <v>0.1092877203262187</v>
      </c>
      <c r="R115" s="66"/>
      <c r="S115" s="66" t="s">
        <v>62</v>
      </c>
      <c r="T115" s="67">
        <f>$AA113*T107/100</f>
        <v>0</v>
      </c>
      <c r="U115" s="67">
        <f>$AA113*U107/100</f>
        <v>99.349216850159962</v>
      </c>
      <c r="V115" s="67">
        <f>$AA113*V107/100</f>
        <v>349.08487213213476</v>
      </c>
      <c r="W115" s="67">
        <f>$AA113*W107/100</f>
        <v>355.12093067731422</v>
      </c>
      <c r="X115" s="67">
        <f>$AA113*X107/100</f>
        <v>314.16303457063657</v>
      </c>
      <c r="AA115" s="1"/>
      <c r="AC115" t="s">
        <v>204</v>
      </c>
      <c r="AD115" s="51">
        <v>0.92524682651622003</v>
      </c>
      <c r="AE115" s="51">
        <v>0.94855243363005104</v>
      </c>
      <c r="AJ115" s="107"/>
      <c r="AK115" s="109" t="s">
        <v>51</v>
      </c>
      <c r="AL115" s="110">
        <f>AW83*100</f>
        <v>100</v>
      </c>
      <c r="AM115" s="110">
        <f>AW84*100</f>
        <v>55.276381909547737</v>
      </c>
      <c r="AN115" s="110">
        <f>AW85*100</f>
        <v>96.940856560163141</v>
      </c>
      <c r="AO115" s="110">
        <f>AW86*100</f>
        <v>91.909924937447883</v>
      </c>
      <c r="AP115" s="110">
        <f>AW87*100</f>
        <v>90.583903208837455</v>
      </c>
      <c r="AQ115" s="107"/>
      <c r="AR115" s="107"/>
      <c r="AS115" s="107"/>
      <c r="AU115" s="96"/>
      <c r="AV115" s="1" t="s">
        <v>362</v>
      </c>
      <c r="AW115" s="100"/>
      <c r="AX115" s="71" t="s">
        <v>365</v>
      </c>
      <c r="AY115" s="102"/>
      <c r="BF115" s="51">
        <v>0.94740689809588063</v>
      </c>
      <c r="BG115" s="1">
        <v>52</v>
      </c>
      <c r="BH115">
        <f t="shared" si="13"/>
        <v>3.7514457344072417E-2</v>
      </c>
      <c r="BI115">
        <f t="shared" si="14"/>
        <v>3.7617854355705927E-3</v>
      </c>
      <c r="BJ115">
        <f t="shared" si="11"/>
        <v>3.5639414708161965E-3</v>
      </c>
    </row>
    <row r="116" spans="1:62" x14ac:dyDescent="0.3">
      <c r="A116" t="s">
        <v>6</v>
      </c>
      <c r="B116" s="13">
        <v>3</v>
      </c>
      <c r="C116" s="33">
        <f t="shared" si="24"/>
        <v>0</v>
      </c>
      <c r="D116" s="19">
        <f t="shared" si="24"/>
        <v>0</v>
      </c>
      <c r="E116" s="19">
        <f t="shared" si="24"/>
        <v>0.3716632190684509</v>
      </c>
      <c r="F116" s="34">
        <f t="shared" si="24"/>
        <v>29.149015324082793</v>
      </c>
      <c r="G116" s="20">
        <f t="shared" si="24"/>
        <v>1.380463385111389</v>
      </c>
      <c r="H116" s="17">
        <f>SUM(C116:G116)</f>
        <v>30.901141928262636</v>
      </c>
      <c r="I116" s="17">
        <f>F116/H116*100</f>
        <v>94.329896907216479</v>
      </c>
      <c r="J116" s="17">
        <f>SQRT(I116*(100-I116)/(L116-1))</f>
        <v>0.95947152711900763</v>
      </c>
      <c r="K116" s="18">
        <f>100-I116</f>
        <v>5.6701030927835205</v>
      </c>
      <c r="L116" s="1">
        <f>H105</f>
        <v>582</v>
      </c>
      <c r="M116">
        <v>3</v>
      </c>
      <c r="N116" s="1">
        <v>25636.57</v>
      </c>
      <c r="O116" s="17">
        <f>N116/N118*100</f>
        <v>30.901141928262632</v>
      </c>
      <c r="P116" s="52">
        <f>((O116*O116*(I116/100)*(K116/100))/(L116-1))</f>
        <v>8.7904931557610033E-2</v>
      </c>
      <c r="R116" t="s">
        <v>98</v>
      </c>
      <c r="S116" t="s">
        <v>28</v>
      </c>
      <c r="T116" s="57">
        <f>C321</f>
        <v>0.23457396818371334</v>
      </c>
      <c r="U116" s="57">
        <f t="shared" ref="U116:X119" si="25">D321</f>
        <v>2.4197811371432882</v>
      </c>
      <c r="V116" s="57">
        <f t="shared" si="25"/>
        <v>56.459823023389994</v>
      </c>
      <c r="W116" s="57">
        <f t="shared" si="25"/>
        <v>30.290292297657992</v>
      </c>
      <c r="X116" s="57">
        <f t="shared" si="25"/>
        <v>10.59552957362501</v>
      </c>
      <c r="Z116" s="74"/>
      <c r="AA116" s="12"/>
      <c r="AD116" s="51"/>
      <c r="AE116" s="51"/>
      <c r="AH116" s="78"/>
      <c r="AI116" s="78"/>
      <c r="AJ116" s="115" t="s">
        <v>375</v>
      </c>
      <c r="AK116" s="107" t="s">
        <v>9</v>
      </c>
      <c r="AL116" s="116">
        <f>AW94</f>
        <v>202.36</v>
      </c>
      <c r="AM116" s="116">
        <f>AW95</f>
        <v>1234.99</v>
      </c>
      <c r="AN116" s="116">
        <f>AW96</f>
        <v>48421.41</v>
      </c>
      <c r="AO116" s="116">
        <f>AW97</f>
        <v>25704.49</v>
      </c>
      <c r="AP116" s="116">
        <f>AW98</f>
        <v>7399.94</v>
      </c>
      <c r="AQ116" s="107"/>
      <c r="AR116" s="115" t="s">
        <v>36</v>
      </c>
      <c r="AS116" s="111">
        <f>AW99</f>
        <v>82963.19</v>
      </c>
      <c r="AW116" s="102"/>
      <c r="AX116" s="1" t="s">
        <v>362</v>
      </c>
      <c r="AY116" s="104"/>
      <c r="BF116" s="51">
        <v>0.94741962141440805</v>
      </c>
      <c r="BG116" s="1">
        <v>53</v>
      </c>
      <c r="BH116">
        <f t="shared" si="13"/>
        <v>6.2550197581039788E-2</v>
      </c>
      <c r="BI116">
        <f t="shared" si="14"/>
        <v>6.2722597875882035E-3</v>
      </c>
      <c r="BJ116">
        <f t="shared" si="11"/>
        <v>5.9424619933696309E-3</v>
      </c>
    </row>
    <row r="117" spans="1:62" ht="15.6" x14ac:dyDescent="0.35">
      <c r="A117" t="s">
        <v>7</v>
      </c>
      <c r="B117" s="13">
        <v>4</v>
      </c>
      <c r="C117" s="35">
        <f t="shared" si="24"/>
        <v>0</v>
      </c>
      <c r="D117" s="36">
        <f t="shared" si="24"/>
        <v>0.44977085278116941</v>
      </c>
      <c r="E117" s="21">
        <f t="shared" si="24"/>
        <v>0.16191750700122098</v>
      </c>
      <c r="F117" s="21">
        <f t="shared" si="24"/>
        <v>0.77360586678361132</v>
      </c>
      <c r="G117" s="37">
        <f t="shared" si="24"/>
        <v>7.691081582557997</v>
      </c>
      <c r="H117" s="17">
        <f>SUM(C117:G117)</f>
        <v>9.0763758091239986</v>
      </c>
      <c r="I117" s="17">
        <f>G117/H117*100</f>
        <v>84.737363726461851</v>
      </c>
      <c r="J117" s="17">
        <f>SQRT(I117*(100-I117)/(L117-1))</f>
        <v>1.1327184787574289</v>
      </c>
      <c r="K117" s="18">
        <f>100-I117</f>
        <v>15.262636273538149</v>
      </c>
      <c r="L117" s="1">
        <f>H106</f>
        <v>1009</v>
      </c>
      <c r="M117">
        <v>4</v>
      </c>
      <c r="N117" s="1">
        <v>7530.05</v>
      </c>
      <c r="O117" s="17">
        <f>N117/N118*100</f>
        <v>9.0763758091239986</v>
      </c>
      <c r="P117" s="52">
        <f>((O117*O117*(I117/100)*(K117/100))/(L117-1))</f>
        <v>1.0569852095600889E-2</v>
      </c>
      <c r="S117" s="66" t="s">
        <v>39</v>
      </c>
      <c r="T117" s="67">
        <f>C322</f>
        <v>0</v>
      </c>
      <c r="U117" s="67">
        <f t="shared" si="25"/>
        <v>0.11940778946779831</v>
      </c>
      <c r="V117" s="67">
        <f t="shared" si="25"/>
        <v>0.44499460786744677</v>
      </c>
      <c r="W117" s="67">
        <f t="shared" si="25"/>
        <v>0.44084175427228162</v>
      </c>
      <c r="X117" s="67">
        <f t="shared" si="25"/>
        <v>0.42573868099934092</v>
      </c>
      <c r="AD117" s="51"/>
      <c r="AE117" s="51"/>
      <c r="AJ117" s="115" t="s">
        <v>355</v>
      </c>
      <c r="AK117" s="107" t="s">
        <v>63</v>
      </c>
      <c r="AL117" s="108">
        <f>$AS116*AL109/100</f>
        <v>202.36</v>
      </c>
      <c r="AM117" s="108">
        <f>$AS116*AM109/100</f>
        <v>1888.0760841667768</v>
      </c>
      <c r="AN117" s="108">
        <f>$AS116*AN109/100</f>
        <v>47395.589689664776</v>
      </c>
      <c r="AO117" s="108">
        <f>$AS116*AO109/100</f>
        <v>25578.158027412424</v>
      </c>
      <c r="AP117" s="108">
        <f>$AS116*AP109/100</f>
        <v>7899.0061987560193</v>
      </c>
      <c r="AQ117" s="107"/>
      <c r="AR117" s="115" t="s">
        <v>36</v>
      </c>
      <c r="AS117" s="136">
        <f>SUM(AL117:AP117)</f>
        <v>82963.19</v>
      </c>
      <c r="BF117" s="51">
        <v>0.94753982200339282</v>
      </c>
      <c r="BG117" s="1">
        <v>54</v>
      </c>
      <c r="BH117">
        <f t="shared" si="13"/>
        <v>8.762521122251539E-2</v>
      </c>
      <c r="BI117">
        <f t="shared" si="14"/>
        <v>8.7866723045572446E-3</v>
      </c>
      <c r="BJ117">
        <f t="shared" si="11"/>
        <v>8.3257219114623131E-3</v>
      </c>
    </row>
    <row r="118" spans="1:62" x14ac:dyDescent="0.3">
      <c r="B118" t="s">
        <v>28</v>
      </c>
      <c r="C118" s="17">
        <f t="shared" ref="C118:H118" si="26">SUM(C113:C117)</f>
        <v>0.23847928683543707</v>
      </c>
      <c r="D118" s="17">
        <f t="shared" si="26"/>
        <v>2.0727176173748543</v>
      </c>
      <c r="E118" s="17">
        <f t="shared" si="26"/>
        <v>57.275591185050949</v>
      </c>
      <c r="F118" s="17">
        <f t="shared" si="26"/>
        <v>30.789815817212659</v>
      </c>
      <c r="G118" s="17">
        <f t="shared" si="26"/>
        <v>9.6233960935260932</v>
      </c>
      <c r="H118" s="18">
        <f t="shared" si="26"/>
        <v>100</v>
      </c>
      <c r="I118" s="13" t="s">
        <v>24</v>
      </c>
      <c r="J118" s="12" t="s">
        <v>29</v>
      </c>
      <c r="N118" s="1">
        <f>SUM(N113:N117)</f>
        <v>82963.180000000008</v>
      </c>
      <c r="O118" s="17">
        <f>SUM(O113:O117)</f>
        <v>99.999999999999986</v>
      </c>
      <c r="S118" t="s">
        <v>30</v>
      </c>
      <c r="T118" s="57">
        <f>C323</f>
        <v>100</v>
      </c>
      <c r="U118" s="57">
        <f t="shared" si="25"/>
        <v>65.624683627421604</v>
      </c>
      <c r="V118" s="57">
        <f t="shared" si="25"/>
        <v>98.905501675274309</v>
      </c>
      <c r="W118" s="57">
        <f t="shared" si="25"/>
        <v>94.114323580934141</v>
      </c>
      <c r="X118" s="57">
        <f t="shared" si="25"/>
        <v>73.693456068582918</v>
      </c>
      <c r="AD118" s="51"/>
      <c r="AE118" s="51"/>
      <c r="AH118" s="78"/>
      <c r="AI118" s="78"/>
      <c r="AJ118" s="107"/>
      <c r="AK118" s="109" t="s">
        <v>354</v>
      </c>
      <c r="AL118" s="110">
        <f>$AS116*AL110/100</f>
        <v>0</v>
      </c>
      <c r="AM118" s="110">
        <f>$AS116*AM110/100</f>
        <v>97.201052803590343</v>
      </c>
      <c r="AN118" s="110">
        <f>$AS116*AN110/100</f>
        <v>347.53566337600824</v>
      </c>
      <c r="AO118" s="110">
        <f>$AS116*AO110/100</f>
        <v>339.22697451500341</v>
      </c>
      <c r="AP118" s="110">
        <f>$AS116*AP110/100</f>
        <v>298.09027061144229</v>
      </c>
      <c r="AQ118" s="107"/>
      <c r="AR118" s="107"/>
      <c r="AS118" s="107"/>
      <c r="BF118" s="51">
        <v>0.94779652385972701</v>
      </c>
      <c r="BG118" s="1">
        <v>55</v>
      </c>
      <c r="BH118">
        <f t="shared" si="13"/>
        <v>0.1127554498305592</v>
      </c>
      <c r="BI118">
        <f t="shared" si="14"/>
        <v>1.1306622539238973E-2</v>
      </c>
      <c r="BJ118">
        <f t="shared" si="11"/>
        <v>1.0716377539284739E-2</v>
      </c>
    </row>
    <row r="119" spans="1:62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0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7.43353335765818E-2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0.36296878812585098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0.40182748808758667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0.35167146185838288</v>
      </c>
      <c r="H119" s="1"/>
      <c r="I119" s="56">
        <f>(C113+D114+E115+F116+G117)/H118</f>
        <v>0.95384517171065963</v>
      </c>
      <c r="J119" s="53">
        <f>SQRT(SUM(P113:P117))/100</f>
        <v>4.5768205683500264E-3</v>
      </c>
      <c r="M119" s="1"/>
      <c r="N119" s="9"/>
      <c r="S119" s="66" t="s">
        <v>39</v>
      </c>
      <c r="T119" s="67">
        <f>C324</f>
        <v>0</v>
      </c>
      <c r="U119" s="67">
        <f t="shared" si="25"/>
        <v>6.508433936016143</v>
      </c>
      <c r="V119" s="67">
        <f t="shared" si="25"/>
        <v>0.28734365320474664</v>
      </c>
      <c r="W119" s="67">
        <f t="shared" si="25"/>
        <v>1.1279328859526716</v>
      </c>
      <c r="X119" s="67">
        <f t="shared" si="25"/>
        <v>3.9615271985619374</v>
      </c>
      <c r="AD119" s="51"/>
      <c r="AE119" s="51"/>
      <c r="AJ119" s="115" t="s">
        <v>376</v>
      </c>
      <c r="AK119" s="122" t="s">
        <v>9</v>
      </c>
      <c r="AL119" s="135">
        <f>AVERAGE(AR195:AR214)</f>
        <v>202.94</v>
      </c>
      <c r="AM119" s="135">
        <f>AVERAGE(AS195:AS214)</f>
        <v>1281.578</v>
      </c>
      <c r="AN119" s="139">
        <f>AVERAGE(AT195:AT214)</f>
        <v>48242.922999999995</v>
      </c>
      <c r="AO119" s="135">
        <f>AVERAGE(AU195:AU214)</f>
        <v>25615.748</v>
      </c>
      <c r="AP119" s="135">
        <f>AVERAGE(AV195:AV214)</f>
        <v>7619.9965000000011</v>
      </c>
      <c r="AQ119" s="107"/>
      <c r="AR119" s="115" t="s">
        <v>36</v>
      </c>
      <c r="AS119" s="136">
        <f>SUM(AL119:AP119)</f>
        <v>82963.185499999992</v>
      </c>
      <c r="BF119" s="51">
        <v>0.94833947117249195</v>
      </c>
      <c r="BG119" s="1">
        <v>56</v>
      </c>
      <c r="BH119">
        <f t="shared" si="13"/>
        <v>0.13795711049811366</v>
      </c>
      <c r="BI119">
        <f t="shared" si="14"/>
        <v>1.3833734665155898E-2</v>
      </c>
      <c r="BJ119">
        <f t="shared" si="11"/>
        <v>1.3119076616694514E-2</v>
      </c>
    </row>
    <row r="120" spans="1:62" x14ac:dyDescent="0.3">
      <c r="B120" s="1" t="s">
        <v>30</v>
      </c>
      <c r="C120" s="17">
        <f>C113/C118*100</f>
        <v>100</v>
      </c>
      <c r="D120" s="17">
        <f>D114/D118*100</f>
        <v>78.30042794971682</v>
      </c>
      <c r="E120" s="17">
        <f>E115/E118*100</f>
        <v>98.965358611244554</v>
      </c>
      <c r="F120" s="17">
        <f>F116/F118*100</f>
        <v>94.670963597604256</v>
      </c>
      <c r="G120" s="17">
        <f>G117/G118*100</f>
        <v>79.920659066833849</v>
      </c>
      <c r="H120" s="1"/>
      <c r="S120" s="15" t="s">
        <v>31</v>
      </c>
      <c r="T120" s="71">
        <f>I316</f>
        <v>100</v>
      </c>
      <c r="U120" s="71">
        <f>I317</f>
        <v>96.491228070175438</v>
      </c>
      <c r="V120" s="71">
        <f>I318</f>
        <v>96.065128900949787</v>
      </c>
      <c r="W120" s="71">
        <f>I319</f>
        <v>93.12714776632302</v>
      </c>
      <c r="X120" s="71">
        <f>I320</f>
        <v>83.250743310208136</v>
      </c>
      <c r="AD120" s="51"/>
      <c r="AE120" s="51"/>
      <c r="AH120" s="78"/>
      <c r="AI120" s="78"/>
      <c r="AJ120" s="140"/>
      <c r="AK120" s="128" t="s">
        <v>368</v>
      </c>
      <c r="AL120" s="125">
        <f>_xlfn.STDEV.S(AR195:AR214)/SQRT($AK$108)</f>
        <v>1.9503762120219406</v>
      </c>
      <c r="AM120" s="125">
        <f>_xlfn.STDEV.S(AS195:AS214)/SQRT($AK$108)</f>
        <v>13.968795027715016</v>
      </c>
      <c r="AN120" s="125">
        <f>_xlfn.STDEV.S(AT195:AT214)/SQRT($AK$108)</f>
        <v>39.855670237152459</v>
      </c>
      <c r="AO120" s="125">
        <f>_xlfn.STDEV.S(AU195:AU214)/SQRT($AK$108)</f>
        <v>63.889639299259493</v>
      </c>
      <c r="AP120" s="125">
        <f>_xlfn.STDEV.S(AV195:AV214)/SQRT($AK$108)</f>
        <v>57.432068981651341</v>
      </c>
      <c r="AQ120" s="107"/>
      <c r="AR120" s="107"/>
      <c r="AS120" s="107"/>
      <c r="BF120" s="51">
        <v>0.94846594700543396</v>
      </c>
      <c r="BG120" s="1">
        <v>57</v>
      </c>
      <c r="BH120">
        <f t="shared" si="13"/>
        <v>0.163246710840321</v>
      </c>
      <c r="BI120">
        <f t="shared" si="14"/>
        <v>1.6369664996392547E-2</v>
      </c>
      <c r="BJ120">
        <f t="shared" si="11"/>
        <v>1.552606981296516E-2</v>
      </c>
    </row>
    <row r="121" spans="1:62" x14ac:dyDescent="0.3">
      <c r="B121" s="16" t="s">
        <v>39</v>
      </c>
      <c r="C121" s="18">
        <f>SQRT((C124+C125)/(C118*C118))</f>
        <v>0</v>
      </c>
      <c r="D121" s="18">
        <f>SQRT((D124+D125)/(D118*D118))</f>
        <v>4.9233291508097121</v>
      </c>
      <c r="E121" s="18">
        <f>SQRT((E124+E125)/(E118*E118))</f>
        <v>0.26693587656079765</v>
      </c>
      <c r="F121" s="18">
        <f>SQRT((F124+F125)/(F118*F118))</f>
        <v>0.98037057419020823</v>
      </c>
      <c r="G121" s="18">
        <f>SQRT((G124+G125)/(G118*G118))</f>
        <v>3.5235534435250848</v>
      </c>
      <c r="H121" s="1"/>
      <c r="S121" s="75" t="s">
        <v>39</v>
      </c>
      <c r="T121" s="76">
        <f>J316</f>
        <v>0</v>
      </c>
      <c r="U121" s="76">
        <f>J317</f>
        <v>2.4588241692166148</v>
      </c>
      <c r="V121" s="76">
        <f>J318</f>
        <v>0.71665351079620243</v>
      </c>
      <c r="W121" s="76">
        <f>J319</f>
        <v>1.0495873507166542</v>
      </c>
      <c r="X121" s="76">
        <f>J320</f>
        <v>1.1761468859542712</v>
      </c>
      <c r="AD121" s="51"/>
      <c r="AE121" s="51"/>
      <c r="AJ121" s="119" t="s">
        <v>697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  <c r="BF121" s="51">
        <v>0.94847440583715303</v>
      </c>
      <c r="BG121" s="1">
        <v>58</v>
      </c>
      <c r="BH121">
        <f t="shared" si="13"/>
        <v>0.18864116776152437</v>
      </c>
      <c r="BI121">
        <f t="shared" si="14"/>
        <v>1.891610988600527E-2</v>
      </c>
      <c r="BJ121">
        <f t="shared" si="11"/>
        <v>1.7941446084879145E-2</v>
      </c>
    </row>
    <row r="122" spans="1:62" x14ac:dyDescent="0.3">
      <c r="B122" s="1" t="s">
        <v>37</v>
      </c>
      <c r="C122" s="18">
        <f>100-C120</f>
        <v>0</v>
      </c>
      <c r="D122" s="18">
        <f>100-D120</f>
        <v>21.69957205028318</v>
      </c>
      <c r="E122" s="18">
        <f>100-E120</f>
        <v>1.0346413887554462</v>
      </c>
      <c r="F122" s="18">
        <f>100-F120</f>
        <v>5.3290364023957437</v>
      </c>
      <c r="G122" s="18">
        <f>100-G120</f>
        <v>20.079340933166151</v>
      </c>
      <c r="S122" s="66" t="s">
        <v>51</v>
      </c>
      <c r="T122" s="67">
        <f>N305*100</f>
        <v>100</v>
      </c>
      <c r="U122" s="67">
        <f>N306*100</f>
        <v>56.701030927835049</v>
      </c>
      <c r="V122" s="67">
        <f>N307*100</f>
        <v>96.326530612244895</v>
      </c>
      <c r="W122" s="67">
        <f>N308*100</f>
        <v>89.512799339388934</v>
      </c>
      <c r="X122" s="67">
        <f>N309*100</f>
        <v>88.654353562005284</v>
      </c>
      <c r="AD122" s="51"/>
      <c r="AE122" s="51"/>
      <c r="AH122" s="78"/>
      <c r="AI122" s="78"/>
      <c r="AJ122" s="115" t="s">
        <v>375</v>
      </c>
      <c r="AK122" s="122" t="s">
        <v>9</v>
      </c>
      <c r="AL122" s="135">
        <v>0.9</v>
      </c>
      <c r="AM122" s="135">
        <v>516.9</v>
      </c>
      <c r="AN122" s="135">
        <v>3957.2</v>
      </c>
      <c r="AO122" s="135">
        <v>362.9</v>
      </c>
      <c r="AP122" s="135">
        <v>83.52</v>
      </c>
      <c r="AQ122" s="107"/>
      <c r="AR122" s="115" t="s">
        <v>36</v>
      </c>
      <c r="AS122" s="136">
        <f>SUM(AL122:AP122)</f>
        <v>4921.42</v>
      </c>
      <c r="AU122">
        <v>1</v>
      </c>
      <c r="AV122">
        <v>68</v>
      </c>
      <c r="BF122" s="51">
        <v>0.94849075186762599</v>
      </c>
      <c r="BG122" s="1">
        <v>59</v>
      </c>
      <c r="BH122">
        <f t="shared" si="13"/>
        <v>0.21415788100561858</v>
      </c>
      <c r="BI122">
        <f t="shared" si="14"/>
        <v>2.1474814104085391E-2</v>
      </c>
      <c r="BJ122">
        <f t="shared" si="11"/>
        <v>2.0368662575801451E-2</v>
      </c>
    </row>
    <row r="123" spans="1:62" ht="15.6" x14ac:dyDescent="0.35">
      <c r="B123" s="1" t="s">
        <v>25</v>
      </c>
      <c r="C123" s="1">
        <f>C107</f>
        <v>451</v>
      </c>
      <c r="D123" s="1">
        <f>D107</f>
        <v>105</v>
      </c>
      <c r="E123" s="1">
        <f>E107</f>
        <v>746</v>
      </c>
      <c r="F123" s="1">
        <f>F107</f>
        <v>646</v>
      </c>
      <c r="G123" s="1">
        <f>G107</f>
        <v>888</v>
      </c>
      <c r="R123" s="16" t="s">
        <v>61</v>
      </c>
      <c r="S123" t="s">
        <v>9</v>
      </c>
      <c r="T123" s="30">
        <f>N316</f>
        <v>194.61</v>
      </c>
      <c r="U123" s="30">
        <f>N317</f>
        <v>1365.34</v>
      </c>
      <c r="V123" s="30">
        <f>N318</f>
        <v>48225.81</v>
      </c>
      <c r="W123" s="30">
        <f>N319</f>
        <v>25396.17</v>
      </c>
      <c r="X123" s="30">
        <f>N320</f>
        <v>7781.24</v>
      </c>
      <c r="Z123" t="s">
        <v>36</v>
      </c>
      <c r="AA123" s="1">
        <f>N321</f>
        <v>82963.17</v>
      </c>
      <c r="AD123" s="51"/>
      <c r="AE123" s="51"/>
      <c r="AJ123" s="107"/>
      <c r="AK123" s="107" t="s">
        <v>367</v>
      </c>
      <c r="AL123" s="108">
        <f>(AL122/$AS122)*100</f>
        <v>1.8287404854696408E-2</v>
      </c>
      <c r="AM123" s="108">
        <f>(AM122/$AS122)*100</f>
        <v>10.503066188213971</v>
      </c>
      <c r="AN123" s="108">
        <f>(AN122/$AS122)*100</f>
        <v>80.407687212227358</v>
      </c>
      <c r="AO123" s="108">
        <f>(AO122/$AS122)*100</f>
        <v>7.3738880241881395</v>
      </c>
      <c r="AP123" s="108">
        <f>(AP122/$AS122)*100</f>
        <v>1.6970711705158266</v>
      </c>
      <c r="AQ123" s="107"/>
      <c r="AR123" s="107"/>
      <c r="AS123" s="107"/>
      <c r="AU123">
        <v>2</v>
      </c>
      <c r="AV123">
        <v>97</v>
      </c>
      <c r="BF123" s="51">
        <v>0.94855243363005104</v>
      </c>
      <c r="BG123" s="1">
        <v>60</v>
      </c>
      <c r="BH123">
        <f t="shared" si="13"/>
        <v>0.23981482260806397</v>
      </c>
      <c r="BI123">
        <f t="shared" si="14"/>
        <v>2.4047579807615273E-2</v>
      </c>
      <c r="BJ123">
        <f t="shared" si="11"/>
        <v>2.2810390349426342E-2</v>
      </c>
    </row>
    <row r="124" spans="1:62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80.536020475146202</v>
      </c>
      <c r="E124" s="18">
        <f>(O115*O115*(100-E120)*(100-E120)*(I115)*(100-I115))/((L115-1)*100)</f>
        <v>11.699062522389642</v>
      </c>
      <c r="F124" s="18">
        <f>(O116*O116*(100-F120)*(100-F120)*(I116)*(100-I116))/((L116-1)*100)</f>
        <v>249.63795366462347</v>
      </c>
      <c r="G124" s="18">
        <f>(O117*O117*(100-G120)*(100-G120)*(I117)*(100-I117))/((L117-1)*100)</f>
        <v>426.15522524344777</v>
      </c>
      <c r="R124" s="16" t="s">
        <v>318</v>
      </c>
      <c r="S124" t="s">
        <v>63</v>
      </c>
      <c r="T124" s="57">
        <f>$AA123*T116/100</f>
        <v>194.61</v>
      </c>
      <c r="U124" s="57">
        <f>$AA123*U116/100</f>
        <v>2007.5271384361195</v>
      </c>
      <c r="V124" s="57">
        <f>$AA123*V116/100</f>
        <v>46840.85895659418</v>
      </c>
      <c r="W124" s="57">
        <f>$AA123*W116/100</f>
        <v>25129.786692402904</v>
      </c>
      <c r="X124" s="57">
        <f>$AA123*X116/100</f>
        <v>8790.3872125667913</v>
      </c>
      <c r="Z124" t="s">
        <v>36</v>
      </c>
      <c r="AA124" s="25">
        <f>SUM(T124:X124)</f>
        <v>82963.169999999984</v>
      </c>
      <c r="AD124" s="51"/>
      <c r="AE124" s="51"/>
      <c r="AH124" s="78"/>
      <c r="AI124" s="78"/>
      <c r="AJ124" s="115" t="s">
        <v>376</v>
      </c>
      <c r="AK124" s="122" t="s">
        <v>9</v>
      </c>
      <c r="AL124" s="135">
        <f>AVERAGE(AR216:AR235)</f>
        <v>0.96299999999999986</v>
      </c>
      <c r="AM124" s="135">
        <f>AVERAGE(AS216:AS235)</f>
        <v>523.67600000000016</v>
      </c>
      <c r="AN124" s="135">
        <f>AVERAGE(AT216:AT235)</f>
        <v>3947.3669999999997</v>
      </c>
      <c r="AO124" s="135">
        <f>AVERAGE(AU216:AU235)</f>
        <v>361.68049999999999</v>
      </c>
      <c r="AP124" s="135">
        <f>AVERAGE(AV216:AV235)</f>
        <v>87.734500000000011</v>
      </c>
      <c r="AQ124" s="107"/>
      <c r="AR124" s="115" t="s">
        <v>36</v>
      </c>
      <c r="AS124" s="136">
        <f>SUM(AL124:AP124)</f>
        <v>4921.4209999999994</v>
      </c>
      <c r="AU124">
        <v>3</v>
      </c>
      <c r="AV124">
        <v>126</v>
      </c>
      <c r="BF124" s="51">
        <v>0.94897511074171403</v>
      </c>
      <c r="BG124" s="1">
        <v>61</v>
      </c>
      <c r="BH124">
        <f t="shared" si="13"/>
        <v>0.26563063350790211</v>
      </c>
      <c r="BI124">
        <f t="shared" si="14"/>
        <v>2.6636276228298016E-2</v>
      </c>
      <c r="BJ124">
        <f t="shared" si="11"/>
        <v>2.5277163183495995E-2</v>
      </c>
    </row>
    <row r="125" spans="1:62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23.59929111089771</v>
      </c>
      <c r="E125" s="18">
        <f>E120*E120*(SUM((H113*E113*(1-E102/H102))/(H102-1),(H114*E114*(1-E103/H103))/(H103-1), (H116*E116*(1-E105/H105))/(H105-1),(H117*E117*(1-E106/H106))/(H106-1)))</f>
        <v>222.05171070133375</v>
      </c>
      <c r="F125" s="18">
        <f>F120*F120*(SUM((H113*F113*(1-F102/H102))/(H102-1),(H114*F114*(1-F103/H103))/(H103-1), (H115*F115*(1-F104/H104))/(H104-1),(H117*F117*(1-F106/H106))/(H106-1)))</f>
        <v>661.52219511807766</v>
      </c>
      <c r="G125" s="18">
        <f>G120*G120*(SUM((H113*G113*(1-G102/H102))/(H102-1),(H114*G114*(1-G103/H103))/(H103-1), (H115*G115*(1-G104/H104))/(H104-1),(H116*G116*(1-G105/H105))/(H105-1)))</f>
        <v>723.63456795287141</v>
      </c>
      <c r="R125" s="66"/>
      <c r="S125" s="66" t="s">
        <v>62</v>
      </c>
      <c r="T125" s="67">
        <f>$AA123*T117/100</f>
        <v>0</v>
      </c>
      <c r="U125" s="67">
        <f>$AA123*U117/100</f>
        <v>99.064487369411623</v>
      </c>
      <c r="V125" s="67">
        <f>$AA123*V117/100</f>
        <v>369.18163301590323</v>
      </c>
      <c r="W125" s="67">
        <f>$AA123*W117/100</f>
        <v>365.73629402789527</v>
      </c>
      <c r="X125" s="67">
        <f>$AA123*X117/100</f>
        <v>353.20630567324093</v>
      </c>
      <c r="AA125" s="1"/>
      <c r="AD125" s="51"/>
      <c r="AE125" s="51"/>
      <c r="AJ125" s="107"/>
      <c r="AK125" s="128" t="s">
        <v>368</v>
      </c>
      <c r="AL125" s="125">
        <f>_xlfn.STDEV.S(AR216:AR235)/SQRT($AK$108)</f>
        <v>9.3735630477703918E-2</v>
      </c>
      <c r="AM125" s="125">
        <f>_xlfn.STDEV.S(AS216:AS235)/SQRT($AK$108)</f>
        <v>4.7507663869272587</v>
      </c>
      <c r="AN125" s="125">
        <f>_xlfn.STDEV.S(AT216:AT235)/SQRT($AK$108)</f>
        <v>5.0272972805841185</v>
      </c>
      <c r="AO125" s="125">
        <f>_xlfn.STDEV.S(AU216:AU235)/SQRT($AK$108)</f>
        <v>1.9016536398065442</v>
      </c>
      <c r="AP125" s="125">
        <f>_xlfn.STDEV.S(AV216:AV235)/SQRT($AK$108)</f>
        <v>1.5029223243926795</v>
      </c>
      <c r="AQ125" s="107"/>
      <c r="AR125" s="107"/>
      <c r="AS125" s="107"/>
      <c r="AU125">
        <v>4</v>
      </c>
      <c r="AV125">
        <v>155</v>
      </c>
      <c r="BF125" s="51">
        <v>0.94901578248086504</v>
      </c>
      <c r="BG125" s="1">
        <v>62</v>
      </c>
      <c r="BH125">
        <f t="shared" si="13"/>
        <v>0.29162472875305195</v>
      </c>
      <c r="BI125">
        <f t="shared" si="14"/>
        <v>2.9242850222083644E-2</v>
      </c>
      <c r="BJ125">
        <f t="shared" si="11"/>
        <v>2.7751926385481449E-2</v>
      </c>
    </row>
    <row r="126" spans="1:62" x14ac:dyDescent="0.3">
      <c r="R126" t="s">
        <v>99</v>
      </c>
      <c r="S126" t="s">
        <v>28</v>
      </c>
      <c r="T126" s="57">
        <f>C350</f>
        <v>0.23381459507875602</v>
      </c>
      <c r="U126" s="57">
        <f t="shared" ref="U126:X129" si="27">D350</f>
        <v>2.4842152720640973</v>
      </c>
      <c r="V126" s="57">
        <f t="shared" si="27"/>
        <v>56.865198384970675</v>
      </c>
      <c r="W126" s="57">
        <f t="shared" si="27"/>
        <v>31.096801478653838</v>
      </c>
      <c r="X126" s="57">
        <f t="shared" si="27"/>
        <v>9.3199702692326269</v>
      </c>
      <c r="Y126" s="13"/>
      <c r="Z126" s="74"/>
      <c r="AA126" s="12"/>
      <c r="AD126" s="51"/>
      <c r="AE126" s="51"/>
      <c r="AH126" s="78"/>
      <c r="AI126" s="78"/>
      <c r="AJ126" s="119" t="s">
        <v>661</v>
      </c>
      <c r="AK126" s="107"/>
      <c r="AL126" s="116"/>
      <c r="AM126" s="116"/>
      <c r="AN126" s="116"/>
      <c r="AO126" s="116"/>
      <c r="AP126" s="116"/>
      <c r="AQ126" s="107"/>
      <c r="AR126" s="107"/>
      <c r="AS126" s="107"/>
      <c r="AU126">
        <v>5</v>
      </c>
      <c r="AV126">
        <v>184</v>
      </c>
      <c r="BF126" s="51">
        <v>0.94910071727908696</v>
      </c>
      <c r="BG126" s="1">
        <v>63</v>
      </c>
      <c r="BH126">
        <f t="shared" si="13"/>
        <v>0.31781741294915428</v>
      </c>
      <c r="BI126">
        <f t="shared" si="14"/>
        <v>3.186933784587348E-2</v>
      </c>
      <c r="BJ126">
        <f t="shared" si="11"/>
        <v>3.0247211408728072E-2</v>
      </c>
    </row>
    <row r="127" spans="1:62" x14ac:dyDescent="0.3">
      <c r="S127" s="66" t="s">
        <v>39</v>
      </c>
      <c r="T127" s="67">
        <f>C351</f>
        <v>0</v>
      </c>
      <c r="U127" s="67">
        <f t="shared" si="27"/>
        <v>9.1379866329814666E-2</v>
      </c>
      <c r="V127" s="67">
        <f t="shared" si="27"/>
        <v>0.41739192412632764</v>
      </c>
      <c r="W127" s="67">
        <f t="shared" si="27"/>
        <v>0.42351896968155922</v>
      </c>
      <c r="X127" s="67">
        <f t="shared" si="27"/>
        <v>0.3696421460227538</v>
      </c>
      <c r="AD127" s="51"/>
      <c r="AE127" s="51"/>
      <c r="AJ127" s="115" t="s">
        <v>375</v>
      </c>
      <c r="AK127" s="122" t="s">
        <v>9</v>
      </c>
      <c r="AL127" s="135">
        <v>191.1</v>
      </c>
      <c r="AM127" s="135">
        <v>162.35</v>
      </c>
      <c r="AN127" s="135">
        <v>3521.34</v>
      </c>
      <c r="AO127" s="135">
        <v>12421.18</v>
      </c>
      <c r="AP127" s="135">
        <v>4929.2</v>
      </c>
      <c r="AQ127" s="107"/>
      <c r="AR127" s="115" t="s">
        <v>36</v>
      </c>
      <c r="AS127" s="136">
        <f>SUM(AL127:AP127)</f>
        <v>21225.170000000002</v>
      </c>
      <c r="AU127">
        <v>6</v>
      </c>
      <c r="AV127">
        <v>213</v>
      </c>
      <c r="BF127" s="51">
        <v>0.94912475379116401</v>
      </c>
      <c r="BG127" s="1">
        <v>64</v>
      </c>
      <c r="BH127">
        <f t="shared" si="13"/>
        <v>0.34423000787040914</v>
      </c>
      <c r="BI127">
        <f t="shared" si="14"/>
        <v>3.4517877153775842E-2</v>
      </c>
      <c r="BJ127">
        <f t="shared" si="11"/>
        <v>3.2761771654971142E-2</v>
      </c>
    </row>
    <row r="128" spans="1:62" x14ac:dyDescent="0.3">
      <c r="A128" s="348" t="s">
        <v>371</v>
      </c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 t="s">
        <v>59</v>
      </c>
      <c r="M128" s="348"/>
      <c r="N128" s="348"/>
      <c r="O128" s="348"/>
      <c r="P128" s="348"/>
      <c r="S128" t="s">
        <v>30</v>
      </c>
      <c r="T128" s="57">
        <f>C352</f>
        <v>100</v>
      </c>
      <c r="U128" s="57">
        <f t="shared" si="27"/>
        <v>61.136330215391908</v>
      </c>
      <c r="V128" s="57">
        <f t="shared" si="27"/>
        <v>98.791078903439299</v>
      </c>
      <c r="W128" s="57">
        <f t="shared" si="27"/>
        <v>94.686821918150542</v>
      </c>
      <c r="X128" s="57">
        <f t="shared" si="27"/>
        <v>78.310360191001635</v>
      </c>
      <c r="AD128" s="51"/>
      <c r="AE128" s="51"/>
      <c r="AH128" s="78"/>
      <c r="AI128" s="78"/>
      <c r="AJ128" s="107"/>
      <c r="AK128" s="107" t="s">
        <v>367</v>
      </c>
      <c r="AL128" s="108">
        <f>(AL127/$AS127)*100</f>
        <v>0.90034614563746718</v>
      </c>
      <c r="AM128" s="108">
        <f>(AM127/$AS127)*100</f>
        <v>0.76489375585684338</v>
      </c>
      <c r="AN128" s="108">
        <f>(AN127/$AS127)*100</f>
        <v>16.59039715582961</v>
      </c>
      <c r="AO128" s="108">
        <f>(AO127/$AS127)*100</f>
        <v>58.52099182244477</v>
      </c>
      <c r="AP128" s="108">
        <f>(AP127/$AS127)*100</f>
        <v>23.223371120231306</v>
      </c>
      <c r="AQ128" s="107"/>
      <c r="AR128" s="107"/>
      <c r="AS128" s="107"/>
      <c r="AU128">
        <v>7</v>
      </c>
      <c r="AV128">
        <v>242</v>
      </c>
      <c r="BF128" s="51">
        <v>0.94915896059465599</v>
      </c>
      <c r="BG128" s="1">
        <v>65</v>
      </c>
      <c r="BH128">
        <f t="shared" si="13"/>
        <v>0.37088499448209117</v>
      </c>
      <c r="BI128">
        <f t="shared" si="14"/>
        <v>3.7190722438501737E-2</v>
      </c>
      <c r="BJ128">
        <f t="shared" si="11"/>
        <v>3.5299907453492659E-2</v>
      </c>
    </row>
    <row r="129" spans="1:62" x14ac:dyDescent="0.3">
      <c r="A129" t="s">
        <v>315</v>
      </c>
      <c r="B129" t="s">
        <v>21</v>
      </c>
      <c r="I129" s="1" t="s">
        <v>53</v>
      </c>
      <c r="O129" s="350" t="s">
        <v>377</v>
      </c>
      <c r="P129" s="350"/>
      <c r="S129" s="66" t="s">
        <v>39</v>
      </c>
      <c r="T129" s="67">
        <f>C353</f>
        <v>0</v>
      </c>
      <c r="U129" s="67">
        <f t="shared" si="27"/>
        <v>4.7566607817094848</v>
      </c>
      <c r="V129" s="67">
        <f t="shared" si="27"/>
        <v>0.3122313948580806</v>
      </c>
      <c r="W129" s="67">
        <f t="shared" si="27"/>
        <v>1.0467961330589708</v>
      </c>
      <c r="X129" s="67">
        <f t="shared" si="27"/>
        <v>3.9050141427662952</v>
      </c>
      <c r="AD129" s="51"/>
      <c r="AE129" s="51"/>
      <c r="AJ129" s="115" t="s">
        <v>376</v>
      </c>
      <c r="AK129" s="122" t="s">
        <v>9</v>
      </c>
      <c r="AL129" s="139">
        <f>AVERAGE(AL195:AL214)</f>
        <v>190.85249999999999</v>
      </c>
      <c r="AM129" s="135">
        <f>AVERAGE(AM195:AM214)</f>
        <v>172.22900000000001</v>
      </c>
      <c r="AN129" s="139">
        <f>AVERAGE(AN195:AN214)</f>
        <v>3502.3874999999998</v>
      </c>
      <c r="AO129" s="135">
        <f>AVERAGE(AO195:AO214)</f>
        <v>12312.357999999998</v>
      </c>
      <c r="AP129" s="135">
        <f>AVERAGE(AP195:AP214)</f>
        <v>5047.3509999999997</v>
      </c>
      <c r="AQ129" s="107"/>
      <c r="AR129" s="115" t="s">
        <v>36</v>
      </c>
      <c r="AS129" s="136">
        <f>SUM(AL129:AP129)</f>
        <v>21225.177999999996</v>
      </c>
      <c r="AU129">
        <v>8</v>
      </c>
      <c r="AV129">
        <v>271</v>
      </c>
      <c r="BF129" s="51">
        <v>0.94918805288774799</v>
      </c>
      <c r="BG129" s="1">
        <v>66</v>
      </c>
      <c r="BH129">
        <f t="shared" si="13"/>
        <v>0.39780617203394558</v>
      </c>
      <c r="BI129">
        <f t="shared" si="14"/>
        <v>3.9890260184553598E-2</v>
      </c>
      <c r="BJ129">
        <f t="shared" ref="BJ129:BJ160" si="28">BI129*BF129</f>
        <v>3.7863358393762092E-2</v>
      </c>
    </row>
    <row r="130" spans="1:62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51</v>
      </c>
      <c r="O130" s="13" t="s">
        <v>644</v>
      </c>
      <c r="P130" s="13" t="s">
        <v>633</v>
      </c>
      <c r="S130" s="15" t="s">
        <v>31</v>
      </c>
      <c r="T130" s="71">
        <f>I345</f>
        <v>100</v>
      </c>
      <c r="U130" s="71">
        <f>I346</f>
        <v>98.245614035087712</v>
      </c>
      <c r="V130" s="71">
        <f>I347</f>
        <v>96.743554952510166</v>
      </c>
      <c r="W130" s="71">
        <f>I348</f>
        <v>94.329896907216494</v>
      </c>
      <c r="X130" s="71">
        <f>I349</f>
        <v>81.66501486620416</v>
      </c>
      <c r="AD130" s="51"/>
      <c r="AE130" s="51"/>
      <c r="AH130" s="78"/>
      <c r="AI130" s="78"/>
      <c r="AJ130" s="107"/>
      <c r="AK130" s="128" t="s">
        <v>368</v>
      </c>
      <c r="AL130" s="125">
        <f>_xlfn.STDEV.S(AL195:AL214)/SQRT($AK$108)</f>
        <v>1.5963029449654174</v>
      </c>
      <c r="AM130" s="125">
        <f>_xlfn.STDEV.S(AM195:AM214)/SQRT($AK$108)</f>
        <v>5.547248720620038</v>
      </c>
      <c r="AN130" s="125">
        <f>_xlfn.STDEV.S(AN195:AN214)/SQRT($AK$108)</f>
        <v>10.516913067080402</v>
      </c>
      <c r="AO130" s="125">
        <f>_xlfn.STDEV.S(AO195:AO214)/SQRT($AK$108)</f>
        <v>30.460128871068594</v>
      </c>
      <c r="AP130" s="125">
        <f>_xlfn.STDEV.S(AP195:AP214)/SQRT($AK$108)</f>
        <v>29.366615469915718</v>
      </c>
      <c r="AQ130" s="107"/>
      <c r="AR130" s="107"/>
      <c r="AS130" s="107"/>
      <c r="AU130">
        <v>9</v>
      </c>
      <c r="AV130">
        <v>300</v>
      </c>
      <c r="BF130" s="51">
        <v>0.94920992467741283</v>
      </c>
      <c r="BG130" s="1">
        <v>67</v>
      </c>
      <c r="BH130">
        <f t="shared" si="13"/>
        <v>0.42501883739125573</v>
      </c>
      <c r="BI130">
        <f t="shared" si="14"/>
        <v>4.261902705075913E-2</v>
      </c>
      <c r="BJ130">
        <f t="shared" si="28"/>
        <v>4.045440345667569E-2</v>
      </c>
    </row>
    <row r="131" spans="1:62" x14ac:dyDescent="0.3">
      <c r="A131" t="s">
        <v>3</v>
      </c>
      <c r="B131" s="13">
        <v>0</v>
      </c>
      <c r="C131" s="26">
        <v>451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451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/>
      <c r="P131" s="1"/>
      <c r="S131" s="75" t="s">
        <v>39</v>
      </c>
      <c r="T131" s="76">
        <f>J345</f>
        <v>0</v>
      </c>
      <c r="U131" s="76">
        <f>J346</f>
        <v>1.7543859649122842</v>
      </c>
      <c r="V131" s="76">
        <f>J347</f>
        <v>0.6542503908407713</v>
      </c>
      <c r="W131" s="76">
        <f>J348</f>
        <v>0.95947152711900652</v>
      </c>
      <c r="X131" s="76">
        <f>J349</f>
        <v>1.2187876300755875</v>
      </c>
      <c r="AD131" s="51"/>
      <c r="AE131" s="51"/>
      <c r="AJ131" s="119" t="s">
        <v>698</v>
      </c>
      <c r="AK131" s="107"/>
      <c r="AL131" s="116"/>
      <c r="AM131" s="116"/>
      <c r="AN131" s="116"/>
      <c r="AO131" s="116"/>
      <c r="AP131" s="116"/>
      <c r="AQ131" s="107"/>
      <c r="AR131" s="107"/>
      <c r="AS131" s="107"/>
      <c r="AU131">
        <v>10</v>
      </c>
      <c r="AV131">
        <v>329</v>
      </c>
      <c r="BF131" s="51">
        <v>0.94921365767987698</v>
      </c>
      <c r="BG131" s="1">
        <v>68</v>
      </c>
      <c r="BH131">
        <f t="shared" ref="BH131:BH160" si="29">_xlfn.NORM.S.INV((BG131-0.375)/($BI$61+0.25))</f>
        <v>0.4525499884018015</v>
      </c>
      <c r="BI131">
        <f t="shared" ref="BI131:BI160" si="30">BH131/SQRT($BL$65)</f>
        <v>4.5379730263018975E-2</v>
      </c>
      <c r="BJ131">
        <f t="shared" si="28"/>
        <v>4.3075059747486447E-2</v>
      </c>
    </row>
    <row r="132" spans="1:62" x14ac:dyDescent="0.3">
      <c r="A132" t="s">
        <v>4</v>
      </c>
      <c r="B132" s="13">
        <v>1</v>
      </c>
      <c r="C132" s="5">
        <v>0</v>
      </c>
      <c r="D132" s="27">
        <v>56</v>
      </c>
      <c r="E132" s="1">
        <v>1</v>
      </c>
      <c r="F132" s="1">
        <v>0</v>
      </c>
      <c r="G132" s="6">
        <v>0</v>
      </c>
      <c r="H132" s="1">
        <f>SUM(C132:G132)</f>
        <v>57</v>
      </c>
      <c r="I132" s="10">
        <f>D132/H132</f>
        <v>0.98245614035087714</v>
      </c>
      <c r="J132" s="11">
        <f>1-I132</f>
        <v>1.7543859649122862E-2</v>
      </c>
      <c r="K132">
        <f>H132-D136</f>
        <v>-82</v>
      </c>
      <c r="N132" s="10">
        <f>2*(D137*I132)/(D137+I132)</f>
        <v>0.57142857142857151</v>
      </c>
      <c r="O132" s="1"/>
      <c r="P132" s="1"/>
      <c r="S132" s="66" t="s">
        <v>51</v>
      </c>
      <c r="T132" s="67">
        <f>N334*100</f>
        <v>100</v>
      </c>
      <c r="U132" s="67">
        <f>N335*100</f>
        <v>50.450450450450454</v>
      </c>
      <c r="V132" s="67">
        <f>N336*100</f>
        <v>96.677966101694906</v>
      </c>
      <c r="W132" s="67">
        <f>N337*100</f>
        <v>90.969345484672743</v>
      </c>
      <c r="X132" s="67">
        <f>N338*100</f>
        <v>88.317256162915314</v>
      </c>
      <c r="AD132" s="51"/>
      <c r="AE132" s="51"/>
      <c r="AH132" s="78"/>
      <c r="AI132" s="78"/>
      <c r="AJ132" s="115" t="s">
        <v>375</v>
      </c>
      <c r="AK132" s="122" t="s">
        <v>9</v>
      </c>
      <c r="AL132" s="135">
        <v>0.6</v>
      </c>
      <c r="AM132" s="135">
        <v>29.55</v>
      </c>
      <c r="AN132" s="135">
        <v>1028.96</v>
      </c>
      <c r="AO132" s="135">
        <v>67.13</v>
      </c>
      <c r="AP132" s="135">
        <v>25.35</v>
      </c>
      <c r="AQ132" s="107"/>
      <c r="AR132" s="115" t="s">
        <v>36</v>
      </c>
      <c r="AS132" s="136">
        <f>SUM(AL132:AP132)</f>
        <v>1151.5900000000001</v>
      </c>
      <c r="AU132">
        <v>11</v>
      </c>
      <c r="AV132">
        <v>358</v>
      </c>
      <c r="BF132" s="51">
        <v>0.94950788080716098</v>
      </c>
      <c r="BG132" s="1">
        <v>69</v>
      </c>
      <c r="BH132">
        <f t="shared" si="29"/>
        <v>0.48042855588587835</v>
      </c>
      <c r="BI132">
        <f t="shared" si="30"/>
        <v>4.8175270877249481E-2</v>
      </c>
      <c r="BJ132">
        <f t="shared" si="28"/>
        <v>4.5742799357968093E-2</v>
      </c>
    </row>
    <row r="133" spans="1:62" x14ac:dyDescent="0.3">
      <c r="A133" t="s">
        <v>5</v>
      </c>
      <c r="B133" s="13">
        <v>2</v>
      </c>
      <c r="C133" s="5">
        <v>0</v>
      </c>
      <c r="D133" s="1">
        <v>0</v>
      </c>
      <c r="E133" s="27">
        <v>715</v>
      </c>
      <c r="F133" s="1">
        <v>14</v>
      </c>
      <c r="G133" s="6">
        <v>8</v>
      </c>
      <c r="H133" s="1">
        <f>SUM(C133:G133)</f>
        <v>737</v>
      </c>
      <c r="I133" s="10">
        <f>E133/H133</f>
        <v>0.97014925373134331</v>
      </c>
      <c r="J133" s="11">
        <f>1-I133</f>
        <v>2.9850746268656692E-2</v>
      </c>
      <c r="K133">
        <f>H133-E136</f>
        <v>2</v>
      </c>
      <c r="N133" s="10">
        <f>2*(E137*I133)/(E137+I133)</f>
        <v>0.97146739130434789</v>
      </c>
      <c r="O133" s="1"/>
      <c r="P133" s="1"/>
      <c r="R133" s="16" t="s">
        <v>61</v>
      </c>
      <c r="S133" t="s">
        <v>9</v>
      </c>
      <c r="T133" s="30">
        <f>N345</f>
        <v>193.98</v>
      </c>
      <c r="U133" s="30">
        <f>N346</f>
        <v>1282.51</v>
      </c>
      <c r="V133" s="30">
        <f>N347</f>
        <v>48175.65</v>
      </c>
      <c r="W133" s="30">
        <f>N348</f>
        <v>25896.51</v>
      </c>
      <c r="X133" s="30">
        <f>N349</f>
        <v>7414.52</v>
      </c>
      <c r="Z133" t="s">
        <v>36</v>
      </c>
      <c r="AA133" s="1">
        <f>N350</f>
        <v>82963.17</v>
      </c>
      <c r="AD133" s="51"/>
      <c r="AE133" s="51"/>
      <c r="AJ133" s="107"/>
      <c r="AK133" s="107" t="s">
        <v>367</v>
      </c>
      <c r="AL133" s="108">
        <f>(AL132/$AS132)*100</f>
        <v>5.210187653591989E-2</v>
      </c>
      <c r="AM133" s="108">
        <f>(AM132/$AS132)*100</f>
        <v>2.566017419394055</v>
      </c>
      <c r="AN133" s="108">
        <f>(AN132/$AS132)*100</f>
        <v>89.35124480066689</v>
      </c>
      <c r="AO133" s="108">
        <f>(AO132/$AS132)*100</f>
        <v>5.8293316197605041</v>
      </c>
      <c r="AP133" s="108">
        <f>(AP132/$AS132)*100</f>
        <v>2.2013042836426155</v>
      </c>
      <c r="AQ133" s="107"/>
      <c r="AR133" s="107"/>
      <c r="AS133" s="107"/>
      <c r="AU133">
        <v>12</v>
      </c>
      <c r="AV133">
        <v>387</v>
      </c>
      <c r="BF133" s="51">
        <v>0.94967230399559199</v>
      </c>
      <c r="BG133" s="1">
        <v>70</v>
      </c>
      <c r="BH133">
        <f t="shared" si="29"/>
        <v>0.50868566982760044</v>
      </c>
      <c r="BI133">
        <f t="shared" si="30"/>
        <v>5.1008770471880419E-2</v>
      </c>
      <c r="BJ133">
        <f t="shared" si="28"/>
        <v>4.8441616578012998E-2</v>
      </c>
    </row>
    <row r="134" spans="1:62" ht="15.6" x14ac:dyDescent="0.35">
      <c r="A134" t="s">
        <v>6</v>
      </c>
      <c r="B134" s="13">
        <v>3</v>
      </c>
      <c r="C134" s="5">
        <v>0</v>
      </c>
      <c r="D134" s="1">
        <v>0</v>
      </c>
      <c r="E134" s="1">
        <v>12</v>
      </c>
      <c r="F134" s="27">
        <v>547</v>
      </c>
      <c r="G134" s="6">
        <v>23</v>
      </c>
      <c r="H134" s="1">
        <f>SUM(C134:G134)</f>
        <v>582</v>
      </c>
      <c r="I134" s="10">
        <f>F134/H134</f>
        <v>0.93986254295532645</v>
      </c>
      <c r="J134" s="11">
        <f>1-I134</f>
        <v>6.0137457044673548E-2</v>
      </c>
      <c r="K134">
        <f>H134-F136</f>
        <v>-36</v>
      </c>
      <c r="N134" s="10">
        <f>2*(F137*I134)/(F137+I134)</f>
        <v>0.91166666666666663</v>
      </c>
      <c r="O134" s="1"/>
      <c r="P134" s="1"/>
      <c r="R134" s="16" t="s">
        <v>318</v>
      </c>
      <c r="S134" t="s">
        <v>63</v>
      </c>
      <c r="T134" s="57">
        <f>$AA133*T126/100</f>
        <v>193.98</v>
      </c>
      <c r="U134" s="57">
        <f>$AA133*U126/100</f>
        <v>2060.9837393284997</v>
      </c>
      <c r="V134" s="57">
        <f>$AA133*V126/100</f>
        <v>47177.171206960476</v>
      </c>
      <c r="W134" s="57">
        <f>$AA133*W126/100</f>
        <v>25798.892275298098</v>
      </c>
      <c r="X134" s="57">
        <f>$AA133*X126/100</f>
        <v>7732.1427784129219</v>
      </c>
      <c r="Z134" t="s">
        <v>36</v>
      </c>
      <c r="AA134" s="25">
        <f>SUM(T134:X134)</f>
        <v>82963.17</v>
      </c>
      <c r="AD134" s="51"/>
      <c r="AE134" s="51"/>
      <c r="AH134" s="78"/>
      <c r="AI134" s="78"/>
      <c r="AJ134" s="115" t="s">
        <v>376</v>
      </c>
      <c r="AK134" s="122" t="s">
        <v>9</v>
      </c>
      <c r="AL134" s="139">
        <f>AVERAGE(AL216:AL235)</f>
        <v>0.58799999999999997</v>
      </c>
      <c r="AM134" s="135">
        <f>AVERAGE(AM216:AM235)</f>
        <v>30.951000000000001</v>
      </c>
      <c r="AN134" s="135">
        <f>AVERAGE(AN216:AN235)</f>
        <v>1027.056</v>
      </c>
      <c r="AO134" s="135">
        <f>AVERAGE(AO216:AO235)</f>
        <v>66.977000000000004</v>
      </c>
      <c r="AP134" s="135">
        <f>AVERAGE(AP216:AP235)</f>
        <v>26.0185</v>
      </c>
      <c r="AQ134" s="107"/>
      <c r="AR134" s="115" t="s">
        <v>36</v>
      </c>
      <c r="AS134" s="136">
        <f>SUM(AL134:AP134)</f>
        <v>1151.5905</v>
      </c>
      <c r="AU134">
        <v>13</v>
      </c>
      <c r="AV134">
        <v>416</v>
      </c>
      <c r="BF134" s="51">
        <v>0.94971000518303206</v>
      </c>
      <c r="BG134" s="1">
        <v>71</v>
      </c>
      <c r="BH134">
        <f t="shared" si="29"/>
        <v>0.53735496659792537</v>
      </c>
      <c r="BI134">
        <f t="shared" si="30"/>
        <v>5.3883601954834021E-2</v>
      </c>
      <c r="BJ134">
        <f t="shared" si="28"/>
        <v>5.1173795891805852E-2</v>
      </c>
    </row>
    <row r="135" spans="1:62" x14ac:dyDescent="0.3">
      <c r="A135" t="s">
        <v>7</v>
      </c>
      <c r="B135" s="13">
        <v>4</v>
      </c>
      <c r="C135" s="7">
        <v>0</v>
      </c>
      <c r="D135" s="8">
        <v>83</v>
      </c>
      <c r="E135" s="8">
        <v>7</v>
      </c>
      <c r="F135" s="8">
        <v>57</v>
      </c>
      <c r="G135" s="28">
        <v>862</v>
      </c>
      <c r="H135" s="1">
        <f>SUM(C135:G135)</f>
        <v>1009</v>
      </c>
      <c r="I135" s="10">
        <f>G135/H135</f>
        <v>0.85431119920713583</v>
      </c>
      <c r="J135" s="11">
        <f>1-I135</f>
        <v>0.14568880079286417</v>
      </c>
      <c r="K135">
        <f>H135-G136</f>
        <v>116</v>
      </c>
      <c r="N135" s="10">
        <f>2*(G137*I135)/(G137+I135)</f>
        <v>0.90641430073606744</v>
      </c>
      <c r="O135" s="1"/>
      <c r="P135" s="1"/>
      <c r="R135" s="66"/>
      <c r="S135" s="66" t="s">
        <v>62</v>
      </c>
      <c r="T135" s="67">
        <f>$AA133*T127/100</f>
        <v>0</v>
      </c>
      <c r="U135" s="67">
        <f>$AA133*U127/100</f>
        <v>75.811633848976896</v>
      </c>
      <c r="V135" s="67">
        <f>$AA133*V127/100</f>
        <v>346.28157157919622</v>
      </c>
      <c r="W135" s="67">
        <f>$AA133*W127/100</f>
        <v>351.36476279916047</v>
      </c>
      <c r="X135" s="67">
        <f>$AA133*X127/100</f>
        <v>306.66684199650547</v>
      </c>
      <c r="AA135" s="1"/>
      <c r="AD135" s="51"/>
      <c r="AE135" s="51"/>
      <c r="AJ135" s="140"/>
      <c r="AK135" s="128" t="s">
        <v>368</v>
      </c>
      <c r="AL135" s="125">
        <f>_xlfn.STDEV.S(AL216:AL235)/SQRT($AK$108)</f>
        <v>4.700839790595096E-2</v>
      </c>
      <c r="AM135" s="125">
        <f>_xlfn.STDEV.S(AM216:AM235)/SQRT($AK$108)</f>
        <v>0.59601611599546167</v>
      </c>
      <c r="AN135" s="125">
        <f>_xlfn.STDEV.S(AN216:AN235)/SQRT($AK$108)</f>
        <v>0.68176373434914017</v>
      </c>
      <c r="AO135" s="125">
        <f>_xlfn.STDEV.S(AO216:AO235)/SQRT($AK$108)</f>
        <v>0.54630582335499478</v>
      </c>
      <c r="AP135" s="125">
        <f>_xlfn.STDEV.S(AP216:AP235)/SQRT($AK$108)</f>
        <v>0.334333803413988</v>
      </c>
      <c r="AQ135" s="107"/>
      <c r="AR135" s="107"/>
      <c r="AS135" s="107"/>
      <c r="AU135">
        <v>14</v>
      </c>
      <c r="AV135">
        <v>445</v>
      </c>
      <c r="BF135" s="51">
        <v>0.94973908470906299</v>
      </c>
      <c r="BG135" s="1">
        <v>72</v>
      </c>
      <c r="BH135">
        <f t="shared" si="29"/>
        <v>0.56647294563250516</v>
      </c>
      <c r="BI135">
        <f t="shared" si="30"/>
        <v>5.6803425329617283E-2</v>
      </c>
      <c r="BJ135">
        <f t="shared" si="28"/>
        <v>5.3948433180890321E-2</v>
      </c>
    </row>
    <row r="136" spans="1:62" ht="15.6" x14ac:dyDescent="0.35">
      <c r="B136" s="1" t="s">
        <v>19</v>
      </c>
      <c r="C136" s="1">
        <f>SUM(C131:C135)</f>
        <v>451</v>
      </c>
      <c r="D136" s="1">
        <f>SUM(D131:D135)</f>
        <v>139</v>
      </c>
      <c r="E136" s="1">
        <f>SUM(E131:E135)</f>
        <v>735</v>
      </c>
      <c r="F136" s="1">
        <f>SUM(F131:F135)</f>
        <v>618</v>
      </c>
      <c r="G136" s="1">
        <f>SUM(G131:G135)</f>
        <v>893</v>
      </c>
      <c r="H136" s="1">
        <f>SUM(H130:H135)</f>
        <v>2836</v>
      </c>
      <c r="I136" s="13" t="s">
        <v>12</v>
      </c>
      <c r="N136" s="16" t="s">
        <v>36</v>
      </c>
      <c r="O136" s="1">
        <f>SUM(O131:O135)</f>
        <v>0</v>
      </c>
      <c r="P136" s="1">
        <f>SUM(P131:P135)</f>
        <v>0</v>
      </c>
      <c r="R136" t="s">
        <v>100</v>
      </c>
      <c r="S136" t="s">
        <v>28</v>
      </c>
      <c r="T136" s="57">
        <f>C379</f>
        <v>0.23131948413742093</v>
      </c>
      <c r="U136" s="57">
        <f t="shared" ref="U136:X139" si="31">D379</f>
        <v>2.1434689586294127</v>
      </c>
      <c r="V136" s="57">
        <f t="shared" si="31"/>
        <v>56.963252966272606</v>
      </c>
      <c r="W136" s="57">
        <f t="shared" si="31"/>
        <v>31.682776490256384</v>
      </c>
      <c r="X136" s="57">
        <f t="shared" si="31"/>
        <v>8.9791821007041666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  <c r="BF136" s="51">
        <v>0.94981787164071751</v>
      </c>
      <c r="BG136" s="1">
        <v>73</v>
      </c>
      <c r="BH136">
        <f t="shared" si="29"/>
        <v>0.59607938602766308</v>
      </c>
      <c r="BI136">
        <f t="shared" si="30"/>
        <v>5.9772229469741457E-2</v>
      </c>
      <c r="BJ136">
        <f t="shared" si="28"/>
        <v>5.6772731778170403E-2</v>
      </c>
    </row>
    <row r="137" spans="1:62" x14ac:dyDescent="0.3">
      <c r="A137" s="1" t="s">
        <v>316</v>
      </c>
      <c r="B137" s="1" t="s">
        <v>2</v>
      </c>
      <c r="C137" s="10">
        <f>C131/C136</f>
        <v>1</v>
      </c>
      <c r="D137" s="10">
        <f>D132/D136</f>
        <v>0.40287769784172661</v>
      </c>
      <c r="E137" s="10">
        <f>E133/E136</f>
        <v>0.97278911564625847</v>
      </c>
      <c r="F137" s="10">
        <f>F134/F136</f>
        <v>0.88511326860841422</v>
      </c>
      <c r="G137" s="10">
        <f>G135/G136</f>
        <v>0.96528555431131025</v>
      </c>
      <c r="H137" s="10"/>
      <c r="I137" s="14">
        <f>(C131+D132+E133+F134+G135)/H136</f>
        <v>0.92771509167842026</v>
      </c>
      <c r="S137" s="66" t="s">
        <v>39</v>
      </c>
      <c r="T137" s="67">
        <f>C380</f>
        <v>0</v>
      </c>
      <c r="U137" s="67">
        <f t="shared" si="31"/>
        <v>0.11029023424075483</v>
      </c>
      <c r="V137" s="67">
        <f t="shared" si="31"/>
        <v>0.40670706220552044</v>
      </c>
      <c r="W137" s="67">
        <f t="shared" si="31"/>
        <v>0.42096568808857421</v>
      </c>
      <c r="X137" s="67">
        <f t="shared" si="31"/>
        <v>0.33101532374995762</v>
      </c>
      <c r="AD137" s="51"/>
      <c r="AE137" s="51"/>
      <c r="AU137">
        <v>16</v>
      </c>
      <c r="AV137">
        <v>503</v>
      </c>
      <c r="BF137" s="51">
        <v>0.94984724566104495</v>
      </c>
      <c r="BG137" s="1">
        <v>74</v>
      </c>
      <c r="BH137">
        <f t="shared" si="29"/>
        <v>0.62621783615158144</v>
      </c>
      <c r="BI137">
        <f t="shared" si="30"/>
        <v>6.2794381214787046E-2</v>
      </c>
      <c r="BJ137">
        <f t="shared" si="28"/>
        <v>5.9645070039855135E-2</v>
      </c>
    </row>
    <row r="138" spans="1:62" x14ac:dyDescent="0.3">
      <c r="B138" s="1" t="s">
        <v>14</v>
      </c>
      <c r="C138" s="11">
        <f>1-C137</f>
        <v>0</v>
      </c>
      <c r="D138" s="11">
        <f>1-D137</f>
        <v>0.59712230215827344</v>
      </c>
      <c r="E138" s="11">
        <f>1-E137</f>
        <v>2.7210884353741527E-2</v>
      </c>
      <c r="F138" s="11">
        <f>1-F137</f>
        <v>0.11488673139158578</v>
      </c>
      <c r="G138" s="11">
        <f>1-G137</f>
        <v>3.4714445688689755E-2</v>
      </c>
      <c r="S138" t="s">
        <v>30</v>
      </c>
      <c r="T138" s="57">
        <f>C381</f>
        <v>100</v>
      </c>
      <c r="U138" s="57">
        <f t="shared" si="31"/>
        <v>70.392382257073834</v>
      </c>
      <c r="V138" s="57">
        <f t="shared" si="31"/>
        <v>98.815410843001686</v>
      </c>
      <c r="W138" s="57">
        <f t="shared" si="31"/>
        <v>93.889394927876722</v>
      </c>
      <c r="X138" s="57">
        <f t="shared" si="31"/>
        <v>81.837840015877433</v>
      </c>
      <c r="AA138" s="54"/>
      <c r="AD138" s="51"/>
      <c r="AE138" s="51"/>
      <c r="AH138" s="78"/>
      <c r="AI138" s="78"/>
      <c r="AU138">
        <v>17</v>
      </c>
      <c r="AV138">
        <v>532</v>
      </c>
      <c r="BF138" s="51">
        <v>0.95005584165713797</v>
      </c>
      <c r="BG138" s="1">
        <v>75</v>
      </c>
      <c r="BH138">
        <f t="shared" si="29"/>
        <v>0.65693619279658544</v>
      </c>
      <c r="BI138">
        <f t="shared" si="30"/>
        <v>6.5874683445257612E-2</v>
      </c>
      <c r="BJ138">
        <f t="shared" si="28"/>
        <v>6.2584627824481751E-2</v>
      </c>
    </row>
    <row r="139" spans="1:62" x14ac:dyDescent="0.3">
      <c r="C139" s="2"/>
      <c r="S139" s="66" t="s">
        <v>39</v>
      </c>
      <c r="T139" s="67">
        <f>C382</f>
        <v>0</v>
      </c>
      <c r="U139" s="67">
        <f t="shared" si="31"/>
        <v>6.3065033979111726</v>
      </c>
      <c r="V139" s="67">
        <f t="shared" si="31"/>
        <v>0.32507571574826699</v>
      </c>
      <c r="W139" s="67">
        <f t="shared" si="31"/>
        <v>1.0605980544607898</v>
      </c>
      <c r="X139" s="67">
        <f t="shared" si="31"/>
        <v>3.5328514819687125</v>
      </c>
      <c r="AD139" s="51"/>
      <c r="AE139" s="51"/>
      <c r="AU139">
        <v>18</v>
      </c>
      <c r="AV139">
        <v>561</v>
      </c>
      <c r="BF139" s="51">
        <v>0.95013731826806402</v>
      </c>
      <c r="BG139" s="1">
        <v>76</v>
      </c>
      <c r="BH139">
        <f t="shared" si="29"/>
        <v>0.68828739090267188</v>
      </c>
      <c r="BI139">
        <f t="shared" si="30"/>
        <v>6.9018444245033631E-2</v>
      </c>
      <c r="BJ139">
        <f t="shared" si="28"/>
        <v>6.5576999526010149E-2</v>
      </c>
    </row>
    <row r="140" spans="1:62" ht="15.6" x14ac:dyDescent="0.35">
      <c r="A140" t="s">
        <v>317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96.491228070175438</v>
      </c>
      <c r="V140" s="57">
        <f>I376</f>
        <v>97.014925373134332</v>
      </c>
      <c r="W140" s="57">
        <f>I377</f>
        <v>94.673539518900341</v>
      </c>
      <c r="X140" s="57">
        <f>I378</f>
        <v>83.845391476709622</v>
      </c>
      <c r="AD140" s="51"/>
      <c r="AE140" s="51"/>
      <c r="AH140" s="78"/>
      <c r="AI140" s="78"/>
      <c r="AU140">
        <v>19</v>
      </c>
      <c r="AV140">
        <v>590</v>
      </c>
      <c r="BF140" s="51">
        <v>0.95019271958426499</v>
      </c>
      <c r="BG140" s="1">
        <v>77</v>
      </c>
      <c r="BH140">
        <f t="shared" si="29"/>
        <v>0.72033023085752279</v>
      </c>
      <c r="BI140">
        <f t="shared" si="30"/>
        <v>7.2231559859393529E-2</v>
      </c>
      <c r="BJ140">
        <f t="shared" si="28"/>
        <v>6.8633902302610766E-2</v>
      </c>
    </row>
    <row r="141" spans="1:62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2.4588241692166148</v>
      </c>
      <c r="V141" s="67">
        <f>J376</f>
        <v>0.62727498147894845</v>
      </c>
      <c r="W141" s="67">
        <f>J377</f>
        <v>0.93163457010175987</v>
      </c>
      <c r="X141" s="67">
        <f>J378</f>
        <v>1.1591978085356103</v>
      </c>
      <c r="AD141" s="51"/>
      <c r="AE141" s="51"/>
      <c r="BF141" s="51">
        <v>0.95038322215444082</v>
      </c>
      <c r="BG141" s="1">
        <v>78</v>
      </c>
      <c r="BH141">
        <f t="shared" si="29"/>
        <v>0.75313037838845598</v>
      </c>
      <c r="BI141">
        <f t="shared" si="30"/>
        <v>7.5520614959798102E-2</v>
      </c>
      <c r="BJ141">
        <f t="shared" si="28"/>
        <v>7.1773525384577791E-2</v>
      </c>
    </row>
    <row r="142" spans="1:62" x14ac:dyDescent="0.3">
      <c r="A142" t="s">
        <v>3</v>
      </c>
      <c r="B142" s="13">
        <v>0</v>
      </c>
      <c r="C142" s="29">
        <f>(C131/$L142)*$O142</f>
        <v>0.25465510668044467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0.25465510668044467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451</v>
      </c>
      <c r="M142">
        <v>0</v>
      </c>
      <c r="N142" s="1">
        <v>211.27</v>
      </c>
      <c r="O142" s="17">
        <f>N142/N147*100</f>
        <v>0.25465510668044467</v>
      </c>
      <c r="P142" s="52">
        <f>((O142*O142*(I142/100)*(K142/100))/(L142-1))</f>
        <v>0</v>
      </c>
      <c r="S142" s="66" t="s">
        <v>51</v>
      </c>
      <c r="T142" s="67">
        <f>N363*100</f>
        <v>100</v>
      </c>
      <c r="U142" s="67">
        <f>N364*100</f>
        <v>62.146892655367225</v>
      </c>
      <c r="V142" s="67">
        <f>N365*100</f>
        <v>97.411444141689373</v>
      </c>
      <c r="W142" s="67">
        <f>N366*100</f>
        <v>88.656476267095741</v>
      </c>
      <c r="X142" s="67">
        <f>N367*100</f>
        <v>89.904357066950055</v>
      </c>
      <c r="AD142" s="51"/>
      <c r="AE142" s="51"/>
      <c r="AH142" s="78"/>
      <c r="AI142" s="78"/>
      <c r="BF142" s="51">
        <v>0.95054121275792081</v>
      </c>
      <c r="BG142" s="1">
        <v>79</v>
      </c>
      <c r="BH142">
        <f t="shared" si="29"/>
        <v>0.78676158292306597</v>
      </c>
      <c r="BI142">
        <f t="shared" si="30"/>
        <v>7.8893004815758033E-2</v>
      </c>
      <c r="BJ142">
        <f t="shared" si="28"/>
        <v>7.4991052475687131E-2</v>
      </c>
    </row>
    <row r="143" spans="1:62" x14ac:dyDescent="0.3">
      <c r="A143" t="s">
        <v>4</v>
      </c>
      <c r="B143" s="13">
        <v>1</v>
      </c>
      <c r="C143" s="33">
        <f t="shared" ref="C143:G146" si="32">(C132/$L143)*$O143</f>
        <v>0</v>
      </c>
      <c r="D143" s="34">
        <f t="shared" si="32"/>
        <v>1.4988985296825243</v>
      </c>
      <c r="E143" s="19">
        <f t="shared" si="32"/>
        <v>2.6766045172902223E-2</v>
      </c>
      <c r="F143" s="18">
        <f t="shared" si="32"/>
        <v>0</v>
      </c>
      <c r="G143" s="20">
        <f t="shared" si="32"/>
        <v>0</v>
      </c>
      <c r="H143" s="17">
        <f>SUM(C143:G143)</f>
        <v>1.5256645748554265</v>
      </c>
      <c r="I143" s="17">
        <f>D143/H143*100</f>
        <v>98.245614035087726</v>
      </c>
      <c r="J143" s="17">
        <f>SQRT(I143*(100-I143)/(L143-1))</f>
        <v>1.7543859649122773</v>
      </c>
      <c r="K143" s="18">
        <f>100-I143</f>
        <v>1.7543859649122737</v>
      </c>
      <c r="L143" s="1">
        <f>H132</f>
        <v>57</v>
      </c>
      <c r="M143">
        <v>1</v>
      </c>
      <c r="N143" s="1">
        <v>1265.74</v>
      </c>
      <c r="O143" s="17">
        <f>N143/N147*100</f>
        <v>1.5256645748554267</v>
      </c>
      <c r="P143" s="52">
        <f>((O143*O143*(I143/100)*(K143/100))/(L143-1))</f>
        <v>7.164211741978396E-4</v>
      </c>
      <c r="R143" s="16" t="s">
        <v>61</v>
      </c>
      <c r="S143" t="s">
        <v>9</v>
      </c>
      <c r="T143" s="30">
        <f>N374</f>
        <v>191.91</v>
      </c>
      <c r="U143" s="30">
        <f>N375</f>
        <v>1297.3</v>
      </c>
      <c r="V143" s="30">
        <f>N376</f>
        <v>48135.59</v>
      </c>
      <c r="W143" s="30">
        <f>N377</f>
        <v>26067.33</v>
      </c>
      <c r="X143" s="30">
        <f>N378</f>
        <v>7271.05</v>
      </c>
      <c r="Z143" t="s">
        <v>36</v>
      </c>
      <c r="AA143" s="1">
        <f>N379</f>
        <v>82963.180000000008</v>
      </c>
      <c r="AD143" s="51"/>
      <c r="AE143" s="51"/>
      <c r="BF143" s="51">
        <v>0.95082782916004505</v>
      </c>
      <c r="BG143" s="1">
        <v>80</v>
      </c>
      <c r="BH143">
        <f t="shared" si="29"/>
        <v>0.82130717520561125</v>
      </c>
      <c r="BI143">
        <f t="shared" si="30"/>
        <v>8.2357085469244348E-2</v>
      </c>
      <c r="BJ143">
        <f t="shared" si="28"/>
        <v>7.8307408792669897E-2</v>
      </c>
    </row>
    <row r="144" spans="1:62" ht="15.6" x14ac:dyDescent="0.35">
      <c r="A144" t="s">
        <v>5</v>
      </c>
      <c r="B144" s="13">
        <v>2</v>
      </c>
      <c r="C144" s="33">
        <f t="shared" si="32"/>
        <v>0</v>
      </c>
      <c r="D144" s="19">
        <f t="shared" si="32"/>
        <v>0</v>
      </c>
      <c r="E144" s="34">
        <f t="shared" si="32"/>
        <v>56.23549306050537</v>
      </c>
      <c r="F144" s="19">
        <f t="shared" si="32"/>
        <v>1.1011145494364687</v>
      </c>
      <c r="G144" s="20">
        <f t="shared" si="32"/>
        <v>0.62920831396369636</v>
      </c>
      <c r="H144" s="17">
        <f>SUM(C144:G144)</f>
        <v>57.965815923905531</v>
      </c>
      <c r="I144" s="17">
        <f>E144/H144*100</f>
        <v>97.014925373134332</v>
      </c>
      <c r="J144" s="17">
        <f>SQRT(I144*(100-I144)/(L144-1))</f>
        <v>0.62727498147894845</v>
      </c>
      <c r="K144" s="18">
        <f>100-I144</f>
        <v>2.9850746268656678</v>
      </c>
      <c r="L144" s="1">
        <f>H133</f>
        <v>737</v>
      </c>
      <c r="M144">
        <v>2</v>
      </c>
      <c r="N144" s="1">
        <v>48090.29</v>
      </c>
      <c r="O144" s="17">
        <f>N144/N147*100</f>
        <v>57.965815923905531</v>
      </c>
      <c r="P144" s="52">
        <f>((O144*O144*(I144/100)*(K144/100))/(L144-1))</f>
        <v>0.13220864045811637</v>
      </c>
      <c r="R144" s="16" t="s">
        <v>318</v>
      </c>
      <c r="S144" t="s">
        <v>63</v>
      </c>
      <c r="T144" s="57">
        <f>$AA143*T136/100</f>
        <v>191.91</v>
      </c>
      <c r="U144" s="57">
        <f>$AA143*U136/100</f>
        <v>1778.2900103918455</v>
      </c>
      <c r="V144" s="57">
        <f>$AA143*V136/100</f>
        <v>47258.526092264081</v>
      </c>
      <c r="W144" s="57">
        <f>$AA143*W136/100</f>
        <v>26285.038888609088</v>
      </c>
      <c r="X144" s="57">
        <f>$AA143*X136/100</f>
        <v>7449.415008734979</v>
      </c>
      <c r="Z144" t="s">
        <v>36</v>
      </c>
      <c r="AA144" s="25">
        <f>SUM(T144:X144)</f>
        <v>82963.180000000008</v>
      </c>
      <c r="AD144" s="51"/>
      <c r="AE144" s="51"/>
      <c r="AH144" s="78"/>
      <c r="AI144" s="78"/>
      <c r="BF144" s="51">
        <v>0.95095164538463905</v>
      </c>
      <c r="BG144" s="1">
        <v>81</v>
      </c>
      <c r="BH144">
        <f t="shared" si="29"/>
        <v>0.8568619257010005</v>
      </c>
      <c r="BI144">
        <f t="shared" si="30"/>
        <v>8.5922360087298644E-2</v>
      </c>
      <c r="BJ144">
        <f t="shared" si="28"/>
        <v>8.1708009700348083E-2</v>
      </c>
    </row>
    <row r="145" spans="1:62" x14ac:dyDescent="0.3">
      <c r="A145" t="s">
        <v>6</v>
      </c>
      <c r="B145" s="13">
        <v>3</v>
      </c>
      <c r="C145" s="33">
        <f t="shared" si="32"/>
        <v>0</v>
      </c>
      <c r="D145" s="19">
        <f t="shared" si="32"/>
        <v>0</v>
      </c>
      <c r="E145" s="19">
        <f t="shared" si="32"/>
        <v>0.64487648449002921</v>
      </c>
      <c r="F145" s="34">
        <f t="shared" si="32"/>
        <v>29.395619751337168</v>
      </c>
      <c r="G145" s="20">
        <f t="shared" si="32"/>
        <v>1.2360132619392228</v>
      </c>
      <c r="H145" s="17">
        <f>SUM(C145:G145)</f>
        <v>31.276509497766423</v>
      </c>
      <c r="I145" s="17">
        <f>F145/H145*100</f>
        <v>93.986254295532646</v>
      </c>
      <c r="J145" s="17">
        <f>SQRT(I145*(100-I145)/(L145-1))</f>
        <v>0.98631726317118351</v>
      </c>
      <c r="K145" s="18">
        <f>100-I145</f>
        <v>6.0137457044673539</v>
      </c>
      <c r="L145" s="1">
        <f>H134</f>
        <v>582</v>
      </c>
      <c r="M145">
        <v>3</v>
      </c>
      <c r="N145" s="1">
        <v>25947.99</v>
      </c>
      <c r="O145" s="17">
        <f>N145/N147*100</f>
        <v>31.276509497766419</v>
      </c>
      <c r="P145" s="52">
        <f>((O145*O145*(I145/100)*(K145/100))/(L145-1))</f>
        <v>9.5163373115702721E-2</v>
      </c>
      <c r="R145" s="66"/>
      <c r="S145" s="66" t="s">
        <v>62</v>
      </c>
      <c r="T145" s="67">
        <f>$AA143*T137/100</f>
        <v>0</v>
      </c>
      <c r="U145" s="67">
        <f>$AA143*U137/100</f>
        <v>91.500285555579069</v>
      </c>
      <c r="V145" s="67">
        <f>$AA143*V137/100</f>
        <v>337.41711209027795</v>
      </c>
      <c r="W145" s="67">
        <f>$AA143*W137/100</f>
        <v>349.24652154716239</v>
      </c>
      <c r="X145" s="67">
        <f>$AA143*X137/100</f>
        <v>274.62083887026012</v>
      </c>
      <c r="AA145" s="1"/>
      <c r="AD145" s="51"/>
      <c r="AE145" s="51"/>
      <c r="BF145" s="51">
        <v>0.95100421908983801</v>
      </c>
      <c r="BG145" s="1">
        <v>82</v>
      </c>
      <c r="BH145">
        <f t="shared" si="29"/>
        <v>0.89353437460601337</v>
      </c>
      <c r="BI145">
        <f t="shared" si="30"/>
        <v>8.9599712605350768E-2</v>
      </c>
      <c r="BJ145">
        <f t="shared" si="28"/>
        <v>8.5209704716925516E-2</v>
      </c>
    </row>
    <row r="146" spans="1:62" x14ac:dyDescent="0.3">
      <c r="A146" t="s">
        <v>7</v>
      </c>
      <c r="B146" s="13">
        <v>4</v>
      </c>
      <c r="C146" s="35">
        <f t="shared" si="32"/>
        <v>0</v>
      </c>
      <c r="D146" s="36">
        <f t="shared" si="32"/>
        <v>0.73847418873513482</v>
      </c>
      <c r="E146" s="21">
        <f t="shared" si="32"/>
        <v>6.2280955676457146E-2</v>
      </c>
      <c r="F146" s="21">
        <f t="shared" si="32"/>
        <v>0.50714492479400819</v>
      </c>
      <c r="G146" s="37">
        <f t="shared" si="32"/>
        <v>7.6694548275865806</v>
      </c>
      <c r="H146" s="17">
        <f>SUM(C146:G146)</f>
        <v>8.9773548967921801</v>
      </c>
      <c r="I146" s="17">
        <f>G146/H146*100</f>
        <v>85.431119920713584</v>
      </c>
      <c r="J146" s="17">
        <f>SQRT(I146*(100-I146)/(L146-1))</f>
        <v>1.1111965081506527</v>
      </c>
      <c r="K146" s="18">
        <f>100-I146</f>
        <v>14.568880079286416</v>
      </c>
      <c r="L146" s="1">
        <f>H135</f>
        <v>1009</v>
      </c>
      <c r="M146">
        <v>4</v>
      </c>
      <c r="N146" s="1">
        <v>7447.9</v>
      </c>
      <c r="O146" s="17">
        <f>N146/N147*100</f>
        <v>8.9773548967921801</v>
      </c>
      <c r="P146" s="52">
        <f>((O146*O146*(I146/100)*(K146/100))/(L146-1))</f>
        <v>9.9512703370731245E-3</v>
      </c>
      <c r="R146" t="s">
        <v>101</v>
      </c>
      <c r="S146" t="s">
        <v>28</v>
      </c>
      <c r="T146" s="57">
        <f>C408</f>
        <v>0.24565111346369403</v>
      </c>
      <c r="U146" s="57">
        <f t="shared" ref="U146:X149" si="33">D408</f>
        <v>2.1887252537245727</v>
      </c>
      <c r="V146" s="57">
        <f t="shared" si="33"/>
        <v>56.717922135911827</v>
      </c>
      <c r="W146" s="57">
        <f t="shared" si="33"/>
        <v>31.115039581650226</v>
      </c>
      <c r="X146" s="57">
        <f t="shared" si="33"/>
        <v>9.7326619152496932</v>
      </c>
      <c r="Y146" s="60"/>
      <c r="Z146" s="74"/>
      <c r="AA146" s="12"/>
      <c r="AD146" s="51"/>
      <c r="AE146" s="51"/>
      <c r="AH146" s="78"/>
      <c r="AI146" s="78"/>
      <c r="BF146" s="51">
        <v>0.95123766620580075</v>
      </c>
      <c r="BG146" s="1">
        <v>83</v>
      </c>
      <c r="BH146">
        <f t="shared" si="29"/>
        <v>0.93144978630264041</v>
      </c>
      <c r="BI146">
        <f t="shared" si="30"/>
        <v>9.3401703986856682E-2</v>
      </c>
      <c r="BJ146">
        <f t="shared" si="28"/>
        <v>8.8847218920102583E-2</v>
      </c>
    </row>
    <row r="147" spans="1:62" x14ac:dyDescent="0.3">
      <c r="B147" t="s">
        <v>28</v>
      </c>
      <c r="C147" s="17">
        <f t="shared" ref="C147:H147" si="34">SUM(C142:C146)</f>
        <v>0.25465510668044467</v>
      </c>
      <c r="D147" s="17">
        <f t="shared" si="34"/>
        <v>2.2373727184176593</v>
      </c>
      <c r="E147" s="17">
        <f t="shared" si="34"/>
        <v>56.969416545844759</v>
      </c>
      <c r="F147" s="17">
        <f t="shared" si="34"/>
        <v>31.003879225567648</v>
      </c>
      <c r="G147" s="17">
        <f t="shared" si="34"/>
        <v>9.5346764034894989</v>
      </c>
      <c r="H147" s="18">
        <f t="shared" si="34"/>
        <v>100</v>
      </c>
      <c r="I147" s="13" t="s">
        <v>24</v>
      </c>
      <c r="J147" s="12" t="s">
        <v>29</v>
      </c>
      <c r="N147" s="1">
        <f>SUM(N142:N146)</f>
        <v>82963.19</v>
      </c>
      <c r="O147" s="17">
        <f>SUM(O142:O146)</f>
        <v>100</v>
      </c>
      <c r="S147" s="66" t="s">
        <v>39</v>
      </c>
      <c r="T147" s="67">
        <f>C409</f>
        <v>0</v>
      </c>
      <c r="U147" s="67">
        <f t="shared" si="33"/>
        <v>0.11348045216000911</v>
      </c>
      <c r="V147" s="67">
        <f t="shared" si="33"/>
        <v>0.41789519579860845</v>
      </c>
      <c r="W147" s="67">
        <f t="shared" si="33"/>
        <v>0.43363823998718287</v>
      </c>
      <c r="X147" s="67">
        <f t="shared" si="33"/>
        <v>0.37123530349396572</v>
      </c>
      <c r="AD147" s="51"/>
      <c r="AE147" s="51"/>
      <c r="BF147" s="51">
        <v>0.95136059906857096</v>
      </c>
      <c r="BG147" s="1">
        <v>84</v>
      </c>
      <c r="BH147">
        <f t="shared" si="29"/>
        <v>0.97075394243172153</v>
      </c>
      <c r="BI147">
        <f t="shared" si="30"/>
        <v>9.7342952576105757E-2</v>
      </c>
      <c r="BJ147">
        <f t="shared" si="28"/>
        <v>9.260824967790747E-2</v>
      </c>
    </row>
    <row r="148" spans="1:62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8.2059635304782247E-2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0.40893070259382086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0.42920374449495646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0.35027152427325314</v>
      </c>
      <c r="H148" s="1"/>
      <c r="I148" s="56">
        <f>(C142+D143+E144+F145+G146)/H147</f>
        <v>0.95054121275792081</v>
      </c>
      <c r="J148" s="53">
        <f>SQRT(SUM(P142:P146))/100</f>
        <v>4.8789312875371603E-3</v>
      </c>
      <c r="M148" s="1"/>
      <c r="N148" s="9"/>
      <c r="S148" t="s">
        <v>30</v>
      </c>
      <c r="T148" s="57">
        <f>C410</f>
        <v>100</v>
      </c>
      <c r="U148" s="57">
        <f t="shared" si="33"/>
        <v>63.186390166658072</v>
      </c>
      <c r="V148" s="57">
        <f t="shared" si="33"/>
        <v>98.881706625433182</v>
      </c>
      <c r="W148" s="57">
        <f t="shared" si="33"/>
        <v>94.187513529183008</v>
      </c>
      <c r="X148" s="57">
        <f t="shared" si="33"/>
        <v>78.429579867364325</v>
      </c>
      <c r="AD148" s="51"/>
      <c r="AE148" s="51"/>
      <c r="AH148" s="78"/>
      <c r="AI148" s="78"/>
      <c r="BF148" s="51">
        <v>0.9515114339582581</v>
      </c>
      <c r="BG148" s="1">
        <v>85</v>
      </c>
      <c r="BH148">
        <f t="shared" si="29"/>
        <v>1.0116180790824523</v>
      </c>
      <c r="BI148">
        <f t="shared" si="30"/>
        <v>0.10144062917795522</v>
      </c>
      <c r="BJ148">
        <f t="shared" si="28"/>
        <v>9.6521918530744086E-2</v>
      </c>
    </row>
    <row r="149" spans="1:62" x14ac:dyDescent="0.3">
      <c r="B149" s="1" t="s">
        <v>30</v>
      </c>
      <c r="C149" s="17">
        <f>C142/C147*100</f>
        <v>100</v>
      </c>
      <c r="D149" s="17">
        <f>D143/D147*100</f>
        <v>66.993689399350174</v>
      </c>
      <c r="E149" s="17">
        <f>E144/E147*100</f>
        <v>98.711723711004169</v>
      </c>
      <c r="F149" s="17">
        <f>F145/F147*100</f>
        <v>94.812715329815205</v>
      </c>
      <c r="G149" s="17">
        <f>G146/G147*100</f>
        <v>80.437494709099042</v>
      </c>
      <c r="H149" s="1"/>
      <c r="S149" s="66" t="s">
        <v>39</v>
      </c>
      <c r="T149" s="67">
        <f>C411</f>
        <v>0</v>
      </c>
      <c r="U149" s="67">
        <f t="shared" si="33"/>
        <v>5.2439709541140775</v>
      </c>
      <c r="V149" s="67">
        <f t="shared" si="33"/>
        <v>0.28516056676839141</v>
      </c>
      <c r="W149" s="67">
        <f t="shared" si="33"/>
        <v>1.0978764833248225</v>
      </c>
      <c r="X149" s="67">
        <f t="shared" si="33"/>
        <v>3.7309837331554987</v>
      </c>
      <c r="AD149" s="51"/>
      <c r="AE149" s="51"/>
      <c r="BF149" s="51">
        <v>0.95195141663355698</v>
      </c>
      <c r="BG149" s="1">
        <v>86</v>
      </c>
      <c r="BH149">
        <f t="shared" si="29"/>
        <v>1.0542454124924514</v>
      </c>
      <c r="BI149">
        <f t="shared" si="30"/>
        <v>0.10571511142644452</v>
      </c>
      <c r="BJ149">
        <f t="shared" si="28"/>
        <v>0.10063565008197818</v>
      </c>
    </row>
    <row r="150" spans="1:62" x14ac:dyDescent="0.3">
      <c r="B150" s="16" t="s">
        <v>39</v>
      </c>
      <c r="C150" s="18">
        <f>SQRT((C153+C154)/(C147*C147))</f>
        <v>0</v>
      </c>
      <c r="D150" s="18">
        <f>SQRT((D153+D154)/(D147*D147))</f>
        <v>4.5829167713972963</v>
      </c>
      <c r="E150" s="18">
        <f>SQRT((E153+E154)/(E147*E147))</f>
        <v>0.33562123650497055</v>
      </c>
      <c r="F150" s="18">
        <f>SQRT((F153+F154)/(F147*F147))</f>
        <v>1.0496906410086826</v>
      </c>
      <c r="G150" s="18">
        <f>SQRT((G153+G154)/(G147*G147))</f>
        <v>3.4965808141324146</v>
      </c>
      <c r="H150" s="1"/>
      <c r="S150" s="15" t="s">
        <v>31</v>
      </c>
      <c r="T150" s="71">
        <f>I403</f>
        <v>100</v>
      </c>
      <c r="U150" s="71">
        <f>I404</f>
        <v>98.245614035087712</v>
      </c>
      <c r="V150" s="71">
        <f>I405</f>
        <v>96.607869742198091</v>
      </c>
      <c r="W150" s="71">
        <f>I406</f>
        <v>94.158075601374563</v>
      </c>
      <c r="X150" s="71">
        <f>I407</f>
        <v>83.250743310208136</v>
      </c>
      <c r="AD150" s="51"/>
      <c r="AE150" s="51"/>
      <c r="AH150" s="78"/>
      <c r="AI150" s="78"/>
      <c r="BF150" s="51">
        <v>0.95198426879981901</v>
      </c>
      <c r="BG150" s="1">
        <v>87</v>
      </c>
      <c r="BH150">
        <f t="shared" si="29"/>
        <v>1.0988799140705434</v>
      </c>
      <c r="BI150">
        <f t="shared" si="30"/>
        <v>0.11019086370563748</v>
      </c>
      <c r="BJ150">
        <f t="shared" si="28"/>
        <v>0.10489996881323181</v>
      </c>
    </row>
    <row r="151" spans="1:62" x14ac:dyDescent="0.3">
      <c r="B151" s="1" t="s">
        <v>37</v>
      </c>
      <c r="C151" s="18">
        <f>100-C149</f>
        <v>0</v>
      </c>
      <c r="D151" s="18">
        <f>100-D149</f>
        <v>33.006310600649826</v>
      </c>
      <c r="E151" s="18">
        <f>100-E149</f>
        <v>1.2882762889958315</v>
      </c>
      <c r="F151" s="18">
        <f>100-F149</f>
        <v>5.1872846701847948</v>
      </c>
      <c r="G151" s="18">
        <f>100-G149</f>
        <v>19.562505290900958</v>
      </c>
      <c r="S151" s="75" t="s">
        <v>39</v>
      </c>
      <c r="T151" s="76">
        <f>J403</f>
        <v>0</v>
      </c>
      <c r="U151" s="76">
        <f>J404</f>
        <v>1.7543859649122842</v>
      </c>
      <c r="V151" s="76">
        <f>J405</f>
        <v>0.66727308275993358</v>
      </c>
      <c r="W151" s="76">
        <f>J406</f>
        <v>0.97301309901205002</v>
      </c>
      <c r="X151" s="76">
        <f>J407</f>
        <v>1.1761468859542712</v>
      </c>
      <c r="AD151" s="51"/>
      <c r="AE151" s="51"/>
      <c r="BF151" s="51">
        <v>0.95204063433322805</v>
      </c>
      <c r="BG151" s="1">
        <v>88</v>
      </c>
      <c r="BH151">
        <f t="shared" si="29"/>
        <v>1.1458183419972177</v>
      </c>
      <c r="BI151">
        <f t="shared" si="30"/>
        <v>0.11489764362580719</v>
      </c>
      <c r="BJ151">
        <f t="shared" si="28"/>
        <v>0.10938722552090666</v>
      </c>
    </row>
    <row r="152" spans="1:62" ht="15.6" x14ac:dyDescent="0.35">
      <c r="B152" s="1" t="s">
        <v>25</v>
      </c>
      <c r="C152" s="1">
        <f>C136</f>
        <v>451</v>
      </c>
      <c r="D152" s="1">
        <f>D136</f>
        <v>139</v>
      </c>
      <c r="E152" s="1">
        <f>E136</f>
        <v>735</v>
      </c>
      <c r="F152" s="1">
        <f>F136</f>
        <v>618</v>
      </c>
      <c r="G152" s="1">
        <f>G136</f>
        <v>893</v>
      </c>
      <c r="S152" s="66" t="s">
        <v>51</v>
      </c>
      <c r="T152" s="67">
        <f>N392*100</f>
        <v>100</v>
      </c>
      <c r="U152" s="67">
        <f>N393*100</f>
        <v>57.731958762886606</v>
      </c>
      <c r="V152" s="67">
        <f>N394*100</f>
        <v>96.346414073071713</v>
      </c>
      <c r="W152" s="67">
        <f>N395*100</f>
        <v>90.280065897858321</v>
      </c>
      <c r="X152" s="67">
        <f>N396*100</f>
        <v>89.171974522292999</v>
      </c>
      <c r="AD152" s="51"/>
      <c r="AE152" s="51"/>
      <c r="AH152" s="78"/>
      <c r="AI152" s="78"/>
      <c r="BF152" s="51">
        <v>0.95217135937651398</v>
      </c>
      <c r="BG152" s="1">
        <v>89</v>
      </c>
      <c r="BH152">
        <f t="shared" si="29"/>
        <v>1.1954271085021428</v>
      </c>
      <c r="BI152">
        <f t="shared" si="30"/>
        <v>0.11987219340013137</v>
      </c>
      <c r="BJ152">
        <f t="shared" si="28"/>
        <v>0.11413886934124748</v>
      </c>
    </row>
    <row r="153" spans="1:62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78.048107639518648</v>
      </c>
      <c r="E153" s="18">
        <f>(O144*O144*(100-E149)*(100-E149)*(I144)*(100-I144))/((L144-1)*100)</f>
        <v>21.942083652188849</v>
      </c>
      <c r="F153" s="18">
        <f>(O145*O145*(100-F149)*(100-F149)*(I145)*(100-I145))/((L145-1)*100)</f>
        <v>256.06486448007394</v>
      </c>
      <c r="G153" s="18">
        <f>(O146*O146*(100-G149)*(100-G149)*(I146)*(100-I146))/((L146-1)*100)</f>
        <v>380.82676992463468</v>
      </c>
      <c r="R153" s="16" t="s">
        <v>61</v>
      </c>
      <c r="S153" t="s">
        <v>9</v>
      </c>
      <c r="T153" s="30">
        <f>N403</f>
        <v>203.8</v>
      </c>
      <c r="U153" s="30">
        <f>N404</f>
        <v>1167.8499999999999</v>
      </c>
      <c r="V153" s="30">
        <f>N405</f>
        <v>48162.52</v>
      </c>
      <c r="W153" s="30">
        <f>N406</f>
        <v>25822.1</v>
      </c>
      <c r="X153" s="30">
        <f>N407</f>
        <v>7606.92</v>
      </c>
      <c r="Z153" t="s">
        <v>36</v>
      </c>
      <c r="AA153" s="1">
        <f>N408</f>
        <v>82963.189999999988</v>
      </c>
      <c r="AD153" s="51"/>
      <c r="AE153" s="51"/>
      <c r="BF153" s="51">
        <v>0.95232995989248503</v>
      </c>
      <c r="BG153" s="1">
        <v>90</v>
      </c>
      <c r="BH153">
        <f t="shared" si="29"/>
        <v>1.248166539458073</v>
      </c>
      <c r="BI153">
        <f t="shared" si="30"/>
        <v>0.12516067249049057</v>
      </c>
      <c r="BJ153">
        <f t="shared" si="28"/>
        <v>0.11919425821298534</v>
      </c>
    </row>
    <row r="154" spans="1:62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27.09011157801131</v>
      </c>
      <c r="E154" s="18">
        <f>E149*E149*(SUM((H142*E142*(1-E131/H131))/(H131-1),(H143*E143*(1-E132/H132))/(H132-1), (H145*E145*(1-E134/H134))/(H134-1),(H146*E146*(1-E135/H135))/(H135-1)))</f>
        <v>343.63790033007376</v>
      </c>
      <c r="F154" s="18">
        <f>F149*F149*(SUM((H142*F142*(1-F131/H131))/(H131-1),(H143*F143*(1-F132/H132))/(H132-1), (H144*F144*(1-F133/H133))/(H133-1),(H146*F146*(1-F135/H135))/(H135-1)))</f>
        <v>803.07843492834343</v>
      </c>
      <c r="G154" s="18">
        <f>G149*G149*(SUM((H142*G142*(1-G131/H131))/(H131-1),(H143*G143*(1-G132/H132))/(H132-1), (H144*G144*(1-G133/H133))/(H133-1),(H145*G145*(1-G134/H134))/(H134-1)))</f>
        <v>730.64658724460128</v>
      </c>
      <c r="R154" s="16" t="s">
        <v>318</v>
      </c>
      <c r="S154" t="s">
        <v>63</v>
      </c>
      <c r="T154" s="57">
        <f>$AA153*T146/100</f>
        <v>203.80000000000004</v>
      </c>
      <c r="U154" s="57">
        <f>$AA153*U146/100</f>
        <v>1815.8362908254992</v>
      </c>
      <c r="V154" s="57">
        <f>$AA153*V146/100</f>
        <v>47054.99750566858</v>
      </c>
      <c r="W154" s="57">
        <f>$AA153*W146/100</f>
        <v>25814.029406699679</v>
      </c>
      <c r="X154" s="57">
        <f>$AA153*X146/100</f>
        <v>8074.5267968062408</v>
      </c>
      <c r="Z154" t="s">
        <v>36</v>
      </c>
      <c r="AA154" s="25">
        <f>SUM(T154:X154)</f>
        <v>82963.189999999988</v>
      </c>
      <c r="AD154" s="51"/>
      <c r="AE154" s="51"/>
      <c r="AH154" s="78"/>
      <c r="AI154" s="78"/>
      <c r="BF154" s="51">
        <v>0.95266675401840817</v>
      </c>
      <c r="BG154" s="1">
        <v>91</v>
      </c>
      <c r="BH154">
        <f t="shared" si="29"/>
        <v>1.3046268229653302</v>
      </c>
      <c r="BI154">
        <f t="shared" si="30"/>
        <v>0.13082226237403305</v>
      </c>
      <c r="BJ154">
        <f t="shared" si="28"/>
        <v>0.1246300200492146</v>
      </c>
    </row>
    <row r="155" spans="1:62" x14ac:dyDescent="0.3">
      <c r="A155" s="105" t="s">
        <v>645</v>
      </c>
      <c r="B155" s="69" t="s">
        <v>9</v>
      </c>
      <c r="C155" s="1">
        <v>270.89999999999998</v>
      </c>
      <c r="D155" s="1">
        <v>1650.06</v>
      </c>
      <c r="E155" s="1">
        <v>15477.43</v>
      </c>
      <c r="F155" s="1">
        <v>2207.2199999999998</v>
      </c>
      <c r="G155" s="1">
        <v>1917.15</v>
      </c>
      <c r="I155" t="s">
        <v>36</v>
      </c>
      <c r="J155" s="57">
        <f>SUM(C155:G155)</f>
        <v>21522.760000000002</v>
      </c>
      <c r="R155" s="66"/>
      <c r="S155" s="66" t="s">
        <v>62</v>
      </c>
      <c r="T155" s="67">
        <f>$AA153*T147/100</f>
        <v>0</v>
      </c>
      <c r="U155" s="67">
        <f>$AA153*U147/100</f>
        <v>94.147003138367452</v>
      </c>
      <c r="V155" s="67">
        <f>$AA153*V147/100</f>
        <v>346.69918529127148</v>
      </c>
      <c r="W155" s="67">
        <f>$AA153*W147/100</f>
        <v>359.76011695322245</v>
      </c>
      <c r="X155" s="67">
        <f>$AA153*X147/100</f>
        <v>307.98865018477534</v>
      </c>
      <c r="AA155" s="1"/>
      <c r="AD155" s="51"/>
      <c r="AE155" s="51"/>
      <c r="BF155" s="51">
        <v>0.95275507013242633</v>
      </c>
      <c r="BG155" s="1">
        <v>92</v>
      </c>
      <c r="BH155">
        <f t="shared" si="29"/>
        <v>1.3655831908785105</v>
      </c>
      <c r="BI155">
        <f t="shared" si="30"/>
        <v>0.13693469990492851</v>
      </c>
      <c r="BJ155">
        <f t="shared" si="28"/>
        <v>0.13046522961148291</v>
      </c>
    </row>
    <row r="156" spans="1:62" x14ac:dyDescent="0.3">
      <c r="B156" t="s">
        <v>367</v>
      </c>
      <c r="C156" s="57">
        <f>(C155/$J155)*100</f>
        <v>1.2586675686575513</v>
      </c>
      <c r="D156" s="57">
        <f>(D155/$J155)*100</f>
        <v>7.6665817952716093</v>
      </c>
      <c r="E156" s="57">
        <f>(E155/$J155)*100</f>
        <v>71.911920218410643</v>
      </c>
      <c r="F156" s="57">
        <f>(F155/$J155)*100</f>
        <v>10.255283244342268</v>
      </c>
      <c r="G156" s="57">
        <f>(G155/$J155)*100</f>
        <v>8.9075471733179192</v>
      </c>
      <c r="R156" t="s">
        <v>102</v>
      </c>
      <c r="S156" t="s">
        <v>28</v>
      </c>
      <c r="T156" s="57">
        <f>C437</f>
        <v>0.23934714170792395</v>
      </c>
      <c r="U156" s="57">
        <f t="shared" ref="U156:X159" si="35">D437</f>
        <v>2.449041605819918</v>
      </c>
      <c r="V156" s="57">
        <f t="shared" si="35"/>
        <v>57.085027025042841</v>
      </c>
      <c r="W156" s="57">
        <f t="shared" si="35"/>
        <v>31.044326922965514</v>
      </c>
      <c r="X156" s="57">
        <f t="shared" si="35"/>
        <v>9.1822573044637963</v>
      </c>
      <c r="Z156" s="74"/>
      <c r="AA156" s="12"/>
      <c r="AD156" s="51"/>
      <c r="AE156" s="51"/>
      <c r="AH156" s="78"/>
      <c r="AI156" s="78"/>
      <c r="BF156" s="51">
        <v>0.95298250853853705</v>
      </c>
      <c r="BG156" s="1">
        <v>93</v>
      </c>
      <c r="BH156">
        <f t="shared" si="29"/>
        <v>1.43208428708654</v>
      </c>
      <c r="BI156">
        <f t="shared" si="30"/>
        <v>0.14360313849835979</v>
      </c>
      <c r="BJ156">
        <f t="shared" si="28"/>
        <v>0.13685127916017387</v>
      </c>
    </row>
    <row r="157" spans="1:62" x14ac:dyDescent="0.3">
      <c r="A157" s="348" t="s">
        <v>371</v>
      </c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 t="s">
        <v>78</v>
      </c>
      <c r="M157" s="348"/>
      <c r="N157" s="348"/>
      <c r="O157" s="348"/>
      <c r="P157" s="348"/>
      <c r="S157" s="66" t="s">
        <v>39</v>
      </c>
      <c r="T157" s="67">
        <f>C438</f>
        <v>0</v>
      </c>
      <c r="U157" s="67">
        <f t="shared" si="35"/>
        <v>0.11927541234545658</v>
      </c>
      <c r="V157" s="67">
        <f t="shared" si="35"/>
        <v>0.39403431065210665</v>
      </c>
      <c r="W157" s="67">
        <f t="shared" si="35"/>
        <v>0.41360152136193939</v>
      </c>
      <c r="X157" s="67">
        <f t="shared" si="35"/>
        <v>0.36022699697559579</v>
      </c>
      <c r="AD157" s="51"/>
      <c r="AE157" s="51"/>
      <c r="BF157" s="51">
        <v>0.95349481405668501</v>
      </c>
      <c r="BG157" s="1">
        <v>94</v>
      </c>
      <c r="BH157">
        <f t="shared" si="29"/>
        <v>1.5056012163044223</v>
      </c>
      <c r="BI157">
        <f t="shared" si="30"/>
        <v>0.15097509409039242</v>
      </c>
      <c r="BJ157">
        <f t="shared" si="28"/>
        <v>0.14395396926690923</v>
      </c>
    </row>
    <row r="158" spans="1:62" x14ac:dyDescent="0.3">
      <c r="A158" t="s">
        <v>315</v>
      </c>
      <c r="B158" t="s">
        <v>21</v>
      </c>
      <c r="I158" s="1" t="s">
        <v>53</v>
      </c>
      <c r="O158" s="350" t="s">
        <v>377</v>
      </c>
      <c r="P158" s="350"/>
      <c r="S158" t="s">
        <v>30</v>
      </c>
      <c r="T158" s="57">
        <f>C439</f>
        <v>100</v>
      </c>
      <c r="U158" s="57">
        <f t="shared" si="35"/>
        <v>58.287256409083675</v>
      </c>
      <c r="V158" s="57">
        <f t="shared" si="35"/>
        <v>99.037521830792556</v>
      </c>
      <c r="W158" s="57">
        <f t="shared" si="35"/>
        <v>95.058443775887497</v>
      </c>
      <c r="X158" s="57">
        <f t="shared" si="35"/>
        <v>78.502657581477848</v>
      </c>
      <c r="AD158" s="51"/>
      <c r="AE158" s="51"/>
      <c r="AH158" s="78"/>
      <c r="AI158" s="78"/>
      <c r="BF158" s="51">
        <v>0.95367738472516295</v>
      </c>
      <c r="BG158" s="1">
        <v>95</v>
      </c>
      <c r="BH158">
        <f t="shared" si="29"/>
        <v>1.5882958682169486</v>
      </c>
      <c r="BI158">
        <f t="shared" si="30"/>
        <v>0.15926735150760582</v>
      </c>
      <c r="BJ158">
        <f t="shared" si="28"/>
        <v>0.15188967125787675</v>
      </c>
    </row>
    <row r="159" spans="1:62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51</v>
      </c>
      <c r="O159" s="13" t="s">
        <v>644</v>
      </c>
      <c r="P159" s="13" t="s">
        <v>633</v>
      </c>
      <c r="S159" s="66" t="s">
        <v>39</v>
      </c>
      <c r="T159" s="67">
        <f>C440</f>
        <v>0</v>
      </c>
      <c r="U159" s="67">
        <f t="shared" si="35"/>
        <v>5.1532282320200729</v>
      </c>
      <c r="V159" s="67">
        <f t="shared" si="35"/>
        <v>0.26385395626550634</v>
      </c>
      <c r="W159" s="67">
        <f t="shared" si="35"/>
        <v>1.0048263869633109</v>
      </c>
      <c r="X159" s="67">
        <f t="shared" si="35"/>
        <v>3.8631562101201635</v>
      </c>
      <c r="AD159" s="51"/>
      <c r="AE159" s="51"/>
      <c r="BF159" s="51">
        <v>0.95384517171065963</v>
      </c>
      <c r="BG159" s="1">
        <v>96</v>
      </c>
      <c r="BH159">
        <f t="shared" si="29"/>
        <v>1.6835465976780204</v>
      </c>
      <c r="BI159">
        <f t="shared" si="30"/>
        <v>0.16881867737453193</v>
      </c>
      <c r="BJ159">
        <f t="shared" si="28"/>
        <v>0.16102688030827686</v>
      </c>
    </row>
    <row r="160" spans="1:62" x14ac:dyDescent="0.3">
      <c r="A160" t="s">
        <v>3</v>
      </c>
      <c r="B160" s="13">
        <v>0</v>
      </c>
      <c r="C160" s="26">
        <v>451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451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/>
      <c r="P160" s="1"/>
      <c r="S160" s="15" t="s">
        <v>31</v>
      </c>
      <c r="T160" s="71">
        <f>I432</f>
        <v>100</v>
      </c>
      <c r="U160" s="71">
        <f>I433</f>
        <v>98.245614035087726</v>
      </c>
      <c r="V160" s="71">
        <f>I434</f>
        <v>97.014925373134332</v>
      </c>
      <c r="W160" s="71">
        <f>I435</f>
        <v>94.501718213058425</v>
      </c>
      <c r="X160" s="71">
        <f>I436</f>
        <v>81.863230921704655</v>
      </c>
      <c r="AD160" s="51"/>
      <c r="AE160" s="51"/>
      <c r="AH160" s="78"/>
      <c r="AI160" s="78"/>
      <c r="BF160" s="51">
        <v>0.95435025079908098</v>
      </c>
      <c r="BG160" s="1">
        <v>97</v>
      </c>
      <c r="BH160">
        <f t="shared" si="29"/>
        <v>1.7971034256260585</v>
      </c>
      <c r="BI160">
        <f t="shared" si="30"/>
        <v>0.18020565860063842</v>
      </c>
      <c r="BJ160">
        <f t="shared" si="28"/>
        <v>0.17197931548093284</v>
      </c>
    </row>
    <row r="161" spans="1:62" x14ac:dyDescent="0.3">
      <c r="A161" t="s">
        <v>4</v>
      </c>
      <c r="B161" s="13">
        <v>1</v>
      </c>
      <c r="C161" s="5">
        <v>0</v>
      </c>
      <c r="D161" s="27">
        <v>55</v>
      </c>
      <c r="E161" s="1">
        <v>2</v>
      </c>
      <c r="F161" s="1">
        <v>0</v>
      </c>
      <c r="G161" s="6">
        <v>0</v>
      </c>
      <c r="H161" s="1">
        <f>SUM(C161:G161)</f>
        <v>57</v>
      </c>
      <c r="I161" s="10">
        <f>D161/H161</f>
        <v>0.96491228070175439</v>
      </c>
      <c r="J161" s="11">
        <f>1-I161</f>
        <v>3.5087719298245612E-2</v>
      </c>
      <c r="K161">
        <f>H161-D165</f>
        <v>-132</v>
      </c>
      <c r="N161" s="10">
        <f>2*(D166*I161)/(D166+I161)</f>
        <v>0.44715447154471538</v>
      </c>
      <c r="O161" s="1"/>
      <c r="P161" s="1"/>
      <c r="S161" s="75" t="s">
        <v>39</v>
      </c>
      <c r="T161" s="76">
        <f>J432</f>
        <v>0</v>
      </c>
      <c r="U161" s="76">
        <f>J433</f>
        <v>1.7543859649122773</v>
      </c>
      <c r="V161" s="76">
        <f>J434</f>
        <v>0.62727498147894845</v>
      </c>
      <c r="W161" s="76">
        <f>J435</f>
        <v>0.94568234896218206</v>
      </c>
      <c r="X161" s="76">
        <f>J436</f>
        <v>1.2136518891207615</v>
      </c>
      <c r="AD161" s="51"/>
      <c r="AE161" s="51"/>
      <c r="BF161" s="51">
        <v>0.95442617594977097</v>
      </c>
      <c r="BG161" s="1">
        <v>98</v>
      </c>
      <c r="BH161">
        <f>_xlfn.NORM.S.INV((BG161-0.375)/($BI$61+0.25))</f>
        <v>1.9400873318827654</v>
      </c>
      <c r="BI161">
        <f>BH161/SQRT($BL$65)</f>
        <v>0.19454345832260239</v>
      </c>
      <c r="BJ161">
        <f>BI161*BF161</f>
        <v>0.18567736898288503</v>
      </c>
    </row>
    <row r="162" spans="1:62" x14ac:dyDescent="0.3">
      <c r="A162" t="s">
        <v>5</v>
      </c>
      <c r="B162" s="13">
        <v>2</v>
      </c>
      <c r="C162" s="5">
        <v>0</v>
      </c>
      <c r="D162" s="1">
        <v>1</v>
      </c>
      <c r="E162" s="27">
        <v>716</v>
      </c>
      <c r="F162" s="1">
        <v>10</v>
      </c>
      <c r="G162" s="6">
        <v>10</v>
      </c>
      <c r="H162" s="1">
        <f>SUM(C162:G162)</f>
        <v>737</v>
      </c>
      <c r="I162" s="10">
        <f>E162/H162</f>
        <v>0.97150610583446406</v>
      </c>
      <c r="J162" s="11">
        <f>1-I162</f>
        <v>2.8493894165535938E-2</v>
      </c>
      <c r="K162">
        <f>H162-E165</f>
        <v>-1</v>
      </c>
      <c r="N162" s="10">
        <f>2*(E166*I162)/(E166+I162)</f>
        <v>0.97084745762711855</v>
      </c>
      <c r="O162" s="1"/>
      <c r="P162" s="1"/>
      <c r="S162" s="66" t="s">
        <v>51</v>
      </c>
      <c r="T162" s="67">
        <f>N421*100</f>
        <v>100</v>
      </c>
      <c r="U162" s="67">
        <f>N422*100</f>
        <v>50.450450450450454</v>
      </c>
      <c r="V162" s="67">
        <f>N423*100</f>
        <v>96.817874069058902</v>
      </c>
      <c r="W162" s="67">
        <f>N424*100</f>
        <v>91.438071487946786</v>
      </c>
      <c r="X162" s="67">
        <f>N425*100</f>
        <v>88.436830835117775</v>
      </c>
      <c r="AD162" s="51"/>
      <c r="AE162" s="51"/>
      <c r="AH162" s="78"/>
      <c r="AI162" s="78"/>
      <c r="BF162" s="51">
        <v>0.95504100701050498</v>
      </c>
      <c r="BG162" s="27">
        <v>99</v>
      </c>
      <c r="BH162" s="84">
        <f>_xlfn.NORM.S.INV((BG162-0.375)/($BI$61+0.25))</f>
        <v>2.139206442985977</v>
      </c>
      <c r="BI162" s="84">
        <f>-3.562633*($BL$63)^5+5.682633*($BL$63)^4-1.752461*($BL$63)^3-0.293762*($BL$63)^2+0.042981*$BL$63+BH162*($BL$64^-0.5)</f>
        <v>0.21748422717250435</v>
      </c>
      <c r="BJ162">
        <f>BI162*BF162</f>
        <v>0.20770635532772999</v>
      </c>
    </row>
    <row r="163" spans="1:62" x14ac:dyDescent="0.3">
      <c r="A163" t="s">
        <v>6</v>
      </c>
      <c r="B163" s="13">
        <v>3</v>
      </c>
      <c r="C163" s="5">
        <v>0</v>
      </c>
      <c r="D163" s="1">
        <v>0</v>
      </c>
      <c r="E163" s="1">
        <v>9</v>
      </c>
      <c r="F163" s="27">
        <v>539</v>
      </c>
      <c r="G163" s="6">
        <v>34</v>
      </c>
      <c r="H163" s="1">
        <f>SUM(C163:G163)</f>
        <v>582</v>
      </c>
      <c r="I163" s="10">
        <f>F163/H163</f>
        <v>0.92611683848797255</v>
      </c>
      <c r="J163" s="11">
        <f>1-I163</f>
        <v>7.3883161512027451E-2</v>
      </c>
      <c r="K163">
        <f>H163-F165</f>
        <v>-22</v>
      </c>
      <c r="N163" s="10">
        <f>2*(F166*I163)/(F166+I163)</f>
        <v>0.90893760539629009</v>
      </c>
      <c r="O163" s="1"/>
      <c r="P163" s="1"/>
      <c r="R163" s="16" t="s">
        <v>61</v>
      </c>
      <c r="S163" t="s">
        <v>9</v>
      </c>
      <c r="T163" s="30">
        <f>N432</f>
        <v>198.57</v>
      </c>
      <c r="U163" s="30">
        <f>N433</f>
        <v>1205.43</v>
      </c>
      <c r="V163" s="30">
        <f>N434</f>
        <v>48346.92</v>
      </c>
      <c r="W163" s="30">
        <f>N435</f>
        <v>25907.09</v>
      </c>
      <c r="X163" s="30">
        <f>N436</f>
        <v>7305.17</v>
      </c>
      <c r="Z163" t="s">
        <v>36</v>
      </c>
      <c r="AA163" s="1">
        <f>N437</f>
        <v>82963.179999999993</v>
      </c>
      <c r="AD163" s="51"/>
      <c r="AE163" s="51"/>
      <c r="BF163" s="51">
        <v>0.95646447213028296</v>
      </c>
      <c r="BG163" s="27">
        <v>100</v>
      </c>
      <c r="BH163" s="84">
        <f>_xlfn.NORM.S.INV((BG163-0.375)/($BI$61+0.25))</f>
        <v>2.4985905609622558</v>
      </c>
      <c r="BI163" s="84">
        <f>-2.70605*($BL$63)^5+4.4334685*($BL$63)^4-2.07119*($BL$63)^3-0.147981*($BL$63)^2+0.221157*$BL$63+BH163*($BL$64^-0.5)</f>
        <v>0.27283801696664034</v>
      </c>
      <c r="BJ163">
        <f>BI163*BF163</f>
        <v>0.26095986987507086</v>
      </c>
    </row>
    <row r="164" spans="1:62" ht="15.6" x14ac:dyDescent="0.35">
      <c r="A164" t="s">
        <v>7</v>
      </c>
      <c r="B164" s="13">
        <v>4</v>
      </c>
      <c r="C164" s="7">
        <v>0</v>
      </c>
      <c r="D164" s="8">
        <v>133</v>
      </c>
      <c r="E164" s="8">
        <v>11</v>
      </c>
      <c r="F164" s="8">
        <v>55</v>
      </c>
      <c r="G164" s="28">
        <v>810</v>
      </c>
      <c r="H164" s="1">
        <f>SUM(C164:G164)</f>
        <v>1009</v>
      </c>
      <c r="I164" s="10">
        <f>G164/H164</f>
        <v>0.80277502477700691</v>
      </c>
      <c r="J164" s="11">
        <f>1-I164</f>
        <v>0.19722497522299309</v>
      </c>
      <c r="K164">
        <f>H164-G165</f>
        <v>155</v>
      </c>
      <c r="N164" s="10">
        <f>2*(G166*I164)/(G166+I164)</f>
        <v>0.86956521739130432</v>
      </c>
      <c r="O164" s="1"/>
      <c r="P164" s="1"/>
      <c r="R164" s="16" t="s">
        <v>318</v>
      </c>
      <c r="S164" t="s">
        <v>63</v>
      </c>
      <c r="T164" s="57">
        <f>$AA163*T156/100</f>
        <v>198.57</v>
      </c>
      <c r="U164" s="57">
        <f>$AA163*U156/100</f>
        <v>2031.8027957112688</v>
      </c>
      <c r="V164" s="57">
        <f>$AA163*V156/100</f>
        <v>47359.553723834928</v>
      </c>
      <c r="W164" s="57">
        <f>$AA163*W156/100</f>
        <v>25755.360824888339</v>
      </c>
      <c r="X164" s="57">
        <f>$AA163*X156/100</f>
        <v>7617.8926555654461</v>
      </c>
      <c r="Z164" t="s">
        <v>36</v>
      </c>
      <c r="AA164" s="25">
        <f>SUM(T164:X164)</f>
        <v>82963.179999999978</v>
      </c>
      <c r="AD164" s="51"/>
      <c r="AE164" s="51"/>
      <c r="AH164" s="78"/>
      <c r="AI164" s="78"/>
      <c r="BI164" t="s">
        <v>342</v>
      </c>
      <c r="BJ164">
        <f>SUM(BJ64:BJ163)</f>
        <v>3.6522900025683008E-2</v>
      </c>
    </row>
    <row r="165" spans="1:62" ht="15.6" x14ac:dyDescent="0.35">
      <c r="B165" s="1" t="s">
        <v>19</v>
      </c>
      <c r="C165" s="1">
        <f>SUM(C160:C164)</f>
        <v>451</v>
      </c>
      <c r="D165" s="1">
        <f>SUM(D160:D164)</f>
        <v>189</v>
      </c>
      <c r="E165" s="1">
        <f>SUM(E160:E164)</f>
        <v>738</v>
      </c>
      <c r="F165" s="1">
        <f>SUM(F160:F164)</f>
        <v>604</v>
      </c>
      <c r="G165" s="1">
        <f>SUM(G160:G164)</f>
        <v>854</v>
      </c>
      <c r="H165" s="1">
        <f>SUM(H159:H164)</f>
        <v>2836</v>
      </c>
      <c r="I165" s="13" t="s">
        <v>12</v>
      </c>
      <c r="N165" s="16" t="s">
        <v>36</v>
      </c>
      <c r="O165" s="1">
        <f>SUM(O160:O164)</f>
        <v>0</v>
      </c>
      <c r="P165" s="1">
        <f>SUM(P160:P164)</f>
        <v>0</v>
      </c>
      <c r="R165" s="66"/>
      <c r="S165" s="66" t="s">
        <v>62</v>
      </c>
      <c r="T165" s="67">
        <f>$AA163*T157/100</f>
        <v>0</v>
      </c>
      <c r="U165" s="67">
        <f>$AA163*U157/100</f>
        <v>98.954675039903364</v>
      </c>
      <c r="V165" s="67">
        <f>$AA163*V157/100</f>
        <v>326.90339440806639</v>
      </c>
      <c r="W165" s="67">
        <f>$AA163*W157/100</f>
        <v>343.13697465024421</v>
      </c>
      <c r="X165" s="67">
        <f>$AA163*X157/100</f>
        <v>298.85577190945804</v>
      </c>
      <c r="AA165" s="1"/>
      <c r="AD165" s="51"/>
      <c r="AE165" s="51"/>
      <c r="BF165" s="51"/>
      <c r="BG165" s="1"/>
    </row>
    <row r="166" spans="1:62" x14ac:dyDescent="0.3">
      <c r="A166" s="1" t="s">
        <v>316</v>
      </c>
      <c r="B166" s="1" t="s">
        <v>2</v>
      </c>
      <c r="C166" s="10">
        <f>C160/C165</f>
        <v>1</v>
      </c>
      <c r="D166" s="10">
        <f>D161/D165</f>
        <v>0.29100529100529099</v>
      </c>
      <c r="E166" s="10">
        <f>E162/E165</f>
        <v>0.97018970189701892</v>
      </c>
      <c r="F166" s="10">
        <f>F163/F165</f>
        <v>0.89238410596026485</v>
      </c>
      <c r="G166" s="10">
        <f>G164/G165</f>
        <v>0.94847775175644033</v>
      </c>
      <c r="H166" s="10"/>
      <c r="I166" s="14">
        <f>(C160+D161+E162+F163+G164)/H165</f>
        <v>0.90655853314527501</v>
      </c>
      <c r="R166" t="s">
        <v>103</v>
      </c>
      <c r="S166" t="s">
        <v>28</v>
      </c>
      <c r="T166" s="57">
        <f>C466</f>
        <v>0.23240430272802945</v>
      </c>
      <c r="U166" s="57">
        <f t="shared" ref="U166:X169" si="36">D466</f>
        <v>2.3892986269597878</v>
      </c>
      <c r="V166" s="57">
        <f t="shared" si="36"/>
        <v>57.174737015272015</v>
      </c>
      <c r="W166" s="57">
        <f t="shared" si="36"/>
        <v>30.304067333462939</v>
      </c>
      <c r="X166" s="57">
        <f t="shared" si="36"/>
        <v>9.899492721577225</v>
      </c>
      <c r="Z166" s="74"/>
      <c r="AA166" s="12"/>
      <c r="AD166" s="51"/>
      <c r="AE166" s="51"/>
      <c r="AH166" s="78"/>
      <c r="AI166" s="78"/>
      <c r="BF166" s="51"/>
      <c r="BG166" s="1"/>
    </row>
    <row r="167" spans="1:62" x14ac:dyDescent="0.3">
      <c r="B167" s="1" t="s">
        <v>14</v>
      </c>
      <c r="C167" s="11">
        <f>1-C166</f>
        <v>0</v>
      </c>
      <c r="D167" s="11">
        <f>1-D166</f>
        <v>0.70899470899470907</v>
      </c>
      <c r="E167" s="11">
        <f>1-E166</f>
        <v>2.9810298102981081E-2</v>
      </c>
      <c r="F167" s="11">
        <f>1-F166</f>
        <v>0.10761589403973515</v>
      </c>
      <c r="G167" s="11">
        <f>1-G166</f>
        <v>5.1522248243559665E-2</v>
      </c>
      <c r="S167" s="66" t="s">
        <v>39</v>
      </c>
      <c r="T167" s="67">
        <f>C467</f>
        <v>0</v>
      </c>
      <c r="U167" s="67">
        <f t="shared" si="36"/>
        <v>0.1458626309510094</v>
      </c>
      <c r="V167" s="67">
        <f t="shared" si="36"/>
        <v>0.39705375191724218</v>
      </c>
      <c r="W167" s="67">
        <f t="shared" si="36"/>
        <v>0.40095843566998024</v>
      </c>
      <c r="X167" s="67">
        <f t="shared" si="36"/>
        <v>0.35334207448534993</v>
      </c>
      <c r="AD167" s="51"/>
      <c r="AE167" s="51"/>
      <c r="BF167" s="51"/>
      <c r="BG167" s="1"/>
    </row>
    <row r="168" spans="1:62" x14ac:dyDescent="0.3">
      <c r="C168" s="2"/>
      <c r="S168" t="s">
        <v>30</v>
      </c>
      <c r="T168" s="57">
        <f>C468</f>
        <v>100</v>
      </c>
      <c r="U168" s="57">
        <f t="shared" si="36"/>
        <v>59.379769201652934</v>
      </c>
      <c r="V168" s="57">
        <f t="shared" si="36"/>
        <v>98.626057718311472</v>
      </c>
      <c r="W168" s="57">
        <f t="shared" si="36"/>
        <v>95.691879308682616</v>
      </c>
      <c r="X168" s="57">
        <f t="shared" si="36"/>
        <v>80.806536861419147</v>
      </c>
      <c r="AD168" s="51"/>
      <c r="AE168" s="51"/>
      <c r="AH168" s="78"/>
      <c r="AI168" s="78"/>
      <c r="BF168" s="51"/>
      <c r="BG168" s="1"/>
    </row>
    <row r="169" spans="1:62" ht="15.6" x14ac:dyDescent="0.35">
      <c r="A169" t="s">
        <v>317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36"/>
        <v>8.3462833091604676</v>
      </c>
      <c r="V169" s="67">
        <f t="shared" si="36"/>
        <v>0.31645059811710929</v>
      </c>
      <c r="W169" s="67">
        <f t="shared" si="36"/>
        <v>0.94425337136422272</v>
      </c>
      <c r="X169" s="67">
        <f t="shared" si="36"/>
        <v>3.4410261350072671</v>
      </c>
      <c r="AD169" s="51"/>
      <c r="AE169" s="51"/>
      <c r="BF169" s="51"/>
      <c r="BG169" s="1"/>
    </row>
    <row r="170" spans="1:62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94.73684210526315</v>
      </c>
      <c r="V170" s="71">
        <f>I463</f>
        <v>97.150610583446422</v>
      </c>
      <c r="W170" s="71">
        <f>I464</f>
        <v>94.158075601374563</v>
      </c>
      <c r="X170" s="71">
        <f>I465</f>
        <v>84.836471754212099</v>
      </c>
      <c r="AD170" s="51"/>
      <c r="AE170" s="51"/>
      <c r="AH170" s="78"/>
      <c r="AI170" s="78"/>
      <c r="BF170" s="51"/>
      <c r="BG170" s="1"/>
    </row>
    <row r="171" spans="1:62" x14ac:dyDescent="0.3">
      <c r="A171" t="s">
        <v>3</v>
      </c>
      <c r="B171" s="13">
        <v>0</v>
      </c>
      <c r="C171" s="29">
        <f>(C160/$L171)*$O171</f>
        <v>0.23837077624425962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0.23837077624425962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451</v>
      </c>
      <c r="M171">
        <v>0</v>
      </c>
      <c r="N171" s="1">
        <v>197.76</v>
      </c>
      <c r="O171" s="17">
        <f>N171/N176*100</f>
        <v>0.23837077624425962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2.9839300500728485</v>
      </c>
      <c r="V171" s="76">
        <f>J463</f>
        <v>0.6132813578808437</v>
      </c>
      <c r="W171" s="76">
        <f>J464</f>
        <v>0.97301309901205002</v>
      </c>
      <c r="X171" s="76">
        <f>J465</f>
        <v>1.1296948930164827</v>
      </c>
      <c r="AD171" s="51"/>
      <c r="AE171" s="51"/>
      <c r="BF171" s="51"/>
      <c r="BG171" s="1"/>
    </row>
    <row r="172" spans="1:62" x14ac:dyDescent="0.3">
      <c r="A172" t="s">
        <v>4</v>
      </c>
      <c r="B172" s="13">
        <v>1</v>
      </c>
      <c r="C172" s="33">
        <f t="shared" ref="C172:G175" si="37">(C161/$L172)*$O172</f>
        <v>0</v>
      </c>
      <c r="D172" s="34">
        <f t="shared" si="37"/>
        <v>1.5306228084671403</v>
      </c>
      <c r="E172" s="19">
        <f t="shared" si="37"/>
        <v>5.5659011216986923E-2</v>
      </c>
      <c r="F172" s="18">
        <f t="shared" si="37"/>
        <v>0</v>
      </c>
      <c r="G172" s="20">
        <f t="shared" si="37"/>
        <v>0</v>
      </c>
      <c r="H172" s="17">
        <f>SUM(C172:G172)</f>
        <v>1.5862818196841273</v>
      </c>
      <c r="I172" s="17">
        <f>D172/H172*100</f>
        <v>96.491228070175424</v>
      </c>
      <c r="J172" s="17">
        <f>SQRT(I172*(100-I172)/(L172-1))</f>
        <v>2.4588241692166193</v>
      </c>
      <c r="K172" s="18">
        <f>100-I172</f>
        <v>3.5087719298245759</v>
      </c>
      <c r="L172" s="1">
        <f>H161</f>
        <v>57</v>
      </c>
      <c r="M172">
        <v>1</v>
      </c>
      <c r="N172" s="1">
        <v>1316.03</v>
      </c>
      <c r="O172" s="17">
        <f>N172/N176*100</f>
        <v>1.5862818196841273</v>
      </c>
      <c r="P172" s="52">
        <f>((O172*O172*(I172/100)*(K172/100))/(L172-1))</f>
        <v>1.521302715454445E-3</v>
      </c>
      <c r="S172" s="66" t="s">
        <v>51</v>
      </c>
      <c r="T172" s="67">
        <f>N450*100</f>
        <v>100</v>
      </c>
      <c r="U172" s="67">
        <f>N451*100</f>
        <v>53.999999999999993</v>
      </c>
      <c r="V172" s="67">
        <f>N452*100</f>
        <v>96.430976430976429</v>
      </c>
      <c r="W172" s="67">
        <f>N453*100</f>
        <v>92.255892255892263</v>
      </c>
      <c r="X172" s="67">
        <f>N454*100</f>
        <v>90.247759620453365</v>
      </c>
      <c r="AD172" s="51"/>
      <c r="AE172" s="51"/>
      <c r="AH172" s="78"/>
      <c r="AI172" s="78"/>
      <c r="BF172" s="51"/>
      <c r="BG172" s="1"/>
    </row>
    <row r="173" spans="1:62" x14ac:dyDescent="0.3">
      <c r="A173" t="s">
        <v>5</v>
      </c>
      <c r="B173" s="13">
        <v>2</v>
      </c>
      <c r="C173" s="33">
        <f t="shared" si="37"/>
        <v>0</v>
      </c>
      <c r="D173" s="19">
        <f t="shared" si="37"/>
        <v>7.8849554645215592E-2</v>
      </c>
      <c r="E173" s="34">
        <f t="shared" si="37"/>
        <v>56.456281125974371</v>
      </c>
      <c r="F173" s="19">
        <f t="shared" si="37"/>
        <v>0.78849554645215603</v>
      </c>
      <c r="G173" s="20">
        <f t="shared" si="37"/>
        <v>0.78849554645215603</v>
      </c>
      <c r="H173" s="17">
        <f>SUM(C173:G173)</f>
        <v>58.112121773523896</v>
      </c>
      <c r="I173" s="17">
        <f>E173/H173*100</f>
        <v>97.150610583446408</v>
      </c>
      <c r="J173" s="17">
        <f>SQRT(I173*(100-I173)/(L173-1))</f>
        <v>0.61328135788084515</v>
      </c>
      <c r="K173" s="18">
        <f>100-I173</f>
        <v>2.849389416553592</v>
      </c>
      <c r="L173" s="1">
        <f>H162</f>
        <v>737</v>
      </c>
      <c r="M173">
        <v>2</v>
      </c>
      <c r="N173" s="1">
        <v>48211.67</v>
      </c>
      <c r="O173" s="17">
        <f>N173/N176*100</f>
        <v>58.112121773523896</v>
      </c>
      <c r="P173" s="52">
        <f>((O173*O173*(I173/100)*(K173/100))/(L173-1))</f>
        <v>0.12701440910036882</v>
      </c>
      <c r="R173" s="16" t="s">
        <v>61</v>
      </c>
      <c r="S173" t="s">
        <v>9</v>
      </c>
      <c r="T173" s="1">
        <f>N461</f>
        <v>192.81</v>
      </c>
      <c r="U173" s="1">
        <f>N462</f>
        <v>1242.44</v>
      </c>
      <c r="V173" s="1">
        <f>N463</f>
        <v>48154.37</v>
      </c>
      <c r="W173" s="1">
        <f>N464</f>
        <v>25550.76</v>
      </c>
      <c r="X173" s="1">
        <f>N465</f>
        <v>7822.8</v>
      </c>
      <c r="Z173" t="s">
        <v>36</v>
      </c>
      <c r="AA173" s="1">
        <f>N466</f>
        <v>82963.180000000008</v>
      </c>
      <c r="AD173" s="51"/>
      <c r="AE173" s="51"/>
      <c r="BF173" s="51"/>
      <c r="BG173" s="1"/>
    </row>
    <row r="174" spans="1:62" ht="15.6" x14ac:dyDescent="0.35">
      <c r="A174" t="s">
        <v>6</v>
      </c>
      <c r="B174" s="13">
        <v>3</v>
      </c>
      <c r="C174" s="33">
        <f t="shared" si="37"/>
        <v>0</v>
      </c>
      <c r="D174" s="19">
        <f t="shared" si="37"/>
        <v>0</v>
      </c>
      <c r="E174" s="19">
        <f t="shared" si="37"/>
        <v>0.47161345532917581</v>
      </c>
      <c r="F174" s="34">
        <f t="shared" si="37"/>
        <v>28.244405824713976</v>
      </c>
      <c r="G174" s="20">
        <f t="shared" si="37"/>
        <v>1.7816508312435531</v>
      </c>
      <c r="H174" s="17">
        <f>SUM(C174:G174)</f>
        <v>30.497670111286705</v>
      </c>
      <c r="I174" s="17">
        <f>F174/H174*100</f>
        <v>92.611683848797242</v>
      </c>
      <c r="J174" s="17">
        <f>SQRT(I174*(100-I174)/(L174-1))</f>
        <v>1.0852194266964796</v>
      </c>
      <c r="K174" s="18">
        <f>100-I174</f>
        <v>7.3883161512027584</v>
      </c>
      <c r="L174" s="1">
        <f>H163</f>
        <v>582</v>
      </c>
      <c r="M174">
        <v>3</v>
      </c>
      <c r="N174" s="1">
        <v>25301.84</v>
      </c>
      <c r="O174" s="17">
        <f>N174/N176*100</f>
        <v>30.497670111286702</v>
      </c>
      <c r="P174" s="52">
        <f>((O174*O174*(I174/100)*(K174/100))/(L174-1))</f>
        <v>0.10953891728105823</v>
      </c>
      <c r="R174" s="16" t="s">
        <v>318</v>
      </c>
      <c r="S174" t="s">
        <v>63</v>
      </c>
      <c r="T174" s="57">
        <f>$AA173*T166/100</f>
        <v>192.81</v>
      </c>
      <c r="U174" s="57">
        <f>$AA173*U166/100</f>
        <v>1982.2381206221773</v>
      </c>
      <c r="V174" s="57">
        <f>$AA173*V166/100</f>
        <v>47433.979984506754</v>
      </c>
      <c r="W174" s="57">
        <f>$AA173*W166/100</f>
        <v>25141.217929182061</v>
      </c>
      <c r="X174" s="57">
        <f>$AA173*X166/100</f>
        <v>8212.9339656890133</v>
      </c>
      <c r="Z174" t="s">
        <v>36</v>
      </c>
      <c r="AA174" s="25">
        <f>SUM(T174:X174)</f>
        <v>82963.180000000008</v>
      </c>
      <c r="AD174" s="51"/>
      <c r="AE174" s="51"/>
      <c r="AH174" s="78"/>
      <c r="AI174" s="78"/>
      <c r="BF174" s="51"/>
      <c r="BG174" s="1"/>
    </row>
    <row r="175" spans="1:62" x14ac:dyDescent="0.3">
      <c r="A175" t="s">
        <v>7</v>
      </c>
      <c r="B175" s="13">
        <v>4</v>
      </c>
      <c r="C175" s="35">
        <f t="shared" si="37"/>
        <v>0</v>
      </c>
      <c r="D175" s="36">
        <f t="shared" si="37"/>
        <v>1.2608710446597766</v>
      </c>
      <c r="E175" s="21">
        <f t="shared" si="37"/>
        <v>0.10428256760344018</v>
      </c>
      <c r="F175" s="21">
        <f t="shared" si="37"/>
        <v>0.52141283801720084</v>
      </c>
      <c r="G175" s="37">
        <f t="shared" si="37"/>
        <v>7.6789890689805942</v>
      </c>
      <c r="H175" s="17">
        <f>SUM(C175:G175)</f>
        <v>9.5655555192610109</v>
      </c>
      <c r="I175" s="17">
        <f>G175/H175*100</f>
        <v>80.277502477700708</v>
      </c>
      <c r="J175" s="17">
        <f>SQRT(I175*(100-I175)/(L175-1))</f>
        <v>1.2532785748679514</v>
      </c>
      <c r="K175" s="18">
        <f>100-I175</f>
        <v>19.722497522299292</v>
      </c>
      <c r="L175" s="1">
        <f>H164</f>
        <v>1009</v>
      </c>
      <c r="M175">
        <v>4</v>
      </c>
      <c r="N175" s="1">
        <v>7935.89</v>
      </c>
      <c r="O175" s="17">
        <f>N175/N176*100</f>
        <v>9.5655555192610127</v>
      </c>
      <c r="P175" s="52">
        <f>((O175*O175*(I175/100)*(K175/100))/(L175-1))</f>
        <v>1.4371947569056394E-2</v>
      </c>
      <c r="R175" s="66"/>
      <c r="S175" s="66" t="s">
        <v>62</v>
      </c>
      <c r="T175" s="67">
        <f>$AA173*T167/100</f>
        <v>0</v>
      </c>
      <c r="U175" s="67">
        <f>$AA173*U167/100</f>
        <v>121.01227706862166</v>
      </c>
      <c r="V175" s="67">
        <f>$AA173*V167/100</f>
        <v>329.40841889985512</v>
      </c>
      <c r="W175" s="67">
        <f>$AA173*W167/100</f>
        <v>332.64786871006999</v>
      </c>
      <c r="X175" s="67">
        <f>$AA173*X167/100</f>
        <v>293.14382127101499</v>
      </c>
      <c r="AA175" s="1"/>
      <c r="AD175" s="51"/>
      <c r="AE175" s="51"/>
      <c r="BF175" s="51"/>
      <c r="BG175" s="1"/>
    </row>
    <row r="176" spans="1:62" x14ac:dyDescent="0.3">
      <c r="B176" t="s">
        <v>28</v>
      </c>
      <c r="C176" s="17">
        <f t="shared" ref="C176:H176" si="38">SUM(C171:C175)</f>
        <v>0.23837077624425962</v>
      </c>
      <c r="D176" s="17">
        <f t="shared" si="38"/>
        <v>2.8703434077721326</v>
      </c>
      <c r="E176" s="17">
        <f t="shared" si="38"/>
        <v>57.087836160123977</v>
      </c>
      <c r="F176" s="17">
        <f t="shared" si="38"/>
        <v>29.554314209183335</v>
      </c>
      <c r="G176" s="17">
        <f t="shared" si="38"/>
        <v>10.249135446676304</v>
      </c>
      <c r="H176" s="18">
        <f t="shared" si="38"/>
        <v>100</v>
      </c>
      <c r="I176" s="13" t="s">
        <v>24</v>
      </c>
      <c r="J176" s="12" t="s">
        <v>29</v>
      </c>
      <c r="N176" s="1">
        <f>SUM(N171:N175)</f>
        <v>82963.19</v>
      </c>
      <c r="O176" s="17">
        <f>SUM(O171:O175)</f>
        <v>100</v>
      </c>
      <c r="R176" t="s">
        <v>104</v>
      </c>
      <c r="S176" t="s">
        <v>28</v>
      </c>
      <c r="T176" s="57">
        <f>C495</f>
        <v>0.25498055221839949</v>
      </c>
      <c r="U176" s="57">
        <f t="shared" ref="U176:X179" si="39">D495</f>
        <v>2.3491159046741172</v>
      </c>
      <c r="V176" s="57">
        <f t="shared" si="39"/>
        <v>57.045306780717219</v>
      </c>
      <c r="W176" s="57">
        <f t="shared" si="39"/>
        <v>30.953153148402883</v>
      </c>
      <c r="X176" s="57">
        <f t="shared" si="39"/>
        <v>9.397443613987388</v>
      </c>
      <c r="AD176" s="51"/>
      <c r="AE176" s="51"/>
      <c r="AH176" s="78"/>
      <c r="AI176" s="78"/>
      <c r="BF176" s="51"/>
      <c r="BG176" s="1"/>
    </row>
    <row r="177" spans="1:59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0.13446622672658179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0.39197654806403309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0.41875208496207628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0.40446719977846568</v>
      </c>
      <c r="H177" s="1"/>
      <c r="I177" s="14">
        <f>(C171+D172+E173+F174+G175)/H176</f>
        <v>0.94148669604380342</v>
      </c>
      <c r="J177" s="53">
        <f>SQRT(SUM(P171:P175))/100</f>
        <v>5.0244062003975938E-3</v>
      </c>
      <c r="M177" s="1"/>
      <c r="N177" s="9"/>
      <c r="S177" s="66" t="s">
        <v>39</v>
      </c>
      <c r="T177" s="67">
        <f>C496</f>
        <v>0</v>
      </c>
      <c r="U177" s="67">
        <f t="shared" si="39"/>
        <v>9.0196114528291779E-2</v>
      </c>
      <c r="V177" s="67">
        <f t="shared" si="39"/>
        <v>0.4259438133475173</v>
      </c>
      <c r="W177" s="67">
        <f t="shared" si="39"/>
        <v>0.43617276858599591</v>
      </c>
      <c r="X177" s="67">
        <f t="shared" si="39"/>
        <v>0.35892424640644943</v>
      </c>
      <c r="AD177" s="51"/>
      <c r="AE177" s="51"/>
      <c r="BF177" s="51"/>
      <c r="BG177" s="1"/>
    </row>
    <row r="178" spans="1:59" x14ac:dyDescent="0.3">
      <c r="B178" s="1" t="s">
        <v>30</v>
      </c>
      <c r="C178" s="17">
        <f>C171/C176*100</f>
        <v>100</v>
      </c>
      <c r="D178" s="17">
        <f>D172/D176*100</f>
        <v>53.325424558002979</v>
      </c>
      <c r="E178" s="17">
        <f>E173/E176*100</f>
        <v>98.893713483239793</v>
      </c>
      <c r="F178" s="17">
        <f>F174/F176*100</f>
        <v>95.567792995642122</v>
      </c>
      <c r="G178" s="17">
        <f>G175/G176*100</f>
        <v>74.923286056004031</v>
      </c>
      <c r="H178" s="1"/>
      <c r="S178" s="70" t="s">
        <v>30</v>
      </c>
      <c r="T178" s="64">
        <f>C497</f>
        <v>100</v>
      </c>
      <c r="U178" s="64">
        <f t="shared" si="39"/>
        <v>64.615752721875694</v>
      </c>
      <c r="V178" s="64">
        <f t="shared" si="39"/>
        <v>98.785966451105793</v>
      </c>
      <c r="W178" s="64">
        <f t="shared" si="39"/>
        <v>94.223285131829428</v>
      </c>
      <c r="X178" s="64">
        <f t="shared" si="39"/>
        <v>79.418059463072851</v>
      </c>
      <c r="AD178" s="51"/>
      <c r="AE178" s="51"/>
      <c r="AH178" s="78"/>
      <c r="AI178" s="78"/>
      <c r="BF178" s="51"/>
      <c r="BG178" s="1"/>
    </row>
    <row r="179" spans="1:59" x14ac:dyDescent="0.3">
      <c r="B179" s="16" t="s">
        <v>39</v>
      </c>
      <c r="C179" s="18">
        <f>SQRT((C182+C183)/(C176*C176))</f>
        <v>0</v>
      </c>
      <c r="D179" s="18">
        <f>SQRT((D182+D183)/(D176*D176))</f>
        <v>6.7791880957614641</v>
      </c>
      <c r="E179" s="18">
        <f>SQRT((E182+E183)/(E176*E176))</f>
        <v>0.29225502284602756</v>
      </c>
      <c r="F179" s="18">
        <f>SQRT((F182+F183)/(F176*F176))</f>
        <v>0.96820767014607934</v>
      </c>
      <c r="G179" s="18">
        <f>SQRT((G182+G183)/(G176*G176))</f>
        <v>4.0732322292332039</v>
      </c>
      <c r="H179" s="1"/>
      <c r="S179" s="66" t="s">
        <v>39</v>
      </c>
      <c r="T179" s="67">
        <f>C498</f>
        <v>0</v>
      </c>
      <c r="U179" s="67">
        <f t="shared" si="39"/>
        <v>6.2444482064006772</v>
      </c>
      <c r="V179" s="67">
        <f t="shared" si="39"/>
        <v>0.31217309845370667</v>
      </c>
      <c r="W179" s="67">
        <f t="shared" si="39"/>
        <v>1.1209893398795721</v>
      </c>
      <c r="X179" s="67">
        <f t="shared" si="39"/>
        <v>3.6912072620645762</v>
      </c>
      <c r="AD179" s="51"/>
      <c r="AE179" s="51"/>
      <c r="BF179" s="51"/>
      <c r="BG179" s="1"/>
    </row>
    <row r="180" spans="1:59" x14ac:dyDescent="0.3">
      <c r="B180" s="1" t="s">
        <v>37</v>
      </c>
      <c r="C180" s="18">
        <f>100-C178</f>
        <v>0</v>
      </c>
      <c r="D180" s="18">
        <f>100-D178</f>
        <v>46.674575441997021</v>
      </c>
      <c r="E180" s="18">
        <f>100-E178</f>
        <v>1.106286516760207</v>
      </c>
      <c r="F180" s="18">
        <f>100-F178</f>
        <v>4.4322070043578776</v>
      </c>
      <c r="G180" s="18">
        <f>100-G178</f>
        <v>25.076713943995969</v>
      </c>
      <c r="S180" s="70" t="s">
        <v>31</v>
      </c>
      <c r="T180" s="64">
        <f>I490</f>
        <v>100</v>
      </c>
      <c r="U180" s="64">
        <f>I491</f>
        <v>96.491228070175438</v>
      </c>
      <c r="V180" s="64">
        <f>I492</f>
        <v>96.607869742198105</v>
      </c>
      <c r="W180" s="64">
        <f>I493</f>
        <v>94.329896907216508</v>
      </c>
      <c r="X180" s="64">
        <f>I494</f>
        <v>83.647175421209113</v>
      </c>
      <c r="AD180" s="51"/>
      <c r="AE180" s="51"/>
      <c r="AH180" s="78"/>
      <c r="AI180" s="78"/>
      <c r="BF180" s="51"/>
      <c r="BG180" s="1"/>
    </row>
    <row r="181" spans="1:59" ht="15.6" x14ac:dyDescent="0.35">
      <c r="B181" s="1" t="s">
        <v>25</v>
      </c>
      <c r="C181" s="1">
        <f>C165</f>
        <v>451</v>
      </c>
      <c r="D181" s="1">
        <f>D165</f>
        <v>189</v>
      </c>
      <c r="E181" s="1">
        <f>E165</f>
        <v>738</v>
      </c>
      <c r="F181" s="1">
        <f>F165</f>
        <v>604</v>
      </c>
      <c r="G181" s="1">
        <f>G165</f>
        <v>854</v>
      </c>
      <c r="S181" s="66" t="s">
        <v>39</v>
      </c>
      <c r="T181" s="67">
        <f>J490</f>
        <v>0</v>
      </c>
      <c r="U181" s="67">
        <f>J491</f>
        <v>2.4588241692166148</v>
      </c>
      <c r="V181" s="67">
        <f>J492</f>
        <v>0.66727308275993225</v>
      </c>
      <c r="W181" s="67">
        <f>J493</f>
        <v>0.95947152711900541</v>
      </c>
      <c r="X181" s="67">
        <f>J494</f>
        <v>1.1649083630142829</v>
      </c>
      <c r="AD181" s="51"/>
      <c r="AE181" s="51"/>
      <c r="AN181" s="2"/>
      <c r="AO181" s="2"/>
      <c r="BF181" s="51"/>
      <c r="BG181" s="1"/>
    </row>
    <row r="182" spans="1:59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331.41822953412543</v>
      </c>
      <c r="E182" s="18">
        <f>(O173*O173*(100-E178)*(100-E178)*(I173)*(100-I173))/((L173-1)*100)</f>
        <v>15.544910672362011</v>
      </c>
      <c r="F182" s="18">
        <f>(O174*O174*(100-F178)*(100-F178)*(I174)*(100-I174))/((L174-1)*100)</f>
        <v>215.1832761707349</v>
      </c>
      <c r="G182" s="18">
        <f>(O175*O175*(100-G178)*(100-G178)*(I175)*(100-I175))/((L175-1)*100)</f>
        <v>903.76782490376797</v>
      </c>
      <c r="S182" s="68" t="s">
        <v>51</v>
      </c>
      <c r="T182" s="65">
        <f>N479*100</f>
        <v>100</v>
      </c>
      <c r="U182" s="65">
        <f>N480*100</f>
        <v>53.398058252427184</v>
      </c>
      <c r="V182" s="65">
        <f>N481*100</f>
        <v>96.673455532925999</v>
      </c>
      <c r="W182" s="65">
        <f>N482*100</f>
        <v>91.044776119402982</v>
      </c>
      <c r="X182" s="65">
        <f>N483*100</f>
        <v>89.549071618037132</v>
      </c>
      <c r="AD182" s="51"/>
      <c r="AE182" s="51"/>
      <c r="AH182" s="78"/>
      <c r="AI182" s="78"/>
      <c r="BF182" s="51"/>
      <c r="BG182" s="1"/>
    </row>
    <row r="183" spans="1:59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47.218801170945042</v>
      </c>
      <c r="E183" s="18">
        <f>E178*E178*(SUM((H171*E171*(1-E160/H160))/(H160-1),(H172*E172*(1-E161/H161))/(H161-1), (H174*E174*(1-E163/H163))/(H163-1),(H175*E175*(1-E164/H164))/(H164-1)))</f>
        <v>262.81784791519505</v>
      </c>
      <c r="F183" s="18">
        <f>F178*F178*(SUM((H171*F171*(1-F160/H160))/(H160-1),(H172*F172*(1-F161/H161))/(H161-1), (H173*F173*(1-F162/H162))/(H162-1),(H175*F175*(1-F164/H164))/(H164-1)))</f>
        <v>603.61856414757392</v>
      </c>
      <c r="G183" s="18">
        <f>G178*G178*(SUM((H171*G171*(1-G160/H160))/(H160-1),(H172*G172*(1-G161/H161))/(H161-1), (H173*G173*(1-G162/H162))/(H162-1),(H174*G174*(1-G163/H163))/(H163-1)))</f>
        <v>839.05327019052936</v>
      </c>
      <c r="R183" s="16" t="s">
        <v>61</v>
      </c>
      <c r="S183" t="s">
        <v>9</v>
      </c>
      <c r="T183" s="1">
        <f>N490</f>
        <v>211.54</v>
      </c>
      <c r="U183" s="1">
        <f>N491</f>
        <v>1305.0899999999999</v>
      </c>
      <c r="V183" s="1">
        <f>N492</f>
        <v>48393.62</v>
      </c>
      <c r="W183" s="1">
        <f>N493</f>
        <v>25650.7</v>
      </c>
      <c r="X183" s="1">
        <f>N494</f>
        <v>7402.24</v>
      </c>
      <c r="Z183" t="s">
        <v>36</v>
      </c>
      <c r="AA183" s="1">
        <f>N495</f>
        <v>82963.19</v>
      </c>
      <c r="AD183" s="51"/>
      <c r="AE183" s="51"/>
      <c r="AN183" s="78"/>
      <c r="AO183" s="78"/>
      <c r="BF183" s="51"/>
      <c r="BG183" s="1"/>
    </row>
    <row r="184" spans="1:59" ht="15.6" x14ac:dyDescent="0.35">
      <c r="R184" s="16" t="s">
        <v>318</v>
      </c>
      <c r="S184" t="s">
        <v>63</v>
      </c>
      <c r="T184" s="57">
        <f>$AA183*T176/100</f>
        <v>211.54</v>
      </c>
      <c r="U184" s="57">
        <f>$AA183*U176/100</f>
        <v>1948.9014913150068</v>
      </c>
      <c r="V184" s="57">
        <f>$AA183*V176/100</f>
        <v>47326.606250569312</v>
      </c>
      <c r="W184" s="57">
        <f>$AA183*W176/100</f>
        <v>25679.723257500467</v>
      </c>
      <c r="X184" s="57">
        <f>$AA183*X176/100</f>
        <v>7796.4190006152239</v>
      </c>
      <c r="Z184" t="s">
        <v>36</v>
      </c>
      <c r="AA184" s="25">
        <f>SUM(T184:X184)</f>
        <v>82963.19</v>
      </c>
      <c r="AD184" s="51"/>
      <c r="AE184" s="51"/>
      <c r="AH184" s="78"/>
      <c r="AI184" s="78"/>
      <c r="BF184" s="51"/>
      <c r="BG184" s="1"/>
    </row>
    <row r="185" spans="1:59" x14ac:dyDescent="0.3">
      <c r="R185" s="66"/>
      <c r="S185" s="66" t="s">
        <v>62</v>
      </c>
      <c r="T185" s="67">
        <f>$AA183*T177/100</f>
        <v>0</v>
      </c>
      <c r="U185" s="67">
        <f>$AA183*U177/100</f>
        <v>74.82957386872431</v>
      </c>
      <c r="V185" s="67">
        <f>$AA183*V177/100</f>
        <v>353.37657516074614</v>
      </c>
      <c r="W185" s="67">
        <f>$AA183*W177/100</f>
        <v>361.86284273026007</v>
      </c>
      <c r="X185" s="67">
        <f>$AA183*X177/100</f>
        <v>297.77500450225079</v>
      </c>
      <c r="AA185" s="1"/>
      <c r="AD185" s="51"/>
      <c r="AE185" s="51"/>
      <c r="AN185" s="78"/>
      <c r="AO185" s="78"/>
      <c r="BF185" s="51"/>
      <c r="BG185" s="1"/>
    </row>
    <row r="186" spans="1:59" x14ac:dyDescent="0.3">
      <c r="A186" s="348" t="s">
        <v>371</v>
      </c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 t="s">
        <v>79</v>
      </c>
      <c r="M186" s="348"/>
      <c r="N186" s="348"/>
      <c r="O186" s="348"/>
      <c r="P186" s="348"/>
      <c r="R186" t="s">
        <v>105</v>
      </c>
      <c r="S186" s="70" t="s">
        <v>28</v>
      </c>
      <c r="T186" s="64">
        <f>C524</f>
        <v>0.26083857190158677</v>
      </c>
      <c r="U186" s="64">
        <f t="shared" ref="U186:X189" si="40">D524</f>
        <v>2.2533028075551633</v>
      </c>
      <c r="V186" s="64">
        <f t="shared" si="40"/>
        <v>56.635838044225338</v>
      </c>
      <c r="W186" s="64">
        <f t="shared" si="40"/>
        <v>31.564437384978859</v>
      </c>
      <c r="X186" s="64">
        <f t="shared" si="40"/>
        <v>9.2855831913390698</v>
      </c>
      <c r="AA186" s="12"/>
      <c r="AD186" s="51"/>
      <c r="AE186" s="51"/>
      <c r="BF186" s="51"/>
      <c r="BG186" s="1"/>
    </row>
    <row r="187" spans="1:59" x14ac:dyDescent="0.3">
      <c r="A187" t="s">
        <v>315</v>
      </c>
      <c r="B187" t="s">
        <v>21</v>
      </c>
      <c r="I187" s="1" t="s">
        <v>53</v>
      </c>
      <c r="O187" s="350" t="s">
        <v>377</v>
      </c>
      <c r="P187" s="350"/>
      <c r="S187" s="66" t="s">
        <v>39</v>
      </c>
      <c r="T187" s="67">
        <f>C525</f>
        <v>0</v>
      </c>
      <c r="U187" s="67">
        <f t="shared" si="40"/>
        <v>0.10117780877300887</v>
      </c>
      <c r="V187" s="67">
        <f t="shared" si="40"/>
        <v>0.39908687295855938</v>
      </c>
      <c r="W187" s="67">
        <f t="shared" si="40"/>
        <v>0.41567692792910327</v>
      </c>
      <c r="X187" s="67">
        <f t="shared" si="40"/>
        <v>0.35072688054220225</v>
      </c>
      <c r="AD187" s="51"/>
      <c r="AE187" s="51"/>
      <c r="AN187" s="78"/>
      <c r="AO187" s="78"/>
      <c r="BF187" s="51"/>
      <c r="BG187" s="1"/>
    </row>
    <row r="188" spans="1:59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51</v>
      </c>
      <c r="O188" s="13" t="s">
        <v>644</v>
      </c>
      <c r="P188" s="13" t="s">
        <v>633</v>
      </c>
      <c r="S188" t="s">
        <v>30</v>
      </c>
      <c r="T188" s="57">
        <f>C526</f>
        <v>100</v>
      </c>
      <c r="U188" s="57">
        <f t="shared" si="40"/>
        <v>74.275765966479369</v>
      </c>
      <c r="V188" s="57">
        <f t="shared" si="40"/>
        <v>98.9805225508739</v>
      </c>
      <c r="W188" s="57">
        <f t="shared" si="40"/>
        <v>94.601521615098662</v>
      </c>
      <c r="X188" s="57">
        <f t="shared" si="40"/>
        <v>79.836583816535295</v>
      </c>
      <c r="AD188" s="51"/>
      <c r="AE188" s="51"/>
      <c r="BF188" s="51"/>
      <c r="BG188" s="1"/>
    </row>
    <row r="189" spans="1:59" x14ac:dyDescent="0.3">
      <c r="A189" t="s">
        <v>3</v>
      </c>
      <c r="B189" s="13">
        <v>0</v>
      </c>
      <c r="C189" s="26">
        <v>451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451</v>
      </c>
      <c r="I189" s="10">
        <f>C189/H189</f>
        <v>1</v>
      </c>
      <c r="J189" s="11">
        <f>1-I189</f>
        <v>0</v>
      </c>
      <c r="K189">
        <f>H189-C194</f>
        <v>0</v>
      </c>
      <c r="N189" s="10">
        <f>2*(C195*I189)/(C195+I189)</f>
        <v>1</v>
      </c>
      <c r="O189" s="1"/>
      <c r="P189" s="1"/>
      <c r="S189" s="66" t="s">
        <v>39</v>
      </c>
      <c r="T189" s="67">
        <f>C527</f>
        <v>0</v>
      </c>
      <c r="U189" s="67">
        <f t="shared" si="40"/>
        <v>3.3371520165716051</v>
      </c>
      <c r="V189" s="67">
        <f t="shared" si="40"/>
        <v>0.26740433100051875</v>
      </c>
      <c r="W189" s="67">
        <f t="shared" si="40"/>
        <v>1.0243094240164667</v>
      </c>
      <c r="X189" s="67">
        <f t="shared" si="40"/>
        <v>3.5947549084370038</v>
      </c>
      <c r="AD189" s="51"/>
      <c r="AE189" s="51"/>
      <c r="AN189" s="78"/>
      <c r="AO189" s="78"/>
      <c r="BF189" s="51"/>
      <c r="BG189" s="1"/>
    </row>
    <row r="190" spans="1:59" x14ac:dyDescent="0.3">
      <c r="A190" t="s">
        <v>4</v>
      </c>
      <c r="B190" s="13">
        <v>1</v>
      </c>
      <c r="C190" s="5">
        <v>0</v>
      </c>
      <c r="D190" s="27">
        <v>55</v>
      </c>
      <c r="E190" s="1">
        <v>2</v>
      </c>
      <c r="F190" s="1">
        <v>0</v>
      </c>
      <c r="G190" s="6">
        <v>0</v>
      </c>
      <c r="H190" s="1">
        <f>SUM(C190:G190)</f>
        <v>57</v>
      </c>
      <c r="I190" s="10">
        <f>D190/H190</f>
        <v>0.96491228070175439</v>
      </c>
      <c r="J190" s="11">
        <f>1-I190</f>
        <v>3.5087719298245612E-2</v>
      </c>
      <c r="K190">
        <f>H190-D194</f>
        <v>-102</v>
      </c>
      <c r="N190" s="10">
        <f>2*(D195*I190)/(D195+I190)</f>
        <v>0.50925925925925919</v>
      </c>
      <c r="O190" s="1"/>
      <c r="P190" s="1"/>
      <c r="S190" t="s">
        <v>31</v>
      </c>
      <c r="T190" s="57">
        <f>I519</f>
        <v>100</v>
      </c>
      <c r="U190" s="57">
        <f>I520</f>
        <v>100</v>
      </c>
      <c r="V190" s="57">
        <f>I521</f>
        <v>96.879240162822242</v>
      </c>
      <c r="W190" s="57">
        <f>I522</f>
        <v>94.845360824742258</v>
      </c>
      <c r="X190" s="57">
        <f>I523</f>
        <v>85.03468780971258</v>
      </c>
      <c r="AD190" s="51"/>
      <c r="AE190" s="51"/>
      <c r="BF190" s="51"/>
      <c r="BG190" s="1"/>
    </row>
    <row r="191" spans="1:59" x14ac:dyDescent="0.3">
      <c r="A191" t="s">
        <v>5</v>
      </c>
      <c r="B191" s="13">
        <v>2</v>
      </c>
      <c r="C191" s="5">
        <v>0</v>
      </c>
      <c r="D191" s="1">
        <v>2</v>
      </c>
      <c r="E191" s="27">
        <v>707</v>
      </c>
      <c r="F191" s="1">
        <v>19</v>
      </c>
      <c r="G191" s="6">
        <v>9</v>
      </c>
      <c r="H191" s="1">
        <f>SUM(C191:G191)</f>
        <v>737</v>
      </c>
      <c r="I191" s="10">
        <f>E191/H191</f>
        <v>0.95929443690637717</v>
      </c>
      <c r="J191" s="11">
        <f>1-I191</f>
        <v>4.0705563093622832E-2</v>
      </c>
      <c r="K191">
        <f>H191-E194</f>
        <v>7</v>
      </c>
      <c r="N191" s="10">
        <f>2*(E195*I191)/(E195+I191)</f>
        <v>0.96387184730743014</v>
      </c>
      <c r="O191" s="1"/>
      <c r="P191" s="1"/>
      <c r="S191" s="66" t="s">
        <v>39</v>
      </c>
      <c r="T191" s="67">
        <f>J519</f>
        <v>0</v>
      </c>
      <c r="U191" s="67">
        <f>J520</f>
        <v>0</v>
      </c>
      <c r="V191" s="67">
        <f>J521</f>
        <v>0.64092413933823655</v>
      </c>
      <c r="W191" s="67">
        <f>J522</f>
        <v>0.91731630998378022</v>
      </c>
      <c r="X191" s="67">
        <f>J523</f>
        <v>1.1235972957478502</v>
      </c>
      <c r="AD191" s="51"/>
      <c r="AE191" s="51"/>
      <c r="AN191" s="78"/>
      <c r="AO191" s="78"/>
      <c r="BF191" s="51"/>
      <c r="BG191" s="1"/>
    </row>
    <row r="192" spans="1:59" x14ac:dyDescent="0.3">
      <c r="A192" t="s">
        <v>6</v>
      </c>
      <c r="B192" s="13">
        <v>3</v>
      </c>
      <c r="C192" s="5">
        <v>0</v>
      </c>
      <c r="D192" s="1">
        <v>0</v>
      </c>
      <c r="E192" s="1">
        <v>11</v>
      </c>
      <c r="F192" s="27">
        <v>547</v>
      </c>
      <c r="G192" s="6">
        <v>24</v>
      </c>
      <c r="H192" s="1">
        <f>SUM(C192:G192)</f>
        <v>582</v>
      </c>
      <c r="I192" s="10">
        <f>F192/H192</f>
        <v>0.93986254295532645</v>
      </c>
      <c r="J192" s="11">
        <f>1-I192</f>
        <v>6.0137457044673548E-2</v>
      </c>
      <c r="K192">
        <f>H192-F194</f>
        <v>-39</v>
      </c>
      <c r="N192" s="10">
        <f>2*(F195*I192)/(F195+I192)</f>
        <v>0.90939318370739819</v>
      </c>
      <c r="O192" s="1"/>
      <c r="P192" s="1"/>
      <c r="S192" s="66" t="s">
        <v>51</v>
      </c>
      <c r="T192" s="67">
        <f>N508*100</f>
        <v>100</v>
      </c>
      <c r="U192" s="67">
        <f>N509*100</f>
        <v>65.895953757225428</v>
      </c>
      <c r="V192" s="67">
        <f>N510*100</f>
        <v>96.421336934503728</v>
      </c>
      <c r="W192" s="67">
        <f>N511*100</f>
        <v>90.64039408866995</v>
      </c>
      <c r="X192" s="67">
        <f>N512*100</f>
        <v>90.410958904109592</v>
      </c>
      <c r="AD192" s="51"/>
      <c r="AE192" s="51"/>
      <c r="BF192" s="51"/>
      <c r="BG192" s="1"/>
    </row>
    <row r="193" spans="1:59" x14ac:dyDescent="0.3">
      <c r="A193" t="s">
        <v>7</v>
      </c>
      <c r="B193" s="13">
        <v>4</v>
      </c>
      <c r="C193" s="7">
        <v>0</v>
      </c>
      <c r="D193" s="8">
        <v>102</v>
      </c>
      <c r="E193" s="8">
        <v>10</v>
      </c>
      <c r="F193" s="8">
        <v>55</v>
      </c>
      <c r="G193" s="28">
        <v>842</v>
      </c>
      <c r="H193" s="1">
        <f>SUM(C193:G193)</f>
        <v>1009</v>
      </c>
      <c r="I193" s="10">
        <f>G193/H193</f>
        <v>0.83448959365708619</v>
      </c>
      <c r="J193" s="11">
        <f>1-I193</f>
        <v>0.16551040634291381</v>
      </c>
      <c r="K193">
        <f>H193-G194</f>
        <v>134</v>
      </c>
      <c r="N193" s="10">
        <f>2*(G195*I193)/(G195+I193)</f>
        <v>0.89384288747346086</v>
      </c>
      <c r="O193" s="1"/>
      <c r="P193" s="1"/>
      <c r="R193" s="16" t="s">
        <v>61</v>
      </c>
      <c r="S193" t="s">
        <v>9</v>
      </c>
      <c r="T193" s="1">
        <f>N519</f>
        <v>216.4</v>
      </c>
      <c r="U193" s="1">
        <f>N520</f>
        <v>1388.52</v>
      </c>
      <c r="V193" s="1">
        <f>N521</f>
        <v>48006.03</v>
      </c>
      <c r="W193" s="1">
        <f>N522</f>
        <v>26119.54</v>
      </c>
      <c r="X193" s="1">
        <f>N523</f>
        <v>7232.7</v>
      </c>
      <c r="Z193" t="s">
        <v>36</v>
      </c>
      <c r="AA193" s="1">
        <f>N524</f>
        <v>82963.189999999988</v>
      </c>
      <c r="AD193" s="51"/>
      <c r="AE193" s="51"/>
      <c r="AL193" s="131">
        <v>0</v>
      </c>
      <c r="AM193" s="132">
        <v>1</v>
      </c>
      <c r="AN193" s="132">
        <v>2</v>
      </c>
      <c r="AO193" s="132">
        <v>3</v>
      </c>
      <c r="AP193" s="133">
        <v>4</v>
      </c>
      <c r="BF193" s="51"/>
      <c r="BG193" s="1"/>
    </row>
    <row r="194" spans="1:59" ht="15.6" x14ac:dyDescent="0.35">
      <c r="B194" s="1" t="s">
        <v>19</v>
      </c>
      <c r="C194" s="1">
        <f>SUM(C189:C193)</f>
        <v>451</v>
      </c>
      <c r="D194" s="1">
        <f>SUM(D189:D193)</f>
        <v>159</v>
      </c>
      <c r="E194" s="1">
        <f>SUM(E189:E193)</f>
        <v>730</v>
      </c>
      <c r="F194" s="1">
        <f>SUM(F189:F193)</f>
        <v>621</v>
      </c>
      <c r="G194" s="1">
        <f>SUM(G189:G193)</f>
        <v>875</v>
      </c>
      <c r="H194" s="1">
        <f>SUM(H188:H193)</f>
        <v>2836</v>
      </c>
      <c r="I194" s="13" t="s">
        <v>12</v>
      </c>
      <c r="N194" s="16" t="s">
        <v>36</v>
      </c>
      <c r="O194" s="1">
        <f>SUM(O189:O193)</f>
        <v>0</v>
      </c>
      <c r="P194" s="1">
        <f>SUM(P189:P193)</f>
        <v>0</v>
      </c>
      <c r="R194" s="16" t="s">
        <v>318</v>
      </c>
      <c r="S194" t="s">
        <v>63</v>
      </c>
      <c r="T194" s="57">
        <f>$AA193*T186/100</f>
        <v>216.4</v>
      </c>
      <c r="U194" s="57">
        <f>$AA193*U186/100</f>
        <v>1869.4118895073241</v>
      </c>
      <c r="V194" s="57">
        <f>$AA193*V186/100</f>
        <v>46986.897924722944</v>
      </c>
      <c r="W194" s="57">
        <f>$AA193*W186/100</f>
        <v>26186.864160131037</v>
      </c>
      <c r="X194" s="57">
        <f>$AA193*X186/100</f>
        <v>7703.6160256386947</v>
      </c>
      <c r="Z194" t="s">
        <v>36</v>
      </c>
      <c r="AA194" s="25">
        <f>SUM(T194:X194)</f>
        <v>82963.19</v>
      </c>
      <c r="AD194" s="51"/>
      <c r="AE194" s="51"/>
      <c r="AJ194" t="s">
        <v>2</v>
      </c>
      <c r="AQ194" t="s">
        <v>633</v>
      </c>
      <c r="BF194" s="51"/>
      <c r="BG194" s="1"/>
    </row>
    <row r="195" spans="1:59" x14ac:dyDescent="0.3">
      <c r="A195" s="1" t="s">
        <v>316</v>
      </c>
      <c r="B195" s="1" t="s">
        <v>2</v>
      </c>
      <c r="C195" s="10">
        <f>C189/C194</f>
        <v>1</v>
      </c>
      <c r="D195" s="10">
        <f>D190/D194</f>
        <v>0.34591194968553457</v>
      </c>
      <c r="E195" s="10">
        <f>E191/E194</f>
        <v>0.96849315068493147</v>
      </c>
      <c r="F195" s="10">
        <f>F192/F194</f>
        <v>0.88083735909822869</v>
      </c>
      <c r="G195" s="10">
        <f>G193/G194</f>
        <v>0.9622857142857143</v>
      </c>
      <c r="H195" s="10"/>
      <c r="I195" s="14">
        <f>(C189+D190+E191+F192+G193)/H194</f>
        <v>0.91748942172073344</v>
      </c>
      <c r="R195" s="66"/>
      <c r="S195" s="66" t="s">
        <v>62</v>
      </c>
      <c r="T195" s="67">
        <f>$AA193*T187/100</f>
        <v>0</v>
      </c>
      <c r="U195" s="67">
        <f>$AA193*U187/100</f>
        <v>83.940337730188006</v>
      </c>
      <c r="V195" s="67">
        <f>$AA193*V187/100</f>
        <v>331.09520067766817</v>
      </c>
      <c r="W195" s="67">
        <f>$AA193*W187/100</f>
        <v>344.85883950398494</v>
      </c>
      <c r="X195" s="67">
        <f>$AA193*X187/100</f>
        <v>290.97420828530022</v>
      </c>
      <c r="AA195" s="1"/>
      <c r="AD195" s="51"/>
      <c r="AE195" s="51"/>
      <c r="AJ195" t="s">
        <v>633</v>
      </c>
      <c r="AK195">
        <v>0</v>
      </c>
      <c r="AL195" s="1">
        <v>187.5</v>
      </c>
      <c r="AM195" s="1">
        <v>136.66999999999999</v>
      </c>
      <c r="AN195" s="1">
        <v>3646.07</v>
      </c>
      <c r="AO195" s="1">
        <v>12277.2</v>
      </c>
      <c r="AP195" s="1">
        <v>4977.7299999999996</v>
      </c>
      <c r="AR195" s="1">
        <v>197.67</v>
      </c>
      <c r="AS195" s="1">
        <v>1177.47</v>
      </c>
      <c r="AT195" s="1">
        <v>48810.720000000001</v>
      </c>
      <c r="AU195" s="1">
        <v>25358.09</v>
      </c>
      <c r="AV195" s="1">
        <v>7419.23</v>
      </c>
      <c r="BF195" s="51"/>
      <c r="BG195" s="1"/>
    </row>
    <row r="196" spans="1:59" x14ac:dyDescent="0.3">
      <c r="B196" s="1" t="s">
        <v>14</v>
      </c>
      <c r="C196" s="11">
        <f>1-C195</f>
        <v>0</v>
      </c>
      <c r="D196" s="11">
        <f>1-D195</f>
        <v>0.65408805031446549</v>
      </c>
      <c r="E196" s="11">
        <f>1-E195</f>
        <v>3.150684931506853E-2</v>
      </c>
      <c r="F196" s="11">
        <f>1-F195</f>
        <v>0.11916264090177131</v>
      </c>
      <c r="G196" s="11">
        <f>1-G195</f>
        <v>3.77142857142857E-2</v>
      </c>
      <c r="R196" t="s">
        <v>106</v>
      </c>
      <c r="S196" t="s">
        <v>28</v>
      </c>
      <c r="T196" s="57">
        <f>C553</f>
        <v>0.23652661337234177</v>
      </c>
      <c r="U196" s="57">
        <f t="shared" ref="U196:X199" si="41">D553</f>
        <v>1.9963994262254343</v>
      </c>
      <c r="V196" s="57">
        <f t="shared" si="41"/>
        <v>57.255114789539086</v>
      </c>
      <c r="W196" s="57">
        <f t="shared" si="41"/>
        <v>31.164825949143967</v>
      </c>
      <c r="X196" s="57">
        <f t="shared" si="41"/>
        <v>9.3471332217191723</v>
      </c>
      <c r="Y196" s="13"/>
      <c r="Z196" s="74"/>
      <c r="AA196" s="12"/>
      <c r="AD196" s="51"/>
      <c r="AE196" s="51"/>
      <c r="AJ196" t="s">
        <v>633</v>
      </c>
      <c r="AK196">
        <v>1</v>
      </c>
      <c r="AL196" s="1">
        <v>191.6</v>
      </c>
      <c r="AM196" s="1">
        <v>178.72</v>
      </c>
      <c r="AN196" s="1">
        <v>3428.01</v>
      </c>
      <c r="AO196" s="1">
        <v>12126.53</v>
      </c>
      <c r="AP196" s="1">
        <v>5300.32</v>
      </c>
      <c r="AR196" s="1">
        <v>203.71</v>
      </c>
      <c r="AS196" s="1">
        <v>1251.1500000000001</v>
      </c>
      <c r="AT196" s="1">
        <v>48058.91</v>
      </c>
      <c r="AU196" s="1">
        <v>25338.75</v>
      </c>
      <c r="AV196" s="1">
        <v>8110.67</v>
      </c>
      <c r="BF196" s="51"/>
      <c r="BG196" s="1"/>
    </row>
    <row r="197" spans="1:59" x14ac:dyDescent="0.3">
      <c r="C197" s="2"/>
      <c r="S197" s="66" t="s">
        <v>39</v>
      </c>
      <c r="T197" s="67">
        <f>C554</f>
        <v>0</v>
      </c>
      <c r="U197" s="67">
        <f t="shared" si="41"/>
        <v>6.6870792578290927E-2</v>
      </c>
      <c r="V197" s="67">
        <f t="shared" si="41"/>
        <v>0.38894973293685536</v>
      </c>
      <c r="W197" s="67">
        <f t="shared" si="41"/>
        <v>0.4080482527337625</v>
      </c>
      <c r="X197" s="67">
        <f t="shared" si="41"/>
        <v>0.34753233550207041</v>
      </c>
      <c r="AD197" s="51"/>
      <c r="AE197" s="51"/>
      <c r="AJ197" t="s">
        <v>633</v>
      </c>
      <c r="AK197">
        <v>2</v>
      </c>
      <c r="AL197" s="1">
        <v>188.21</v>
      </c>
      <c r="AM197" s="1">
        <v>161.79</v>
      </c>
      <c r="AN197" s="1">
        <v>3461.44</v>
      </c>
      <c r="AO197" s="1">
        <v>12110.8</v>
      </c>
      <c r="AP197" s="1">
        <v>5302.94</v>
      </c>
      <c r="AR197" s="1">
        <v>200.46</v>
      </c>
      <c r="AS197" s="1">
        <v>1304.1300000000001</v>
      </c>
      <c r="AT197" s="1">
        <v>48085.57</v>
      </c>
      <c r="AU197" s="1">
        <v>25407.51</v>
      </c>
      <c r="AV197" s="1">
        <v>7965.53</v>
      </c>
      <c r="BF197" s="51"/>
      <c r="BG197" s="1"/>
    </row>
    <row r="198" spans="1:59" ht="15.6" x14ac:dyDescent="0.35">
      <c r="A198" t="s">
        <v>317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41"/>
        <v>78.355001605531498</v>
      </c>
      <c r="V198" s="57">
        <f t="shared" si="41"/>
        <v>98.658517343202632</v>
      </c>
      <c r="W198" s="57">
        <f t="shared" si="41"/>
        <v>94.077806767213815</v>
      </c>
      <c r="X198" s="57">
        <f t="shared" si="41"/>
        <v>80.710370877885083</v>
      </c>
      <c r="AD198" s="51"/>
      <c r="AE198" s="51"/>
      <c r="AJ198" t="s">
        <v>633</v>
      </c>
      <c r="AK198">
        <v>3</v>
      </c>
      <c r="AL198" s="1">
        <v>186.77</v>
      </c>
      <c r="AM198" s="1">
        <v>150.26</v>
      </c>
      <c r="AN198" s="1">
        <v>3522.91</v>
      </c>
      <c r="AO198" s="1">
        <v>12368.7</v>
      </c>
      <c r="AP198" s="1">
        <v>4996.54</v>
      </c>
      <c r="AR198" s="1">
        <v>197.85</v>
      </c>
      <c r="AS198" s="1">
        <v>1395.41</v>
      </c>
      <c r="AT198" s="1">
        <v>48203.3</v>
      </c>
      <c r="AU198" s="1">
        <v>25636.57</v>
      </c>
      <c r="AV198" s="1">
        <v>7530.05</v>
      </c>
      <c r="BF198" s="51"/>
      <c r="BG198" s="1"/>
    </row>
    <row r="199" spans="1:59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41"/>
        <v>3.8581416662454862</v>
      </c>
      <c r="V199" s="67">
        <f t="shared" si="41"/>
        <v>0.3121510321822919</v>
      </c>
      <c r="W199" s="67">
        <f t="shared" si="41"/>
        <v>1.022750448819129</v>
      </c>
      <c r="X199" s="67">
        <f t="shared" si="41"/>
        <v>3.6147597815427948</v>
      </c>
      <c r="AD199" s="51"/>
      <c r="AE199" s="51"/>
      <c r="AJ199" t="s">
        <v>633</v>
      </c>
      <c r="AK199">
        <v>4</v>
      </c>
      <c r="AL199" s="1">
        <v>198.46</v>
      </c>
      <c r="AM199" s="1">
        <v>156.38999999999999</v>
      </c>
      <c r="AN199" s="1">
        <v>3490.05</v>
      </c>
      <c r="AO199" s="1">
        <v>12409.5</v>
      </c>
      <c r="AP199" s="1">
        <v>4970.78</v>
      </c>
      <c r="AR199" s="1">
        <v>211.27</v>
      </c>
      <c r="AS199" s="1">
        <v>1265.74</v>
      </c>
      <c r="AT199" s="1">
        <v>48090.29</v>
      </c>
      <c r="AU199" s="1">
        <v>25947.99</v>
      </c>
      <c r="AV199" s="1">
        <v>7447.9</v>
      </c>
      <c r="BF199" s="51"/>
      <c r="BG199" s="1"/>
    </row>
    <row r="200" spans="1:59" x14ac:dyDescent="0.3">
      <c r="A200" t="s">
        <v>3</v>
      </c>
      <c r="B200" s="13">
        <v>0</v>
      </c>
      <c r="C200" s="29">
        <f>(C189/$L200)*$O200</f>
        <v>0.24304754916005517</v>
      </c>
      <c r="D200" s="31">
        <f>(D189/$L200)*$O200</f>
        <v>0</v>
      </c>
      <c r="E200" s="31">
        <f>(E189/$L200)*$O200</f>
        <v>0</v>
      </c>
      <c r="F200" s="31">
        <f>(F189/$L200)*$O200</f>
        <v>0</v>
      </c>
      <c r="G200" s="32">
        <f>(G189/$L200)*$O200</f>
        <v>0</v>
      </c>
      <c r="H200" s="17">
        <f>SUM(C200:G200)</f>
        <v>0.24304754916005517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451</v>
      </c>
      <c r="M200">
        <v>0</v>
      </c>
      <c r="N200" s="1">
        <v>201.64</v>
      </c>
      <c r="O200" s="17">
        <f>N200/N205*100</f>
        <v>0.24304754916005517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98.245614035087712</v>
      </c>
      <c r="V200" s="57">
        <f>I550</f>
        <v>97.286295793758484</v>
      </c>
      <c r="W200" s="57">
        <f>I551</f>
        <v>94.501718213058425</v>
      </c>
      <c r="X200" s="57">
        <f>I552</f>
        <v>83.052527254707627</v>
      </c>
      <c r="AD200" s="51"/>
      <c r="AE200" s="51"/>
      <c r="AJ200" t="s">
        <v>633</v>
      </c>
      <c r="AK200">
        <v>5</v>
      </c>
      <c r="AL200" s="1">
        <v>186.66</v>
      </c>
      <c r="AM200" s="1">
        <v>222.42</v>
      </c>
      <c r="AN200" s="1">
        <v>3494.73</v>
      </c>
      <c r="AO200" s="1">
        <v>12062.74</v>
      </c>
      <c r="AP200" s="1">
        <v>5258.62</v>
      </c>
      <c r="AR200" s="1">
        <v>197.76</v>
      </c>
      <c r="AS200" s="1">
        <v>1316.03</v>
      </c>
      <c r="AT200" s="1">
        <v>48211.67</v>
      </c>
      <c r="AU200" s="1">
        <v>25301.84</v>
      </c>
      <c r="AV200" s="1">
        <v>7935.89</v>
      </c>
      <c r="BF200" s="51"/>
      <c r="BG200" s="1"/>
    </row>
    <row r="201" spans="1:59" x14ac:dyDescent="0.3">
      <c r="A201" t="s">
        <v>4</v>
      </c>
      <c r="B201" s="13">
        <v>1</v>
      </c>
      <c r="C201" s="33">
        <f t="shared" ref="C201:G204" si="42">(C190/$L201)*$O201</f>
        <v>0</v>
      </c>
      <c r="D201" s="34">
        <f t="shared" si="42"/>
        <v>1.4741213183526798</v>
      </c>
      <c r="E201" s="19">
        <f t="shared" si="42"/>
        <v>5.3604411576461085E-2</v>
      </c>
      <c r="F201" s="18">
        <f t="shared" si="42"/>
        <v>0</v>
      </c>
      <c r="G201" s="20">
        <f t="shared" si="42"/>
        <v>0</v>
      </c>
      <c r="H201" s="17">
        <f>SUM(C201:G201)</f>
        <v>1.5277257299291409</v>
      </c>
      <c r="I201" s="17">
        <f>D201/H201*100</f>
        <v>96.491228070175438</v>
      </c>
      <c r="J201" s="17">
        <f>SQRT(I201*(100-I201)/(L201-1))</f>
        <v>2.4588241692166148</v>
      </c>
      <c r="K201" s="18">
        <f>100-I201</f>
        <v>3.5087719298245617</v>
      </c>
      <c r="L201" s="1">
        <f>H190</f>
        <v>57</v>
      </c>
      <c r="M201">
        <v>1</v>
      </c>
      <c r="N201" s="1">
        <v>1267.45</v>
      </c>
      <c r="O201" s="17">
        <f>N201/N205*100</f>
        <v>1.5277257299291409</v>
      </c>
      <c r="P201" s="52">
        <f>((O201*O201*(I201/100)*(K201/100))/(L201-1))</f>
        <v>1.4110608189752227E-3</v>
      </c>
      <c r="S201" s="66" t="s">
        <v>39</v>
      </c>
      <c r="T201" s="67">
        <f>J548</f>
        <v>0</v>
      </c>
      <c r="U201" s="67">
        <f>J549</f>
        <v>1.7543859649122842</v>
      </c>
      <c r="V201" s="67">
        <f>J550</f>
        <v>0.59891912391468349</v>
      </c>
      <c r="W201" s="67">
        <f>J551</f>
        <v>0.94568234896218206</v>
      </c>
      <c r="X201" s="67">
        <f>J552</f>
        <v>1.1816765909301878</v>
      </c>
      <c r="AD201" s="51"/>
      <c r="AE201" s="51"/>
      <c r="AJ201" t="s">
        <v>633</v>
      </c>
      <c r="AK201">
        <v>6</v>
      </c>
      <c r="AL201" s="1">
        <v>188.84</v>
      </c>
      <c r="AM201" s="1">
        <v>196.89</v>
      </c>
      <c r="AN201" s="1">
        <v>3544.73</v>
      </c>
      <c r="AO201" s="1">
        <v>12208.39</v>
      </c>
      <c r="AP201" s="1">
        <v>5086.33</v>
      </c>
      <c r="AR201" s="1">
        <v>201.64</v>
      </c>
      <c r="AS201" s="1">
        <v>1267.45</v>
      </c>
      <c r="AT201" s="1">
        <v>48350.91</v>
      </c>
      <c r="AU201" s="1">
        <v>25286.39</v>
      </c>
      <c r="AV201" s="1">
        <v>7856.8</v>
      </c>
      <c r="BF201" s="51"/>
      <c r="BG201" s="1"/>
    </row>
    <row r="202" spans="1:59" x14ac:dyDescent="0.3">
      <c r="A202" t="s">
        <v>5</v>
      </c>
      <c r="B202" s="13">
        <v>2</v>
      </c>
      <c r="C202" s="33">
        <f t="shared" si="42"/>
        <v>0</v>
      </c>
      <c r="D202" s="19">
        <f t="shared" si="42"/>
        <v>0.15815455968195671</v>
      </c>
      <c r="E202" s="34">
        <f t="shared" si="42"/>
        <v>55.907636847571702</v>
      </c>
      <c r="F202" s="19">
        <f t="shared" si="42"/>
        <v>1.5024683169785888</v>
      </c>
      <c r="G202" s="20">
        <f t="shared" si="42"/>
        <v>0.7116955185688052</v>
      </c>
      <c r="H202" s="17">
        <f>SUM(C202:G202)</f>
        <v>58.279955242801044</v>
      </c>
      <c r="I202" s="17">
        <f>E202/H202*100</f>
        <v>95.92944369063774</v>
      </c>
      <c r="J202" s="17">
        <f>SQRT(I202*(100-I202)/(L202-1))</f>
        <v>0.728389940386442</v>
      </c>
      <c r="K202" s="18">
        <f>100-I202</f>
        <v>4.0705563093622601</v>
      </c>
      <c r="L202" s="1">
        <f>H191</f>
        <v>737</v>
      </c>
      <c r="M202">
        <v>2</v>
      </c>
      <c r="N202" s="1">
        <v>48350.91</v>
      </c>
      <c r="O202" s="17">
        <f>N202/N205*100</f>
        <v>58.279955242801051</v>
      </c>
      <c r="P202" s="52">
        <f>((O202*O202*(I202/100)*(K202/100))/(L202-1))</f>
        <v>0.18020477625991307</v>
      </c>
      <c r="S202" s="66" t="s">
        <v>51</v>
      </c>
      <c r="T202" s="67">
        <f>N537*100</f>
        <v>100</v>
      </c>
      <c r="U202" s="67">
        <f>N538*100</f>
        <v>69.565217391304358</v>
      </c>
      <c r="V202" s="67">
        <f>N539*100</f>
        <v>96.370967741935473</v>
      </c>
      <c r="W202" s="67">
        <f>N540*100</f>
        <v>88.424437299035375</v>
      </c>
      <c r="X202" s="67">
        <f>N541*100</f>
        <v>89.291422482685135</v>
      </c>
      <c r="AD202" s="51"/>
      <c r="AE202" s="51"/>
      <c r="AJ202" t="s">
        <v>633</v>
      </c>
      <c r="AK202">
        <v>7</v>
      </c>
      <c r="AL202" s="1">
        <v>189.19</v>
      </c>
      <c r="AM202" s="1">
        <v>150.91</v>
      </c>
      <c r="AN202" s="1">
        <v>3525.55</v>
      </c>
      <c r="AO202" s="1">
        <v>12362.52</v>
      </c>
      <c r="AP202" s="1">
        <v>4997</v>
      </c>
      <c r="AR202" s="1">
        <v>202.81</v>
      </c>
      <c r="AS202" s="1">
        <v>1212.72</v>
      </c>
      <c r="AT202" s="1">
        <v>48224.35</v>
      </c>
      <c r="AU202" s="1">
        <v>25869.23</v>
      </c>
      <c r="AV202" s="1">
        <v>7454.08</v>
      </c>
      <c r="BF202" s="51"/>
      <c r="BG202" s="1"/>
    </row>
    <row r="203" spans="1:59" x14ac:dyDescent="0.3">
      <c r="A203" t="s">
        <v>6</v>
      </c>
      <c r="B203" s="13">
        <v>3</v>
      </c>
      <c r="C203" s="33">
        <f t="shared" si="42"/>
        <v>0</v>
      </c>
      <c r="D203" s="19">
        <f t="shared" si="42"/>
        <v>0</v>
      </c>
      <c r="E203" s="19">
        <f t="shared" si="42"/>
        <v>0.5760644696534688</v>
      </c>
      <c r="F203" s="34">
        <f t="shared" si="42"/>
        <v>28.646114990949766</v>
      </c>
      <c r="G203" s="20">
        <f t="shared" si="42"/>
        <v>1.2568679337893864</v>
      </c>
      <c r="H203" s="17">
        <f>SUM(C203:G203)</f>
        <v>30.479047394392623</v>
      </c>
      <c r="I203" s="17">
        <f>F203/H203*100</f>
        <v>93.986254295532632</v>
      </c>
      <c r="J203" s="17">
        <f>SQRT(I203*(100-I203)/(L203-1))</f>
        <v>0.98631726317118462</v>
      </c>
      <c r="K203" s="18">
        <f>100-I203</f>
        <v>6.0137457044673681</v>
      </c>
      <c r="L203" s="1">
        <f>H192</f>
        <v>582</v>
      </c>
      <c r="M203">
        <v>3</v>
      </c>
      <c r="N203" s="1">
        <v>25286.39</v>
      </c>
      <c r="O203" s="17">
        <f>N203/N205*100</f>
        <v>30.479047394392623</v>
      </c>
      <c r="P203" s="52">
        <f>((O203*O203*(I203/100)*(K203/100))/(L203-1))</f>
        <v>9.0372448192189467E-2</v>
      </c>
      <c r="R203" s="16" t="s">
        <v>61</v>
      </c>
      <c r="S203" t="s">
        <v>9</v>
      </c>
      <c r="T203" s="1">
        <f>N548</f>
        <v>196.23</v>
      </c>
      <c r="U203" s="1">
        <f>N549</f>
        <v>1320.95</v>
      </c>
      <c r="V203" s="1">
        <f>N550</f>
        <v>48170.66</v>
      </c>
      <c r="W203" s="1">
        <f>N551</f>
        <v>25739.35</v>
      </c>
      <c r="X203" s="1">
        <f>N552</f>
        <v>7535.99</v>
      </c>
      <c r="Z203" t="s">
        <v>36</v>
      </c>
      <c r="AA203" s="1">
        <f>N553</f>
        <v>82963.180000000008</v>
      </c>
      <c r="AD203" s="51"/>
      <c r="AE203" s="51"/>
      <c r="AJ203" t="s">
        <v>633</v>
      </c>
      <c r="AK203">
        <v>8</v>
      </c>
      <c r="AL203" s="1">
        <v>204.46</v>
      </c>
      <c r="AM203" s="1">
        <v>221.39</v>
      </c>
      <c r="AN203" s="1">
        <v>3541.28</v>
      </c>
      <c r="AO203" s="1">
        <v>12177.26</v>
      </c>
      <c r="AP203" s="1">
        <v>5080.8</v>
      </c>
      <c r="AR203" s="1">
        <v>219.55</v>
      </c>
      <c r="AS203" s="1">
        <v>1287.76</v>
      </c>
      <c r="AT203" s="1">
        <v>48475.69</v>
      </c>
      <c r="AU203" s="1">
        <v>25288.959999999999</v>
      </c>
      <c r="AV203" s="1">
        <v>7691.23</v>
      </c>
      <c r="BF203" s="56"/>
      <c r="BG203" s="1"/>
    </row>
    <row r="204" spans="1:59" ht="15.6" x14ac:dyDescent="0.35">
      <c r="A204" t="s">
        <v>7</v>
      </c>
      <c r="B204" s="13">
        <v>4</v>
      </c>
      <c r="C204" s="35">
        <f t="shared" si="42"/>
        <v>0</v>
      </c>
      <c r="D204" s="36">
        <f t="shared" si="42"/>
        <v>0.95734673591590402</v>
      </c>
      <c r="E204" s="21">
        <f t="shared" si="42"/>
        <v>9.3857523129010204E-2</v>
      </c>
      <c r="F204" s="21">
        <f t="shared" si="42"/>
        <v>0.51621637720955604</v>
      </c>
      <c r="G204" s="37">
        <f t="shared" si="42"/>
        <v>7.9028034474626585</v>
      </c>
      <c r="H204" s="17">
        <f>SUM(C204:G204)</f>
        <v>9.4702240837171292</v>
      </c>
      <c r="I204" s="17">
        <f>G204/H204*100</f>
        <v>83.448959365708617</v>
      </c>
      <c r="J204" s="17">
        <f>SQRT(I204*(100-I204)/(L204-1))</f>
        <v>1.1705577617369731</v>
      </c>
      <c r="K204" s="18">
        <f>100-I204</f>
        <v>16.551040634291383</v>
      </c>
      <c r="L204" s="1">
        <f>H193</f>
        <v>1009</v>
      </c>
      <c r="M204">
        <v>4</v>
      </c>
      <c r="N204" s="1">
        <v>7856.8</v>
      </c>
      <c r="O204" s="17">
        <f>N204/N205*100</f>
        <v>9.4702240837171292</v>
      </c>
      <c r="P204" s="52">
        <f>((O204*O204*(I204/100)*(K204/100))/(L204-1))</f>
        <v>1.2288707547436453E-2</v>
      </c>
      <c r="R204" s="16" t="s">
        <v>318</v>
      </c>
      <c r="S204" t="s">
        <v>63</v>
      </c>
      <c r="T204" s="57">
        <f>$AA203*T196/100</f>
        <v>196.23</v>
      </c>
      <c r="U204" s="57">
        <f>$AA203*U196/100</f>
        <v>1656.2764494983744</v>
      </c>
      <c r="V204" s="57">
        <f>$AA203*V196/100</f>
        <v>47500.663942051942</v>
      </c>
      <c r="W204" s="57">
        <f>$AA203*W196/100</f>
        <v>25855.330648875024</v>
      </c>
      <c r="X204" s="57">
        <f>$AA203*X196/100</f>
        <v>7754.6789595746759</v>
      </c>
      <c r="Z204" t="s">
        <v>36</v>
      </c>
      <c r="AA204" s="25">
        <f>SUM(T204:X204)</f>
        <v>82963.180000000022</v>
      </c>
      <c r="AD204" s="51"/>
      <c r="AE204" s="51"/>
      <c r="AJ204" t="s">
        <v>633</v>
      </c>
      <c r="AK204">
        <v>9</v>
      </c>
      <c r="AL204" s="1">
        <v>193.46</v>
      </c>
      <c r="AM204" s="1">
        <v>168.44</v>
      </c>
      <c r="AN204" s="1">
        <v>3501.03</v>
      </c>
      <c r="AO204" s="1">
        <v>12185.99</v>
      </c>
      <c r="AP204" s="1">
        <v>5176.26</v>
      </c>
      <c r="AR204" s="1">
        <v>205.69</v>
      </c>
      <c r="AS204" s="1">
        <v>1263.46</v>
      </c>
      <c r="AT204" s="1">
        <v>48310.44</v>
      </c>
      <c r="AU204" s="1">
        <v>25272.59</v>
      </c>
      <c r="AV204" s="1">
        <v>7911.01</v>
      </c>
      <c r="BF204" s="51"/>
      <c r="BG204" s="1"/>
    </row>
    <row r="205" spans="1:59" x14ac:dyDescent="0.3">
      <c r="B205" t="s">
        <v>28</v>
      </c>
      <c r="C205" s="17">
        <f t="shared" ref="C205:H205" si="43">SUM(C200:C204)</f>
        <v>0.24304754916005517</v>
      </c>
      <c r="D205" s="17">
        <f t="shared" si="43"/>
        <v>2.5896226139505405</v>
      </c>
      <c r="E205" s="17">
        <f t="shared" si="43"/>
        <v>56.631163251930637</v>
      </c>
      <c r="F205" s="17">
        <f t="shared" si="43"/>
        <v>30.664799685137911</v>
      </c>
      <c r="G205" s="17">
        <f t="shared" si="43"/>
        <v>9.8713668998208508</v>
      </c>
      <c r="H205" s="18">
        <f t="shared" si="43"/>
        <v>99.999999999999986</v>
      </c>
      <c r="I205" s="13" t="s">
        <v>24</v>
      </c>
      <c r="J205" s="12" t="s">
        <v>29</v>
      </c>
      <c r="N205" s="1">
        <f>SUM(N200:N204)</f>
        <v>82963.19</v>
      </c>
      <c r="O205" s="17">
        <f>SUM(O200:O204)</f>
        <v>100</v>
      </c>
      <c r="R205" s="66"/>
      <c r="S205" s="66" t="s">
        <v>62</v>
      </c>
      <c r="T205" s="67">
        <f>$AA203*T197/100</f>
        <v>0</v>
      </c>
      <c r="U205" s="67">
        <f>$AA203*U197/100</f>
        <v>55.478136014154153</v>
      </c>
      <c r="V205" s="67">
        <f>$AA203*V197/100</f>
        <v>322.68506704592261</v>
      </c>
      <c r="W205" s="67">
        <f>$AA203*W197/100</f>
        <v>338.52980640236632</v>
      </c>
      <c r="X205" s="67">
        <f>$AA203*X197/100</f>
        <v>288.32387706078663</v>
      </c>
      <c r="AA205" s="1"/>
      <c r="AD205" s="51"/>
      <c r="AE205" s="51"/>
      <c r="AJ205" t="s">
        <v>633</v>
      </c>
      <c r="AK205">
        <v>10</v>
      </c>
      <c r="AL205" s="1">
        <v>185</v>
      </c>
      <c r="AM205" s="1">
        <v>185.7</v>
      </c>
      <c r="AN205" s="1">
        <v>3501.83</v>
      </c>
      <c r="AO205" s="1">
        <v>12354.09</v>
      </c>
      <c r="AP205" s="1">
        <v>4998.57</v>
      </c>
      <c r="AR205" s="1">
        <v>194.61</v>
      </c>
      <c r="AS205" s="1">
        <v>1365.34</v>
      </c>
      <c r="AT205" s="1">
        <v>48225.81</v>
      </c>
      <c r="AU205" s="1">
        <v>25396.17</v>
      </c>
      <c r="AV205" s="1">
        <v>7781.24</v>
      </c>
      <c r="BF205" s="51"/>
      <c r="BG205" s="1"/>
    </row>
    <row r="206" spans="1:59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0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0.14810766553311655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0.46023557053293151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0.45885322308291432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0.3619053269722674</v>
      </c>
      <c r="H206" s="1"/>
      <c r="I206" s="14">
        <f>(C200+D201+E202+F203+G204)/H205</f>
        <v>0.94173724153496874</v>
      </c>
      <c r="J206" s="53">
        <f>SQRT(SUM(P200:P204))/100</f>
        <v>5.3317632432293375E-3</v>
      </c>
      <c r="M206" s="1"/>
      <c r="N206" s="9"/>
      <c r="R206" t="s">
        <v>107</v>
      </c>
      <c r="S206" t="s">
        <v>28</v>
      </c>
      <c r="T206" s="57">
        <f>C582</f>
        <v>0.26582873681689434</v>
      </c>
      <c r="U206" s="57">
        <f t="shared" ref="U206:X209" si="44">D582</f>
        <v>2.3444857012321387</v>
      </c>
      <c r="V206" s="57">
        <f t="shared" si="44"/>
        <v>57.167921621520485</v>
      </c>
      <c r="W206" s="57">
        <f t="shared" si="44"/>
        <v>30.181581719357926</v>
      </c>
      <c r="X206" s="57">
        <f>G582</f>
        <v>10.040182221072563</v>
      </c>
      <c r="Y206" s="60"/>
      <c r="Z206" s="74"/>
      <c r="AA206" s="12"/>
      <c r="AD206" s="51"/>
      <c r="AE206" s="51"/>
      <c r="AJ206" t="s">
        <v>633</v>
      </c>
      <c r="AK206">
        <v>11</v>
      </c>
      <c r="AL206" s="1">
        <v>184.35</v>
      </c>
      <c r="AM206" s="1">
        <v>193.44</v>
      </c>
      <c r="AN206" s="1">
        <v>3462.68</v>
      </c>
      <c r="AO206" s="1">
        <v>12422.46</v>
      </c>
      <c r="AP206" s="1">
        <v>4962.25</v>
      </c>
      <c r="AR206" s="1">
        <v>193.98</v>
      </c>
      <c r="AS206" s="1">
        <v>1282.51</v>
      </c>
      <c r="AT206" s="1">
        <v>48175.65</v>
      </c>
      <c r="AU206" s="1">
        <v>25896.51</v>
      </c>
      <c r="AV206" s="1">
        <v>7414.52</v>
      </c>
      <c r="BF206" s="51"/>
      <c r="BG206" s="1"/>
    </row>
    <row r="207" spans="1:59" x14ac:dyDescent="0.3">
      <c r="B207" s="1" t="s">
        <v>30</v>
      </c>
      <c r="C207" s="17">
        <f>C200/C205*100</f>
        <v>100</v>
      </c>
      <c r="D207" s="17">
        <f>D201/D205*100</f>
        <v>56.924175376421637</v>
      </c>
      <c r="E207" s="17">
        <f>E202/E205*100</f>
        <v>98.722388235007216</v>
      </c>
      <c r="F207" s="17">
        <f>F203/F205*100</f>
        <v>93.416931742859134</v>
      </c>
      <c r="G207" s="17">
        <f>G204/G205*100</f>
        <v>80.057843332781815</v>
      </c>
      <c r="H207" s="1"/>
      <c r="S207" s="66" t="s">
        <v>39</v>
      </c>
      <c r="T207" s="67">
        <f>C583</f>
        <v>0</v>
      </c>
      <c r="U207" s="67">
        <f t="shared" si="44"/>
        <v>0.11812995917046236</v>
      </c>
      <c r="V207" s="67">
        <f t="shared" si="44"/>
        <v>0.4065996732824152</v>
      </c>
      <c r="W207" s="67">
        <f t="shared" si="44"/>
        <v>0.3971006158636608</v>
      </c>
      <c r="X207" s="67">
        <f t="shared" si="44"/>
        <v>0.37722971758150498</v>
      </c>
      <c r="AD207" s="51"/>
      <c r="AE207" s="51"/>
      <c r="AJ207" t="s">
        <v>633</v>
      </c>
      <c r="AK207">
        <v>12</v>
      </c>
      <c r="AL207" s="1">
        <v>180.73</v>
      </c>
      <c r="AM207" s="1">
        <v>164.83</v>
      </c>
      <c r="AN207" s="1">
        <v>3474.62</v>
      </c>
      <c r="AO207" s="1">
        <v>12503.77</v>
      </c>
      <c r="AP207" s="1">
        <v>4901.22</v>
      </c>
      <c r="AR207" s="1">
        <v>191.91</v>
      </c>
      <c r="AS207" s="1">
        <v>1297.3</v>
      </c>
      <c r="AT207" s="1">
        <v>48135.59</v>
      </c>
      <c r="AU207" s="1">
        <v>26067.33</v>
      </c>
      <c r="AV207" s="1">
        <v>7271.05</v>
      </c>
      <c r="BF207" s="51"/>
      <c r="BG207" s="1"/>
    </row>
    <row r="208" spans="1:59" x14ac:dyDescent="0.3">
      <c r="B208" s="16" t="s">
        <v>39</v>
      </c>
      <c r="C208" s="18">
        <f>SQRT((C211+C212)/(C205*C205))</f>
        <v>0</v>
      </c>
      <c r="D208" s="18">
        <f>SQRT((D211+D212)/(D205*D205))</f>
        <v>6.9988699592903227</v>
      </c>
      <c r="E208" s="18">
        <f>SQRT((E211+E212)/(E205*E205))</f>
        <v>0.32590502129006588</v>
      </c>
      <c r="F208" s="18">
        <f>SQRT((F211+F212)/(F205*F205))</f>
        <v>1.2388351242862816</v>
      </c>
      <c r="G208" s="18">
        <f>SQRT((G211+G212)/(G205*G205))</f>
        <v>3.5825528412424341</v>
      </c>
      <c r="H208" s="1"/>
      <c r="S208" t="s">
        <v>30</v>
      </c>
      <c r="T208" s="57">
        <f>C584</f>
        <v>100</v>
      </c>
      <c r="U208" s="57">
        <f t="shared" si="44"/>
        <v>65.225557723666697</v>
      </c>
      <c r="V208" s="57">
        <f t="shared" si="44"/>
        <v>98.727235771008893</v>
      </c>
      <c r="W208" s="57">
        <f t="shared" si="44"/>
        <v>95.554794943188412</v>
      </c>
      <c r="X208" s="57">
        <f t="shared" si="44"/>
        <v>78.748543518192633</v>
      </c>
      <c r="AD208" s="51"/>
      <c r="AE208" s="51"/>
      <c r="AJ208" t="s">
        <v>633</v>
      </c>
      <c r="AK208">
        <v>13</v>
      </c>
      <c r="AL208" s="1">
        <v>192.99</v>
      </c>
      <c r="AM208" s="1">
        <v>157.34</v>
      </c>
      <c r="AN208" s="1">
        <v>3462.54</v>
      </c>
      <c r="AO208" s="1">
        <v>12464.41</v>
      </c>
      <c r="AP208" s="1">
        <v>4947.8900000000003</v>
      </c>
      <c r="AR208" s="1">
        <v>203.8</v>
      </c>
      <c r="AS208" s="1">
        <v>1167.8499999999999</v>
      </c>
      <c r="AT208" s="1">
        <v>48162.52</v>
      </c>
      <c r="AU208" s="1">
        <v>25822.1</v>
      </c>
      <c r="AV208" s="1">
        <v>7606.92</v>
      </c>
      <c r="BF208" s="51"/>
      <c r="BG208" s="1"/>
    </row>
    <row r="209" spans="1:59" x14ac:dyDescent="0.3">
      <c r="B209" s="1" t="s">
        <v>37</v>
      </c>
      <c r="C209" s="18">
        <f>100-C207</f>
        <v>0</v>
      </c>
      <c r="D209" s="18">
        <f>100-D207</f>
        <v>43.075824623578363</v>
      </c>
      <c r="E209" s="18">
        <f>100-E207</f>
        <v>1.2776117649927841</v>
      </c>
      <c r="F209" s="18">
        <f>100-F207</f>
        <v>6.5830682571408659</v>
      </c>
      <c r="G209" s="18">
        <f>100-G207</f>
        <v>19.942156667218185</v>
      </c>
      <c r="S209" s="66" t="s">
        <v>39</v>
      </c>
      <c r="T209" s="67">
        <f>C585</f>
        <v>0</v>
      </c>
      <c r="U209" s="67">
        <f t="shared" si="44"/>
        <v>6.5623465176006004</v>
      </c>
      <c r="V209" s="67">
        <f t="shared" si="44"/>
        <v>0.32134141129819471</v>
      </c>
      <c r="W209" s="67">
        <f t="shared" si="44"/>
        <v>0.92930545669401587</v>
      </c>
      <c r="X209" s="67">
        <f t="shared" si="44"/>
        <v>3.5989975589925747</v>
      </c>
      <c r="AD209" s="51"/>
      <c r="AE209" s="51"/>
      <c r="AJ209" t="s">
        <v>633</v>
      </c>
      <c r="AK209">
        <v>14</v>
      </c>
      <c r="AL209" s="1">
        <v>185.91</v>
      </c>
      <c r="AM209" s="1">
        <v>166.03</v>
      </c>
      <c r="AN209" s="1">
        <v>3519.15</v>
      </c>
      <c r="AO209" s="1">
        <v>12494.65</v>
      </c>
      <c r="AP209" s="1">
        <v>4859.43</v>
      </c>
      <c r="AR209" s="1">
        <v>198.57</v>
      </c>
      <c r="AS209" s="1">
        <v>1205.43</v>
      </c>
      <c r="AT209" s="1">
        <v>48346.92</v>
      </c>
      <c r="AU209" s="1">
        <v>25907.09</v>
      </c>
      <c r="AV209" s="1">
        <v>7305.17</v>
      </c>
      <c r="BF209" s="51"/>
      <c r="BG209" s="1"/>
    </row>
    <row r="210" spans="1:59" ht="15.6" x14ac:dyDescent="0.35">
      <c r="B210" s="1" t="s">
        <v>25</v>
      </c>
      <c r="C210" s="1">
        <f>C194</f>
        <v>451</v>
      </c>
      <c r="D210" s="1">
        <f>D194</f>
        <v>159</v>
      </c>
      <c r="E210" s="1">
        <f>E194</f>
        <v>730</v>
      </c>
      <c r="F210" s="1">
        <f>F194</f>
        <v>621</v>
      </c>
      <c r="G210" s="1">
        <f>G194</f>
        <v>875</v>
      </c>
      <c r="S210" s="15" t="s">
        <v>31</v>
      </c>
      <c r="T210" s="71">
        <f>I577</f>
        <v>100</v>
      </c>
      <c r="U210" s="71">
        <f>I578</f>
        <v>96.491228070175424</v>
      </c>
      <c r="V210" s="71">
        <f>I579</f>
        <v>97.014925373134346</v>
      </c>
      <c r="W210" s="71">
        <f>I580</f>
        <v>93.986254295532646</v>
      </c>
      <c r="X210" s="71">
        <f>I581</f>
        <v>85.133795837462827</v>
      </c>
      <c r="AD210" s="51"/>
      <c r="AE210" s="51"/>
      <c r="AJ210" t="s">
        <v>633</v>
      </c>
      <c r="AK210">
        <v>15</v>
      </c>
      <c r="AL210" s="1">
        <v>183.89</v>
      </c>
      <c r="AM210" s="1">
        <v>182.11</v>
      </c>
      <c r="AN210" s="1">
        <v>3454.41</v>
      </c>
      <c r="AO210" s="1">
        <v>12246.15</v>
      </c>
      <c r="AP210" s="1">
        <v>5158.62</v>
      </c>
      <c r="AR210" s="1">
        <v>192.81</v>
      </c>
      <c r="AS210" s="1">
        <v>1242.44</v>
      </c>
      <c r="AT210" s="1">
        <v>48154.37</v>
      </c>
      <c r="AU210" s="1">
        <v>25550.76</v>
      </c>
      <c r="AV210" s="1">
        <v>7822.8</v>
      </c>
      <c r="BF210" s="51"/>
      <c r="BG210" s="1"/>
    </row>
    <row r="211" spans="1:59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261.82609783691913</v>
      </c>
      <c r="E211" s="18">
        <f>(O202*O202*(100-E207)*(100-E207)*(I202)*(100-I202))/((L202-1)*100)</f>
        <v>29.41467825830415</v>
      </c>
      <c r="F211" s="18">
        <f>(O203*O203*(100-F207)*(100-F207)*(I203)*(100-I203))/((L203-1)*100)</f>
        <v>391.64515992618465</v>
      </c>
      <c r="G211" s="18">
        <f>(O204*O204*(100-G207)*(100-G207)*(I204)*(100-I204))/((L204-1)*100)</f>
        <v>488.70913431558375</v>
      </c>
      <c r="S211" s="75" t="s">
        <v>39</v>
      </c>
      <c r="T211" s="76">
        <f>J577</f>
        <v>0</v>
      </c>
      <c r="U211" s="76">
        <f>J578</f>
        <v>2.4588241692166193</v>
      </c>
      <c r="V211" s="76">
        <f>J579</f>
        <v>0.62727498147894711</v>
      </c>
      <c r="W211" s="76">
        <f>J580</f>
        <v>0.98631726317118351</v>
      </c>
      <c r="X211" s="76">
        <f>J581</f>
        <v>1.1205230098160688</v>
      </c>
      <c r="AD211" s="51"/>
      <c r="AE211" s="51"/>
      <c r="AJ211" t="s">
        <v>633</v>
      </c>
      <c r="AK211">
        <v>16</v>
      </c>
      <c r="AL211" s="1">
        <v>198.21</v>
      </c>
      <c r="AM211" s="1">
        <v>200.15</v>
      </c>
      <c r="AN211" s="1">
        <v>3544.05</v>
      </c>
      <c r="AO211" s="1">
        <v>12298.16</v>
      </c>
      <c r="AP211" s="1">
        <v>4984.6000000000004</v>
      </c>
      <c r="AR211" s="1">
        <v>211.54</v>
      </c>
      <c r="AS211" s="1">
        <v>1305.0899999999999</v>
      </c>
      <c r="AT211" s="1">
        <v>48393.62</v>
      </c>
      <c r="AU211" s="1">
        <v>25650.7</v>
      </c>
      <c r="AV211" s="1">
        <v>7402.24</v>
      </c>
      <c r="BF211" s="51"/>
      <c r="BG211" s="1"/>
    </row>
    <row r="212" spans="1:59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66.668934537850078</v>
      </c>
      <c r="E212" s="18">
        <f>E207*E207*(SUM((H200*E200*(1-E189/H189))/(H189-1),(H201*E201*(1-E190/H190))/(H190-1), (H203*E203*(1-E192/H192))/(H192-1),(H204*E204*(1-E193/H193))/(H193-1)))</f>
        <v>311.22330162166423</v>
      </c>
      <c r="F212" s="18">
        <f>F207*F207*(SUM((H200*F200*(1-F189/H189))/(H189-1),(H201*F201*(1-F190/H190))/(H190-1), (H202*F202*(1-F191/H191))/(H191-1),(H204*F204*(1-F193/H193))/(H193-1)))</f>
        <v>1051.4909199451206</v>
      </c>
      <c r="G212" s="18">
        <f>G207*G207*(SUM((H200*G200*(1-G189/H189))/(H189-1),(H201*G201*(1-G190/H190))/(H190-1), (H202*G202*(1-G191/H191))/(H191-1),(H203*G203*(1-G192/H192))/(H192-1)))</f>
        <v>761.95241443106397</v>
      </c>
      <c r="S212" s="66" t="s">
        <v>51</v>
      </c>
      <c r="T212" s="67">
        <f>N566*100</f>
        <v>100</v>
      </c>
      <c r="U212" s="67">
        <f>N567*100</f>
        <v>56.994818652849744</v>
      </c>
      <c r="V212" s="67">
        <f>N568*100</f>
        <v>96.949152542372886</v>
      </c>
      <c r="W212" s="67">
        <f>N569*100</f>
        <v>91.242702251876565</v>
      </c>
      <c r="X212" s="67">
        <f>N570*100</f>
        <v>90.27850761954808</v>
      </c>
      <c r="AD212" s="51"/>
      <c r="AE212" s="51"/>
      <c r="AJ212" t="s">
        <v>633</v>
      </c>
      <c r="AK212">
        <v>17</v>
      </c>
      <c r="AL212" s="1">
        <v>201.69</v>
      </c>
      <c r="AM212" s="1">
        <v>153.38</v>
      </c>
      <c r="AN212" s="1">
        <v>3469.98</v>
      </c>
      <c r="AO212" s="1">
        <v>12508.1</v>
      </c>
      <c r="AP212" s="1">
        <v>4892.04</v>
      </c>
      <c r="AR212" s="1">
        <v>216.4</v>
      </c>
      <c r="AS212" s="1">
        <v>1388.52</v>
      </c>
      <c r="AT212" s="1">
        <v>48006.03</v>
      </c>
      <c r="AU212" s="1">
        <v>26119.54</v>
      </c>
      <c r="AV212" s="1">
        <v>7232.7</v>
      </c>
      <c r="BF212" s="51"/>
      <c r="BG212" s="1"/>
    </row>
    <row r="213" spans="1:59" x14ac:dyDescent="0.3">
      <c r="R213" s="16" t="s">
        <v>61</v>
      </c>
      <c r="S213" t="s">
        <v>9</v>
      </c>
      <c r="T213" s="1">
        <f>N577</f>
        <v>220.54</v>
      </c>
      <c r="U213" s="1">
        <f>N578</f>
        <v>1314.81</v>
      </c>
      <c r="V213" s="1">
        <f>N579</f>
        <v>48265.440000000002</v>
      </c>
      <c r="W213" s="1">
        <f>N580</f>
        <v>25457.49</v>
      </c>
      <c r="X213" s="1">
        <f>N581</f>
        <v>7704.91</v>
      </c>
      <c r="Z213" t="s">
        <v>36</v>
      </c>
      <c r="AA213" s="1">
        <f>N582</f>
        <v>82963.19</v>
      </c>
      <c r="AD213" s="51"/>
      <c r="AE213" s="51"/>
      <c r="AJ213" t="s">
        <v>633</v>
      </c>
      <c r="AK213">
        <v>18</v>
      </c>
      <c r="AL213" s="1">
        <v>184.49</v>
      </c>
      <c r="AM213" s="1">
        <v>137.44999999999999</v>
      </c>
      <c r="AN213" s="1">
        <v>3515.38</v>
      </c>
      <c r="AO213" s="1">
        <v>12372.35</v>
      </c>
      <c r="AP213" s="1">
        <v>5015.51</v>
      </c>
      <c r="AR213" s="1">
        <v>196.23</v>
      </c>
      <c r="AS213" s="1">
        <v>1320.95</v>
      </c>
      <c r="AT213" s="1">
        <v>48170.66</v>
      </c>
      <c r="AU213" s="1">
        <v>25739.35</v>
      </c>
      <c r="AV213" s="1">
        <v>7535.99</v>
      </c>
      <c r="BF213" s="51"/>
      <c r="BG213" s="1"/>
    </row>
    <row r="214" spans="1:59" ht="15.6" x14ac:dyDescent="0.35">
      <c r="R214" s="16" t="s">
        <v>318</v>
      </c>
      <c r="S214" t="s">
        <v>63</v>
      </c>
      <c r="T214" s="57">
        <f>$AA213*T206/100</f>
        <v>220.54</v>
      </c>
      <c r="U214" s="57">
        <f>$AA213*U206/100</f>
        <v>1945.0601268360517</v>
      </c>
      <c r="V214" s="57">
        <f>$AA213*V206/100</f>
        <v>47428.331433913118</v>
      </c>
      <c r="W214" s="57">
        <f>$AA213*W206/100</f>
        <v>25039.60298683618</v>
      </c>
      <c r="X214" s="57">
        <f>$AA213*X206/100</f>
        <v>8329.6554524146504</v>
      </c>
      <c r="Z214" t="s">
        <v>36</v>
      </c>
      <c r="AA214" s="25">
        <f>SUM(T214:X214)</f>
        <v>82963.19</v>
      </c>
      <c r="AD214" s="51"/>
      <c r="AE214" s="51"/>
      <c r="AJ214" t="s">
        <v>633</v>
      </c>
      <c r="AK214">
        <v>19</v>
      </c>
      <c r="AL214" s="1">
        <v>204.64</v>
      </c>
      <c r="AM214" s="1">
        <v>160.27000000000001</v>
      </c>
      <c r="AN214" s="1">
        <v>3487.31</v>
      </c>
      <c r="AO214" s="1">
        <v>12293.39</v>
      </c>
      <c r="AP214" s="1">
        <v>5079.57</v>
      </c>
      <c r="AR214" s="1">
        <v>220.54</v>
      </c>
      <c r="AS214" s="1">
        <v>1314.81</v>
      </c>
      <c r="AT214" s="1">
        <v>48265.440000000002</v>
      </c>
      <c r="AU214" s="1">
        <v>25457.49</v>
      </c>
      <c r="AV214" s="1">
        <v>7704.91</v>
      </c>
      <c r="BF214" s="51"/>
      <c r="BG214" s="1"/>
    </row>
    <row r="215" spans="1:59" x14ac:dyDescent="0.3">
      <c r="A215" s="348" t="s">
        <v>371</v>
      </c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 t="s">
        <v>80</v>
      </c>
      <c r="M215" s="348"/>
      <c r="N215" s="348"/>
      <c r="O215" s="348"/>
      <c r="P215" s="348"/>
      <c r="R215" s="66"/>
      <c r="S215" s="66" t="s">
        <v>62</v>
      </c>
      <c r="T215" s="67">
        <f>$AA213*T207/100</f>
        <v>0</v>
      </c>
      <c r="U215" s="67">
        <f>$AA213*U207/100</f>
        <v>98.004382473513104</v>
      </c>
      <c r="V215" s="67">
        <f>$AA213*V207/100</f>
        <v>337.32805948466938</v>
      </c>
      <c r="W215" s="67">
        <f>$AA213*W207/100</f>
        <v>329.44733843013904</v>
      </c>
      <c r="X215" s="67">
        <f>$AA213*X207/100</f>
        <v>312.9618073336074</v>
      </c>
      <c r="AA215" s="1"/>
      <c r="AD215" s="51"/>
      <c r="AE215" s="51"/>
      <c r="AL215" s="1"/>
      <c r="AM215" s="1"/>
      <c r="AN215" s="1"/>
      <c r="AO215" s="1"/>
      <c r="AP215" s="1"/>
      <c r="AQ215" t="s">
        <v>644</v>
      </c>
      <c r="BF215" s="51"/>
      <c r="BG215" s="1"/>
    </row>
    <row r="216" spans="1:59" x14ac:dyDescent="0.3">
      <c r="A216" t="s">
        <v>315</v>
      </c>
      <c r="B216" t="s">
        <v>21</v>
      </c>
      <c r="I216" s="1" t="s">
        <v>53</v>
      </c>
      <c r="O216" s="350" t="s">
        <v>377</v>
      </c>
      <c r="P216" s="350"/>
      <c r="AJ216" t="s">
        <v>644</v>
      </c>
      <c r="AK216">
        <v>0</v>
      </c>
      <c r="AL216" s="1">
        <v>0.42</v>
      </c>
      <c r="AM216" s="1">
        <v>31.05</v>
      </c>
      <c r="AN216" s="1">
        <v>1028.8900000000001</v>
      </c>
      <c r="AO216" s="1">
        <v>66.430000000000007</v>
      </c>
      <c r="AP216" s="1">
        <v>24.81</v>
      </c>
      <c r="AR216" s="1">
        <v>0.63</v>
      </c>
      <c r="AS216" s="1">
        <v>532.55999999999995</v>
      </c>
      <c r="AT216" s="1">
        <v>3948.65</v>
      </c>
      <c r="AU216" s="1">
        <v>357.23</v>
      </c>
      <c r="AV216" s="1">
        <v>82.35</v>
      </c>
      <c r="BF216" s="51"/>
      <c r="BG216" s="1"/>
    </row>
    <row r="217" spans="1:59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51</v>
      </c>
      <c r="O217" s="13" t="s">
        <v>644</v>
      </c>
      <c r="P217" s="13" t="s">
        <v>633</v>
      </c>
      <c r="AJ217" t="s">
        <v>644</v>
      </c>
      <c r="AK217">
        <v>1</v>
      </c>
      <c r="AL217" s="1">
        <v>0.83</v>
      </c>
      <c r="AM217" s="1">
        <v>30.37</v>
      </c>
      <c r="AN217" s="1">
        <v>1027.48</v>
      </c>
      <c r="AO217" s="1">
        <v>65.09</v>
      </c>
      <c r="AP217" s="1">
        <v>27.82</v>
      </c>
      <c r="AR217" s="1">
        <v>1.44</v>
      </c>
      <c r="AS217" s="1">
        <v>516.99</v>
      </c>
      <c r="AT217" s="1">
        <v>3956.12</v>
      </c>
      <c r="AU217" s="1">
        <v>354.98</v>
      </c>
      <c r="AV217" s="1">
        <v>91.89</v>
      </c>
      <c r="BF217" s="51"/>
      <c r="BG217" s="1"/>
    </row>
    <row r="218" spans="1:59" x14ac:dyDescent="0.3">
      <c r="A218" t="s">
        <v>3</v>
      </c>
      <c r="B218" s="13">
        <v>0</v>
      </c>
      <c r="C218" s="26">
        <v>451</v>
      </c>
      <c r="D218" s="3">
        <v>0</v>
      </c>
      <c r="E218" s="3">
        <v>0</v>
      </c>
      <c r="F218" s="3">
        <v>0</v>
      </c>
      <c r="G218" s="4">
        <v>0</v>
      </c>
      <c r="H218" s="1">
        <f>SUM(C218:G218)</f>
        <v>451</v>
      </c>
      <c r="I218" s="10">
        <f>C218/H218</f>
        <v>1</v>
      </c>
      <c r="J218" s="11">
        <f>1-I218</f>
        <v>0</v>
      </c>
      <c r="K218">
        <f>H218-C223</f>
        <v>0</v>
      </c>
      <c r="N218" s="10">
        <f>2*(C224*I218)/(C224+I218)</f>
        <v>1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644</v>
      </c>
      <c r="AK218">
        <v>2</v>
      </c>
      <c r="AL218" s="1">
        <v>0.83</v>
      </c>
      <c r="AM218" s="1">
        <v>28.63</v>
      </c>
      <c r="AN218" s="1">
        <v>1030.17</v>
      </c>
      <c r="AO218" s="1">
        <v>64.84</v>
      </c>
      <c r="AP218" s="1">
        <v>27.11</v>
      </c>
      <c r="AR218" s="1">
        <v>1.53</v>
      </c>
      <c r="AS218" s="1">
        <v>516.09</v>
      </c>
      <c r="AT218" s="1">
        <v>3955.85</v>
      </c>
      <c r="AU218" s="1">
        <v>353.99</v>
      </c>
      <c r="AV218" s="1">
        <v>93.97</v>
      </c>
      <c r="BF218" s="51"/>
      <c r="BG218" s="1"/>
    </row>
    <row r="219" spans="1:59" x14ac:dyDescent="0.3">
      <c r="A219" t="s">
        <v>4</v>
      </c>
      <c r="B219" s="13">
        <v>1</v>
      </c>
      <c r="C219" s="5">
        <v>0</v>
      </c>
      <c r="D219" s="27">
        <v>55</v>
      </c>
      <c r="E219" s="1">
        <v>2</v>
      </c>
      <c r="F219" s="1">
        <v>0</v>
      </c>
      <c r="G219" s="6">
        <v>0</v>
      </c>
      <c r="H219" s="1">
        <f>SUM(C219:G219)</f>
        <v>57</v>
      </c>
      <c r="I219" s="10">
        <f>D219/H219</f>
        <v>0.96491228070175439</v>
      </c>
      <c r="J219" s="11">
        <f>1-I219</f>
        <v>3.5087719298245612E-2</v>
      </c>
      <c r="K219">
        <f>H219-D223</f>
        <v>-36</v>
      </c>
      <c r="N219" s="10">
        <f>2*(D224*I219)/(D224+I219)</f>
        <v>0.73333333333333339</v>
      </c>
      <c r="O219" s="1"/>
      <c r="P219" s="1"/>
      <c r="R219" t="s">
        <v>348</v>
      </c>
      <c r="S219" t="s">
        <v>28</v>
      </c>
      <c r="T219" s="57">
        <f>AVERAGE(T16,T26,T36,T46,T56,T66,T76,T86,T96,T106,T116,T126,T136,T146,T156,T166,T176,T186,T196,T206)</f>
        <v>0.24461452188308502</v>
      </c>
      <c r="U219" s="57">
        <f>AVERAGE(U16,U26,U36,U46,U56,U66,U76,U86,U96,U106,U116,U126,U136,U146,U156,U166,U176,U186,U196,U206)</f>
        <v>2.2975394690227771</v>
      </c>
      <c r="V219" s="57">
        <f>AVERAGE(V16,V26,V36,V46,V56,V66,V76,V86,V96,V106,V116,V126,V136,V146,V156,V166,V176,V186,V196,V206)</f>
        <v>56.969496864588507</v>
      </c>
      <c r="W219" s="57">
        <f>AVERAGE(W16,W26,W36,W46,W56,W66,W76,W86,W96,W106,W116,W126,W136,W146,W156,W166,W176,W186,W196,W206)</f>
        <v>30.703333395964542</v>
      </c>
      <c r="X219" s="57">
        <f>AVERAGE(X16,X26,X36,X46,X56,X66,X76,X86,X96,X106,X116,X126,X136,X146,X156,X166,X176,X186,X196,X206)</f>
        <v>9.7850157485410811</v>
      </c>
      <c r="AJ219" t="s">
        <v>644</v>
      </c>
      <c r="AK219">
        <v>3</v>
      </c>
      <c r="AL219" s="1">
        <v>0.65</v>
      </c>
      <c r="AM219" s="1">
        <v>33.19</v>
      </c>
      <c r="AN219" s="1">
        <v>1021.36</v>
      </c>
      <c r="AO219" s="1">
        <v>70.58</v>
      </c>
      <c r="AP219" s="1">
        <v>25.82</v>
      </c>
      <c r="AR219" s="1">
        <v>0.99</v>
      </c>
      <c r="AS219" s="1">
        <v>555.51</v>
      </c>
      <c r="AT219" s="1">
        <v>3911.93</v>
      </c>
      <c r="AU219" s="1">
        <v>371.72</v>
      </c>
      <c r="AV219" s="1">
        <v>81.27</v>
      </c>
      <c r="BF219" s="51"/>
      <c r="BG219" s="1"/>
    </row>
    <row r="220" spans="1:59" x14ac:dyDescent="0.3">
      <c r="A220" t="s">
        <v>5</v>
      </c>
      <c r="B220" s="13">
        <v>2</v>
      </c>
      <c r="C220" s="5">
        <v>0</v>
      </c>
      <c r="D220" s="1">
        <v>0</v>
      </c>
      <c r="E220" s="27">
        <v>708</v>
      </c>
      <c r="F220" s="1">
        <v>20</v>
      </c>
      <c r="G220" s="6">
        <v>9</v>
      </c>
      <c r="H220" s="1">
        <f>SUM(C220:G220)</f>
        <v>737</v>
      </c>
      <c r="I220" s="10">
        <f>E220/H220</f>
        <v>0.96065128900949792</v>
      </c>
      <c r="J220" s="11">
        <f>1-I220</f>
        <v>3.9348710990502078E-2</v>
      </c>
      <c r="K220">
        <f>H220-E223</f>
        <v>-23</v>
      </c>
      <c r="N220" s="10">
        <f>2*(E224*I220)/(E224+I220)</f>
        <v>0.94589178356713421</v>
      </c>
      <c r="O220" s="1"/>
      <c r="P220" s="1"/>
      <c r="S220" s="66" t="s">
        <v>39</v>
      </c>
      <c r="T220" s="67">
        <f t="shared" ref="T220:X228" si="45">AVERAGE(T17,T27,T37,T47,T57,T67,T77,T87,T97,T107,T117,T127,T137,T147,T157,T167,T177,T187,T197,T207)</f>
        <v>0</v>
      </c>
      <c r="U220" s="67">
        <f t="shared" si="45"/>
        <v>0.10486281018051544</v>
      </c>
      <c r="V220" s="67">
        <f t="shared" si="45"/>
        <v>0.41273716010820005</v>
      </c>
      <c r="W220" s="67">
        <f t="shared" si="45"/>
        <v>0.42520833754127629</v>
      </c>
      <c r="X220" s="67">
        <f t="shared" si="45"/>
        <v>0.36785460750151405</v>
      </c>
      <c r="AC220" t="s">
        <v>118</v>
      </c>
      <c r="AD220" t="s">
        <v>157</v>
      </c>
      <c r="AE220" t="s">
        <v>119</v>
      </c>
      <c r="AJ220" t="s">
        <v>644</v>
      </c>
      <c r="AK220">
        <v>4</v>
      </c>
      <c r="AL220" s="1">
        <v>0.18</v>
      </c>
      <c r="AM220" s="1">
        <v>30.79</v>
      </c>
      <c r="AN220" s="1">
        <v>1024.24</v>
      </c>
      <c r="AO220" s="1">
        <v>69.150000000000006</v>
      </c>
      <c r="AP220" s="1">
        <v>27.23</v>
      </c>
      <c r="AR220" s="1">
        <v>0.18</v>
      </c>
      <c r="AS220" s="1">
        <v>520.5</v>
      </c>
      <c r="AT220" s="1">
        <v>3942.17</v>
      </c>
      <c r="AU220" s="1">
        <v>361.73</v>
      </c>
      <c r="AV220" s="1">
        <v>96.85</v>
      </c>
      <c r="BF220" s="51"/>
      <c r="BG220" s="1"/>
    </row>
    <row r="221" spans="1:59" x14ac:dyDescent="0.3">
      <c r="A221" t="s">
        <v>6</v>
      </c>
      <c r="B221" s="13">
        <v>3</v>
      </c>
      <c r="C221" s="5">
        <v>0</v>
      </c>
      <c r="D221" s="1">
        <v>0</v>
      </c>
      <c r="E221" s="1">
        <v>10</v>
      </c>
      <c r="F221" s="27">
        <v>548</v>
      </c>
      <c r="G221" s="6">
        <v>24</v>
      </c>
      <c r="H221" s="1">
        <f>SUM(C221:G221)</f>
        <v>582</v>
      </c>
      <c r="I221" s="10">
        <f>F221/H221</f>
        <v>0.94158075601374569</v>
      </c>
      <c r="J221" s="11">
        <f>1-I221</f>
        <v>5.841924398625431E-2</v>
      </c>
      <c r="K221">
        <f>H221-F223</f>
        <v>-62</v>
      </c>
      <c r="N221" s="10">
        <f>2*(F224*I221)/(F224+I221)</f>
        <v>0.89396411092985328</v>
      </c>
      <c r="O221" s="1"/>
      <c r="P221" s="1"/>
      <c r="S221" t="s">
        <v>30</v>
      </c>
      <c r="T221" s="57">
        <f t="shared" si="45"/>
        <v>100</v>
      </c>
      <c r="U221" s="57">
        <f t="shared" si="45"/>
        <v>65.933028486085178</v>
      </c>
      <c r="V221" s="57">
        <f t="shared" si="45"/>
        <v>98.797538054426525</v>
      </c>
      <c r="W221" s="57">
        <f t="shared" si="45"/>
        <v>94.544872135796965</v>
      </c>
      <c r="X221" s="57">
        <f t="shared" si="45"/>
        <v>78.919342281323154</v>
      </c>
      <c r="AB221">
        <v>0</v>
      </c>
      <c r="AC221">
        <v>31</v>
      </c>
      <c r="AD221">
        <v>26</v>
      </c>
      <c r="AE221">
        <v>15</v>
      </c>
      <c r="AJ221" t="s">
        <v>644</v>
      </c>
      <c r="AK221">
        <v>5</v>
      </c>
      <c r="AL221" s="1">
        <v>0.83</v>
      </c>
      <c r="AM221" s="1">
        <v>31.93</v>
      </c>
      <c r="AN221" s="1">
        <v>1027.03</v>
      </c>
      <c r="AO221" s="1">
        <v>65.91</v>
      </c>
      <c r="AP221" s="1">
        <v>25.88</v>
      </c>
      <c r="AR221" s="1">
        <v>1.44</v>
      </c>
      <c r="AS221" s="1">
        <v>499.26</v>
      </c>
      <c r="AT221" s="1">
        <v>3970.43</v>
      </c>
      <c r="AU221" s="1">
        <v>369.47</v>
      </c>
      <c r="AV221" s="1">
        <v>80.819999999999993</v>
      </c>
      <c r="BF221" s="51"/>
      <c r="BG221" s="1"/>
    </row>
    <row r="222" spans="1:59" x14ac:dyDescent="0.3">
      <c r="A222" t="s">
        <v>7</v>
      </c>
      <c r="B222" s="13">
        <v>4</v>
      </c>
      <c r="C222" s="7">
        <v>0</v>
      </c>
      <c r="D222" s="8">
        <v>38</v>
      </c>
      <c r="E222" s="8">
        <v>40</v>
      </c>
      <c r="F222" s="8">
        <v>76</v>
      </c>
      <c r="G222" s="28">
        <v>855</v>
      </c>
      <c r="H222" s="1">
        <f>SUM(C222:G222)</f>
        <v>1009</v>
      </c>
      <c r="I222" s="10">
        <f>G222/H222</f>
        <v>0.84737363726461845</v>
      </c>
      <c r="J222" s="11">
        <f>1-I222</f>
        <v>0.15262636273538155</v>
      </c>
      <c r="K222">
        <f>H222-G223</f>
        <v>121</v>
      </c>
      <c r="N222" s="10">
        <f>2*(G224*I222)/(G224+I222)</f>
        <v>0.90142329994728521</v>
      </c>
      <c r="O222" s="1"/>
      <c r="P222" s="1"/>
      <c r="S222" s="66" t="s">
        <v>39</v>
      </c>
      <c r="T222" s="67">
        <f t="shared" si="45"/>
        <v>0</v>
      </c>
      <c r="U222" s="67">
        <f t="shared" si="45"/>
        <v>5.809401377037811</v>
      </c>
      <c r="V222" s="67">
        <f t="shared" si="45"/>
        <v>0.30339607399846896</v>
      </c>
      <c r="W222" s="67">
        <f t="shared" si="45"/>
        <v>1.0625989937802225</v>
      </c>
      <c r="X222" s="67">
        <f t="shared" si="45"/>
        <v>3.6489383156822726</v>
      </c>
      <c r="AB222">
        <v>1</v>
      </c>
      <c r="AC222">
        <v>60</v>
      </c>
      <c r="AD222">
        <v>55</v>
      </c>
      <c r="AE222">
        <v>44</v>
      </c>
      <c r="AJ222" t="s">
        <v>644</v>
      </c>
      <c r="AK222">
        <v>6</v>
      </c>
      <c r="AL222" s="1">
        <v>0.79</v>
      </c>
      <c r="AM222" s="1">
        <v>30.85</v>
      </c>
      <c r="AN222" s="1">
        <v>1027.98</v>
      </c>
      <c r="AO222" s="1">
        <v>64.13</v>
      </c>
      <c r="AP222" s="1">
        <v>27.84</v>
      </c>
      <c r="AR222" s="1">
        <v>1.35</v>
      </c>
      <c r="AS222" s="1">
        <v>516.17999999999995</v>
      </c>
      <c r="AT222" s="1">
        <v>3949.01</v>
      </c>
      <c r="AU222" s="1">
        <v>360.65</v>
      </c>
      <c r="AV222" s="1">
        <v>94.24</v>
      </c>
      <c r="BF222" s="51"/>
      <c r="BG222" s="1"/>
    </row>
    <row r="223" spans="1:59" ht="15.6" x14ac:dyDescent="0.35">
      <c r="B223" s="1" t="s">
        <v>19</v>
      </c>
      <c r="C223" s="1">
        <f>SUM(C218:C222)</f>
        <v>451</v>
      </c>
      <c r="D223" s="1">
        <f>SUM(D218:D222)</f>
        <v>93</v>
      </c>
      <c r="E223" s="1">
        <f>SUM(E218:E222)</f>
        <v>760</v>
      </c>
      <c r="F223" s="1">
        <f>SUM(F218:F222)</f>
        <v>644</v>
      </c>
      <c r="G223" s="1">
        <f>SUM(G218:G222)</f>
        <v>888</v>
      </c>
      <c r="H223" s="1">
        <f>SUM(H217:H222)</f>
        <v>2836</v>
      </c>
      <c r="I223" s="13" t="s">
        <v>12</v>
      </c>
      <c r="N223" s="16" t="s">
        <v>36</v>
      </c>
      <c r="O223" s="1">
        <f>SUM(O218:O222)</f>
        <v>0</v>
      </c>
      <c r="P223" s="1">
        <f>SUM(P218:P222)</f>
        <v>0</v>
      </c>
      <c r="S223" s="15" t="s">
        <v>31</v>
      </c>
      <c r="T223" s="71">
        <f t="shared" si="45"/>
        <v>100</v>
      </c>
      <c r="U223" s="71">
        <f t="shared" si="45"/>
        <v>97.017543859649123</v>
      </c>
      <c r="V223" s="71">
        <f t="shared" si="45"/>
        <v>96.791044776119378</v>
      </c>
      <c r="W223" s="71">
        <f t="shared" si="45"/>
        <v>94.003436426116849</v>
      </c>
      <c r="X223" s="71">
        <f t="shared" si="45"/>
        <v>83.994053518334994</v>
      </c>
      <c r="AB223">
        <v>2</v>
      </c>
      <c r="AC223">
        <v>89</v>
      </c>
      <c r="AD223">
        <v>84</v>
      </c>
      <c r="AE223">
        <v>73</v>
      </c>
      <c r="AJ223" t="s">
        <v>644</v>
      </c>
      <c r="AK223">
        <v>7</v>
      </c>
      <c r="AL223" s="1">
        <v>0.65</v>
      </c>
      <c r="AM223" s="1">
        <v>30.57</v>
      </c>
      <c r="AN223" s="1">
        <v>1029.75</v>
      </c>
      <c r="AO223" s="1">
        <v>67.64</v>
      </c>
      <c r="AP223" s="1">
        <v>22.99</v>
      </c>
      <c r="AR223" s="1">
        <v>0.99</v>
      </c>
      <c r="AS223" s="1">
        <v>519.6</v>
      </c>
      <c r="AT223" s="1">
        <v>3957.11</v>
      </c>
      <c r="AU223" s="1">
        <v>365.96</v>
      </c>
      <c r="AV223" s="1">
        <v>77.760000000000005</v>
      </c>
      <c r="BF223" s="51"/>
      <c r="BG223" s="1"/>
    </row>
    <row r="224" spans="1:59" x14ac:dyDescent="0.3">
      <c r="A224" s="1" t="s">
        <v>316</v>
      </c>
      <c r="B224" s="1" t="s">
        <v>2</v>
      </c>
      <c r="C224" s="10">
        <f>C218/C223</f>
        <v>1</v>
      </c>
      <c r="D224" s="10">
        <f>D219/D223</f>
        <v>0.59139784946236562</v>
      </c>
      <c r="E224" s="10">
        <f>E220/E223</f>
        <v>0.93157894736842106</v>
      </c>
      <c r="F224" s="10">
        <f>F221/F223</f>
        <v>0.85093167701863359</v>
      </c>
      <c r="G224" s="10">
        <f>G222/G223</f>
        <v>0.96283783783783783</v>
      </c>
      <c r="H224" s="10"/>
      <c r="I224" s="14">
        <f>(C218+D219+E220+F221+G222)/H223</f>
        <v>0.9227785613540197</v>
      </c>
      <c r="S224" s="75" t="s">
        <v>39</v>
      </c>
      <c r="T224" s="76">
        <f t="shared" si="45"/>
        <v>0</v>
      </c>
      <c r="U224" s="76">
        <f t="shared" si="45"/>
        <v>2.186028703722513</v>
      </c>
      <c r="V224" s="76">
        <f t="shared" si="45"/>
        <v>0.64748631447258398</v>
      </c>
      <c r="W224" s="76">
        <f t="shared" si="45"/>
        <v>0.98360688997877888</v>
      </c>
      <c r="X224" s="76">
        <f t="shared" si="45"/>
        <v>1.1532614594088133</v>
      </c>
      <c r="AB224">
        <v>3</v>
      </c>
      <c r="AC224">
        <v>118</v>
      </c>
      <c r="AD224">
        <v>113</v>
      </c>
      <c r="AE224">
        <v>102</v>
      </c>
      <c r="AJ224" t="s">
        <v>644</v>
      </c>
      <c r="AK224">
        <v>8</v>
      </c>
      <c r="AL224" s="1">
        <v>0.6</v>
      </c>
      <c r="AM224" s="1">
        <v>30.99</v>
      </c>
      <c r="AN224" s="1">
        <v>1030.23</v>
      </c>
      <c r="AO224" s="1">
        <v>63.41</v>
      </c>
      <c r="AP224" s="1">
        <v>26.35</v>
      </c>
      <c r="AR224" s="1">
        <v>0.9</v>
      </c>
      <c r="AS224" s="1">
        <v>509.88</v>
      </c>
      <c r="AT224" s="1">
        <v>3969.8</v>
      </c>
      <c r="AU224" s="1">
        <v>351.65</v>
      </c>
      <c r="AV224" s="1">
        <v>89.19</v>
      </c>
      <c r="BF224" s="51"/>
      <c r="BG224" s="1"/>
    </row>
    <row r="225" spans="1:59" x14ac:dyDescent="0.3">
      <c r="B225" s="1" t="s">
        <v>14</v>
      </c>
      <c r="C225" s="11">
        <f>1-C224</f>
        <v>0</v>
      </c>
      <c r="D225" s="11">
        <f>1-D224</f>
        <v>0.40860215053763438</v>
      </c>
      <c r="E225" s="11">
        <f>1-E224</f>
        <v>6.8421052631578938E-2</v>
      </c>
      <c r="F225" s="11">
        <f>1-F224</f>
        <v>0.14906832298136641</v>
      </c>
      <c r="G225" s="11">
        <f>1-G224</f>
        <v>3.7162162162162171E-2</v>
      </c>
      <c r="S225" s="66" t="s">
        <v>51</v>
      </c>
      <c r="T225" s="67">
        <f t="shared" si="45"/>
        <v>100</v>
      </c>
      <c r="U225" s="67">
        <f t="shared" si="45"/>
        <v>57.688790621785202</v>
      </c>
      <c r="V225" s="67">
        <f t="shared" si="45"/>
        <v>96.629780136248428</v>
      </c>
      <c r="W225" s="67">
        <f t="shared" si="45"/>
        <v>90.603850530694473</v>
      </c>
      <c r="X225" s="67">
        <f t="shared" si="45"/>
        <v>89.626821205106268</v>
      </c>
      <c r="AB225">
        <v>4</v>
      </c>
      <c r="AC225">
        <v>147</v>
      </c>
      <c r="AD225">
        <v>142</v>
      </c>
      <c r="AE225">
        <v>131</v>
      </c>
      <c r="AJ225" t="s">
        <v>644</v>
      </c>
      <c r="AK225">
        <v>9</v>
      </c>
      <c r="AL225" s="1">
        <v>0.42</v>
      </c>
      <c r="AM225" s="1">
        <v>32.090000000000003</v>
      </c>
      <c r="AN225" s="1">
        <v>1026.22</v>
      </c>
      <c r="AO225" s="1">
        <v>66.180000000000007</v>
      </c>
      <c r="AP225" s="1">
        <v>26.68</v>
      </c>
      <c r="AR225" s="1">
        <v>0.63</v>
      </c>
      <c r="AS225" s="1">
        <v>546.6</v>
      </c>
      <c r="AT225" s="1">
        <v>3927.86</v>
      </c>
      <c r="AU225" s="1">
        <v>345.89</v>
      </c>
      <c r="AV225" s="1">
        <v>100.45</v>
      </c>
      <c r="BF225" s="51"/>
      <c r="BG225" s="1"/>
    </row>
    <row r="226" spans="1:59" x14ac:dyDescent="0.3">
      <c r="C226" s="2"/>
      <c r="R226" s="16" t="s">
        <v>61</v>
      </c>
      <c r="S226" t="s">
        <v>9</v>
      </c>
      <c r="T226" s="1">
        <f t="shared" si="45"/>
        <v>202.94</v>
      </c>
      <c r="U226" s="1">
        <f t="shared" si="45"/>
        <v>1281.578</v>
      </c>
      <c r="V226" s="1">
        <f t="shared" si="45"/>
        <v>48242.922999999995</v>
      </c>
      <c r="W226" s="1">
        <f t="shared" si="45"/>
        <v>25615.748</v>
      </c>
      <c r="X226" s="1">
        <f t="shared" si="45"/>
        <v>7619.9965000000011</v>
      </c>
      <c r="AB226">
        <v>5</v>
      </c>
      <c r="AC226">
        <v>176</v>
      </c>
      <c r="AD226">
        <v>171</v>
      </c>
      <c r="AE226">
        <v>160</v>
      </c>
      <c r="AJ226" t="s">
        <v>644</v>
      </c>
      <c r="AK226">
        <v>10</v>
      </c>
      <c r="AL226" s="1">
        <v>0.28999999999999998</v>
      </c>
      <c r="AM226" s="1">
        <v>34.03</v>
      </c>
      <c r="AN226" s="1">
        <v>1027.6600000000001</v>
      </c>
      <c r="AO226" s="1">
        <v>63.02</v>
      </c>
      <c r="AP226" s="1">
        <v>26.6</v>
      </c>
      <c r="AR226" s="1">
        <v>0.36</v>
      </c>
      <c r="AS226" s="1">
        <v>545.97</v>
      </c>
      <c r="AT226" s="1">
        <v>3928.13</v>
      </c>
      <c r="AU226" s="1">
        <v>358.4</v>
      </c>
      <c r="AV226" s="1">
        <v>88.56</v>
      </c>
      <c r="BF226" s="51"/>
      <c r="BG226" s="1"/>
    </row>
    <row r="227" spans="1:59" ht="15.6" x14ac:dyDescent="0.35">
      <c r="A227" t="s">
        <v>317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318</v>
      </c>
      <c r="S227" t="s">
        <v>63</v>
      </c>
      <c r="T227" s="57">
        <f>AVERAGE(T24,T34,T44,T54,T64,T74,T84,T94,T104,T114,T124,T134,T144,T154,T164,T174,T184,T194,T204,T214)</f>
        <v>202.94</v>
      </c>
      <c r="U227" s="57">
        <f t="shared" si="45"/>
        <v>1906.1119312147468</v>
      </c>
      <c r="V227" s="57">
        <f t="shared" si="45"/>
        <v>47263.709354662635</v>
      </c>
      <c r="W227" s="57">
        <f t="shared" si="45"/>
        <v>25472.4634342059</v>
      </c>
      <c r="X227" s="57">
        <f t="shared" si="45"/>
        <v>8117.9607799167161</v>
      </c>
      <c r="AB227">
        <v>6</v>
      </c>
      <c r="AC227">
        <v>205</v>
      </c>
      <c r="AD227">
        <v>200</v>
      </c>
      <c r="AE227">
        <v>189</v>
      </c>
      <c r="AJ227" t="s">
        <v>644</v>
      </c>
      <c r="AK227">
        <v>11</v>
      </c>
      <c r="AL227" s="1">
        <v>0.51</v>
      </c>
      <c r="AM227" s="1">
        <v>31.65</v>
      </c>
      <c r="AN227" s="1">
        <v>1023.08</v>
      </c>
      <c r="AO227" s="1">
        <v>71.319999999999993</v>
      </c>
      <c r="AP227" s="1">
        <v>25.02</v>
      </c>
      <c r="AR227" s="1">
        <v>0.81</v>
      </c>
      <c r="AS227" s="1">
        <v>503.85</v>
      </c>
      <c r="AT227" s="1">
        <v>3968</v>
      </c>
      <c r="AU227" s="1">
        <v>370.1</v>
      </c>
      <c r="AV227" s="1">
        <v>78.66</v>
      </c>
      <c r="BF227" s="51"/>
      <c r="BG227" s="1"/>
    </row>
    <row r="228" spans="1:59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62</v>
      </c>
      <c r="T228" s="67">
        <f>AVERAGE(T25,T35,T45,T55,T65,T75,T85,T95,T105,T115,T125,T135,T145,T155,T165,T175,T185,T195,T205,T215)</f>
        <v>0</v>
      </c>
      <c r="U228" s="67">
        <f t="shared" si="45"/>
        <v>86.997527767539736</v>
      </c>
      <c r="V228" s="67">
        <f t="shared" si="45"/>
        <v>342.41989639304813</v>
      </c>
      <c r="W228" s="67">
        <f t="shared" si="45"/>
        <v>352.7663825284319</v>
      </c>
      <c r="X228" s="67">
        <f t="shared" si="45"/>
        <v>305.18390054151234</v>
      </c>
      <c r="AB228">
        <v>7</v>
      </c>
      <c r="AC228">
        <v>234</v>
      </c>
      <c r="AD228">
        <v>229</v>
      </c>
      <c r="AE228">
        <v>218</v>
      </c>
      <c r="AJ228" t="s">
        <v>644</v>
      </c>
      <c r="AK228">
        <v>12</v>
      </c>
      <c r="AL228" s="1">
        <v>0.28999999999999998</v>
      </c>
      <c r="AM228" s="1">
        <v>29.93</v>
      </c>
      <c r="AN228" s="1">
        <v>1028.73</v>
      </c>
      <c r="AO228" s="1">
        <v>67.97</v>
      </c>
      <c r="AP228" s="1">
        <v>24.67</v>
      </c>
      <c r="AR228" s="1">
        <v>0.36</v>
      </c>
      <c r="AS228" s="1">
        <v>533.01</v>
      </c>
      <c r="AT228" s="1">
        <v>3936.77</v>
      </c>
      <c r="AU228" s="1">
        <v>369.83</v>
      </c>
      <c r="AV228" s="1">
        <v>81.45</v>
      </c>
      <c r="BF228" s="51"/>
      <c r="BG228" s="1"/>
    </row>
    <row r="229" spans="1:59" x14ac:dyDescent="0.3">
      <c r="A229" t="s">
        <v>3</v>
      </c>
      <c r="B229" s="13">
        <v>0</v>
      </c>
      <c r="C229" s="29">
        <f>(C218/$L229)*$O229</f>
        <v>0.24445781315785955</v>
      </c>
      <c r="D229" s="31">
        <f>(D218/$L229)*$O229</f>
        <v>0</v>
      </c>
      <c r="E229" s="31">
        <f>(E218/$L229)*$O229</f>
        <v>0</v>
      </c>
      <c r="F229" s="31">
        <f>(F218/$L229)*$O229</f>
        <v>0</v>
      </c>
      <c r="G229" s="32">
        <f>(G218/$L229)*$O229</f>
        <v>0</v>
      </c>
      <c r="H229" s="17">
        <f>SUM(C229:G229)</f>
        <v>0.24445781315785955</v>
      </c>
      <c r="I229" s="17">
        <f>C229/H229*100</f>
        <v>100</v>
      </c>
      <c r="J229" s="17">
        <f>SQRT(I229*(100-I229)/(L229-1))</f>
        <v>0</v>
      </c>
      <c r="K229" s="18">
        <f>100-I229</f>
        <v>0</v>
      </c>
      <c r="L229" s="1">
        <f>H218</f>
        <v>451</v>
      </c>
      <c r="M229">
        <v>0</v>
      </c>
      <c r="N229" s="1">
        <v>202.81</v>
      </c>
      <c r="O229" s="17">
        <f>N229/N234*100</f>
        <v>0.24445781315785955</v>
      </c>
      <c r="P229" s="52">
        <f>((O229*O229*(I229/100)*(K229/100))/(L229-1))</f>
        <v>0</v>
      </c>
      <c r="AB229">
        <v>8</v>
      </c>
      <c r="AC229">
        <v>263</v>
      </c>
      <c r="AD229">
        <v>258</v>
      </c>
      <c r="AE229">
        <v>247</v>
      </c>
      <c r="AJ229" t="s">
        <v>644</v>
      </c>
      <c r="AK229">
        <v>13</v>
      </c>
      <c r="AL229" s="1">
        <v>0.7</v>
      </c>
      <c r="AM229" s="1">
        <v>28.94</v>
      </c>
      <c r="AN229" s="1">
        <v>1027.24</v>
      </c>
      <c r="AO229" s="1">
        <v>66.88</v>
      </c>
      <c r="AP229" s="1">
        <v>27.84</v>
      </c>
      <c r="AR229" s="1">
        <v>1.26</v>
      </c>
      <c r="AS229" s="1">
        <v>517.16999999999996</v>
      </c>
      <c r="AT229" s="1">
        <v>3956.93</v>
      </c>
      <c r="AU229" s="1">
        <v>353.63</v>
      </c>
      <c r="AV229" s="1">
        <v>92.43</v>
      </c>
      <c r="BF229" s="51"/>
      <c r="BG229" s="1"/>
    </row>
    <row r="230" spans="1:59" x14ac:dyDescent="0.3">
      <c r="A230" t="s">
        <v>4</v>
      </c>
      <c r="B230" s="13">
        <v>1</v>
      </c>
      <c r="C230" s="33">
        <f t="shared" ref="C230:G233" si="46">(C219/$L230)*$O230</f>
        <v>0</v>
      </c>
      <c r="D230" s="34">
        <f t="shared" si="46"/>
        <v>1.4104670047675743</v>
      </c>
      <c r="E230" s="19">
        <f t="shared" si="46"/>
        <v>5.1289709264275424E-2</v>
      </c>
      <c r="F230" s="18">
        <f t="shared" si="46"/>
        <v>0</v>
      </c>
      <c r="G230" s="20">
        <f t="shared" si="46"/>
        <v>0</v>
      </c>
      <c r="H230" s="17">
        <f>SUM(C230:G230)</f>
        <v>1.4617567140318497</v>
      </c>
      <c r="I230" s="17">
        <f>D230/H230*100</f>
        <v>96.491228070175438</v>
      </c>
      <c r="J230" s="17">
        <f>SQRT(I230*(100-I230)/(L230-1))</f>
        <v>2.4588241692166148</v>
      </c>
      <c r="K230" s="18">
        <f>100-I230</f>
        <v>3.5087719298245617</v>
      </c>
      <c r="L230" s="1">
        <f>H219</f>
        <v>57</v>
      </c>
      <c r="M230">
        <v>1</v>
      </c>
      <c r="N230" s="1">
        <v>1212.72</v>
      </c>
      <c r="O230" s="17">
        <f>N230/N234*100</f>
        <v>1.4617567140318497</v>
      </c>
      <c r="P230" s="52">
        <f>((O230*O230*(I230/100)*(K230/100))/(L230-1))</f>
        <v>1.2918293321675408E-3</v>
      </c>
      <c r="S230" t="s">
        <v>64</v>
      </c>
      <c r="T230" s="1" t="s">
        <v>639</v>
      </c>
      <c r="U230" s="1" t="s">
        <v>640</v>
      </c>
      <c r="V230" s="1" t="s">
        <v>641</v>
      </c>
      <c r="W230" s="1" t="s">
        <v>642</v>
      </c>
      <c r="X230" s="1" t="s">
        <v>643</v>
      </c>
      <c r="AB230">
        <v>9</v>
      </c>
      <c r="AC230">
        <v>292</v>
      </c>
      <c r="AD230">
        <v>287</v>
      </c>
      <c r="AE230">
        <v>276</v>
      </c>
      <c r="AJ230" t="s">
        <v>644</v>
      </c>
      <c r="AK230">
        <v>14</v>
      </c>
      <c r="AL230" s="1">
        <v>0.65</v>
      </c>
      <c r="AM230" s="1">
        <v>24.6</v>
      </c>
      <c r="AN230" s="1">
        <v>1030.75</v>
      </c>
      <c r="AO230" s="1">
        <v>69.97</v>
      </c>
      <c r="AP230" s="1">
        <v>25.62</v>
      </c>
      <c r="AR230" s="1">
        <v>0.99</v>
      </c>
      <c r="AS230" s="1">
        <v>494.03</v>
      </c>
      <c r="AT230" s="1">
        <v>3973.85</v>
      </c>
      <c r="AU230" s="1">
        <v>363.53</v>
      </c>
      <c r="AV230" s="1">
        <v>89.01</v>
      </c>
      <c r="BF230" s="51"/>
      <c r="BG230" s="1"/>
    </row>
    <row r="231" spans="1:59" x14ac:dyDescent="0.3">
      <c r="A231" t="s">
        <v>5</v>
      </c>
      <c r="B231" s="13">
        <v>2</v>
      </c>
      <c r="C231" s="33">
        <f t="shared" si="46"/>
        <v>0</v>
      </c>
      <c r="D231" s="19">
        <f t="shared" si="46"/>
        <v>0</v>
      </c>
      <c r="E231" s="34">
        <f t="shared" si="46"/>
        <v>55.84016717431571</v>
      </c>
      <c r="F231" s="19">
        <f t="shared" si="46"/>
        <v>1.5774058523818</v>
      </c>
      <c r="G231" s="20">
        <f t="shared" si="46"/>
        <v>0.70983263357180992</v>
      </c>
      <c r="H231" s="17">
        <f>SUM(C231:G231)</f>
        <v>58.127405660269318</v>
      </c>
      <c r="I231" s="17">
        <f>E231/H231*100</f>
        <v>96.065128900949802</v>
      </c>
      <c r="J231" s="17">
        <f>SQRT(I231*(100-I231)/(L231-1))</f>
        <v>0.7166535107962011</v>
      </c>
      <c r="K231" s="18">
        <f>100-I231</f>
        <v>3.9348710990501985</v>
      </c>
      <c r="L231" s="1">
        <f>H220</f>
        <v>737</v>
      </c>
      <c r="M231">
        <v>2</v>
      </c>
      <c r="N231" s="1">
        <v>48224.35</v>
      </c>
      <c r="O231" s="17">
        <f>N231/N234*100</f>
        <v>58.127405660269325</v>
      </c>
      <c r="P231" s="52">
        <f>((O231*O231*(I231/100)*(K231/100))/(L231-1))</f>
        <v>0.17353230899888339</v>
      </c>
      <c r="T231" s="57">
        <f>T24</f>
        <v>197.67</v>
      </c>
      <c r="U231" s="57">
        <f>U24</f>
        <v>1672.9280976474884</v>
      </c>
      <c r="V231" s="57">
        <f>V24</f>
        <v>48366.639016296773</v>
      </c>
      <c r="W231" s="57">
        <f>W24</f>
        <v>24981.257413346189</v>
      </c>
      <c r="X231" s="57">
        <f>X24</f>
        <v>7744.6854727095515</v>
      </c>
      <c r="AB231">
        <v>10</v>
      </c>
      <c r="AC231">
        <v>321</v>
      </c>
      <c r="AD231">
        <v>316</v>
      </c>
      <c r="AE231">
        <v>305</v>
      </c>
      <c r="AJ231" t="s">
        <v>644</v>
      </c>
      <c r="AK231">
        <v>15</v>
      </c>
      <c r="AL231" s="1">
        <v>0.7</v>
      </c>
      <c r="AM231" s="1">
        <v>25.11</v>
      </c>
      <c r="AN231" s="1">
        <v>1032.04</v>
      </c>
      <c r="AO231" s="1">
        <v>65.08</v>
      </c>
      <c r="AP231" s="1">
        <v>28.66</v>
      </c>
      <c r="AR231" s="1">
        <v>1.26</v>
      </c>
      <c r="AS231" s="1">
        <v>499.35</v>
      </c>
      <c r="AT231" s="1">
        <v>3969.08</v>
      </c>
      <c r="AU231" s="1">
        <v>355.61</v>
      </c>
      <c r="AV231" s="1">
        <v>96.13</v>
      </c>
      <c r="BF231" s="51"/>
      <c r="BG231" s="1"/>
    </row>
    <row r="232" spans="1:59" x14ac:dyDescent="0.3">
      <c r="A232" t="s">
        <v>6</v>
      </c>
      <c r="B232" s="13">
        <v>3</v>
      </c>
      <c r="C232" s="33">
        <f t="shared" si="46"/>
        <v>0</v>
      </c>
      <c r="D232" s="19">
        <f t="shared" si="46"/>
        <v>0</v>
      </c>
      <c r="E232" s="19">
        <f t="shared" si="46"/>
        <v>0.53576590771462451</v>
      </c>
      <c r="F232" s="34">
        <f t="shared" si="46"/>
        <v>29.35997174276142</v>
      </c>
      <c r="G232" s="20">
        <f t="shared" si="46"/>
        <v>1.2858381785150987</v>
      </c>
      <c r="H232" s="17">
        <f>SUM(C232:G232)</f>
        <v>31.181575828991143</v>
      </c>
      <c r="I232" s="17">
        <f>F232/H232*100</f>
        <v>94.158075601374563</v>
      </c>
      <c r="J232" s="17">
        <f>SQRT(I232*(100-I232)/(L232-1))</f>
        <v>0.97301309901205002</v>
      </c>
      <c r="K232" s="18">
        <f>100-I232</f>
        <v>5.8419243986254372</v>
      </c>
      <c r="L232" s="1">
        <f>H221</f>
        <v>582</v>
      </c>
      <c r="M232">
        <v>3</v>
      </c>
      <c r="N232" s="1">
        <v>25869.23</v>
      </c>
      <c r="O232" s="17">
        <f>N232/N234*100</f>
        <v>31.181575828991143</v>
      </c>
      <c r="P232" s="52">
        <f>((O232*O232*(I232/100)*(K232/100))/(L232-1))</f>
        <v>9.205205593494574E-2</v>
      </c>
      <c r="T232" s="57">
        <f>T34</f>
        <v>203.71000000000004</v>
      </c>
      <c r="U232" s="57">
        <f>U34</f>
        <v>2003.9464148713146</v>
      </c>
      <c r="V232" s="57">
        <f>V34</f>
        <v>46592.011662073266</v>
      </c>
      <c r="W232" s="57">
        <f>W34</f>
        <v>25260.394040928571</v>
      </c>
      <c r="X232" s="57">
        <f>X34</f>
        <v>8903.1278821268534</v>
      </c>
      <c r="AB232">
        <v>11</v>
      </c>
      <c r="AC232">
        <v>350</v>
      </c>
      <c r="AD232">
        <v>345</v>
      </c>
      <c r="AE232">
        <v>334</v>
      </c>
      <c r="AJ232" t="s">
        <v>644</v>
      </c>
      <c r="AK232">
        <v>16</v>
      </c>
      <c r="AL232" s="1">
        <v>0.74</v>
      </c>
      <c r="AM232" s="1">
        <v>32.1</v>
      </c>
      <c r="AN232" s="1">
        <v>1027.77</v>
      </c>
      <c r="AO232" s="1">
        <v>66.67</v>
      </c>
      <c r="AP232" s="1">
        <v>24.31</v>
      </c>
      <c r="AR232" s="1">
        <v>1.26</v>
      </c>
      <c r="AS232" s="1">
        <v>498.62</v>
      </c>
      <c r="AT232" s="1">
        <v>3969.8</v>
      </c>
      <c r="AU232" s="1">
        <v>369.74</v>
      </c>
      <c r="AV232" s="1">
        <v>81.99</v>
      </c>
      <c r="BF232" s="51"/>
      <c r="BG232" s="1"/>
    </row>
    <row r="233" spans="1:59" x14ac:dyDescent="0.3">
      <c r="A233" t="s">
        <v>7</v>
      </c>
      <c r="B233" s="13">
        <v>4</v>
      </c>
      <c r="C233" s="35">
        <f t="shared" si="46"/>
        <v>0</v>
      </c>
      <c r="D233" s="36">
        <f t="shared" si="46"/>
        <v>0.33837715696223275</v>
      </c>
      <c r="E233" s="21">
        <f t="shared" si="46"/>
        <v>0.35618648101287659</v>
      </c>
      <c r="F233" s="21">
        <f t="shared" si="46"/>
        <v>0.6767543139244655</v>
      </c>
      <c r="G233" s="37">
        <f t="shared" si="46"/>
        <v>7.6134860316502371</v>
      </c>
      <c r="H233" s="17">
        <f>SUM(C233:G233)</f>
        <v>8.9848039835498117</v>
      </c>
      <c r="I233" s="17">
        <f>G233/H233*100</f>
        <v>84.737363726461851</v>
      </c>
      <c r="J233" s="17">
        <f>SQRT(I233*(100-I233)/(L233-1))</f>
        <v>1.1327184787574289</v>
      </c>
      <c r="K233" s="18">
        <f>100-I233</f>
        <v>15.262636273538149</v>
      </c>
      <c r="L233" s="1">
        <f>H222</f>
        <v>1009</v>
      </c>
      <c r="M233">
        <v>4</v>
      </c>
      <c r="N233" s="1">
        <v>7454.08</v>
      </c>
      <c r="O233" s="17">
        <f>N233/N234*100</f>
        <v>8.9848039835498117</v>
      </c>
      <c r="P233" s="52">
        <f>((O233*O233*(I233/100)*(K233/100))/(L233-1))</f>
        <v>1.0357648880693078E-2</v>
      </c>
      <c r="T233" s="57">
        <f>T44</f>
        <v>200.46</v>
      </c>
      <c r="U233" s="57">
        <f>U44</f>
        <v>1755.7232726514007</v>
      </c>
      <c r="V233" s="57">
        <f>V44</f>
        <v>46851.551406015067</v>
      </c>
      <c r="W233" s="57">
        <f>W44</f>
        <v>25209.974878464116</v>
      </c>
      <c r="X233" s="57">
        <f>X44</f>
        <v>8945.4904428694263</v>
      </c>
      <c r="AB233">
        <v>12</v>
      </c>
      <c r="AC233">
        <v>379</v>
      </c>
      <c r="AD233">
        <v>374</v>
      </c>
      <c r="AE233">
        <v>363</v>
      </c>
      <c r="AJ233" t="s">
        <v>644</v>
      </c>
      <c r="AK233">
        <v>17</v>
      </c>
      <c r="AL233" s="1">
        <v>0.74</v>
      </c>
      <c r="AM233" s="1">
        <v>33.78</v>
      </c>
      <c r="AN233" s="1">
        <v>1023.05</v>
      </c>
      <c r="AO233" s="1">
        <v>70.27</v>
      </c>
      <c r="AP233" s="1">
        <v>23.75</v>
      </c>
      <c r="AR233" s="1">
        <v>1.17</v>
      </c>
      <c r="AS233" s="1">
        <v>571.16999999999996</v>
      </c>
      <c r="AT233" s="1">
        <v>3893.93</v>
      </c>
      <c r="AU233" s="1">
        <v>371.72</v>
      </c>
      <c r="AV233" s="1">
        <v>83.43</v>
      </c>
      <c r="BF233" s="51"/>
      <c r="BG233" s="1"/>
    </row>
    <row r="234" spans="1:59" x14ac:dyDescent="0.3">
      <c r="B234" t="s">
        <v>28</v>
      </c>
      <c r="C234" s="17">
        <f>SUM(C229:C233)</f>
        <v>0.24445781315785955</v>
      </c>
      <c r="D234" s="17">
        <f>SUM(D229:D233)</f>
        <v>1.7488441617298069</v>
      </c>
      <c r="E234" s="17">
        <f>SUM(E229:E233)</f>
        <v>56.783409272307487</v>
      </c>
      <c r="F234" s="17">
        <f>SUM(F229:F233)</f>
        <v>31.614131909067687</v>
      </c>
      <c r="G234" s="17">
        <f>SUM(G229:G233)</f>
        <v>9.6091568437371464</v>
      </c>
      <c r="H234" s="1">
        <f>SUM(H228:H233)</f>
        <v>99.999999999999986</v>
      </c>
      <c r="I234" s="13" t="s">
        <v>24</v>
      </c>
      <c r="J234" s="12" t="s">
        <v>29</v>
      </c>
      <c r="N234" s="1">
        <f>SUM(N229:N233)</f>
        <v>82963.19</v>
      </c>
      <c r="O234" s="17">
        <f>SUM(O229:O233)</f>
        <v>99.999999999999986</v>
      </c>
      <c r="T234" s="57">
        <f>T54</f>
        <v>197.84999999999997</v>
      </c>
      <c r="U234" s="57">
        <f>U54</f>
        <v>1719.5924477944118</v>
      </c>
      <c r="V234" s="57">
        <f>V54</f>
        <v>47517.65181091796</v>
      </c>
      <c r="W234" s="57">
        <f>W54</f>
        <v>25544.210318102614</v>
      </c>
      <c r="X234" s="57">
        <f>X54</f>
        <v>7983.8754231850216</v>
      </c>
      <c r="AB234">
        <v>13</v>
      </c>
      <c r="AC234">
        <v>408</v>
      </c>
      <c r="AD234">
        <v>403</v>
      </c>
      <c r="AE234">
        <v>392</v>
      </c>
      <c r="AJ234" t="s">
        <v>644</v>
      </c>
      <c r="AK234">
        <v>18</v>
      </c>
      <c r="AL234" s="1">
        <v>0.24</v>
      </c>
      <c r="AM234" s="1">
        <v>35.14</v>
      </c>
      <c r="AN234" s="1">
        <v>1021.74</v>
      </c>
      <c r="AO234" s="1">
        <v>69.03</v>
      </c>
      <c r="AP234" s="1">
        <v>25.44</v>
      </c>
      <c r="AR234" s="1">
        <v>0.36</v>
      </c>
      <c r="AS234" s="1">
        <v>547.77</v>
      </c>
      <c r="AT234" s="1">
        <v>3913.81</v>
      </c>
      <c r="AU234" s="1">
        <v>375.95</v>
      </c>
      <c r="AV234" s="1">
        <v>83.52</v>
      </c>
      <c r="BF234" s="51"/>
      <c r="BG234" s="1"/>
    </row>
    <row r="235" spans="1:59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0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6.4566416033096402E-2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0.45367753544901041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0.467440453286257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0.36290273010184759</v>
      </c>
      <c r="H235" s="1"/>
      <c r="I235" s="14">
        <f>(C229+D230+E231+F232+G233)/H234</f>
        <v>0.9446854976665281</v>
      </c>
      <c r="J235" s="53">
        <f>SQRT(SUM(P229:P233))/100</f>
        <v>5.2653000213348684E-3</v>
      </c>
      <c r="M235" s="1"/>
      <c r="N235" s="9"/>
      <c r="T235" s="57">
        <f>T64</f>
        <v>211.27</v>
      </c>
      <c r="U235" s="57">
        <f>U64</f>
        <v>1856.1957793890076</v>
      </c>
      <c r="V235" s="57">
        <f>V64</f>
        <v>47263.645290820627</v>
      </c>
      <c r="W235" s="57">
        <f>W64</f>
        <v>25721.807229278216</v>
      </c>
      <c r="X235" s="57">
        <f>X64</f>
        <v>7910.2717005121604</v>
      </c>
      <c r="AB235">
        <v>14</v>
      </c>
      <c r="AC235">
        <v>437</v>
      </c>
      <c r="AD235">
        <v>432</v>
      </c>
      <c r="AE235">
        <v>421</v>
      </c>
      <c r="AJ235" t="s">
        <v>644</v>
      </c>
      <c r="AK235">
        <v>19</v>
      </c>
      <c r="AL235" s="1">
        <v>0.7</v>
      </c>
      <c r="AM235" s="1">
        <v>33.28</v>
      </c>
      <c r="AN235" s="1">
        <v>1025.71</v>
      </c>
      <c r="AO235" s="1">
        <v>65.97</v>
      </c>
      <c r="AP235" s="1">
        <v>25.93</v>
      </c>
      <c r="AR235" s="1">
        <v>1.35</v>
      </c>
      <c r="AS235" s="1">
        <v>529.41</v>
      </c>
      <c r="AT235" s="1">
        <v>3948.11</v>
      </c>
      <c r="AU235" s="1">
        <v>351.83</v>
      </c>
      <c r="AV235" s="1">
        <v>90.72</v>
      </c>
      <c r="BF235" s="51"/>
      <c r="BG235" s="1"/>
    </row>
    <row r="236" spans="1:59" x14ac:dyDescent="0.3">
      <c r="B236" s="1" t="s">
        <v>30</v>
      </c>
      <c r="C236" s="17">
        <f>C229/C234*100</f>
        <v>100</v>
      </c>
      <c r="D236" s="17">
        <f>D230/D234*100</f>
        <v>80.651383103938841</v>
      </c>
      <c r="E236" s="17">
        <f>E231/E234*100</f>
        <v>98.338877305748909</v>
      </c>
      <c r="F236" s="17">
        <f>F232/F234*100</f>
        <v>92.869770478626606</v>
      </c>
      <c r="G236" s="17">
        <f>G233/G234*100</f>
        <v>79.23157208753851</v>
      </c>
      <c r="H236" s="1"/>
      <c r="T236" s="57">
        <f>T74</f>
        <v>197.75999999999996</v>
      </c>
      <c r="U236" s="57">
        <f>U74</f>
        <v>2381.3284550424692</v>
      </c>
      <c r="V236" s="57">
        <f>V74</f>
        <v>47361.889980412358</v>
      </c>
      <c r="W236" s="57">
        <f>W74</f>
        <v>24519.201850561771</v>
      </c>
      <c r="X236" s="57">
        <f>X74</f>
        <v>8503.0097139834106</v>
      </c>
      <c r="AB236">
        <v>15</v>
      </c>
      <c r="AC236">
        <v>466</v>
      </c>
      <c r="AD236">
        <v>461</v>
      </c>
      <c r="AE236">
        <v>450</v>
      </c>
      <c r="BF236" s="51"/>
      <c r="BG236" s="1"/>
    </row>
    <row r="237" spans="1:59" x14ac:dyDescent="0.3">
      <c r="B237" s="16" t="s">
        <v>39</v>
      </c>
      <c r="C237" s="18">
        <f>SQRT((C240+C241)/(C234*C234))</f>
        <v>0</v>
      </c>
      <c r="D237" s="18">
        <f>SQRT((D240+D241)/(D234*D234))</f>
        <v>4.6888819704821394</v>
      </c>
      <c r="E237" s="18">
        <f>SQRT((E240+E241)/(E234*E234))</f>
        <v>0.33559943792648517</v>
      </c>
      <c r="F237" s="18">
        <f>SQRT((F240+F241)/(F234*F234))</f>
        <v>1.2499083654282606</v>
      </c>
      <c r="G237" s="18">
        <f>SQRT((G240+G241)/(G234*G234))</f>
        <v>3.6195976048712479</v>
      </c>
      <c r="H237" s="1"/>
      <c r="T237" s="57">
        <f>T84</f>
        <v>201.63999999999996</v>
      </c>
      <c r="U237" s="57">
        <f>U84</f>
        <v>2148.4335294947537</v>
      </c>
      <c r="V237" s="57">
        <f>V84</f>
        <v>46983.019567909396</v>
      </c>
      <c r="W237" s="57">
        <f>W84</f>
        <v>25440.496025900367</v>
      </c>
      <c r="X237" s="57">
        <f>X84</f>
        <v>8189.6008766954819</v>
      </c>
      <c r="AB237">
        <v>16</v>
      </c>
      <c r="AC237">
        <v>495</v>
      </c>
      <c r="AD237">
        <v>490</v>
      </c>
      <c r="AE237">
        <v>479</v>
      </c>
      <c r="AN237" s="78"/>
      <c r="AO237" s="78"/>
      <c r="BF237" s="51"/>
      <c r="BG237" s="1"/>
    </row>
    <row r="238" spans="1:59" x14ac:dyDescent="0.3">
      <c r="B238" s="1" t="s">
        <v>37</v>
      </c>
      <c r="C238" s="18">
        <f>100-C236</f>
        <v>0</v>
      </c>
      <c r="D238" s="18">
        <f>100-D236</f>
        <v>19.348616896061159</v>
      </c>
      <c r="E238" s="18">
        <f>100-E236</f>
        <v>1.661122694251091</v>
      </c>
      <c r="F238" s="18">
        <f>100-F236</f>
        <v>7.1302295213733942</v>
      </c>
      <c r="G238" s="18">
        <f>100-G236</f>
        <v>20.76842791246149</v>
      </c>
      <c r="T238" s="57">
        <f>T94</f>
        <v>202.81000000000003</v>
      </c>
      <c r="U238" s="57">
        <f>U94</f>
        <v>1450.896904699807</v>
      </c>
      <c r="V238" s="57">
        <f>V94</f>
        <v>47109.327723062073</v>
      </c>
      <c r="W238" s="57">
        <f>W94</f>
        <v>26228.092322570454</v>
      </c>
      <c r="X238" s="57">
        <f>X94</f>
        <v>7972.0630496676522</v>
      </c>
      <c r="AB238">
        <v>17</v>
      </c>
      <c r="AC238">
        <v>524</v>
      </c>
      <c r="AD238">
        <v>519</v>
      </c>
      <c r="AE238">
        <v>508</v>
      </c>
      <c r="BF238" s="51"/>
      <c r="BG238" s="1"/>
    </row>
    <row r="239" spans="1:59" ht="15.6" x14ac:dyDescent="0.35">
      <c r="B239" s="1" t="s">
        <v>25</v>
      </c>
      <c r="C239" s="1">
        <f>C223</f>
        <v>451</v>
      </c>
      <c r="D239" s="1">
        <f>D223</f>
        <v>93</v>
      </c>
      <c r="E239" s="1">
        <f>E223</f>
        <v>760</v>
      </c>
      <c r="F239" s="1">
        <f>F223</f>
        <v>644</v>
      </c>
      <c r="G239" s="1">
        <f>G223</f>
        <v>888</v>
      </c>
      <c r="T239" s="57">
        <f>T104</f>
        <v>219.54999999999995</v>
      </c>
      <c r="U239" s="57">
        <f>U104</f>
        <v>2109.2709070777537</v>
      </c>
      <c r="V239" s="57">
        <f>V104</f>
        <v>47699.148368425966</v>
      </c>
      <c r="W239" s="57">
        <f>W104</f>
        <v>24768.362501418604</v>
      </c>
      <c r="X239" s="57">
        <f>X104</f>
        <v>8166.8582230776801</v>
      </c>
      <c r="AB239">
        <v>18</v>
      </c>
      <c r="AC239">
        <v>553</v>
      </c>
      <c r="AD239">
        <v>548</v>
      </c>
      <c r="AE239">
        <v>537</v>
      </c>
      <c r="AN239" s="78"/>
      <c r="AO239" s="78"/>
      <c r="BF239" s="51"/>
      <c r="BG239" s="1"/>
    </row>
    <row r="240" spans="1:59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48.362082397974383</v>
      </c>
      <c r="E240" s="18">
        <f>(O231*O231*(100-E236)*(100-E236)*(I231)*(100-I231))/((L231-1)*100)</f>
        <v>47.883266417409608</v>
      </c>
      <c r="F240" s="18">
        <f>(O232*O232*(100-F236)*(100-F236)*(I232)*(100-I232))/((L232-1)*100)</f>
        <v>467.99424512664962</v>
      </c>
      <c r="G240" s="18">
        <f>(O233*O233*(100-G236)*(100-G236)*(I233)*(100-I233))/((L233-1)*100)</f>
        <v>446.7539812171774</v>
      </c>
      <c r="T240" s="57">
        <f>T114</f>
        <v>205.69</v>
      </c>
      <c r="U240" s="57">
        <f>U114</f>
        <v>1927.5947631543677</v>
      </c>
      <c r="V240" s="57">
        <f>V114</f>
        <v>47161.715246232889</v>
      </c>
      <c r="W240" s="57">
        <f>W114</f>
        <v>25089.625033124299</v>
      </c>
      <c r="X240" s="57">
        <f>X114</f>
        <v>8578.5649574884537</v>
      </c>
      <c r="AB240">
        <v>19</v>
      </c>
      <c r="AC240">
        <v>582</v>
      </c>
      <c r="AD240">
        <v>577</v>
      </c>
      <c r="AE240">
        <v>566</v>
      </c>
      <c r="BF240" s="51"/>
      <c r="BG240" s="1"/>
    </row>
    <row r="241" spans="1:59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18.879948906899305</v>
      </c>
      <c r="E241" s="18">
        <f>E236*E236*(SUM((H229*E229*(1-E218/H218))/(H218-1),(H230*E230*(1-E219/H219))/(H219-1), (H232*E232*(1-E221/H221))/(H221-1),(H233*E233*(1-E222/H222))/(H222-1)))</f>
        <v>315.26617254234037</v>
      </c>
      <c r="F241" s="18">
        <f>F236*F236*(SUM((H229*F229*(1-F218/H218))/(H218-1),(H230*F230*(1-F219/H219))/(H219-1), (H231*F231*(1-F220/H220))/(H220-1),(H233*F233*(1-F222/H222))/(H222-1)))</f>
        <v>1093.4226401381704</v>
      </c>
      <c r="G241" s="18">
        <f>G236*G236*(SUM((H229*G229*(1-G218/H218))/(H218-1),(H230*G230*(1-G219/H219))/(H219-1), (H231*G231*(1-G220/H220))/(H220-1),(H232*G232*(1-G221/H221))/(H221-1)))</f>
        <v>762.98353349122374</v>
      </c>
      <c r="T241" s="57">
        <f>T124</f>
        <v>194.61</v>
      </c>
      <c r="U241" s="57">
        <f>U124</f>
        <v>2007.5271384361195</v>
      </c>
      <c r="V241" s="57">
        <f>V124</f>
        <v>46840.85895659418</v>
      </c>
      <c r="W241" s="57">
        <f>W124</f>
        <v>25129.786692402904</v>
      </c>
      <c r="X241" s="57">
        <f>X124</f>
        <v>8790.3872125667913</v>
      </c>
      <c r="AB241">
        <v>20</v>
      </c>
      <c r="AC241">
        <v>611</v>
      </c>
      <c r="AD241">
        <v>606</v>
      </c>
      <c r="AE241">
        <v>595</v>
      </c>
      <c r="AN241" s="78"/>
      <c r="AO241" s="78"/>
      <c r="BF241" s="51"/>
      <c r="BG241" s="1"/>
    </row>
    <row r="242" spans="1:59" x14ac:dyDescent="0.3">
      <c r="T242" s="57">
        <f>T134</f>
        <v>193.98</v>
      </c>
      <c r="U242" s="57">
        <f>U134</f>
        <v>2060.9837393284997</v>
      </c>
      <c r="V242" s="57">
        <f>V134</f>
        <v>47177.171206960476</v>
      </c>
      <c r="W242" s="57">
        <f>W134</f>
        <v>25798.892275298098</v>
      </c>
      <c r="X242" s="57">
        <f>X134</f>
        <v>7732.1427784129219</v>
      </c>
      <c r="AB242">
        <v>21</v>
      </c>
      <c r="AC242">
        <v>640</v>
      </c>
      <c r="AD242">
        <v>635</v>
      </c>
      <c r="AE242">
        <v>624</v>
      </c>
      <c r="BF242" s="51"/>
      <c r="BG242" s="1"/>
    </row>
    <row r="243" spans="1:59" x14ac:dyDescent="0.3">
      <c r="T243" s="57">
        <f>T144</f>
        <v>191.91</v>
      </c>
      <c r="U243" s="57">
        <f>U144</f>
        <v>1778.2900103918455</v>
      </c>
      <c r="V243" s="57">
        <f>V144</f>
        <v>47258.526092264081</v>
      </c>
      <c r="W243" s="57">
        <f>W144</f>
        <v>26285.038888609088</v>
      </c>
      <c r="X243" s="57">
        <f>X144</f>
        <v>7449.415008734979</v>
      </c>
      <c r="AB243">
        <v>22</v>
      </c>
      <c r="AC243">
        <v>669</v>
      </c>
      <c r="AD243">
        <v>664</v>
      </c>
      <c r="AE243">
        <v>653</v>
      </c>
      <c r="AN243" s="78"/>
      <c r="AO243" s="78"/>
      <c r="BF243" s="51"/>
      <c r="BG243" s="1"/>
    </row>
    <row r="244" spans="1:59" x14ac:dyDescent="0.3">
      <c r="A244" s="348" t="s">
        <v>371</v>
      </c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 t="s">
        <v>81</v>
      </c>
      <c r="M244" s="348"/>
      <c r="N244" s="348"/>
      <c r="O244" s="348"/>
      <c r="P244" s="348"/>
      <c r="T244" s="57">
        <f>T154</f>
        <v>203.80000000000004</v>
      </c>
      <c r="U244" s="57">
        <f>U154</f>
        <v>1815.8362908254992</v>
      </c>
      <c r="V244" s="57">
        <f>V154</f>
        <v>47054.99750566858</v>
      </c>
      <c r="W244" s="57">
        <f>W154</f>
        <v>25814.029406699679</v>
      </c>
      <c r="X244" s="57">
        <f>X154</f>
        <v>8074.5267968062408</v>
      </c>
      <c r="AB244">
        <v>23</v>
      </c>
      <c r="AC244">
        <v>698</v>
      </c>
      <c r="AD244">
        <v>693</v>
      </c>
      <c r="AE244">
        <v>682</v>
      </c>
      <c r="BF244" s="51"/>
      <c r="BG244" s="1"/>
    </row>
    <row r="245" spans="1:59" x14ac:dyDescent="0.3">
      <c r="A245" t="s">
        <v>315</v>
      </c>
      <c r="B245" t="s">
        <v>21</v>
      </c>
      <c r="I245" s="1" t="s">
        <v>53</v>
      </c>
      <c r="O245" s="350" t="s">
        <v>377</v>
      </c>
      <c r="P245" s="350"/>
      <c r="T245" s="57">
        <f>T164</f>
        <v>198.57</v>
      </c>
      <c r="U245" s="57">
        <f>U164</f>
        <v>2031.8027957112688</v>
      </c>
      <c r="V245" s="57">
        <f>V164</f>
        <v>47359.553723834928</v>
      </c>
      <c r="W245" s="57">
        <f>W164</f>
        <v>25755.360824888339</v>
      </c>
      <c r="X245" s="57">
        <f>X164</f>
        <v>7617.8926555654461</v>
      </c>
      <c r="AB245">
        <v>24</v>
      </c>
      <c r="AC245">
        <v>727</v>
      </c>
      <c r="AD245">
        <v>722</v>
      </c>
      <c r="AE245">
        <v>711</v>
      </c>
      <c r="AN245" s="78"/>
      <c r="AO245" s="78"/>
      <c r="BF245" s="51"/>
      <c r="BG245" s="1"/>
    </row>
    <row r="246" spans="1:59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51</v>
      </c>
      <c r="O246" s="13" t="s">
        <v>644</v>
      </c>
      <c r="P246" s="13" t="s">
        <v>633</v>
      </c>
      <c r="T246" s="57">
        <f>T174</f>
        <v>192.81</v>
      </c>
      <c r="U246" s="57">
        <f>U174</f>
        <v>1982.2381206221773</v>
      </c>
      <c r="V246" s="57">
        <f>V174</f>
        <v>47433.979984506754</v>
      </c>
      <c r="W246" s="57">
        <f>W174</f>
        <v>25141.217929182061</v>
      </c>
      <c r="X246" s="57">
        <f>X174</f>
        <v>8212.9339656890133</v>
      </c>
      <c r="AB246">
        <v>25</v>
      </c>
      <c r="AC246">
        <v>756</v>
      </c>
      <c r="AD246">
        <v>751</v>
      </c>
      <c r="AE246">
        <v>740</v>
      </c>
      <c r="BF246" s="51"/>
      <c r="BG246" s="1"/>
    </row>
    <row r="247" spans="1:59" x14ac:dyDescent="0.3">
      <c r="A247" t="s">
        <v>3</v>
      </c>
      <c r="B247" s="13">
        <v>0</v>
      </c>
      <c r="C247" s="26">
        <v>451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451</v>
      </c>
      <c r="I247" s="10">
        <f>C247/H247</f>
        <v>1</v>
      </c>
      <c r="J247" s="11">
        <f>1-I247</f>
        <v>0</v>
      </c>
      <c r="K247">
        <f>H247-C252</f>
        <v>0</v>
      </c>
      <c r="N247" s="10">
        <f>2*(C253*I247)/(C253+I247)</f>
        <v>1</v>
      </c>
      <c r="O247" s="1"/>
      <c r="P247" s="1"/>
      <c r="T247" s="57">
        <f>T184</f>
        <v>211.54</v>
      </c>
      <c r="U247" s="57">
        <f>U184</f>
        <v>1948.9014913150068</v>
      </c>
      <c r="V247" s="57">
        <f>V184</f>
        <v>47326.606250569312</v>
      </c>
      <c r="W247" s="57">
        <f>W184</f>
        <v>25679.723257500467</v>
      </c>
      <c r="X247" s="57">
        <f>X184</f>
        <v>7796.4190006152239</v>
      </c>
      <c r="AB247">
        <v>26</v>
      </c>
      <c r="AC247">
        <v>785</v>
      </c>
      <c r="AD247">
        <v>780</v>
      </c>
      <c r="AE247">
        <v>769</v>
      </c>
      <c r="AN247" s="78"/>
      <c r="AO247" s="78"/>
      <c r="BF247" s="51"/>
      <c r="BG247" s="1"/>
    </row>
    <row r="248" spans="1:59" x14ac:dyDescent="0.3">
      <c r="A248" t="s">
        <v>4</v>
      </c>
      <c r="B248" s="13">
        <v>1</v>
      </c>
      <c r="C248" s="5">
        <v>0</v>
      </c>
      <c r="D248" s="27">
        <v>55</v>
      </c>
      <c r="E248" s="1">
        <v>2</v>
      </c>
      <c r="F248" s="1">
        <v>0</v>
      </c>
      <c r="G248" s="6">
        <v>0</v>
      </c>
      <c r="H248" s="1">
        <f>SUM(C248:G248)</f>
        <v>57</v>
      </c>
      <c r="I248" s="10">
        <f>D248/H248</f>
        <v>0.96491228070175439</v>
      </c>
      <c r="J248" s="11">
        <f>1-I248</f>
        <v>3.5087719298245612E-2</v>
      </c>
      <c r="K248">
        <f>H248-D252</f>
        <v>-107</v>
      </c>
      <c r="N248" s="10">
        <f>2*(D253*I248)/(D253+I248)</f>
        <v>0.49773755656108604</v>
      </c>
      <c r="O248" s="1"/>
      <c r="P248" s="1"/>
      <c r="T248" s="57">
        <f>T194</f>
        <v>216.4</v>
      </c>
      <c r="U248" s="57">
        <f>U194</f>
        <v>1869.4118895073241</v>
      </c>
      <c r="V248" s="57">
        <f>V194</f>
        <v>46986.897924722944</v>
      </c>
      <c r="W248" s="57">
        <f>W194</f>
        <v>26186.864160131037</v>
      </c>
      <c r="X248" s="57">
        <f>X194</f>
        <v>7703.6160256386947</v>
      </c>
      <c r="AB248">
        <v>27</v>
      </c>
      <c r="AC248">
        <v>814</v>
      </c>
      <c r="AD248">
        <v>809</v>
      </c>
      <c r="AE248">
        <v>798</v>
      </c>
      <c r="BF248" s="51"/>
      <c r="BG248" s="1"/>
    </row>
    <row r="249" spans="1:59" x14ac:dyDescent="0.3">
      <c r="A249" t="s">
        <v>5</v>
      </c>
      <c r="B249" s="13">
        <v>2</v>
      </c>
      <c r="C249" s="5">
        <v>0</v>
      </c>
      <c r="D249" s="1">
        <v>0</v>
      </c>
      <c r="E249" s="27">
        <v>716</v>
      </c>
      <c r="F249" s="1">
        <v>11</v>
      </c>
      <c r="G249" s="6">
        <v>10</v>
      </c>
      <c r="H249" s="1">
        <f>SUM(C249:G249)</f>
        <v>737</v>
      </c>
      <c r="I249" s="10">
        <f>E249/H249</f>
        <v>0.97150610583446406</v>
      </c>
      <c r="J249" s="11">
        <f>1-I249</f>
        <v>2.8493894165535938E-2</v>
      </c>
      <c r="K249">
        <f>H249-E252</f>
        <v>2</v>
      </c>
      <c r="N249" s="10">
        <f>2*(E253*I249)/(E253+I249)</f>
        <v>0.97282608695652173</v>
      </c>
      <c r="O249" s="1"/>
      <c r="P249" s="1"/>
      <c r="T249" s="57">
        <f>T204</f>
        <v>196.23</v>
      </c>
      <c r="U249" s="57">
        <f>U204</f>
        <v>1656.2764494983744</v>
      </c>
      <c r="V249" s="57">
        <f>V204</f>
        <v>47500.663942051942</v>
      </c>
      <c r="W249" s="57">
        <f>W204</f>
        <v>25855.330648875024</v>
      </c>
      <c r="X249" s="57">
        <f>X204</f>
        <v>7754.6789595746759</v>
      </c>
      <c r="AB249">
        <v>28</v>
      </c>
      <c r="AC249">
        <v>843</v>
      </c>
      <c r="AD249">
        <v>838</v>
      </c>
      <c r="AE249">
        <v>827</v>
      </c>
      <c r="AN249" s="78"/>
      <c r="AO249" s="78"/>
      <c r="BF249" s="51"/>
      <c r="BG249" s="1"/>
    </row>
    <row r="250" spans="1:59" x14ac:dyDescent="0.3">
      <c r="A250" t="s">
        <v>6</v>
      </c>
      <c r="B250" s="13">
        <v>3</v>
      </c>
      <c r="C250" s="5">
        <v>0</v>
      </c>
      <c r="D250" s="1">
        <v>1</v>
      </c>
      <c r="E250" s="1">
        <v>12</v>
      </c>
      <c r="F250" s="27">
        <v>546</v>
      </c>
      <c r="G250" s="6">
        <v>23</v>
      </c>
      <c r="H250" s="1">
        <f>SUM(C250:G250)</f>
        <v>582</v>
      </c>
      <c r="I250" s="10">
        <f>F250/H250</f>
        <v>0.93814432989690721</v>
      </c>
      <c r="J250" s="11">
        <f>1-I250</f>
        <v>6.1855670103092786E-2</v>
      </c>
      <c r="K250">
        <f>H250-F252</f>
        <v>-17</v>
      </c>
      <c r="N250" s="10">
        <f>2*(F253*I250)/(F253+I250)</f>
        <v>0.92464013547840818</v>
      </c>
      <c r="O250" s="1"/>
      <c r="P250" s="1"/>
      <c r="T250" s="57">
        <f>T214</f>
        <v>220.54</v>
      </c>
      <c r="U250" s="57">
        <f>U214</f>
        <v>1945.0601268360517</v>
      </c>
      <c r="V250" s="57">
        <f>V214</f>
        <v>47428.331433913118</v>
      </c>
      <c r="W250" s="57">
        <f>W214</f>
        <v>25039.60298683618</v>
      </c>
      <c r="X250" s="57">
        <f>X214</f>
        <v>8329.6554524146504</v>
      </c>
      <c r="AB250">
        <v>29</v>
      </c>
      <c r="AC250">
        <v>872</v>
      </c>
      <c r="AD250">
        <v>867</v>
      </c>
      <c r="AE250">
        <v>856</v>
      </c>
      <c r="BF250" s="51"/>
      <c r="BG250" s="1"/>
    </row>
    <row r="251" spans="1:59" x14ac:dyDescent="0.3">
      <c r="A251" t="s">
        <v>7</v>
      </c>
      <c r="B251" s="13">
        <v>4</v>
      </c>
      <c r="C251" s="7">
        <v>0</v>
      </c>
      <c r="D251" s="8">
        <v>108</v>
      </c>
      <c r="E251" s="8">
        <v>5</v>
      </c>
      <c r="F251" s="8">
        <v>42</v>
      </c>
      <c r="G251" s="28">
        <v>854</v>
      </c>
      <c r="H251" s="1">
        <f>SUM(C251:G251)</f>
        <v>1009</v>
      </c>
      <c r="I251" s="10">
        <f>G251/H251</f>
        <v>0.84638255698711595</v>
      </c>
      <c r="J251" s="11">
        <f>1-I251</f>
        <v>0.15361744301288405</v>
      </c>
      <c r="K251">
        <f>H251-G252</f>
        <v>122</v>
      </c>
      <c r="N251" s="10">
        <f>2*(G253*I251)/(G253+I251)</f>
        <v>0.90084388185654019</v>
      </c>
      <c r="O251" s="1"/>
      <c r="P251" s="1"/>
      <c r="AN251" s="78"/>
      <c r="AO251" s="78"/>
      <c r="BF251" s="51"/>
      <c r="BG251" s="1"/>
    </row>
    <row r="252" spans="1:59" ht="15.6" x14ac:dyDescent="0.35">
      <c r="B252" s="1" t="s">
        <v>19</v>
      </c>
      <c r="C252" s="1">
        <f>SUM(C247:C251)</f>
        <v>451</v>
      </c>
      <c r="D252" s="1">
        <f>SUM(D247:D251)</f>
        <v>164</v>
      </c>
      <c r="E252" s="1">
        <f>SUM(E247:E251)</f>
        <v>735</v>
      </c>
      <c r="F252" s="1">
        <f>SUM(F247:F251)</f>
        <v>599</v>
      </c>
      <c r="G252" s="1">
        <f>SUM(G247:G251)</f>
        <v>887</v>
      </c>
      <c r="H252" s="1">
        <f>SUM(H246:H251)</f>
        <v>2836</v>
      </c>
      <c r="I252" s="13" t="s">
        <v>12</v>
      </c>
      <c r="N252" s="16" t="s">
        <v>36</v>
      </c>
      <c r="O252" s="1">
        <f>SUM(O247:O251)</f>
        <v>0</v>
      </c>
      <c r="P252" s="1">
        <f>SUM(P247:P251)</f>
        <v>0</v>
      </c>
      <c r="BF252" s="51"/>
      <c r="BG252" s="1"/>
    </row>
    <row r="253" spans="1:59" x14ac:dyDescent="0.3">
      <c r="A253" s="1" t="s">
        <v>316</v>
      </c>
      <c r="B253" s="1" t="s">
        <v>2</v>
      </c>
      <c r="C253" s="10">
        <f>C247/C252</f>
        <v>1</v>
      </c>
      <c r="D253" s="10">
        <f>D248/D252</f>
        <v>0.33536585365853661</v>
      </c>
      <c r="E253" s="10">
        <f>E249/E252</f>
        <v>0.97414965986394553</v>
      </c>
      <c r="F253" s="10">
        <f>F250/F252</f>
        <v>0.91151919866444076</v>
      </c>
      <c r="G253" s="10">
        <f>G251/G252</f>
        <v>0.96279594137542279</v>
      </c>
      <c r="H253" s="10"/>
      <c r="I253" s="14">
        <f>(C247+D248+E249+F250+G251)/H252</f>
        <v>0.92454160789844853</v>
      </c>
      <c r="AN253" s="78"/>
      <c r="AO253" s="78"/>
      <c r="BF253" s="51"/>
      <c r="BG253" s="1"/>
    </row>
    <row r="254" spans="1:59" x14ac:dyDescent="0.3">
      <c r="B254" s="1" t="s">
        <v>14</v>
      </c>
      <c r="C254" s="11">
        <f>1-C253</f>
        <v>0</v>
      </c>
      <c r="D254" s="11">
        <f>1-D253</f>
        <v>0.66463414634146334</v>
      </c>
      <c r="E254" s="11">
        <f>1-E253</f>
        <v>2.5850340136054473E-2</v>
      </c>
      <c r="F254" s="11">
        <f>1-F253</f>
        <v>8.8480801335559245E-2</v>
      </c>
      <c r="G254" s="11">
        <f>1-G253</f>
        <v>3.7204058624577208E-2</v>
      </c>
      <c r="BF254" s="51"/>
      <c r="BG254" s="1"/>
    </row>
    <row r="255" spans="1:59" x14ac:dyDescent="0.3">
      <c r="C255" s="2"/>
      <c r="AN255" s="78"/>
      <c r="AO255" s="78"/>
      <c r="BF255" s="51"/>
      <c r="BG255" s="1"/>
    </row>
    <row r="256" spans="1:59" ht="15.6" x14ac:dyDescent="0.35">
      <c r="A256" t="s">
        <v>317</v>
      </c>
      <c r="B256" s="15" t="s">
        <v>23</v>
      </c>
      <c r="N256" s="12" t="s">
        <v>17</v>
      </c>
      <c r="O256" s="1" t="s">
        <v>27</v>
      </c>
      <c r="P256" s="1" t="s">
        <v>33</v>
      </c>
      <c r="BF256" s="51"/>
      <c r="BG256" s="1"/>
    </row>
    <row r="257" spans="1:59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  <c r="BF257" s="51"/>
      <c r="BG257" s="1"/>
    </row>
    <row r="258" spans="1:59" x14ac:dyDescent="0.3">
      <c r="A258" t="s">
        <v>3</v>
      </c>
      <c r="B258" s="13">
        <v>0</v>
      </c>
      <c r="C258" s="29">
        <f>(C247/$L258)*$O258</f>
        <v>0.26463543651105992</v>
      </c>
      <c r="D258" s="31">
        <f>(D247/$L258)*$O258</f>
        <v>0</v>
      </c>
      <c r="E258" s="31">
        <f>(E247/$L258)*$O258</f>
        <v>0</v>
      </c>
      <c r="F258" s="31">
        <f>(F247/$L258)*$O258</f>
        <v>0</v>
      </c>
      <c r="G258" s="32">
        <f>(G247/$L258)*$O258</f>
        <v>0</v>
      </c>
      <c r="H258" s="17">
        <f>SUM(C258:G258)</f>
        <v>0.26463543651105992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451</v>
      </c>
      <c r="M258">
        <v>0</v>
      </c>
      <c r="N258" s="1">
        <v>219.55</v>
      </c>
      <c r="O258" s="17">
        <f>N258/N263*100</f>
        <v>0.26463543651105992</v>
      </c>
      <c r="P258" s="52">
        <f>((O258*O258*(I258/100)*(K258/100))/(L258-1))</f>
        <v>0</v>
      </c>
      <c r="BF258" s="51"/>
      <c r="BG258" s="1"/>
    </row>
    <row r="259" spans="1:59" x14ac:dyDescent="0.3">
      <c r="A259" t="s">
        <v>4</v>
      </c>
      <c r="B259" s="13">
        <v>1</v>
      </c>
      <c r="C259" s="33">
        <f t="shared" ref="C259:G262" si="47">(C248/$L259)*$O259</f>
        <v>0</v>
      </c>
      <c r="D259" s="34">
        <f t="shared" si="47"/>
        <v>1.4977430817167123</v>
      </c>
      <c r="E259" s="19">
        <f t="shared" si="47"/>
        <v>5.446338478969863E-2</v>
      </c>
      <c r="F259" s="18">
        <f t="shared" si="47"/>
        <v>0</v>
      </c>
      <c r="G259" s="20">
        <f t="shared" si="47"/>
        <v>0</v>
      </c>
      <c r="H259" s="17">
        <f>SUM(C259:G259)</f>
        <v>1.552206466506411</v>
      </c>
      <c r="I259" s="17">
        <f>D259/H259*100</f>
        <v>96.491228070175438</v>
      </c>
      <c r="J259" s="17">
        <f>SQRT(I259*(100-I259)/(L259-1))</f>
        <v>2.4588241692166148</v>
      </c>
      <c r="K259" s="18">
        <f>100-I259</f>
        <v>3.5087719298245617</v>
      </c>
      <c r="L259" s="1">
        <f>H248</f>
        <v>57</v>
      </c>
      <c r="M259">
        <v>1</v>
      </c>
      <c r="N259" s="1">
        <v>1287.76</v>
      </c>
      <c r="O259" s="17">
        <f>N259/N263*100</f>
        <v>1.552206466506411</v>
      </c>
      <c r="P259" s="52">
        <f>((O259*O259*(I259/100)*(K259/100))/(L259-1))</f>
        <v>1.4566456745651135E-3</v>
      </c>
      <c r="AN259" s="78"/>
      <c r="AO259" s="78"/>
      <c r="BF259" s="51"/>
      <c r="BG259" s="1"/>
    </row>
    <row r="260" spans="1:59" x14ac:dyDescent="0.3">
      <c r="A260" t="s">
        <v>5</v>
      </c>
      <c r="B260" s="13">
        <v>2</v>
      </c>
      <c r="C260" s="33">
        <f t="shared" si="47"/>
        <v>0</v>
      </c>
      <c r="D260" s="19">
        <f t="shared" si="47"/>
        <v>0</v>
      </c>
      <c r="E260" s="34">
        <f t="shared" si="47"/>
        <v>56.765450821670051</v>
      </c>
      <c r="F260" s="19">
        <f t="shared" si="47"/>
        <v>0.87209491485805934</v>
      </c>
      <c r="G260" s="20">
        <f t="shared" si="47"/>
        <v>0.79281355896187222</v>
      </c>
      <c r="H260" s="17">
        <f>SUM(C260:G260)</f>
        <v>58.430359295489986</v>
      </c>
      <c r="I260" s="17">
        <f>E260/H260*100</f>
        <v>97.150610583446394</v>
      </c>
      <c r="J260" s="17">
        <f>SQRT(I260*(100-I260)/(L260-1))</f>
        <v>0.6132813578808467</v>
      </c>
      <c r="K260" s="18">
        <f>100-I260</f>
        <v>2.8493894165536062</v>
      </c>
      <c r="L260" s="1">
        <f>H249</f>
        <v>737</v>
      </c>
      <c r="M260">
        <v>2</v>
      </c>
      <c r="N260" s="1">
        <v>48475.69</v>
      </c>
      <c r="O260" s="17">
        <f>N260/N263*100</f>
        <v>58.430359295489978</v>
      </c>
      <c r="P260" s="52">
        <f>((O260*O260*(I260/100)*(K260/100))/(L260-1))</f>
        <v>0.12840934795272743</v>
      </c>
      <c r="BF260" s="51"/>
      <c r="BG260" s="1"/>
    </row>
    <row r="261" spans="1:59" x14ac:dyDescent="0.3">
      <c r="A261" t="s">
        <v>6</v>
      </c>
      <c r="B261" s="13">
        <v>3</v>
      </c>
      <c r="C261" s="33">
        <f t="shared" si="47"/>
        <v>0</v>
      </c>
      <c r="D261" s="19">
        <f t="shared" si="47"/>
        <v>5.2374819851842641E-2</v>
      </c>
      <c r="E261" s="19">
        <f t="shared" si="47"/>
        <v>0.62849783822211169</v>
      </c>
      <c r="F261" s="34">
        <f t="shared" si="47"/>
        <v>28.596651639106081</v>
      </c>
      <c r="G261" s="20">
        <f t="shared" si="47"/>
        <v>1.2046208565923808</v>
      </c>
      <c r="H261" s="17">
        <f>SUM(C261:G261)</f>
        <v>30.482145153772418</v>
      </c>
      <c r="I261" s="17">
        <f>F261/H261*100</f>
        <v>93.814432989690715</v>
      </c>
      <c r="J261" s="17">
        <f>SQRT(I261*(100-I261)/(L261-1))</f>
        <v>0.99939350092616819</v>
      </c>
      <c r="K261" s="18">
        <f>100-I261</f>
        <v>6.1855670103092848</v>
      </c>
      <c r="L261" s="1">
        <f>H250</f>
        <v>582</v>
      </c>
      <c r="M261">
        <v>3</v>
      </c>
      <c r="N261" s="1">
        <v>25288.959999999999</v>
      </c>
      <c r="O261" s="17">
        <f>N261/N263*100</f>
        <v>30.482145153772418</v>
      </c>
      <c r="P261" s="52">
        <f>((O261*O261*(I261/100)*(K261/100))/(L261-1))</f>
        <v>9.2803444417740091E-2</v>
      </c>
      <c r="AN261" s="78"/>
      <c r="AO261" s="78"/>
    </row>
    <row r="262" spans="1:59" x14ac:dyDescent="0.3">
      <c r="A262" t="s">
        <v>7</v>
      </c>
      <c r="B262" s="13">
        <v>4</v>
      </c>
      <c r="C262" s="35">
        <f t="shared" si="47"/>
        <v>0</v>
      </c>
      <c r="D262" s="36">
        <f t="shared" si="47"/>
        <v>0.99229989489967929</v>
      </c>
      <c r="E262" s="21">
        <f t="shared" si="47"/>
        <v>4.5939809949059225E-2</v>
      </c>
      <c r="F262" s="21">
        <f t="shared" si="47"/>
        <v>0.38589440357209753</v>
      </c>
      <c r="G262" s="37">
        <f t="shared" si="47"/>
        <v>7.8465195392993161</v>
      </c>
      <c r="H262" s="17">
        <f>SUM(C262:G262)</f>
        <v>9.2706536477201524</v>
      </c>
      <c r="I262" s="17">
        <f>G262/H262*100</f>
        <v>84.638255698711589</v>
      </c>
      <c r="J262" s="17">
        <f>SQRT(I262*(100-I262)/(L262-1))</f>
        <v>1.1357254351463504</v>
      </c>
      <c r="K262" s="18">
        <f>100-I262</f>
        <v>15.361744301288411</v>
      </c>
      <c r="L262" s="1">
        <f>H251</f>
        <v>1009</v>
      </c>
      <c r="M262">
        <v>4</v>
      </c>
      <c r="N262" s="1">
        <v>7691.23</v>
      </c>
      <c r="O262" s="17">
        <f>N262/N263*100</f>
        <v>9.2706536477201524</v>
      </c>
      <c r="P262" s="52">
        <f>((O262*O262*(I262/100)*(K262/100))/(L262-1))</f>
        <v>1.108580963125665E-2</v>
      </c>
    </row>
    <row r="263" spans="1:59" x14ac:dyDescent="0.3">
      <c r="B263" t="s">
        <v>28</v>
      </c>
      <c r="C263" s="17">
        <f>SUM(C258:C262)</f>
        <v>0.26463543651105992</v>
      </c>
      <c r="D263" s="17">
        <f>SUM(D258:D262)</f>
        <v>2.542417796468234</v>
      </c>
      <c r="E263" s="17">
        <f>SUM(E258:E262)</f>
        <v>57.494351854630921</v>
      </c>
      <c r="F263" s="17">
        <f>SUM(F258:F262)</f>
        <v>29.85464095753624</v>
      </c>
      <c r="G263" s="17">
        <f>SUM(G258:G262)</f>
        <v>9.8439539548535695</v>
      </c>
      <c r="H263" s="1">
        <f>SUM(H257:H262)</f>
        <v>100.00000000000003</v>
      </c>
      <c r="I263" s="13" t="s">
        <v>24</v>
      </c>
      <c r="J263" s="12" t="s">
        <v>29</v>
      </c>
      <c r="N263" s="1">
        <f>SUM(N258:N262)</f>
        <v>82963.189999999988</v>
      </c>
      <c r="O263" s="17">
        <f>SUM(O258:O262)</f>
        <v>100.00000000000001</v>
      </c>
      <c r="AM263" s="78"/>
      <c r="AN263" s="78"/>
      <c r="AO263" s="78"/>
    </row>
    <row r="264" spans="1:59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0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0.11095420900245792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0.40289571609711949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0.40515540142213885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0.36561699152822247</v>
      </c>
      <c r="H264" s="1"/>
      <c r="I264" s="56">
        <f>(C258+D259+E260+F261+G262)/H263</f>
        <v>0.94971000518303206</v>
      </c>
      <c r="J264" s="53">
        <f>SQRT(SUM(P258:P262))/100</f>
        <v>4.8348241713250476E-3</v>
      </c>
      <c r="M264" s="1"/>
      <c r="N264" s="9"/>
    </row>
    <row r="265" spans="1:59" x14ac:dyDescent="0.3">
      <c r="B265" s="1" t="s">
        <v>30</v>
      </c>
      <c r="C265" s="17">
        <f>C258/C263*100</f>
        <v>100</v>
      </c>
      <c r="D265" s="17">
        <f>D259/D263*100</f>
        <v>58.910187137506767</v>
      </c>
      <c r="E265" s="17">
        <f>E260/E263*100</f>
        <v>98.7322214975067</v>
      </c>
      <c r="F265" s="17">
        <f>F261/F263*100</f>
        <v>95.786285555336406</v>
      </c>
      <c r="G265" s="17">
        <f>G262/G263*100</f>
        <v>79.709023175901621</v>
      </c>
      <c r="H265" s="1"/>
      <c r="AM265" s="78"/>
      <c r="AN265" s="78"/>
      <c r="AO265" s="78"/>
    </row>
    <row r="266" spans="1:59" x14ac:dyDescent="0.3">
      <c r="B266" s="16" t="s">
        <v>39</v>
      </c>
      <c r="C266" s="18">
        <f>SQRT((C269+C270)/(C263*C263))</f>
        <v>0</v>
      </c>
      <c r="D266" s="18">
        <f>SQRT((D269+D270)/(D263*D263))</f>
        <v>6.6253917649360812</v>
      </c>
      <c r="E266" s="18">
        <f>SQRT((E269+E270)/(E263*E263))</f>
        <v>0.32712848308420406</v>
      </c>
      <c r="F266" s="18">
        <f>SQRT((F269+F270)/(F263*F263))</f>
        <v>0.96018183965867798</v>
      </c>
      <c r="G266" s="18">
        <f>SQRT((G269+G270)/(G263*G263))</f>
        <v>3.5722412470779594</v>
      </c>
      <c r="H266" s="1"/>
    </row>
    <row r="267" spans="1:59" x14ac:dyDescent="0.3">
      <c r="B267" s="1" t="s">
        <v>37</v>
      </c>
      <c r="C267" s="18">
        <f>100-C265</f>
        <v>0</v>
      </c>
      <c r="D267" s="18">
        <f>100-D265</f>
        <v>41.089812862493233</v>
      </c>
      <c r="E267" s="18">
        <f>100-E265</f>
        <v>1.2677785024933002</v>
      </c>
      <c r="F267" s="18">
        <f>100-F265</f>
        <v>4.2137144446635943</v>
      </c>
      <c r="G267" s="18">
        <f>100-G265</f>
        <v>20.290976824098379</v>
      </c>
      <c r="AM267" s="78"/>
      <c r="AN267" s="78"/>
      <c r="AO267" s="78"/>
    </row>
    <row r="268" spans="1:59" ht="15.6" x14ac:dyDescent="0.35">
      <c r="B268" s="1" t="s">
        <v>25</v>
      </c>
      <c r="C268" s="1">
        <f>C252</f>
        <v>451</v>
      </c>
      <c r="D268" s="1">
        <f>D252</f>
        <v>164</v>
      </c>
      <c r="E268" s="1">
        <f>E252</f>
        <v>735</v>
      </c>
      <c r="F268" s="1">
        <f>F252</f>
        <v>599</v>
      </c>
      <c r="G268" s="1">
        <f>G252</f>
        <v>887</v>
      </c>
    </row>
    <row r="269" spans="1:59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245.93608212072135</v>
      </c>
      <c r="E269" s="18">
        <f>(O260*O260*(100-E265)*(100-E265)*(I260)*(100-I260))/((L260-1)*100)</f>
        <v>20.638750796201982</v>
      </c>
      <c r="F269" s="18">
        <f>(O261*O261*(100-F265)*(100-F265)*(I261)*(100-I261))/((L261-1)*100)</f>
        <v>164.77612952625674</v>
      </c>
      <c r="G269" s="18">
        <f>(O262*O262*(100-G265)*(100-G265)*(I262)*(100-I262))/((L262-1)*100)</f>
        <v>456.42910075869366</v>
      </c>
      <c r="AM269" s="78"/>
      <c r="AN269" s="78"/>
      <c r="AO269" s="78"/>
    </row>
    <row r="270" spans="1:59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37.801567476116766</v>
      </c>
      <c r="E270" s="18">
        <f>E265*E265*(SUM((H258*E258*(1-E247/H247))/(H247-1),(H259*E259*(1-E248/H248))/(H248-1), (H261*E261*(1-E250/H250))/(H250-1),(H262*E262*(1-E251/H251))/(H251-1)))</f>
        <v>333.10362191225698</v>
      </c>
      <c r="F270" s="18">
        <f>F265*F265*(SUM((H258*F258*(1-F247/H247))/(H247-1),(H259*F259*(1-F248/H248))/(H248-1), (H260*F260*(1-F249/H249))/(H249-1),(H262*F262*(1-F251/H251))/(H251-1)))</f>
        <v>656.9567803872493</v>
      </c>
      <c r="G270" s="18">
        <f>G265*G265*(SUM((H258*G258*(1-G247/H247))/(H247-1),(H259*G259*(1-G248/H248))/(H248-1), (H260*G260*(1-G249/H249))/(H249-1),(H261*G261*(1-G250/H250))/(H250-1)))</f>
        <v>780.14660172837876</v>
      </c>
    </row>
    <row r="271" spans="1:59" x14ac:dyDescent="0.3">
      <c r="AM271" s="78"/>
      <c r="AN271" s="78"/>
      <c r="AO271" s="78"/>
    </row>
    <row r="272" spans="1:59" x14ac:dyDescent="0.3">
      <c r="T272" s="2"/>
    </row>
    <row r="273" spans="1:41" x14ac:dyDescent="0.3">
      <c r="A273" s="348" t="s">
        <v>371</v>
      </c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 t="s">
        <v>82</v>
      </c>
      <c r="M273" s="348"/>
      <c r="N273" s="348"/>
      <c r="O273" s="348"/>
      <c r="P273" s="348"/>
      <c r="AM273" s="78"/>
      <c r="AN273" s="78"/>
      <c r="AO273" s="78"/>
    </row>
    <row r="274" spans="1:41" ht="15" thickBot="1" x14ac:dyDescent="0.35">
      <c r="A274" t="s">
        <v>315</v>
      </c>
      <c r="B274" t="s">
        <v>21</v>
      </c>
      <c r="I274" s="1" t="s">
        <v>53</v>
      </c>
      <c r="O274" s="350" t="s">
        <v>377</v>
      </c>
      <c r="P274" s="350"/>
      <c r="R274" s="59" t="s">
        <v>73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72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51</v>
      </c>
      <c r="O275" s="13" t="s">
        <v>644</v>
      </c>
      <c r="P275" s="13" t="s">
        <v>633</v>
      </c>
      <c r="S275" t="s">
        <v>28</v>
      </c>
      <c r="T275" s="57">
        <f t="shared" ref="T275:X276" si="48">AVERAGE(T16,T26,T36,T46,T56)</f>
        <v>0.24371291015006555</v>
      </c>
      <c r="U275" s="57">
        <f t="shared" si="48"/>
        <v>2.1716585897060341</v>
      </c>
      <c r="V275" s="57">
        <f t="shared" si="48"/>
        <v>57.035296038232346</v>
      </c>
      <c r="W275" s="57">
        <f t="shared" si="48"/>
        <v>30.547920573337034</v>
      </c>
      <c r="X275" s="57">
        <f t="shared" si="48"/>
        <v>10.001411888574529</v>
      </c>
      <c r="Z275" s="14">
        <f>AVERAGE(AE16,AE17,AE18,AE19,AE20)</f>
        <v>0.94876676026930329</v>
      </c>
      <c r="AA275" s="72">
        <f>AVERAGE(AF16,AF17,AF18,AF19,AF20)</f>
        <v>4.9266997888530771E-3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451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451</v>
      </c>
      <c r="I276" s="10">
        <f>C276/H276</f>
        <v>1</v>
      </c>
      <c r="J276" s="11">
        <f>1-I276</f>
        <v>0</v>
      </c>
      <c r="K276">
        <f>H276-C281</f>
        <v>0</v>
      </c>
      <c r="N276" s="10">
        <f>2*(C282*I276)/(C282+I276)</f>
        <v>1</v>
      </c>
      <c r="O276" s="1"/>
      <c r="P276" s="1"/>
      <c r="S276" t="s">
        <v>39</v>
      </c>
      <c r="T276" s="57">
        <f t="shared" si="48"/>
        <v>0</v>
      </c>
      <c r="U276" s="57">
        <f t="shared" si="48"/>
        <v>8.8667933062777982E-2</v>
      </c>
      <c r="V276" s="57">
        <f t="shared" si="48"/>
        <v>0.40530601886496476</v>
      </c>
      <c r="W276" s="57">
        <f t="shared" si="48"/>
        <v>0.42707920698458013</v>
      </c>
      <c r="X276" s="57">
        <f t="shared" si="48"/>
        <v>0.36758171488815589</v>
      </c>
    </row>
    <row r="277" spans="1:41" x14ac:dyDescent="0.3">
      <c r="A277" t="s">
        <v>4</v>
      </c>
      <c r="B277" s="13">
        <v>1</v>
      </c>
      <c r="C277" s="5">
        <v>0</v>
      </c>
      <c r="D277" s="27">
        <v>55</v>
      </c>
      <c r="E277" s="1">
        <v>2</v>
      </c>
      <c r="F277" s="1">
        <v>0</v>
      </c>
      <c r="G277" s="6">
        <v>0</v>
      </c>
      <c r="H277" s="1">
        <f>SUM(C277:G277)</f>
        <v>57</v>
      </c>
      <c r="I277" s="10">
        <f>D277/H277</f>
        <v>0.96491228070175439</v>
      </c>
      <c r="J277" s="11">
        <f>1-I277</f>
        <v>3.5087719298245612E-2</v>
      </c>
      <c r="K277">
        <f>H277-D281</f>
        <v>-81</v>
      </c>
      <c r="N277" s="10">
        <f>2*(D282*I277)/(D282+I277)</f>
        <v>0.56410256410256421</v>
      </c>
      <c r="O277" s="1"/>
      <c r="P277" s="1"/>
      <c r="S277" s="66" t="s">
        <v>60</v>
      </c>
      <c r="T277" s="67">
        <f>1.96*T276</f>
        <v>0</v>
      </c>
      <c r="U277" s="67">
        <f>1.96*U276</f>
        <v>0.17378914880304483</v>
      </c>
      <c r="V277" s="67">
        <f>1.96*V276</f>
        <v>0.79439979697533092</v>
      </c>
      <c r="W277" s="67">
        <f>1.96*W276</f>
        <v>0.83707524568977709</v>
      </c>
      <c r="X277" s="67">
        <f>1.96*X276</f>
        <v>0.72046016118078549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1</v>
      </c>
      <c r="E278" s="27">
        <v>712</v>
      </c>
      <c r="F278" s="1">
        <v>14</v>
      </c>
      <c r="G278" s="6">
        <v>10</v>
      </c>
      <c r="H278" s="1">
        <f>SUM(C278:G278)</f>
        <v>737</v>
      </c>
      <c r="I278" s="10">
        <f>E278/H278</f>
        <v>0.96607869742198105</v>
      </c>
      <c r="J278" s="11">
        <f>1-I278</f>
        <v>3.3921302578018953E-2</v>
      </c>
      <c r="K278">
        <f>H278-E281</f>
        <v>7</v>
      </c>
      <c r="N278" s="10">
        <f>2*(E282*I278)/(E282+I278)</f>
        <v>0.97068847989093388</v>
      </c>
      <c r="O278" s="1"/>
      <c r="P278" s="1"/>
      <c r="S278" t="s">
        <v>30</v>
      </c>
      <c r="T278" s="57">
        <f t="shared" ref="T278:X279" si="49">AVERAGE(T18,T28,T38,T48,T58)</f>
        <v>100</v>
      </c>
      <c r="U278" s="57">
        <f t="shared" si="49"/>
        <v>69.0248865092112</v>
      </c>
      <c r="V278" s="57">
        <f t="shared" si="49"/>
        <v>98.818615837195097</v>
      </c>
      <c r="W278" s="57">
        <f t="shared" si="49"/>
        <v>94.534461180957862</v>
      </c>
      <c r="X278" s="57">
        <f t="shared" si="49"/>
        <v>79.095873968430851</v>
      </c>
    </row>
    <row r="279" spans="1:41" x14ac:dyDescent="0.3">
      <c r="A279" t="s">
        <v>6</v>
      </c>
      <c r="B279" s="13">
        <v>3</v>
      </c>
      <c r="C279" s="5">
        <v>0</v>
      </c>
      <c r="D279" s="1">
        <v>0</v>
      </c>
      <c r="E279" s="1">
        <v>9</v>
      </c>
      <c r="F279" s="27">
        <v>546</v>
      </c>
      <c r="G279" s="6">
        <v>27</v>
      </c>
      <c r="H279" s="1">
        <f>SUM(C279:G279)</f>
        <v>582</v>
      </c>
      <c r="I279" s="10">
        <f>F279/H279</f>
        <v>0.93814432989690721</v>
      </c>
      <c r="J279" s="11">
        <f>1-I279</f>
        <v>6.1855670103092786E-2</v>
      </c>
      <c r="K279">
        <f>H279-F281</f>
        <v>-37</v>
      </c>
      <c r="N279" s="10">
        <f>2*(F282*I279)/(F282+I279)</f>
        <v>0.90924229808492918</v>
      </c>
      <c r="O279" s="1"/>
      <c r="P279" s="1"/>
      <c r="S279" t="s">
        <v>39</v>
      </c>
      <c r="T279" s="57">
        <f t="shared" si="49"/>
        <v>0</v>
      </c>
      <c r="U279" s="57">
        <f t="shared" si="49"/>
        <v>5.6184851848274926</v>
      </c>
      <c r="V279" s="57">
        <f t="shared" si="49"/>
        <v>0.29850490862074952</v>
      </c>
      <c r="W279" s="57">
        <f t="shared" si="49"/>
        <v>1.0725467019872867</v>
      </c>
      <c r="X279" s="57">
        <f t="shared" si="49"/>
        <v>3.533449083983629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82</v>
      </c>
      <c r="E280" s="8">
        <v>7</v>
      </c>
      <c r="F280" s="8">
        <v>59</v>
      </c>
      <c r="G280" s="28">
        <v>861</v>
      </c>
      <c r="H280" s="1">
        <f>SUM(C280:G280)</f>
        <v>1009</v>
      </c>
      <c r="I280" s="10">
        <f>G280/H280</f>
        <v>0.85332011892963333</v>
      </c>
      <c r="J280" s="11">
        <f>1-I280</f>
        <v>0.14667988107036667</v>
      </c>
      <c r="K280">
        <f>H280-G281</f>
        <v>111</v>
      </c>
      <c r="N280" s="10">
        <f>2*(G282*I280)/(G282+I280)</f>
        <v>0.90298898793917159</v>
      </c>
      <c r="O280" s="1"/>
      <c r="P280" s="1"/>
      <c r="S280" s="66" t="s">
        <v>60</v>
      </c>
      <c r="T280" s="67">
        <f>1.96*T279</f>
        <v>0</v>
      </c>
      <c r="U280" s="67">
        <f>1.96*U279</f>
        <v>11.012230962261885</v>
      </c>
      <c r="V280" s="67">
        <f>1.96*V279</f>
        <v>0.58506962089666903</v>
      </c>
      <c r="W280" s="67">
        <f>1.96*W279</f>
        <v>2.102191535895082</v>
      </c>
      <c r="X280" s="67">
        <f>1.96*X279</f>
        <v>6.9255602046079128</v>
      </c>
    </row>
    <row r="281" spans="1:41" ht="15.6" x14ac:dyDescent="0.35">
      <c r="B281" s="1" t="s">
        <v>19</v>
      </c>
      <c r="C281" s="1">
        <f>SUM(C276:C280)</f>
        <v>451</v>
      </c>
      <c r="D281" s="1">
        <f>SUM(D276:D280)</f>
        <v>138</v>
      </c>
      <c r="E281" s="1">
        <f>SUM(E276:E280)</f>
        <v>730</v>
      </c>
      <c r="F281" s="1">
        <f>SUM(F276:F280)</f>
        <v>619</v>
      </c>
      <c r="G281" s="1">
        <f>SUM(G276:G280)</f>
        <v>898</v>
      </c>
      <c r="H281" s="1">
        <f>SUM(H275:H280)</f>
        <v>2836</v>
      </c>
      <c r="I281" s="13" t="s">
        <v>12</v>
      </c>
      <c r="N281" s="16" t="s">
        <v>36</v>
      </c>
      <c r="O281" s="1">
        <f>SUM(O276:O280)</f>
        <v>0</v>
      </c>
      <c r="P281" s="1">
        <f>SUM(P276:P280)</f>
        <v>0</v>
      </c>
      <c r="S281" t="s">
        <v>31</v>
      </c>
      <c r="T281" s="57">
        <f t="shared" ref="T281:X282" si="50">AVERAGE(T20,T30,T40,T50,T60)</f>
        <v>100</v>
      </c>
      <c r="U281" s="57">
        <f t="shared" si="50"/>
        <v>96.84210526315789</v>
      </c>
      <c r="V281" s="57">
        <f t="shared" si="50"/>
        <v>96.906377204884663</v>
      </c>
      <c r="W281" s="57">
        <f t="shared" si="50"/>
        <v>93.814432989690715</v>
      </c>
      <c r="X281" s="57">
        <f t="shared" si="50"/>
        <v>85.173439048562926</v>
      </c>
      <c r="AM281" s="78"/>
      <c r="AN281" s="78"/>
      <c r="AO281" s="78"/>
    </row>
    <row r="282" spans="1:41" x14ac:dyDescent="0.3">
      <c r="A282" s="1" t="s">
        <v>316</v>
      </c>
      <c r="B282" s="1" t="s">
        <v>2</v>
      </c>
      <c r="C282" s="10">
        <f>C276/C281</f>
        <v>1</v>
      </c>
      <c r="D282" s="10">
        <f>D277/D281</f>
        <v>0.39855072463768115</v>
      </c>
      <c r="E282" s="10">
        <f>E278/E281</f>
        <v>0.97534246575342465</v>
      </c>
      <c r="F282" s="10">
        <f>F279/F281</f>
        <v>0.88206785137318255</v>
      </c>
      <c r="G282" s="10">
        <f>G280/G281</f>
        <v>0.95879732739420931</v>
      </c>
      <c r="H282" s="10"/>
      <c r="I282" s="14">
        <f>(C276+D277+E278+F279+G280)/H281</f>
        <v>0.92559943582510573</v>
      </c>
      <c r="S282" t="s">
        <v>39</v>
      </c>
      <c r="T282" s="57">
        <f t="shared" si="50"/>
        <v>0</v>
      </c>
      <c r="U282" s="57">
        <f t="shared" si="50"/>
        <v>2.3179365283557471</v>
      </c>
      <c r="V282" s="57">
        <f t="shared" si="50"/>
        <v>0.63408948140399279</v>
      </c>
      <c r="W282" s="57">
        <f t="shared" si="50"/>
        <v>0.9975223129367341</v>
      </c>
      <c r="X282" s="57">
        <f t="shared" si="50"/>
        <v>1.1188589850618125</v>
      </c>
    </row>
    <row r="283" spans="1:41" x14ac:dyDescent="0.3">
      <c r="B283" s="1" t="s">
        <v>14</v>
      </c>
      <c r="C283" s="11">
        <f>1-C282</f>
        <v>0</v>
      </c>
      <c r="D283" s="11">
        <f>1-D282</f>
        <v>0.60144927536231885</v>
      </c>
      <c r="E283" s="11">
        <f>1-E282</f>
        <v>2.4657534246575352E-2</v>
      </c>
      <c r="F283" s="11">
        <f>1-F282</f>
        <v>0.11793214862681745</v>
      </c>
      <c r="G283" s="11">
        <f>1-G282</f>
        <v>4.1202672605790691E-2</v>
      </c>
      <c r="S283" s="66" t="s">
        <v>60</v>
      </c>
      <c r="T283" s="67">
        <f>1.96*T282</f>
        <v>0</v>
      </c>
      <c r="U283" s="67">
        <f>1.96*U282</f>
        <v>4.5431555955772644</v>
      </c>
      <c r="V283" s="67">
        <f>1.96*V282</f>
        <v>1.2428153835518259</v>
      </c>
      <c r="W283" s="67">
        <f>1.96*W282</f>
        <v>1.9551437333559989</v>
      </c>
      <c r="X283" s="67">
        <f>1.96*X282</f>
        <v>2.1929636107211525</v>
      </c>
      <c r="AM283" s="78"/>
      <c r="AN283" s="78"/>
      <c r="AO283" s="78"/>
    </row>
    <row r="284" spans="1:41" x14ac:dyDescent="0.3">
      <c r="C284" s="2"/>
      <c r="S284" t="s">
        <v>51</v>
      </c>
      <c r="T284" s="57">
        <f>AVERAGE(T22,T32,T42,T52,T62)</f>
        <v>100</v>
      </c>
      <c r="U284" s="57">
        <f>AVERAGE(U22,U32,U42,U52,U62)</f>
        <v>60.256452530962335</v>
      </c>
      <c r="V284" s="57">
        <f>AVERAGE(V22,V32,V42,V52,V62)</f>
        <v>96.75138380191612</v>
      </c>
      <c r="W284" s="57">
        <f>AVERAGE(W22,W32,W42,W52,W62)</f>
        <v>90.598863352472293</v>
      </c>
      <c r="X284" s="57">
        <f>AVERAGE(X22,X32,X42,X52,X62)</f>
        <v>90.281500849447028</v>
      </c>
    </row>
    <row r="285" spans="1:41" ht="15.6" x14ac:dyDescent="0.35">
      <c r="A285" t="s">
        <v>317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</v>
      </c>
      <c r="U285" s="57">
        <f>_xlfn.STDEV.S(U22,U32,U42,U52,U62)</f>
        <v>5.3774229616242142</v>
      </c>
      <c r="V285" s="57">
        <f>_xlfn.STDEV.S(V22,V32,V42,V52,V62)</f>
        <v>0.77741324292450198</v>
      </c>
      <c r="W285" s="57">
        <f>_xlfn.STDEV.S(W22,W32,W42,W52,W62)</f>
        <v>0.98793052842694895</v>
      </c>
      <c r="X285" s="57">
        <f>_xlfn.STDEV.S(X22,X32,X42,X52,X62)</f>
        <v>0.30806632968932784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60</v>
      </c>
      <c r="T286" s="67">
        <f>1.96*T285</f>
        <v>0</v>
      </c>
      <c r="U286" s="67">
        <f>1.96*U285</f>
        <v>10.539749004783459</v>
      </c>
      <c r="V286" s="67">
        <f>1.96*V285</f>
        <v>1.5237299561320239</v>
      </c>
      <c r="W286" s="67">
        <f>1.96*W285</f>
        <v>1.9363438357168199</v>
      </c>
      <c r="X286" s="67">
        <f>1.96*X285</f>
        <v>0.6038100061910826</v>
      </c>
    </row>
    <row r="287" spans="1:41" x14ac:dyDescent="0.3">
      <c r="A287" t="s">
        <v>3</v>
      </c>
      <c r="B287" s="13">
        <v>0</v>
      </c>
      <c r="C287" s="29">
        <f>(C276/$L287)*$O287</f>
        <v>0.24792923222937785</v>
      </c>
      <c r="D287" s="31">
        <f>(D276/$L287)*$O287</f>
        <v>0</v>
      </c>
      <c r="E287" s="31">
        <f>(E276/$L287)*$O287</f>
        <v>0</v>
      </c>
      <c r="F287" s="31">
        <f>(F276/$L287)*$O287</f>
        <v>0</v>
      </c>
      <c r="G287" s="32">
        <f>(G276/$L287)*$O287</f>
        <v>0</v>
      </c>
      <c r="H287" s="17">
        <f>SUM(C287:G287)</f>
        <v>0.24792923222937785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451</v>
      </c>
      <c r="M287">
        <v>0</v>
      </c>
      <c r="N287" s="1">
        <v>205.69</v>
      </c>
      <c r="O287" s="17">
        <f>N287/N292*100</f>
        <v>0.24792923222937785</v>
      </c>
      <c r="P287" s="52">
        <f>((O287*O287*(I287/100)*(K287/100))/(L287-1))</f>
        <v>0</v>
      </c>
      <c r="R287" s="16" t="s">
        <v>70</v>
      </c>
      <c r="S287" t="s">
        <v>9</v>
      </c>
      <c r="T287" s="57">
        <f>AVERAGE(T23,T33,T43,T53,T63)</f>
        <v>202.19200000000001</v>
      </c>
      <c r="U287" s="57">
        <f>AVERAGE(U23,U33,U43,U53,U63)</f>
        <v>1278.78</v>
      </c>
      <c r="V287" s="57">
        <f>AVERAGE(V23,V33,V43,V53,V63)</f>
        <v>48249.758000000002</v>
      </c>
      <c r="W287" s="57">
        <f>AVERAGE(W23,W33,W43,W53,W63)</f>
        <v>25537.781999999999</v>
      </c>
      <c r="X287" s="57">
        <f>AVERAGE(X23,X33,X43,X53,X63)</f>
        <v>7694.6759999999995</v>
      </c>
      <c r="Z287" t="s">
        <v>36</v>
      </c>
      <c r="AA287" s="57">
        <f>AVERAGE(AA23,AA33,AA43,AA53,AA63)</f>
        <v>82963.187999999995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51">(C277/$L288)*$O288</f>
        <v>0</v>
      </c>
      <c r="D288" s="34">
        <f t="shared" si="51"/>
        <v>1.4694807060522124</v>
      </c>
      <c r="E288" s="19">
        <f t="shared" si="51"/>
        <v>5.343566203826227E-2</v>
      </c>
      <c r="F288" s="18">
        <f t="shared" si="51"/>
        <v>0</v>
      </c>
      <c r="G288" s="20">
        <f t="shared" si="51"/>
        <v>0</v>
      </c>
      <c r="H288" s="17">
        <f>SUM(C288:G288)</f>
        <v>1.5229163680904747</v>
      </c>
      <c r="I288" s="17">
        <f>D288/H288*100</f>
        <v>96.491228070175438</v>
      </c>
      <c r="J288" s="17">
        <f>SQRT(I288*(100-I288)/(L288-1))</f>
        <v>2.4588241692166148</v>
      </c>
      <c r="K288" s="18">
        <f>100-I288</f>
        <v>3.5087719298245617</v>
      </c>
      <c r="L288" s="1">
        <f>H277</f>
        <v>57</v>
      </c>
      <c r="M288">
        <v>1</v>
      </c>
      <c r="N288" s="1">
        <v>1263.46</v>
      </c>
      <c r="O288" s="17">
        <f>N288/N292*100</f>
        <v>1.5229163680904747</v>
      </c>
      <c r="P288" s="52">
        <f>((O288*O288*(I288/100)*(K288/100))/(L288-1))</f>
        <v>1.402190613934876E-3</v>
      </c>
      <c r="S288" t="s">
        <v>29</v>
      </c>
      <c r="T288" s="57">
        <f>_xlfn.STDEV.S(T23,T33,T43,T53,T63)</f>
        <v>5.6350616678080891</v>
      </c>
      <c r="U288" s="57">
        <f>_xlfn.STDEV.S(U23,U33,U43,U53,U63)</f>
        <v>79.753297737460386</v>
      </c>
      <c r="V288" s="57">
        <f>_xlfn.STDEV.S(V23,V33,V43,V53,V63)</f>
        <v>318.45227769636045</v>
      </c>
      <c r="W288" s="57">
        <f>_xlfn.STDEV.S(W23,W33,W43,W53,W63)</f>
        <v>258.31348110387194</v>
      </c>
      <c r="X288" s="57">
        <f>_xlfn.STDEV.S(X23,X33,X43,X53,X63)</f>
        <v>320.26688492568206</v>
      </c>
      <c r="Z288" t="s">
        <v>29</v>
      </c>
      <c r="AA288" s="57">
        <f>_xlfn.STDEV.S(AA23,AA33,AA43,AA53,AA63)</f>
        <v>8.3666002644363271E-3</v>
      </c>
    </row>
    <row r="289" spans="1:41" x14ac:dyDescent="0.3">
      <c r="A289" t="s">
        <v>5</v>
      </c>
      <c r="B289" s="13">
        <v>2</v>
      </c>
      <c r="C289" s="33">
        <f t="shared" si="51"/>
        <v>0</v>
      </c>
      <c r="D289" s="19">
        <f t="shared" si="51"/>
        <v>7.9011091686191526E-2</v>
      </c>
      <c r="E289" s="34">
        <f t="shared" si="51"/>
        <v>56.255897280568369</v>
      </c>
      <c r="F289" s="19">
        <f t="shared" si="51"/>
        <v>1.1061552836066815</v>
      </c>
      <c r="G289" s="20">
        <f t="shared" si="51"/>
        <v>0.79011091686191526</v>
      </c>
      <c r="H289" s="17">
        <f>SUM(C289:G289)</f>
        <v>58.231174572723155</v>
      </c>
      <c r="I289" s="17">
        <f>E289/H289*100</f>
        <v>96.607869742198105</v>
      </c>
      <c r="J289" s="17">
        <f>SQRT(I289*(100-I289)/(L289-1))</f>
        <v>0.66727308275993225</v>
      </c>
      <c r="K289" s="18">
        <f>100-I289</f>
        <v>3.3921302578018953</v>
      </c>
      <c r="L289" s="1">
        <f>H278</f>
        <v>737</v>
      </c>
      <c r="M289">
        <v>2</v>
      </c>
      <c r="N289" s="1">
        <v>48310.44</v>
      </c>
      <c r="O289" s="17">
        <f>N289/N292*100</f>
        <v>58.231174572723155</v>
      </c>
      <c r="P289" s="52">
        <f>((O289*O289*(I289/100)*(K289/100))/(L289-1))</f>
        <v>0.15097961473926477</v>
      </c>
      <c r="S289" t="s">
        <v>60</v>
      </c>
      <c r="T289" s="57">
        <f>1.96*T288</f>
        <v>11.044720868903855</v>
      </c>
      <c r="U289" s="57">
        <f>1.96*U288</f>
        <v>156.31646356542237</v>
      </c>
      <c r="V289" s="57">
        <f>1.96*V288</f>
        <v>624.16646428486649</v>
      </c>
      <c r="W289" s="57">
        <f>1.96*W288</f>
        <v>506.294422963589</v>
      </c>
      <c r="X289" s="57">
        <f>1.96*X288</f>
        <v>627.72309445433689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51"/>
        <v>0</v>
      </c>
      <c r="D290" s="19">
        <f t="shared" si="51"/>
        <v>0</v>
      </c>
      <c r="E290" s="19">
        <f t="shared" si="51"/>
        <v>0.47106825017538551</v>
      </c>
      <c r="F290" s="34">
        <f t="shared" si="51"/>
        <v>28.578140510640054</v>
      </c>
      <c r="G290" s="20">
        <f t="shared" si="51"/>
        <v>1.4132047505261565</v>
      </c>
      <c r="H290" s="17">
        <f>SUM(C290:G290)</f>
        <v>30.462413511341595</v>
      </c>
      <c r="I290" s="17">
        <f>F290/H290*100</f>
        <v>93.814432989690715</v>
      </c>
      <c r="J290" s="17">
        <f>SQRT(I290*(100-I290)/(L290-1))</f>
        <v>0.99939350092616819</v>
      </c>
      <c r="K290" s="18">
        <f>100-I290</f>
        <v>6.1855670103092848</v>
      </c>
      <c r="L290" s="1">
        <f>H279</f>
        <v>582</v>
      </c>
      <c r="M290">
        <v>3</v>
      </c>
      <c r="N290" s="1">
        <v>25272.59</v>
      </c>
      <c r="O290" s="17">
        <f>N290/N292*100</f>
        <v>30.462413511341595</v>
      </c>
      <c r="P290" s="52">
        <f>((O290*O290*(I290/100)*(K290/100))/(L290-1))</f>
        <v>9.2683336616960543E-2</v>
      </c>
      <c r="R290" s="16" t="s">
        <v>69</v>
      </c>
      <c r="S290" t="s">
        <v>9</v>
      </c>
      <c r="T290" s="57">
        <f>AVERAGE(T24,T34,T44,T54,T64)</f>
        <v>202.19200000000001</v>
      </c>
      <c r="U290" s="57">
        <f>AVERAGE(U24,U34,U44,U54,U64)</f>
        <v>1801.6772024707248</v>
      </c>
      <c r="V290" s="57">
        <f>AVERAGE(V24,V34,V44,V54,V64)</f>
        <v>47318.299837224731</v>
      </c>
      <c r="W290" s="57">
        <f>AVERAGE(W24,W34,W44,W54,W64)</f>
        <v>25343.528776023941</v>
      </c>
      <c r="X290" s="57">
        <f>AVERAGE(X24,X34,X44,X54,X64)</f>
        <v>8297.490184280603</v>
      </c>
      <c r="Z290" t="s">
        <v>36</v>
      </c>
      <c r="AA290" s="24">
        <f>SUM(T290:X290)</f>
        <v>82963.187999999995</v>
      </c>
    </row>
    <row r="291" spans="1:41" x14ac:dyDescent="0.3">
      <c r="A291" t="s">
        <v>7</v>
      </c>
      <c r="B291" s="13">
        <v>4</v>
      </c>
      <c r="C291" s="35">
        <f t="shared" si="51"/>
        <v>0</v>
      </c>
      <c r="D291" s="36">
        <f t="shared" si="51"/>
        <v>0.77494196023831763</v>
      </c>
      <c r="E291" s="21">
        <f t="shared" si="51"/>
        <v>6.6153581971563694E-2</v>
      </c>
      <c r="F291" s="21">
        <f t="shared" si="51"/>
        <v>0.55758019090317978</v>
      </c>
      <c r="G291" s="37">
        <f t="shared" si="51"/>
        <v>8.1368905825023354</v>
      </c>
      <c r="H291" s="17">
        <f>SUM(C291:G291)</f>
        <v>9.5355663156153962</v>
      </c>
      <c r="I291" s="17">
        <f>G291/H291*100</f>
        <v>85.332011892963337</v>
      </c>
      <c r="J291" s="17">
        <f>SQRT(I291*(100-I291)/(L291-1))</f>
        <v>1.1143227601931236</v>
      </c>
      <c r="K291" s="18">
        <f>100-I291</f>
        <v>14.667988107036663</v>
      </c>
      <c r="L291" s="1">
        <f>H280</f>
        <v>1009</v>
      </c>
      <c r="M291">
        <v>4</v>
      </c>
      <c r="N291" s="1">
        <v>7911.01</v>
      </c>
      <c r="O291" s="17">
        <f>N291/N292*100</f>
        <v>9.5355663156153962</v>
      </c>
      <c r="P291" s="52">
        <f>((O291*O291*(I291/100)*(K291/100))/(L291-1))</f>
        <v>1.1290547024545844E-2</v>
      </c>
      <c r="S291" t="s">
        <v>29</v>
      </c>
      <c r="T291" s="57">
        <f>_xlfn.STDEV.S(T24,T34,T44,T54,T64)</f>
        <v>5.6350616678080963</v>
      </c>
      <c r="U291" s="57">
        <f>_xlfn.STDEV.S(U24,U34,U44,U54,U64)</f>
        <v>131.63501825430438</v>
      </c>
      <c r="V291" s="57">
        <f>_xlfn.STDEV.S(V24,V34,V44,V54,V64)</f>
        <v>686.85733137184206</v>
      </c>
      <c r="W291" s="57">
        <f>_xlfn.STDEV.S(W24,W34,W44,W54,W64)</f>
        <v>291.27145306256568</v>
      </c>
      <c r="X291" s="57">
        <f>_xlfn.STDEV.S(X24,X34,X44,X54,X64)</f>
        <v>578.91855598775976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0.24792923222937785</v>
      </c>
      <c r="D292" s="17">
        <f>SUM(D287:D291)</f>
        <v>2.3234337579767215</v>
      </c>
      <c r="E292" s="17">
        <f>SUM(E287:E291)</f>
        <v>56.846554774753578</v>
      </c>
      <c r="F292" s="17">
        <f>SUM(F287:F291)</f>
        <v>30.241875985149917</v>
      </c>
      <c r="G292" s="17">
        <f>SUM(G287:G291)</f>
        <v>10.340206249890407</v>
      </c>
      <c r="H292" s="1">
        <f>SUM(H286:H291)</f>
        <v>100</v>
      </c>
      <c r="I292" s="13" t="s">
        <v>24</v>
      </c>
      <c r="J292" s="12" t="s">
        <v>29</v>
      </c>
      <c r="N292" s="1">
        <f>SUM(N287:N291)</f>
        <v>82963.19</v>
      </c>
      <c r="O292" s="17">
        <f>SUM(O287:O291)</f>
        <v>100</v>
      </c>
      <c r="S292" s="66" t="s">
        <v>60</v>
      </c>
      <c r="T292" s="67">
        <f>1.96*T291</f>
        <v>11.044720868903868</v>
      </c>
      <c r="U292" s="67">
        <f>1.96*U291</f>
        <v>258.00463577843658</v>
      </c>
      <c r="V292" s="67">
        <f>1.96*V291</f>
        <v>1346.2403694888105</v>
      </c>
      <c r="W292" s="67">
        <f>1.96*W291</f>
        <v>570.89204800262871</v>
      </c>
      <c r="X292" s="67">
        <f>1.96*X291</f>
        <v>1134.6803697360092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0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0.11975096045626976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0.42077079260348449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0.42804637897519876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0.37867762144950862</v>
      </c>
      <c r="H293" s="1"/>
      <c r="I293" s="56">
        <f>(C287+D288+E289+F290+G291)/H292</f>
        <v>0.94688338311992337</v>
      </c>
      <c r="J293" s="53">
        <f>SQRT(SUM(P287:P291))/100</f>
        <v>5.0631579966924399E-3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100</v>
      </c>
      <c r="D294" s="17">
        <f>D288/D292*100</f>
        <v>63.246077104942152</v>
      </c>
      <c r="E294" s="17">
        <f>E289/E292*100</f>
        <v>98.960961668608405</v>
      </c>
      <c r="F294" s="17">
        <f>F290/F292*100</f>
        <v>94.498570540640955</v>
      </c>
      <c r="G294" s="17">
        <f>G291/G292*100</f>
        <v>78.691762870673642</v>
      </c>
      <c r="H294" s="1"/>
    </row>
    <row r="295" spans="1:41" x14ac:dyDescent="0.3">
      <c r="B295" s="16" t="s">
        <v>39</v>
      </c>
      <c r="C295" s="18">
        <f>SQRT((C298+C299)/(C292*C292))</f>
        <v>0</v>
      </c>
      <c r="D295" s="18">
        <f>SQRT((D298+D299)/(D292*D292))</f>
        <v>6.686100808398967</v>
      </c>
      <c r="E295" s="18">
        <f>SQRT((E298+E299)/(E292*E292))</f>
        <v>0.29132321382203608</v>
      </c>
      <c r="F295" s="18">
        <f>SQRT((F298+F299)/(F292*F292))</f>
        <v>1.0924753816147426</v>
      </c>
      <c r="G295" s="18">
        <f>SQRT((G298+G299)/(G292*G292))</f>
        <v>3.5296185586856095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0</v>
      </c>
      <c r="D296" s="18">
        <f>100-D294</f>
        <v>36.753922895057848</v>
      </c>
      <c r="E296" s="18">
        <f>100-E294</f>
        <v>1.0390383313915947</v>
      </c>
      <c r="F296" s="18">
        <f>100-F294</f>
        <v>5.5014294593590449</v>
      </c>
      <c r="G296" s="18">
        <f>100-G294</f>
        <v>21.308237129326358</v>
      </c>
    </row>
    <row r="297" spans="1:41" ht="15.6" x14ac:dyDescent="0.35">
      <c r="B297" s="1" t="s">
        <v>25</v>
      </c>
      <c r="C297" s="1">
        <f>C281</f>
        <v>451</v>
      </c>
      <c r="D297" s="1">
        <f>D281</f>
        <v>138</v>
      </c>
      <c r="E297" s="1">
        <f>E281</f>
        <v>730</v>
      </c>
      <c r="F297" s="1">
        <f>F281</f>
        <v>619</v>
      </c>
      <c r="G297" s="1">
        <f>G281</f>
        <v>898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189.41503801381532</v>
      </c>
      <c r="E298" s="18">
        <f>(O289*O289*(100-E294)*(100-E294)*(I289)*(100-I289))/((L289-1)*100)</f>
        <v>16.299769082843167</v>
      </c>
      <c r="F298" s="18">
        <f>(O290*O290*(100-F294)*(100-F294)*(I290)*(100-I290))/((L290-1)*100)</f>
        <v>280.51284797404293</v>
      </c>
      <c r="G298" s="18">
        <f>(O291*O291*(100-G294)*(100-G294)*(I291)*(100-I291))/((L291-1)*100)</f>
        <v>512.63709178830788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51.912249083420853</v>
      </c>
      <c r="E299" s="18">
        <f>E294*E294*(SUM((H287*E287*(1-E276/H276))/(H276-1),(H288*E288*(1-E277/H277))/(H277-1), (H290*E290*(1-E279/H279))/(H279-1),(H291*E291*(1-E280/H280))/(H280-1)))</f>
        <v>257.95771200667002</v>
      </c>
      <c r="F299" s="18">
        <f>F294*F294*(SUM((H287*F287*(1-F276/H276))/(H276-1),(H288*F288*(1-F277/H277))/(H277-1), (H289*F289*(1-F278/H278))/(H278-1),(H291*F291*(1-F280/H280))/(H280-1)))</f>
        <v>811.02996516464577</v>
      </c>
      <c r="G299" s="18">
        <f>G294*G294*(SUM((H287*G287*(1-G276/H276))/(H276-1),(H288*G288*(1-G277/H277))/(H277-1), (H289*G289*(1-G278/H278))/(H278-1),(H290*G290*(1-G279/H279))/(H279-1)))</f>
        <v>819.39274056692864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48" t="s">
        <v>371</v>
      </c>
      <c r="B302" s="348"/>
      <c r="C302" s="348"/>
      <c r="D302" s="348"/>
      <c r="E302" s="348"/>
      <c r="F302" s="348"/>
      <c r="G302" s="348"/>
      <c r="H302" s="348"/>
      <c r="I302" s="348"/>
      <c r="J302" s="348"/>
      <c r="K302" s="348"/>
      <c r="L302" s="348" t="s">
        <v>83</v>
      </c>
      <c r="M302" s="348"/>
      <c r="N302" s="348"/>
      <c r="O302" s="348"/>
      <c r="P302" s="348"/>
    </row>
    <row r="303" spans="1:41" x14ac:dyDescent="0.3">
      <c r="A303" t="s">
        <v>315</v>
      </c>
      <c r="B303" t="s">
        <v>21</v>
      </c>
      <c r="I303" s="1" t="s">
        <v>53</v>
      </c>
      <c r="O303" s="350" t="s">
        <v>377</v>
      </c>
      <c r="P303" s="350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51</v>
      </c>
      <c r="O304" s="13" t="s">
        <v>644</v>
      </c>
      <c r="P304" s="13" t="s">
        <v>633</v>
      </c>
    </row>
    <row r="305" spans="1:41" x14ac:dyDescent="0.3">
      <c r="A305" t="s">
        <v>3</v>
      </c>
      <c r="B305" s="13">
        <v>0</v>
      </c>
      <c r="C305" s="26">
        <v>451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451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55</v>
      </c>
      <c r="E306" s="1">
        <v>2</v>
      </c>
      <c r="F306" s="1">
        <v>0</v>
      </c>
      <c r="G306" s="6">
        <v>0</v>
      </c>
      <c r="H306" s="1">
        <f>SUM(C306:G306)</f>
        <v>57</v>
      </c>
      <c r="I306" s="10">
        <f>D306/H306</f>
        <v>0.96491228070175439</v>
      </c>
      <c r="J306" s="11">
        <f>1-I306</f>
        <v>3.5087719298245612E-2</v>
      </c>
      <c r="K306">
        <f>H306-D310</f>
        <v>-80</v>
      </c>
      <c r="N306" s="10">
        <f>2*(D311*I306)/(D311+I306)</f>
        <v>0.5670103092783505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1</v>
      </c>
      <c r="E307" s="27">
        <v>708</v>
      </c>
      <c r="F307" s="1">
        <v>14</v>
      </c>
      <c r="G307" s="6">
        <v>14</v>
      </c>
      <c r="H307" s="1">
        <f>SUM(C307:G307)</f>
        <v>737</v>
      </c>
      <c r="I307" s="10">
        <f>E307/H307</f>
        <v>0.96065128900949792</v>
      </c>
      <c r="J307" s="11">
        <f>1-I307</f>
        <v>3.9348710990502078E-2</v>
      </c>
      <c r="K307">
        <f>H307-E310</f>
        <v>4</v>
      </c>
      <c r="N307" s="10">
        <f>2*(E311*I307)/(E311+I307)</f>
        <v>0.96326530612244898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0</v>
      </c>
      <c r="D308" s="1">
        <v>0</v>
      </c>
      <c r="E308" s="1">
        <v>8</v>
      </c>
      <c r="F308" s="27">
        <v>542</v>
      </c>
      <c r="G308" s="6">
        <v>32</v>
      </c>
      <c r="H308" s="1">
        <f>SUM(C308:G308)</f>
        <v>582</v>
      </c>
      <c r="I308" s="10">
        <f>F308/H308</f>
        <v>0.93127147766323026</v>
      </c>
      <c r="J308" s="11">
        <f>1-I308</f>
        <v>6.8728522336769737E-2</v>
      </c>
      <c r="K308">
        <f>H308-F310</f>
        <v>-47</v>
      </c>
      <c r="N308" s="10">
        <f>2*(F311*I308)/(F311+I308)</f>
        <v>0.89512799339388938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81</v>
      </c>
      <c r="E309" s="8">
        <v>15</v>
      </c>
      <c r="F309" s="8">
        <v>73</v>
      </c>
      <c r="G309" s="28">
        <v>840</v>
      </c>
      <c r="H309" s="1">
        <f>SUM(C309:G309)</f>
        <v>1009</v>
      </c>
      <c r="I309" s="10">
        <f>G309/H309</f>
        <v>0.83250743310208131</v>
      </c>
      <c r="J309" s="11">
        <f>1-I309</f>
        <v>0.16749256689791869</v>
      </c>
      <c r="K309">
        <f>H309-G310</f>
        <v>123</v>
      </c>
      <c r="N309" s="10">
        <f>2*(G311*I309)/(G311+I309)</f>
        <v>0.88654353562005284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451</v>
      </c>
      <c r="D310" s="1">
        <f>SUM(D305:D309)</f>
        <v>137</v>
      </c>
      <c r="E310" s="1">
        <f>SUM(E305:E309)</f>
        <v>733</v>
      </c>
      <c r="F310" s="1">
        <f>SUM(F305:F309)</f>
        <v>629</v>
      </c>
      <c r="G310" s="1">
        <f>SUM(G305:G309)</f>
        <v>886</v>
      </c>
      <c r="H310" s="1">
        <f>SUM(H304:H309)</f>
        <v>2836</v>
      </c>
      <c r="I310" s="13" t="s">
        <v>12</v>
      </c>
      <c r="N310" s="16" t="s">
        <v>36</v>
      </c>
      <c r="O310" s="1">
        <f>SUM(O305:O309)</f>
        <v>0</v>
      </c>
      <c r="P310" s="1">
        <f>SUM(P305:P309)</f>
        <v>0</v>
      </c>
    </row>
    <row r="311" spans="1:41" x14ac:dyDescent="0.3">
      <c r="A311" s="1" t="s">
        <v>316</v>
      </c>
      <c r="B311" s="1" t="s">
        <v>2</v>
      </c>
      <c r="C311" s="10">
        <f>C305/C310</f>
        <v>1</v>
      </c>
      <c r="D311" s="10">
        <f>D306/D310</f>
        <v>0.40145985401459855</v>
      </c>
      <c r="E311" s="10">
        <f>E307/E310</f>
        <v>0.96589358799454295</v>
      </c>
      <c r="F311" s="10">
        <f>F308/F310</f>
        <v>0.86168521462639114</v>
      </c>
      <c r="G311" s="10">
        <f>G309/G310</f>
        <v>0.94808126410835214</v>
      </c>
      <c r="H311" s="10"/>
      <c r="I311" s="14">
        <f>(C305+D306+E307+F308+G309)/H310</f>
        <v>0.91537376586741892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0</v>
      </c>
      <c r="D312" s="11">
        <f>1-D311</f>
        <v>0.5985401459854014</v>
      </c>
      <c r="E312" s="11">
        <f>1-E311</f>
        <v>3.4106412005457054E-2</v>
      </c>
      <c r="F312" s="11">
        <f>1-F311</f>
        <v>0.13831478537360886</v>
      </c>
      <c r="G312" s="11">
        <f>1-G311</f>
        <v>5.191873589164786E-2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317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0.23457396818371334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0.23457396818371334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451</v>
      </c>
      <c r="M316">
        <v>0</v>
      </c>
      <c r="N316" s="1">
        <v>194.61</v>
      </c>
      <c r="O316" s="17">
        <f>N316/N321*100</f>
        <v>0.23457396818371334</v>
      </c>
      <c r="P316" s="52">
        <f>((O316*O316*(I316/100)*(K316/100))/(L316-1))</f>
        <v>0</v>
      </c>
    </row>
    <row r="317" spans="1:41" x14ac:dyDescent="0.3">
      <c r="A317" t="s">
        <v>4</v>
      </c>
      <c r="B317" s="13">
        <v>1</v>
      </c>
      <c r="C317" s="33">
        <f t="shared" ref="C317:G320" si="52">(C306/$L317)*$O317</f>
        <v>0</v>
      </c>
      <c r="D317" s="34">
        <f t="shared" si="52"/>
        <v>1.5879737157263076</v>
      </c>
      <c r="E317" s="19">
        <f t="shared" si="52"/>
        <v>5.7744498753683912E-2</v>
      </c>
      <c r="F317" s="18">
        <f t="shared" si="52"/>
        <v>0</v>
      </c>
      <c r="G317" s="20">
        <f t="shared" si="52"/>
        <v>0</v>
      </c>
      <c r="H317" s="17">
        <f>SUM(C317:G317)</f>
        <v>1.6457182144799916</v>
      </c>
      <c r="I317" s="17">
        <f>D317/H317*100</f>
        <v>96.491228070175438</v>
      </c>
      <c r="J317" s="17">
        <f>SQRT(I317*(100-I317)/(L317-1))</f>
        <v>2.4588241692166148</v>
      </c>
      <c r="K317" s="18">
        <f>100-I317</f>
        <v>3.5087719298245617</v>
      </c>
      <c r="L317" s="1">
        <f>H306</f>
        <v>57</v>
      </c>
      <c r="M317">
        <v>1</v>
      </c>
      <c r="N317" s="1">
        <v>1365.34</v>
      </c>
      <c r="O317" s="17">
        <f>N317/N321*100</f>
        <v>1.6457182144799916</v>
      </c>
      <c r="P317" s="52">
        <f>((O317*O317*(I317/100)*(K317/100))/(L317-1))</f>
        <v>1.6374418972971534E-3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52"/>
        <v>0</v>
      </c>
      <c r="D318" s="19">
        <f t="shared" si="52"/>
        <v>7.8872699443864269E-2</v>
      </c>
      <c r="E318" s="34">
        <f t="shared" si="52"/>
        <v>55.841871206255902</v>
      </c>
      <c r="F318" s="19">
        <f t="shared" si="52"/>
        <v>1.1042177922140999</v>
      </c>
      <c r="G318" s="20">
        <f t="shared" si="52"/>
        <v>1.1042177922140999</v>
      </c>
      <c r="H318" s="17">
        <f>SUM(C318:G318)</f>
        <v>58.129179490127967</v>
      </c>
      <c r="I318" s="17">
        <f>E318/H318*100</f>
        <v>96.065128900949787</v>
      </c>
      <c r="J318" s="17">
        <f>SQRT(I318*(100-I318)/(L318-1))</f>
        <v>0.71665351079620243</v>
      </c>
      <c r="K318" s="18">
        <f>100-I318</f>
        <v>3.9348710990502127</v>
      </c>
      <c r="L318" s="1">
        <f>H307</f>
        <v>737</v>
      </c>
      <c r="M318">
        <v>2</v>
      </c>
      <c r="N318" s="1">
        <v>48225.81</v>
      </c>
      <c r="O318" s="17">
        <f>N318/N321*100</f>
        <v>58.129179490127967</v>
      </c>
      <c r="P318" s="52">
        <f>((O318*O318*(I318/100)*(K318/100))/(L318-1))</f>
        <v>0.17354290026764443</v>
      </c>
    </row>
    <row r="319" spans="1:41" x14ac:dyDescent="0.3">
      <c r="A319" t="s">
        <v>6</v>
      </c>
      <c r="B319" s="13">
        <v>3</v>
      </c>
      <c r="C319" s="33">
        <f t="shared" si="52"/>
        <v>0</v>
      </c>
      <c r="D319" s="19">
        <f t="shared" si="52"/>
        <v>0</v>
      </c>
      <c r="E319" s="19">
        <f t="shared" si="52"/>
        <v>0.42077496245946289</v>
      </c>
      <c r="F319" s="34">
        <f t="shared" si="52"/>
        <v>28.507503706628611</v>
      </c>
      <c r="G319" s="20">
        <f t="shared" si="52"/>
        <v>1.6830998498378515</v>
      </c>
      <c r="H319" s="17">
        <f>SUM(C319:G319)</f>
        <v>30.611378518925925</v>
      </c>
      <c r="I319" s="17">
        <f>F319/H319*100</f>
        <v>93.12714776632302</v>
      </c>
      <c r="J319" s="17">
        <f>SQRT(I319*(100-I319)/(L319-1))</f>
        <v>1.0495873507166542</v>
      </c>
      <c r="K319" s="18">
        <f>100-I319</f>
        <v>6.8728522336769799</v>
      </c>
      <c r="L319" s="1">
        <f>H308</f>
        <v>582</v>
      </c>
      <c r="M319">
        <v>3</v>
      </c>
      <c r="N319" s="1">
        <v>25396.17</v>
      </c>
      <c r="O319" s="17">
        <f>N319/N321*100</f>
        <v>30.611378518925925</v>
      </c>
      <c r="P319" s="52">
        <f>((O319*O319*(I319/100)*(K319/100))/(L319-1))</f>
        <v>0.10322929261591787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52"/>
        <v>0</v>
      </c>
      <c r="D320" s="36">
        <f t="shared" si="52"/>
        <v>0.75293472197311628</v>
      </c>
      <c r="E320" s="21">
        <f t="shared" si="52"/>
        <v>0.13943235592094747</v>
      </c>
      <c r="F320" s="21">
        <f t="shared" si="52"/>
        <v>0.67857079881527771</v>
      </c>
      <c r="G320" s="37">
        <f t="shared" si="52"/>
        <v>7.8082119315730578</v>
      </c>
      <c r="H320" s="17">
        <f>SUM(C320:G320)</f>
        <v>9.3791498082823992</v>
      </c>
      <c r="I320" s="17">
        <f>G320/H320*100</f>
        <v>83.250743310208136</v>
      </c>
      <c r="J320" s="17">
        <f>SQRT(I320*(100-I320)/(L320-1))</f>
        <v>1.1761468859542712</v>
      </c>
      <c r="K320" s="18">
        <f>100-I320</f>
        <v>16.749256689791864</v>
      </c>
      <c r="L320" s="1">
        <f>H309</f>
        <v>1009</v>
      </c>
      <c r="M320">
        <v>4</v>
      </c>
      <c r="N320" s="1">
        <v>7781.24</v>
      </c>
      <c r="O320" s="17">
        <f>N320/N321*100</f>
        <v>9.3791498082823992</v>
      </c>
      <c r="P320" s="52">
        <f>((O320*O320*(I320/100)*(K320/100))/(L320-1))</f>
        <v>1.2168864953057461E-2</v>
      </c>
    </row>
    <row r="321" spans="1:41" x14ac:dyDescent="0.3">
      <c r="B321" t="s">
        <v>28</v>
      </c>
      <c r="C321" s="17">
        <f t="shared" ref="C321:H321" si="53">SUM(C316:C320)</f>
        <v>0.23457396818371334</v>
      </c>
      <c r="D321" s="17">
        <f t="shared" si="53"/>
        <v>2.4197811371432882</v>
      </c>
      <c r="E321" s="17">
        <f t="shared" si="53"/>
        <v>56.459823023389994</v>
      </c>
      <c r="F321" s="17">
        <f t="shared" si="53"/>
        <v>30.290292297657992</v>
      </c>
      <c r="G321" s="17">
        <f t="shared" si="53"/>
        <v>10.59552957362501</v>
      </c>
      <c r="H321" s="18">
        <f t="shared" si="53"/>
        <v>100</v>
      </c>
      <c r="I321" s="13" t="s">
        <v>24</v>
      </c>
      <c r="J321" s="12" t="s">
        <v>29</v>
      </c>
      <c r="N321" s="1">
        <f>SUM(N316:N320)</f>
        <v>82963.17</v>
      </c>
      <c r="O321" s="17">
        <f>SUM(O316:O320)</f>
        <v>100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0.11940778946779831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0.44499460786744677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0.44084175427228162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0.42573868099934092</v>
      </c>
      <c r="H322" s="1"/>
      <c r="I322" s="14">
        <f>(C316+D317+E318+F319+G320)/H321</f>
        <v>0.93980134528367587</v>
      </c>
      <c r="J322" s="53">
        <f>SQRT(SUM(P316:P320))/100</f>
        <v>5.3905333663183726E-3</v>
      </c>
      <c r="M322" s="1"/>
      <c r="N322" s="9"/>
    </row>
    <row r="323" spans="1:41" x14ac:dyDescent="0.3">
      <c r="B323" s="1" t="s">
        <v>30</v>
      </c>
      <c r="C323" s="17">
        <f>C316/C321*100</f>
        <v>100</v>
      </c>
      <c r="D323" s="17">
        <f>D317/D321*100</f>
        <v>65.624683627421604</v>
      </c>
      <c r="E323" s="17">
        <f>E318/E321*100</f>
        <v>98.905501675274309</v>
      </c>
      <c r="F323" s="17">
        <f>F319/F321*100</f>
        <v>94.114323580934141</v>
      </c>
      <c r="G323" s="17">
        <f>G320/G321*100</f>
        <v>73.693456068582918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0</v>
      </c>
      <c r="D324" s="18">
        <f>SQRT((D327+D328)/(D321*D321))</f>
        <v>6.508433936016143</v>
      </c>
      <c r="E324" s="18">
        <f>SQRT((E327+E328)/(E321*E321))</f>
        <v>0.28734365320474664</v>
      </c>
      <c r="F324" s="18">
        <f>SQRT((F327+F328)/(F321*F321))</f>
        <v>1.1279328859526716</v>
      </c>
      <c r="G324" s="18">
        <f>SQRT((G327+G328)/(G321*G321))</f>
        <v>3.9615271985619374</v>
      </c>
      <c r="H324" s="1"/>
    </row>
    <row r="325" spans="1:41" x14ac:dyDescent="0.3">
      <c r="B325" s="1" t="s">
        <v>37</v>
      </c>
      <c r="C325" s="18">
        <f>100-C323</f>
        <v>0</v>
      </c>
      <c r="D325" s="18">
        <f>100-D323</f>
        <v>34.375316372578396</v>
      </c>
      <c r="E325" s="18">
        <f>100-E323</f>
        <v>1.0944983247256914</v>
      </c>
      <c r="F325" s="18">
        <f>100-F323</f>
        <v>5.8856764190658595</v>
      </c>
      <c r="G325" s="18">
        <f>100-G323</f>
        <v>26.306543931417082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451</v>
      </c>
      <c r="D326" s="1">
        <f>D310</f>
        <v>137</v>
      </c>
      <c r="E326" s="1">
        <f>E310</f>
        <v>733</v>
      </c>
      <c r="F326" s="1">
        <f>F310</f>
        <v>629</v>
      </c>
      <c r="G326" s="1">
        <f>G310</f>
        <v>886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193.49034824551964</v>
      </c>
      <c r="E327" s="18">
        <f>(O318*O318*(100-E323)*(100-E323)*(I318)*(100-I318))/((L318-1)*100)</f>
        <v>20.789165349156605</v>
      </c>
      <c r="F327" s="18">
        <f>(O319*O319*(100-F323)*(100-F323)*(I319)*(100-I319))/((L319-1)*100)</f>
        <v>357.59852200897188</v>
      </c>
      <c r="G327" s="18">
        <f>(O320*O320*(100-G323)*(100-G323)*(I320)*(100-I320))/((L320-1)*100)</f>
        <v>842.12713751378692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54.540201410870225</v>
      </c>
      <c r="E328" s="18">
        <f>E323*E323*(SUM((H316*E316*(1-E305/H305))/(H305-1),(H317*E317*(1-E306/H306))/(H306-1), (H319*E319*(1-E308/H308))/(H308-1),(H320*E320*(1-E309/H309))/(H309-1)))</f>
        <v>242.40862743363087</v>
      </c>
      <c r="F328" s="18">
        <f>F323*F323*(SUM((H316*F316*(1-F305/H305))/(H305-1),(H317*F317*(1-F306/H306))/(H306-1), (H318*F318*(1-F307/H307))/(H307-1),(H320*F320*(1-F309/H309))/(H309-1)))</f>
        <v>809.67718363130086</v>
      </c>
      <c r="G328" s="18">
        <f>G323*G323*(SUM((H316*G316*(1-G305/H305))/(H305-1),(H317*G317*(1-G306/H306))/(H306-1), (H318*G318*(1-G307/H307))/(H307-1),(H319*G319*(1-G308/H308))/(H308-1)))</f>
        <v>919.72971531158726</v>
      </c>
    </row>
    <row r="329" spans="1:41" x14ac:dyDescent="0.3">
      <c r="AM329" s="78"/>
    </row>
    <row r="331" spans="1:41" x14ac:dyDescent="0.3">
      <c r="A331" s="348" t="s">
        <v>371</v>
      </c>
      <c r="B331" s="348"/>
      <c r="C331" s="348"/>
      <c r="D331" s="348"/>
      <c r="E331" s="348"/>
      <c r="F331" s="348"/>
      <c r="G331" s="348"/>
      <c r="H331" s="348"/>
      <c r="I331" s="348"/>
      <c r="J331" s="348"/>
      <c r="K331" s="348"/>
      <c r="L331" s="348" t="s">
        <v>84</v>
      </c>
      <c r="M331" s="348"/>
      <c r="N331" s="348"/>
      <c r="O331" s="348"/>
      <c r="P331" s="348"/>
      <c r="AM331" s="78"/>
    </row>
    <row r="332" spans="1:41" x14ac:dyDescent="0.3">
      <c r="A332" t="s">
        <v>315</v>
      </c>
      <c r="B332" t="s">
        <v>21</v>
      </c>
      <c r="I332" s="1" t="s">
        <v>53</v>
      </c>
      <c r="O332" s="350" t="s">
        <v>377</v>
      </c>
      <c r="P332" s="350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51</v>
      </c>
      <c r="O333" s="13" t="s">
        <v>644</v>
      </c>
      <c r="P333" s="13" t="s">
        <v>633</v>
      </c>
      <c r="AM333" s="78"/>
    </row>
    <row r="334" spans="1:41" x14ac:dyDescent="0.3">
      <c r="A334" t="s">
        <v>3</v>
      </c>
      <c r="B334" s="13">
        <v>0</v>
      </c>
      <c r="C334" s="26">
        <v>451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451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56</v>
      </c>
      <c r="E335" s="1">
        <v>1</v>
      </c>
      <c r="F335" s="1">
        <v>0</v>
      </c>
      <c r="G335" s="6">
        <v>0</v>
      </c>
      <c r="H335" s="1">
        <f>SUM(C335:G335)</f>
        <v>57</v>
      </c>
      <c r="I335" s="10">
        <f>D335/H335</f>
        <v>0.98245614035087714</v>
      </c>
      <c r="J335" s="11">
        <f>1-I335</f>
        <v>1.7543859649122862E-2</v>
      </c>
      <c r="K335">
        <f>H335-D339</f>
        <v>-108</v>
      </c>
      <c r="N335" s="10">
        <f>2*(D340*I335)/(D340+I335)</f>
        <v>0.50450450450450457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0</v>
      </c>
      <c r="E336" s="27">
        <v>713</v>
      </c>
      <c r="F336" s="1">
        <v>14</v>
      </c>
      <c r="G336" s="6">
        <v>10</v>
      </c>
      <c r="H336" s="1">
        <f>SUM(C336:G336)</f>
        <v>737</v>
      </c>
      <c r="I336" s="10">
        <f>E336/H336</f>
        <v>0.9674355495251018</v>
      </c>
      <c r="J336" s="11">
        <f>1-I336</f>
        <v>3.2564450474898199E-2</v>
      </c>
      <c r="K336">
        <f>H336-E339</f>
        <v>-1</v>
      </c>
      <c r="N336" s="10">
        <f>2*(E340*I336)/(E340+I336)</f>
        <v>0.96677966101694912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0</v>
      </c>
      <c r="E337" s="1">
        <v>10</v>
      </c>
      <c r="F337" s="27">
        <v>549</v>
      </c>
      <c r="G337" s="6">
        <v>23</v>
      </c>
      <c r="H337" s="1">
        <f>SUM(C337:G337)</f>
        <v>582</v>
      </c>
      <c r="I337" s="10">
        <f>F337/H337</f>
        <v>0.94329896907216493</v>
      </c>
      <c r="J337" s="11">
        <f>1-I337</f>
        <v>5.6701030927835072E-2</v>
      </c>
      <c r="K337">
        <f>H337-F339</f>
        <v>-43</v>
      </c>
      <c r="N337" s="10">
        <f>2*(F340*I337)/(F340+I337)</f>
        <v>0.90969345484672748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109</v>
      </c>
      <c r="E338" s="8">
        <v>14</v>
      </c>
      <c r="F338" s="8">
        <v>62</v>
      </c>
      <c r="G338" s="28">
        <v>824</v>
      </c>
      <c r="H338" s="1">
        <f>SUM(C338:G338)</f>
        <v>1009</v>
      </c>
      <c r="I338" s="10">
        <f>G338/H338</f>
        <v>0.81665014866204166</v>
      </c>
      <c r="J338" s="11">
        <f>1-I338</f>
        <v>0.18334985133795834</v>
      </c>
      <c r="K338">
        <f>H338-G339</f>
        <v>152</v>
      </c>
      <c r="N338" s="10">
        <f>2*(G340*I338)/(G340+I338)</f>
        <v>0.88317256162915314</v>
      </c>
      <c r="O338" s="1"/>
      <c r="P338" s="1"/>
    </row>
    <row r="339" spans="1:40" ht="15.6" x14ac:dyDescent="0.35">
      <c r="B339" s="1" t="s">
        <v>19</v>
      </c>
      <c r="C339" s="1">
        <f>SUM(C334:C338)</f>
        <v>451</v>
      </c>
      <c r="D339" s="1">
        <f>SUM(D334:D338)</f>
        <v>165</v>
      </c>
      <c r="E339" s="1">
        <f>SUM(E334:E338)</f>
        <v>738</v>
      </c>
      <c r="F339" s="1">
        <f>SUM(F334:F338)</f>
        <v>625</v>
      </c>
      <c r="G339" s="1">
        <f>SUM(G334:G338)</f>
        <v>857</v>
      </c>
      <c r="H339" s="1">
        <f>SUM(H333:H338)</f>
        <v>2836</v>
      </c>
      <c r="I339" s="13" t="s">
        <v>12</v>
      </c>
      <c r="N339" s="16" t="s">
        <v>36</v>
      </c>
      <c r="O339" s="1">
        <f>SUM(O334:O338)</f>
        <v>0</v>
      </c>
      <c r="P339" s="1">
        <f>SUM(P334:P338)</f>
        <v>0</v>
      </c>
      <c r="AM339" s="78"/>
    </row>
    <row r="340" spans="1:40" x14ac:dyDescent="0.3">
      <c r="A340" s="1" t="s">
        <v>316</v>
      </c>
      <c r="B340" s="1" t="s">
        <v>2</v>
      </c>
      <c r="C340" s="10">
        <f>C334/C339</f>
        <v>1</v>
      </c>
      <c r="D340" s="10">
        <f>D335/D339</f>
        <v>0.33939393939393941</v>
      </c>
      <c r="E340" s="10">
        <f>E336/E339</f>
        <v>0.96612466124661245</v>
      </c>
      <c r="F340" s="10">
        <f>F337/F339</f>
        <v>0.87839999999999996</v>
      </c>
      <c r="G340" s="10">
        <f>G338/G339</f>
        <v>0.96149358226371062</v>
      </c>
      <c r="H340" s="10"/>
      <c r="I340" s="14">
        <f>(C334+D335+E336+F337+G338)/H339</f>
        <v>0.9143159379407616</v>
      </c>
    </row>
    <row r="341" spans="1:40" x14ac:dyDescent="0.3">
      <c r="B341" s="1" t="s">
        <v>14</v>
      </c>
      <c r="C341" s="11">
        <f>1-C340</f>
        <v>0</v>
      </c>
      <c r="D341" s="11">
        <f>1-D340</f>
        <v>0.66060606060606064</v>
      </c>
      <c r="E341" s="11">
        <f>1-E340</f>
        <v>3.3875338753387552E-2</v>
      </c>
      <c r="F341" s="11">
        <f>1-F340</f>
        <v>0.12160000000000004</v>
      </c>
      <c r="G341" s="11">
        <f>1-G340</f>
        <v>3.8506417736289378E-2</v>
      </c>
      <c r="AM341" s="78"/>
      <c r="AN341" s="78"/>
    </row>
    <row r="342" spans="1:40" x14ac:dyDescent="0.3">
      <c r="C342" s="2"/>
    </row>
    <row r="343" spans="1:40" ht="15.6" x14ac:dyDescent="0.35">
      <c r="A343" t="s">
        <v>317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0.23381459507875602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0.23381459507875602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451</v>
      </c>
      <c r="M345">
        <v>0</v>
      </c>
      <c r="N345" s="1">
        <v>193.98</v>
      </c>
      <c r="O345" s="17">
        <f>N345/N350*100</f>
        <v>0.23381459507875602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54">(C335/$L346)*$O346</f>
        <v>0</v>
      </c>
      <c r="D346" s="34">
        <f t="shared" si="54"/>
        <v>1.518758051990303</v>
      </c>
      <c r="E346" s="19">
        <f t="shared" si="54"/>
        <v>2.7120679499826838E-2</v>
      </c>
      <c r="F346" s="18">
        <f t="shared" si="54"/>
        <v>0</v>
      </c>
      <c r="G346" s="20">
        <f t="shared" si="54"/>
        <v>0</v>
      </c>
      <c r="H346" s="17">
        <f>SUM(C346:G346)</f>
        <v>1.5458787314901299</v>
      </c>
      <c r="I346" s="17">
        <f>D346/H346*100</f>
        <v>98.245614035087712</v>
      </c>
      <c r="J346" s="17">
        <f>SQRT(I346*(100-I346)/(L346-1))</f>
        <v>1.7543859649122842</v>
      </c>
      <c r="K346" s="18">
        <f>100-I346</f>
        <v>1.7543859649122879</v>
      </c>
      <c r="L346" s="1">
        <f>H335</f>
        <v>57</v>
      </c>
      <c r="M346">
        <v>1</v>
      </c>
      <c r="N346" s="1">
        <v>1282.51</v>
      </c>
      <c r="O346" s="17">
        <f>N346/N350*100</f>
        <v>1.5458787314901299</v>
      </c>
      <c r="P346" s="52">
        <f>((O346*O346*(I346/100)*(K346/100))/(L346-1))</f>
        <v>7.3553125653233085E-4</v>
      </c>
    </row>
    <row r="347" spans="1:40" x14ac:dyDescent="0.3">
      <c r="A347" t="s">
        <v>5</v>
      </c>
      <c r="B347" s="13">
        <v>2</v>
      </c>
      <c r="C347" s="33">
        <f t="shared" si="54"/>
        <v>0</v>
      </c>
      <c r="D347" s="19">
        <f t="shared" si="54"/>
        <v>0</v>
      </c>
      <c r="E347" s="34">
        <f t="shared" si="54"/>
        <v>56.177743005093667</v>
      </c>
      <c r="F347" s="19">
        <f t="shared" si="54"/>
        <v>1.1030692876175474</v>
      </c>
      <c r="G347" s="20">
        <f t="shared" si="54"/>
        <v>0.78790663401253391</v>
      </c>
      <c r="H347" s="17">
        <f>SUM(C347:G347)</f>
        <v>58.068718926723754</v>
      </c>
      <c r="I347" s="17">
        <f>E347/H347*100</f>
        <v>96.743554952510166</v>
      </c>
      <c r="J347" s="17">
        <f>SQRT(I347*(100-I347)/(L347-1))</f>
        <v>0.6542503908407713</v>
      </c>
      <c r="K347" s="18">
        <f>100-I347</f>
        <v>3.2564450474898337</v>
      </c>
      <c r="L347" s="1">
        <f>H336</f>
        <v>737</v>
      </c>
      <c r="M347">
        <v>2</v>
      </c>
      <c r="N347" s="1">
        <v>48175.65</v>
      </c>
      <c r="O347" s="17">
        <f>N347/N350*100</f>
        <v>58.068718926723747</v>
      </c>
      <c r="P347" s="52">
        <f>((O347*O347*(I347/100)*(K347/100))/(L347-1))</f>
        <v>0.1443352708616239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54"/>
        <v>0</v>
      </c>
      <c r="D348" s="19">
        <f t="shared" si="54"/>
        <v>0</v>
      </c>
      <c r="E348" s="19">
        <f t="shared" si="54"/>
        <v>0.53633102073467709</v>
      </c>
      <c r="F348" s="34">
        <f t="shared" si="54"/>
        <v>29.444573038333765</v>
      </c>
      <c r="G348" s="20">
        <f t="shared" si="54"/>
        <v>1.2335613476897571</v>
      </c>
      <c r="H348" s="17">
        <f>SUM(C348:G348)</f>
        <v>31.214465406758201</v>
      </c>
      <c r="I348" s="17">
        <f>F348/H348*100</f>
        <v>94.329896907216494</v>
      </c>
      <c r="J348" s="17">
        <f>SQRT(I348*(100-I348)/(L348-1))</f>
        <v>0.95947152711900652</v>
      </c>
      <c r="K348" s="18">
        <f>100-I348</f>
        <v>5.6701030927835063</v>
      </c>
      <c r="L348" s="1">
        <f>H337</f>
        <v>582</v>
      </c>
      <c r="M348">
        <v>3</v>
      </c>
      <c r="N348" s="1">
        <v>25896.51</v>
      </c>
      <c r="O348" s="17">
        <f>N348/N350*100</f>
        <v>31.214465406758201</v>
      </c>
      <c r="P348" s="52">
        <f>((O348*O348*(I348/100)*(K348/100))/(L348-1))</f>
        <v>8.969660088134733E-2</v>
      </c>
    </row>
    <row r="349" spans="1:40" x14ac:dyDescent="0.3">
      <c r="A349" t="s">
        <v>7</v>
      </c>
      <c r="B349" s="13">
        <v>4</v>
      </c>
      <c r="C349" s="35">
        <f t="shared" si="54"/>
        <v>0</v>
      </c>
      <c r="D349" s="36">
        <f t="shared" si="54"/>
        <v>0.96545722007379442</v>
      </c>
      <c r="E349" s="21">
        <f t="shared" si="54"/>
        <v>0.12400367964250569</v>
      </c>
      <c r="F349" s="21">
        <f t="shared" si="54"/>
        <v>0.54915915270252524</v>
      </c>
      <c r="G349" s="37">
        <f t="shared" si="54"/>
        <v>7.2985022875303356</v>
      </c>
      <c r="H349" s="17">
        <f>SUM(C349:G349)</f>
        <v>8.9371223399491608</v>
      </c>
      <c r="I349" s="17">
        <f>G349/H349*100</f>
        <v>81.66501486620416</v>
      </c>
      <c r="J349" s="17">
        <f>SQRT(I349*(100-I349)/(L349-1))</f>
        <v>1.2187876300755875</v>
      </c>
      <c r="K349" s="18">
        <f>100-I349</f>
        <v>18.33498513379584</v>
      </c>
      <c r="L349" s="1">
        <f>H338</f>
        <v>1009</v>
      </c>
      <c r="M349">
        <v>4</v>
      </c>
      <c r="N349" s="1">
        <v>7414.52</v>
      </c>
      <c r="O349" s="17">
        <f>N349/N350*100</f>
        <v>8.9371223399491608</v>
      </c>
      <c r="P349" s="52">
        <f>((O349*O349*(I349/100)*(K349/100))/(L349-1))</f>
        <v>1.1864555754932416E-2</v>
      </c>
      <c r="AM349" s="78"/>
      <c r="AN349" s="78"/>
    </row>
    <row r="350" spans="1:40" x14ac:dyDescent="0.3">
      <c r="B350" t="s">
        <v>28</v>
      </c>
      <c r="C350" s="17">
        <f t="shared" ref="C350:H350" si="55">SUM(C345:C349)</f>
        <v>0.23381459507875602</v>
      </c>
      <c r="D350" s="17">
        <f t="shared" si="55"/>
        <v>2.4842152720640973</v>
      </c>
      <c r="E350" s="17">
        <f t="shared" si="55"/>
        <v>56.865198384970675</v>
      </c>
      <c r="F350" s="17">
        <f t="shared" si="55"/>
        <v>31.096801478653838</v>
      </c>
      <c r="G350" s="17">
        <f t="shared" si="55"/>
        <v>9.3199702692326269</v>
      </c>
      <c r="H350" s="18">
        <f t="shared" si="55"/>
        <v>100</v>
      </c>
      <c r="I350" s="13" t="s">
        <v>24</v>
      </c>
      <c r="J350" s="12" t="s">
        <v>29</v>
      </c>
      <c r="N350" s="1">
        <f>SUM(N345:N349)</f>
        <v>82963.17</v>
      </c>
      <c r="O350" s="17">
        <f>SUM(O345:O349)</f>
        <v>100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9.1379866329814666E-2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0.41739192412632764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0.42351896968155922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0.3696421460227538</v>
      </c>
      <c r="H351" s="1"/>
      <c r="I351" s="14">
        <f>(C345+D346+E347+F348+G349)/H350</f>
        <v>0.94673390978026828</v>
      </c>
      <c r="J351" s="53">
        <f>SQRT(SUM(P345:P349))/100</f>
        <v>4.9662053799096545E-3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61.136330215391908</v>
      </c>
      <c r="E352" s="17">
        <f>E347/E350*100</f>
        <v>98.791078903439299</v>
      </c>
      <c r="F352" s="17">
        <f>F348/F350*100</f>
        <v>94.686821918150542</v>
      </c>
      <c r="G352" s="17">
        <f>G349/G350*100</f>
        <v>78.310360191001635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4.7566607817094848</v>
      </c>
      <c r="E353" s="18">
        <f>SQRT((E356+E357)/(E350*E350))</f>
        <v>0.3122313948580806</v>
      </c>
      <c r="F353" s="18">
        <f>SQRT((F356+F357)/(F350*F350))</f>
        <v>1.0467961330589708</v>
      </c>
      <c r="G353" s="18">
        <f>SQRT((G356+G357)/(G350*G350))</f>
        <v>3.9050141427662952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38.863669784608092</v>
      </c>
      <c r="E354" s="18">
        <f>100-E352</f>
        <v>1.2089210965607009</v>
      </c>
      <c r="F354" s="18">
        <f>100-F352</f>
        <v>5.3131780818494576</v>
      </c>
      <c r="G354" s="18">
        <f>100-G352</f>
        <v>21.689639808998365</v>
      </c>
    </row>
    <row r="355" spans="1:40" ht="15.6" x14ac:dyDescent="0.35">
      <c r="B355" s="1" t="s">
        <v>25</v>
      </c>
      <c r="C355" s="1">
        <f>C339</f>
        <v>451</v>
      </c>
      <c r="D355" s="1">
        <f>D339</f>
        <v>165</v>
      </c>
      <c r="E355" s="1">
        <f>E339</f>
        <v>738</v>
      </c>
      <c r="F355" s="1">
        <f>F339</f>
        <v>625</v>
      </c>
      <c r="G355" s="1">
        <f>G339</f>
        <v>857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111.09352512151962</v>
      </c>
      <c r="E356" s="18">
        <f>(O347*O347*(100-E352)*(100-E352)*(I347)*(100-I347))/((L347-1)*100)</f>
        <v>21.094458643471832</v>
      </c>
      <c r="F356" s="18">
        <f>(O348*O348*(100-F352)*(100-F352)*(I348)*(100-I348))/((L348-1)*100)</f>
        <v>253.21226046030526</v>
      </c>
      <c r="G356" s="18">
        <f>(O349*O349*(100-G352)*(100-G352)*(I349)*(100-I349))/((L349-1)*100)</f>
        <v>558.1567245537459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28.537786269748047</v>
      </c>
      <c r="E357" s="18">
        <f>E352*E352*(SUM((H345*E345*(1-E334/H334))/(H334-1),(H346*E346*(1-E335/H335))/(H335-1), (H348*E348*(1-E337/H337))/(H337-1),(H349*E349*(1-E338/H338))/(H338-1)))</f>
        <v>294.14912484571727</v>
      </c>
      <c r="F357" s="18">
        <f>F352*F352*(SUM((H345*F345*(1-F334/H334))/(H334-1),(H346*F346*(1-F335/H335))/(H335-1), (H347*F347*(1-F336/H336))/(H336-1),(H349*F349*(1-F338/H338))/(H338-1)))</f>
        <v>806.42119473304308</v>
      </c>
      <c r="G357" s="18">
        <f>G352*G352*(SUM((H345*G345*(1-G334/H334))/(H334-1),(H346*G346*(1-G335/H335))/(H335-1), (H347*G347*(1-G336/H336))/(H336-1),(H348*G348*(1-G337/H337))/(H337-1)))</f>
        <v>766.4113282350944</v>
      </c>
      <c r="AM357" s="78"/>
      <c r="AN357" s="78"/>
    </row>
    <row r="359" spans="1:40" x14ac:dyDescent="0.3">
      <c r="AM359" s="78"/>
      <c r="AN359" s="78"/>
    </row>
    <row r="360" spans="1:40" x14ac:dyDescent="0.3">
      <c r="A360" s="348" t="s">
        <v>371</v>
      </c>
      <c r="B360" s="348"/>
      <c r="C360" s="348"/>
      <c r="D360" s="348"/>
      <c r="E360" s="348"/>
      <c r="F360" s="348"/>
      <c r="G360" s="348"/>
      <c r="H360" s="348"/>
      <c r="I360" s="348"/>
      <c r="J360" s="348"/>
      <c r="K360" s="348"/>
      <c r="L360" s="348" t="s">
        <v>85</v>
      </c>
      <c r="M360" s="348"/>
      <c r="N360" s="348"/>
      <c r="O360" s="348"/>
      <c r="P360" s="348"/>
    </row>
    <row r="361" spans="1:40" x14ac:dyDescent="0.3">
      <c r="A361" t="s">
        <v>15</v>
      </c>
      <c r="B361" t="s">
        <v>21</v>
      </c>
      <c r="I361" s="1" t="s">
        <v>53</v>
      </c>
      <c r="O361" s="350" t="s">
        <v>377</v>
      </c>
      <c r="P361" s="350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51</v>
      </c>
      <c r="O362" s="13" t="s">
        <v>644</v>
      </c>
      <c r="P362" s="13" t="s">
        <v>633</v>
      </c>
    </row>
    <row r="363" spans="1:40" x14ac:dyDescent="0.3">
      <c r="A363" t="s">
        <v>3</v>
      </c>
      <c r="B363" s="13">
        <v>0</v>
      </c>
      <c r="C363" s="26">
        <v>451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451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55</v>
      </c>
      <c r="E364" s="1">
        <v>2</v>
      </c>
      <c r="F364" s="1">
        <v>0</v>
      </c>
      <c r="G364" s="6">
        <v>0</v>
      </c>
      <c r="H364" s="1">
        <f>SUM(C364:G364)</f>
        <v>57</v>
      </c>
      <c r="I364" s="10">
        <f>D364/H364</f>
        <v>0.96491228070175439</v>
      </c>
      <c r="J364" s="11">
        <f>1-I364</f>
        <v>3.5087719298245612E-2</v>
      </c>
      <c r="K364">
        <f>H364-D368</f>
        <v>-63</v>
      </c>
      <c r="N364" s="10">
        <f>2*(D369*I364)/(D369+I364)</f>
        <v>0.62146892655367225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1</v>
      </c>
      <c r="E365" s="27">
        <v>715</v>
      </c>
      <c r="F365" s="1">
        <v>14</v>
      </c>
      <c r="G365" s="6">
        <v>7</v>
      </c>
      <c r="H365" s="1">
        <f>SUM(C365:G365)</f>
        <v>737</v>
      </c>
      <c r="I365" s="10">
        <f>E365/H365</f>
        <v>0.97014925373134331</v>
      </c>
      <c r="J365" s="11">
        <f>1-I365</f>
        <v>2.9850746268656692E-2</v>
      </c>
      <c r="K365">
        <f>H365-E368</f>
        <v>6</v>
      </c>
      <c r="N365" s="10">
        <f>2*(E369*I365)/(E369+I365)</f>
        <v>0.97411444141689374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0</v>
      </c>
      <c r="E366" s="1">
        <v>11</v>
      </c>
      <c r="F366" s="27">
        <v>551</v>
      </c>
      <c r="G366" s="6">
        <v>20</v>
      </c>
      <c r="H366" s="1">
        <f>SUM(C366:G366)</f>
        <v>582</v>
      </c>
      <c r="I366" s="10">
        <f>F366/H366</f>
        <v>0.9467353951890034</v>
      </c>
      <c r="J366" s="11">
        <f>1-I366</f>
        <v>5.3264604810996596E-2</v>
      </c>
      <c r="K366">
        <f>H366-F368</f>
        <v>-79</v>
      </c>
      <c r="N366" s="10">
        <f>2*(F369*I366)/(F369+I366)</f>
        <v>0.88656476267095741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64</v>
      </c>
      <c r="E367" s="8">
        <v>3</v>
      </c>
      <c r="F367" s="8">
        <v>96</v>
      </c>
      <c r="G367" s="28">
        <v>846</v>
      </c>
      <c r="H367" s="1">
        <f>SUM(C367:G367)</f>
        <v>1009</v>
      </c>
      <c r="I367" s="10">
        <f>G367/H367</f>
        <v>0.83845391476709619</v>
      </c>
      <c r="J367" s="11">
        <f>1-I367</f>
        <v>0.16154608523290381</v>
      </c>
      <c r="K367">
        <f>H367-G368</f>
        <v>136</v>
      </c>
      <c r="N367" s="10">
        <f>2*(G369*I367)/(G369+I367)</f>
        <v>0.89904357066950058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451</v>
      </c>
      <c r="D368" s="1">
        <f>SUM(D363:D367)</f>
        <v>120</v>
      </c>
      <c r="E368" s="1">
        <f>SUM(E363:E367)</f>
        <v>731</v>
      </c>
      <c r="F368" s="1">
        <f>SUM(F363:F367)</f>
        <v>661</v>
      </c>
      <c r="G368" s="1">
        <f>SUM(G363:G367)</f>
        <v>873</v>
      </c>
      <c r="H368" s="1">
        <f>SUM(H362:H367)</f>
        <v>2836</v>
      </c>
      <c r="I368" s="13" t="s">
        <v>12</v>
      </c>
      <c r="N368" s="16" t="s">
        <v>36</v>
      </c>
      <c r="O368" s="1">
        <f>SUM(O363:O367)</f>
        <v>0</v>
      </c>
      <c r="P368" s="1">
        <f>SUM(P363:P367)</f>
        <v>0</v>
      </c>
    </row>
    <row r="369" spans="1:40" x14ac:dyDescent="0.3">
      <c r="A369" s="1" t="s">
        <v>52</v>
      </c>
      <c r="B369" s="1" t="s">
        <v>2</v>
      </c>
      <c r="C369" s="10">
        <f>C363/C368</f>
        <v>1</v>
      </c>
      <c r="D369" s="10">
        <f>D364/D368</f>
        <v>0.45833333333333331</v>
      </c>
      <c r="E369" s="10">
        <f>E365/E368</f>
        <v>0.97811217510259918</v>
      </c>
      <c r="F369" s="10">
        <f>F366/F368</f>
        <v>0.83358547655068083</v>
      </c>
      <c r="G369" s="10">
        <f>G367/G368</f>
        <v>0.96907216494845361</v>
      </c>
      <c r="H369" s="10"/>
      <c r="I369" s="14">
        <f>(C363+D364+E365+F366+G367)/H368</f>
        <v>0.92313117066290551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0.54166666666666674</v>
      </c>
      <c r="E370" s="11">
        <f>1-E369</f>
        <v>2.188782489740082E-2</v>
      </c>
      <c r="F370" s="11">
        <f>1-F369</f>
        <v>0.16641452344931917</v>
      </c>
      <c r="G370" s="11">
        <f>1-G369</f>
        <v>3.0927835051546393E-2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0.23131948413742093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0.23131948413742093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451</v>
      </c>
      <c r="M374">
        <v>0</v>
      </c>
      <c r="N374" s="1">
        <v>191.91</v>
      </c>
      <c r="O374" s="17">
        <f>N374/N379*100</f>
        <v>0.23131948413742093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56">(C364/$L375)*$O375</f>
        <v>0</v>
      </c>
      <c r="D375" s="34">
        <f t="shared" si="56"/>
        <v>1.5088388629201361</v>
      </c>
      <c r="E375" s="19">
        <f t="shared" si="56"/>
        <v>5.4866867742550403E-2</v>
      </c>
      <c r="F375" s="18">
        <f t="shared" si="56"/>
        <v>0</v>
      </c>
      <c r="G375" s="20">
        <f t="shared" si="56"/>
        <v>0</v>
      </c>
      <c r="H375" s="17">
        <f>SUM(C375:G375)</f>
        <v>1.5637057306626865</v>
      </c>
      <c r="I375" s="17">
        <f>D375/H375*100</f>
        <v>96.491228070175438</v>
      </c>
      <c r="J375" s="17">
        <f>SQRT(I375*(100-I375)/(L375-1))</f>
        <v>2.4588241692166148</v>
      </c>
      <c r="K375" s="18">
        <f>100-I375</f>
        <v>3.5087719298245617</v>
      </c>
      <c r="L375" s="1">
        <f>H364</f>
        <v>57</v>
      </c>
      <c r="M375">
        <v>1</v>
      </c>
      <c r="N375" s="1">
        <v>1297.3</v>
      </c>
      <c r="O375" s="17">
        <f>N375/N379*100</f>
        <v>1.5637057306626865</v>
      </c>
      <c r="P375" s="52">
        <f>((O375*O375*(I375/100)*(K375/100))/(L375-1))</f>
        <v>1.4783082560117723E-3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56"/>
        <v>0</v>
      </c>
      <c r="D376" s="19">
        <f t="shared" si="56"/>
        <v>7.8725136291133729E-2</v>
      </c>
      <c r="E376" s="34">
        <f t="shared" si="56"/>
        <v>56.288472448160618</v>
      </c>
      <c r="F376" s="19">
        <f t="shared" si="56"/>
        <v>1.1021519080758724</v>
      </c>
      <c r="G376" s="20">
        <f t="shared" si="56"/>
        <v>0.55107595403793619</v>
      </c>
      <c r="H376" s="17">
        <f>SUM(C376:G376)</f>
        <v>58.020425446565561</v>
      </c>
      <c r="I376" s="17">
        <f>E376/H376*100</f>
        <v>97.014925373134332</v>
      </c>
      <c r="J376" s="17">
        <f>SQRT(I376*(100-I376)/(L376-1))</f>
        <v>0.62727498147894845</v>
      </c>
      <c r="K376" s="18">
        <f>100-I376</f>
        <v>2.9850746268656678</v>
      </c>
      <c r="L376" s="1">
        <f>H365</f>
        <v>737</v>
      </c>
      <c r="M376">
        <v>2</v>
      </c>
      <c r="N376" s="1">
        <v>48135.59</v>
      </c>
      <c r="O376" s="17">
        <f>N376/N379*100</f>
        <v>58.020425446565561</v>
      </c>
      <c r="P376" s="52">
        <f>((O376*O376*(I376/100)*(K376/100))/(L376-1))</f>
        <v>0.13245786498943701</v>
      </c>
    </row>
    <row r="377" spans="1:40" x14ac:dyDescent="0.3">
      <c r="A377" t="s">
        <v>6</v>
      </c>
      <c r="B377" s="13">
        <v>3</v>
      </c>
      <c r="C377" s="33">
        <f t="shared" si="56"/>
        <v>0</v>
      </c>
      <c r="D377" s="19">
        <f t="shared" si="56"/>
        <v>0</v>
      </c>
      <c r="E377" s="19">
        <f t="shared" si="56"/>
        <v>0.59385560539670823</v>
      </c>
      <c r="F377" s="34">
        <f t="shared" si="56"/>
        <v>29.746767143053297</v>
      </c>
      <c r="G377" s="20">
        <f t="shared" si="56"/>
        <v>1.0797374643576516</v>
      </c>
      <c r="H377" s="17">
        <f>SUM(C377:G377)</f>
        <v>31.420360212807658</v>
      </c>
      <c r="I377" s="17">
        <f>F377/H377*100</f>
        <v>94.673539518900341</v>
      </c>
      <c r="J377" s="17">
        <f>SQRT(I377*(100-I377)/(L377-1))</f>
        <v>0.93163457010175987</v>
      </c>
      <c r="K377" s="18">
        <f>100-I377</f>
        <v>5.3264604810996588</v>
      </c>
      <c r="L377" s="1">
        <f>H366</f>
        <v>582</v>
      </c>
      <c r="M377">
        <v>3</v>
      </c>
      <c r="N377" s="1">
        <v>26067.33</v>
      </c>
      <c r="O377" s="17">
        <f>N377/N379*100</f>
        <v>31.420360212807658</v>
      </c>
      <c r="P377" s="52">
        <f>((O377*O377*(I377/100)*(K377/100))/(L377-1))</f>
        <v>8.5686718310173354E-2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56"/>
        <v>0</v>
      </c>
      <c r="D378" s="36">
        <f t="shared" si="56"/>
        <v>0.555904959418143</v>
      </c>
      <c r="E378" s="21">
        <f t="shared" si="56"/>
        <v>2.6058044972725455E-2</v>
      </c>
      <c r="F378" s="21">
        <f t="shared" si="56"/>
        <v>0.83385743912721455</v>
      </c>
      <c r="G378" s="37">
        <f t="shared" si="56"/>
        <v>7.3483686823085783</v>
      </c>
      <c r="H378" s="17">
        <f>SUM(C378:G378)</f>
        <v>8.7641891258266611</v>
      </c>
      <c r="I378" s="17">
        <f>G378/H378*100</f>
        <v>83.845391476709622</v>
      </c>
      <c r="J378" s="17">
        <f>SQRT(I378*(100-I378)/(L378-1))</f>
        <v>1.1591978085356103</v>
      </c>
      <c r="K378" s="18">
        <f>100-I378</f>
        <v>16.154608523290378</v>
      </c>
      <c r="L378" s="1">
        <f>H367</f>
        <v>1009</v>
      </c>
      <c r="M378">
        <v>4</v>
      </c>
      <c r="N378" s="1">
        <v>7271.05</v>
      </c>
      <c r="O378" s="17">
        <f>N378/N379*100</f>
        <v>8.7641891258266611</v>
      </c>
      <c r="P378" s="52">
        <f>((O378*O378*(I378/100)*(K378/100))/(L378-1))</f>
        <v>1.0321399411627498E-2</v>
      </c>
    </row>
    <row r="379" spans="1:40" x14ac:dyDescent="0.3">
      <c r="B379" t="s">
        <v>28</v>
      </c>
      <c r="C379" s="17">
        <f t="shared" ref="C379:H379" si="57">SUM(C374:C378)</f>
        <v>0.23131948413742093</v>
      </c>
      <c r="D379" s="17">
        <f t="shared" si="57"/>
        <v>2.1434689586294127</v>
      </c>
      <c r="E379" s="17">
        <f t="shared" si="57"/>
        <v>56.963252966272606</v>
      </c>
      <c r="F379" s="17">
        <f t="shared" si="57"/>
        <v>31.682776490256384</v>
      </c>
      <c r="G379" s="17">
        <f t="shared" si="57"/>
        <v>8.9791821007041666</v>
      </c>
      <c r="H379" s="18">
        <f t="shared" si="57"/>
        <v>99.999999999999986</v>
      </c>
      <c r="I379" s="13" t="s">
        <v>24</v>
      </c>
      <c r="J379" s="12" t="s">
        <v>29</v>
      </c>
      <c r="N379" s="1">
        <f>SUM(N374:N378)</f>
        <v>82963.180000000008</v>
      </c>
      <c r="O379" s="17">
        <f>SUM(O374:O378)</f>
        <v>99.999999999999986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0.11029023424075483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0.40670706220552044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0.42096568808857421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0.33101532374995762</v>
      </c>
      <c r="H380" s="1"/>
      <c r="I380" s="14">
        <f>(C374+D375+E376+F377+G378)/H379</f>
        <v>0.95123766620580075</v>
      </c>
      <c r="J380" s="53">
        <f>SQRT(SUM(P374:P378))/100</f>
        <v>4.7952506813226112E-3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70.392382257073834</v>
      </c>
      <c r="E381" s="17">
        <f>E376/E379*100</f>
        <v>98.815410843001686</v>
      </c>
      <c r="F381" s="17">
        <f>F377/F379*100</f>
        <v>93.889394927876722</v>
      </c>
      <c r="G381" s="17">
        <f>G378/G379*100</f>
        <v>81.837840015877433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6.3065033979111726</v>
      </c>
      <c r="E382" s="18">
        <f>SQRT((E385+E386)/(E379*E379))</f>
        <v>0.32507571574826699</v>
      </c>
      <c r="F382" s="18">
        <f>SQRT((F385+F386)/(F379*F379))</f>
        <v>1.0605980544607898</v>
      </c>
      <c r="G382" s="18">
        <f>SQRT((G385+G386)/(G379*G379))</f>
        <v>3.5328514819687125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29.607617742926166</v>
      </c>
      <c r="E383" s="18">
        <f>100-E381</f>
        <v>1.1845891569983138</v>
      </c>
      <c r="F383" s="18">
        <f>100-F381</f>
        <v>6.1106050721232776</v>
      </c>
      <c r="G383" s="18">
        <f>100-G381</f>
        <v>18.162159984122567</v>
      </c>
      <c r="AM383" s="78"/>
      <c r="AN383" s="78"/>
    </row>
    <row r="384" spans="1:40" ht="15.6" x14ac:dyDescent="0.35">
      <c r="B384" s="1" t="s">
        <v>25</v>
      </c>
      <c r="C384" s="1">
        <f>C368</f>
        <v>451</v>
      </c>
      <c r="D384" s="1">
        <f>D368</f>
        <v>120</v>
      </c>
      <c r="E384" s="1">
        <f>E368</f>
        <v>731</v>
      </c>
      <c r="F384" s="1">
        <f>F368</f>
        <v>661</v>
      </c>
      <c r="G384" s="1">
        <f>G368</f>
        <v>873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129.59013206113011</v>
      </c>
      <c r="E385" s="18">
        <f>(O376*O376*(100-E381)*(100-E381)*(I376)*(100-I376))/((L376-1)*100)</f>
        <v>18.587169387578381</v>
      </c>
      <c r="F385" s="18">
        <f>(O377*O377*(100-F381)*(100-F381)*(I377)*(100-I377))/((L377-1)*100)</f>
        <v>319.94987339950058</v>
      </c>
      <c r="G385" s="18">
        <f>(O378*O378*(100-G381)*(100-G381)*(I378)*(100-I378))/((L378-1)*100)</f>
        <v>340.46586661755316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53.140629889612093</v>
      </c>
      <c r="E386" s="18">
        <f>E381*E381*(SUM((H374*E374*(1-E363/H363))/(H363-1),(H375*E375*(1-E364/H364))/(H364-1), (H377*E377*(1-E366/H366))/(H366-1),(H378*E378*(1-E367/H367))/(H367-1)))</f>
        <v>324.30583082363404</v>
      </c>
      <c r="F386" s="18">
        <f>F381*F381*(SUM((H374*F374*(1-F363/H363))/(H363-1),(H375*F375*(1-F364/H364))/(H364-1), (H376*F376*(1-F365/H365))/(H365-1),(H378*F378*(1-F367/H367))/(H367-1)))</f>
        <v>809.19097613093663</v>
      </c>
      <c r="G386" s="18">
        <f>G381*G381*(SUM((H374*G374*(1-G363/H363))/(H363-1),(H375*G375*(1-G364/H364))/(H364-1), (H376*G376*(1-G365/H365))/(H365-1),(H377*G377*(1-G366/H366))/(H366-1)))</f>
        <v>665.82682710583993</v>
      </c>
    </row>
    <row r="387" spans="1:40" x14ac:dyDescent="0.3">
      <c r="AM387" s="78"/>
      <c r="AN387" s="78"/>
    </row>
    <row r="389" spans="1:40" x14ac:dyDescent="0.3">
      <c r="A389" s="348" t="s">
        <v>371</v>
      </c>
      <c r="B389" s="348"/>
      <c r="C389" s="348"/>
      <c r="D389" s="348"/>
      <c r="E389" s="348"/>
      <c r="F389" s="348"/>
      <c r="G389" s="348"/>
      <c r="H389" s="348"/>
      <c r="I389" s="348"/>
      <c r="J389" s="348"/>
      <c r="K389" s="348"/>
      <c r="L389" s="348" t="s">
        <v>86</v>
      </c>
      <c r="M389" s="348"/>
      <c r="N389" s="348"/>
      <c r="O389" s="348"/>
      <c r="P389" s="348"/>
      <c r="AM389" s="78"/>
      <c r="AN389" s="78"/>
    </row>
    <row r="390" spans="1:40" x14ac:dyDescent="0.3">
      <c r="A390" t="s">
        <v>15</v>
      </c>
      <c r="B390" t="s">
        <v>21</v>
      </c>
      <c r="I390" s="1" t="s">
        <v>53</v>
      </c>
      <c r="O390" s="350" t="s">
        <v>377</v>
      </c>
      <c r="P390" s="350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51</v>
      </c>
      <c r="O391" s="13" t="s">
        <v>644</v>
      </c>
      <c r="P391" s="13" t="s">
        <v>633</v>
      </c>
      <c r="AM391" s="78"/>
      <c r="AN391" s="78"/>
    </row>
    <row r="392" spans="1:40" x14ac:dyDescent="0.3">
      <c r="A392" t="s">
        <v>3</v>
      </c>
      <c r="B392" s="13">
        <v>0</v>
      </c>
      <c r="C392" s="26">
        <v>451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451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56</v>
      </c>
      <c r="E393" s="1">
        <v>1</v>
      </c>
      <c r="F393" s="1">
        <v>0</v>
      </c>
      <c r="G393" s="6">
        <v>0</v>
      </c>
      <c r="H393" s="1">
        <f>SUM(C393:G393)</f>
        <v>57</v>
      </c>
      <c r="I393" s="10">
        <f>D393/H393</f>
        <v>0.98245614035087714</v>
      </c>
      <c r="J393" s="11">
        <f>1-I393</f>
        <v>1.7543859649122862E-2</v>
      </c>
      <c r="K393">
        <f>H393-D397</f>
        <v>-80</v>
      </c>
      <c r="N393" s="10">
        <f>2*(D398*I393)/(D398+I393)</f>
        <v>0.57731958762886604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1</v>
      </c>
      <c r="E394" s="27">
        <v>712</v>
      </c>
      <c r="F394" s="1">
        <v>15</v>
      </c>
      <c r="G394" s="6">
        <v>9</v>
      </c>
      <c r="H394" s="1">
        <f>SUM(C394:G394)</f>
        <v>737</v>
      </c>
      <c r="I394" s="10">
        <f>E394/H394</f>
        <v>0.96607869742198105</v>
      </c>
      <c r="J394" s="11">
        <f>1-I394</f>
        <v>3.3921302578018953E-2</v>
      </c>
      <c r="K394">
        <f>H394-E397</f>
        <v>-4</v>
      </c>
      <c r="N394" s="10">
        <f>2*(E398*I394)/(E398+I394)</f>
        <v>0.96346414073071718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0</v>
      </c>
      <c r="E395" s="1">
        <v>8</v>
      </c>
      <c r="F395" s="27">
        <v>548</v>
      </c>
      <c r="G395" s="6">
        <v>26</v>
      </c>
      <c r="H395" s="1">
        <f>SUM(C395:G395)</f>
        <v>582</v>
      </c>
      <c r="I395" s="10">
        <f>F395/H395</f>
        <v>0.94158075601374569</v>
      </c>
      <c r="J395" s="11">
        <f>1-I395</f>
        <v>5.841924398625431E-2</v>
      </c>
      <c r="K395">
        <f>H395-F397</f>
        <v>-50</v>
      </c>
      <c r="N395" s="10">
        <f>2*(F398*I395)/(F398+I395)</f>
        <v>0.90280065897858319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80</v>
      </c>
      <c r="E396" s="8">
        <v>20</v>
      </c>
      <c r="F396" s="8">
        <v>69</v>
      </c>
      <c r="G396" s="28">
        <v>840</v>
      </c>
      <c r="H396" s="1">
        <f>SUM(C396:G396)</f>
        <v>1009</v>
      </c>
      <c r="I396" s="10">
        <f>G396/H396</f>
        <v>0.83250743310208131</v>
      </c>
      <c r="J396" s="11">
        <f>1-I396</f>
        <v>0.16749256689791869</v>
      </c>
      <c r="K396">
        <f>H396-G397</f>
        <v>134</v>
      </c>
      <c r="N396" s="10">
        <f>2*(G398*I396)/(G398+I396)</f>
        <v>0.89171974522292996</v>
      </c>
      <c r="O396" s="1"/>
      <c r="P396" s="1"/>
    </row>
    <row r="397" spans="1:40" ht="15.6" x14ac:dyDescent="0.35">
      <c r="B397" s="1" t="s">
        <v>19</v>
      </c>
      <c r="C397" s="1">
        <f>SUM(C392:C396)</f>
        <v>451</v>
      </c>
      <c r="D397" s="1">
        <f>SUM(D392:D396)</f>
        <v>137</v>
      </c>
      <c r="E397" s="1">
        <f>SUM(E392:E396)</f>
        <v>741</v>
      </c>
      <c r="F397" s="1">
        <f>SUM(F392:F396)</f>
        <v>632</v>
      </c>
      <c r="G397" s="1">
        <f>SUM(G392:G396)</f>
        <v>875</v>
      </c>
      <c r="H397" s="1">
        <f>SUM(H391:H396)</f>
        <v>2836</v>
      </c>
      <c r="I397" s="13" t="s">
        <v>12</v>
      </c>
      <c r="N397" s="16" t="s">
        <v>36</v>
      </c>
      <c r="O397" s="1">
        <f>SUM(O392:O396)</f>
        <v>0</v>
      </c>
      <c r="P397" s="1">
        <f>SUM(P392:P396)</f>
        <v>0</v>
      </c>
      <c r="AM397" s="78"/>
      <c r="AN397" s="78"/>
    </row>
    <row r="398" spans="1:40" x14ac:dyDescent="0.3">
      <c r="A398" s="1" t="s">
        <v>52</v>
      </c>
      <c r="B398" s="1" t="s">
        <v>2</v>
      </c>
      <c r="C398" s="10">
        <f>C392/C397</f>
        <v>1</v>
      </c>
      <c r="D398" s="10">
        <f>D393/D397</f>
        <v>0.40875912408759124</v>
      </c>
      <c r="E398" s="10">
        <f>E394/E397</f>
        <v>0.96086369770580293</v>
      </c>
      <c r="F398" s="10">
        <f>F395/F397</f>
        <v>0.86708860759493667</v>
      </c>
      <c r="G398" s="10">
        <f>G396/G397</f>
        <v>0.96</v>
      </c>
      <c r="H398" s="10"/>
      <c r="I398" s="14">
        <f>(C392+D393+E394+F395+G396)/H397</f>
        <v>0.91925246826516216</v>
      </c>
    </row>
    <row r="399" spans="1:40" x14ac:dyDescent="0.3">
      <c r="B399" s="1" t="s">
        <v>14</v>
      </c>
      <c r="C399" s="11">
        <f>1-C398</f>
        <v>0</v>
      </c>
      <c r="D399" s="11">
        <f>1-D398</f>
        <v>0.59124087591240881</v>
      </c>
      <c r="E399" s="11">
        <f>1-E398</f>
        <v>3.9136302294197067E-2</v>
      </c>
      <c r="F399" s="11">
        <f>1-F398</f>
        <v>0.13291139240506333</v>
      </c>
      <c r="G399" s="11">
        <f>1-G398</f>
        <v>4.0000000000000036E-2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0.24565111346369403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0.24565111346369403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451</v>
      </c>
      <c r="M403">
        <v>0</v>
      </c>
      <c r="N403" s="1">
        <v>203.8</v>
      </c>
      <c r="O403" s="17">
        <f>N403/N408*100</f>
        <v>0.24565111346369403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58">(C393/$L404)*$O404</f>
        <v>0</v>
      </c>
      <c r="D404" s="34">
        <f t="shared" si="58"/>
        <v>1.3829764784945853</v>
      </c>
      <c r="E404" s="19">
        <f t="shared" si="58"/>
        <v>2.4696008544546167E-2</v>
      </c>
      <c r="F404" s="18">
        <f t="shared" si="58"/>
        <v>0</v>
      </c>
      <c r="G404" s="20">
        <f t="shared" si="58"/>
        <v>0</v>
      </c>
      <c r="H404" s="17">
        <f>SUM(C404:G404)</f>
        <v>1.4076724870391315</v>
      </c>
      <c r="I404" s="17">
        <f>D404/H404*100</f>
        <v>98.245614035087712</v>
      </c>
      <c r="J404" s="17">
        <f>SQRT(I404*(100-I404)/(L404-1))</f>
        <v>1.7543859649122842</v>
      </c>
      <c r="K404" s="18">
        <f>100-I404</f>
        <v>1.7543859649122879</v>
      </c>
      <c r="L404" s="1">
        <f>H393</f>
        <v>57</v>
      </c>
      <c r="M404">
        <v>1</v>
      </c>
      <c r="N404" s="1">
        <v>1167.8499999999999</v>
      </c>
      <c r="O404" s="17">
        <f>N404/N408*100</f>
        <v>1.4076724870391315</v>
      </c>
      <c r="P404" s="52">
        <f>((O404*O404*(I404/100)*(K404/100))/(L404-1))</f>
        <v>6.0989283803229981E-4</v>
      </c>
    </row>
    <row r="405" spans="1:40" x14ac:dyDescent="0.3">
      <c r="A405" t="s">
        <v>5</v>
      </c>
      <c r="B405" s="13">
        <v>2</v>
      </c>
      <c r="C405" s="33">
        <f t="shared" si="58"/>
        <v>0</v>
      </c>
      <c r="D405" s="19">
        <f t="shared" si="58"/>
        <v>7.8769170464148816E-2</v>
      </c>
      <c r="E405" s="34">
        <f t="shared" si="58"/>
        <v>56.083649370473964</v>
      </c>
      <c r="F405" s="19">
        <f t="shared" si="58"/>
        <v>1.1815375569622324</v>
      </c>
      <c r="G405" s="20">
        <f t="shared" si="58"/>
        <v>0.7089225341773393</v>
      </c>
      <c r="H405" s="17">
        <f>SUM(C405:G405)</f>
        <v>58.052878632077686</v>
      </c>
      <c r="I405" s="17">
        <f>E405/H405*100</f>
        <v>96.607869742198091</v>
      </c>
      <c r="J405" s="17">
        <f>SQRT(I405*(100-I405)/(L405-1))</f>
        <v>0.66727308275993358</v>
      </c>
      <c r="K405" s="18">
        <f>100-I405</f>
        <v>3.3921302578019095</v>
      </c>
      <c r="L405" s="1">
        <f>H394</f>
        <v>737</v>
      </c>
      <c r="M405">
        <v>2</v>
      </c>
      <c r="N405" s="1">
        <v>48162.52</v>
      </c>
      <c r="O405" s="17">
        <f>N405/N408*100</f>
        <v>58.052878632077679</v>
      </c>
      <c r="P405" s="52">
        <f>((O405*O405*(I405/100)*(K405/100))/(L405-1))</f>
        <v>0.15005647206231074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58"/>
        <v>0</v>
      </c>
      <c r="D406" s="19">
        <f t="shared" si="58"/>
        <v>0</v>
      </c>
      <c r="E406" s="19">
        <f t="shared" si="58"/>
        <v>0.42783185570186066</v>
      </c>
      <c r="F406" s="34">
        <f t="shared" si="58"/>
        <v>29.306482115577456</v>
      </c>
      <c r="G406" s="20">
        <f t="shared" si="58"/>
        <v>1.3904535310310471</v>
      </c>
      <c r="H406" s="17">
        <f>SUM(C406:G406)</f>
        <v>31.124767502310362</v>
      </c>
      <c r="I406" s="17">
        <f>F406/H406*100</f>
        <v>94.158075601374563</v>
      </c>
      <c r="J406" s="17">
        <f>SQRT(I406*(100-I406)/(L406-1))</f>
        <v>0.97301309901205002</v>
      </c>
      <c r="K406" s="18">
        <f>100-I406</f>
        <v>5.8419243986254372</v>
      </c>
      <c r="L406" s="1">
        <f>H395</f>
        <v>582</v>
      </c>
      <c r="M406">
        <v>3</v>
      </c>
      <c r="N406" s="1">
        <v>25822.1</v>
      </c>
      <c r="O406" s="17">
        <f>N406/N408*100</f>
        <v>31.124767502310362</v>
      </c>
      <c r="P406" s="52">
        <f>((O406*O406*(I406/100)*(K406/100))/(L406-1))</f>
        <v>9.1716950374016976E-2</v>
      </c>
    </row>
    <row r="407" spans="1:40" x14ac:dyDescent="0.3">
      <c r="A407" t="s">
        <v>7</v>
      </c>
      <c r="B407" s="13">
        <v>4</v>
      </c>
      <c r="C407" s="35">
        <f t="shared" si="58"/>
        <v>0</v>
      </c>
      <c r="D407" s="36">
        <f t="shared" si="58"/>
        <v>0.72697960476583867</v>
      </c>
      <c r="E407" s="21">
        <f t="shared" si="58"/>
        <v>0.18174490119145967</v>
      </c>
      <c r="F407" s="21">
        <f t="shared" si="58"/>
        <v>0.62701990911053596</v>
      </c>
      <c r="G407" s="37">
        <f t="shared" si="58"/>
        <v>7.6332858500413074</v>
      </c>
      <c r="H407" s="17">
        <f>SUM(C407:G407)</f>
        <v>9.1690302651091411</v>
      </c>
      <c r="I407" s="17">
        <f>G407/H407*100</f>
        <v>83.250743310208136</v>
      </c>
      <c r="J407" s="17">
        <f>SQRT(I407*(100-I407)/(L407-1))</f>
        <v>1.1761468859542712</v>
      </c>
      <c r="K407" s="18">
        <f>100-I407</f>
        <v>16.749256689791864</v>
      </c>
      <c r="L407" s="1">
        <f>H396</f>
        <v>1009</v>
      </c>
      <c r="M407">
        <v>4</v>
      </c>
      <c r="N407" s="1">
        <v>7606.92</v>
      </c>
      <c r="O407" s="17">
        <f>N407/N408*100</f>
        <v>9.1690302651091411</v>
      </c>
      <c r="P407" s="52">
        <f>((O407*O407*(I407/100)*(K407/100))/(L407-1))</f>
        <v>1.1629738207159977E-2</v>
      </c>
      <c r="AM407" s="78"/>
      <c r="AN407" s="78"/>
    </row>
    <row r="408" spans="1:40" x14ac:dyDescent="0.3">
      <c r="B408" t="s">
        <v>28</v>
      </c>
      <c r="C408" s="17">
        <f t="shared" ref="C408:H408" si="59">SUM(C403:C407)</f>
        <v>0.24565111346369403</v>
      </c>
      <c r="D408" s="17">
        <f t="shared" si="59"/>
        <v>2.1887252537245727</v>
      </c>
      <c r="E408" s="17">
        <f t="shared" si="59"/>
        <v>56.717922135911827</v>
      </c>
      <c r="F408" s="17">
        <f t="shared" si="59"/>
        <v>31.115039581650226</v>
      </c>
      <c r="G408" s="17">
        <f t="shared" si="59"/>
        <v>9.7326619152496932</v>
      </c>
      <c r="H408" s="18">
        <f t="shared" si="59"/>
        <v>100.00000000000001</v>
      </c>
      <c r="I408" s="13" t="s">
        <v>24</v>
      </c>
      <c r="J408" s="12" t="s">
        <v>29</v>
      </c>
      <c r="N408" s="1">
        <f>SUM(N403:N407)</f>
        <v>82963.189999999988</v>
      </c>
      <c r="O408" s="17">
        <f>SUM(O403:O407)</f>
        <v>100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0.11348045216000911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0.41789519579860845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0.43363823998718287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0.37123530349396572</v>
      </c>
      <c r="H409" s="1"/>
      <c r="I409" s="56">
        <f>(C403+D404+E405+F406+G407)/H408</f>
        <v>0.94652044928050982</v>
      </c>
      <c r="J409" s="53">
        <f>SQRT(SUM(P403:P407))/100</f>
        <v>5.0399707685811037E-3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63.186390166658072</v>
      </c>
      <c r="E410" s="17">
        <f>E405/E408*100</f>
        <v>98.881706625433182</v>
      </c>
      <c r="F410" s="17">
        <f>F406/F408*100</f>
        <v>94.187513529183008</v>
      </c>
      <c r="G410" s="17">
        <f>G407/G408*100</f>
        <v>78.429579867364325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5.2439709541140775</v>
      </c>
      <c r="E411" s="18">
        <f>SQRT((E414+E415)/(E408*E408))</f>
        <v>0.28516056676839141</v>
      </c>
      <c r="F411" s="18">
        <f>SQRT((F414+F415)/(F408*F408))</f>
        <v>1.0978764833248225</v>
      </c>
      <c r="G411" s="18">
        <f>SQRT((G414+G415)/(G408*G408))</f>
        <v>3.7309837331554987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36.813609833341928</v>
      </c>
      <c r="E412" s="18">
        <f>100-E410</f>
        <v>1.118293374566818</v>
      </c>
      <c r="F412" s="18">
        <f>100-F410</f>
        <v>5.8124864708169923</v>
      </c>
      <c r="G412" s="18">
        <f>100-G410</f>
        <v>21.570420132635675</v>
      </c>
    </row>
    <row r="413" spans="1:40" ht="15.6" x14ac:dyDescent="0.35">
      <c r="B413" s="1" t="s">
        <v>25</v>
      </c>
      <c r="C413" s="1">
        <f>C397</f>
        <v>451</v>
      </c>
      <c r="D413" s="1">
        <f>D397</f>
        <v>137</v>
      </c>
      <c r="E413" s="1">
        <f>E397</f>
        <v>741</v>
      </c>
      <c r="F413" s="1">
        <f>F397</f>
        <v>632</v>
      </c>
      <c r="G413" s="1">
        <f>G397</f>
        <v>875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82.655230968114509</v>
      </c>
      <c r="E414" s="18">
        <f>(O405*O405*(100-E410)*(100-E410)*(I405)*(100-I405))/((L405-1)*100)</f>
        <v>18.76576335757342</v>
      </c>
      <c r="F414" s="18">
        <f>(O406*O406*(100-F410)*(100-F410)*(I406)*(100-I406))/((L406-1)*100)</f>
        <v>309.8657074232346</v>
      </c>
      <c r="G414" s="18">
        <f>(O407*O407*(100-G410)*(100-G410)*(I407)*(100-I407))/((L407-1)*100)</f>
        <v>541.11197694781094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49.080338382340116</v>
      </c>
      <c r="E415" s="18">
        <f>E410*E410*(SUM((H403*E403*(1-E392/H392))/(H392-1),(H404*E404*(1-E393/H393))/(H393-1), (H406*E406*(1-E395/H395))/(H395-1),(H407*E407*(1-E396/H396))/(H396-1)))</f>
        <v>242.82328779234683</v>
      </c>
      <c r="F415" s="18">
        <f>F410*F410*(SUM((H403*F403*(1-F392/H392))/(H392-1),(H404*F404*(1-F393/H393))/(H393-1), (H405*F405*(1-F394/H394))/(H394-1),(H407*F407*(1-F396/H396))/(H396-1)))</f>
        <v>857.07201921310525</v>
      </c>
      <c r="G415" s="18">
        <f>G410*G410*(SUM((H403*G403*(1-G392/H392))/(H392-1),(H404*G404*(1-G393/H393))/(H393-1), (H405*G405*(1-G394/H394))/(H394-1),(H406*G406*(1-G395/H395))/(H395-1)))</f>
        <v>777.47865546445678</v>
      </c>
      <c r="AM415" s="78"/>
      <c r="AN415" s="78"/>
    </row>
    <row r="417" spans="1:40" x14ac:dyDescent="0.3">
      <c r="AM417" s="78"/>
      <c r="AN417" s="78"/>
    </row>
    <row r="418" spans="1:40" x14ac:dyDescent="0.3">
      <c r="A418" s="348" t="s">
        <v>371</v>
      </c>
      <c r="B418" s="348"/>
      <c r="C418" s="348"/>
      <c r="D418" s="348"/>
      <c r="E418" s="348"/>
      <c r="F418" s="348"/>
      <c r="G418" s="348"/>
      <c r="H418" s="348"/>
      <c r="I418" s="348"/>
      <c r="J418" s="348"/>
      <c r="K418" s="348"/>
      <c r="L418" s="348" t="s">
        <v>87</v>
      </c>
      <c r="M418" s="348"/>
      <c r="N418" s="348"/>
      <c r="O418" s="348"/>
      <c r="P418" s="348"/>
    </row>
    <row r="419" spans="1:40" x14ac:dyDescent="0.3">
      <c r="A419" t="s">
        <v>15</v>
      </c>
      <c r="B419" t="s">
        <v>21</v>
      </c>
      <c r="I419" s="1" t="s">
        <v>53</v>
      </c>
      <c r="O419" s="350" t="s">
        <v>377</v>
      </c>
      <c r="P419" s="350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51</v>
      </c>
      <c r="O420" s="13" t="s">
        <v>644</v>
      </c>
      <c r="P420" s="13" t="s">
        <v>633</v>
      </c>
    </row>
    <row r="421" spans="1:40" x14ac:dyDescent="0.3">
      <c r="A421" t="s">
        <v>3</v>
      </c>
      <c r="B421" s="13">
        <v>0</v>
      </c>
      <c r="C421" s="26">
        <v>451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451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56</v>
      </c>
      <c r="E422" s="1">
        <v>1</v>
      </c>
      <c r="F422" s="1">
        <v>0</v>
      </c>
      <c r="G422" s="6">
        <v>0</v>
      </c>
      <c r="H422" s="1">
        <f>SUM(C422:G422)</f>
        <v>57</v>
      </c>
      <c r="I422" s="10">
        <f>D422/H422</f>
        <v>0.98245614035087714</v>
      </c>
      <c r="J422" s="11">
        <f>1-I422</f>
        <v>1.7543859649122862E-2</v>
      </c>
      <c r="K422">
        <f>H422-D426</f>
        <v>-108</v>
      </c>
      <c r="N422" s="10">
        <f>2*(D427*I422)/(D427+I422)</f>
        <v>0.50450450450450457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1</v>
      </c>
      <c r="E423" s="27">
        <v>715</v>
      </c>
      <c r="F423" s="1">
        <v>13</v>
      </c>
      <c r="G423" s="6">
        <v>8</v>
      </c>
      <c r="H423" s="1">
        <f>SUM(C423:G423)</f>
        <v>737</v>
      </c>
      <c r="I423" s="10">
        <f>E423/H423</f>
        <v>0.97014925373134331</v>
      </c>
      <c r="J423" s="11">
        <f>1-I423</f>
        <v>2.9850746268656692E-2</v>
      </c>
      <c r="K423">
        <f>H423-E426</f>
        <v>-3</v>
      </c>
      <c r="N423" s="10">
        <f>2*(E427*I423)/(E427+I423)</f>
        <v>0.96817874069058907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0</v>
      </c>
      <c r="E424" s="1">
        <v>7</v>
      </c>
      <c r="F424" s="27">
        <v>550</v>
      </c>
      <c r="G424" s="6">
        <v>25</v>
      </c>
      <c r="H424" s="1">
        <f>SUM(C424:G424)</f>
        <v>582</v>
      </c>
      <c r="I424" s="10">
        <f>F424/H424</f>
        <v>0.94501718213058417</v>
      </c>
      <c r="J424" s="11">
        <f>1-I424</f>
        <v>5.4982817869415834E-2</v>
      </c>
      <c r="K424">
        <f>H424-F426</f>
        <v>-39</v>
      </c>
      <c r="N424" s="10">
        <f>2*(F427*I424)/(F427+I424)</f>
        <v>0.91438071487946793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108</v>
      </c>
      <c r="E425" s="8">
        <v>17</v>
      </c>
      <c r="F425" s="8">
        <v>58</v>
      </c>
      <c r="G425" s="28">
        <v>826</v>
      </c>
      <c r="H425" s="1">
        <f>SUM(C425:G425)</f>
        <v>1009</v>
      </c>
      <c r="I425" s="10">
        <f>G425/H425</f>
        <v>0.81863230921704655</v>
      </c>
      <c r="J425" s="11">
        <f>1-I425</f>
        <v>0.18136769078295345</v>
      </c>
      <c r="K425">
        <f>H425-G426</f>
        <v>150</v>
      </c>
      <c r="N425" s="10">
        <f>2*(G427*I425)/(G427+I425)</f>
        <v>0.88436830835117775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451</v>
      </c>
      <c r="D426" s="1">
        <f>SUM(D421:D425)</f>
        <v>165</v>
      </c>
      <c r="E426" s="1">
        <f>SUM(E421:E425)</f>
        <v>740</v>
      </c>
      <c r="F426" s="1">
        <f>SUM(F421:F425)</f>
        <v>621</v>
      </c>
      <c r="G426" s="1">
        <f>SUM(G421:G425)</f>
        <v>859</v>
      </c>
      <c r="H426" s="1">
        <f>SUM(H420:H425)</f>
        <v>2836</v>
      </c>
      <c r="I426" s="13" t="s">
        <v>12</v>
      </c>
      <c r="N426" s="16" t="s">
        <v>36</v>
      </c>
      <c r="O426" s="1">
        <f>SUM(O421:O425)</f>
        <v>0</v>
      </c>
      <c r="P426" s="1">
        <f>SUM(P421:P425)</f>
        <v>0</v>
      </c>
    </row>
    <row r="427" spans="1:40" x14ac:dyDescent="0.3">
      <c r="A427" s="1" t="s">
        <v>52</v>
      </c>
      <c r="B427" s="1" t="s">
        <v>2</v>
      </c>
      <c r="C427" s="10">
        <f>C421/C426</f>
        <v>1</v>
      </c>
      <c r="D427" s="10">
        <f>D422/D426</f>
        <v>0.33939393939393941</v>
      </c>
      <c r="E427" s="10">
        <f>E423/E426</f>
        <v>0.96621621621621623</v>
      </c>
      <c r="F427" s="10">
        <f>F424/F426</f>
        <v>0.88566827697262485</v>
      </c>
      <c r="G427" s="10">
        <f>G425/G426</f>
        <v>0.96158323632130382</v>
      </c>
      <c r="H427" s="10"/>
      <c r="I427" s="14">
        <f>(C421+D422+E423+F424+G425)/H426</f>
        <v>0.91607898448519043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0.66060606060606064</v>
      </c>
      <c r="E428" s="11">
        <f>1-E427</f>
        <v>3.3783783783783772E-2</v>
      </c>
      <c r="F428" s="11">
        <f>1-F427</f>
        <v>0.11433172302737515</v>
      </c>
      <c r="G428" s="11">
        <f>1-G427</f>
        <v>3.8416763678696175E-2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0.23934714170792395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0.23934714170792395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451</v>
      </c>
      <c r="M432">
        <v>0</v>
      </c>
      <c r="N432" s="1">
        <v>198.57</v>
      </c>
      <c r="O432" s="17">
        <f>N432/N437*100</f>
        <v>0.23934714170792395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60">(C422/$L433)*$O433</f>
        <v>0</v>
      </c>
      <c r="D433" s="34">
        <f t="shared" si="60"/>
        <v>1.4274791603493959</v>
      </c>
      <c r="E433" s="19">
        <f t="shared" si="60"/>
        <v>2.5490699291953502E-2</v>
      </c>
      <c r="F433" s="18">
        <f t="shared" si="60"/>
        <v>0</v>
      </c>
      <c r="G433" s="20">
        <f t="shared" si="60"/>
        <v>0</v>
      </c>
      <c r="H433" s="17">
        <f>SUM(C433:G433)</f>
        <v>1.4529698596413494</v>
      </c>
      <c r="I433" s="17">
        <f>D433/H433*100</f>
        <v>98.245614035087726</v>
      </c>
      <c r="J433" s="17">
        <f>SQRT(I433*(100-I433)/(L433-1))</f>
        <v>1.7543859649122773</v>
      </c>
      <c r="K433" s="18">
        <f>100-I433</f>
        <v>1.7543859649122737</v>
      </c>
      <c r="L433" s="1">
        <f>H422</f>
        <v>57</v>
      </c>
      <c r="M433">
        <v>1</v>
      </c>
      <c r="N433" s="1">
        <v>1205.43</v>
      </c>
      <c r="O433" s="17">
        <f>N433/N437*100</f>
        <v>1.4529698596413496</v>
      </c>
      <c r="P433" s="52">
        <f>((O433*O433*(I433/100)*(K433/100))/(L433-1))</f>
        <v>6.497757503927963E-4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60"/>
        <v>0</v>
      </c>
      <c r="D434" s="19">
        <f t="shared" si="60"/>
        <v>7.9070763779077805E-2</v>
      </c>
      <c r="E434" s="34">
        <f t="shared" si="60"/>
        <v>56.535596102040635</v>
      </c>
      <c r="F434" s="19">
        <f t="shared" si="60"/>
        <v>1.0279199291280114</v>
      </c>
      <c r="G434" s="20">
        <f t="shared" si="60"/>
        <v>0.63256611023262244</v>
      </c>
      <c r="H434" s="17">
        <f>SUM(C434:G434)</f>
        <v>58.275152905180349</v>
      </c>
      <c r="I434" s="17">
        <f>E434/H434*100</f>
        <v>97.014925373134332</v>
      </c>
      <c r="J434" s="17">
        <f>SQRT(I434*(100-I434)/(L434-1))</f>
        <v>0.62727498147894845</v>
      </c>
      <c r="K434" s="18">
        <f>100-I434</f>
        <v>2.9850746268656678</v>
      </c>
      <c r="L434" s="1">
        <f>H423</f>
        <v>737</v>
      </c>
      <c r="M434">
        <v>2</v>
      </c>
      <c r="N434" s="1">
        <v>48346.92</v>
      </c>
      <c r="O434" s="17">
        <f>N434/N437*100</f>
        <v>58.275152905180349</v>
      </c>
      <c r="P434" s="52">
        <f>((O434*O434*(I434/100)*(K434/100))/(L434-1))</f>
        <v>0.13362347937345603</v>
      </c>
    </row>
    <row r="435" spans="1:40" x14ac:dyDescent="0.3">
      <c r="A435" t="s">
        <v>6</v>
      </c>
      <c r="B435" s="13">
        <v>3</v>
      </c>
      <c r="C435" s="33">
        <f t="shared" si="60"/>
        <v>0</v>
      </c>
      <c r="D435" s="19">
        <f t="shared" si="60"/>
        <v>0</v>
      </c>
      <c r="E435" s="19">
        <f t="shared" si="60"/>
        <v>0.3755850515921621</v>
      </c>
      <c r="F435" s="34">
        <f t="shared" si="60"/>
        <v>29.510254053669875</v>
      </c>
      <c r="G435" s="20">
        <f t="shared" si="60"/>
        <v>1.3413751842577217</v>
      </c>
      <c r="H435" s="17">
        <f>SUM(C435:G435)</f>
        <v>31.227214289519758</v>
      </c>
      <c r="I435" s="17">
        <f>F435/H435*100</f>
        <v>94.501718213058425</v>
      </c>
      <c r="J435" s="17">
        <f>SQRT(I435*(100-I435)/(L435-1))</f>
        <v>0.94568234896218206</v>
      </c>
      <c r="K435" s="18">
        <f>100-I435</f>
        <v>5.4982817869415754</v>
      </c>
      <c r="L435" s="1">
        <f>H424</f>
        <v>582</v>
      </c>
      <c r="M435">
        <v>3</v>
      </c>
      <c r="N435" s="1">
        <v>25907.09</v>
      </c>
      <c r="O435" s="17">
        <f>N435/N437*100</f>
        <v>31.227214289519761</v>
      </c>
      <c r="P435" s="52">
        <f>((O435*O435*(I435/100)*(K435/100))/(L435-1))</f>
        <v>8.7208145886366564E-2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60"/>
        <v>0</v>
      </c>
      <c r="D436" s="36">
        <f t="shared" si="60"/>
        <v>0.94249168169144415</v>
      </c>
      <c r="E436" s="21">
        <f t="shared" si="60"/>
        <v>0.14835517211809768</v>
      </c>
      <c r="F436" s="21">
        <f t="shared" si="60"/>
        <v>0.50615294016762746</v>
      </c>
      <c r="G436" s="37">
        <f t="shared" si="60"/>
        <v>7.2083160099734522</v>
      </c>
      <c r="H436" s="17">
        <f>SUM(C436:G436)</f>
        <v>8.8053158039506219</v>
      </c>
      <c r="I436" s="17">
        <f>G436/H436*100</f>
        <v>81.863230921704655</v>
      </c>
      <c r="J436" s="17">
        <f>SQRT(I436*(100-I436)/(L436-1))</f>
        <v>1.2136518891207615</v>
      </c>
      <c r="K436" s="18">
        <f>100-I436</f>
        <v>18.136769078295345</v>
      </c>
      <c r="L436" s="1">
        <f>H425</f>
        <v>1009</v>
      </c>
      <c r="M436">
        <v>4</v>
      </c>
      <c r="N436" s="1">
        <v>7305.17</v>
      </c>
      <c r="O436" s="17">
        <f>N436/N437*100</f>
        <v>8.8053158039506219</v>
      </c>
      <c r="P436" s="52">
        <f>((O436*O436*(I436/100)*(K436/100))/(L436-1))</f>
        <v>1.1420316649652715E-2</v>
      </c>
    </row>
    <row r="437" spans="1:40" x14ac:dyDescent="0.3">
      <c r="B437" t="s">
        <v>28</v>
      </c>
      <c r="C437" s="17">
        <f t="shared" ref="C437:H437" si="61">SUM(C432:C436)</f>
        <v>0.23934714170792395</v>
      </c>
      <c r="D437" s="17">
        <f t="shared" si="61"/>
        <v>2.449041605819918</v>
      </c>
      <c r="E437" s="17">
        <f t="shared" si="61"/>
        <v>57.085027025042841</v>
      </c>
      <c r="F437" s="17">
        <f t="shared" si="61"/>
        <v>31.044326922965514</v>
      </c>
      <c r="G437" s="17">
        <f t="shared" si="61"/>
        <v>9.1822573044637963</v>
      </c>
      <c r="H437" s="18">
        <f t="shared" si="61"/>
        <v>100</v>
      </c>
      <c r="I437" s="13" t="s">
        <v>24</v>
      </c>
      <c r="J437" s="12" t="s">
        <v>29</v>
      </c>
      <c r="N437" s="1">
        <f>SUM(N432:N436)</f>
        <v>82963.179999999993</v>
      </c>
      <c r="O437" s="17">
        <f>SUM(O432:O436)</f>
        <v>100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0.11927541234545658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0.39403431065210665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0.41360152136193939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0.36022699697559579</v>
      </c>
      <c r="H438" s="1"/>
      <c r="I438" s="56">
        <f>(C432+D433+E434+F435+G436)/H437</f>
        <v>0.94920992467741283</v>
      </c>
      <c r="J438" s="53">
        <f>SQRT(SUM(P432:P436))/100</f>
        <v>4.8259892007739523E-3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58.287256409083675</v>
      </c>
      <c r="E439" s="17">
        <f>E434/E437*100</f>
        <v>99.037521830792556</v>
      </c>
      <c r="F439" s="17">
        <f>F435/F437*100</f>
        <v>95.058443775887497</v>
      </c>
      <c r="G439" s="17">
        <f>G436/G437*100</f>
        <v>78.502657581477848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5.1532282320200729</v>
      </c>
      <c r="E440" s="18">
        <f>SQRT((E443+E444)/(E437*E437))</f>
        <v>0.26385395626550634</v>
      </c>
      <c r="F440" s="18">
        <f>SQRT((F443+F444)/(F437*F437))</f>
        <v>1.0048263869633109</v>
      </c>
      <c r="G440" s="18">
        <f>SQRT((G443+G444)/(G437*G437))</f>
        <v>3.8631562101201635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41.712743590916325</v>
      </c>
      <c r="E441" s="18">
        <f>100-E439</f>
        <v>0.96247816920744356</v>
      </c>
      <c r="F441" s="18">
        <f>100-F439</f>
        <v>4.9415562241125031</v>
      </c>
      <c r="G441" s="18">
        <f>100-G439</f>
        <v>21.497342418522152</v>
      </c>
      <c r="AM441" s="78"/>
      <c r="AN441" s="78"/>
    </row>
    <row r="442" spans="1:40" ht="15.6" x14ac:dyDescent="0.35">
      <c r="B442" s="1" t="s">
        <v>25</v>
      </c>
      <c r="C442" s="1">
        <f>C426</f>
        <v>451</v>
      </c>
      <c r="D442" s="1">
        <f>D426</f>
        <v>165</v>
      </c>
      <c r="E442" s="1">
        <f>E426</f>
        <v>740</v>
      </c>
      <c r="F442" s="1">
        <f>F426</f>
        <v>621</v>
      </c>
      <c r="G442" s="1">
        <f>G426</f>
        <v>859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113.05792518511522</v>
      </c>
      <c r="E443" s="18">
        <f>(O434*O434*(100-E439)*(100-E439)*(I434)*(100-I434))/((L434-1)*100)</f>
        <v>12.378401107206518</v>
      </c>
      <c r="F443" s="18">
        <f>(O435*O435*(100-F439)*(100-F439)*(I435)*(100-I435))/((L435-1)*100)</f>
        <v>212.95337885001618</v>
      </c>
      <c r="G443" s="18">
        <f>(O436*O436*(100-G439)*(100-G439)*(I436)*(100-I436))/((L436-1)*100)</f>
        <v>527.77363838147176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46.218346531363856</v>
      </c>
      <c r="E444" s="18">
        <f>E439*E439*(SUM((H432*E432*(1-E421/H421))/(H421-1),(H433*E433*(1-E422/H422))/(H422-1), (H435*E435*(1-E424/H424))/(H424-1),(H436*E436*(1-E425/H425))/(H425-1)))</f>
        <v>214.48876329515588</v>
      </c>
      <c r="F444" s="18">
        <f>F439*F439*(SUM((H432*F432*(1-F421/H421))/(H421-1),(H433*F433*(1-F422/H422))/(H422-1), (H434*F434*(1-F423/H423))/(H423-1),(H436*F436*(1-F425/H425))/(H425-1)))</f>
        <v>760.1221679901106</v>
      </c>
      <c r="G444" s="18">
        <f>G439*G439*(SUM((H432*G432*(1-G421/H421))/(H421-1),(H433*G433*(1-G422/H422))/(H422-1), (H434*G434*(1-G423/H423))/(H423-1),(H435*G435*(1-G424/H424))/(H424-1)))</f>
        <v>730.52421551538293</v>
      </c>
    </row>
    <row r="445" spans="1:40" x14ac:dyDescent="0.3">
      <c r="AM445" s="78"/>
      <c r="AN445" s="78"/>
    </row>
    <row r="447" spans="1:40" x14ac:dyDescent="0.3">
      <c r="A447" s="348" t="s">
        <v>371</v>
      </c>
      <c r="B447" s="348"/>
      <c r="C447" s="348"/>
      <c r="D447" s="348"/>
      <c r="E447" s="348"/>
      <c r="F447" s="348"/>
      <c r="G447" s="348"/>
      <c r="H447" s="348"/>
      <c r="I447" s="348"/>
      <c r="J447" s="348"/>
      <c r="K447" s="348"/>
      <c r="L447" s="348" t="s">
        <v>88</v>
      </c>
      <c r="M447" s="348"/>
      <c r="N447" s="348"/>
      <c r="O447" s="348"/>
      <c r="P447" s="348"/>
      <c r="AM447" s="78"/>
      <c r="AN447" s="78"/>
    </row>
    <row r="448" spans="1:40" x14ac:dyDescent="0.3">
      <c r="A448" t="s">
        <v>15</v>
      </c>
      <c r="B448" t="s">
        <v>21</v>
      </c>
      <c r="I448" s="1" t="s">
        <v>53</v>
      </c>
      <c r="O448" s="350" t="s">
        <v>377</v>
      </c>
      <c r="P448" s="350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51</v>
      </c>
      <c r="O449" s="13" t="s">
        <v>644</v>
      </c>
      <c r="P449" s="13" t="s">
        <v>633</v>
      </c>
      <c r="AM449" s="78"/>
      <c r="AN449" s="78"/>
    </row>
    <row r="450" spans="1:40" x14ac:dyDescent="0.3">
      <c r="A450" t="s">
        <v>3</v>
      </c>
      <c r="B450" s="13">
        <v>0</v>
      </c>
      <c r="C450" s="26">
        <v>451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451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54</v>
      </c>
      <c r="E451" s="1">
        <v>3</v>
      </c>
      <c r="F451" s="1">
        <v>0</v>
      </c>
      <c r="G451" s="6">
        <v>0</v>
      </c>
      <c r="H451" s="1">
        <f>SUM(C451:G451)</f>
        <v>57</v>
      </c>
      <c r="I451" s="10">
        <f>D451/H451</f>
        <v>0.94736842105263153</v>
      </c>
      <c r="J451" s="11">
        <f>1-I451</f>
        <v>5.2631578947368474E-2</v>
      </c>
      <c r="K451">
        <f>H451-D455</f>
        <v>-86</v>
      </c>
      <c r="N451" s="10">
        <f>2*(D456*I451)/(D456+I451)</f>
        <v>0.53999999999999992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2</v>
      </c>
      <c r="E452" s="27">
        <v>716</v>
      </c>
      <c r="F452" s="1">
        <v>11</v>
      </c>
      <c r="G452" s="6">
        <v>8</v>
      </c>
      <c r="H452" s="1">
        <f>SUM(C452:G452)</f>
        <v>737</v>
      </c>
      <c r="I452" s="10">
        <f>E452/H452</f>
        <v>0.97150610583446406</v>
      </c>
      <c r="J452" s="11">
        <f>1-I452</f>
        <v>2.8493894165535938E-2</v>
      </c>
      <c r="K452">
        <f>H452-E455</f>
        <v>-11</v>
      </c>
      <c r="N452" s="10">
        <f>2*(E456*I452)/(E456+I452)</f>
        <v>0.96430976430976434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0</v>
      </c>
      <c r="E453" s="1">
        <v>10</v>
      </c>
      <c r="F453" s="27">
        <v>548</v>
      </c>
      <c r="G453" s="6">
        <v>24</v>
      </c>
      <c r="H453" s="1">
        <f>SUM(C453:G453)</f>
        <v>582</v>
      </c>
      <c r="I453" s="10">
        <f>F453/H453</f>
        <v>0.94158075601374569</v>
      </c>
      <c r="J453" s="11">
        <f>1-I453</f>
        <v>5.841924398625431E-2</v>
      </c>
      <c r="K453">
        <f>H453-F455</f>
        <v>-24</v>
      </c>
      <c r="N453" s="10">
        <f>2*(F456*I453)/(F456+I453)</f>
        <v>0.92255892255892258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87</v>
      </c>
      <c r="E454" s="8">
        <v>19</v>
      </c>
      <c r="F454" s="8">
        <v>47</v>
      </c>
      <c r="G454" s="28">
        <v>856</v>
      </c>
      <c r="H454" s="1">
        <f>SUM(C454:G454)</f>
        <v>1009</v>
      </c>
      <c r="I454" s="10">
        <f>G454/H454</f>
        <v>0.84836471754212095</v>
      </c>
      <c r="J454" s="11">
        <f>1-I454</f>
        <v>0.15163528245787905</v>
      </c>
      <c r="K454">
        <f>H454-G455</f>
        <v>121</v>
      </c>
      <c r="N454" s="10">
        <f>2*(G456*I454)/(G456+I454)</f>
        <v>0.90247759620453361</v>
      </c>
      <c r="O454" s="1"/>
      <c r="P454" s="1"/>
    </row>
    <row r="455" spans="1:40" ht="15.6" x14ac:dyDescent="0.35">
      <c r="B455" s="1" t="s">
        <v>19</v>
      </c>
      <c r="C455" s="1">
        <f>SUM(C450:C454)</f>
        <v>451</v>
      </c>
      <c r="D455" s="1">
        <f>SUM(D450:D454)</f>
        <v>143</v>
      </c>
      <c r="E455" s="1">
        <f>SUM(E450:E454)</f>
        <v>748</v>
      </c>
      <c r="F455" s="1">
        <f>SUM(F450:F454)</f>
        <v>606</v>
      </c>
      <c r="G455" s="1">
        <f>SUM(G450:G454)</f>
        <v>888</v>
      </c>
      <c r="H455" s="1">
        <f>SUM(H449:H454)</f>
        <v>2836</v>
      </c>
      <c r="I455" s="13" t="s">
        <v>12</v>
      </c>
      <c r="N455" s="16" t="s">
        <v>36</v>
      </c>
      <c r="O455" s="1">
        <f>SUM(O450:O454)</f>
        <v>0</v>
      </c>
      <c r="P455" s="1">
        <f>SUM(P450:P454)</f>
        <v>0</v>
      </c>
      <c r="AM455" s="78"/>
      <c r="AN455" s="78"/>
    </row>
    <row r="456" spans="1:40" x14ac:dyDescent="0.3">
      <c r="A456" s="1" t="s">
        <v>52</v>
      </c>
      <c r="B456" s="1" t="s">
        <v>2</v>
      </c>
      <c r="C456" s="10">
        <f>C450/C455</f>
        <v>1</v>
      </c>
      <c r="D456" s="10">
        <f>D451/D455</f>
        <v>0.3776223776223776</v>
      </c>
      <c r="E456" s="10">
        <f>E452/E455</f>
        <v>0.95721925133689845</v>
      </c>
      <c r="F456" s="10">
        <f>F453/F455</f>
        <v>0.90429042904290424</v>
      </c>
      <c r="G456" s="10">
        <f>G454/G455</f>
        <v>0.963963963963964</v>
      </c>
      <c r="H456" s="10"/>
      <c r="I456" s="14">
        <f>(C450+D451+E452+F453+G454)/H455</f>
        <v>0.92559943582510573</v>
      </c>
    </row>
    <row r="457" spans="1:40" x14ac:dyDescent="0.3">
      <c r="B457" s="1" t="s">
        <v>14</v>
      </c>
      <c r="C457" s="11">
        <f>1-C456</f>
        <v>0</v>
      </c>
      <c r="D457" s="11">
        <f>1-D456</f>
        <v>0.6223776223776224</v>
      </c>
      <c r="E457" s="11">
        <f>1-E456</f>
        <v>4.2780748663101553E-2</v>
      </c>
      <c r="F457" s="11">
        <f>1-F456</f>
        <v>9.5709570957095758E-2</v>
      </c>
      <c r="G457" s="11">
        <f>1-G456</f>
        <v>3.6036036036036001E-2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0.23240430272802945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0.23240430272802945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451</v>
      </c>
      <c r="M461">
        <v>0</v>
      </c>
      <c r="N461" s="1">
        <v>192.81</v>
      </c>
      <c r="O461" s="17">
        <f>N461/N466*100</f>
        <v>0.23240430272802945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62">(C451/$L462)*$O462</f>
        <v>0</v>
      </c>
      <c r="D462" s="34">
        <f t="shared" si="62"/>
        <v>1.4187600102269844</v>
      </c>
      <c r="E462" s="19">
        <f t="shared" si="62"/>
        <v>7.8820000568165793E-2</v>
      </c>
      <c r="F462" s="18">
        <f t="shared" si="62"/>
        <v>0</v>
      </c>
      <c r="G462" s="20">
        <f t="shared" si="62"/>
        <v>0</v>
      </c>
      <c r="H462" s="17">
        <f>SUM(C462:G462)</f>
        <v>1.4975800107951502</v>
      </c>
      <c r="I462" s="17">
        <f>D462/H462*100</f>
        <v>94.73684210526315</v>
      </c>
      <c r="J462" s="17">
        <f>SQRT(I462*(100-I462)/(L462-1))</f>
        <v>2.9839300500728485</v>
      </c>
      <c r="K462" s="18">
        <f>100-I462</f>
        <v>5.2631578947368496</v>
      </c>
      <c r="L462" s="1">
        <f>H451</f>
        <v>57</v>
      </c>
      <c r="M462">
        <v>1</v>
      </c>
      <c r="N462" s="1">
        <v>1242.44</v>
      </c>
      <c r="O462" s="17">
        <f>N462/N466*100</f>
        <v>1.4975800107951502</v>
      </c>
      <c r="P462" s="52">
        <f>((O462*O462*(I462/100)*(K462/100))/(L462-1))</f>
        <v>1.9969047287889644E-3</v>
      </c>
    </row>
    <row r="463" spans="1:40" x14ac:dyDescent="0.3">
      <c r="A463" t="s">
        <v>5</v>
      </c>
      <c r="B463" s="13">
        <v>2</v>
      </c>
      <c r="C463" s="33">
        <f t="shared" si="62"/>
        <v>0</v>
      </c>
      <c r="D463" s="19">
        <f t="shared" si="62"/>
        <v>0.1575117014775837</v>
      </c>
      <c r="E463" s="34">
        <f t="shared" si="62"/>
        <v>56.389189128974969</v>
      </c>
      <c r="F463" s="19">
        <f t="shared" si="62"/>
        <v>0.86631435812671043</v>
      </c>
      <c r="G463" s="20">
        <f t="shared" si="62"/>
        <v>0.6300468059103348</v>
      </c>
      <c r="H463" s="17">
        <f>SUM(C463:G463)</f>
        <v>58.043061994489591</v>
      </c>
      <c r="I463" s="17">
        <f>E463/H463*100</f>
        <v>97.150610583446422</v>
      </c>
      <c r="J463" s="17">
        <f>SQRT(I463*(100-I463)/(L463-1))</f>
        <v>0.6132813578808437</v>
      </c>
      <c r="K463" s="18">
        <f>100-I463</f>
        <v>2.8493894165535778</v>
      </c>
      <c r="L463" s="1">
        <f>H452</f>
        <v>737</v>
      </c>
      <c r="M463">
        <v>2</v>
      </c>
      <c r="N463" s="1">
        <v>48154.37</v>
      </c>
      <c r="O463" s="17">
        <f>N463/N466*100</f>
        <v>58.043061994489598</v>
      </c>
      <c r="P463" s="52">
        <f>((O463*O463*(I463/100)*(K463/100))/(L463-1))</f>
        <v>0.12671270354454298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62"/>
        <v>0</v>
      </c>
      <c r="D464" s="19">
        <f t="shared" si="62"/>
        <v>0</v>
      </c>
      <c r="E464" s="19">
        <f t="shared" si="62"/>
        <v>0.52917028354670204</v>
      </c>
      <c r="F464" s="34">
        <f t="shared" si="62"/>
        <v>28.99853153835927</v>
      </c>
      <c r="G464" s="20">
        <f t="shared" si="62"/>
        <v>1.2700086805120847</v>
      </c>
      <c r="H464" s="17">
        <f>SUM(C464:G464)</f>
        <v>30.797710502418056</v>
      </c>
      <c r="I464" s="17">
        <f>F464/H464*100</f>
        <v>94.158075601374563</v>
      </c>
      <c r="J464" s="17">
        <f>SQRT(I464*(100-I464)/(L464-1))</f>
        <v>0.97301309901205002</v>
      </c>
      <c r="K464" s="18">
        <f>100-I464</f>
        <v>5.8419243986254372</v>
      </c>
      <c r="L464" s="1">
        <f>H453</f>
        <v>582</v>
      </c>
      <c r="M464">
        <v>3</v>
      </c>
      <c r="N464" s="1">
        <v>25550.76</v>
      </c>
      <c r="O464" s="17">
        <f>N464/N466*100</f>
        <v>30.797710502418056</v>
      </c>
      <c r="P464" s="52">
        <f>((O464*O464*(I464/100)*(K464/100))/(L464-1))</f>
        <v>8.9799566148728652E-2</v>
      </c>
    </row>
    <row r="465" spans="1:40" x14ac:dyDescent="0.3">
      <c r="A465" t="s">
        <v>7</v>
      </c>
      <c r="B465" s="13">
        <v>4</v>
      </c>
      <c r="C465" s="35">
        <f t="shared" si="62"/>
        <v>0</v>
      </c>
      <c r="D465" s="36">
        <f t="shared" si="62"/>
        <v>0.81302691525521964</v>
      </c>
      <c r="E465" s="21">
        <f t="shared" si="62"/>
        <v>0.1775576021821744</v>
      </c>
      <c r="F465" s="21">
        <f t="shared" si="62"/>
        <v>0.4392214369769577</v>
      </c>
      <c r="G465" s="37">
        <f t="shared" si="62"/>
        <v>7.9994372351548053</v>
      </c>
      <c r="H465" s="17">
        <f>SUM(C465:G465)</f>
        <v>9.4292431895691564</v>
      </c>
      <c r="I465" s="17">
        <f>G465/H465*100</f>
        <v>84.836471754212099</v>
      </c>
      <c r="J465" s="17">
        <f>SQRT(I465*(100-I465)/(L465-1))</f>
        <v>1.1296948930164827</v>
      </c>
      <c r="K465" s="18">
        <f>100-I465</f>
        <v>15.163528245787901</v>
      </c>
      <c r="L465" s="1">
        <f>H454</f>
        <v>1009</v>
      </c>
      <c r="M465">
        <v>4</v>
      </c>
      <c r="N465" s="1">
        <v>7822.8</v>
      </c>
      <c r="O465" s="17">
        <f>N465/N466*100</f>
        <v>9.4292431895691564</v>
      </c>
      <c r="P465" s="52">
        <f>((O465*O465*(I465/100)*(K465/100))/(L465-1))</f>
        <v>1.1346868046416882E-2</v>
      </c>
      <c r="AM465" s="78"/>
      <c r="AN465" s="78"/>
    </row>
    <row r="466" spans="1:40" x14ac:dyDescent="0.3">
      <c r="B466" t="s">
        <v>28</v>
      </c>
      <c r="C466" s="17">
        <f t="shared" ref="C466:H466" si="63">SUM(C461:C465)</f>
        <v>0.23240430272802945</v>
      </c>
      <c r="D466" s="17">
        <f t="shared" si="63"/>
        <v>2.3892986269597878</v>
      </c>
      <c r="E466" s="17">
        <f t="shared" si="63"/>
        <v>57.174737015272015</v>
      </c>
      <c r="F466" s="17">
        <f t="shared" si="63"/>
        <v>30.304067333462939</v>
      </c>
      <c r="G466" s="17">
        <f t="shared" si="63"/>
        <v>9.899492721577225</v>
      </c>
      <c r="H466" s="18">
        <f t="shared" si="63"/>
        <v>99.999999999999972</v>
      </c>
      <c r="I466" s="13" t="s">
        <v>24</v>
      </c>
      <c r="J466" s="12" t="s">
        <v>29</v>
      </c>
      <c r="N466" s="1">
        <f>SUM(N461:N465)</f>
        <v>82963.180000000008</v>
      </c>
      <c r="O466" s="17">
        <f>SUM(O461:O465)</f>
        <v>100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0.1458626309510094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0.39705375191724218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0.40095843566998024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0.35334207448534993</v>
      </c>
      <c r="H467" s="1"/>
      <c r="I467" s="14">
        <f>(C461+D462+E463+F464+G465)/H466</f>
        <v>0.95038322215444082</v>
      </c>
      <c r="J467" s="53">
        <f>SQRT(SUM(P461:P465))/100</f>
        <v>4.794330427374374E-3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59.379769201652934</v>
      </c>
      <c r="E468" s="17">
        <f>E463/E466*100</f>
        <v>98.626057718311472</v>
      </c>
      <c r="F468" s="17">
        <f>F464/F466*100</f>
        <v>95.691879308682616</v>
      </c>
      <c r="G468" s="17">
        <f>G465/G466*100</f>
        <v>80.806536861419147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8.3462833091604676</v>
      </c>
      <c r="E469" s="18">
        <f>SQRT((E472+E473)/(E466*E466))</f>
        <v>0.31645059811710929</v>
      </c>
      <c r="F469" s="18">
        <f>SQRT((F472+F473)/(F466*F466))</f>
        <v>0.94425337136422272</v>
      </c>
      <c r="G469" s="18">
        <f>SQRT((G472+G473)/(G466*G466))</f>
        <v>3.4410261350072671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40.620230798347066</v>
      </c>
      <c r="E470" s="18">
        <f>100-E468</f>
        <v>1.3739422816885281</v>
      </c>
      <c r="F470" s="18">
        <f>100-F468</f>
        <v>4.3081206913173844</v>
      </c>
      <c r="G470" s="18">
        <f>100-G468</f>
        <v>19.193463138580853</v>
      </c>
    </row>
    <row r="471" spans="1:40" ht="15.6" x14ac:dyDescent="0.35">
      <c r="B471" s="1" t="s">
        <v>25</v>
      </c>
      <c r="C471" s="1">
        <f>C455</f>
        <v>451</v>
      </c>
      <c r="D471" s="1">
        <f>D455</f>
        <v>143</v>
      </c>
      <c r="E471" s="1">
        <f>E455</f>
        <v>748</v>
      </c>
      <c r="F471" s="1">
        <f>F455</f>
        <v>606</v>
      </c>
      <c r="G471" s="1">
        <f>G455</f>
        <v>888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329.489909297331</v>
      </c>
      <c r="E472" s="18">
        <f>(O463*O463*(100-E468)*(100-E468)*(I463)*(100-I463))/((L463-1)*100)</f>
        <v>23.919777444722612</v>
      </c>
      <c r="F472" s="18">
        <f>(O464*O464*(100-F468)*(100-F468)*(I464)*(100-I464))/((L464-1)*100)</f>
        <v>166.66713171700374</v>
      </c>
      <c r="G472" s="18">
        <f>(O465*O465*(100-G468)*(100-G468)*(I465)*(100-I465))/((L465-1)*100)</f>
        <v>418.00616819770192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68.184012253407005</v>
      </c>
      <c r="E473" s="18">
        <f>E468*E468*(SUM((H461*E461*(1-E450/H450))/(H450-1),(H462*E462*(1-E451/H451))/(H451-1), (H464*E464*(1-E453/H453))/(H453-1),(H465*E465*(1-E454/H454))/(H454-1)))</f>
        <v>303.43613790882853</v>
      </c>
      <c r="F473" s="18">
        <f>F468*F468*(SUM((H461*F461*(1-F450/H450))/(H450-1),(H462*F462*(1-F451/H451))/(H451-1), (H463*F463*(1-F452/H452))/(H452-1),(H465*F465*(1-F454/H454))/(H454-1)))</f>
        <v>652.13493994740315</v>
      </c>
      <c r="G473" s="18">
        <f>G468*G468*(SUM((H461*G461*(1-G450/H450))/(H450-1),(H462*G462*(1-G451/H451))/(H451-1), (H463*G463*(1-G452/H452))/(H452-1),(H464*G464*(1-G453/H453))/(H453-1)))</f>
        <v>742.37807698161066</v>
      </c>
      <c r="AM473" s="78"/>
      <c r="AN473" s="78"/>
    </row>
    <row r="475" spans="1:40" x14ac:dyDescent="0.3">
      <c r="AM475" s="78"/>
      <c r="AN475" s="78"/>
    </row>
    <row r="476" spans="1:40" x14ac:dyDescent="0.3">
      <c r="A476" s="348" t="s">
        <v>371</v>
      </c>
      <c r="B476" s="348"/>
      <c r="C476" s="348"/>
      <c r="D476" s="348"/>
      <c r="E476" s="348"/>
      <c r="F476" s="348"/>
      <c r="G476" s="348"/>
      <c r="H476" s="348"/>
      <c r="I476" s="348"/>
      <c r="J476" s="348"/>
      <c r="K476" s="348"/>
      <c r="L476" s="348" t="s">
        <v>89</v>
      </c>
      <c r="M476" s="348"/>
      <c r="N476" s="348"/>
      <c r="O476" s="348"/>
      <c r="P476" s="348"/>
    </row>
    <row r="477" spans="1:40" x14ac:dyDescent="0.3">
      <c r="A477" t="s">
        <v>15</v>
      </c>
      <c r="B477" t="s">
        <v>21</v>
      </c>
      <c r="I477" s="1" t="s">
        <v>53</v>
      </c>
      <c r="O477" s="350" t="s">
        <v>377</v>
      </c>
      <c r="P477" s="350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51</v>
      </c>
      <c r="O478" s="13" t="s">
        <v>644</v>
      </c>
      <c r="P478" s="13" t="s">
        <v>633</v>
      </c>
    </row>
    <row r="479" spans="1:40" x14ac:dyDescent="0.3">
      <c r="A479" t="s">
        <v>3</v>
      </c>
      <c r="B479" s="13">
        <v>0</v>
      </c>
      <c r="C479" s="26">
        <v>451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451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55</v>
      </c>
      <c r="E480" s="1">
        <v>2</v>
      </c>
      <c r="F480" s="1">
        <v>0</v>
      </c>
      <c r="G480" s="6">
        <v>0</v>
      </c>
      <c r="H480" s="1">
        <f>SUM(C480:G480)</f>
        <v>57</v>
      </c>
      <c r="I480" s="10">
        <f>D480/H480</f>
        <v>0.96491228070175439</v>
      </c>
      <c r="J480" s="11">
        <f>1-I480</f>
        <v>3.5087719298245612E-2</v>
      </c>
      <c r="K480">
        <f>H480-D484</f>
        <v>-92</v>
      </c>
      <c r="N480" s="10">
        <f>2*(D485*I480)/(D485+I480)</f>
        <v>0.53398058252427183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0</v>
      </c>
      <c r="E481" s="27">
        <v>712</v>
      </c>
      <c r="F481" s="1">
        <v>16</v>
      </c>
      <c r="G481" s="6">
        <v>9</v>
      </c>
      <c r="H481" s="1">
        <f>SUM(C481:G481)</f>
        <v>737</v>
      </c>
      <c r="I481" s="10">
        <f>E481/H481</f>
        <v>0.96607869742198105</v>
      </c>
      <c r="J481" s="11">
        <f>1-I481</f>
        <v>3.3921302578018953E-2</v>
      </c>
      <c r="K481">
        <f>H481-E484</f>
        <v>1</v>
      </c>
      <c r="N481" s="10">
        <f>2*(E485*I481)/(E485+I481)</f>
        <v>0.96673455532926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0</v>
      </c>
      <c r="E482" s="1">
        <v>10</v>
      </c>
      <c r="F482" s="27">
        <v>549</v>
      </c>
      <c r="G482" s="6">
        <v>23</v>
      </c>
      <c r="H482" s="1">
        <f>SUM(C482:G482)</f>
        <v>582</v>
      </c>
      <c r="I482" s="10">
        <f>F482/H482</f>
        <v>0.94329896907216493</v>
      </c>
      <c r="J482" s="11">
        <f>1-I482</f>
        <v>5.6701030927835072E-2</v>
      </c>
      <c r="K482">
        <f>H482-F484</f>
        <v>-42</v>
      </c>
      <c r="N482" s="10">
        <f>2*(F485*I482)/(F485+I482)</f>
        <v>0.91044776119402981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94</v>
      </c>
      <c r="E483" s="8">
        <v>12</v>
      </c>
      <c r="F483" s="8">
        <v>59</v>
      </c>
      <c r="G483" s="28">
        <v>844</v>
      </c>
      <c r="H483" s="1">
        <f>SUM(C483:G483)</f>
        <v>1009</v>
      </c>
      <c r="I483" s="10">
        <f>G483/H483</f>
        <v>0.83647175421209119</v>
      </c>
      <c r="J483" s="11">
        <f>1-I483</f>
        <v>0.16352824578790881</v>
      </c>
      <c r="K483">
        <f>H483-G484</f>
        <v>133</v>
      </c>
      <c r="N483" s="10">
        <f>2*(G485*I483)/(G485+I483)</f>
        <v>0.89549071618037135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451</v>
      </c>
      <c r="D484" s="1">
        <f>SUM(D479:D483)</f>
        <v>149</v>
      </c>
      <c r="E484" s="1">
        <f>SUM(E479:E483)</f>
        <v>736</v>
      </c>
      <c r="F484" s="1">
        <f>SUM(F479:F483)</f>
        <v>624</v>
      </c>
      <c r="G484" s="1">
        <f>SUM(G479:G483)</f>
        <v>876</v>
      </c>
      <c r="H484" s="1">
        <f>SUM(H478:H483)</f>
        <v>2836</v>
      </c>
      <c r="I484" s="13" t="s">
        <v>12</v>
      </c>
      <c r="N484" s="16" t="s">
        <v>36</v>
      </c>
      <c r="O484" s="1">
        <f>SUM(O479:O483)</f>
        <v>0</v>
      </c>
      <c r="P484" s="1">
        <f>SUM(P479:P483)</f>
        <v>0</v>
      </c>
    </row>
    <row r="485" spans="1:40" x14ac:dyDescent="0.3">
      <c r="A485" s="1" t="s">
        <v>52</v>
      </c>
      <c r="B485" s="1" t="s">
        <v>2</v>
      </c>
      <c r="C485" s="10">
        <f>C479/C484</f>
        <v>1</v>
      </c>
      <c r="D485" s="10">
        <f>D480/D484</f>
        <v>0.36912751677852351</v>
      </c>
      <c r="E485" s="10">
        <f>E481/E484</f>
        <v>0.96739130434782605</v>
      </c>
      <c r="F485" s="10">
        <f>F482/F484</f>
        <v>0.87980769230769229</v>
      </c>
      <c r="G485" s="10">
        <f>G483/G484</f>
        <v>0.9634703196347032</v>
      </c>
      <c r="H485" s="10"/>
      <c r="I485" s="14">
        <f>(C479+D480+E481+F482+G483)/H484</f>
        <v>0.92066290550070518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0.63087248322147649</v>
      </c>
      <c r="E486" s="11">
        <f>1-E485</f>
        <v>3.2608695652173947E-2</v>
      </c>
      <c r="F486" s="11">
        <f>1-F485</f>
        <v>0.12019230769230771</v>
      </c>
      <c r="G486" s="11">
        <f>1-G485</f>
        <v>3.6529680365296802E-2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0.25498055221839949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0.25498055221839949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451</v>
      </c>
      <c r="M490">
        <v>0</v>
      </c>
      <c r="N490" s="1">
        <v>211.54</v>
      </c>
      <c r="O490" s="17">
        <f>N490/N495*100</f>
        <v>0.25498055221839949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64">(C480/$L491)*$O491</f>
        <v>0</v>
      </c>
      <c r="D491" s="34">
        <f t="shared" si="64"/>
        <v>1.5178989241144809</v>
      </c>
      <c r="E491" s="19">
        <f t="shared" si="64"/>
        <v>5.5196324513253847E-2</v>
      </c>
      <c r="F491" s="18">
        <f t="shared" si="64"/>
        <v>0</v>
      </c>
      <c r="G491" s="20">
        <f t="shared" si="64"/>
        <v>0</v>
      </c>
      <c r="H491" s="17">
        <f>SUM(C491:G491)</f>
        <v>1.5730952486277348</v>
      </c>
      <c r="I491" s="17">
        <f>D491/H491*100</f>
        <v>96.491228070175438</v>
      </c>
      <c r="J491" s="17">
        <f>SQRT(I491*(100-I491)/(L491-1))</f>
        <v>2.4588241692166148</v>
      </c>
      <c r="K491" s="18">
        <f>100-I491</f>
        <v>3.5087719298245617</v>
      </c>
      <c r="L491" s="1">
        <f>H480</f>
        <v>57</v>
      </c>
      <c r="M491">
        <v>1</v>
      </c>
      <c r="N491" s="1">
        <v>1305.0899999999999</v>
      </c>
      <c r="O491" s="17">
        <f>N491/N495*100</f>
        <v>1.5730952486277348</v>
      </c>
      <c r="P491" s="52">
        <f>((O491*O491*(I491/100)*(K491/100))/(L491-1))</f>
        <v>1.4961150284596746E-3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64"/>
        <v>0</v>
      </c>
      <c r="D492" s="19">
        <f t="shared" si="64"/>
        <v>0</v>
      </c>
      <c r="E492" s="34">
        <f t="shared" si="64"/>
        <v>56.35275761832969</v>
      </c>
      <c r="F492" s="19">
        <f t="shared" si="64"/>
        <v>1.2663541037826895</v>
      </c>
      <c r="G492" s="20">
        <f t="shared" si="64"/>
        <v>0.71232418337776293</v>
      </c>
      <c r="H492" s="17">
        <f>SUM(C492:G492)</f>
        <v>58.331435905490139</v>
      </c>
      <c r="I492" s="17">
        <f>E492/H492*100</f>
        <v>96.607869742198105</v>
      </c>
      <c r="J492" s="17">
        <f>SQRT(I492*(100-I492)/(L492-1))</f>
        <v>0.66727308275993225</v>
      </c>
      <c r="K492" s="18">
        <f>100-I492</f>
        <v>3.3921302578018953</v>
      </c>
      <c r="L492" s="1">
        <f>H481</f>
        <v>737</v>
      </c>
      <c r="M492">
        <v>2</v>
      </c>
      <c r="N492" s="1">
        <v>48393.62</v>
      </c>
      <c r="O492" s="17">
        <f>N492/N495*100</f>
        <v>58.331435905490139</v>
      </c>
      <c r="P492" s="52">
        <f>((O492*O492*(I492/100)*(K492/100))/(L492-1))</f>
        <v>0.15149997000136492</v>
      </c>
    </row>
    <row r="493" spans="1:40" x14ac:dyDescent="0.3">
      <c r="A493" t="s">
        <v>6</v>
      </c>
      <c r="B493" s="13">
        <v>3</v>
      </c>
      <c r="C493" s="33">
        <f t="shared" si="64"/>
        <v>0</v>
      </c>
      <c r="D493" s="19">
        <f t="shared" si="64"/>
        <v>0</v>
      </c>
      <c r="E493" s="19">
        <f t="shared" si="64"/>
        <v>0.53124003184538238</v>
      </c>
      <c r="F493" s="34">
        <f t="shared" si="64"/>
        <v>29.165077748311486</v>
      </c>
      <c r="G493" s="20">
        <f t="shared" si="64"/>
        <v>1.2218520732443792</v>
      </c>
      <c r="H493" s="17">
        <f>SUM(C493:G493)</f>
        <v>30.918169853401245</v>
      </c>
      <c r="I493" s="17">
        <f>F493/H493*100</f>
        <v>94.329896907216508</v>
      </c>
      <c r="J493" s="17">
        <f>SQRT(I493*(100-I493)/(L493-1))</f>
        <v>0.95947152711900541</v>
      </c>
      <c r="K493" s="18">
        <f>100-I493</f>
        <v>5.6701030927834921</v>
      </c>
      <c r="L493" s="1">
        <f>H482</f>
        <v>582</v>
      </c>
      <c r="M493">
        <v>3</v>
      </c>
      <c r="N493" s="1">
        <v>25650.7</v>
      </c>
      <c r="O493" s="17">
        <f>N493/N495*100</f>
        <v>30.918169853401249</v>
      </c>
      <c r="P493" s="52">
        <f>((O493*O493*(I493/100)*(K493/100))/(L493-1))</f>
        <v>8.8001837426667534E-2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64"/>
        <v>0</v>
      </c>
      <c r="D494" s="36">
        <f t="shared" si="64"/>
        <v>0.83121698055963655</v>
      </c>
      <c r="E494" s="21">
        <f t="shared" si="64"/>
        <v>0.10611280602888977</v>
      </c>
      <c r="F494" s="21">
        <f t="shared" si="64"/>
        <v>0.521721296308708</v>
      </c>
      <c r="G494" s="37">
        <f t="shared" si="64"/>
        <v>7.4632673573652468</v>
      </c>
      <c r="H494" s="17">
        <f>SUM(C494:G494)</f>
        <v>8.9223184402624813</v>
      </c>
      <c r="I494" s="17">
        <f>G494/H494*100</f>
        <v>83.647175421209113</v>
      </c>
      <c r="J494" s="17">
        <f>SQRT(I494*(100-I494)/(L494-1))</f>
        <v>1.1649083630142829</v>
      </c>
      <c r="K494" s="18">
        <f>100-I494</f>
        <v>16.352824578790887</v>
      </c>
      <c r="L494" s="1">
        <f>H483</f>
        <v>1009</v>
      </c>
      <c r="M494">
        <v>4</v>
      </c>
      <c r="N494" s="1">
        <v>7402.24</v>
      </c>
      <c r="O494" s="17">
        <f>N494/N495*100</f>
        <v>8.9223184402624813</v>
      </c>
      <c r="P494" s="52">
        <f>((O494*O494*(I494/100)*(K494/100))/(L494-1))</f>
        <v>1.0802865396543E-2</v>
      </c>
    </row>
    <row r="495" spans="1:40" x14ac:dyDescent="0.3">
      <c r="B495" t="s">
        <v>28</v>
      </c>
      <c r="C495" s="17">
        <f t="shared" ref="C495:H495" si="65">SUM(C490:C494)</f>
        <v>0.25498055221839949</v>
      </c>
      <c r="D495" s="17">
        <f t="shared" si="65"/>
        <v>2.3491159046741172</v>
      </c>
      <c r="E495" s="17">
        <f t="shared" si="65"/>
        <v>57.045306780717219</v>
      </c>
      <c r="F495" s="17">
        <f t="shared" si="65"/>
        <v>30.953153148402883</v>
      </c>
      <c r="G495" s="17">
        <f t="shared" si="65"/>
        <v>9.397443613987388</v>
      </c>
      <c r="H495" s="18">
        <f t="shared" si="65"/>
        <v>100.00000000000001</v>
      </c>
      <c r="I495" s="13" t="s">
        <v>24</v>
      </c>
      <c r="J495" s="12" t="s">
        <v>29</v>
      </c>
      <c r="N495" s="1">
        <f>SUM(N490:N494)</f>
        <v>82963.19</v>
      </c>
      <c r="O495" s="17">
        <f>SUM(O490:O494)</f>
        <v>100.00000000000001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9.0196114528291779E-2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0.4259438133475173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0.43617276858599591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0.35892424640644943</v>
      </c>
      <c r="H496" s="1"/>
      <c r="I496" s="14">
        <f>(C490+D491+E492+F493+G494)/H495</f>
        <v>0.94753982200339282</v>
      </c>
      <c r="J496" s="53">
        <f>SQRT(SUM(P490:P494))/100</f>
        <v>5.0179755664314972E-3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64.615752721875694</v>
      </c>
      <c r="E497" s="17">
        <f>E492/E495*100</f>
        <v>98.785966451105793</v>
      </c>
      <c r="F497" s="17">
        <f>F493/F495*100</f>
        <v>94.223285131829428</v>
      </c>
      <c r="G497" s="17">
        <f>G494/G495*100</f>
        <v>79.418059463072851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6.2444482064006772</v>
      </c>
      <c r="E498" s="18">
        <f>SQRT((E501+E502)/(E495*E495))</f>
        <v>0.31217309845370667</v>
      </c>
      <c r="F498" s="18">
        <f>SQRT((F501+F502)/(F495*F495))</f>
        <v>1.1209893398795721</v>
      </c>
      <c r="G498" s="18">
        <f>SQRT((G501+G502)/(G495*G495))</f>
        <v>3.6912072620645762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35.384247278124306</v>
      </c>
      <c r="E499" s="18">
        <f>100-E497</f>
        <v>1.2140335488942071</v>
      </c>
      <c r="F499" s="18">
        <f>100-F497</f>
        <v>5.776714868170572</v>
      </c>
      <c r="G499" s="18">
        <f>100-G497</f>
        <v>20.581940536927149</v>
      </c>
      <c r="AM499" s="78"/>
      <c r="AN499" s="78"/>
    </row>
    <row r="500" spans="1:40" ht="15.6" x14ac:dyDescent="0.35">
      <c r="B500" s="1" t="s">
        <v>25</v>
      </c>
      <c r="C500" s="1">
        <f>C484</f>
        <v>451</v>
      </c>
      <c r="D500" s="1">
        <f>D484</f>
        <v>149</v>
      </c>
      <c r="E500" s="1">
        <f>E484</f>
        <v>736</v>
      </c>
      <c r="F500" s="1">
        <f>F484</f>
        <v>624</v>
      </c>
      <c r="G500" s="1">
        <f>G484</f>
        <v>876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187.32032741400809</v>
      </c>
      <c r="E501" s="18">
        <f>(O492*O492*(100-E497)*(100-E497)*(I492)*(100-I492))/((L492-1)*100)</f>
        <v>22.329239064854843</v>
      </c>
      <c r="F501" s="18">
        <f>(O493*O493*(100-F497)*(100-F497)*(I493)*(100-I493))/((L493-1)*100)</f>
        <v>293.66595665231455</v>
      </c>
      <c r="G501" s="18">
        <f>(O494*O494*(100-G497)*(100-G497)*(I494)*(100-I494))/((L494-1)*100)</f>
        <v>457.62696122821058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27.857256138031783</v>
      </c>
      <c r="E502" s="18">
        <f>E497*E497*(SUM((H490*E490*(1-E479/H479))/(H479-1),(H491*E491*(1-E480/H480))/(H480-1), (H493*E493*(1-E482/H482))/(H482-1),(H494*E494*(1-E483/H483))/(H483-1)))</f>
        <v>294.79598714921127</v>
      </c>
      <c r="F502" s="18">
        <f>F497*F497*(SUM((H490*F490*(1-F479/H479))/(H479-1),(H491*F491*(1-F480/H480))/(H480-1), (H492*F492*(1-F481/H481))/(H481-1),(H494*F494*(1-F483/H483))/(H483-1)))</f>
        <v>910.29598397511131</v>
      </c>
      <c r="G502" s="18">
        <f>G497*G497*(SUM((H490*G490*(1-G479/H479))/(H479-1),(H491*G491*(1-G480/H480))/(H480-1), (H492*G492*(1-G481/H481))/(H481-1),(H493*G493*(1-G482/H482))/(H482-1)))</f>
        <v>745.62428551661469</v>
      </c>
    </row>
    <row r="503" spans="1:40" x14ac:dyDescent="0.3">
      <c r="AM503" s="78"/>
      <c r="AN503" s="78"/>
    </row>
    <row r="505" spans="1:40" x14ac:dyDescent="0.3">
      <c r="A505" s="348" t="s">
        <v>371</v>
      </c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 t="s">
        <v>90</v>
      </c>
      <c r="M505" s="348"/>
      <c r="N505" s="348"/>
      <c r="O505" s="348"/>
      <c r="P505" s="348"/>
      <c r="AM505" s="78"/>
      <c r="AN505" s="78"/>
    </row>
    <row r="506" spans="1:40" x14ac:dyDescent="0.3">
      <c r="A506" t="s">
        <v>15</v>
      </c>
      <c r="B506" t="s">
        <v>21</v>
      </c>
      <c r="I506" s="1" t="s">
        <v>53</v>
      </c>
      <c r="O506" s="350" t="s">
        <v>377</v>
      </c>
      <c r="P506" s="350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51</v>
      </c>
      <c r="O507" s="13" t="s">
        <v>644</v>
      </c>
      <c r="P507" s="13" t="s">
        <v>633</v>
      </c>
      <c r="AM507" s="78"/>
      <c r="AN507" s="78"/>
    </row>
    <row r="508" spans="1:40" x14ac:dyDescent="0.3">
      <c r="A508" t="s">
        <v>3</v>
      </c>
      <c r="B508" s="13">
        <v>0</v>
      </c>
      <c r="C508" s="26">
        <v>451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451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57</v>
      </c>
      <c r="E509" s="1">
        <v>0</v>
      </c>
      <c r="F509" s="1">
        <v>0</v>
      </c>
      <c r="G509" s="6">
        <v>0</v>
      </c>
      <c r="H509" s="1">
        <f>SUM(C509:G509)</f>
        <v>57</v>
      </c>
      <c r="I509" s="10">
        <f>D509/H509</f>
        <v>1</v>
      </c>
      <c r="J509" s="11">
        <f>1-I509</f>
        <v>0</v>
      </c>
      <c r="K509">
        <f>H509-D513</f>
        <v>-59</v>
      </c>
      <c r="N509" s="10">
        <f>2*(D514*I509)/(D514+I509)</f>
        <v>0.65895953757225434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1</v>
      </c>
      <c r="E510" s="27">
        <v>714</v>
      </c>
      <c r="F510" s="1">
        <v>14</v>
      </c>
      <c r="G510" s="6">
        <v>8</v>
      </c>
      <c r="H510" s="1">
        <f>SUM(C510:G510)</f>
        <v>737</v>
      </c>
      <c r="I510" s="10">
        <f>E510/H510</f>
        <v>0.96879240162822255</v>
      </c>
      <c r="J510" s="11">
        <f>1-I510</f>
        <v>3.1207598371777445E-2</v>
      </c>
      <c r="K510">
        <f>H510-E513</f>
        <v>-7</v>
      </c>
      <c r="N510" s="10">
        <f>2*(E514*I510)/(E514+I510)</f>
        <v>0.96421336934503721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0</v>
      </c>
      <c r="E511" s="1">
        <v>7</v>
      </c>
      <c r="F511" s="27">
        <v>552</v>
      </c>
      <c r="G511" s="6">
        <v>23</v>
      </c>
      <c r="H511" s="1">
        <f>SUM(C511:G511)</f>
        <v>582</v>
      </c>
      <c r="I511" s="10">
        <f>F511/H511</f>
        <v>0.94845360824742264</v>
      </c>
      <c r="J511" s="11">
        <f>1-I511</f>
        <v>5.1546391752577359E-2</v>
      </c>
      <c r="K511">
        <f>H511-F513</f>
        <v>-54</v>
      </c>
      <c r="N511" s="10">
        <f>2*(F514*I511)/(F514+I511)</f>
        <v>0.90640394088669951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58</v>
      </c>
      <c r="E512" s="8">
        <v>23</v>
      </c>
      <c r="F512" s="8">
        <v>70</v>
      </c>
      <c r="G512" s="28">
        <v>858</v>
      </c>
      <c r="H512" s="1">
        <f>SUM(C512:G512)</f>
        <v>1009</v>
      </c>
      <c r="I512" s="10">
        <f>G512/H512</f>
        <v>0.85034687809712584</v>
      </c>
      <c r="J512" s="11">
        <f>1-I512</f>
        <v>0.14965312190287416</v>
      </c>
      <c r="K512">
        <f>H512-G513</f>
        <v>120</v>
      </c>
      <c r="N512" s="10">
        <f>2*(G514*I512)/(G514+I512)</f>
        <v>0.90410958904109595</v>
      </c>
      <c r="O512" s="1"/>
      <c r="P512" s="1"/>
    </row>
    <row r="513" spans="1:40" ht="15.6" x14ac:dyDescent="0.35">
      <c r="B513" s="1" t="s">
        <v>19</v>
      </c>
      <c r="C513" s="1">
        <f>SUM(C508:C512)</f>
        <v>451</v>
      </c>
      <c r="D513" s="1">
        <f>SUM(D508:D512)</f>
        <v>116</v>
      </c>
      <c r="E513" s="1">
        <f>SUM(E508:E512)</f>
        <v>744</v>
      </c>
      <c r="F513" s="1">
        <f>SUM(F508:F512)</f>
        <v>636</v>
      </c>
      <c r="G513" s="1">
        <f>SUM(G508:G512)</f>
        <v>889</v>
      </c>
      <c r="H513" s="1">
        <f>SUM(H507:H512)</f>
        <v>2836</v>
      </c>
      <c r="I513" s="13" t="s">
        <v>12</v>
      </c>
      <c r="N513" s="16" t="s">
        <v>36</v>
      </c>
      <c r="O513" s="1">
        <f>SUM(O508:O512)</f>
        <v>0</v>
      </c>
      <c r="P513" s="1">
        <f>SUM(P508:P512)</f>
        <v>0</v>
      </c>
      <c r="AM513" s="78"/>
      <c r="AN513" s="78"/>
    </row>
    <row r="514" spans="1:40" x14ac:dyDescent="0.3">
      <c r="A514" s="1" t="s">
        <v>52</v>
      </c>
      <c r="B514" s="1" t="s">
        <v>2</v>
      </c>
      <c r="C514" s="10">
        <f>C508/C513</f>
        <v>1</v>
      </c>
      <c r="D514" s="10">
        <f>D509/D513</f>
        <v>0.49137931034482757</v>
      </c>
      <c r="E514" s="10">
        <f>E510/E513</f>
        <v>0.95967741935483875</v>
      </c>
      <c r="F514" s="10">
        <f>F511/F513</f>
        <v>0.86792452830188682</v>
      </c>
      <c r="G514" s="10">
        <f>G512/G513</f>
        <v>0.96512935883014628</v>
      </c>
      <c r="H514" s="10"/>
      <c r="I514" s="14">
        <f>(C508+D509+E510+F511+G512)/H513</f>
        <v>0.92806770098730607</v>
      </c>
    </row>
    <row r="515" spans="1:40" x14ac:dyDescent="0.3">
      <c r="B515" s="1" t="s">
        <v>14</v>
      </c>
      <c r="C515" s="11">
        <f>1-C514</f>
        <v>0</v>
      </c>
      <c r="D515" s="11">
        <f>1-D514</f>
        <v>0.50862068965517238</v>
      </c>
      <c r="E515" s="11">
        <f>1-E514</f>
        <v>4.0322580645161255E-2</v>
      </c>
      <c r="F515" s="11">
        <f>1-F514</f>
        <v>0.13207547169811318</v>
      </c>
      <c r="G515" s="11">
        <f>1-G514</f>
        <v>3.4870641169853722E-2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0.26083857190158677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0.26083857190158677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451</v>
      </c>
      <c r="M519">
        <v>0</v>
      </c>
      <c r="N519" s="1">
        <v>216.4</v>
      </c>
      <c r="O519" s="17">
        <f>N519/N524*100</f>
        <v>0.26083857190158677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66">(C509/$L520)*$O520</f>
        <v>0</v>
      </c>
      <c r="D520" s="34">
        <f t="shared" si="66"/>
        <v>1.6736579198557822</v>
      </c>
      <c r="E520" s="19">
        <f t="shared" si="66"/>
        <v>0</v>
      </c>
      <c r="F520" s="18">
        <f t="shared" si="66"/>
        <v>0</v>
      </c>
      <c r="G520" s="20">
        <f t="shared" si="66"/>
        <v>0</v>
      </c>
      <c r="H520" s="17">
        <f>SUM(C520:G520)</f>
        <v>1.6736579198557822</v>
      </c>
      <c r="I520" s="17">
        <f>D520/H520*100</f>
        <v>100</v>
      </c>
      <c r="J520" s="17">
        <f>SQRT(I520*(100-I520)/(L520-1))</f>
        <v>0</v>
      </c>
      <c r="K520" s="18">
        <f>100-I520</f>
        <v>0</v>
      </c>
      <c r="L520" s="1">
        <f>H509</f>
        <v>57</v>
      </c>
      <c r="M520">
        <v>1</v>
      </c>
      <c r="N520" s="1">
        <v>1388.52</v>
      </c>
      <c r="O520" s="17">
        <f>N520/N524*100</f>
        <v>1.6736579198557822</v>
      </c>
      <c r="P520" s="52">
        <f>((O520*O520*(I520/100)*(K520/100))/(L520-1))</f>
        <v>0</v>
      </c>
    </row>
    <row r="521" spans="1:40" x14ac:dyDescent="0.3">
      <c r="A521" t="s">
        <v>5</v>
      </c>
      <c r="B521" s="13">
        <v>2</v>
      </c>
      <c r="C521" s="33">
        <f t="shared" si="66"/>
        <v>0</v>
      </c>
      <c r="D521" s="19">
        <f t="shared" si="66"/>
        <v>7.851323311938499E-2</v>
      </c>
      <c r="E521" s="34">
        <f t="shared" si="66"/>
        <v>56.058448447240885</v>
      </c>
      <c r="F521" s="19">
        <f t="shared" si="66"/>
        <v>1.0991852636713899</v>
      </c>
      <c r="G521" s="20">
        <f t="shared" si="66"/>
        <v>0.62810586495507992</v>
      </c>
      <c r="H521" s="17">
        <f>SUM(C521:G521)</f>
        <v>57.864252808986741</v>
      </c>
      <c r="I521" s="17">
        <f>E521/H521*100</f>
        <v>96.879240162822242</v>
      </c>
      <c r="J521" s="17">
        <f>SQRT(I521*(100-I521)/(L521-1))</f>
        <v>0.64092413933823655</v>
      </c>
      <c r="K521" s="18">
        <f>100-I521</f>
        <v>3.1207598371777578</v>
      </c>
      <c r="L521" s="1">
        <f>H510</f>
        <v>737</v>
      </c>
      <c r="M521">
        <v>2</v>
      </c>
      <c r="N521" s="1">
        <v>48006.03</v>
      </c>
      <c r="O521" s="17">
        <f>N521/N524*100</f>
        <v>57.864252808986741</v>
      </c>
      <c r="P521" s="52">
        <f>((O521*O521*(I521/100)*(K521/100))/(L521-1))</f>
        <v>0.13754156347653948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66"/>
        <v>0</v>
      </c>
      <c r="D522" s="19">
        <f t="shared" si="66"/>
        <v>0</v>
      </c>
      <c r="E522" s="19">
        <f t="shared" si="66"/>
        <v>0.37866497534066201</v>
      </c>
      <c r="F522" s="34">
        <f t="shared" si="66"/>
        <v>29.860438055435058</v>
      </c>
      <c r="G522" s="20">
        <f t="shared" si="66"/>
        <v>1.2441849189764607</v>
      </c>
      <c r="H522" s="17">
        <f>SUM(C522:G522)</f>
        <v>31.483287949752182</v>
      </c>
      <c r="I522" s="17">
        <f>F522/H522*100</f>
        <v>94.845360824742258</v>
      </c>
      <c r="J522" s="17">
        <f>SQRT(I522*(100-I522)/(L522-1))</f>
        <v>0.91731630998378022</v>
      </c>
      <c r="K522" s="18">
        <f>100-I522</f>
        <v>5.1546391752577421</v>
      </c>
      <c r="L522" s="1">
        <f>H511</f>
        <v>582</v>
      </c>
      <c r="M522">
        <v>3</v>
      </c>
      <c r="N522" s="1">
        <v>26119.54</v>
      </c>
      <c r="O522" s="17">
        <f>N522/N524*100</f>
        <v>31.483287949752182</v>
      </c>
      <c r="P522" s="52">
        <f>((O522*O522*(I522/100)*(K522/100))/(L522-1))</f>
        <v>8.3406211260801819E-2</v>
      </c>
    </row>
    <row r="523" spans="1:40" x14ac:dyDescent="0.3">
      <c r="A523" t="s">
        <v>7</v>
      </c>
      <c r="B523" s="13">
        <v>4</v>
      </c>
      <c r="C523" s="35">
        <f t="shared" si="66"/>
        <v>0</v>
      </c>
      <c r="D523" s="36">
        <f t="shared" si="66"/>
        <v>0.5011316545799962</v>
      </c>
      <c r="E523" s="21">
        <f t="shared" si="66"/>
        <v>0.19872462164379159</v>
      </c>
      <c r="F523" s="21">
        <f t="shared" si="66"/>
        <v>0.60481406587240916</v>
      </c>
      <c r="G523" s="37">
        <f t="shared" si="66"/>
        <v>7.4132924074075293</v>
      </c>
      <c r="H523" s="17">
        <f>SUM(C523:G523)</f>
        <v>8.7179627495037266</v>
      </c>
      <c r="I523" s="17">
        <f>G523/H523*100</f>
        <v>85.03468780971258</v>
      </c>
      <c r="J523" s="17">
        <f>SQRT(I523*(100-I523)/(L523-1))</f>
        <v>1.1235972957478502</v>
      </c>
      <c r="K523" s="18">
        <f>100-I523</f>
        <v>14.96531219028742</v>
      </c>
      <c r="L523" s="1">
        <f>H512</f>
        <v>1009</v>
      </c>
      <c r="M523">
        <v>4</v>
      </c>
      <c r="N523" s="1">
        <v>7232.7</v>
      </c>
      <c r="O523" s="17">
        <f>N523/N524*100</f>
        <v>8.7179627495037266</v>
      </c>
      <c r="P523" s="52">
        <f>((O523*O523*(I523/100)*(K523/100))/(L523-1))</f>
        <v>9.5951416083646084E-3</v>
      </c>
      <c r="AM523" s="78"/>
      <c r="AN523" s="78"/>
    </row>
    <row r="524" spans="1:40" x14ac:dyDescent="0.3">
      <c r="B524" t="s">
        <v>28</v>
      </c>
      <c r="C524" s="17">
        <f>SUM(C519:C523)</f>
        <v>0.26083857190158677</v>
      </c>
      <c r="D524" s="17">
        <f>SUM(D519:D523)</f>
        <v>2.2533028075551633</v>
      </c>
      <c r="E524" s="17">
        <f>SUM(E519:E523)</f>
        <v>56.635838044225338</v>
      </c>
      <c r="F524" s="17">
        <f>SUM(F519:F523)</f>
        <v>31.564437384978859</v>
      </c>
      <c r="G524" s="17">
        <f>SUM(G519:G523)</f>
        <v>9.2855831913390698</v>
      </c>
      <c r="H524" s="1">
        <f>SUM(H518:H523)</f>
        <v>100.00000000000003</v>
      </c>
      <c r="I524" s="13" t="s">
        <v>24</v>
      </c>
      <c r="J524" s="12" t="s">
        <v>29</v>
      </c>
      <c r="N524" s="1">
        <f>SUM(N519:N523)</f>
        <v>82963.189999999988</v>
      </c>
      <c r="O524" s="17">
        <f>SUM(O519:O523)</f>
        <v>100.00000000000003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0.10117780877300887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0.39908687295855938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0.41567692792910327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0.35072688054220225</v>
      </c>
      <c r="H525" s="1"/>
      <c r="I525" s="14">
        <f>(C519+D520+E521+F522+G523)/H524</f>
        <v>0.95266675401840817</v>
      </c>
      <c r="J525" s="53">
        <f>SQRT(SUM(P519:P523))/100</f>
        <v>4.8014884811452578E-3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74.275765966479369</v>
      </c>
      <c r="E526" s="17">
        <f>E521/E524*100</f>
        <v>98.9805225508739</v>
      </c>
      <c r="F526" s="17">
        <f>F522/F524*100</f>
        <v>94.601521615098662</v>
      </c>
      <c r="G526" s="17">
        <f>G523/G524*100</f>
        <v>79.836583816535295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3.3371520165716051</v>
      </c>
      <c r="E527" s="18">
        <f>SQRT((E530+E531)/(E524*E524))</f>
        <v>0.26740433100051875</v>
      </c>
      <c r="F527" s="18">
        <f>SQRT((F530+F531)/(F524*F524))</f>
        <v>1.0243094240164667</v>
      </c>
      <c r="G527" s="18">
        <f>SQRT((G530+G531)/(G524*G524))</f>
        <v>3.5947549084370038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25.724234033520631</v>
      </c>
      <c r="E528" s="18">
        <f>100-E526</f>
        <v>1.0194774491261001</v>
      </c>
      <c r="F528" s="18">
        <f>100-F526</f>
        <v>5.3984783849013382</v>
      </c>
      <c r="G528" s="18">
        <f>100-G526</f>
        <v>20.163416183464705</v>
      </c>
    </row>
    <row r="529" spans="1:40" ht="15.6" x14ac:dyDescent="0.35">
      <c r="B529" s="1" t="s">
        <v>25</v>
      </c>
      <c r="C529" s="1">
        <f>C513</f>
        <v>451</v>
      </c>
      <c r="D529" s="1">
        <f>D513</f>
        <v>116</v>
      </c>
      <c r="E529" s="1">
        <f>E513</f>
        <v>744</v>
      </c>
      <c r="F529" s="1">
        <f>F513</f>
        <v>636</v>
      </c>
      <c r="G529" s="1">
        <f>G513</f>
        <v>889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0</v>
      </c>
      <c r="E530" s="18">
        <f>(O521*O521*(100-E526)*(100-E526)*(I521)*(100-I521))/((L521-1)*100)</f>
        <v>14.295166037105851</v>
      </c>
      <c r="F530" s="18">
        <f>(O522*O522*(100-F526)*(100-F526)*(I522)*(100-I522))/((L522-1)*100)</f>
        <v>243.07546622523583</v>
      </c>
      <c r="G530" s="18">
        <f>(O523*O523*(100-G526)*(100-G526)*(I523)*(100-I523))/((L523-1)*100)</f>
        <v>390.10329370114965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56.544594832004442</v>
      </c>
      <c r="E531" s="18">
        <f>E526*E526*(SUM((H519*E519*(1-E508/H508))/(H508-1),(H520*E520*(1-E509/H509))/(H509-1), (H522*E522*(1-E511/H511))/(H511-1),(H523*E523*(1-E512/H512))/(H512-1)))</f>
        <v>215.06581438999044</v>
      </c>
      <c r="F531" s="18">
        <f>F526*F526*(SUM((H519*F519*(1-F508/H508))/(H508-1),(H520*F520*(1-F509/H509))/(H509-1), (H521*F521*(1-F510/H510))/(H510-1),(H523*F523*(1-F512/H512))/(H512-1)))</f>
        <v>802.26663562813212</v>
      </c>
      <c r="G531" s="18">
        <f>G526*G526*(SUM((H519*G519*(1-G508/H508))/(H508-1),(H520*G520*(1-G509/H509))/(H509-1), (H521*G521*(1-G510/H510))/(H510-1),(H522*G522*(1-G511/H511))/(H511-1)))</f>
        <v>724.08076725215813</v>
      </c>
      <c r="AM531" s="78"/>
      <c r="AN531" s="78"/>
    </row>
    <row r="533" spans="1:40" x14ac:dyDescent="0.3">
      <c r="AM533" s="78"/>
      <c r="AN533" s="78"/>
    </row>
    <row r="534" spans="1:40" x14ac:dyDescent="0.3">
      <c r="A534" s="348" t="s">
        <v>371</v>
      </c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 t="s">
        <v>91</v>
      </c>
      <c r="M534" s="348"/>
      <c r="N534" s="348"/>
      <c r="O534" s="348"/>
      <c r="P534" s="348"/>
    </row>
    <row r="535" spans="1:40" x14ac:dyDescent="0.3">
      <c r="A535" t="s">
        <v>15</v>
      </c>
      <c r="B535" t="s">
        <v>21</v>
      </c>
      <c r="I535" s="1" t="s">
        <v>53</v>
      </c>
      <c r="O535" s="350" t="s">
        <v>377</v>
      </c>
      <c r="P535" s="350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51</v>
      </c>
      <c r="O536" s="13" t="s">
        <v>644</v>
      </c>
      <c r="P536" s="13" t="s">
        <v>633</v>
      </c>
    </row>
    <row r="537" spans="1:40" x14ac:dyDescent="0.3">
      <c r="A537" t="s">
        <v>3</v>
      </c>
      <c r="B537" s="13">
        <v>0</v>
      </c>
      <c r="C537" s="26">
        <v>451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451</v>
      </c>
      <c r="I537" s="10">
        <f>C537/H537</f>
        <v>1</v>
      </c>
      <c r="J537" s="11">
        <f>1-I537</f>
        <v>0</v>
      </c>
      <c r="K537">
        <f>H537-C542</f>
        <v>0</v>
      </c>
      <c r="N537" s="10">
        <f>2*(C543*I537)/(C543+I537)</f>
        <v>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56</v>
      </c>
      <c r="E538" s="1">
        <v>1</v>
      </c>
      <c r="F538" s="1">
        <v>0</v>
      </c>
      <c r="G538" s="6">
        <v>0</v>
      </c>
      <c r="H538" s="1">
        <f>SUM(C538:G538)</f>
        <v>57</v>
      </c>
      <c r="I538" s="10">
        <f>D538/H538</f>
        <v>0.98245614035087714</v>
      </c>
      <c r="J538" s="11">
        <f>1-I538</f>
        <v>1.7543859649122862E-2</v>
      </c>
      <c r="K538">
        <f>H538-D542</f>
        <v>-47</v>
      </c>
      <c r="N538" s="10">
        <f>2*(D543*I538)/(D543+I538)</f>
        <v>0.69565217391304357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0</v>
      </c>
      <c r="E539" s="27">
        <v>717</v>
      </c>
      <c r="F539" s="1">
        <v>12</v>
      </c>
      <c r="G539" s="6">
        <v>8</v>
      </c>
      <c r="H539" s="1">
        <f>SUM(C539:G539)</f>
        <v>737</v>
      </c>
      <c r="I539" s="10">
        <f>E539/H539</f>
        <v>0.97286295793758482</v>
      </c>
      <c r="J539" s="11">
        <f>1-I539</f>
        <v>2.7137042062415184E-2</v>
      </c>
      <c r="K539">
        <f>H539-E542</f>
        <v>-14</v>
      </c>
      <c r="N539" s="10">
        <f>2*(E543*I539)/(E543+I539)</f>
        <v>0.96370967741935476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0</v>
      </c>
      <c r="E540" s="1">
        <v>10</v>
      </c>
      <c r="F540" s="27">
        <v>550</v>
      </c>
      <c r="G540" s="6">
        <v>22</v>
      </c>
      <c r="H540" s="1">
        <f>SUM(C540:G540)</f>
        <v>582</v>
      </c>
      <c r="I540" s="10">
        <f>F540/H540</f>
        <v>0.94501718213058417</v>
      </c>
      <c r="J540" s="11">
        <f>1-I540</f>
        <v>5.4982817869415834E-2</v>
      </c>
      <c r="K540">
        <f>H540-F542</f>
        <v>-80</v>
      </c>
      <c r="N540" s="10">
        <f>2*(F543*I540)/(F543+I540)</f>
        <v>0.88424437299035374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48</v>
      </c>
      <c r="E541" s="8">
        <v>23</v>
      </c>
      <c r="F541" s="8">
        <v>100</v>
      </c>
      <c r="G541" s="28">
        <v>838</v>
      </c>
      <c r="H541" s="1">
        <f>SUM(C541:G541)</f>
        <v>1009</v>
      </c>
      <c r="I541" s="10">
        <f>G541/H541</f>
        <v>0.83052527254707631</v>
      </c>
      <c r="J541" s="11">
        <f>1-I541</f>
        <v>0.16947472745292369</v>
      </c>
      <c r="K541">
        <f>H541-G542</f>
        <v>141</v>
      </c>
      <c r="N541" s="10">
        <f>2*(G543*I541)/(G543+I541)</f>
        <v>0.89291422482685134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451</v>
      </c>
      <c r="D542" s="1">
        <f>SUM(D537:D541)</f>
        <v>104</v>
      </c>
      <c r="E542" s="1">
        <f>SUM(E537:E541)</f>
        <v>751</v>
      </c>
      <c r="F542" s="1">
        <f>SUM(F537:F541)</f>
        <v>662</v>
      </c>
      <c r="G542" s="1">
        <f>SUM(G537:G541)</f>
        <v>868</v>
      </c>
      <c r="H542" s="1">
        <f>SUM(H536:H541)</f>
        <v>2836</v>
      </c>
      <c r="I542" s="13" t="s">
        <v>12</v>
      </c>
      <c r="N542" s="16" t="s">
        <v>36</v>
      </c>
      <c r="O542" s="1">
        <f>SUM(O537:O541)</f>
        <v>0</v>
      </c>
      <c r="P542" s="1">
        <f>SUM(P537:P541)</f>
        <v>0</v>
      </c>
    </row>
    <row r="543" spans="1:40" x14ac:dyDescent="0.3">
      <c r="A543" s="1" t="s">
        <v>52</v>
      </c>
      <c r="B543" s="1" t="s">
        <v>2</v>
      </c>
      <c r="C543" s="10">
        <f>C537/C542</f>
        <v>1</v>
      </c>
      <c r="D543" s="10">
        <f>D538/D542</f>
        <v>0.53846153846153844</v>
      </c>
      <c r="E543" s="10">
        <f>E539/E542</f>
        <v>0.9547270306258322</v>
      </c>
      <c r="F543" s="10">
        <f>F540/F542</f>
        <v>0.83081570996978849</v>
      </c>
      <c r="G543" s="10">
        <f>G541/G542</f>
        <v>0.96543778801843316</v>
      </c>
      <c r="H543" s="10"/>
      <c r="I543" s="14">
        <f>(C537+D538+E539+F540+G541)/H542</f>
        <v>0.92101551480959098</v>
      </c>
    </row>
    <row r="544" spans="1:40" x14ac:dyDescent="0.3">
      <c r="B544" s="1" t="s">
        <v>14</v>
      </c>
      <c r="C544" s="11">
        <f>1-C543</f>
        <v>0</v>
      </c>
      <c r="D544" s="11">
        <f>1-D543</f>
        <v>0.46153846153846156</v>
      </c>
      <c r="E544" s="11">
        <f>1-E543</f>
        <v>4.5272969374167804E-2</v>
      </c>
      <c r="F544" s="11">
        <f>1-F543</f>
        <v>0.16918429003021151</v>
      </c>
      <c r="G544" s="11">
        <f>1-G543</f>
        <v>3.4562211981566837E-2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0.23652661337234177</v>
      </c>
      <c r="D548" s="31">
        <f>(D537/$L548)*$O548</f>
        <v>0</v>
      </c>
      <c r="E548" s="31">
        <f>(E537/$L548)*$O548</f>
        <v>0</v>
      </c>
      <c r="F548" s="31">
        <f>(F537/$L548)*$O548</f>
        <v>0</v>
      </c>
      <c r="G548" s="32">
        <f>(G537/$L548)*$O548</f>
        <v>0</v>
      </c>
      <c r="H548" s="17">
        <f>SUM(C548:G548)</f>
        <v>0.23652661337234177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451</v>
      </c>
      <c r="M548">
        <v>0</v>
      </c>
      <c r="N548" s="1">
        <v>196.23</v>
      </c>
      <c r="O548" s="17">
        <f>N548/N553*100</f>
        <v>0.23652661337234177</v>
      </c>
      <c r="P548" s="52">
        <f>((O548*O548*(I548/100)*(K548/100))/(L548-1))</f>
        <v>0</v>
      </c>
    </row>
    <row r="549" spans="1:16" x14ac:dyDescent="0.3">
      <c r="A549" t="s">
        <v>4</v>
      </c>
      <c r="B549" s="13">
        <v>1</v>
      </c>
      <c r="C549" s="33">
        <f t="shared" ref="C549:G552" si="67">(C538/$L549)*$O549</f>
        <v>0</v>
      </c>
      <c r="D549" s="34">
        <f t="shared" si="67"/>
        <v>1.5642788024717607</v>
      </c>
      <c r="E549" s="19">
        <f t="shared" si="67"/>
        <v>2.7933550044138583E-2</v>
      </c>
      <c r="F549" s="18">
        <f t="shared" si="67"/>
        <v>0</v>
      </c>
      <c r="G549" s="20">
        <f t="shared" si="67"/>
        <v>0</v>
      </c>
      <c r="H549" s="17">
        <f>SUM(C549:G549)</f>
        <v>1.5922123525158993</v>
      </c>
      <c r="I549" s="17">
        <f>D549/H549*100</f>
        <v>98.245614035087712</v>
      </c>
      <c r="J549" s="17">
        <f>SQRT(I549*(100-I549)/(L549-1))</f>
        <v>1.7543859649122842</v>
      </c>
      <c r="K549" s="18">
        <f>100-I549</f>
        <v>1.7543859649122879</v>
      </c>
      <c r="L549" s="1">
        <f>H538</f>
        <v>57</v>
      </c>
      <c r="M549">
        <v>1</v>
      </c>
      <c r="N549" s="1">
        <v>1320.95</v>
      </c>
      <c r="O549" s="17">
        <f>N549/N553*100</f>
        <v>1.5922123525158993</v>
      </c>
      <c r="P549" s="52">
        <f>((O549*O549*(I549/100)*(K549/100))/(L549-1))</f>
        <v>7.8028321806839786E-4</v>
      </c>
    </row>
    <row r="550" spans="1:16" x14ac:dyDescent="0.3">
      <c r="A550" t="s">
        <v>5</v>
      </c>
      <c r="B550" s="13">
        <v>2</v>
      </c>
      <c r="C550" s="33">
        <f t="shared" si="67"/>
        <v>0</v>
      </c>
      <c r="D550" s="19">
        <f t="shared" si="67"/>
        <v>0</v>
      </c>
      <c r="E550" s="34">
        <f t="shared" si="67"/>
        <v>56.487047354507993</v>
      </c>
      <c r="F550" s="19">
        <f t="shared" si="67"/>
        <v>0.94538991388297888</v>
      </c>
      <c r="G550" s="20">
        <f t="shared" si="67"/>
        <v>0.63025994258865259</v>
      </c>
      <c r="H550" s="17">
        <f>SUM(C550:G550)</f>
        <v>58.062697210979621</v>
      </c>
      <c r="I550" s="17">
        <f>E550/H550*100</f>
        <v>97.286295793758484</v>
      </c>
      <c r="J550" s="17">
        <f>SQRT(I550*(100-I550)/(L550-1))</f>
        <v>0.59891912391468349</v>
      </c>
      <c r="K550" s="18">
        <f>100-I550</f>
        <v>2.7137042062415162</v>
      </c>
      <c r="L550" s="1">
        <f>H539</f>
        <v>737</v>
      </c>
      <c r="M550">
        <v>2</v>
      </c>
      <c r="N550" s="1">
        <v>48170.66</v>
      </c>
      <c r="O550" s="17">
        <f>N550/N553*100</f>
        <v>58.062697210979621</v>
      </c>
      <c r="P550" s="52">
        <f>((O550*O550*(I550/100)*(K550/100))/(L550-1))</f>
        <v>0.12092908703347371</v>
      </c>
    </row>
    <row r="551" spans="1:16" x14ac:dyDescent="0.3">
      <c r="A551" t="s">
        <v>6</v>
      </c>
      <c r="B551" s="13">
        <v>3</v>
      </c>
      <c r="C551" s="33">
        <f t="shared" si="67"/>
        <v>0</v>
      </c>
      <c r="D551" s="19">
        <f t="shared" si="67"/>
        <v>0</v>
      </c>
      <c r="E551" s="19">
        <f t="shared" si="67"/>
        <v>0.53307608610498491</v>
      </c>
      <c r="F551" s="34">
        <f t="shared" si="67"/>
        <v>29.319184735774169</v>
      </c>
      <c r="G551" s="20">
        <f t="shared" si="67"/>
        <v>1.1727673894309667</v>
      </c>
      <c r="H551" s="17">
        <f>SUM(C551:G551)</f>
        <v>31.025028211310119</v>
      </c>
      <c r="I551" s="17">
        <f>F551/H551*100</f>
        <v>94.501718213058425</v>
      </c>
      <c r="J551" s="17">
        <f>SQRT(I551*(100-I551)/(L551-1))</f>
        <v>0.94568234896218206</v>
      </c>
      <c r="K551" s="18">
        <f>100-I551</f>
        <v>5.4982817869415754</v>
      </c>
      <c r="L551" s="1">
        <f>H540</f>
        <v>582</v>
      </c>
      <c r="M551">
        <v>3</v>
      </c>
      <c r="N551" s="1">
        <v>25739.35</v>
      </c>
      <c r="O551" s="17">
        <f>N551/N553*100</f>
        <v>31.025028211310122</v>
      </c>
      <c r="P551" s="52">
        <f>((O551*O551*(I551/100)*(K551/100))/(L551-1))</f>
        <v>8.6082512890797908E-2</v>
      </c>
    </row>
    <row r="552" spans="1:16" x14ac:dyDescent="0.3">
      <c r="A552" t="s">
        <v>7</v>
      </c>
      <c r="B552" s="13">
        <v>4</v>
      </c>
      <c r="C552" s="35">
        <f t="shared" si="67"/>
        <v>0</v>
      </c>
      <c r="D552" s="36">
        <f t="shared" si="67"/>
        <v>0.43212062375367366</v>
      </c>
      <c r="E552" s="21">
        <f t="shared" si="67"/>
        <v>0.20705779888196862</v>
      </c>
      <c r="F552" s="21">
        <f t="shared" si="67"/>
        <v>0.90025129948682003</v>
      </c>
      <c r="G552" s="37">
        <f t="shared" si="67"/>
        <v>7.5441058896995523</v>
      </c>
      <c r="H552" s="17">
        <f>SUM(C552:G552)</f>
        <v>9.0835356118220147</v>
      </c>
      <c r="I552" s="17">
        <f>G552/H552*100</f>
        <v>83.052527254707627</v>
      </c>
      <c r="J552" s="17">
        <f>SQRT(I552*(100-I552)/(L552-1))</f>
        <v>1.1816765909301878</v>
      </c>
      <c r="K552" s="18">
        <f>100-I552</f>
        <v>16.947472745292373</v>
      </c>
      <c r="L552" s="1">
        <f>H541</f>
        <v>1009</v>
      </c>
      <c r="M552">
        <v>4</v>
      </c>
      <c r="N552" s="1">
        <v>7535.99</v>
      </c>
      <c r="O552" s="17">
        <f>N552/N553*100</f>
        <v>9.0835356118220147</v>
      </c>
      <c r="P552" s="52">
        <f>((O552*O552*(I552/100)*(K552/100))/(L552-1))</f>
        <v>1.1521449239526405E-2</v>
      </c>
    </row>
    <row r="553" spans="1:16" x14ac:dyDescent="0.3">
      <c r="B553" t="s">
        <v>28</v>
      </c>
      <c r="C553" s="17">
        <f>SUM(C548:C552)</f>
        <v>0.23652661337234177</v>
      </c>
      <c r="D553" s="17">
        <f>SUM(D548:D552)</f>
        <v>1.9963994262254343</v>
      </c>
      <c r="E553" s="17">
        <f>SUM(E548:E552)</f>
        <v>57.255114789539086</v>
      </c>
      <c r="F553" s="17">
        <f>SUM(F548:F552)</f>
        <v>31.164825949143967</v>
      </c>
      <c r="G553" s="17">
        <f>SUM(G548:G552)</f>
        <v>9.3471332217191723</v>
      </c>
      <c r="H553" s="1">
        <f>SUM(H547:H552)</f>
        <v>100</v>
      </c>
      <c r="I553" s="13" t="s">
        <v>24</v>
      </c>
      <c r="J553" s="12" t="s">
        <v>29</v>
      </c>
      <c r="N553" s="1">
        <f>SUM(N548:N552)</f>
        <v>82963.180000000008</v>
      </c>
      <c r="O553" s="17">
        <f>SUM(O548:O552)</f>
        <v>100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0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6.6870792578290927E-2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0.38894973293685536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0.4080482527337625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0.34753233550207041</v>
      </c>
      <c r="H554" s="1"/>
      <c r="I554" s="56">
        <f>(C548+D549+E550+F551+G552)/H553</f>
        <v>0.9515114339582581</v>
      </c>
      <c r="J554" s="53">
        <f>SQRT(SUM(P548:P552))/100</f>
        <v>4.6830901377388247E-3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78.355001605531498</v>
      </c>
      <c r="E555" s="17">
        <f>E550/E553*100</f>
        <v>98.658517343202632</v>
      </c>
      <c r="F555" s="17">
        <f>F551/F553*100</f>
        <v>94.077806767213815</v>
      </c>
      <c r="G555" s="17">
        <f>G552/G553*100</f>
        <v>80.710370877885083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3.8581416662454862</v>
      </c>
      <c r="E556" s="18">
        <f>SQRT((E559+E560)/(E553*E553))</f>
        <v>0.3121510321822919</v>
      </c>
      <c r="F556" s="18">
        <f>SQRT((F559+F560)/(F553*F553))</f>
        <v>1.022750448819129</v>
      </c>
      <c r="G556" s="18">
        <f>SQRT((G559+G560)/(G553*G553))</f>
        <v>3.6147597815427948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21.644998394468502</v>
      </c>
      <c r="E557" s="18">
        <f>100-E555</f>
        <v>1.3414826567973677</v>
      </c>
      <c r="F557" s="18">
        <f>100-F555</f>
        <v>5.922193232786185</v>
      </c>
      <c r="G557" s="18">
        <f>100-G555</f>
        <v>19.289629122114917</v>
      </c>
    </row>
    <row r="558" spans="1:16" ht="15.6" x14ac:dyDescent="0.35">
      <c r="B558" s="1" t="s">
        <v>25</v>
      </c>
      <c r="C558" s="1">
        <f>C542</f>
        <v>451</v>
      </c>
      <c r="D558" s="1">
        <f>D542</f>
        <v>104</v>
      </c>
      <c r="E558" s="1">
        <f>E542</f>
        <v>751</v>
      </c>
      <c r="F558" s="1">
        <f>F542</f>
        <v>662</v>
      </c>
      <c r="G558" s="1">
        <f>G542</f>
        <v>868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36.556733463905296</v>
      </c>
      <c r="E559" s="18">
        <f>(O550*O550*(100-E555)*(100-E555)*(I550)*(100-I550))/((L550-1)*100)</f>
        <v>21.762104868437639</v>
      </c>
      <c r="F559" s="18">
        <f>(O551*O551*(100-F555)*(100-F555)*(I551)*(100-I551))/((L551-1)*100)</f>
        <v>301.9117973892931</v>
      </c>
      <c r="G559" s="18">
        <f>(O552*O552*(100-G555)*(100-G555)*(I552)*(100-I552))/((L552-1)*100)</f>
        <v>428.70136472573881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22.770106112193513</v>
      </c>
      <c r="E560" s="18">
        <f>E555*E555*(SUM((H548*E548*(1-E537/H537))/(H537-1),(H549*E549*(1-E538/H538))/(H538-1), (H551*E551*(1-E540/H540))/(H540-1),(H552*E552*(1-E541/H541))/(H541-1)))</f>
        <v>297.65497139053372</v>
      </c>
      <c r="F560" s="18">
        <f>F555*F555*(SUM((H548*F548*(1-F537/H537))/(H537-1),(H549*F549*(1-F538/H538))/(H538-1), (H550*F550*(1-F539/H539))/(H539-1),(H552*F552*(1-F541/H541))/(H541-1)))</f>
        <v>714.02986154407631</v>
      </c>
      <c r="G560" s="18">
        <f>G555*G555*(SUM((H548*G548*(1-G537/H537))/(H537-1),(H549*G549*(1-G538/H538))/(H538-1), (H550*G550*(1-G539/H539))/(H539-1),(H551*G551*(1-G540/H540))/(H540-1)))</f>
        <v>712.90333601243219</v>
      </c>
    </row>
    <row r="563" spans="1:16" x14ac:dyDescent="0.3">
      <c r="A563" s="348" t="s">
        <v>371</v>
      </c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 t="s">
        <v>92</v>
      </c>
      <c r="M563" s="348"/>
      <c r="N563" s="348"/>
      <c r="O563" s="348"/>
      <c r="P563" s="348"/>
    </row>
    <row r="564" spans="1:16" x14ac:dyDescent="0.3">
      <c r="A564" t="s">
        <v>15</v>
      </c>
      <c r="B564" t="s">
        <v>21</v>
      </c>
      <c r="I564" s="1" t="s">
        <v>53</v>
      </c>
      <c r="O564" s="350" t="s">
        <v>377</v>
      </c>
      <c r="P564" s="350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51</v>
      </c>
      <c r="O565" s="13" t="s">
        <v>644</v>
      </c>
      <c r="P565" s="13" t="s">
        <v>633</v>
      </c>
    </row>
    <row r="566" spans="1:16" x14ac:dyDescent="0.3">
      <c r="A566" t="s">
        <v>3</v>
      </c>
      <c r="B566" s="13">
        <v>0</v>
      </c>
      <c r="C566" s="26">
        <v>451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451</v>
      </c>
      <c r="I566" s="10">
        <f>C566/H566</f>
        <v>1</v>
      </c>
      <c r="J566" s="11">
        <f>1-I566</f>
        <v>0</v>
      </c>
      <c r="K566">
        <f>H566-C571</f>
        <v>0</v>
      </c>
      <c r="N566" s="10">
        <f>2*(C572*I566)/(C572+I566)</f>
        <v>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55</v>
      </c>
      <c r="E567" s="1">
        <v>2</v>
      </c>
      <c r="F567" s="1">
        <v>0</v>
      </c>
      <c r="G567" s="6">
        <v>0</v>
      </c>
      <c r="H567" s="1">
        <f>SUM(C567:G567)</f>
        <v>57</v>
      </c>
      <c r="I567" s="10">
        <f>D567/H567</f>
        <v>0.96491228070175439</v>
      </c>
      <c r="J567" s="11">
        <f>1-I567</f>
        <v>3.5087719298245612E-2</v>
      </c>
      <c r="K567">
        <f>H567-D571</f>
        <v>-79</v>
      </c>
      <c r="N567" s="10">
        <f>2*(D572*I567)/(D572+I567)</f>
        <v>0.56994818652849744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1</v>
      </c>
      <c r="E568" s="27">
        <v>715</v>
      </c>
      <c r="F568" s="1">
        <v>10</v>
      </c>
      <c r="G568" s="6">
        <v>11</v>
      </c>
      <c r="H568" s="1">
        <f>SUM(C568:G568)</f>
        <v>737</v>
      </c>
      <c r="I568" s="10">
        <f>E568/H568</f>
        <v>0.97014925373134331</v>
      </c>
      <c r="J568" s="11">
        <f>1-I568</f>
        <v>2.9850746268656692E-2</v>
      </c>
      <c r="K568">
        <f>H568-E571</f>
        <v>-1</v>
      </c>
      <c r="N568" s="10">
        <f>2*(E572*I568)/(E572+I568)</f>
        <v>0.96949152542372885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0</v>
      </c>
      <c r="E569" s="1">
        <v>11</v>
      </c>
      <c r="F569" s="27">
        <v>547</v>
      </c>
      <c r="G569" s="6">
        <v>24</v>
      </c>
      <c r="H569" s="1">
        <f>SUM(C569:G569)</f>
        <v>582</v>
      </c>
      <c r="I569" s="10">
        <f>F569/H569</f>
        <v>0.93986254295532645</v>
      </c>
      <c r="J569" s="11">
        <f>1-I569</f>
        <v>6.0137457044673548E-2</v>
      </c>
      <c r="K569">
        <f>H569-F571</f>
        <v>-35</v>
      </c>
      <c r="N569" s="10">
        <f>2*(F572*I569)/(F572+I569)</f>
        <v>0.91242702251876562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80</v>
      </c>
      <c r="E570" s="8">
        <v>10</v>
      </c>
      <c r="F570" s="8">
        <v>60</v>
      </c>
      <c r="G570" s="28">
        <v>859</v>
      </c>
      <c r="H570" s="1">
        <f>SUM(C570:G570)</f>
        <v>1009</v>
      </c>
      <c r="I570" s="10">
        <f>G570/H570</f>
        <v>0.85133795837462833</v>
      </c>
      <c r="J570" s="11">
        <f>1-I570</f>
        <v>0.14866204162537167</v>
      </c>
      <c r="K570">
        <f>H570-G571</f>
        <v>115</v>
      </c>
      <c r="N570" s="10">
        <f>2*(G572*I570)/(G572+I570)</f>
        <v>0.90278507619548076</v>
      </c>
      <c r="O570" s="1"/>
      <c r="P570" s="1"/>
    </row>
    <row r="571" spans="1:16" ht="15.6" x14ac:dyDescent="0.35">
      <c r="B571" s="1" t="s">
        <v>19</v>
      </c>
      <c r="C571" s="1">
        <f>SUM(C566:C570)</f>
        <v>451</v>
      </c>
      <c r="D571" s="1">
        <f>SUM(D566:D570)</f>
        <v>136</v>
      </c>
      <c r="E571" s="1">
        <f>SUM(E566:E570)</f>
        <v>738</v>
      </c>
      <c r="F571" s="1">
        <f>SUM(F566:F570)</f>
        <v>617</v>
      </c>
      <c r="G571" s="1">
        <f>SUM(G566:G570)</f>
        <v>894</v>
      </c>
      <c r="H571" s="1">
        <f>SUM(H565:H570)</f>
        <v>2836</v>
      </c>
      <c r="I571" s="13" t="s">
        <v>12</v>
      </c>
      <c r="N571" s="16" t="s">
        <v>36</v>
      </c>
      <c r="O571" s="1">
        <f>SUM(O566:O570)</f>
        <v>0</v>
      </c>
      <c r="P571" s="1">
        <f>SUM(P566:P570)</f>
        <v>0</v>
      </c>
    </row>
    <row r="572" spans="1:16" x14ac:dyDescent="0.3">
      <c r="A572" s="1" t="s">
        <v>52</v>
      </c>
      <c r="B572" s="1" t="s">
        <v>2</v>
      </c>
      <c r="C572" s="10">
        <f>C566/C571</f>
        <v>1</v>
      </c>
      <c r="D572" s="10">
        <f>D567/D571</f>
        <v>0.40441176470588236</v>
      </c>
      <c r="E572" s="10">
        <f>E568/E571</f>
        <v>0.96883468834688347</v>
      </c>
      <c r="F572" s="10">
        <f>F569/F571</f>
        <v>0.88654781199351707</v>
      </c>
      <c r="G572" s="10">
        <f>G570/G571</f>
        <v>0.96085011185682323</v>
      </c>
      <c r="H572" s="10"/>
      <c r="I572" s="14">
        <f>(C566+D567+E568+F569+G570)/H571</f>
        <v>0.92630465444287724</v>
      </c>
    </row>
    <row r="573" spans="1:16" x14ac:dyDescent="0.3">
      <c r="B573" s="1" t="s">
        <v>14</v>
      </c>
      <c r="C573" s="11">
        <f>1-C572</f>
        <v>0</v>
      </c>
      <c r="D573" s="11">
        <f>1-D572</f>
        <v>0.59558823529411764</v>
      </c>
      <c r="E573" s="11">
        <f>1-E572</f>
        <v>3.1165311653116534E-2</v>
      </c>
      <c r="F573" s="11">
        <f>1-F572</f>
        <v>0.11345218800648293</v>
      </c>
      <c r="G573" s="11">
        <f>1-G572</f>
        <v>3.914988814317677E-2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0.26582873681689434</v>
      </c>
      <c r="D577" s="31">
        <f>(D566/$L577)*$O577</f>
        <v>0</v>
      </c>
      <c r="E577" s="31">
        <f>(E566/$L577)*$O577</f>
        <v>0</v>
      </c>
      <c r="F577" s="31">
        <f>(F566/$L577)*$O577</f>
        <v>0</v>
      </c>
      <c r="G577" s="32">
        <f>(G566/$L577)*$O577</f>
        <v>0</v>
      </c>
      <c r="H577" s="17">
        <f>SUM(C577:G577)</f>
        <v>0.26582873681689434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451</v>
      </c>
      <c r="M577">
        <v>0</v>
      </c>
      <c r="N577" s="1">
        <v>220.54</v>
      </c>
      <c r="O577" s="17">
        <f>N577/N582*100</f>
        <v>0.26582873681689434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ref="C578:G581" si="68">(C567/$L578)*$O578</f>
        <v>0</v>
      </c>
      <c r="D578" s="34">
        <f t="shared" si="68"/>
        <v>1.5292038743802805</v>
      </c>
      <c r="E578" s="19">
        <f t="shared" si="68"/>
        <v>5.5607413613828385E-2</v>
      </c>
      <c r="F578" s="18">
        <f t="shared" si="68"/>
        <v>0</v>
      </c>
      <c r="G578" s="20">
        <f t="shared" si="68"/>
        <v>0</v>
      </c>
      <c r="H578" s="17">
        <f>SUM(C578:G578)</f>
        <v>1.584811287994109</v>
      </c>
      <c r="I578" s="17">
        <f>D578/H578*100</f>
        <v>96.491228070175424</v>
      </c>
      <c r="J578" s="17">
        <f>SQRT(I578*(100-I578)/(L578-1))</f>
        <v>2.4588241692166193</v>
      </c>
      <c r="K578" s="18">
        <f>100-I578</f>
        <v>3.5087719298245759</v>
      </c>
      <c r="L578" s="1">
        <f>H567</f>
        <v>57</v>
      </c>
      <c r="M578">
        <v>1</v>
      </c>
      <c r="N578" s="1">
        <v>1314.81</v>
      </c>
      <c r="O578" s="17">
        <f>N578/N582*100</f>
        <v>1.584811287994109</v>
      </c>
      <c r="P578" s="52">
        <f>((O578*O578*(I578/100)*(K578/100))/(L578-1))</f>
        <v>1.5184834346880975E-3</v>
      </c>
    </row>
    <row r="579" spans="1:16" x14ac:dyDescent="0.3">
      <c r="A579" t="s">
        <v>5</v>
      </c>
      <c r="B579" s="13">
        <v>2</v>
      </c>
      <c r="C579" s="33">
        <f t="shared" si="68"/>
        <v>0</v>
      </c>
      <c r="D579" s="19">
        <f t="shared" si="68"/>
        <v>7.8937494775753972E-2</v>
      </c>
      <c r="E579" s="34">
        <f t="shared" si="68"/>
        <v>56.440308764664096</v>
      </c>
      <c r="F579" s="19">
        <f t="shared" si="68"/>
        <v>0.7893749477575398</v>
      </c>
      <c r="G579" s="20">
        <f t="shared" si="68"/>
        <v>0.86831244253329365</v>
      </c>
      <c r="H579" s="17">
        <f>SUM(C579:G579)</f>
        <v>58.176933649730678</v>
      </c>
      <c r="I579" s="17">
        <f>E579/H579*100</f>
        <v>97.014925373134346</v>
      </c>
      <c r="J579" s="17">
        <f>SQRT(I579*(100-I579)/(L579-1))</f>
        <v>0.62727498147894711</v>
      </c>
      <c r="K579" s="18">
        <f>100-I579</f>
        <v>2.9850746268656536</v>
      </c>
      <c r="L579" s="1">
        <f>H568</f>
        <v>737</v>
      </c>
      <c r="M579">
        <v>2</v>
      </c>
      <c r="N579" s="1">
        <v>48265.440000000002</v>
      </c>
      <c r="O579" s="17">
        <f>N579/N582*100</f>
        <v>58.176933649730678</v>
      </c>
      <c r="P579" s="52">
        <f>((O579*O579*(I579/100)*(K579/100))/(L579-1))</f>
        <v>0.13317343032820234</v>
      </c>
    </row>
    <row r="580" spans="1:16" x14ac:dyDescent="0.3">
      <c r="A580" t="s">
        <v>6</v>
      </c>
      <c r="B580" s="13">
        <v>3</v>
      </c>
      <c r="C580" s="33">
        <f t="shared" si="68"/>
        <v>0</v>
      </c>
      <c r="D580" s="19">
        <f t="shared" si="68"/>
        <v>0</v>
      </c>
      <c r="E580" s="19">
        <f t="shared" si="68"/>
        <v>0.57996240173304636</v>
      </c>
      <c r="F580" s="34">
        <f t="shared" si="68"/>
        <v>28.839948522543306</v>
      </c>
      <c r="G580" s="20">
        <f t="shared" si="68"/>
        <v>1.2653725128721012</v>
      </c>
      <c r="H580" s="17">
        <f>SUM(C580:G580)</f>
        <v>30.685283437148453</v>
      </c>
      <c r="I580" s="17">
        <f>F580/H580*100</f>
        <v>93.986254295532646</v>
      </c>
      <c r="J580" s="17">
        <f>SQRT(I580*(100-I580)/(L580-1))</f>
        <v>0.98631726317118351</v>
      </c>
      <c r="K580" s="18">
        <f>100-I580</f>
        <v>6.0137457044673539</v>
      </c>
      <c r="L580" s="1">
        <f>H569</f>
        <v>582</v>
      </c>
      <c r="M580">
        <v>3</v>
      </c>
      <c r="N580" s="1">
        <v>25457.49</v>
      </c>
      <c r="O580" s="17">
        <f>N580/N582*100</f>
        <v>30.685283437148453</v>
      </c>
      <c r="P580" s="52">
        <f>((O580*O580*(I580/100)*(K580/100))/(L580-1))</f>
        <v>9.1599593707511709E-2</v>
      </c>
    </row>
    <row r="581" spans="1:16" x14ac:dyDescent="0.3">
      <c r="A581" t="s">
        <v>7</v>
      </c>
      <c r="B581" s="13">
        <v>4</v>
      </c>
      <c r="C581" s="35">
        <f t="shared" si="68"/>
        <v>0</v>
      </c>
      <c r="D581" s="36">
        <f t="shared" si="68"/>
        <v>0.73634433207610406</v>
      </c>
      <c r="E581" s="21">
        <f t="shared" si="68"/>
        <v>9.2043041509513007E-2</v>
      </c>
      <c r="F581" s="21">
        <f t="shared" si="68"/>
        <v>0.55225824905707799</v>
      </c>
      <c r="G581" s="37">
        <f t="shared" si="68"/>
        <v>7.9064972656671673</v>
      </c>
      <c r="H581" s="17">
        <f>SUM(C581:G581)</f>
        <v>9.2871428883098623</v>
      </c>
      <c r="I581" s="17">
        <f>G581/H581*100</f>
        <v>85.133795837462827</v>
      </c>
      <c r="J581" s="17">
        <f>SQRT(I581*(100-I581)/(L581-1))</f>
        <v>1.1205230098160688</v>
      </c>
      <c r="K581" s="18">
        <f>100-I581</f>
        <v>14.866204162537173</v>
      </c>
      <c r="L581" s="1">
        <f>H570</f>
        <v>1009</v>
      </c>
      <c r="M581">
        <v>4</v>
      </c>
      <c r="N581" s="1">
        <v>7704.91</v>
      </c>
      <c r="O581" s="17">
        <f>N581/N582*100</f>
        <v>9.2871428883098623</v>
      </c>
      <c r="P581" s="52">
        <f>((O581*O581*(I581/100)*(K581/100))/(L581-1))</f>
        <v>1.0829435357420453E-2</v>
      </c>
    </row>
    <row r="582" spans="1:16" x14ac:dyDescent="0.3">
      <c r="B582" t="s">
        <v>28</v>
      </c>
      <c r="C582" s="17">
        <f t="shared" ref="C582:H582" si="69">SUM(C577:C581)</f>
        <v>0.26582873681689434</v>
      </c>
      <c r="D582" s="17">
        <f t="shared" si="69"/>
        <v>2.3444857012321387</v>
      </c>
      <c r="E582" s="17">
        <f t="shared" si="69"/>
        <v>57.167921621520485</v>
      </c>
      <c r="F582" s="17">
        <f t="shared" si="69"/>
        <v>30.181581719357926</v>
      </c>
      <c r="G582" s="17">
        <f t="shared" si="69"/>
        <v>10.040182221072563</v>
      </c>
      <c r="H582" s="18">
        <f t="shared" si="69"/>
        <v>100</v>
      </c>
      <c r="I582" s="13" t="s">
        <v>24</v>
      </c>
      <c r="J582" s="12" t="s">
        <v>29</v>
      </c>
      <c r="N582" s="1">
        <f>SUM(N577:N581)</f>
        <v>82963.19</v>
      </c>
      <c r="O582" s="17">
        <f>SUM(O577:O581)</f>
        <v>100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0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0.11812995917046236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0.4065996732824152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0.3971006158636608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0.37722971758150498</v>
      </c>
      <c r="H583" s="1"/>
      <c r="I583" s="56">
        <f>(C577+D578+E579+F580+G581)/H582</f>
        <v>0.94981787164071751</v>
      </c>
      <c r="J583" s="53">
        <f>SQRT(SUM(P577:P581))/100</f>
        <v>4.8695065748782249E-3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65.225557723666697</v>
      </c>
      <c r="E584" s="17">
        <f>E579/E582*100</f>
        <v>98.727235771008893</v>
      </c>
      <c r="F584" s="17">
        <f>F580/F582*100</f>
        <v>95.554794943188412</v>
      </c>
      <c r="G584" s="17">
        <f>G581/G582*100</f>
        <v>78.748543518192633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6.5623465176006004</v>
      </c>
      <c r="E585" s="18">
        <f>SQRT((E588+E589)/(E582*E582))</f>
        <v>0.32134141129819471</v>
      </c>
      <c r="F585" s="18">
        <f>SQRT((F588+F589)/(F582*F582))</f>
        <v>0.92930545669401587</v>
      </c>
      <c r="G585" s="18">
        <f>SQRT((G588+G589)/(G582*G582))</f>
        <v>3.5989975589925747</v>
      </c>
      <c r="H585" s="1"/>
    </row>
    <row r="586" spans="1:16" x14ac:dyDescent="0.3">
      <c r="B586" s="1" t="s">
        <v>37</v>
      </c>
      <c r="C586" s="18">
        <f>100-C584</f>
        <v>0</v>
      </c>
      <c r="D586" s="18">
        <f>100-D584</f>
        <v>34.774442276333303</v>
      </c>
      <c r="E586" s="18">
        <f>100-E584</f>
        <v>1.2727642289911074</v>
      </c>
      <c r="F586" s="18">
        <f>100-F584</f>
        <v>4.445205056811588</v>
      </c>
      <c r="G586" s="18">
        <f>100-G584</f>
        <v>21.251456481807367</v>
      </c>
    </row>
    <row r="587" spans="1:16" ht="15.6" x14ac:dyDescent="0.35">
      <c r="B587" s="1" t="s">
        <v>25</v>
      </c>
      <c r="C587" s="1">
        <f>C571</f>
        <v>451</v>
      </c>
      <c r="D587" s="1">
        <f>D571</f>
        <v>136</v>
      </c>
      <c r="E587" s="1">
        <f>E571</f>
        <v>738</v>
      </c>
      <c r="F587" s="1">
        <f>F571</f>
        <v>617</v>
      </c>
      <c r="G587" s="1">
        <f>G571</f>
        <v>894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183.62440656047318</v>
      </c>
      <c r="E588" s="18">
        <f>(O579*O579*(100-E584)*(100-E584)*(I579)*(100-I579))/((L579-1)*100)</f>
        <v>21.573147286614123</v>
      </c>
      <c r="F588" s="18">
        <f>(O580*O580*(100-F584)*(100-F584)*(I580)*(100-I580))/((L580-1)*100)</f>
        <v>180.99940482568528</v>
      </c>
      <c r="G588" s="18">
        <f>(O581*O581*(100-G584)*(100-G584)*(I581)*(100-I581))/((L581-1)*100)</f>
        <v>489.08372737703201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53.083898092512143</v>
      </c>
      <c r="E589" s="18">
        <f>E584*E584*(SUM((H577*E577*(1-E566/H566))/(H566-1),(H578*E578*(1-E567/H567))/(H567-1), (H580*E580*(1-E569/H569))/(H569-1),(H581*E581*(1-E570/H570))/(H570-1)))</f>
        <v>315.8992062796703</v>
      </c>
      <c r="F589" s="18">
        <f>F584*F584*(SUM((H577*F577*(1-F566/H566))/(H566-1),(H578*F578*(1-F567/H567))/(H567-1), (H579*F579*(1-F568/H568))/(H568-1),(H581*F581*(1-F570/H570))/(H570-1)))</f>
        <v>605.68577108020145</v>
      </c>
      <c r="G589" s="18">
        <f>G584*G584*(SUM((H577*G577*(1-G566/H566))/(H566-1),(H578*G578*(1-G567/H567))/(H567-1), (H579*G579*(1-G568/H568))/(H568-1),(H580*G580*(1-G569/H569))/(H569-1)))</f>
        <v>816.62496143709654</v>
      </c>
    </row>
    <row r="592" spans="1:16" x14ac:dyDescent="0.3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48"/>
      <c r="B998" s="348"/>
      <c r="C998" s="348"/>
      <c r="D998" s="348"/>
      <c r="E998" s="348"/>
      <c r="F998" s="348"/>
      <c r="G998" s="348"/>
      <c r="H998" s="348"/>
      <c r="I998" s="348"/>
      <c r="J998" s="348"/>
      <c r="K998" s="348"/>
      <c r="L998" s="348"/>
      <c r="M998" s="348"/>
      <c r="N998" s="348"/>
      <c r="O998" s="348"/>
      <c r="P998" s="348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48"/>
      <c r="B1027" s="348"/>
      <c r="C1027" s="348"/>
      <c r="D1027" s="348"/>
      <c r="E1027" s="348"/>
      <c r="F1027" s="348"/>
      <c r="G1027" s="348"/>
      <c r="H1027" s="348"/>
      <c r="I1027" s="348"/>
      <c r="J1027" s="348"/>
      <c r="K1027" s="348"/>
      <c r="L1027" s="348"/>
      <c r="M1027" s="348"/>
      <c r="N1027" s="348"/>
      <c r="O1027" s="348"/>
      <c r="P1027" s="348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48"/>
      <c r="B1056" s="348"/>
      <c r="C1056" s="348"/>
      <c r="D1056" s="348"/>
      <c r="E1056" s="348"/>
      <c r="F1056" s="348"/>
      <c r="G1056" s="348"/>
      <c r="H1056" s="348"/>
      <c r="I1056" s="348"/>
      <c r="J1056" s="348"/>
      <c r="K1056" s="348"/>
      <c r="L1056" s="348"/>
      <c r="M1056" s="348"/>
      <c r="N1056" s="348"/>
      <c r="O1056" s="348"/>
      <c r="P1056" s="348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48"/>
      <c r="B1085" s="348"/>
      <c r="C1085" s="348"/>
      <c r="D1085" s="348"/>
      <c r="E1085" s="348"/>
      <c r="F1085" s="348"/>
      <c r="G1085" s="348"/>
      <c r="H1085" s="348"/>
      <c r="I1085" s="348"/>
      <c r="J1085" s="348"/>
      <c r="K1085" s="348"/>
      <c r="L1085" s="348"/>
      <c r="M1085" s="348"/>
      <c r="N1085" s="348"/>
      <c r="O1085" s="348"/>
      <c r="P1085" s="348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48"/>
      <c r="B1114" s="348"/>
      <c r="C1114" s="348"/>
      <c r="D1114" s="348"/>
      <c r="E1114" s="348"/>
      <c r="F1114" s="348"/>
      <c r="G1114" s="348"/>
      <c r="H1114" s="348"/>
      <c r="I1114" s="348"/>
      <c r="J1114" s="348"/>
      <c r="K1114" s="348"/>
      <c r="L1114" s="348"/>
      <c r="M1114" s="348"/>
      <c r="N1114" s="348"/>
      <c r="O1114" s="348"/>
      <c r="P1114" s="348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48"/>
      <c r="B1143" s="348"/>
      <c r="C1143" s="348"/>
      <c r="D1143" s="348"/>
      <c r="E1143" s="348"/>
      <c r="F1143" s="348"/>
      <c r="G1143" s="348"/>
      <c r="H1143" s="348"/>
      <c r="I1143" s="348"/>
      <c r="J1143" s="348"/>
      <c r="K1143" s="348"/>
      <c r="L1143" s="348"/>
      <c r="M1143" s="348"/>
      <c r="N1143" s="348"/>
      <c r="O1143" s="348"/>
      <c r="P1143" s="348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48"/>
      <c r="B1172" s="348"/>
      <c r="C1172" s="348"/>
      <c r="D1172" s="348"/>
      <c r="E1172" s="348"/>
      <c r="F1172" s="348"/>
      <c r="G1172" s="348"/>
      <c r="H1172" s="348"/>
      <c r="I1172" s="348"/>
      <c r="J1172" s="348"/>
      <c r="K1172" s="348"/>
      <c r="L1172" s="348"/>
      <c r="M1172" s="348"/>
      <c r="N1172" s="348"/>
      <c r="O1172" s="348"/>
      <c r="P1172" s="348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48"/>
      <c r="B1201" s="348"/>
      <c r="C1201" s="348"/>
      <c r="D1201" s="348"/>
      <c r="E1201" s="348"/>
      <c r="F1201" s="348"/>
      <c r="G1201" s="348"/>
      <c r="H1201" s="348"/>
      <c r="I1201" s="348"/>
      <c r="J1201" s="348"/>
      <c r="K1201" s="348"/>
      <c r="L1201" s="348"/>
      <c r="M1201" s="348"/>
      <c r="N1201" s="348"/>
      <c r="O1201" s="348"/>
      <c r="P1201" s="348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48"/>
      <c r="B1230" s="348"/>
      <c r="C1230" s="348"/>
      <c r="D1230" s="348"/>
      <c r="E1230" s="348"/>
      <c r="F1230" s="348"/>
      <c r="G1230" s="348"/>
      <c r="H1230" s="348"/>
      <c r="I1230" s="348"/>
      <c r="J1230" s="348"/>
      <c r="K1230" s="348"/>
      <c r="L1230" s="348"/>
      <c r="M1230" s="348"/>
      <c r="N1230" s="348"/>
      <c r="O1230" s="348"/>
      <c r="P1230" s="348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48"/>
      <c r="B1259" s="348"/>
      <c r="C1259" s="348"/>
      <c r="D1259" s="348"/>
      <c r="E1259" s="348"/>
      <c r="F1259" s="348"/>
      <c r="G1259" s="348"/>
      <c r="H1259" s="348"/>
      <c r="I1259" s="348"/>
      <c r="J1259" s="348"/>
      <c r="K1259" s="348"/>
      <c r="L1259" s="348"/>
      <c r="M1259" s="348"/>
      <c r="N1259" s="348"/>
      <c r="O1259" s="348"/>
      <c r="P1259" s="348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48"/>
      <c r="B1288" s="348"/>
      <c r="C1288" s="348"/>
      <c r="D1288" s="348"/>
      <c r="E1288" s="348"/>
      <c r="F1288" s="348"/>
      <c r="G1288" s="348"/>
      <c r="H1288" s="348"/>
      <c r="I1288" s="348"/>
      <c r="J1288" s="348"/>
      <c r="K1288" s="348"/>
      <c r="L1288" s="348"/>
      <c r="M1288" s="348"/>
      <c r="N1288" s="348"/>
      <c r="O1288" s="348"/>
      <c r="P1288" s="348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48"/>
      <c r="B1317" s="348"/>
      <c r="C1317" s="348"/>
      <c r="D1317" s="348"/>
      <c r="E1317" s="348"/>
      <c r="F1317" s="348"/>
      <c r="G1317" s="348"/>
      <c r="H1317" s="348"/>
      <c r="I1317" s="348"/>
      <c r="J1317" s="348"/>
      <c r="K1317" s="348"/>
      <c r="L1317" s="348"/>
      <c r="M1317" s="348"/>
      <c r="N1317" s="348"/>
      <c r="O1317" s="348"/>
      <c r="P1317" s="348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48"/>
      <c r="B1346" s="348"/>
      <c r="C1346" s="348"/>
      <c r="D1346" s="348"/>
      <c r="E1346" s="348"/>
      <c r="F1346" s="348"/>
      <c r="G1346" s="348"/>
      <c r="H1346" s="348"/>
      <c r="I1346" s="348"/>
      <c r="J1346" s="348"/>
      <c r="K1346" s="348"/>
      <c r="L1346" s="348"/>
      <c r="M1346" s="348"/>
      <c r="N1346" s="348"/>
      <c r="O1346" s="348"/>
      <c r="P1346" s="348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48"/>
      <c r="B1375" s="348"/>
      <c r="C1375" s="348"/>
      <c r="D1375" s="348"/>
      <c r="E1375" s="348"/>
      <c r="F1375" s="348"/>
      <c r="G1375" s="348"/>
      <c r="H1375" s="348"/>
      <c r="I1375" s="348"/>
      <c r="J1375" s="348"/>
      <c r="K1375" s="348"/>
      <c r="L1375" s="348"/>
      <c r="M1375" s="348"/>
      <c r="N1375" s="348"/>
      <c r="O1375" s="348"/>
      <c r="P1375" s="348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48"/>
      <c r="B1404" s="348"/>
      <c r="C1404" s="348"/>
      <c r="D1404" s="348"/>
      <c r="E1404" s="348"/>
      <c r="F1404" s="348"/>
      <c r="G1404" s="348"/>
      <c r="H1404" s="348"/>
      <c r="I1404" s="348"/>
      <c r="J1404" s="348"/>
      <c r="K1404" s="348"/>
      <c r="L1404" s="348"/>
      <c r="M1404" s="348"/>
      <c r="N1404" s="348"/>
      <c r="O1404" s="348"/>
      <c r="P1404" s="348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48"/>
      <c r="B1433" s="348"/>
      <c r="C1433" s="348"/>
      <c r="D1433" s="348"/>
      <c r="E1433" s="348"/>
      <c r="F1433" s="348"/>
      <c r="G1433" s="348"/>
      <c r="H1433" s="348"/>
      <c r="I1433" s="348"/>
      <c r="J1433" s="348"/>
      <c r="K1433" s="348"/>
      <c r="L1433" s="348"/>
      <c r="M1433" s="348"/>
      <c r="N1433" s="348"/>
      <c r="O1433" s="348"/>
      <c r="P1433" s="348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sortState xmlns:xlrd2="http://schemas.microsoft.com/office/spreadsheetml/2017/richdata2" ref="BE64:BE163">
    <sortCondition ref="BE64:BE163"/>
  </sortState>
  <mergeCells count="123">
    <mergeCell ref="BF5:BN5"/>
    <mergeCell ref="A12:K12"/>
    <mergeCell ref="L12:P12"/>
    <mergeCell ref="O13:P13"/>
    <mergeCell ref="O71:P71"/>
    <mergeCell ref="AJ80:AT80"/>
    <mergeCell ref="AU80:AY80"/>
    <mergeCell ref="A99:K99"/>
    <mergeCell ref="L99:P99"/>
    <mergeCell ref="O100:P100"/>
    <mergeCell ref="A41:K41"/>
    <mergeCell ref="L41:P41"/>
    <mergeCell ref="O42:P42"/>
    <mergeCell ref="A70:K70"/>
    <mergeCell ref="L70:P70"/>
    <mergeCell ref="A186:K186"/>
    <mergeCell ref="L186:P186"/>
    <mergeCell ref="O187:P187"/>
    <mergeCell ref="A215:K215"/>
    <mergeCell ref="L215:P215"/>
    <mergeCell ref="O216:P216"/>
    <mergeCell ref="A128:K128"/>
    <mergeCell ref="L128:P128"/>
    <mergeCell ref="O129:P129"/>
    <mergeCell ref="A157:K157"/>
    <mergeCell ref="L157:P157"/>
    <mergeCell ref="O158:P158"/>
    <mergeCell ref="A302:K302"/>
    <mergeCell ref="L302:P302"/>
    <mergeCell ref="O303:P303"/>
    <mergeCell ref="A331:K331"/>
    <mergeCell ref="L331:P331"/>
    <mergeCell ref="O332:P332"/>
    <mergeCell ref="A244:K244"/>
    <mergeCell ref="L244:P244"/>
    <mergeCell ref="O245:P245"/>
    <mergeCell ref="A273:K273"/>
    <mergeCell ref="L273:P273"/>
    <mergeCell ref="O274:P274"/>
    <mergeCell ref="A418:K418"/>
    <mergeCell ref="L418:P418"/>
    <mergeCell ref="O419:P419"/>
    <mergeCell ref="A447:K447"/>
    <mergeCell ref="L447:P447"/>
    <mergeCell ref="O448:P448"/>
    <mergeCell ref="A360:K360"/>
    <mergeCell ref="L360:P360"/>
    <mergeCell ref="O361:P361"/>
    <mergeCell ref="A389:K389"/>
    <mergeCell ref="L389:P389"/>
    <mergeCell ref="O390:P390"/>
    <mergeCell ref="A534:K534"/>
    <mergeCell ref="L534:P534"/>
    <mergeCell ref="O535:P535"/>
    <mergeCell ref="A563:K563"/>
    <mergeCell ref="L563:P563"/>
    <mergeCell ref="O564:P564"/>
    <mergeCell ref="A476:K476"/>
    <mergeCell ref="L476:P476"/>
    <mergeCell ref="O477:P477"/>
    <mergeCell ref="A505:K505"/>
    <mergeCell ref="L505:P505"/>
    <mergeCell ref="O506:P506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C9029-0749-4545-90A1-24AB5CFAFAF1}">
  <dimension ref="A1:BE1459"/>
  <sheetViews>
    <sheetView topLeftCell="AA89" zoomScale="80" zoomScaleNormal="80" workbookViewId="0">
      <selection activeCell="AL100" sqref="AL100:AP100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</cols>
  <sheetData>
    <row r="1" spans="1:57" x14ac:dyDescent="0.3">
      <c r="A1" s="12"/>
      <c r="B1" s="12" t="s">
        <v>10</v>
      </c>
      <c r="C1" s="12"/>
      <c r="D1" s="12"/>
      <c r="E1" s="12"/>
      <c r="F1" s="12"/>
    </row>
    <row r="2" spans="1:57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AG2" s="51" t="s">
        <v>122</v>
      </c>
      <c r="AH2" s="51" t="s">
        <v>126</v>
      </c>
    </row>
    <row r="3" spans="1:57" x14ac:dyDescent="0.3">
      <c r="A3" s="12" t="s">
        <v>3</v>
      </c>
      <c r="B3" s="103">
        <v>51.51</v>
      </c>
      <c r="C3" s="22">
        <f>B3/$B$8</f>
        <v>7.4793088427472038E-2</v>
      </c>
      <c r="D3" s="85">
        <v>0.01</v>
      </c>
      <c r="E3" s="86">
        <f>D3-C3</f>
        <v>-6.4793088427472043E-2</v>
      </c>
      <c r="F3" s="12"/>
      <c r="G3" t="s">
        <v>46</v>
      </c>
      <c r="AG3" s="51" t="s">
        <v>123</v>
      </c>
      <c r="AH3" s="51" t="s">
        <v>129</v>
      </c>
    </row>
    <row r="4" spans="1:57" x14ac:dyDescent="0.3">
      <c r="A4" s="12" t="s">
        <v>4</v>
      </c>
      <c r="B4" s="103">
        <v>20.98</v>
      </c>
      <c r="C4" s="22">
        <f>B4/$B$8</f>
        <v>3.0463191520255551E-2</v>
      </c>
      <c r="D4" s="85">
        <v>0.01</v>
      </c>
      <c r="E4" s="86">
        <f>D4-C4</f>
        <v>-2.0463191520255553E-2</v>
      </c>
      <c r="F4" s="12"/>
      <c r="G4" t="s">
        <v>635</v>
      </c>
      <c r="AG4" s="51" t="s">
        <v>124</v>
      </c>
      <c r="AH4" s="51" t="s">
        <v>127</v>
      </c>
    </row>
    <row r="5" spans="1:57" x14ac:dyDescent="0.3">
      <c r="A5" s="12" t="s">
        <v>5</v>
      </c>
      <c r="B5" s="103">
        <v>234.23</v>
      </c>
      <c r="C5" s="22">
        <f>B5/$B$8</f>
        <v>0.34010454479454039</v>
      </c>
      <c r="D5" s="85">
        <v>0.42</v>
      </c>
      <c r="E5" s="86">
        <f>D5-C5</f>
        <v>7.9895455205459598E-2</v>
      </c>
      <c r="F5" s="12" t="s">
        <v>45</v>
      </c>
      <c r="AG5" s="51" t="s">
        <v>125</v>
      </c>
      <c r="AH5" s="51" t="s">
        <v>128</v>
      </c>
    </row>
    <row r="6" spans="1:57" x14ac:dyDescent="0.3">
      <c r="A6" s="12" t="s">
        <v>6</v>
      </c>
      <c r="B6" s="103">
        <v>206.92</v>
      </c>
      <c r="C6" s="22">
        <f>B6/$B$8</f>
        <v>0.30045012342093796</v>
      </c>
      <c r="D6" s="85">
        <v>0.35</v>
      </c>
      <c r="E6" s="86">
        <f>D6-C6</f>
        <v>4.9549876579062013E-2</v>
      </c>
      <c r="F6" s="12" t="s">
        <v>45</v>
      </c>
      <c r="I6" s="12"/>
      <c r="J6" s="12" t="s">
        <v>50</v>
      </c>
      <c r="K6" s="12"/>
      <c r="AG6" s="51" t="s">
        <v>150</v>
      </c>
      <c r="AH6" s="51" t="s">
        <v>152</v>
      </c>
    </row>
    <row r="7" spans="1:57" x14ac:dyDescent="0.3">
      <c r="A7" s="12" t="s">
        <v>7</v>
      </c>
      <c r="B7" s="103">
        <v>175.06</v>
      </c>
      <c r="C7" s="22">
        <f>B7/$B$8</f>
        <v>0.25418905183679397</v>
      </c>
      <c r="D7" s="85">
        <v>0.21</v>
      </c>
      <c r="E7" s="86">
        <f>D7-C7</f>
        <v>-4.4189051836793974E-2</v>
      </c>
      <c r="F7" s="12"/>
      <c r="I7" s="12"/>
      <c r="J7" s="12">
        <v>8608</v>
      </c>
      <c r="K7" s="12"/>
      <c r="AG7" s="51" t="s">
        <v>151</v>
      </c>
      <c r="AH7" s="51" t="s">
        <v>153</v>
      </c>
    </row>
    <row r="8" spans="1:57" x14ac:dyDescent="0.3">
      <c r="A8" s="12"/>
      <c r="B8" s="103">
        <f>SUM(B3:B7)</f>
        <v>688.7</v>
      </c>
      <c r="C8" s="61">
        <f>SUM(C3:C7)</f>
        <v>0.99999999999999989</v>
      </c>
      <c r="D8" s="12"/>
      <c r="E8" s="12" t="s">
        <v>16</v>
      </c>
      <c r="F8" s="134">
        <v>96583.8</v>
      </c>
      <c r="I8" s="12" t="s">
        <v>55</v>
      </c>
      <c r="J8" s="12" t="s">
        <v>50</v>
      </c>
      <c r="K8" s="12" t="s">
        <v>54</v>
      </c>
      <c r="AG8" s="51" t="s">
        <v>205</v>
      </c>
      <c r="AH8" s="51" t="s">
        <v>210</v>
      </c>
    </row>
    <row r="9" spans="1:57" x14ac:dyDescent="0.3">
      <c r="A9" s="12"/>
      <c r="B9" s="87">
        <f>B8/0.36</f>
        <v>1913.0555555555557</v>
      </c>
      <c r="C9" s="12" t="s">
        <v>44</v>
      </c>
      <c r="D9" s="12"/>
      <c r="E9" s="12" t="s">
        <v>47</v>
      </c>
      <c r="F9" s="88">
        <f>B8/F8</f>
        <v>7.1305954000567386E-3</v>
      </c>
      <c r="G9" s="46"/>
      <c r="I9" s="12">
        <v>2836</v>
      </c>
      <c r="J9" s="12">
        <v>8525</v>
      </c>
      <c r="K9" s="89">
        <f>(J7-J9)/J7</f>
        <v>9.6421933085501857E-3</v>
      </c>
      <c r="AG9" s="51" t="s">
        <v>206</v>
      </c>
      <c r="AH9" s="51" t="s">
        <v>211</v>
      </c>
    </row>
    <row r="10" spans="1:57" x14ac:dyDescent="0.3">
      <c r="A10" s="129" t="s">
        <v>636</v>
      </c>
      <c r="B10" s="130">
        <v>24756</v>
      </c>
      <c r="F10" s="46"/>
      <c r="I10" s="89">
        <f>I9/(I9+J9)</f>
        <v>0.24962591321186514</v>
      </c>
      <c r="J10" s="89">
        <f>J9/(J9+I9)</f>
        <v>0.75037408678813489</v>
      </c>
      <c r="K10" s="12"/>
      <c r="AG10" s="51" t="s">
        <v>207</v>
      </c>
      <c r="AH10" s="51" t="s">
        <v>212</v>
      </c>
    </row>
    <row r="11" spans="1:57" x14ac:dyDescent="0.3">
      <c r="B11" s="18"/>
      <c r="F11" s="46"/>
      <c r="I11" s="45"/>
      <c r="J11" s="45"/>
      <c r="AG11" s="51" t="s">
        <v>208</v>
      </c>
      <c r="AH11" s="51" t="s">
        <v>213</v>
      </c>
    </row>
    <row r="12" spans="1:57" x14ac:dyDescent="0.3">
      <c r="A12" s="348" t="s">
        <v>373</v>
      </c>
      <c r="B12" s="348"/>
      <c r="C12" s="348"/>
      <c r="D12" s="348"/>
      <c r="E12" s="348"/>
      <c r="F12" s="348"/>
      <c r="G12" s="348"/>
      <c r="H12" s="348"/>
      <c r="I12" s="348"/>
      <c r="J12" s="348"/>
      <c r="K12" s="348"/>
      <c r="L12" s="348" t="s">
        <v>48</v>
      </c>
      <c r="M12" s="348"/>
      <c r="N12" s="348"/>
      <c r="O12" s="348"/>
      <c r="P12" s="348"/>
      <c r="R12" s="47" t="s">
        <v>373</v>
      </c>
      <c r="S12" s="47" t="s">
        <v>633</v>
      </c>
      <c r="T12" s="47"/>
      <c r="U12" s="47"/>
      <c r="V12" s="47"/>
      <c r="W12" s="47"/>
      <c r="X12" s="47"/>
      <c r="Y12" s="47"/>
      <c r="Z12" s="47"/>
      <c r="AA12" s="47"/>
      <c r="AB12" s="47" t="s">
        <v>58</v>
      </c>
      <c r="AC12" s="47"/>
      <c r="AD12" s="47"/>
      <c r="AE12" s="47"/>
      <c r="AF12" s="47"/>
      <c r="AG12" s="51" t="s">
        <v>209</v>
      </c>
      <c r="AH12" s="51" t="s">
        <v>214</v>
      </c>
      <c r="AW12" s="66"/>
      <c r="AX12" s="77" t="s">
        <v>323</v>
      </c>
      <c r="AY12" s="77" t="s">
        <v>326</v>
      </c>
      <c r="AZ12" s="77" t="s">
        <v>324</v>
      </c>
      <c r="BA12" s="77" t="s">
        <v>325</v>
      </c>
      <c r="BB12" s="77" t="s">
        <v>327</v>
      </c>
      <c r="BC12" s="77" t="s">
        <v>328</v>
      </c>
      <c r="BD12" s="77" t="s">
        <v>349</v>
      </c>
      <c r="BE12" s="13"/>
    </row>
    <row r="13" spans="1:57" x14ac:dyDescent="0.3">
      <c r="A13" t="s">
        <v>315</v>
      </c>
      <c r="B13" t="s">
        <v>21</v>
      </c>
      <c r="I13" s="1" t="s">
        <v>53</v>
      </c>
      <c r="AG13" s="51" t="s">
        <v>319</v>
      </c>
      <c r="AH13" s="51" t="s">
        <v>321</v>
      </c>
      <c r="AW13" s="51" t="s">
        <v>126</v>
      </c>
      <c r="AX13" s="80">
        <f>MIN($AE$16:$AE$20)</f>
        <v>0.98393199765338479</v>
      </c>
      <c r="AY13" s="80">
        <f>_xlfn.QUARTILE.EXC($AE$16:$AE$20,1)</f>
        <v>0.98461875558912948</v>
      </c>
      <c r="AZ13" s="80">
        <f>MEDIAN($AE$16:$AE$20)</f>
        <v>0.98606179101696312</v>
      </c>
      <c r="BA13" s="80">
        <f>AVERAGE($AE$16:$AE$20)</f>
        <v>0.98605963077550352</v>
      </c>
      <c r="BB13" s="80">
        <f>_xlfn.QUARTILE.EXC(AE16:AE20,3)</f>
        <v>0.98749942584114758</v>
      </c>
      <c r="BC13" s="80">
        <f>MAX(AE16:AE20)</f>
        <v>0.98845879470277187</v>
      </c>
      <c r="BD13" s="80">
        <f>(BB13-AY13)/AZ13</f>
        <v>2.9213891849994081E-3</v>
      </c>
      <c r="BE13" s="80"/>
    </row>
    <row r="14" spans="1:57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51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320</v>
      </c>
      <c r="AH14" s="51" t="s">
        <v>322</v>
      </c>
      <c r="AW14" s="51" t="s">
        <v>129</v>
      </c>
      <c r="AX14" s="80">
        <f>MIN($AE$16:$AE$25)</f>
        <v>0.98393199765338479</v>
      </c>
      <c r="AY14" s="80">
        <f>_xlfn.QUARTILE.EXC($AE$16:$AE$25,1)</f>
        <v>0.9847087863666002</v>
      </c>
      <c r="AZ14" s="80">
        <f>MEDIAN($AE$16:$AE$25)</f>
        <v>0.98599253024361477</v>
      </c>
      <c r="BA14" s="80">
        <f>AVERAGE($AE$16:$AE$25)</f>
        <v>0.98583739214290367</v>
      </c>
      <c r="BB14" s="80">
        <f>_xlfn.QUARTILE.EXC($AE$16:$AE$25,3)</f>
        <v>0.9866047045628743</v>
      </c>
      <c r="BC14" s="80">
        <f>MAX($AE$16:$AE$25)</f>
        <v>0.98845879470277187</v>
      </c>
      <c r="BD14" s="80">
        <f t="shared" ref="BD14:BD23" si="0">(BB14-AY14)/AZ14</f>
        <v>1.9228524944359053E-3</v>
      </c>
      <c r="BE14" s="80"/>
    </row>
    <row r="15" spans="1:57" x14ac:dyDescent="0.3">
      <c r="A15" t="s">
        <v>3</v>
      </c>
      <c r="B15" s="13">
        <v>0</v>
      </c>
      <c r="C15" s="26">
        <v>451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451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72</v>
      </c>
      <c r="AF15" s="12" t="s">
        <v>29</v>
      </c>
      <c r="AH15" t="s">
        <v>120</v>
      </c>
      <c r="AI15" t="s">
        <v>121</v>
      </c>
      <c r="AW15" s="51" t="s">
        <v>127</v>
      </c>
      <c r="AX15" s="80">
        <f>MIN($AE$16:$AE$35)</f>
        <v>0.98385991357488212</v>
      </c>
      <c r="AY15" s="80">
        <f>_xlfn.QUARTILE.EXC($AE$16:$AE$35,1)</f>
        <v>0.98456600955386975</v>
      </c>
      <c r="AZ15" s="126">
        <f>MEDIAN($AE$16:$AE$35)</f>
        <v>0.98593760657059659</v>
      </c>
      <c r="BA15" s="126">
        <f>AVERAGE($AE$16:$AE$35)</f>
        <v>0.98580337619250957</v>
      </c>
      <c r="BB15" s="80">
        <f>_xlfn.QUARTILE.EXC($AE$16:$AE$35,3)</f>
        <v>0.98668232401727662</v>
      </c>
      <c r="BC15" s="80">
        <f>MAX($AE$16:$AE$35)</f>
        <v>0.98855765374600424</v>
      </c>
      <c r="BD15" s="80">
        <f t="shared" si="0"/>
        <v>2.1464993822155631E-3</v>
      </c>
      <c r="BE15" s="80"/>
    </row>
    <row r="16" spans="1:57" x14ac:dyDescent="0.3">
      <c r="A16" t="s">
        <v>4</v>
      </c>
      <c r="B16" s="13">
        <v>1</v>
      </c>
      <c r="C16" s="5">
        <v>0</v>
      </c>
      <c r="D16" s="27">
        <v>52</v>
      </c>
      <c r="E16" s="1">
        <v>5</v>
      </c>
      <c r="F16" s="1">
        <v>0</v>
      </c>
      <c r="G16" s="6">
        <v>0</v>
      </c>
      <c r="H16" s="1">
        <f>SUM(C16:G16)</f>
        <v>57</v>
      </c>
      <c r="I16" s="10">
        <f>D16/H16</f>
        <v>0.91228070175438591</v>
      </c>
      <c r="J16" s="11">
        <f>1-I16</f>
        <v>8.7719298245614086E-2</v>
      </c>
      <c r="K16">
        <f>H16-D20</f>
        <v>5</v>
      </c>
      <c r="N16" s="10">
        <f>2*(D21*I16)/(D21+I16)</f>
        <v>0.95412844036697242</v>
      </c>
      <c r="R16" t="s">
        <v>65</v>
      </c>
      <c r="S16" t="s">
        <v>28</v>
      </c>
      <c r="T16" s="57">
        <f t="shared" ref="T16:X19" si="1">C31</f>
        <v>0.21202315626669857</v>
      </c>
      <c r="U16" s="57">
        <f t="shared" si="1"/>
        <v>0.51380602618030757</v>
      </c>
      <c r="V16" s="57">
        <f t="shared" si="1"/>
        <v>61.573570070266399</v>
      </c>
      <c r="W16" s="57">
        <f t="shared" si="1"/>
        <v>31.17704540478049</v>
      </c>
      <c r="X16" s="57">
        <f t="shared" si="1"/>
        <v>6.5235553425060981</v>
      </c>
      <c r="AC16" t="s">
        <v>65</v>
      </c>
      <c r="AD16" s="51">
        <f>I21</f>
        <v>0.97143864598025387</v>
      </c>
      <c r="AE16" s="55">
        <f>I32</f>
        <v>0.98530551352487405</v>
      </c>
      <c r="AF16" s="55">
        <f>J32</f>
        <v>2.4955590550807382E-3</v>
      </c>
      <c r="AH16">
        <v>21</v>
      </c>
      <c r="AI16">
        <v>32</v>
      </c>
      <c r="AW16" s="51" t="s">
        <v>128</v>
      </c>
      <c r="AX16" s="80">
        <f>MIN($AE$16:$AE$45)</f>
        <v>0.98324123948321795</v>
      </c>
      <c r="AY16" s="80">
        <f>_xlfn.QUARTILE.EXC($AE$16:$AE$45,1)</f>
        <v>0.98451342737476155</v>
      </c>
      <c r="AZ16" s="80">
        <f>MEDIAN($AE$16:$AE$45)</f>
        <v>0.98593760657059659</v>
      </c>
      <c r="BA16" s="80">
        <f>AVERAGE($AE$16:$AE$45)</f>
        <v>0.9857915430466444</v>
      </c>
      <c r="BB16" s="80">
        <f>_xlfn.QUARTILE.EXC($AE$16:$AE$45,3)</f>
        <v>0.98658747932544111</v>
      </c>
      <c r="BC16" s="80">
        <f>MAX($AE$16:$AE$45)</f>
        <v>0.98856441381272198</v>
      </c>
      <c r="BD16" s="80">
        <f t="shared" si="0"/>
        <v>2.1036340807546292E-3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0</v>
      </c>
      <c r="E17" s="27">
        <v>736</v>
      </c>
      <c r="F17" s="1">
        <v>0</v>
      </c>
      <c r="G17" s="6">
        <v>1</v>
      </c>
      <c r="H17" s="1">
        <f>SUM(C17:G17)</f>
        <v>737</v>
      </c>
      <c r="I17" s="10">
        <f>E17/H17</f>
        <v>0.99864314789687925</v>
      </c>
      <c r="J17" s="11">
        <f>1-I17</f>
        <v>1.3568521031207537E-3</v>
      </c>
      <c r="K17">
        <f>H17-E20</f>
        <v>-47</v>
      </c>
      <c r="N17" s="10">
        <f>2*(E21*I17)/(E21+I17)</f>
        <v>0.96778435239973704</v>
      </c>
      <c r="S17" s="66" t="s">
        <v>39</v>
      </c>
      <c r="T17" s="67">
        <f t="shared" si="1"/>
        <v>0</v>
      </c>
      <c r="U17" s="67">
        <f t="shared" si="1"/>
        <v>2.1103043594533112E-2</v>
      </c>
      <c r="V17" s="67">
        <f t="shared" si="1"/>
        <v>0.16314495901869819</v>
      </c>
      <c r="W17" s="67">
        <f t="shared" si="1"/>
        <v>0.23153799648969045</v>
      </c>
      <c r="X17" s="67">
        <f t="shared" si="1"/>
        <v>0.21087571203712063</v>
      </c>
      <c r="AC17" t="s">
        <v>66</v>
      </c>
      <c r="AD17" s="51">
        <f>I50</f>
        <v>0.97073342736248236</v>
      </c>
      <c r="AE17" s="55">
        <f>I61</f>
        <v>0.98606179101696312</v>
      </c>
      <c r="AF17" s="55">
        <f>J61</f>
        <v>2.3829288239911235E-3</v>
      </c>
      <c r="AH17">
        <v>50</v>
      </c>
      <c r="AI17">
        <v>61</v>
      </c>
      <c r="AW17" s="51" t="s">
        <v>152</v>
      </c>
      <c r="AX17" s="80">
        <f>MIN($AE$16:$AE$55)</f>
        <v>0.98324123948321795</v>
      </c>
      <c r="AY17" s="80">
        <f>_xlfn.QUARTILE.EXC($AE$16:$AE$55,1)</f>
        <v>0.98482713351338502</v>
      </c>
      <c r="AZ17" s="80">
        <f>MEDIAN($AE$16:$AE$55)</f>
        <v>0.98600298669394193</v>
      </c>
      <c r="BA17" s="80">
        <f>AVERAGE($AE$16:$AE$55)</f>
        <v>0.98590879821925625</v>
      </c>
      <c r="BB17" s="80">
        <f>_xlfn.QUARTILE.EXC($AE$16:$AE$55,3)</f>
        <v>0.98678142207549369</v>
      </c>
      <c r="BC17" s="80">
        <f>MAX($AE$16:$AE$55)</f>
        <v>0.98856441381272198</v>
      </c>
      <c r="BD17" s="80">
        <f t="shared" si="0"/>
        <v>1.9820310774730748E-3</v>
      </c>
      <c r="BE17" s="80"/>
    </row>
    <row r="18" spans="1:57" x14ac:dyDescent="0.3">
      <c r="A18" t="s">
        <v>6</v>
      </c>
      <c r="B18" s="13">
        <v>3</v>
      </c>
      <c r="C18" s="5">
        <v>0</v>
      </c>
      <c r="D18" s="1">
        <v>0</v>
      </c>
      <c r="E18" s="1">
        <v>6</v>
      </c>
      <c r="F18" s="27">
        <v>564</v>
      </c>
      <c r="G18" s="6">
        <v>12</v>
      </c>
      <c r="H18" s="1">
        <f>SUM(C18:G18)</f>
        <v>582</v>
      </c>
      <c r="I18" s="10">
        <f>F18/H18</f>
        <v>0.96907216494845361</v>
      </c>
      <c r="J18" s="11">
        <f>1-I18</f>
        <v>3.0927835051546393E-2</v>
      </c>
      <c r="K18">
        <f>H18-F20</f>
        <v>-2</v>
      </c>
      <c r="N18" s="10">
        <f>2*(F21*I18)/(F21+I18)</f>
        <v>0.967409948542024</v>
      </c>
      <c r="S18" s="70" t="s">
        <v>30</v>
      </c>
      <c r="T18" s="64">
        <f t="shared" si="1"/>
        <v>100</v>
      </c>
      <c r="U18" s="64">
        <f t="shared" si="1"/>
        <v>100</v>
      </c>
      <c r="V18" s="64">
        <f t="shared" si="1"/>
        <v>99.01837005642011</v>
      </c>
      <c r="W18" s="64">
        <f t="shared" si="1"/>
        <v>99.610522072759153</v>
      </c>
      <c r="X18" s="64">
        <f t="shared" si="1"/>
        <v>88.601363871183565</v>
      </c>
      <c r="AC18" t="s">
        <v>67</v>
      </c>
      <c r="AD18" s="51">
        <f>I79</f>
        <v>0.96967559943582515</v>
      </c>
      <c r="AE18" s="55">
        <f>I90</f>
        <v>0.98845879470277187</v>
      </c>
      <c r="AF18" s="55">
        <f>J90</f>
        <v>2.0636480516951637E-3</v>
      </c>
      <c r="AH18">
        <v>79</v>
      </c>
      <c r="AI18">
        <v>90</v>
      </c>
      <c r="AW18" s="51" t="s">
        <v>153</v>
      </c>
      <c r="AX18" s="80">
        <f>MIN($AE$16:$AE$65)</f>
        <v>0.98324123948321795</v>
      </c>
      <c r="AY18" s="80">
        <f>_xlfn.QUARTILE.EXC($AE$16:$AE$65,1)</f>
        <v>0.98482782312892447</v>
      </c>
      <c r="AZ18" s="80">
        <f>MEDIAN($AE$16:$AE$65)</f>
        <v>0.98605791036696</v>
      </c>
      <c r="BA18" s="80">
        <f>AVERAGE($AE$16:$AE$65)</f>
        <v>0.98588862467443628</v>
      </c>
      <c r="BB18" s="80">
        <f>_xlfn.QUARTILE.EXC($AE$16:$AE$65,3)</f>
        <v>0.98662895096070757</v>
      </c>
      <c r="BC18" s="80">
        <f>MAX($AE$16:$AE$65)</f>
        <v>0.98856441381272198</v>
      </c>
      <c r="BD18" s="80">
        <f t="shared" si="0"/>
        <v>1.8265943742724129E-3</v>
      </c>
      <c r="BE18" s="80"/>
    </row>
    <row r="19" spans="1:57" x14ac:dyDescent="0.3">
      <c r="A19" t="s">
        <v>7</v>
      </c>
      <c r="B19" s="13">
        <v>4</v>
      </c>
      <c r="C19" s="7">
        <v>0</v>
      </c>
      <c r="D19" s="8">
        <v>0</v>
      </c>
      <c r="E19" s="8">
        <v>37</v>
      </c>
      <c r="F19" s="8">
        <v>20</v>
      </c>
      <c r="G19" s="28">
        <v>952</v>
      </c>
      <c r="H19" s="1">
        <f>SUM(C19:G19)</f>
        <v>1009</v>
      </c>
      <c r="I19" s="10">
        <f>G19/H19</f>
        <v>0.94350842418235881</v>
      </c>
      <c r="J19" s="11">
        <f>1-I19</f>
        <v>5.6491575817641193E-2</v>
      </c>
      <c r="K19">
        <f>H19-G20</f>
        <v>44</v>
      </c>
      <c r="N19" s="10">
        <f>2*(G21*I19)/(G21+I19)</f>
        <v>0.96453900709219853</v>
      </c>
      <c r="S19" s="66" t="s">
        <v>39</v>
      </c>
      <c r="T19" s="67">
        <f t="shared" si="1"/>
        <v>0</v>
      </c>
      <c r="U19" s="67">
        <f t="shared" si="1"/>
        <v>0</v>
      </c>
      <c r="V19" s="67">
        <f t="shared" si="1"/>
        <v>0.22668976087902287</v>
      </c>
      <c r="W19" s="67">
        <f t="shared" si="1"/>
        <v>9.0612471945360193E-2</v>
      </c>
      <c r="X19" s="67">
        <f t="shared" si="1"/>
        <v>2.9079291744123501</v>
      </c>
      <c r="AC19" t="s">
        <v>68</v>
      </c>
      <c r="AD19" s="51">
        <f>I108</f>
        <v>0.96720733427362482</v>
      </c>
      <c r="AE19" s="73">
        <f>I119</f>
        <v>0.98393199765338479</v>
      </c>
      <c r="AF19" s="73">
        <f>J119</f>
        <v>2.5607532606753687E-3</v>
      </c>
      <c r="AH19">
        <v>108</v>
      </c>
      <c r="AI19">
        <v>119</v>
      </c>
      <c r="AW19" s="51" t="s">
        <v>210</v>
      </c>
      <c r="AX19" s="80">
        <f>MIN($AE$16:$AE$75)</f>
        <v>0.98324123948321795</v>
      </c>
      <c r="AY19" s="80">
        <f>_xlfn.QUARTILE.EXC($AE$16:$AE$75,1)</f>
        <v>0.98485036159009309</v>
      </c>
      <c r="AZ19" s="80">
        <f>MEDIAN($AE$16:$AE$75)</f>
        <v>0.98607012826558504</v>
      </c>
      <c r="BA19" s="80">
        <f>AVERAGE($AE$16:$AE$75)</f>
        <v>0.98596256651662806</v>
      </c>
      <c r="BB19" s="80">
        <f>_xlfn.QUARTILE.EXC($AE$16:$AE$75,3)</f>
        <v>0.98679319312636082</v>
      </c>
      <c r="BC19" s="80">
        <f>MAX($AE$16:$AE$75)</f>
        <v>0.98856441381272198</v>
      </c>
      <c r="BD19" s="80">
        <f t="shared" si="0"/>
        <v>1.9702772455798948E-3</v>
      </c>
      <c r="BE19" s="80"/>
    </row>
    <row r="20" spans="1:57" ht="15.6" x14ac:dyDescent="0.35">
      <c r="B20" s="1" t="s">
        <v>19</v>
      </c>
      <c r="C20" s="1">
        <f>SUM(C15:C19)</f>
        <v>451</v>
      </c>
      <c r="D20" s="1">
        <f>SUM(D15:D19)</f>
        <v>52</v>
      </c>
      <c r="E20" s="1">
        <f>SUM(E15:E19)</f>
        <v>784</v>
      </c>
      <c r="F20" s="1">
        <f>SUM(F15:F19)</f>
        <v>584</v>
      </c>
      <c r="G20" s="1">
        <f>SUM(G15:G19)</f>
        <v>965</v>
      </c>
      <c r="H20" s="1">
        <f>SUM(H14:H19)</f>
        <v>2836</v>
      </c>
      <c r="I20" s="13" t="s">
        <v>12</v>
      </c>
      <c r="N20" s="16"/>
      <c r="S20" s="70" t="s">
        <v>31</v>
      </c>
      <c r="T20" s="64">
        <f>I26</f>
        <v>100</v>
      </c>
      <c r="U20" s="64">
        <f>I27</f>
        <v>91.228070175438589</v>
      </c>
      <c r="V20" s="64">
        <f>I28</f>
        <v>99.864314789687924</v>
      </c>
      <c r="W20" s="64">
        <f>I29</f>
        <v>96.907216494845358</v>
      </c>
      <c r="X20" s="64">
        <f>I30</f>
        <v>94.350842418235885</v>
      </c>
      <c r="AC20" t="s">
        <v>71</v>
      </c>
      <c r="AD20" s="51">
        <f>I137</f>
        <v>0.96932299012693934</v>
      </c>
      <c r="AE20" s="73">
        <f>I148</f>
        <v>0.98654005697952341</v>
      </c>
      <c r="AF20" s="73">
        <f>J148</f>
        <v>2.3182557812044652E-3</v>
      </c>
      <c r="AH20">
        <v>137</v>
      </c>
      <c r="AI20">
        <v>148</v>
      </c>
      <c r="AW20" s="51" t="s">
        <v>211</v>
      </c>
      <c r="AX20" s="80">
        <f>MIN($AE$16:$AE$85)</f>
        <v>0.98317859548762698</v>
      </c>
      <c r="AY20" s="80">
        <f>_xlfn.QUARTILE.EXC($AE$16:$AE$85,1)</f>
        <v>0.98484039993134553</v>
      </c>
      <c r="AZ20" s="80">
        <f>MEDIAN($AE$16:$AE$85)</f>
        <v>0.98607012826558504</v>
      </c>
      <c r="BA20" s="80">
        <f>AVERAGE($AE$16:$AE$85)</f>
        <v>0.98599646871622548</v>
      </c>
      <c r="BB20" s="80">
        <f>_xlfn.QUARTILE.EXC($AE$16:$AE$85,3)</f>
        <v>0.98705149232595601</v>
      </c>
      <c r="BC20" s="80">
        <f>MAX($AE$16:$AE$85)</f>
        <v>0.98856441381272198</v>
      </c>
      <c r="BD20" s="80">
        <f t="shared" si="0"/>
        <v>2.2423277323080537E-3</v>
      </c>
      <c r="BE20" s="80"/>
    </row>
    <row r="21" spans="1:57" x14ac:dyDescent="0.3">
      <c r="A21" s="1" t="s">
        <v>316</v>
      </c>
      <c r="B21" s="1" t="s">
        <v>2</v>
      </c>
      <c r="C21" s="10">
        <f>C15/C20</f>
        <v>1</v>
      </c>
      <c r="D21" s="10">
        <f>D16/D20</f>
        <v>1</v>
      </c>
      <c r="E21" s="10">
        <f>E17/E20</f>
        <v>0.93877551020408168</v>
      </c>
      <c r="F21" s="10">
        <f>F18/F20</f>
        <v>0.96575342465753422</v>
      </c>
      <c r="G21" s="10">
        <f>G19/G20</f>
        <v>0.98652849740932647</v>
      </c>
      <c r="H21" s="10"/>
      <c r="I21" s="14">
        <f>(C15+D16+E17+F18+G19)/H20</f>
        <v>0.97143864598025387</v>
      </c>
      <c r="S21" s="66" t="s">
        <v>39</v>
      </c>
      <c r="T21" s="67">
        <f>J26</f>
        <v>0</v>
      </c>
      <c r="U21" s="67">
        <f>J27</f>
        <v>3.7802263481198901</v>
      </c>
      <c r="V21" s="67">
        <f>J28</f>
        <v>0.13568521031207589</v>
      </c>
      <c r="W21" s="67">
        <f>J29</f>
        <v>0.71823200493893458</v>
      </c>
      <c r="X21" s="67">
        <f>J30</f>
        <v>0.72716751579303351</v>
      </c>
      <c r="AC21" t="s">
        <v>93</v>
      </c>
      <c r="AD21" s="51">
        <f>I166</f>
        <v>0.96650211565585331</v>
      </c>
      <c r="AE21" s="55">
        <f>I177</f>
        <v>0.98421615926322625</v>
      </c>
      <c r="AF21" s="55">
        <f>J177</f>
        <v>2.5261600107195103E-3</v>
      </c>
      <c r="AH21">
        <v>166</v>
      </c>
      <c r="AI21">
        <v>177</v>
      </c>
      <c r="AW21" s="51" t="s">
        <v>212</v>
      </c>
      <c r="AX21" s="80">
        <f>MIN($AE$16:$AE$95)</f>
        <v>0.98317859548762698</v>
      </c>
      <c r="AY21" s="80">
        <f>_xlfn.QUARTILE.EXC($AE$16:$AE$95,1)</f>
        <v>0.98496133338862013</v>
      </c>
      <c r="AZ21" s="80">
        <f>MEDIAN($AE$16:$AE$95)</f>
        <v>0.98614258546099043</v>
      </c>
      <c r="BA21" s="80">
        <f>AVERAGE($AE$16:$AE$95)</f>
        <v>0.98607258638075168</v>
      </c>
      <c r="BB21" s="80">
        <f>_xlfn.QUARTILE.EXC($AE$16:$AE$95,3)</f>
        <v>0.98708960476807794</v>
      </c>
      <c r="BC21" s="80">
        <f>MAX($AE$16:$AE$95)</f>
        <v>0.98926265582684403</v>
      </c>
      <c r="BD21" s="80">
        <f t="shared" si="0"/>
        <v>2.1581781487135694E-3</v>
      </c>
      <c r="BE21" s="80"/>
    </row>
    <row r="22" spans="1:57" x14ac:dyDescent="0.3">
      <c r="B22" s="1" t="s">
        <v>14</v>
      </c>
      <c r="C22" s="11">
        <f>1-C21</f>
        <v>0</v>
      </c>
      <c r="D22" s="11">
        <f>1-D21</f>
        <v>0</v>
      </c>
      <c r="E22" s="11">
        <f>1-E21</f>
        <v>6.1224489795918324E-2</v>
      </c>
      <c r="F22" s="11">
        <f>1-F21</f>
        <v>3.4246575342465779E-2</v>
      </c>
      <c r="G22" s="11">
        <f>1-G21</f>
        <v>1.3471502590673534E-2</v>
      </c>
      <c r="S22" s="68" t="s">
        <v>51</v>
      </c>
      <c r="T22" s="65">
        <f>N15*100</f>
        <v>100</v>
      </c>
      <c r="U22" s="65">
        <f>N16*100</f>
        <v>95.412844036697237</v>
      </c>
      <c r="V22" s="65">
        <f>N17*100</f>
        <v>96.778435239973703</v>
      </c>
      <c r="W22" s="65">
        <f>N18*100</f>
        <v>96.740994854202398</v>
      </c>
      <c r="X22" s="65">
        <f>N19*100</f>
        <v>96.453900709219852</v>
      </c>
      <c r="Y22" s="46"/>
      <c r="Z22" s="46"/>
      <c r="AA22" s="46"/>
      <c r="AC22" t="s">
        <v>94</v>
      </c>
      <c r="AD22" s="51">
        <f>I195</f>
        <v>0.97461212976022571</v>
      </c>
      <c r="AE22" s="55">
        <f>I206</f>
        <v>0.98592326947026632</v>
      </c>
      <c r="AF22" s="55">
        <f>J206</f>
        <v>2.5175790226657844E-3</v>
      </c>
      <c r="AH22">
        <v>195</v>
      </c>
      <c r="AI22">
        <v>206</v>
      </c>
      <c r="AW22" s="51" t="s">
        <v>213</v>
      </c>
      <c r="AX22" s="80">
        <f>MIN($AE$16:$AE$105)</f>
        <v>0.98317859548762698</v>
      </c>
      <c r="AY22" s="80">
        <f>_xlfn.QUARTILE.EXC($AE$16:$AE$105,1)</f>
        <v>0.98496133338862013</v>
      </c>
      <c r="AZ22" s="80">
        <f>MEDIAN($AE$16:$AE$105)</f>
        <v>0.98614258546099043</v>
      </c>
      <c r="BA22" s="80">
        <f>AVERAGE($AE$16:$AE$105)</f>
        <v>0.98607258638075168</v>
      </c>
      <c r="BB22" s="80">
        <f>_xlfn.QUARTILE.EXC($AE$16:$AE$105,3)</f>
        <v>0.98708960476807794</v>
      </c>
      <c r="BC22" s="80">
        <f>MAX($AE$16:$AE$105)</f>
        <v>0.98926265582684403</v>
      </c>
      <c r="BD22" s="80">
        <f t="shared" si="0"/>
        <v>2.1581781487135694E-3</v>
      </c>
      <c r="BE22" s="80"/>
    </row>
    <row r="23" spans="1:57" x14ac:dyDescent="0.3">
      <c r="C23" s="2"/>
      <c r="R23" s="16" t="s">
        <v>61</v>
      </c>
      <c r="S23" t="s">
        <v>9</v>
      </c>
      <c r="T23" s="30">
        <f>N26</f>
        <v>204.78</v>
      </c>
      <c r="U23" s="30">
        <f>N27</f>
        <v>543.97</v>
      </c>
      <c r="V23" s="30">
        <f>N28</f>
        <v>58966.32</v>
      </c>
      <c r="W23" s="30">
        <f>N29</f>
        <v>30951.97</v>
      </c>
      <c r="X23" s="30">
        <f>N30</f>
        <v>5916.75</v>
      </c>
      <c r="Z23" t="s">
        <v>36</v>
      </c>
      <c r="AA23" s="1">
        <f>N31</f>
        <v>96583.790000000008</v>
      </c>
      <c r="AC23" t="s">
        <v>95</v>
      </c>
      <c r="AD23" s="51">
        <f>I224</f>
        <v>0.96755994358251063</v>
      </c>
      <c r="AE23" s="55">
        <f>I235</f>
        <v>0.98626469610404099</v>
      </c>
      <c r="AF23" s="55">
        <f>J235</f>
        <v>2.3132139503221631E-3</v>
      </c>
      <c r="AH23">
        <v>224</v>
      </c>
      <c r="AI23">
        <v>235</v>
      </c>
      <c r="AW23" s="51" t="s">
        <v>214</v>
      </c>
      <c r="AX23" s="80">
        <f>MIN($AE$16:$AE$115)</f>
        <v>0.98317859548762698</v>
      </c>
      <c r="AY23" s="80">
        <f>_xlfn.QUARTILE.EXC($AE$16:$AE$115,1)</f>
        <v>0.98496133338862013</v>
      </c>
      <c r="AZ23" s="126">
        <f>MEDIAN($AE$16:$AE$115)</f>
        <v>0.98614258546099043</v>
      </c>
      <c r="BA23" s="126">
        <f>AVERAGE($AE$16:$AE$115)</f>
        <v>0.98607258638075168</v>
      </c>
      <c r="BB23" s="80">
        <f>_xlfn.QUARTILE.EXC($AE$16:$AE$115,3)</f>
        <v>0.98708960476807794</v>
      </c>
      <c r="BC23" s="80">
        <f>MAX($AE$16:$AE$115)</f>
        <v>0.98926265582684403</v>
      </c>
      <c r="BD23" s="80">
        <f t="shared" si="0"/>
        <v>2.1581781487135694E-3</v>
      </c>
      <c r="BE23" s="80"/>
    </row>
    <row r="24" spans="1:57" ht="15.6" x14ac:dyDescent="0.35">
      <c r="A24" t="s">
        <v>317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318</v>
      </c>
      <c r="S24" t="s">
        <v>63</v>
      </c>
      <c r="T24" s="57">
        <f>$AA23*T16/100</f>
        <v>204.78</v>
      </c>
      <c r="U24" s="57">
        <f>$AA23*U16/100</f>
        <v>496.25333333333333</v>
      </c>
      <c r="V24" s="57">
        <f>$AA23*V16/100</f>
        <v>59470.087612168958</v>
      </c>
      <c r="W24" s="57">
        <f>$AA23*W16/100</f>
        <v>30111.972061957844</v>
      </c>
      <c r="X24" s="57">
        <f>$AA23*X16/100</f>
        <v>6300.6969925398707</v>
      </c>
      <c r="Z24" t="s">
        <v>36</v>
      </c>
      <c r="AA24" s="25">
        <f>SUM(T24:X24)</f>
        <v>96583.790000000008</v>
      </c>
      <c r="AC24" t="s">
        <v>96</v>
      </c>
      <c r="AD24" s="51">
        <f>I253</f>
        <v>0.97143864598025387</v>
      </c>
      <c r="AE24" s="55">
        <f>I264</f>
        <v>0.98679864731292677</v>
      </c>
      <c r="AF24" s="55">
        <f>J264</f>
        <v>2.3065035592411171E-3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62</v>
      </c>
      <c r="T25" s="67">
        <f>$AA23*T17/100</f>
        <v>0</v>
      </c>
      <c r="U25" s="67">
        <f>$AA23*U17/100</f>
        <v>20.382119308952316</v>
      </c>
      <c r="V25" s="67">
        <f>$AA23*V17/100</f>
        <v>157.57158461420553</v>
      </c>
      <c r="W25" s="67">
        <f>$AA23*W17/100</f>
        <v>223.62817229981002</v>
      </c>
      <c r="X25" s="67">
        <f>$AA23*X17/100</f>
        <v>203.67175487493733</v>
      </c>
      <c r="AA25" s="1"/>
      <c r="AC25" t="s">
        <v>97</v>
      </c>
      <c r="AD25" s="51">
        <f>I282</f>
        <v>0.97108603667136817</v>
      </c>
      <c r="AE25" s="55">
        <f>I293</f>
        <v>0.9848729954010581</v>
      </c>
      <c r="AF25" s="55">
        <f>J293</f>
        <v>2.5730261849279163E-3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0.21202315626669857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0.21202315626669857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451</v>
      </c>
      <c r="M26">
        <v>0</v>
      </c>
      <c r="N26" s="1">
        <v>204.78</v>
      </c>
      <c r="O26" s="17">
        <f>N26/N31*100</f>
        <v>0.21202315626669857</v>
      </c>
      <c r="P26" s="52">
        <f>((O26*O26*(I26/100)*(K26/100))/(L26-1))</f>
        <v>0</v>
      </c>
      <c r="R26" t="s">
        <v>66</v>
      </c>
      <c r="S26" s="70" t="s">
        <v>28</v>
      </c>
      <c r="T26" s="64">
        <f t="shared" ref="T26:X29" si="3">C60</f>
        <v>0.22461321416084126</v>
      </c>
      <c r="U26" s="64">
        <f t="shared" si="3"/>
        <v>0.62100742513569029</v>
      </c>
      <c r="V26" s="64">
        <f t="shared" si="3"/>
        <v>61.272183079669652</v>
      </c>
      <c r="W26" s="64">
        <f t="shared" si="3"/>
        <v>31.414999526176931</v>
      </c>
      <c r="X26" s="64">
        <f t="shared" si="3"/>
        <v>6.4671967548568885</v>
      </c>
      <c r="Y26" s="13"/>
      <c r="Z26" s="74"/>
      <c r="AA26" s="12"/>
      <c r="AC26" t="s">
        <v>98</v>
      </c>
      <c r="AD26" s="51">
        <f>I311</f>
        <v>0.96967559943582515</v>
      </c>
      <c r="AE26" s="55">
        <f>I322</f>
        <v>0.9844636809381403</v>
      </c>
      <c r="AF26" s="55">
        <f>J322</f>
        <v>2.5276189345729422E-3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0.51380602618030757</v>
      </c>
      <c r="E27" s="19">
        <f t="shared" si="2"/>
        <v>4.9404425594260344E-2</v>
      </c>
      <c r="F27" s="18">
        <f t="shared" si="2"/>
        <v>0</v>
      </c>
      <c r="G27" s="20">
        <f t="shared" si="2"/>
        <v>0</v>
      </c>
      <c r="H27" s="17">
        <f>SUM(C27:G27)</f>
        <v>0.56321045177456797</v>
      </c>
      <c r="I27" s="17">
        <f>D27/H27*100</f>
        <v>91.228070175438589</v>
      </c>
      <c r="J27" s="17">
        <f>SQRT(I27*(100-I27)/(L27-1))</f>
        <v>3.7802263481198901</v>
      </c>
      <c r="K27" s="18">
        <f>100-I27</f>
        <v>8.7719298245614112</v>
      </c>
      <c r="L27" s="1">
        <f>H16</f>
        <v>57</v>
      </c>
      <c r="M27">
        <v>1</v>
      </c>
      <c r="N27" s="1">
        <v>543.97</v>
      </c>
      <c r="O27" s="17">
        <f>N27/N31*100</f>
        <v>0.56321045177456797</v>
      </c>
      <c r="P27" s="52">
        <f>((O27*O27*(I27/100)*(K27/100))/(L27-1))</f>
        <v>4.5329092125549313E-4</v>
      </c>
      <c r="S27" s="66" t="s">
        <v>39</v>
      </c>
      <c r="T27" s="67">
        <f t="shared" si="3"/>
        <v>0</v>
      </c>
      <c r="U27" s="67">
        <f t="shared" si="3"/>
        <v>2.2597033316241886E-2</v>
      </c>
      <c r="V27" s="67">
        <f t="shared" si="3"/>
        <v>0.15347188272739393</v>
      </c>
      <c r="W27" s="67">
        <f t="shared" si="3"/>
        <v>0.23456521663392407</v>
      </c>
      <c r="X27" s="67">
        <f t="shared" si="3"/>
        <v>0.18687898053523172</v>
      </c>
      <c r="AC27" t="s">
        <v>99</v>
      </c>
      <c r="AD27" s="51">
        <f>I340</f>
        <v>0.97320169252468269</v>
      </c>
      <c r="AE27" s="55">
        <f>I351</f>
        <v>0.98595194367092687</v>
      </c>
      <c r="AF27" s="55">
        <f>J351</f>
        <v>2.4333387249004649E-3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0</v>
      </c>
      <c r="E28" s="34">
        <f t="shared" si="2"/>
        <v>60.969145469125522</v>
      </c>
      <c r="F28" s="19">
        <f t="shared" si="2"/>
        <v>0</v>
      </c>
      <c r="G28" s="20">
        <f t="shared" si="2"/>
        <v>8.2838512865659672E-2</v>
      </c>
      <c r="H28" s="17">
        <f>SUM(C28:G28)</f>
        <v>61.051983981991178</v>
      </c>
      <c r="I28" s="17">
        <f>E28/H28*100</f>
        <v>99.864314789687924</v>
      </c>
      <c r="J28" s="17">
        <f>SQRT(I28*(100-I28)/(L28-1))</f>
        <v>0.13568521031207589</v>
      </c>
      <c r="K28" s="18">
        <f>100-I28</f>
        <v>0.13568521031207581</v>
      </c>
      <c r="L28" s="1">
        <f>H17</f>
        <v>737</v>
      </c>
      <c r="M28">
        <v>2</v>
      </c>
      <c r="N28" s="1">
        <v>58966.32</v>
      </c>
      <c r="O28" s="17">
        <f>N28/N31*100</f>
        <v>61.051983981991178</v>
      </c>
      <c r="P28" s="52">
        <f>((O28*O28*(I28/100)*(K28/100))/(L28-1))</f>
        <v>6.8622192137940529E-3</v>
      </c>
      <c r="S28" t="s">
        <v>30</v>
      </c>
      <c r="T28" s="57">
        <f t="shared" si="3"/>
        <v>100</v>
      </c>
      <c r="U28" s="57">
        <f t="shared" si="3"/>
        <v>100</v>
      </c>
      <c r="V28" s="57">
        <f t="shared" si="3"/>
        <v>99.140988568139889</v>
      </c>
      <c r="W28" s="57">
        <f t="shared" si="3"/>
        <v>99.165877358365009</v>
      </c>
      <c r="X28" s="57">
        <f t="shared" si="3"/>
        <v>90.638197040672523</v>
      </c>
      <c r="AC28" t="s">
        <v>100</v>
      </c>
      <c r="AD28" s="51">
        <f>I369</f>
        <v>0.96897038081805364</v>
      </c>
      <c r="AE28" s="55">
        <f>I380</f>
        <v>0.98756497532155807</v>
      </c>
      <c r="AF28" s="55">
        <f>J380</f>
        <v>2.161158260511829E-3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0</v>
      </c>
      <c r="E29" s="19">
        <f t="shared" si="2"/>
        <v>0.3303789116442874</v>
      </c>
      <c r="F29" s="34">
        <f t="shared" si="2"/>
        <v>31.055617694563015</v>
      </c>
      <c r="G29" s="20">
        <f t="shared" si="2"/>
        <v>0.6607578232885748</v>
      </c>
      <c r="H29" s="17">
        <f>SUM(C29:G29)</f>
        <v>32.046754429495877</v>
      </c>
      <c r="I29" s="17">
        <f>F29/H29*100</f>
        <v>96.907216494845358</v>
      </c>
      <c r="J29" s="17">
        <f>SQRT(I29*(100-I29)/(L29-1))</f>
        <v>0.71823200493893458</v>
      </c>
      <c r="K29" s="18">
        <f>100-I29</f>
        <v>3.0927835051546424</v>
      </c>
      <c r="L29" s="1">
        <f>H18</f>
        <v>582</v>
      </c>
      <c r="M29">
        <v>3</v>
      </c>
      <c r="N29" s="1">
        <v>30951.97</v>
      </c>
      <c r="O29" s="17">
        <f>N29/N31*100</f>
        <v>32.046754429495877</v>
      </c>
      <c r="P29" s="52">
        <f>((O29*O29*(I29/100)*(K29/100))/(L29-1))</f>
        <v>5.2978250470073047E-2</v>
      </c>
      <c r="S29" s="66" t="s">
        <v>39</v>
      </c>
      <c r="T29" s="67">
        <f t="shared" si="3"/>
        <v>0</v>
      </c>
      <c r="U29" s="67">
        <f t="shared" si="3"/>
        <v>0</v>
      </c>
      <c r="V29" s="67">
        <f t="shared" si="3"/>
        <v>0.20996015791911507</v>
      </c>
      <c r="W29" s="67">
        <f t="shared" si="3"/>
        <v>0.2863052443499669</v>
      </c>
      <c r="X29" s="67">
        <f t="shared" si="3"/>
        <v>2.6268957894959772</v>
      </c>
      <c r="AC29" t="s">
        <v>101</v>
      </c>
      <c r="AD29" s="51">
        <f>I398</f>
        <v>0.97355430183356839</v>
      </c>
      <c r="AE29" s="55">
        <f>I409</f>
        <v>0.9860978434842177</v>
      </c>
      <c r="AF29" s="55">
        <f>J409</f>
        <v>2.4975608382754853E-3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0</v>
      </c>
      <c r="E30" s="21">
        <f t="shared" si="2"/>
        <v>0.22464126390233083</v>
      </c>
      <c r="F30" s="21">
        <f t="shared" si="2"/>
        <v>0.12142771021747613</v>
      </c>
      <c r="G30" s="37">
        <f t="shared" si="2"/>
        <v>5.7799590063518638</v>
      </c>
      <c r="H30" s="17">
        <f>SUM(C30:G30)</f>
        <v>6.1260279804716706</v>
      </c>
      <c r="I30" s="17">
        <f>G30/H30*100</f>
        <v>94.350842418235885</v>
      </c>
      <c r="J30" s="17">
        <f>SQRT(I30*(100-I30)/(L30-1))</f>
        <v>0.72716751579303351</v>
      </c>
      <c r="K30" s="18">
        <f>100-I30</f>
        <v>5.6491575817641149</v>
      </c>
      <c r="L30" s="1">
        <f>H19</f>
        <v>1009</v>
      </c>
      <c r="M30">
        <v>4</v>
      </c>
      <c r="N30" s="1">
        <v>5916.75</v>
      </c>
      <c r="O30" s="17">
        <f>N30/N31*100</f>
        <v>6.1260279804716706</v>
      </c>
      <c r="P30" s="52">
        <f>((O30*O30*(I30/100)*(K30/100))/(L30-1))</f>
        <v>1.9843893688320695E-3</v>
      </c>
      <c r="S30" t="s">
        <v>31</v>
      </c>
      <c r="T30" s="57">
        <f>I55</f>
        <v>100</v>
      </c>
      <c r="U30" s="57">
        <f>I56</f>
        <v>92.982456140350877</v>
      </c>
      <c r="V30" s="57">
        <f>I57</f>
        <v>99.864314789687924</v>
      </c>
      <c r="W30" s="57">
        <f>I58</f>
        <v>97.250859106529205</v>
      </c>
      <c r="X30" s="57">
        <f>I59</f>
        <v>93.855302279484647</v>
      </c>
      <c r="AC30" t="s">
        <v>102</v>
      </c>
      <c r="AD30" s="51">
        <f>I427</f>
        <v>0.97249647390691119</v>
      </c>
      <c r="AE30" s="55">
        <f>I438</f>
        <v>0.98672974636319433</v>
      </c>
      <c r="AF30" s="55">
        <f>J438</f>
        <v>2.289527272707521E-3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0.21202315626669857</v>
      </c>
      <c r="D31" s="17">
        <f>SUM(D26:D30)</f>
        <v>0.51380602618030757</v>
      </c>
      <c r="E31" s="17">
        <f>SUM(E26:E30)</f>
        <v>61.573570070266399</v>
      </c>
      <c r="F31" s="17">
        <f>SUM(F26:F30)</f>
        <v>31.17704540478049</v>
      </c>
      <c r="G31" s="17">
        <f>SUM(G26:G30)</f>
        <v>6.5235553425060981</v>
      </c>
      <c r="H31" s="1">
        <f>SUM(H25:H30)</f>
        <v>100</v>
      </c>
      <c r="I31" s="13" t="s">
        <v>24</v>
      </c>
      <c r="J31" s="12" t="s">
        <v>29</v>
      </c>
      <c r="N31" s="1">
        <f>SUM(N26:N30)</f>
        <v>96583.790000000008</v>
      </c>
      <c r="O31" s="17">
        <f>SUM(O26:O30)</f>
        <v>100</v>
      </c>
      <c r="S31" s="66" t="s">
        <v>39</v>
      </c>
      <c r="T31" s="67">
        <f>J55</f>
        <v>0</v>
      </c>
      <c r="U31" s="67">
        <f>J56</f>
        <v>3.4134933513474275</v>
      </c>
      <c r="V31" s="67">
        <f>J57</f>
        <v>0.13568521031207589</v>
      </c>
      <c r="W31" s="67">
        <f>J58</f>
        <v>0.67835519625077212</v>
      </c>
      <c r="X31" s="67">
        <f>J59</f>
        <v>0.75639631076802649</v>
      </c>
      <c r="AC31" t="s">
        <v>103</v>
      </c>
      <c r="AD31" s="51">
        <f>I456</f>
        <v>0.97143864598025387</v>
      </c>
      <c r="AE31" s="55">
        <f>I467</f>
        <v>0.98519426480673677</v>
      </c>
      <c r="AF31" s="55">
        <f>J467</f>
        <v>2.4878106924804684E-3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2.1103043594533112E-2</v>
      </c>
      <c r="E32" s="18">
        <f>SQRT(SUM((O26*O26*(E26/O26)*(1-E26/O26))/L26,(O27*O27*(E27/O27)*(1-E27/O27))/L27,(O28*O28*(E28/O28)*(1-E28/O28))/L28,(O29*O29*(E29/O29)*(1-E29/O29))/L29,(O30*O30*(E30/O30)*(1-E30/O30))/L30))</f>
        <v>0.16314495901869819</v>
      </c>
      <c r="F32" s="18">
        <f>SQRT(SUM((O26*O26*(F26/O26)*(1-F26/O26))/L26,(O27*O27*(F27/O27)*(1-F27/O27))/L27,(O28*O28*(F28/O28)*(1-F28/O28))/L28,(O29*O29*(F29/O29)*(1-F29/O29))/L29,(O30*O30*(F30/O30)*(1-F30/O30))/L30))</f>
        <v>0.23153799648969045</v>
      </c>
      <c r="G32" s="18">
        <f>SQRT(SUM((O26*O26*(G26/O26)*(1-G26/O26))/L26,(O27*O27*(G27/O27)*(1-G27/O27))/L27,(O28*O28*(G28/O28)*(1-G28/O28))/L28,(O29*O29*(G29/O29)*(1-G29/O29))/L29,(O30*O30*(G30/O30)*(1-G30/O30))/L30))</f>
        <v>0.21087571203712063</v>
      </c>
      <c r="H32" s="1"/>
      <c r="I32" s="14">
        <f>(C26+D27+E28+F29+G30)/H31</f>
        <v>0.98530551352487405</v>
      </c>
      <c r="J32" s="53">
        <f>SQRT(SUM(P26:P30))/100</f>
        <v>2.4955590550807382E-3</v>
      </c>
      <c r="M32" s="1"/>
      <c r="N32" s="9"/>
      <c r="S32" s="66" t="s">
        <v>51</v>
      </c>
      <c r="T32" s="67">
        <f>N44*100</f>
        <v>100</v>
      </c>
      <c r="U32" s="67">
        <f>N45*100</f>
        <v>96.36363636363636</v>
      </c>
      <c r="V32" s="67">
        <f>N46*100</f>
        <v>97.161716171617158</v>
      </c>
      <c r="W32" s="67">
        <f>N47*100</f>
        <v>96.095076400679119</v>
      </c>
      <c r="X32" s="67">
        <f>N48*100</f>
        <v>96.288764616166759</v>
      </c>
      <c r="AC32" t="s">
        <v>104</v>
      </c>
      <c r="AD32" s="51">
        <f>I485</f>
        <v>0.96791255289139633</v>
      </c>
      <c r="AE32" s="55">
        <f>I496</f>
        <v>0.98496281668242147</v>
      </c>
      <c r="AF32" s="55">
        <f>J496</f>
        <v>2.4348397599806711E-3</v>
      </c>
      <c r="AH32">
        <v>485</v>
      </c>
      <c r="AI32">
        <v>496</v>
      </c>
    </row>
    <row r="33" spans="1:35" x14ac:dyDescent="0.3">
      <c r="B33" s="1" t="s">
        <v>30</v>
      </c>
      <c r="C33" s="17">
        <f>C26/C31*100</f>
        <v>100</v>
      </c>
      <c r="D33" s="17">
        <f>D27/D31*100</f>
        <v>100</v>
      </c>
      <c r="E33" s="17">
        <f>E28/E31*100</f>
        <v>99.01837005642011</v>
      </c>
      <c r="F33" s="17">
        <f>F29/F31*100</f>
        <v>99.610522072759153</v>
      </c>
      <c r="G33" s="17">
        <f>G30/G31*100</f>
        <v>88.601363871183565</v>
      </c>
      <c r="H33" s="1"/>
      <c r="R33" s="16" t="s">
        <v>61</v>
      </c>
      <c r="S33" t="s">
        <v>9</v>
      </c>
      <c r="T33" s="30">
        <f>N55</f>
        <v>216.94</v>
      </c>
      <c r="U33" s="30">
        <f>N56</f>
        <v>645.05999999999995</v>
      </c>
      <c r="V33" s="30">
        <f>N57</f>
        <v>58750.37</v>
      </c>
      <c r="W33" s="30">
        <f>N58</f>
        <v>30939.279999999999</v>
      </c>
      <c r="X33" s="30">
        <f>N59</f>
        <v>6032.16</v>
      </c>
      <c r="Z33" t="s">
        <v>36</v>
      </c>
      <c r="AA33" s="1">
        <f>N60</f>
        <v>96583.81</v>
      </c>
      <c r="AC33" t="s">
        <v>105</v>
      </c>
      <c r="AD33" s="51">
        <f>I514</f>
        <v>0.97038081805359666</v>
      </c>
      <c r="AE33" s="55">
        <f>I525</f>
        <v>0.98855765374600424</v>
      </c>
      <c r="AF33" s="55">
        <f>J525</f>
        <v>2.0832669466225389E-3</v>
      </c>
      <c r="AH33">
        <v>514</v>
      </c>
      <c r="AI33">
        <v>525</v>
      </c>
    </row>
    <row r="34" spans="1:35" ht="15.6" x14ac:dyDescent="0.35">
      <c r="B34" s="16" t="s">
        <v>39</v>
      </c>
      <c r="C34" s="18">
        <f>SQRT((C37+C38)/(C31*C31))</f>
        <v>0</v>
      </c>
      <c r="D34" s="18">
        <f>SQRT((D37+D38)/(D31*D31))</f>
        <v>0</v>
      </c>
      <c r="E34" s="18">
        <f>SQRT((E37+E38)/(E31*E31))</f>
        <v>0.22668976087902287</v>
      </c>
      <c r="F34" s="18">
        <f>SQRT((F37+F38)/(F31*F31))</f>
        <v>9.0612471945360193E-2</v>
      </c>
      <c r="G34" s="18">
        <f>SQRT((G37+G38)/(G31*G31))</f>
        <v>2.9079291744123501</v>
      </c>
      <c r="H34" s="1"/>
      <c r="R34" s="16" t="s">
        <v>318</v>
      </c>
      <c r="S34" t="s">
        <v>63</v>
      </c>
      <c r="T34" s="57">
        <f>$AA33*T26/100</f>
        <v>216.94</v>
      </c>
      <c r="U34" s="57">
        <f>$AA33*U26/100</f>
        <v>599.79263157894729</v>
      </c>
      <c r="V34" s="57">
        <f>$AA33*V26/100</f>
        <v>59179.008888520279</v>
      </c>
      <c r="W34" s="57">
        <f>$AA33*W26/100</f>
        <v>30341.803453863628</v>
      </c>
      <c r="X34" s="57">
        <f>$AA33*X26/100</f>
        <v>6246.265026037142</v>
      </c>
      <c r="Z34" t="s">
        <v>36</v>
      </c>
      <c r="AA34" s="25">
        <f>SUM(T34:X34)</f>
        <v>96583.81</v>
      </c>
      <c r="AB34" s="25"/>
      <c r="AC34" t="s">
        <v>106</v>
      </c>
      <c r="AD34" s="51">
        <f>I543</f>
        <v>0.96791255289139633</v>
      </c>
      <c r="AE34" s="55">
        <f>I554</f>
        <v>0.98385991357488212</v>
      </c>
      <c r="AF34" s="55">
        <f>J554</f>
        <v>2.6401065718151791E-3</v>
      </c>
      <c r="AH34">
        <v>543</v>
      </c>
      <c r="AI34">
        <v>554</v>
      </c>
    </row>
    <row r="35" spans="1:35" x14ac:dyDescent="0.3">
      <c r="B35" s="1" t="s">
        <v>37</v>
      </c>
      <c r="C35" s="18">
        <f>100-C33</f>
        <v>0</v>
      </c>
      <c r="D35" s="18">
        <f>100-D33</f>
        <v>0</v>
      </c>
      <c r="E35" s="18">
        <f>100-E33</f>
        <v>0.98162994357988964</v>
      </c>
      <c r="F35" s="18">
        <f>100-F33</f>
        <v>0.38947792724084707</v>
      </c>
      <c r="G35" s="18">
        <f>100-G33</f>
        <v>11.398636128816435</v>
      </c>
      <c r="R35" s="66"/>
      <c r="S35" s="66" t="s">
        <v>62</v>
      </c>
      <c r="T35" s="67">
        <f>$AA33*T27/100</f>
        <v>0</v>
      </c>
      <c r="U35" s="67">
        <f>$AA33*U27/100</f>
        <v>21.825075723795763</v>
      </c>
      <c r="V35" s="67">
        <f>$AA33*V27/100</f>
        <v>148.22899161684896</v>
      </c>
      <c r="W35" s="67">
        <f>$AA33*W27/100</f>
        <v>226.55202315979761</v>
      </c>
      <c r="X35" s="67">
        <f>$AA33*X27/100</f>
        <v>180.49483949008518</v>
      </c>
      <c r="AA35" s="1"/>
      <c r="AB35" s="25"/>
      <c r="AC35" s="58" t="s">
        <v>107</v>
      </c>
      <c r="AD35" s="120">
        <f>I572</f>
        <v>0.96791255289139633</v>
      </c>
      <c r="AE35" s="121">
        <f>I583</f>
        <v>0.98431076383307559</v>
      </c>
      <c r="AF35" s="121">
        <f>J583</f>
        <v>2.5890752680516739E-3</v>
      </c>
      <c r="AH35">
        <v>572</v>
      </c>
      <c r="AI35">
        <v>583</v>
      </c>
    </row>
    <row r="36" spans="1:35" ht="15.6" x14ac:dyDescent="0.35">
      <c r="B36" s="1" t="s">
        <v>25</v>
      </c>
      <c r="C36" s="1">
        <f>C20</f>
        <v>451</v>
      </c>
      <c r="D36" s="1">
        <f>D20</f>
        <v>52</v>
      </c>
      <c r="E36" s="1">
        <f>E20</f>
        <v>784</v>
      </c>
      <c r="F36" s="1">
        <f>F20</f>
        <v>584</v>
      </c>
      <c r="G36" s="1">
        <f>G20</f>
        <v>965</v>
      </c>
      <c r="R36" t="s">
        <v>67</v>
      </c>
      <c r="S36" t="s">
        <v>28</v>
      </c>
      <c r="T36" s="57">
        <f t="shared" ref="T36:X39" si="4">C89</f>
        <v>0.21697220444836504</v>
      </c>
      <c r="U36" s="57">
        <f t="shared" si="4"/>
        <v>0.57333718507438858</v>
      </c>
      <c r="V36" s="57">
        <f t="shared" si="4"/>
        <v>61.419316526814143</v>
      </c>
      <c r="W36" s="57">
        <f t="shared" si="4"/>
        <v>31.791606986726624</v>
      </c>
      <c r="X36" s="57">
        <f t="shared" si="4"/>
        <v>5.9987670969364837</v>
      </c>
      <c r="Y36" s="13"/>
      <c r="Z36" s="74"/>
      <c r="AA36" s="12"/>
      <c r="AC36" t="s">
        <v>108</v>
      </c>
      <c r="AD36" s="51">
        <v>0.97249647390691096</v>
      </c>
      <c r="AE36" s="51">
        <v>0.98503366655576796</v>
      </c>
      <c r="AH36">
        <v>601</v>
      </c>
      <c r="AI36">
        <v>612</v>
      </c>
    </row>
    <row r="37" spans="1:3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0</v>
      </c>
      <c r="E37" s="18">
        <f>(O28*O28*(100-E33)*(100-E33)*(I28)*(100-I28))/((L28-1)*100)</f>
        <v>0.6612416222992481</v>
      </c>
      <c r="F37" s="18">
        <f>(O29*O29*(100-F33)*(100-F33)*(I29)*(100-I29))/((L29-1)*100)</f>
        <v>0.80364327051578044</v>
      </c>
      <c r="G37" s="18">
        <f>(O30*O30*(100-G33)*(100-G33)*(I30)*(100-I30))/((L30-1)*100)</f>
        <v>25.782953897098846</v>
      </c>
      <c r="S37" s="66" t="s">
        <v>39</v>
      </c>
      <c r="T37" s="67">
        <f t="shared" si="4"/>
        <v>0</v>
      </c>
      <c r="U37" s="67">
        <f t="shared" si="4"/>
        <v>2.5992943985876284E-2</v>
      </c>
      <c r="V37" s="67">
        <f t="shared" si="4"/>
        <v>0.14324537889933545</v>
      </c>
      <c r="W37" s="67">
        <f t="shared" si="4"/>
        <v>0.20213231774191118</v>
      </c>
      <c r="X37" s="67">
        <f t="shared" si="4"/>
        <v>0.15282134540757303</v>
      </c>
      <c r="AC37" t="s">
        <v>109</v>
      </c>
      <c r="AD37" s="51">
        <v>0.97108603667136795</v>
      </c>
      <c r="AE37" s="51">
        <v>0.98607846551420697</v>
      </c>
      <c r="AH37">
        <v>630</v>
      </c>
      <c r="AI37">
        <v>641</v>
      </c>
    </row>
    <row r="38" spans="1:35" x14ac:dyDescent="0.3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0</v>
      </c>
      <c r="E38" s="18">
        <f>E33*E33*(SUM((H26*E26*(1-E15/H15))/(H15-1),(H27*E27*(1-E16/H16))/(H16-1), (H29*E29*(1-E18/H18))/(H18-1),(H30*E30*(1-E19/H19))/(H19-1)))</f>
        <v>194.1672546852225</v>
      </c>
      <c r="F38" s="18">
        <f>F33*F33*(SUM((H26*F26*(1-F15/H15))/(H15-1),(H27*F27*(1-F16/H16))/(H16-1), (H28*F28*(1-F17/H17))/(H17-1),(H30*F30*(1-F19/H19))/(H19-1)))</f>
        <v>7.1771464395854592</v>
      </c>
      <c r="G38" s="18">
        <f>G33*G33*(SUM((H26*G26*(1-G15/H15))/(H15-1),(H27*G27*(1-G16/H16))/(H16-1), (H28*G28*(1-G17/H17))/(H17-1),(H29*G29*(1-G18/H18))/(H18-1)))</f>
        <v>334.07934614212809</v>
      </c>
      <c r="S38" t="s">
        <v>30</v>
      </c>
      <c r="T38" s="57">
        <f t="shared" si="4"/>
        <v>100</v>
      </c>
      <c r="U38" s="57">
        <f t="shared" si="4"/>
        <v>94.793028726204625</v>
      </c>
      <c r="V38" s="57">
        <f t="shared" si="4"/>
        <v>99.254147438122303</v>
      </c>
      <c r="W38" s="57">
        <f t="shared" si="4"/>
        <v>99.119702064800578</v>
      </c>
      <c r="X38" s="57">
        <f t="shared" si="4"/>
        <v>93.560199699744857</v>
      </c>
      <c r="Z38" s="50"/>
      <c r="AA38" s="54"/>
      <c r="AC38" t="s">
        <v>110</v>
      </c>
      <c r="AD38" s="51">
        <v>0.97038081805359599</v>
      </c>
      <c r="AE38" s="51">
        <v>0.98856441381272198</v>
      </c>
      <c r="AH38">
        <v>659</v>
      </c>
      <c r="AI38">
        <v>670</v>
      </c>
    </row>
    <row r="39" spans="1:35" x14ac:dyDescent="0.3">
      <c r="S39" s="66" t="s">
        <v>39</v>
      </c>
      <c r="T39" s="67">
        <f t="shared" si="4"/>
        <v>0</v>
      </c>
      <c r="U39" s="67">
        <f t="shared" si="4"/>
        <v>3.0060461601521986</v>
      </c>
      <c r="V39" s="67">
        <f t="shared" si="4"/>
        <v>0.18940859952751385</v>
      </c>
      <c r="W39" s="67">
        <f t="shared" si="4"/>
        <v>0.28334578177664432</v>
      </c>
      <c r="X39" s="67">
        <f t="shared" si="4"/>
        <v>2.3230923752016692</v>
      </c>
      <c r="AC39" t="s">
        <v>111</v>
      </c>
      <c r="AD39" s="51">
        <v>0.96720733427362404</v>
      </c>
      <c r="AE39" s="51">
        <v>0.98393199765338402</v>
      </c>
      <c r="AH39">
        <v>688</v>
      </c>
      <c r="AI39">
        <v>699</v>
      </c>
    </row>
    <row r="40" spans="1:35" x14ac:dyDescent="0.3">
      <c r="S40" t="s">
        <v>31</v>
      </c>
      <c r="T40" s="57">
        <f>I84</f>
        <v>100</v>
      </c>
      <c r="U40" s="57">
        <f>I85</f>
        <v>91.228070175438589</v>
      </c>
      <c r="V40" s="57">
        <f>I86</f>
        <v>99.864314789687924</v>
      </c>
      <c r="W40" s="57">
        <f>I87</f>
        <v>98.109965635738831</v>
      </c>
      <c r="X40" s="57">
        <f>I88</f>
        <v>93.161546085232899</v>
      </c>
      <c r="AC40" t="s">
        <v>112</v>
      </c>
      <c r="AD40" s="51">
        <v>0.96967559943582504</v>
      </c>
      <c r="AE40" s="51">
        <v>0.988056979718277</v>
      </c>
      <c r="AH40">
        <v>717</v>
      </c>
      <c r="AI40">
        <v>728</v>
      </c>
    </row>
    <row r="41" spans="1:35" x14ac:dyDescent="0.3">
      <c r="A41" s="348" t="s">
        <v>373</v>
      </c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 t="s">
        <v>49</v>
      </c>
      <c r="M41" s="348"/>
      <c r="N41" s="348"/>
      <c r="O41" s="348"/>
      <c r="P41" s="348"/>
      <c r="S41" s="66" t="s">
        <v>39</v>
      </c>
      <c r="T41" s="67">
        <f>J84</f>
        <v>0</v>
      </c>
      <c r="U41" s="67">
        <f>J85</f>
        <v>3.7802263481198901</v>
      </c>
      <c r="V41" s="67">
        <f>J86</f>
        <v>0.13568521031207589</v>
      </c>
      <c r="W41" s="67">
        <f>J87</f>
        <v>0.5649413271715471</v>
      </c>
      <c r="X41" s="67">
        <f>J88</f>
        <v>0.79499983748395853</v>
      </c>
      <c r="AC41" t="s">
        <v>113</v>
      </c>
      <c r="AD41" s="51">
        <v>0.96861777150916695</v>
      </c>
      <c r="AE41" s="51">
        <v>0.98453000952030201</v>
      </c>
      <c r="AH41">
        <v>746</v>
      </c>
      <c r="AI41">
        <v>757</v>
      </c>
    </row>
    <row r="42" spans="1:35" x14ac:dyDescent="0.3">
      <c r="A42" t="s">
        <v>315</v>
      </c>
      <c r="B42" t="s">
        <v>21</v>
      </c>
      <c r="I42" s="1" t="s">
        <v>53</v>
      </c>
      <c r="S42" s="66" t="s">
        <v>51</v>
      </c>
      <c r="T42" s="67">
        <f>N73*100</f>
        <v>100</v>
      </c>
      <c r="U42" s="67">
        <f>N74*100</f>
        <v>91.228070175438589</v>
      </c>
      <c r="V42" s="67">
        <f>N75*100</f>
        <v>97.290152015862517</v>
      </c>
      <c r="W42" s="67">
        <f>N76*100</f>
        <v>96.208930075821399</v>
      </c>
      <c r="X42" s="67">
        <f>N77*100</f>
        <v>96.114519427402868</v>
      </c>
      <c r="AC42" t="s">
        <v>114</v>
      </c>
      <c r="AD42" s="51">
        <v>0.97461212976022504</v>
      </c>
      <c r="AE42" s="51">
        <v>0.98592326947026598</v>
      </c>
      <c r="AH42">
        <v>775</v>
      </c>
      <c r="AI42">
        <v>786</v>
      </c>
    </row>
    <row r="43" spans="1:3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51</v>
      </c>
      <c r="R43" s="16" t="s">
        <v>61</v>
      </c>
      <c r="S43" t="s">
        <v>9</v>
      </c>
      <c r="T43" s="30">
        <f>N84</f>
        <v>209.56</v>
      </c>
      <c r="U43" s="30">
        <f>N85</f>
        <v>575.39</v>
      </c>
      <c r="V43" s="30">
        <f>N86</f>
        <v>58958.66</v>
      </c>
      <c r="W43" s="30">
        <f>N87</f>
        <v>31021.56</v>
      </c>
      <c r="X43" s="30">
        <f>N88</f>
        <v>5818.63</v>
      </c>
      <c r="Z43" t="s">
        <v>36</v>
      </c>
      <c r="AA43" s="1">
        <f>N89</f>
        <v>96583.8</v>
      </c>
      <c r="AC43" t="s">
        <v>115</v>
      </c>
      <c r="AD43" s="51">
        <v>0.96755994358250996</v>
      </c>
      <c r="AE43" s="51">
        <v>0.98626469610404</v>
      </c>
      <c r="AH43">
        <v>804</v>
      </c>
      <c r="AI43">
        <v>815</v>
      </c>
    </row>
    <row r="44" spans="1:35" ht="15.6" x14ac:dyDescent="0.35">
      <c r="A44" t="s">
        <v>3</v>
      </c>
      <c r="B44" s="13">
        <v>0</v>
      </c>
      <c r="C44" s="26">
        <v>451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451</v>
      </c>
      <c r="I44" s="10">
        <f>C44/H44</f>
        <v>1</v>
      </c>
      <c r="J44" s="11">
        <f>1-I44</f>
        <v>0</v>
      </c>
      <c r="K44">
        <f>H44-C49</f>
        <v>0</v>
      </c>
      <c r="N44" s="10">
        <f>2*(C50*I44)/(C50+I44)</f>
        <v>1</v>
      </c>
      <c r="R44" s="16" t="s">
        <v>318</v>
      </c>
      <c r="S44" t="s">
        <v>63</v>
      </c>
      <c r="T44" s="57">
        <f>$AA43*T36/100</f>
        <v>209.56</v>
      </c>
      <c r="U44" s="57">
        <f>$AA43*U36/100</f>
        <v>553.75084015787729</v>
      </c>
      <c r="V44" s="57">
        <f>$AA43*V36/100</f>
        <v>59321.109835625124</v>
      </c>
      <c r="W44" s="57">
        <f>$AA43*W36/100</f>
        <v>30705.542108846068</v>
      </c>
      <c r="X44" s="57">
        <f>$AA43*X36/100</f>
        <v>5793.8372153709397</v>
      </c>
      <c r="Z44" t="s">
        <v>36</v>
      </c>
      <c r="AA44" s="25">
        <f>SUM(T44:X44)</f>
        <v>96583.8</v>
      </c>
      <c r="AC44" t="s">
        <v>116</v>
      </c>
      <c r="AD44" s="51">
        <v>0.96967559943582504</v>
      </c>
      <c r="AE44" s="51">
        <v>0.98605402971695699</v>
      </c>
      <c r="AH44">
        <v>833</v>
      </c>
      <c r="AI44">
        <v>844</v>
      </c>
    </row>
    <row r="45" spans="1:35" x14ac:dyDescent="0.3">
      <c r="A45" t="s">
        <v>4</v>
      </c>
      <c r="B45" s="13">
        <v>1</v>
      </c>
      <c r="C45" s="5">
        <v>0</v>
      </c>
      <c r="D45" s="27">
        <v>53</v>
      </c>
      <c r="E45" s="1">
        <v>4</v>
      </c>
      <c r="F45" s="1">
        <v>0</v>
      </c>
      <c r="G45" s="6">
        <v>0</v>
      </c>
      <c r="H45" s="1">
        <f>SUM(C45:G45)</f>
        <v>57</v>
      </c>
      <c r="I45" s="10">
        <f>D45/H45</f>
        <v>0.92982456140350878</v>
      </c>
      <c r="J45" s="11">
        <f>1-I45</f>
        <v>7.0175438596491224E-2</v>
      </c>
      <c r="K45">
        <f>H45-D49</f>
        <v>4</v>
      </c>
      <c r="N45" s="10">
        <f>2*(D50*I45)/(D50+I45)</f>
        <v>0.96363636363636362</v>
      </c>
      <c r="R45" s="66"/>
      <c r="S45" s="66" t="s">
        <v>62</v>
      </c>
      <c r="T45" s="67">
        <f>$AA43*T37/100</f>
        <v>0</v>
      </c>
      <c r="U45" s="67">
        <f>$AA43*U37/100</f>
        <v>25.104973033430777</v>
      </c>
      <c r="V45" s="67">
        <f>$AA43*V37/100</f>
        <v>138.35183026537635</v>
      </c>
      <c r="W45" s="67">
        <f>$AA43*W37/100</f>
        <v>195.22707350321201</v>
      </c>
      <c r="X45" s="67">
        <f>$AA43*X37/100</f>
        <v>147.60066260575951</v>
      </c>
      <c r="AA45" s="1"/>
      <c r="AC45" t="s">
        <v>117</v>
      </c>
      <c r="AD45" s="51">
        <v>0.97002820874470996</v>
      </c>
      <c r="AE45" s="51">
        <v>0.98324123948321795</v>
      </c>
      <c r="AH45">
        <v>862</v>
      </c>
      <c r="AI45">
        <v>873</v>
      </c>
    </row>
    <row r="46" spans="1:35" x14ac:dyDescent="0.3">
      <c r="A46" t="s">
        <v>5</v>
      </c>
      <c r="B46" s="13">
        <v>2</v>
      </c>
      <c r="C46" s="5">
        <v>0</v>
      </c>
      <c r="D46" s="1">
        <v>0</v>
      </c>
      <c r="E46" s="27">
        <v>736</v>
      </c>
      <c r="F46" s="1">
        <v>1</v>
      </c>
      <c r="G46" s="6">
        <v>0</v>
      </c>
      <c r="H46" s="1">
        <f>SUM(C46:G46)</f>
        <v>737</v>
      </c>
      <c r="I46" s="10">
        <f>E46/H46</f>
        <v>0.99864314789687925</v>
      </c>
      <c r="J46" s="11">
        <f>1-I46</f>
        <v>1.3568521031207537E-3</v>
      </c>
      <c r="K46">
        <f>H46-E49</f>
        <v>-41</v>
      </c>
      <c r="N46" s="10">
        <f>2*(E50*I46)/(E50+I46)</f>
        <v>0.97161716171617163</v>
      </c>
      <c r="R46" t="s">
        <v>68</v>
      </c>
      <c r="S46" t="s">
        <v>28</v>
      </c>
      <c r="T46" s="57">
        <f t="shared" ref="T46:X49" si="5">C118</f>
        <v>0.22582462069208298</v>
      </c>
      <c r="U46" s="57">
        <f t="shared" si="5"/>
        <v>0.56621579790472343</v>
      </c>
      <c r="V46" s="57">
        <f t="shared" si="5"/>
        <v>61.184714541271369</v>
      </c>
      <c r="W46" s="57">
        <f t="shared" si="5"/>
        <v>31.249651765631956</v>
      </c>
      <c r="X46" s="57">
        <f t="shared" si="5"/>
        <v>6.7735932744998673</v>
      </c>
      <c r="Y46" s="60"/>
      <c r="Z46" s="74"/>
      <c r="AA46" s="12"/>
      <c r="AC46" t="s">
        <v>130</v>
      </c>
      <c r="AD46" s="51">
        <v>0.97108603667136795</v>
      </c>
      <c r="AE46" s="51">
        <v>0.98618755767259803</v>
      </c>
      <c r="AH46">
        <v>891</v>
      </c>
      <c r="AI46">
        <v>902</v>
      </c>
    </row>
    <row r="47" spans="1:35" x14ac:dyDescent="0.3">
      <c r="A47" t="s">
        <v>6</v>
      </c>
      <c r="B47" s="13">
        <v>3</v>
      </c>
      <c r="C47" s="5">
        <v>0</v>
      </c>
      <c r="D47" s="1">
        <v>0</v>
      </c>
      <c r="E47" s="1">
        <v>5</v>
      </c>
      <c r="F47" s="27">
        <v>566</v>
      </c>
      <c r="G47" s="6">
        <v>11</v>
      </c>
      <c r="H47" s="1">
        <f>SUM(C47:G47)</f>
        <v>582</v>
      </c>
      <c r="I47" s="10">
        <f>F47/H47</f>
        <v>0.97250859106529208</v>
      </c>
      <c r="J47" s="11">
        <f>1-I47</f>
        <v>2.7491408934707917E-2</v>
      </c>
      <c r="K47">
        <f>H47-F49</f>
        <v>-14</v>
      </c>
      <c r="N47" s="10">
        <f>2*(F50*I47)/(F50+I47)</f>
        <v>0.96095076400679125</v>
      </c>
      <c r="S47" s="66" t="s">
        <v>39</v>
      </c>
      <c r="T47" s="67">
        <f t="shared" si="5"/>
        <v>0</v>
      </c>
      <c r="U47" s="67">
        <f t="shared" si="5"/>
        <v>1.9495988767595493E-2</v>
      </c>
      <c r="V47" s="67">
        <f t="shared" si="5"/>
        <v>0.15409714597989976</v>
      </c>
      <c r="W47" s="67">
        <f t="shared" si="5"/>
        <v>0.25206335340134323</v>
      </c>
      <c r="X47" s="67">
        <f t="shared" si="5"/>
        <v>0.20997579900284172</v>
      </c>
      <c r="AC47" t="s">
        <v>131</v>
      </c>
      <c r="AD47" s="51">
        <v>0.97002820874470996</v>
      </c>
      <c r="AE47" s="51">
        <v>0.98627308916089196</v>
      </c>
      <c r="AH47">
        <v>920</v>
      </c>
      <c r="AI47">
        <v>931</v>
      </c>
    </row>
    <row r="48" spans="1:35" x14ac:dyDescent="0.3">
      <c r="A48" t="s">
        <v>7</v>
      </c>
      <c r="B48" s="13">
        <v>4</v>
      </c>
      <c r="C48" s="7">
        <v>0</v>
      </c>
      <c r="D48" s="8">
        <v>0</v>
      </c>
      <c r="E48" s="8">
        <v>33</v>
      </c>
      <c r="F48" s="8">
        <v>29</v>
      </c>
      <c r="G48" s="28">
        <v>947</v>
      </c>
      <c r="H48" s="1">
        <f>SUM(C48:G48)</f>
        <v>1009</v>
      </c>
      <c r="I48" s="10">
        <f>G48/H48</f>
        <v>0.93855302279484643</v>
      </c>
      <c r="J48" s="11">
        <f>1-I48</f>
        <v>6.1446977205153575E-2</v>
      </c>
      <c r="K48">
        <f>H48-G49</f>
        <v>51</v>
      </c>
      <c r="N48" s="10">
        <f>2*(G50*I48)/(G50+I48)</f>
        <v>0.96288764616166755</v>
      </c>
      <c r="S48" t="s">
        <v>30</v>
      </c>
      <c r="T48" s="57">
        <f t="shared" si="5"/>
        <v>100</v>
      </c>
      <c r="U48" s="57">
        <f t="shared" si="5"/>
        <v>97.741974955634674</v>
      </c>
      <c r="V48" s="57">
        <f t="shared" si="5"/>
        <v>99.060945429253394</v>
      </c>
      <c r="W48" s="57">
        <f t="shared" si="5"/>
        <v>99.204600463996968</v>
      </c>
      <c r="X48" s="57">
        <f t="shared" si="5"/>
        <v>88.619076090716121</v>
      </c>
      <c r="AC48" t="s">
        <v>132</v>
      </c>
      <c r="AD48" s="51">
        <v>0.97179125528913901</v>
      </c>
      <c r="AE48" s="51">
        <v>0.98710866098913896</v>
      </c>
      <c r="AH48">
        <v>949</v>
      </c>
      <c r="AI48">
        <v>960</v>
      </c>
    </row>
    <row r="49" spans="1:35" ht="15.6" x14ac:dyDescent="0.35">
      <c r="B49" s="1" t="s">
        <v>19</v>
      </c>
      <c r="C49" s="1">
        <f>SUM(C44:C48)</f>
        <v>451</v>
      </c>
      <c r="D49" s="1">
        <f>SUM(D44:D48)</f>
        <v>53</v>
      </c>
      <c r="E49" s="1">
        <f>SUM(E44:E48)</f>
        <v>778</v>
      </c>
      <c r="F49" s="1">
        <f>SUM(F44:F48)</f>
        <v>596</v>
      </c>
      <c r="G49" s="1">
        <f>SUM(G44:G48)</f>
        <v>958</v>
      </c>
      <c r="H49" s="1">
        <f>SUM(H43:H48)</f>
        <v>2836</v>
      </c>
      <c r="I49" s="13" t="s">
        <v>12</v>
      </c>
      <c r="S49" s="66" t="s">
        <v>39</v>
      </c>
      <c r="T49" s="67">
        <f t="shared" si="5"/>
        <v>0</v>
      </c>
      <c r="U49" s="67">
        <f t="shared" si="5"/>
        <v>1.7077261774786701</v>
      </c>
      <c r="V49" s="67">
        <f t="shared" si="5"/>
        <v>0.21151511625695565</v>
      </c>
      <c r="W49" s="67">
        <f t="shared" si="5"/>
        <v>0.28706150777197642</v>
      </c>
      <c r="X49" s="67">
        <f t="shared" si="5"/>
        <v>2.8027623348595858</v>
      </c>
      <c r="AC49" t="s">
        <v>133</v>
      </c>
      <c r="AD49" s="51">
        <v>0.97214386459802504</v>
      </c>
      <c r="AE49" s="51">
        <v>0.98800107408909399</v>
      </c>
      <c r="AH49">
        <v>978</v>
      </c>
      <c r="AI49">
        <v>989</v>
      </c>
    </row>
    <row r="50" spans="1:35" x14ac:dyDescent="0.3">
      <c r="A50" s="1" t="s">
        <v>316</v>
      </c>
      <c r="B50" s="1" t="s">
        <v>2</v>
      </c>
      <c r="C50" s="10">
        <f>C44/C49</f>
        <v>1</v>
      </c>
      <c r="D50" s="10">
        <f>D45/D49</f>
        <v>1</v>
      </c>
      <c r="E50" s="10">
        <f>E46/E49</f>
        <v>0.94601542416452444</v>
      </c>
      <c r="F50" s="10">
        <f>F47/F49</f>
        <v>0.94966442953020136</v>
      </c>
      <c r="G50" s="10">
        <f>G48/G49</f>
        <v>0.98851774530271397</v>
      </c>
      <c r="H50" s="10"/>
      <c r="I50" s="14">
        <f>(C44+D45+E46+F47+G48)/H49</f>
        <v>0.97073342736248236</v>
      </c>
      <c r="S50" s="15" t="s">
        <v>31</v>
      </c>
      <c r="T50" s="71">
        <f>I113</f>
        <v>100</v>
      </c>
      <c r="U50" s="71">
        <f>I114</f>
        <v>94.73684210526315</v>
      </c>
      <c r="V50" s="71">
        <f>I115</f>
        <v>99.864314789687924</v>
      </c>
      <c r="W50" s="71">
        <f>I116</f>
        <v>96.735395189003441</v>
      </c>
      <c r="X50" s="71">
        <f>I117</f>
        <v>93.062438057482652</v>
      </c>
      <c r="AC50" t="s">
        <v>134</v>
      </c>
      <c r="AD50" s="51">
        <v>0.97108603667136795</v>
      </c>
      <c r="AE50" s="51">
        <v>0.98743239377212899</v>
      </c>
      <c r="AH50">
        <v>1007</v>
      </c>
      <c r="AI50">
        <v>1018</v>
      </c>
    </row>
    <row r="51" spans="1:35" x14ac:dyDescent="0.3">
      <c r="B51" s="1" t="s">
        <v>14</v>
      </c>
      <c r="C51" s="11">
        <f>1-C50</f>
        <v>0</v>
      </c>
      <c r="D51" s="11">
        <f>1-D50</f>
        <v>0</v>
      </c>
      <c r="E51" s="11">
        <f>1-E50</f>
        <v>5.3984575835475557E-2</v>
      </c>
      <c r="F51" s="11">
        <f>1-F50</f>
        <v>5.0335570469798641E-2</v>
      </c>
      <c r="G51" s="11">
        <f>1-G50</f>
        <v>1.1482254697286032E-2</v>
      </c>
      <c r="S51" s="75" t="s">
        <v>39</v>
      </c>
      <c r="T51" s="76">
        <f>J113</f>
        <v>0</v>
      </c>
      <c r="U51" s="76">
        <f>J114</f>
        <v>2.9839300500728485</v>
      </c>
      <c r="V51" s="76">
        <f>J115</f>
        <v>0.13568521031207589</v>
      </c>
      <c r="W51" s="76">
        <f>J116</f>
        <v>0.73725876947171687</v>
      </c>
      <c r="X51" s="76">
        <f>J117</f>
        <v>0.80031394419396396</v>
      </c>
      <c r="AC51" t="s">
        <v>135</v>
      </c>
      <c r="AD51" s="51">
        <v>0.97108603667136795</v>
      </c>
      <c r="AE51" s="51">
        <v>0.98561785406969404</v>
      </c>
      <c r="AH51">
        <v>1036</v>
      </c>
      <c r="AI51">
        <v>1047</v>
      </c>
    </row>
    <row r="52" spans="1:35" x14ac:dyDescent="0.3">
      <c r="C52" s="2"/>
      <c r="S52" s="66" t="s">
        <v>51</v>
      </c>
      <c r="T52" s="67">
        <f>N102*100</f>
        <v>100</v>
      </c>
      <c r="U52" s="67">
        <f>N103*100</f>
        <v>95.575221238938042</v>
      </c>
      <c r="V52" s="67">
        <f>N104*100</f>
        <v>96.651346027577162</v>
      </c>
      <c r="W52" s="67">
        <f>N105*100</f>
        <v>96.075085324232077</v>
      </c>
      <c r="X52" s="67">
        <f>N106*100</f>
        <v>95.718654434250766</v>
      </c>
      <c r="AC52" t="s">
        <v>136</v>
      </c>
      <c r="AD52" s="51">
        <v>0.96932299012693901</v>
      </c>
      <c r="AE52" s="51">
        <v>0.98481184621749396</v>
      </c>
      <c r="AH52">
        <v>1065</v>
      </c>
      <c r="AI52">
        <v>1076</v>
      </c>
    </row>
    <row r="53" spans="1:35" ht="15.6" x14ac:dyDescent="0.35">
      <c r="A53" t="s">
        <v>317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61</v>
      </c>
      <c r="S53" t="s">
        <v>9</v>
      </c>
      <c r="T53" s="30">
        <f>N113</f>
        <v>218.11</v>
      </c>
      <c r="U53" s="30">
        <f>N114</f>
        <v>564.22</v>
      </c>
      <c r="V53" s="30">
        <f>N115</f>
        <v>58619.13</v>
      </c>
      <c r="W53" s="30">
        <f>N116</f>
        <v>30952.51</v>
      </c>
      <c r="X53" s="30">
        <f>N117</f>
        <v>6229.83</v>
      </c>
      <c r="Z53" t="s">
        <v>36</v>
      </c>
      <c r="AA53" s="1">
        <f>N118</f>
        <v>96583.8</v>
      </c>
      <c r="AC53" t="s">
        <v>137</v>
      </c>
      <c r="AD53" s="51">
        <v>0.97496473906911096</v>
      </c>
      <c r="AE53" s="51">
        <v>0.98832200026057904</v>
      </c>
      <c r="AH53">
        <v>1094</v>
      </c>
      <c r="AI53">
        <v>1105</v>
      </c>
    </row>
    <row r="54" spans="1:35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318</v>
      </c>
      <c r="S54" t="s">
        <v>63</v>
      </c>
      <c r="T54" s="57">
        <f>$AA53*T46/100</f>
        <v>218.11000000000004</v>
      </c>
      <c r="U54" s="57">
        <f>$AA53*U46/100</f>
        <v>546.87273381670229</v>
      </c>
      <c r="V54" s="57">
        <f>$AA53*V46/100</f>
        <v>59094.522323112462</v>
      </c>
      <c r="W54" s="57">
        <f>$AA53*W46/100</f>
        <v>30182.101162014435</v>
      </c>
      <c r="X54" s="57">
        <f>$AA53*X46/100</f>
        <v>6542.1937810564032</v>
      </c>
      <c r="Z54" t="s">
        <v>36</v>
      </c>
      <c r="AA54" s="25">
        <f>SUM(T54:X54)</f>
        <v>96583.8</v>
      </c>
      <c r="AC54" t="s">
        <v>138</v>
      </c>
      <c r="AD54" s="51">
        <v>0.96791255289139599</v>
      </c>
      <c r="AE54" s="51">
        <v>0.98385991357488201</v>
      </c>
      <c r="AH54">
        <v>1123</v>
      </c>
      <c r="AI54">
        <v>1134</v>
      </c>
    </row>
    <row r="55" spans="1:35" x14ac:dyDescent="0.3">
      <c r="A55" t="s">
        <v>3</v>
      </c>
      <c r="B55" s="13">
        <v>0</v>
      </c>
      <c r="C55" s="29">
        <f>(C44/$L55)*$O55</f>
        <v>0.22461321416084126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0.22461321416084126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451</v>
      </c>
      <c r="M55">
        <v>0</v>
      </c>
      <c r="N55" s="1">
        <v>216.94</v>
      </c>
      <c r="O55" s="17">
        <f>N55/N60*100</f>
        <v>0.22461321416084126</v>
      </c>
      <c r="P55" s="52">
        <f>((O55*O55*(I55/100)*(K55/100))/(L55-1))</f>
        <v>0</v>
      </c>
      <c r="R55" s="66"/>
      <c r="S55" s="66" t="s">
        <v>62</v>
      </c>
      <c r="T55" s="67">
        <f>$AA53*T47/100</f>
        <v>0</v>
      </c>
      <c r="U55" s="67">
        <f>$AA53*U47/100</f>
        <v>18.829966799316896</v>
      </c>
      <c r="V55" s="67">
        <f>$AA53*V47/100</f>
        <v>148.83287927893443</v>
      </c>
      <c r="W55" s="67">
        <f>$AA53*W47/100</f>
        <v>243.45236512244654</v>
      </c>
      <c r="X55" s="67">
        <f>$AA53*X47/100</f>
        <v>202.80260575730662</v>
      </c>
      <c r="AA55" s="1"/>
      <c r="AC55" t="s">
        <v>139</v>
      </c>
      <c r="AD55" s="51">
        <v>0.96720733427362404</v>
      </c>
      <c r="AE55" s="51">
        <v>0.98499124756441703</v>
      </c>
      <c r="AH55">
        <v>1152</v>
      </c>
      <c r="AI55">
        <v>1163</v>
      </c>
    </row>
    <row r="56" spans="1:35" x14ac:dyDescent="0.3">
      <c r="A56" t="s">
        <v>4</v>
      </c>
      <c r="B56" s="13">
        <v>1</v>
      </c>
      <c r="C56" s="33">
        <f t="shared" ref="C56:G59" si="6">(C45/$L56)*$O56</f>
        <v>0</v>
      </c>
      <c r="D56" s="34">
        <f t="shared" si="6"/>
        <v>0.62100742513569029</v>
      </c>
      <c r="E56" s="19">
        <f t="shared" si="6"/>
        <v>4.6868484915901149E-2</v>
      </c>
      <c r="F56" s="18">
        <f t="shared" si="6"/>
        <v>0</v>
      </c>
      <c r="G56" s="20">
        <f t="shared" si="6"/>
        <v>0</v>
      </c>
      <c r="H56" s="17">
        <f>SUM(C56:G56)</f>
        <v>0.66787591005159141</v>
      </c>
      <c r="I56" s="17">
        <f>D56/H56*100</f>
        <v>92.982456140350877</v>
      </c>
      <c r="J56" s="17">
        <f>SQRT(I56*(100-I56)/(L56-1))</f>
        <v>3.4134933513474275</v>
      </c>
      <c r="K56" s="18">
        <f>100-I56</f>
        <v>7.0175438596491233</v>
      </c>
      <c r="L56" s="1">
        <f>H45</f>
        <v>57</v>
      </c>
      <c r="M56">
        <v>1</v>
      </c>
      <c r="N56" s="1">
        <v>645.05999999999995</v>
      </c>
      <c r="O56" s="17">
        <f>N56/N60*100</f>
        <v>0.66787591005159141</v>
      </c>
      <c r="P56" s="52">
        <f>((O56*O56*(I56/100)*(K56/100))/(L56-1))</f>
        <v>5.197442346006199E-4</v>
      </c>
      <c r="R56" t="s">
        <v>71</v>
      </c>
      <c r="S56" t="s">
        <v>28</v>
      </c>
      <c r="T56" s="57">
        <f t="shared" ref="T56:X59" si="7">C147</f>
        <v>0.22060635427473343</v>
      </c>
      <c r="U56" s="57">
        <f t="shared" si="7"/>
        <v>0.55087041403151304</v>
      </c>
      <c r="V56" s="57">
        <f t="shared" si="7"/>
        <v>61.691006433914737</v>
      </c>
      <c r="W56" s="57">
        <f t="shared" si="7"/>
        <v>31.459270034552038</v>
      </c>
      <c r="X56" s="57">
        <f t="shared" si="7"/>
        <v>6.0782467632269643</v>
      </c>
      <c r="Y56" s="13"/>
      <c r="Z56" s="74"/>
      <c r="AA56" s="12"/>
      <c r="AC56" t="s">
        <v>140</v>
      </c>
      <c r="AD56" s="51">
        <v>0.96473906911142404</v>
      </c>
      <c r="AE56" s="51">
        <v>0.98392245733419903</v>
      </c>
      <c r="AH56">
        <v>1181</v>
      </c>
      <c r="AI56">
        <v>1192</v>
      </c>
    </row>
    <row r="57" spans="1:35" x14ac:dyDescent="0.3">
      <c r="A57" t="s">
        <v>5</v>
      </c>
      <c r="B57" s="13">
        <v>2</v>
      </c>
      <c r="C57" s="33">
        <f t="shared" si="6"/>
        <v>0</v>
      </c>
      <c r="D57" s="19">
        <f t="shared" si="6"/>
        <v>0</v>
      </c>
      <c r="E57" s="34">
        <f t="shared" si="6"/>
        <v>60.745848022465033</v>
      </c>
      <c r="F57" s="19">
        <f t="shared" si="6"/>
        <v>8.253511959574053E-2</v>
      </c>
      <c r="G57" s="20">
        <f t="shared" si="6"/>
        <v>0</v>
      </c>
      <c r="H57" s="17">
        <f>SUM(C57:G57)</f>
        <v>60.828383142060773</v>
      </c>
      <c r="I57" s="17">
        <f>E57/H57*100</f>
        <v>99.864314789687924</v>
      </c>
      <c r="J57" s="17">
        <f>SQRT(I57*(100-I57)/(L57-1))</f>
        <v>0.13568521031207589</v>
      </c>
      <c r="K57" s="18">
        <f>100-I57</f>
        <v>0.13568521031207581</v>
      </c>
      <c r="L57" s="1">
        <f>H46</f>
        <v>737</v>
      </c>
      <c r="M57">
        <v>2</v>
      </c>
      <c r="N57" s="1">
        <v>58750.37</v>
      </c>
      <c r="O57" s="17">
        <f>N57/N60*100</f>
        <v>60.828383142060773</v>
      </c>
      <c r="P57" s="52">
        <f>((O57*O57*(I57/100)*(K57/100))/(L57-1))</f>
        <v>6.8120459666831832E-3</v>
      </c>
      <c r="S57" s="66" t="s">
        <v>39</v>
      </c>
      <c r="T57" s="67">
        <f t="shared" si="7"/>
        <v>0</v>
      </c>
      <c r="U57" s="67">
        <f t="shared" si="7"/>
        <v>1.7197913793401604E-2</v>
      </c>
      <c r="V57" s="67">
        <f t="shared" si="7"/>
        <v>0.17127499935576096</v>
      </c>
      <c r="W57" s="67">
        <f t="shared" si="7"/>
        <v>0.22845133887659899</v>
      </c>
      <c r="X57" s="67">
        <f t="shared" si="7"/>
        <v>0.16168938896694612</v>
      </c>
      <c r="AC57" t="s">
        <v>141</v>
      </c>
      <c r="AD57" s="51">
        <v>0.96861777150916695</v>
      </c>
      <c r="AE57" s="51">
        <v>0.98483314876606798</v>
      </c>
      <c r="AH57">
        <v>1210</v>
      </c>
      <c r="AI57">
        <v>1221</v>
      </c>
    </row>
    <row r="58" spans="1:35" x14ac:dyDescent="0.3">
      <c r="A58" t="s">
        <v>6</v>
      </c>
      <c r="B58" s="13">
        <v>3</v>
      </c>
      <c r="C58" s="33">
        <f t="shared" si="6"/>
        <v>0</v>
      </c>
      <c r="D58" s="19">
        <f t="shared" si="6"/>
        <v>0</v>
      </c>
      <c r="E58" s="19">
        <f t="shared" si="6"/>
        <v>0.27520282599169232</v>
      </c>
      <c r="F58" s="34">
        <f t="shared" si="6"/>
        <v>31.152959902259564</v>
      </c>
      <c r="G58" s="20">
        <f t="shared" si="6"/>
        <v>0.60544621718172298</v>
      </c>
      <c r="H58" s="17">
        <f>SUM(C58:G58)</f>
        <v>32.033608945432981</v>
      </c>
      <c r="I58" s="17">
        <f>F58/H58*100</f>
        <v>97.250859106529205</v>
      </c>
      <c r="J58" s="17">
        <f>SQRT(I58*(100-I58)/(L58-1))</f>
        <v>0.67835519625077212</v>
      </c>
      <c r="K58" s="18">
        <f>100-I58</f>
        <v>2.7491408934707948</v>
      </c>
      <c r="L58" s="1">
        <f>H47</f>
        <v>582</v>
      </c>
      <c r="M58">
        <v>3</v>
      </c>
      <c r="N58" s="1">
        <v>30939.279999999999</v>
      </c>
      <c r="O58" s="17">
        <f>N58/N60*100</f>
        <v>32.033608945432981</v>
      </c>
      <c r="P58" s="52">
        <f>((O58*O58*(I58/100)*(K58/100))/(L58-1))</f>
        <v>4.7220007452572633E-2</v>
      </c>
      <c r="S58" t="s">
        <v>30</v>
      </c>
      <c r="T58" s="57">
        <f t="shared" si="7"/>
        <v>100</v>
      </c>
      <c r="U58" s="57">
        <f t="shared" si="7"/>
        <v>100</v>
      </c>
      <c r="V58" s="57">
        <f t="shared" si="7"/>
        <v>98.976670542824152</v>
      </c>
      <c r="W58" s="57">
        <f t="shared" si="7"/>
        <v>99.126813495002224</v>
      </c>
      <c r="X58" s="57">
        <f t="shared" si="7"/>
        <v>92.761169833864372</v>
      </c>
      <c r="AC58" t="s">
        <v>142</v>
      </c>
      <c r="AD58" s="51">
        <v>0.96967559943582504</v>
      </c>
      <c r="AE58" s="51">
        <v>0.98547547256512102</v>
      </c>
      <c r="AH58">
        <v>1239</v>
      </c>
      <c r="AI58">
        <v>1250</v>
      </c>
    </row>
    <row r="59" spans="1:35" x14ac:dyDescent="0.3">
      <c r="A59" t="s">
        <v>7</v>
      </c>
      <c r="B59" s="13">
        <v>4</v>
      </c>
      <c r="C59" s="35">
        <f t="shared" si="6"/>
        <v>0</v>
      </c>
      <c r="D59" s="36">
        <f t="shared" si="6"/>
        <v>0</v>
      </c>
      <c r="E59" s="21">
        <f t="shared" si="6"/>
        <v>0.20426374629702265</v>
      </c>
      <c r="F59" s="21">
        <f t="shared" si="6"/>
        <v>0.17950450432162596</v>
      </c>
      <c r="G59" s="37">
        <f t="shared" si="6"/>
        <v>5.8617505376751655</v>
      </c>
      <c r="H59" s="17">
        <f>SUM(C59:G59)</f>
        <v>6.2455187882938139</v>
      </c>
      <c r="I59" s="17">
        <f>G59/H59*100</f>
        <v>93.855302279484647</v>
      </c>
      <c r="J59" s="17">
        <f>SQRT(I59*(100-I59)/(L59-1))</f>
        <v>0.75639631076802649</v>
      </c>
      <c r="K59" s="18">
        <f>100-I59</f>
        <v>6.144697720515353</v>
      </c>
      <c r="L59" s="1">
        <f>H48</f>
        <v>1009</v>
      </c>
      <c r="M59">
        <v>4</v>
      </c>
      <c r="N59" s="1">
        <v>6032.16</v>
      </c>
      <c r="O59" s="17">
        <f>N59/N60*100</f>
        <v>6.2455187882938139</v>
      </c>
      <c r="P59" s="52">
        <f>((O59*O59*(I59/100)*(K59/100))/(L59-1))</f>
        <v>2.2317001482207522E-3</v>
      </c>
      <c r="S59" s="66" t="s">
        <v>39</v>
      </c>
      <c r="T59" s="67">
        <f t="shared" si="7"/>
        <v>0</v>
      </c>
      <c r="U59" s="67">
        <f t="shared" si="7"/>
        <v>0</v>
      </c>
      <c r="V59" s="67">
        <f t="shared" si="7"/>
        <v>0.24107554806695797</v>
      </c>
      <c r="W59" s="67">
        <f t="shared" si="7"/>
        <v>0.2877519454046738</v>
      </c>
      <c r="X59" s="67">
        <f t="shared" si="7"/>
        <v>2.4272297246706023</v>
      </c>
      <c r="AC59" t="s">
        <v>143</v>
      </c>
      <c r="AD59" s="51">
        <v>0.96967559943582504</v>
      </c>
      <c r="AE59" s="51">
        <v>0.98383436728608897</v>
      </c>
      <c r="AH59">
        <v>1268</v>
      </c>
      <c r="AI59">
        <v>1279</v>
      </c>
    </row>
    <row r="60" spans="1:35" x14ac:dyDescent="0.3">
      <c r="B60" t="s">
        <v>28</v>
      </c>
      <c r="C60" s="17">
        <f>SUM(C55:C59)</f>
        <v>0.22461321416084126</v>
      </c>
      <c r="D60" s="17">
        <f>SUM(D55:D59)</f>
        <v>0.62100742513569029</v>
      </c>
      <c r="E60" s="17">
        <f>SUM(E55:E59)</f>
        <v>61.272183079669652</v>
      </c>
      <c r="F60" s="17">
        <f>SUM(F55:F59)</f>
        <v>31.414999526176931</v>
      </c>
      <c r="G60" s="17">
        <f>SUM(G55:G59)</f>
        <v>6.4671967548568885</v>
      </c>
      <c r="H60" s="1">
        <f>SUM(H54:H59)</f>
        <v>99.999999999999986</v>
      </c>
      <c r="I60" s="13" t="s">
        <v>24</v>
      </c>
      <c r="J60" s="12" t="s">
        <v>29</v>
      </c>
      <c r="N60" s="1">
        <f>SUM(N55:N59)</f>
        <v>96583.81</v>
      </c>
      <c r="O60" s="17">
        <f>SUM(O55:O59)</f>
        <v>99.999999999999986</v>
      </c>
      <c r="S60" s="15" t="s">
        <v>31</v>
      </c>
      <c r="T60" s="71">
        <f>I142</f>
        <v>100</v>
      </c>
      <c r="U60" s="71">
        <f>I143</f>
        <v>94.736842105263165</v>
      </c>
      <c r="V60" s="71">
        <f>I144</f>
        <v>99.864314789687924</v>
      </c>
      <c r="W60" s="71">
        <f>I145</f>
        <v>97.422680412371136</v>
      </c>
      <c r="X60" s="71">
        <f>I146</f>
        <v>93.260654112983161</v>
      </c>
      <c r="AC60" t="s">
        <v>144</v>
      </c>
      <c r="AD60" s="51">
        <v>0.96614950634696695</v>
      </c>
      <c r="AE60" s="51">
        <v>0.98656740071041704</v>
      </c>
      <c r="AH60">
        <v>1297</v>
      </c>
      <c r="AI60">
        <v>1308</v>
      </c>
    </row>
    <row r="61" spans="1:35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0</v>
      </c>
      <c r="D61" s="18">
        <f>SQRT(SUM((O55*O55*(D55/O55)*(1-D55/O55))/L55,(O56*O56*(D56/O56)*(1-D56/O56))/L56,(O57*O57*(D57/O57)*(1-D57/O57))/L57,(O58*O58*(D58/O58)*(1-D58/O58))/L58,(O59*O59*(D59/O59)*(1-D59/O59))/L59))</f>
        <v>2.2597033316241886E-2</v>
      </c>
      <c r="E61" s="18">
        <f>SQRT(SUM((O55*O55*(E55/O55)*(1-E55/O55))/L55,(O56*O56*(E56/O56)*(1-E56/O56))/L56,(O57*O57*(E57/O57)*(1-E57/O57))/L57,(O58*O58*(E58/O58)*(1-E58/O58))/L58,(O59*O59*(E59/O59)*(1-E59/O59))/L59))</f>
        <v>0.15347188272739393</v>
      </c>
      <c r="F61" s="18">
        <f>SQRT(SUM((O55*O55*(F55/O55)*(1-F55/O55))/L55,(O56*O56*(F56/O56)*(1-F56/O56))/L56,(O57*O57*(F57/O57)*(1-F57/O57))/L57,(O58*O58*(F58/O58)*(1-F58/O58))/L58,(O59*O59*(F59/O59)*(1-F59/O59))/L59))</f>
        <v>0.23456521663392407</v>
      </c>
      <c r="G61" s="18">
        <f>SQRT(SUM((O55*O55*(G55/O55)*(1-G55/O55))/L55,(O56*O56*(G56/O56)*(1-G56/O56))/L56,(O57*O57*(G57/O57)*(1-G57/O57))/L57,(O58*O58*(G58/O58)*(1-G58/O58))/L58,(O59*O59*(G59/O59)*(1-G59/O59))/L59))</f>
        <v>0.18687898053523172</v>
      </c>
      <c r="H61" s="1"/>
      <c r="I61" s="14">
        <f>(C55+D56+E57+F58+G59)/H60</f>
        <v>0.98606179101696312</v>
      </c>
      <c r="J61" s="53">
        <f>SQRT(SUM(P55:P59))/100</f>
        <v>2.3829288239911235E-3</v>
      </c>
      <c r="M61" s="1"/>
      <c r="N61" s="9"/>
      <c r="S61" s="75" t="s">
        <v>39</v>
      </c>
      <c r="T61" s="76">
        <f>J142</f>
        <v>0</v>
      </c>
      <c r="U61" s="76">
        <f>J143</f>
        <v>2.983930050072845</v>
      </c>
      <c r="V61" s="76">
        <f>J144</f>
        <v>0.13568521031207589</v>
      </c>
      <c r="W61" s="76">
        <f>J145</f>
        <v>0.65739456332296642</v>
      </c>
      <c r="X61" s="76">
        <f>J146</f>
        <v>0.78963762893908551</v>
      </c>
      <c r="AC61" t="s">
        <v>145</v>
      </c>
      <c r="AD61" s="51">
        <v>0.97355430183356795</v>
      </c>
      <c r="AE61" s="51">
        <v>0.98659535249321195</v>
      </c>
      <c r="AH61">
        <v>1326</v>
      </c>
      <c r="AI61">
        <v>1337</v>
      </c>
    </row>
    <row r="62" spans="1:35" x14ac:dyDescent="0.3">
      <c r="B62" s="1" t="s">
        <v>30</v>
      </c>
      <c r="C62" s="17">
        <f>C55/C60*100</f>
        <v>100</v>
      </c>
      <c r="D62" s="17">
        <f>D56/D60*100</f>
        <v>100</v>
      </c>
      <c r="E62" s="17">
        <f>E57/E60*100</f>
        <v>99.140988568139889</v>
      </c>
      <c r="F62" s="17">
        <f>F58/F60*100</f>
        <v>99.165877358365009</v>
      </c>
      <c r="G62" s="17">
        <f>G59/G60*100</f>
        <v>90.638197040672523</v>
      </c>
      <c r="H62" s="1"/>
      <c r="S62" s="66" t="s">
        <v>51</v>
      </c>
      <c r="T62" s="67">
        <f>N131*100</f>
        <v>100</v>
      </c>
      <c r="U62" s="67">
        <f>N132*100</f>
        <v>97.297297297297305</v>
      </c>
      <c r="V62" s="67">
        <f>N133*100</f>
        <v>96.905859117840677</v>
      </c>
      <c r="W62" s="67">
        <f>N134*100</f>
        <v>95.939086294416242</v>
      </c>
      <c r="X62" s="67">
        <f>N135*100</f>
        <v>96.118488253319711</v>
      </c>
      <c r="AC62" t="s">
        <v>146</v>
      </c>
      <c r="AD62" s="51">
        <v>0.97073342736248203</v>
      </c>
      <c r="AE62" s="51">
        <v>0.98638759460865499</v>
      </c>
      <c r="AH62">
        <v>1355</v>
      </c>
      <c r="AI62">
        <v>1366</v>
      </c>
    </row>
    <row r="63" spans="1:35" x14ac:dyDescent="0.3">
      <c r="B63" s="16" t="s">
        <v>39</v>
      </c>
      <c r="C63" s="18">
        <f>SQRT((C66+C67)/(C60*C60))</f>
        <v>0</v>
      </c>
      <c r="D63" s="18">
        <f>SQRT((D66+D67)/(D60*D60))</f>
        <v>0</v>
      </c>
      <c r="E63" s="18">
        <f>SQRT((E66+E67)/(E60*E60))</f>
        <v>0.20996015791911507</v>
      </c>
      <c r="F63" s="18">
        <f>SQRT((F66+F67)/(F60*F60))</f>
        <v>0.2863052443499669</v>
      </c>
      <c r="G63" s="18">
        <f>SQRT((G66+G67)/(G60*G60))</f>
        <v>2.6268957894959772</v>
      </c>
      <c r="H63" s="1"/>
      <c r="R63" s="16" t="s">
        <v>61</v>
      </c>
      <c r="S63" t="s">
        <v>9</v>
      </c>
      <c r="T63" s="30">
        <f>N142</f>
        <v>213.07</v>
      </c>
      <c r="U63" s="30">
        <f>N143</f>
        <v>561.61</v>
      </c>
      <c r="V63" s="30">
        <f>N144</f>
        <v>59053.91</v>
      </c>
      <c r="W63" s="30">
        <f>N145</f>
        <v>30916.05</v>
      </c>
      <c r="X63" s="30">
        <f>N146</f>
        <v>5839.16</v>
      </c>
      <c r="Z63" t="s">
        <v>36</v>
      </c>
      <c r="AA63" s="1">
        <f>N147</f>
        <v>96583.8</v>
      </c>
      <c r="AC63" t="s">
        <v>147</v>
      </c>
      <c r="AD63" s="51">
        <v>0.97038081805359599</v>
      </c>
      <c r="AE63" s="51">
        <v>0.98623159793877402</v>
      </c>
      <c r="AH63">
        <v>1384</v>
      </c>
      <c r="AI63">
        <v>1395</v>
      </c>
    </row>
    <row r="64" spans="1:35" ht="15.6" x14ac:dyDescent="0.35">
      <c r="B64" s="1" t="s">
        <v>37</v>
      </c>
      <c r="C64" s="18">
        <f>100-C62</f>
        <v>0</v>
      </c>
      <c r="D64" s="18">
        <f>100-D62</f>
        <v>0</v>
      </c>
      <c r="E64" s="18">
        <f>100-E62</f>
        <v>0.85901143186011097</v>
      </c>
      <c r="F64" s="18">
        <f>100-F62</f>
        <v>0.83412264163499117</v>
      </c>
      <c r="G64" s="18">
        <f>100-G62</f>
        <v>9.361802959327477</v>
      </c>
      <c r="R64" s="16" t="s">
        <v>318</v>
      </c>
      <c r="S64" t="s">
        <v>63</v>
      </c>
      <c r="T64" s="57">
        <f>$AA63*T56/100</f>
        <v>213.07</v>
      </c>
      <c r="U64" s="57">
        <f>$AA63*U56/100</f>
        <v>532.05157894736851</v>
      </c>
      <c r="V64" s="57">
        <f>$AA63*V56/100</f>
        <v>59583.518272119341</v>
      </c>
      <c r="W64" s="57">
        <f>$AA63*W56/100</f>
        <v>30384.55845163167</v>
      </c>
      <c r="X64" s="57">
        <f>$AA63*X56/100</f>
        <v>5870.6016973016049</v>
      </c>
      <c r="Z64" t="s">
        <v>36</v>
      </c>
      <c r="AA64" s="25">
        <f>SUM(T64:X64)</f>
        <v>96583.799999999988</v>
      </c>
      <c r="AC64" t="s">
        <v>148</v>
      </c>
      <c r="AD64" s="51">
        <v>0.96791255289139599</v>
      </c>
      <c r="AE64" s="51">
        <v>0.98618732743776305</v>
      </c>
      <c r="AH64">
        <v>1413</v>
      </c>
      <c r="AI64">
        <v>1424</v>
      </c>
    </row>
    <row r="65" spans="1:51" ht="15.6" x14ac:dyDescent="0.35">
      <c r="B65" s="1" t="s">
        <v>25</v>
      </c>
      <c r="C65" s="1">
        <f>C49</f>
        <v>451</v>
      </c>
      <c r="D65" s="1">
        <f>D49</f>
        <v>53</v>
      </c>
      <c r="E65" s="1">
        <f>E49</f>
        <v>778</v>
      </c>
      <c r="F65" s="1">
        <f>F49</f>
        <v>596</v>
      </c>
      <c r="G65" s="1">
        <f>G49</f>
        <v>958</v>
      </c>
      <c r="R65" s="66"/>
      <c r="S65" s="66" t="s">
        <v>62</v>
      </c>
      <c r="T65" s="67">
        <f>$AA63*T57/100</f>
        <v>0</v>
      </c>
      <c r="U65" s="67">
        <f>$AA63*U57/100</f>
        <v>16.610398662391418</v>
      </c>
      <c r="V65" s="67">
        <f>$AA63*V57/100</f>
        <v>165.42390282776944</v>
      </c>
      <c r="W65" s="67">
        <f>$AA63*W57/100</f>
        <v>220.64698423789662</v>
      </c>
      <c r="X65" s="67">
        <f>$AA63*X57/100</f>
        <v>156.16575606105732</v>
      </c>
      <c r="AA65" s="1"/>
      <c r="AC65" t="s">
        <v>149</v>
      </c>
      <c r="AD65" s="51">
        <v>0.97743300423131096</v>
      </c>
      <c r="AE65" s="51">
        <v>0.98804458581125898</v>
      </c>
      <c r="AH65">
        <v>1442</v>
      </c>
      <c r="AI65">
        <v>1453</v>
      </c>
    </row>
    <row r="66" spans="1:51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0</v>
      </c>
      <c r="E66" s="18">
        <f>(O57*O57*(100-E62)*(100-E62)*(I57)*(100-I57))/((L57-1)*100)</f>
        <v>0.50266130789769747</v>
      </c>
      <c r="F66" s="18">
        <f>(O58*O58*(100-F62)*(100-F62)*(I58)*(100-I58))/((L58-1)*100)</f>
        <v>3.2853819833632039</v>
      </c>
      <c r="G66" s="18">
        <f>(O59*O59*(100-G62)*(100-G62)*(I59)*(100-I59))/((L59-1)*100)</f>
        <v>19.559368756134585</v>
      </c>
      <c r="R66" t="s">
        <v>93</v>
      </c>
      <c r="S66" t="s">
        <v>28</v>
      </c>
      <c r="T66" s="57">
        <f>C176</f>
        <v>0.2096935728034694</v>
      </c>
      <c r="U66" s="57">
        <f t="shared" ref="U66:X69" si="8">D176</f>
        <v>0.56201577961568616</v>
      </c>
      <c r="V66" s="57">
        <f t="shared" si="8"/>
        <v>61.013107152712927</v>
      </c>
      <c r="W66" s="57">
        <f t="shared" si="8"/>
        <v>31.599417159397742</v>
      </c>
      <c r="X66" s="57">
        <f t="shared" si="8"/>
        <v>6.6157663354701697</v>
      </c>
      <c r="Y66" s="13"/>
      <c r="Z66" s="74"/>
      <c r="AA66" s="12"/>
      <c r="AC66" t="s">
        <v>158</v>
      </c>
      <c r="AD66" s="51">
        <v>0.97214386459802504</v>
      </c>
      <c r="AE66" s="51">
        <v>0.98735675525245503</v>
      </c>
      <c r="AH66" s="78"/>
    </row>
    <row r="67" spans="1:51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0</v>
      </c>
      <c r="E67" s="18">
        <f>E62*E62*(SUM((H55*E55*(1-E44/H44))/(H44-1),(H56*E56*(1-E45/H45))/(H45-1), (H58*E58*(1-E47/H47))/(H47-1),(H59*E59*(1-E48/H48))/(H48-1)))</f>
        <v>164.99828824035049</v>
      </c>
      <c r="F67" s="18">
        <f>F62*F62*(SUM((H55*F55*(1-F44/H44))/(H44-1),(H56*F56*(1-F45/H45))/(H45-1), (H57*F57*(1-F46/H46))/(H46-1),(H59*F59*(1-F48/H48))/(H48-1)))</f>
        <v>77.611674825886411</v>
      </c>
      <c r="G67" s="18">
        <f>G62*G62*(SUM((H55*G55*(1-G44/H44))/(H44-1),(H56*G56*(1-G45/H45))/(H45-1), (H57*G57*(1-G46/H46))/(H46-1),(H58*G58*(1-G47/H47))/(H47-1)))</f>
        <v>269.05492547863832</v>
      </c>
      <c r="S67" s="66" t="s">
        <v>39</v>
      </c>
      <c r="T67" s="67">
        <f>C177</f>
        <v>0</v>
      </c>
      <c r="U67" s="67">
        <f t="shared" si="8"/>
        <v>2.3083114821006941E-2</v>
      </c>
      <c r="V67" s="67">
        <f t="shared" si="8"/>
        <v>0.14538483788208303</v>
      </c>
      <c r="W67" s="67">
        <f t="shared" si="8"/>
        <v>0.24832633019549058</v>
      </c>
      <c r="X67" s="67">
        <f t="shared" si="8"/>
        <v>0.21154912948259946</v>
      </c>
      <c r="AC67" t="s">
        <v>159</v>
      </c>
      <c r="AD67" s="51">
        <v>0.96967559943582504</v>
      </c>
      <c r="AE67" s="51">
        <v>0.98459257602148198</v>
      </c>
      <c r="AI67" s="78"/>
    </row>
    <row r="68" spans="1:51" x14ac:dyDescent="0.3">
      <c r="S68" t="s">
        <v>30</v>
      </c>
      <c r="T68" s="57">
        <f>C178</f>
        <v>100</v>
      </c>
      <c r="U68" s="57">
        <f t="shared" si="8"/>
        <v>100</v>
      </c>
      <c r="V68" s="57">
        <f t="shared" si="8"/>
        <v>99.108476675656405</v>
      </c>
      <c r="W68" s="57">
        <f t="shared" si="8"/>
        <v>99.188528257689711</v>
      </c>
      <c r="X68" s="57">
        <f t="shared" si="8"/>
        <v>88.239946635514983</v>
      </c>
      <c r="AC68" t="s">
        <v>160</v>
      </c>
      <c r="AD68" s="51">
        <v>0.97002820874470996</v>
      </c>
      <c r="AE68" s="51">
        <v>0.98560109690856801</v>
      </c>
      <c r="AH68" s="2"/>
      <c r="AI68" s="2"/>
    </row>
    <row r="69" spans="1:51" x14ac:dyDescent="0.3">
      <c r="S69" s="66" t="s">
        <v>39</v>
      </c>
      <c r="T69" s="67">
        <f>C179</f>
        <v>0</v>
      </c>
      <c r="U69" s="67">
        <f t="shared" si="8"/>
        <v>0</v>
      </c>
      <c r="V69" s="67">
        <f t="shared" si="8"/>
        <v>0.19548394619930262</v>
      </c>
      <c r="W69" s="67">
        <f t="shared" si="8"/>
        <v>0.28366659110660458</v>
      </c>
      <c r="X69" s="67">
        <f t="shared" si="8"/>
        <v>2.8858608732047242</v>
      </c>
      <c r="AC69" t="s">
        <v>161</v>
      </c>
      <c r="AD69" s="51">
        <v>0.97073342736248203</v>
      </c>
      <c r="AE69" s="51">
        <v>0.98484281698643805</v>
      </c>
    </row>
    <row r="70" spans="1:51" x14ac:dyDescent="0.3">
      <c r="A70" s="348" t="s">
        <v>373</v>
      </c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 t="s">
        <v>56</v>
      </c>
      <c r="M70" s="348"/>
      <c r="N70" s="348"/>
      <c r="O70" s="348"/>
      <c r="P70" s="348"/>
      <c r="S70" s="15" t="s">
        <v>31</v>
      </c>
      <c r="T70" s="71">
        <f>I171</f>
        <v>100</v>
      </c>
      <c r="U70" s="71">
        <f>I172</f>
        <v>91.228070175438589</v>
      </c>
      <c r="V70" s="71">
        <f>I173</f>
        <v>99.864314789687924</v>
      </c>
      <c r="W70" s="71">
        <f>I174</f>
        <v>96.907216494845358</v>
      </c>
      <c r="X70" s="71">
        <f>I175</f>
        <v>92.963330029732404</v>
      </c>
      <c r="AC70" t="s">
        <v>162</v>
      </c>
      <c r="AD70" s="51">
        <v>0.97143864598025298</v>
      </c>
      <c r="AE70" s="51">
        <v>0.98743199525936098</v>
      </c>
      <c r="AH70" s="2"/>
      <c r="AI70" s="2"/>
    </row>
    <row r="71" spans="1:51" x14ac:dyDescent="0.3">
      <c r="A71" t="s">
        <v>315</v>
      </c>
      <c r="B71" t="s">
        <v>21</v>
      </c>
      <c r="I71" s="1" t="s">
        <v>53</v>
      </c>
      <c r="O71" s="142"/>
      <c r="P71" s="142"/>
      <c r="S71" s="75" t="s">
        <v>39</v>
      </c>
      <c r="T71" s="76">
        <f>J171</f>
        <v>0</v>
      </c>
      <c r="U71" s="76">
        <f>J172</f>
        <v>3.7802263481198901</v>
      </c>
      <c r="V71" s="76">
        <f>J173</f>
        <v>0.13568521031207589</v>
      </c>
      <c r="W71" s="76">
        <f>J174</f>
        <v>0.71823200493893458</v>
      </c>
      <c r="X71" s="76">
        <f>J175</f>
        <v>0.8055809009974596</v>
      </c>
      <c r="AC71" t="s">
        <v>163</v>
      </c>
      <c r="AD71" s="51">
        <v>0.972849083215796</v>
      </c>
      <c r="AE71" s="51">
        <v>0.986031892696829</v>
      </c>
    </row>
    <row r="72" spans="1:51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51</v>
      </c>
      <c r="O72" s="13"/>
      <c r="P72" s="13"/>
      <c r="S72" s="66" t="s">
        <v>51</v>
      </c>
      <c r="T72" s="67">
        <f>N160*100</f>
        <v>100</v>
      </c>
      <c r="U72" s="67">
        <f>N161*100</f>
        <v>95.412844036697237</v>
      </c>
      <c r="V72" s="67">
        <f>N162*100</f>
        <v>96.52459016393442</v>
      </c>
      <c r="W72" s="67">
        <f>N163*100</f>
        <v>96.000000000000014</v>
      </c>
      <c r="X72" s="67">
        <f>N164*100</f>
        <v>95.665476797552273</v>
      </c>
      <c r="AC72" t="s">
        <v>154</v>
      </c>
      <c r="AD72" s="51">
        <v>0.97390691114245398</v>
      </c>
      <c r="AE72" s="51">
        <v>0.98711305746260603</v>
      </c>
      <c r="AH72" s="2"/>
      <c r="AI72" s="2"/>
    </row>
    <row r="73" spans="1:51" x14ac:dyDescent="0.3">
      <c r="A73" t="s">
        <v>3</v>
      </c>
      <c r="B73" s="13">
        <v>0</v>
      </c>
      <c r="C73" s="26">
        <v>451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451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/>
      <c r="P73" s="1"/>
      <c r="R73" s="16" t="s">
        <v>61</v>
      </c>
      <c r="S73" t="s">
        <v>9</v>
      </c>
      <c r="T73" s="1">
        <f>N171</f>
        <v>202.53</v>
      </c>
      <c r="U73" s="1">
        <f>N172</f>
        <v>595.01</v>
      </c>
      <c r="V73" s="1">
        <f>N173</f>
        <v>58482.76</v>
      </c>
      <c r="W73" s="1">
        <f>N174</f>
        <v>31238.39</v>
      </c>
      <c r="X73" s="1">
        <f>N175</f>
        <v>6065.1</v>
      </c>
      <c r="Z73" t="s">
        <v>36</v>
      </c>
      <c r="AA73" s="1">
        <f>N176</f>
        <v>96583.790000000008</v>
      </c>
      <c r="AC73" t="s">
        <v>164</v>
      </c>
      <c r="AD73" s="51">
        <v>0.972849083215796</v>
      </c>
      <c r="AE73" s="51">
        <v>0.98654330001656199</v>
      </c>
    </row>
    <row r="74" spans="1:51" ht="15.6" x14ac:dyDescent="0.35">
      <c r="A74" t="s">
        <v>4</v>
      </c>
      <c r="B74" s="13">
        <v>1</v>
      </c>
      <c r="C74" s="5">
        <v>0</v>
      </c>
      <c r="D74" s="27">
        <v>52</v>
      </c>
      <c r="E74" s="1">
        <v>5</v>
      </c>
      <c r="F74" s="1">
        <v>0</v>
      </c>
      <c r="G74" s="6">
        <v>0</v>
      </c>
      <c r="H74" s="1">
        <f>SUM(C74:G74)</f>
        <v>57</v>
      </c>
      <c r="I74" s="10">
        <f>D74/H74</f>
        <v>0.91228070175438591</v>
      </c>
      <c r="J74" s="11">
        <f>1-I74</f>
        <v>8.7719298245614086E-2</v>
      </c>
      <c r="K74">
        <f>H74-D78</f>
        <v>0</v>
      </c>
      <c r="N74" s="10">
        <f>2*(D79*I74)/(D79+I74)</f>
        <v>0.91228070175438591</v>
      </c>
      <c r="O74" s="1"/>
      <c r="P74" s="1"/>
      <c r="R74" s="16" t="s">
        <v>318</v>
      </c>
      <c r="S74" t="s">
        <v>63</v>
      </c>
      <c r="T74" s="57">
        <f>$AA73*T66/100</f>
        <v>202.53</v>
      </c>
      <c r="U74" s="57">
        <f>$AA73*U66/100</f>
        <v>542.81614035087716</v>
      </c>
      <c r="V74" s="57">
        <f>$AA73*V66/100</f>
        <v>58928.771284851238</v>
      </c>
      <c r="W74" s="57">
        <f>$AA73*W66/100</f>
        <v>30519.914710456684</v>
      </c>
      <c r="X74" s="57">
        <f>$AA73*X66/100</f>
        <v>6389.7578643412053</v>
      </c>
      <c r="Z74" t="s">
        <v>36</v>
      </c>
      <c r="AA74" s="25">
        <f>SUM(T74:X74)</f>
        <v>96583.790000000008</v>
      </c>
      <c r="AC74" t="s">
        <v>165</v>
      </c>
      <c r="AD74" s="51">
        <v>0.97214386459802504</v>
      </c>
      <c r="AE74" s="51">
        <v>0.98677683056666299</v>
      </c>
      <c r="AH74" s="2"/>
      <c r="AI74" s="2"/>
    </row>
    <row r="75" spans="1:51" x14ac:dyDescent="0.3">
      <c r="A75" t="s">
        <v>5</v>
      </c>
      <c r="B75" s="13">
        <v>2</v>
      </c>
      <c r="C75" s="5">
        <v>0</v>
      </c>
      <c r="D75" s="1">
        <v>0</v>
      </c>
      <c r="E75" s="27">
        <v>736</v>
      </c>
      <c r="F75" s="1">
        <v>1</v>
      </c>
      <c r="G75" s="6">
        <v>0</v>
      </c>
      <c r="H75" s="1">
        <f>SUM(C75:G75)</f>
        <v>737</v>
      </c>
      <c r="I75" s="10">
        <f>E75/H75</f>
        <v>0.99864314789687925</v>
      </c>
      <c r="J75" s="11">
        <f>1-I75</f>
        <v>1.3568521031207537E-3</v>
      </c>
      <c r="K75">
        <f>H75-E78</f>
        <v>-39</v>
      </c>
      <c r="N75" s="10">
        <f>2*(E79*I75)/(E79+I75)</f>
        <v>0.97290152015862519</v>
      </c>
      <c r="O75" s="1"/>
      <c r="P75" s="1"/>
      <c r="R75" s="66"/>
      <c r="S75" s="66" t="s">
        <v>62</v>
      </c>
      <c r="T75" s="67">
        <f>$AA73*T67/100</f>
        <v>0</v>
      </c>
      <c r="U75" s="67">
        <f>$AA73*U67/100</f>
        <v>22.294547144180225</v>
      </c>
      <c r="V75" s="67">
        <f>$AA73*V67/100</f>
        <v>140.41818651187154</v>
      </c>
      <c r="W75" s="67">
        <f>$AA73*W67/100</f>
        <v>239.84298127071924</v>
      </c>
      <c r="X75" s="67">
        <f>$AA73*X67/100</f>
        <v>204.32216696630195</v>
      </c>
      <c r="AA75" s="1"/>
      <c r="AC75" t="s">
        <v>166</v>
      </c>
      <c r="AD75" s="51">
        <v>0.97425952045133901</v>
      </c>
      <c r="AE75" s="51">
        <v>0.98703243610489499</v>
      </c>
    </row>
    <row r="76" spans="1:51" x14ac:dyDescent="0.3">
      <c r="A76" t="s">
        <v>6</v>
      </c>
      <c r="B76" s="13">
        <v>3</v>
      </c>
      <c r="C76" s="5">
        <v>0</v>
      </c>
      <c r="D76" s="1">
        <v>0</v>
      </c>
      <c r="E76" s="1">
        <v>4</v>
      </c>
      <c r="F76" s="27">
        <v>571</v>
      </c>
      <c r="G76" s="6">
        <v>7</v>
      </c>
      <c r="H76" s="1">
        <f>SUM(C76:G76)</f>
        <v>582</v>
      </c>
      <c r="I76" s="10">
        <f>F76/H76</f>
        <v>0.98109965635738827</v>
      </c>
      <c r="J76" s="11">
        <f>1-I76</f>
        <v>1.8900343642611728E-2</v>
      </c>
      <c r="K76">
        <f>H76-F78</f>
        <v>-23</v>
      </c>
      <c r="N76" s="10">
        <f>2*(F79*I76)/(F79+I76)</f>
        <v>0.96208930075821397</v>
      </c>
      <c r="O76" s="1"/>
      <c r="P76" s="1"/>
      <c r="R76" t="s">
        <v>94</v>
      </c>
      <c r="S76" t="s">
        <v>28</v>
      </c>
      <c r="T76" s="57">
        <f>C205</f>
        <v>0.22554507070543925</v>
      </c>
      <c r="U76" s="57">
        <f t="shared" ref="U76:X79" si="9">D205</f>
        <v>0.78964782375454401</v>
      </c>
      <c r="V76" s="57">
        <f t="shared" si="9"/>
        <v>60.950424486472379</v>
      </c>
      <c r="W76" s="57">
        <f t="shared" si="9"/>
        <v>31.434507245839161</v>
      </c>
      <c r="X76" s="57">
        <f t="shared" si="9"/>
        <v>6.5998753732284881</v>
      </c>
      <c r="AC76" t="s">
        <v>167</v>
      </c>
      <c r="AD76" s="51">
        <v>0.97108603667136795</v>
      </c>
      <c r="AE76" s="51">
        <v>0.98655711684354397</v>
      </c>
      <c r="AH76" s="78"/>
      <c r="AI76" s="78"/>
    </row>
    <row r="77" spans="1:51" x14ac:dyDescent="0.3">
      <c r="A77" t="s">
        <v>7</v>
      </c>
      <c r="B77" s="13">
        <v>4</v>
      </c>
      <c r="C77" s="7">
        <v>0</v>
      </c>
      <c r="D77" s="8">
        <v>5</v>
      </c>
      <c r="E77" s="8">
        <v>31</v>
      </c>
      <c r="F77" s="8">
        <v>33</v>
      </c>
      <c r="G77" s="28">
        <v>940</v>
      </c>
      <c r="H77" s="1">
        <f>SUM(C77:G77)</f>
        <v>1009</v>
      </c>
      <c r="I77" s="10">
        <f>G77/H77</f>
        <v>0.93161546085232905</v>
      </c>
      <c r="J77" s="11">
        <f>1-I77</f>
        <v>6.8384539147670953E-2</v>
      </c>
      <c r="K77">
        <f>H77-G78</f>
        <v>62</v>
      </c>
      <c r="N77" s="10">
        <f>2*(G79*I77)/(G79+I77)</f>
        <v>0.96114519427402867</v>
      </c>
      <c r="O77" s="1"/>
      <c r="P77" s="1"/>
      <c r="S77" s="66" t="s">
        <v>39</v>
      </c>
      <c r="T77" s="67">
        <f>C206</f>
        <v>0</v>
      </c>
      <c r="U77" s="67">
        <f t="shared" si="9"/>
        <v>0.10225400277648584</v>
      </c>
      <c r="V77" s="67">
        <f t="shared" si="9"/>
        <v>0.1648313169351226</v>
      </c>
      <c r="W77" s="67">
        <f t="shared" si="9"/>
        <v>0.23430436873515589</v>
      </c>
      <c r="X77" s="67">
        <f t="shared" si="9"/>
        <v>0.18629580685287528</v>
      </c>
      <c r="AC77" t="s">
        <v>168</v>
      </c>
      <c r="AD77" s="51">
        <v>0.97320169252468203</v>
      </c>
      <c r="AE77" s="51">
        <v>0.98847894305919104</v>
      </c>
    </row>
    <row r="78" spans="1:51" ht="15.6" x14ac:dyDescent="0.35">
      <c r="B78" s="1" t="s">
        <v>19</v>
      </c>
      <c r="C78" s="1">
        <f>SUM(C73:C77)</f>
        <v>451</v>
      </c>
      <c r="D78" s="1">
        <f>SUM(D73:D77)</f>
        <v>57</v>
      </c>
      <c r="E78" s="1">
        <f>SUM(E73:E77)</f>
        <v>776</v>
      </c>
      <c r="F78" s="1">
        <f>SUM(F73:F77)</f>
        <v>605</v>
      </c>
      <c r="G78" s="1">
        <f>SUM(G73:G77)</f>
        <v>947</v>
      </c>
      <c r="H78" s="1">
        <f>SUM(H72:H77)</f>
        <v>2836</v>
      </c>
      <c r="I78" s="13" t="s">
        <v>12</v>
      </c>
      <c r="N78" s="16"/>
      <c r="O78" s="1"/>
      <c r="P78" s="1"/>
      <c r="S78" s="70" t="s">
        <v>30</v>
      </c>
      <c r="T78" s="64">
        <f>C207</f>
        <v>100</v>
      </c>
      <c r="U78" s="64">
        <f t="shared" si="9"/>
        <v>80.212669943425425</v>
      </c>
      <c r="V78" s="64">
        <f t="shared" si="9"/>
        <v>99.282664606385822</v>
      </c>
      <c r="W78" s="64">
        <f t="shared" si="9"/>
        <v>99.340486024058478</v>
      </c>
      <c r="X78" s="64">
        <f t="shared" si="9"/>
        <v>90.804540062831364</v>
      </c>
      <c r="AC78" t="s">
        <v>169</v>
      </c>
      <c r="AD78" s="51">
        <v>0.97425952045133901</v>
      </c>
      <c r="AE78" s="51">
        <v>0.98723799752165997</v>
      </c>
      <c r="AH78" s="78"/>
      <c r="AI78" s="78"/>
    </row>
    <row r="79" spans="1:51" x14ac:dyDescent="0.3">
      <c r="A79" s="1" t="s">
        <v>316</v>
      </c>
      <c r="B79" s="1" t="s">
        <v>2</v>
      </c>
      <c r="C79" s="10">
        <f>C73/C78</f>
        <v>1</v>
      </c>
      <c r="D79" s="10">
        <f>D74/D78</f>
        <v>0.91228070175438591</v>
      </c>
      <c r="E79" s="10">
        <f>E75/E78</f>
        <v>0.94845360824742264</v>
      </c>
      <c r="F79" s="10">
        <f>F76/F78</f>
        <v>0.94380165289256202</v>
      </c>
      <c r="G79" s="10">
        <f>G77/G78</f>
        <v>0.99260823653643082</v>
      </c>
      <c r="H79" s="10"/>
      <c r="I79" s="14">
        <f>(C73+D74+E75+F76+G77)/H78</f>
        <v>0.96967559943582515</v>
      </c>
      <c r="S79" s="66" t="s">
        <v>39</v>
      </c>
      <c r="T79" s="67">
        <f>C208</f>
        <v>0</v>
      </c>
      <c r="U79" s="67">
        <f t="shared" si="9"/>
        <v>11.683737655358629</v>
      </c>
      <c r="V79" s="67">
        <f t="shared" si="9"/>
        <v>0.19101611594706636</v>
      </c>
      <c r="W79" s="67">
        <f t="shared" si="9"/>
        <v>0.27827713016664923</v>
      </c>
      <c r="X79" s="67">
        <f t="shared" si="9"/>
        <v>2.5670567443861145</v>
      </c>
      <c r="AC79" t="s">
        <v>170</v>
      </c>
      <c r="AD79" s="51">
        <v>0.96861777150916695</v>
      </c>
      <c r="AE79" s="51">
        <v>0.98766661749014895</v>
      </c>
    </row>
    <row r="80" spans="1:51" x14ac:dyDescent="0.3">
      <c r="B80" s="1" t="s">
        <v>14</v>
      </c>
      <c r="C80" s="11">
        <f>1-C79</f>
        <v>0</v>
      </c>
      <c r="D80" s="11">
        <f>1-D79</f>
        <v>8.7719298245614086E-2</v>
      </c>
      <c r="E80" s="11">
        <f>1-E79</f>
        <v>5.1546391752577359E-2</v>
      </c>
      <c r="F80" s="11">
        <f>1-F79</f>
        <v>5.6198347107437985E-2</v>
      </c>
      <c r="G80" s="11">
        <f>1-G79</f>
        <v>7.3917634635691787E-3</v>
      </c>
      <c r="S80" s="70" t="s">
        <v>31</v>
      </c>
      <c r="T80" s="64">
        <f>I200</f>
        <v>100</v>
      </c>
      <c r="U80" s="64">
        <f>I201</f>
        <v>92.982456140350891</v>
      </c>
      <c r="V80" s="64">
        <f>I202</f>
        <v>99.728629579375848</v>
      </c>
      <c r="W80" s="64">
        <f>I203</f>
        <v>97.250859106529205</v>
      </c>
      <c r="X80" s="64">
        <f>I204</f>
        <v>95.044598612487619</v>
      </c>
      <c r="AC80" t="s">
        <v>171</v>
      </c>
      <c r="AD80" s="51">
        <v>0.96932299012693901</v>
      </c>
      <c r="AE80" s="51">
        <v>0.98482952932580403</v>
      </c>
      <c r="AH80" s="78"/>
      <c r="AI80" s="78"/>
      <c r="AJ80" s="348" t="s">
        <v>374</v>
      </c>
      <c r="AK80" s="348"/>
      <c r="AL80" s="348"/>
      <c r="AM80" s="348"/>
      <c r="AN80" s="348"/>
      <c r="AO80" s="348"/>
      <c r="AP80" s="348"/>
      <c r="AQ80" s="348"/>
      <c r="AR80" s="348"/>
      <c r="AS80" s="348"/>
      <c r="AT80" s="348"/>
      <c r="AU80" s="348" t="s">
        <v>351</v>
      </c>
      <c r="AV80" s="348"/>
      <c r="AW80" s="348"/>
      <c r="AX80" s="348"/>
      <c r="AY80" s="348"/>
    </row>
    <row r="81" spans="1:51" x14ac:dyDescent="0.3">
      <c r="C81" s="2"/>
      <c r="S81" s="66" t="s">
        <v>39</v>
      </c>
      <c r="T81" s="67">
        <f>J200</f>
        <v>0</v>
      </c>
      <c r="U81" s="67">
        <f>J201</f>
        <v>3.4134933513474244</v>
      </c>
      <c r="V81" s="67">
        <f>J202</f>
        <v>0.19175746172356631</v>
      </c>
      <c r="W81" s="67">
        <f>J203</f>
        <v>0.67835519625077212</v>
      </c>
      <c r="X81" s="67">
        <f>J204</f>
        <v>0.68355406992264778</v>
      </c>
      <c r="AC81" t="s">
        <v>172</v>
      </c>
      <c r="AD81" s="51">
        <v>0.96544428772919599</v>
      </c>
      <c r="AE81" s="51">
        <v>0.98317859548762698</v>
      </c>
      <c r="AJ81" t="s">
        <v>315</v>
      </c>
      <c r="AK81" t="s">
        <v>21</v>
      </c>
      <c r="AR81" s="1" t="s">
        <v>53</v>
      </c>
    </row>
    <row r="82" spans="1:51" ht="15.6" x14ac:dyDescent="0.35">
      <c r="A82" t="s">
        <v>317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51</v>
      </c>
      <c r="T82" s="65">
        <f>N189*100</f>
        <v>100</v>
      </c>
      <c r="U82" s="65">
        <f>N190*100</f>
        <v>92.173913043478251</v>
      </c>
      <c r="V82" s="65">
        <f>N191*100</f>
        <v>97.54479097544791</v>
      </c>
      <c r="W82" s="65">
        <f>N192*100</f>
        <v>96.834901625320782</v>
      </c>
      <c r="X82" s="65">
        <f>N193*100</f>
        <v>96.917635169277403</v>
      </c>
      <c r="Z82" s="46"/>
      <c r="AA82" s="46"/>
      <c r="AC82" t="s">
        <v>173</v>
      </c>
      <c r="AD82" s="51">
        <v>0.96967559943582504</v>
      </c>
      <c r="AE82" s="51">
        <v>0.98527540683219295</v>
      </c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51</v>
      </c>
    </row>
    <row r="83" spans="1:51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61</v>
      </c>
      <c r="S83" t="s">
        <v>9</v>
      </c>
      <c r="T83" s="30">
        <f>N200</f>
        <v>217.84</v>
      </c>
      <c r="U83" s="30">
        <f>N201</f>
        <v>657.93</v>
      </c>
      <c r="V83" s="30">
        <f>N202</f>
        <v>58604.99</v>
      </c>
      <c r="W83" s="30">
        <f>N203</f>
        <v>31013</v>
      </c>
      <c r="X83" s="30">
        <f>N204</f>
        <v>6090.04</v>
      </c>
      <c r="Z83" t="s">
        <v>36</v>
      </c>
      <c r="AA83" s="1">
        <f>N205</f>
        <v>96583.799999999988</v>
      </c>
      <c r="AC83" t="s">
        <v>174</v>
      </c>
      <c r="AD83" s="51">
        <v>0.96826516220028203</v>
      </c>
      <c r="AE83" s="51">
        <v>0.98580698725843297</v>
      </c>
      <c r="AJ83" t="s">
        <v>3</v>
      </c>
      <c r="AK83" s="13">
        <v>0</v>
      </c>
      <c r="AL83" s="26">
        <v>451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451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</row>
    <row r="84" spans="1:51" ht="15.6" x14ac:dyDescent="0.35">
      <c r="A84" t="s">
        <v>3</v>
      </c>
      <c r="B84" s="13">
        <v>0</v>
      </c>
      <c r="C84" s="29">
        <f>(C73/$L84)*$O84</f>
        <v>0.21697220444836504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0.21697220444836504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451</v>
      </c>
      <c r="M84">
        <v>0</v>
      </c>
      <c r="N84" s="1">
        <v>209.56</v>
      </c>
      <c r="O84" s="17">
        <f>N84/N89*100</f>
        <v>0.21697220444836504</v>
      </c>
      <c r="P84" s="52">
        <f>((O84*O84*(I84/100)*(K84/100))/(L84-1))</f>
        <v>0</v>
      </c>
      <c r="R84" s="16" t="s">
        <v>318</v>
      </c>
      <c r="S84" t="s">
        <v>63</v>
      </c>
      <c r="T84" s="57">
        <f>$AA83*T76/100</f>
        <v>217.84</v>
      </c>
      <c r="U84" s="57">
        <f>$AA83*U76/100</f>
        <v>762.67187479944118</v>
      </c>
      <c r="V84" s="57">
        <f>$AA83*V76/100</f>
        <v>58868.236085165503</v>
      </c>
      <c r="W84" s="57">
        <f>$AA83*W76/100</f>
        <v>30360.6416093068</v>
      </c>
      <c r="X84" s="57">
        <f>$AA83*X76/100</f>
        <v>6374.4104307282551</v>
      </c>
      <c r="Z84" t="s">
        <v>36</v>
      </c>
      <c r="AA84" s="25">
        <f>SUM(T84:X84)</f>
        <v>96583.8</v>
      </c>
      <c r="AC84" t="s">
        <v>175</v>
      </c>
      <c r="AD84" s="51">
        <v>0.97425952045133901</v>
      </c>
      <c r="AE84" s="51">
        <v>0.98481637390149002</v>
      </c>
      <c r="AH84" s="78"/>
      <c r="AI84" s="78"/>
      <c r="AJ84" t="s">
        <v>4</v>
      </c>
      <c r="AK84" s="13">
        <v>1</v>
      </c>
      <c r="AL84" s="5">
        <v>0</v>
      </c>
      <c r="AM84" s="27">
        <v>53</v>
      </c>
      <c r="AN84" s="1">
        <v>4</v>
      </c>
      <c r="AO84" s="1">
        <v>0</v>
      </c>
      <c r="AP84" s="6">
        <v>0</v>
      </c>
      <c r="AQ84" s="1">
        <f>SUM(AL84:AP84)</f>
        <v>57</v>
      </c>
      <c r="AR84" s="10">
        <f>AM84/AQ84</f>
        <v>0.92982456140350878</v>
      </c>
      <c r="AS84" s="11">
        <f>1-AR84</f>
        <v>7.0175438596491224E-2</v>
      </c>
      <c r="AT84">
        <f>AQ84-AM88</f>
        <v>3</v>
      </c>
      <c r="AW84" s="10">
        <f>2*(AM89*AR84)/(AM89+AR84)</f>
        <v>0.95495495495495497</v>
      </c>
    </row>
    <row r="85" spans="1:51" x14ac:dyDescent="0.3">
      <c r="A85" t="s">
        <v>4</v>
      </c>
      <c r="B85" s="13">
        <v>1</v>
      </c>
      <c r="C85" s="33">
        <f t="shared" ref="C85:G88" si="10">(C74/$L85)*$O85</f>
        <v>0</v>
      </c>
      <c r="D85" s="34">
        <f t="shared" si="10"/>
        <v>0.54348368254557811</v>
      </c>
      <c r="E85" s="19">
        <f t="shared" si="10"/>
        <v>5.2258046398613277E-2</v>
      </c>
      <c r="F85" s="18">
        <f t="shared" si="10"/>
        <v>0</v>
      </c>
      <c r="G85" s="20">
        <f t="shared" si="10"/>
        <v>0</v>
      </c>
      <c r="H85" s="17">
        <f>SUM(C85:G85)</f>
        <v>0.59574172894419142</v>
      </c>
      <c r="I85" s="17">
        <f>D85/H85*100</f>
        <v>91.228070175438589</v>
      </c>
      <c r="J85" s="17">
        <f>SQRT(I85*(100-I85)/(L85-1))</f>
        <v>3.7802263481198901</v>
      </c>
      <c r="K85" s="18">
        <f>100-I85</f>
        <v>8.7719298245614112</v>
      </c>
      <c r="L85" s="1">
        <f>H74</f>
        <v>57</v>
      </c>
      <c r="M85">
        <v>1</v>
      </c>
      <c r="N85" s="1">
        <v>575.39</v>
      </c>
      <c r="O85" s="17">
        <f>N85/N89*100</f>
        <v>0.59574172894419142</v>
      </c>
      <c r="P85" s="52">
        <f>((O85*O85*(I85/100)*(K85/100))/(L85-1))</f>
        <v>5.0716777677421525E-4</v>
      </c>
      <c r="R85" s="66"/>
      <c r="S85" s="66" t="s">
        <v>62</v>
      </c>
      <c r="T85" s="67">
        <f>$AA83*T77/100</f>
        <v>0</v>
      </c>
      <c r="U85" s="67">
        <f>$AA83*U77/100</f>
        <v>98.760801533635529</v>
      </c>
      <c r="V85" s="67">
        <f>$AA83*V77/100</f>
        <v>159.20034948598493</v>
      </c>
      <c r="W85" s="67">
        <f>$AA83*W77/100</f>
        <v>226.30006289042547</v>
      </c>
      <c r="X85" s="67">
        <f>$AA83*X77/100</f>
        <v>179.93156949916735</v>
      </c>
      <c r="AA85" s="1"/>
      <c r="AC85" t="s">
        <v>176</v>
      </c>
      <c r="AD85" s="51">
        <v>0.972849083215796</v>
      </c>
      <c r="AE85" s="51">
        <v>0.98815125141801996</v>
      </c>
      <c r="AJ85" t="s">
        <v>5</v>
      </c>
      <c r="AK85" s="13">
        <v>2</v>
      </c>
      <c r="AL85" s="5">
        <v>0</v>
      </c>
      <c r="AM85" s="1">
        <v>0</v>
      </c>
      <c r="AN85" s="27">
        <v>736</v>
      </c>
      <c r="AO85" s="1">
        <v>1</v>
      </c>
      <c r="AP85" s="6">
        <v>0</v>
      </c>
      <c r="AQ85" s="1">
        <f>SUM(AL85:AP85)</f>
        <v>737</v>
      </c>
      <c r="AR85" s="10">
        <f>AN85/AQ85</f>
        <v>0.99864314789687925</v>
      </c>
      <c r="AS85" s="11">
        <f>1-AR85</f>
        <v>1.3568521031207537E-3</v>
      </c>
      <c r="AT85">
        <f>AQ85-AN88</f>
        <v>-42</v>
      </c>
      <c r="AW85" s="10">
        <f>2*(AN89*AR85)/(AN89+AR85)</f>
        <v>0.97097625329815296</v>
      </c>
    </row>
    <row r="86" spans="1:51" x14ac:dyDescent="0.3">
      <c r="A86" t="s">
        <v>5</v>
      </c>
      <c r="B86" s="13">
        <v>2</v>
      </c>
      <c r="C86" s="33">
        <f t="shared" si="10"/>
        <v>0</v>
      </c>
      <c r="D86" s="19">
        <f t="shared" si="10"/>
        <v>0</v>
      </c>
      <c r="E86" s="34">
        <f t="shared" si="10"/>
        <v>60.961218981011122</v>
      </c>
      <c r="F86" s="19">
        <f t="shared" si="10"/>
        <v>8.2827743180721627E-2</v>
      </c>
      <c r="G86" s="20">
        <f t="shared" si="10"/>
        <v>0</v>
      </c>
      <c r="H86" s="17">
        <f>SUM(C86:G86)</f>
        <v>61.044046724191844</v>
      </c>
      <c r="I86" s="17">
        <f>E86/H86*100</f>
        <v>99.864314789687924</v>
      </c>
      <c r="J86" s="17">
        <f>SQRT(I86*(100-I86)/(L86-1))</f>
        <v>0.13568521031207589</v>
      </c>
      <c r="K86" s="18">
        <f>100-I86</f>
        <v>0.13568521031207581</v>
      </c>
      <c r="L86" s="1">
        <f>H75</f>
        <v>737</v>
      </c>
      <c r="M86">
        <v>2</v>
      </c>
      <c r="N86" s="1">
        <v>58958.66</v>
      </c>
      <c r="O86" s="17">
        <f>N86/N89*100</f>
        <v>61.044046724191844</v>
      </c>
      <c r="P86" s="52">
        <f>((O86*O86*(I86/100)*(K86/100))/(L86-1))</f>
        <v>6.8604350404115697E-3</v>
      </c>
      <c r="R86" t="s">
        <v>95</v>
      </c>
      <c r="S86" s="70" t="s">
        <v>28</v>
      </c>
      <c r="T86" s="64">
        <f>C234</f>
        <v>0.28611414552890552</v>
      </c>
      <c r="U86" s="64">
        <f t="shared" ref="U86:X89" si="11">D234</f>
        <v>0.61790474075531066</v>
      </c>
      <c r="V86" s="64">
        <f t="shared" si="11"/>
        <v>61.833863318881669</v>
      </c>
      <c r="W86" s="64">
        <f t="shared" si="11"/>
        <v>31.263471867809685</v>
      </c>
      <c r="X86" s="64">
        <f t="shared" si="11"/>
        <v>5.9986459270244286</v>
      </c>
      <c r="AA86" s="12"/>
      <c r="AC86" t="s">
        <v>177</v>
      </c>
      <c r="AD86" s="51">
        <v>0.96720733427362404</v>
      </c>
      <c r="AE86" s="51">
        <v>0.98542892219457701</v>
      </c>
      <c r="AH86" s="78"/>
      <c r="AI86" s="78"/>
      <c r="AJ86" t="s">
        <v>6</v>
      </c>
      <c r="AK86" s="13">
        <v>3</v>
      </c>
      <c r="AL86" s="5">
        <v>0</v>
      </c>
      <c r="AM86" s="1">
        <v>0</v>
      </c>
      <c r="AN86" s="1">
        <v>4</v>
      </c>
      <c r="AO86" s="27">
        <v>567</v>
      </c>
      <c r="AP86" s="6">
        <v>11</v>
      </c>
      <c r="AQ86" s="1">
        <f>SUM(AL86:AP86)</f>
        <v>582</v>
      </c>
      <c r="AR86" s="10">
        <f>AO86/AQ86</f>
        <v>0.97422680412371132</v>
      </c>
      <c r="AS86" s="11">
        <f>1-AR86</f>
        <v>2.5773195876288679E-2</v>
      </c>
      <c r="AT86">
        <f>AQ86-AO88</f>
        <v>-13</v>
      </c>
      <c r="AW86" s="10">
        <f>2*(AO89*AR86)/(AO89+AR86)</f>
        <v>0.96346644010195415</v>
      </c>
    </row>
    <row r="87" spans="1:51" x14ac:dyDescent="0.3">
      <c r="A87" t="s">
        <v>6</v>
      </c>
      <c r="B87" s="13">
        <v>3</v>
      </c>
      <c r="C87" s="33">
        <f t="shared" si="10"/>
        <v>0</v>
      </c>
      <c r="D87" s="19">
        <f t="shared" si="10"/>
        <v>0</v>
      </c>
      <c r="E87" s="19">
        <f t="shared" si="10"/>
        <v>0.2207477837257846</v>
      </c>
      <c r="F87" s="34">
        <f t="shared" si="10"/>
        <v>31.511746126855751</v>
      </c>
      <c r="G87" s="20">
        <f t="shared" si="10"/>
        <v>0.38630862152012307</v>
      </c>
      <c r="H87" s="17">
        <f>SUM(C87:G87)</f>
        <v>32.118802532101661</v>
      </c>
      <c r="I87" s="17">
        <f>F87/H87*100</f>
        <v>98.109965635738831</v>
      </c>
      <c r="J87" s="17">
        <f>SQRT(I87*(100-I87)/(L87-1))</f>
        <v>0.5649413271715471</v>
      </c>
      <c r="K87" s="18">
        <f>100-I87</f>
        <v>1.8900343642611688</v>
      </c>
      <c r="L87" s="1">
        <f>H76</f>
        <v>582</v>
      </c>
      <c r="M87">
        <v>3</v>
      </c>
      <c r="N87" s="1">
        <v>31021.56</v>
      </c>
      <c r="O87" s="17">
        <f>N87/N89*100</f>
        <v>32.118802532101661</v>
      </c>
      <c r="P87" s="52">
        <f>((O87*O87*(I87/100)*(K87/100))/(L87-1))</f>
        <v>3.2924969581395375E-2</v>
      </c>
      <c r="S87" s="66" t="s">
        <v>39</v>
      </c>
      <c r="T87" s="67">
        <f>C235</f>
        <v>5.4651513041026167E-2</v>
      </c>
      <c r="U87" s="67">
        <f t="shared" si="11"/>
        <v>5.8367652865048317E-2</v>
      </c>
      <c r="V87" s="67">
        <f t="shared" si="11"/>
        <v>0.15378910172866755</v>
      </c>
      <c r="W87" s="67">
        <f t="shared" si="11"/>
        <v>0.22715382645634294</v>
      </c>
      <c r="X87" s="67">
        <f t="shared" si="11"/>
        <v>0.16112590996235454</v>
      </c>
      <c r="AC87" t="s">
        <v>178</v>
      </c>
      <c r="AD87" s="51">
        <v>0.980253878702397</v>
      </c>
      <c r="AE87" s="51">
        <v>0.98926265582684403</v>
      </c>
      <c r="AJ87" t="s">
        <v>7</v>
      </c>
      <c r="AK87" s="13">
        <v>4</v>
      </c>
      <c r="AL87" s="7">
        <v>0</v>
      </c>
      <c r="AM87" s="8">
        <v>1</v>
      </c>
      <c r="AN87" s="8">
        <v>35</v>
      </c>
      <c r="AO87" s="8">
        <v>27</v>
      </c>
      <c r="AP87" s="28">
        <v>946</v>
      </c>
      <c r="AQ87" s="1">
        <f>SUM(AL87:AP87)</f>
        <v>1009</v>
      </c>
      <c r="AR87" s="10">
        <f>AP87/AQ87</f>
        <v>0.93756194251734393</v>
      </c>
      <c r="AS87" s="11">
        <f>1-AR87</f>
        <v>6.2438057482656073E-2</v>
      </c>
      <c r="AT87">
        <f>AQ87-AP88</f>
        <v>52</v>
      </c>
      <c r="AW87" s="10">
        <f>2*(AP89*AR87)/(AP89+AR87)</f>
        <v>0.96236012207527977</v>
      </c>
    </row>
    <row r="88" spans="1:51" ht="15.6" x14ac:dyDescent="0.35">
      <c r="A88" t="s">
        <v>7</v>
      </c>
      <c r="B88" s="13">
        <v>4</v>
      </c>
      <c r="C88" s="35">
        <f t="shared" si="10"/>
        <v>0</v>
      </c>
      <c r="D88" s="36">
        <f t="shared" si="10"/>
        <v>2.9853502528810427E-2</v>
      </c>
      <c r="E88" s="21">
        <f t="shared" si="10"/>
        <v>0.18509171567862465</v>
      </c>
      <c r="F88" s="21">
        <f t="shared" si="10"/>
        <v>0.19703311669014884</v>
      </c>
      <c r="G88" s="37">
        <f t="shared" si="10"/>
        <v>5.6124584754163607</v>
      </c>
      <c r="H88" s="17">
        <f>SUM(C88:G88)</f>
        <v>6.0244368103139445</v>
      </c>
      <c r="I88" s="17">
        <f>G88/H88*100</f>
        <v>93.161546085232899</v>
      </c>
      <c r="J88" s="17">
        <f>SQRT(I88*(100-I88)/(L88-1))</f>
        <v>0.79499983748395853</v>
      </c>
      <c r="K88" s="18">
        <f>100-I88</f>
        <v>6.8384539147671006</v>
      </c>
      <c r="L88" s="1">
        <f>H77</f>
        <v>1009</v>
      </c>
      <c r="M88">
        <v>4</v>
      </c>
      <c r="N88" s="1">
        <v>5818.63</v>
      </c>
      <c r="O88" s="17">
        <f>N88/N89*100</f>
        <v>6.0244368103139445</v>
      </c>
      <c r="P88" s="52">
        <f>((O88*O88*(I88/100)*(K88/100))/(L88-1))</f>
        <v>2.2938604140712955E-3</v>
      </c>
      <c r="S88" t="s">
        <v>30</v>
      </c>
      <c r="T88" s="57">
        <f>C236</f>
        <v>80.882271653212598</v>
      </c>
      <c r="U88" s="57">
        <f t="shared" si="11"/>
        <v>91.147741472725059</v>
      </c>
      <c r="V88" s="57">
        <f t="shared" si="11"/>
        <v>99.066632790338502</v>
      </c>
      <c r="W88" s="57">
        <f t="shared" si="11"/>
        <v>99.202237886676031</v>
      </c>
      <c r="X88" s="57">
        <f t="shared" si="11"/>
        <v>92.70521704139577</v>
      </c>
      <c r="AC88" t="s">
        <v>179</v>
      </c>
      <c r="AD88" s="51">
        <v>0.97143864598025298</v>
      </c>
      <c r="AE88" s="51">
        <v>0.98496083895735298</v>
      </c>
      <c r="AH88" s="78"/>
      <c r="AI88" s="78"/>
      <c r="AK88" s="1" t="s">
        <v>19</v>
      </c>
      <c r="AL88" s="1">
        <f>SUM(AL83:AL87)</f>
        <v>451</v>
      </c>
      <c r="AM88" s="1">
        <f>SUM(AM83:AM87)</f>
        <v>54</v>
      </c>
      <c r="AN88" s="1">
        <f>SUM(AN83:AN87)</f>
        <v>779</v>
      </c>
      <c r="AO88" s="1">
        <f>SUM(AO83:AO87)</f>
        <v>595</v>
      </c>
      <c r="AP88" s="1">
        <f>SUM(AP83:AP87)</f>
        <v>957</v>
      </c>
      <c r="AQ88" s="1">
        <f>SUM(AQ82:AQ87)</f>
        <v>2836</v>
      </c>
      <c r="AR88" s="13" t="s">
        <v>12</v>
      </c>
    </row>
    <row r="89" spans="1:51" x14ac:dyDescent="0.3">
      <c r="B89" t="s">
        <v>28</v>
      </c>
      <c r="C89" s="17">
        <f>SUM(C84:C88)</f>
        <v>0.21697220444836504</v>
      </c>
      <c r="D89" s="17">
        <f>SUM(D84:D88)</f>
        <v>0.57333718507438858</v>
      </c>
      <c r="E89" s="17">
        <f>SUM(E84:E88)</f>
        <v>61.419316526814143</v>
      </c>
      <c r="F89" s="17">
        <f>SUM(F84:F88)</f>
        <v>31.791606986726624</v>
      </c>
      <c r="G89" s="17">
        <f>SUM(G84:G88)</f>
        <v>5.9987670969364837</v>
      </c>
      <c r="H89" s="1">
        <f>SUM(H83:H88)</f>
        <v>100</v>
      </c>
      <c r="I89" s="13" t="s">
        <v>24</v>
      </c>
      <c r="J89" s="12" t="s">
        <v>29</v>
      </c>
      <c r="N89" s="1">
        <f>SUM(N84:N88)</f>
        <v>96583.8</v>
      </c>
      <c r="O89" s="17">
        <f>SUM(O84:O88)</f>
        <v>100</v>
      </c>
      <c r="S89" s="66" t="s">
        <v>39</v>
      </c>
      <c r="T89" s="67">
        <f>C237</f>
        <v>15.46285297537182</v>
      </c>
      <c r="U89" s="67">
        <f t="shared" si="11"/>
        <v>8.5951625388140478</v>
      </c>
      <c r="V89" s="67">
        <f t="shared" si="11"/>
        <v>0.20784275966065277</v>
      </c>
      <c r="W89" s="67">
        <f t="shared" si="11"/>
        <v>0.28681406901693068</v>
      </c>
      <c r="X89" s="67">
        <f t="shared" si="11"/>
        <v>2.4487598702607194</v>
      </c>
      <c r="AC89" t="s">
        <v>180</v>
      </c>
      <c r="AD89" s="51">
        <v>0.97708039492242504</v>
      </c>
      <c r="AE89" s="51">
        <v>0.98681248046111303</v>
      </c>
      <c r="AJ89" s="1" t="s">
        <v>316</v>
      </c>
      <c r="AK89" s="1" t="s">
        <v>2</v>
      </c>
      <c r="AL89" s="10">
        <f>AL83/AL88</f>
        <v>1</v>
      </c>
      <c r="AM89" s="10">
        <f>AM84/AM88</f>
        <v>0.98148148148148151</v>
      </c>
      <c r="AN89" s="10">
        <f>AN85/AN88</f>
        <v>0.94480102695763801</v>
      </c>
      <c r="AO89" s="10">
        <f>AO86/AO88</f>
        <v>0.95294117647058818</v>
      </c>
      <c r="AP89" s="10">
        <f>AP87/AP88</f>
        <v>0.9885057471264368</v>
      </c>
      <c r="AQ89" s="10"/>
      <c r="AR89" s="14">
        <f>(AL83+AM84+AN85+AO86+AP87)/AQ88</f>
        <v>0.97073342736248236</v>
      </c>
    </row>
    <row r="90" spans="1:51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2.5992943985876284E-2</v>
      </c>
      <c r="E90" s="18">
        <f>SQRT(SUM((O84*O84*(E84/O84)*(1-E84/O84))/L84,(O85*O85*(E85/O85)*(1-E85/O85))/L85,(O86*O86*(E86/O86)*(1-E86/O86))/L86,(O87*O87*(E87/O87)*(1-E87/O87))/L87,(O88*O88*(E88/O88)*(1-E88/O88))/L88))</f>
        <v>0.14324537889933545</v>
      </c>
      <c r="F90" s="18">
        <f>SQRT(SUM((O84*O84*(F84/O84)*(1-F84/O84))/L84,(O85*O85*(F85/O85)*(1-F85/O85))/L85,(O86*O86*(F86/O86)*(1-F86/O86))/L86,(O87*O87*(F87/O87)*(1-F87/O87))/L87,(O88*O88*(F88/O88)*(1-F88/O88))/L88))</f>
        <v>0.20213231774191118</v>
      </c>
      <c r="G90" s="18">
        <f>SQRT(SUM((O84*O84*(G84/O84)*(1-G84/O84))/L84,(O85*O85*(G85/O85)*(1-G85/O85))/L85,(O86*O86*(G86/O86)*(1-G86/O86))/L86,(O87*O87*(G87/O87)*(1-G87/O87))/L87,(O88*O88*(G88/O88)*(1-G88/O88))/L88))</f>
        <v>0.15282134540757303</v>
      </c>
      <c r="H90" s="1"/>
      <c r="I90" s="14">
        <f>(C84+D85+E86+F87+G88)/H89</f>
        <v>0.98845879470277187</v>
      </c>
      <c r="J90" s="53">
        <f>SQRT(SUM(P84:P88))/100</f>
        <v>2.0636480516951637E-3</v>
      </c>
      <c r="M90" s="1"/>
      <c r="N90" s="9"/>
      <c r="S90" t="s">
        <v>31</v>
      </c>
      <c r="T90" s="57">
        <f>I229</f>
        <v>100</v>
      </c>
      <c r="U90" s="57">
        <f>I230</f>
        <v>92.982456140350877</v>
      </c>
      <c r="V90" s="57">
        <f>I231</f>
        <v>99.864314789687924</v>
      </c>
      <c r="W90" s="57">
        <f>I232</f>
        <v>97.422680412371136</v>
      </c>
      <c r="X90" s="57">
        <f>I233</f>
        <v>92.864222001982156</v>
      </c>
      <c r="AC90" t="s">
        <v>181</v>
      </c>
      <c r="AD90" s="51">
        <v>0.97073342736248203</v>
      </c>
      <c r="AE90" s="51">
        <v>0.98624471796768998</v>
      </c>
      <c r="AH90" s="78"/>
      <c r="AI90" s="78"/>
      <c r="AK90" s="1" t="s">
        <v>14</v>
      </c>
      <c r="AL90" s="11">
        <f>1-AL89</f>
        <v>0</v>
      </c>
      <c r="AM90" s="11">
        <f>1-AM89</f>
        <v>1.851851851851849E-2</v>
      </c>
      <c r="AN90" s="11">
        <f>1-AN89</f>
        <v>5.5198973042361987E-2</v>
      </c>
      <c r="AO90" s="11">
        <f>1-AO89</f>
        <v>4.705882352941182E-2</v>
      </c>
      <c r="AP90" s="11">
        <f>1-AP89</f>
        <v>1.1494252873563204E-2</v>
      </c>
    </row>
    <row r="91" spans="1:51" x14ac:dyDescent="0.3">
      <c r="B91" s="1" t="s">
        <v>30</v>
      </c>
      <c r="C91" s="17">
        <f>C84/C89*100</f>
        <v>100</v>
      </c>
      <c r="D91" s="17">
        <f>D85/D89*100</f>
        <v>94.793028726204625</v>
      </c>
      <c r="E91" s="17">
        <f>E86/E89*100</f>
        <v>99.254147438122303</v>
      </c>
      <c r="F91" s="17">
        <f>F87/F89*100</f>
        <v>99.119702064800578</v>
      </c>
      <c r="G91" s="17">
        <f>G88/G89*100</f>
        <v>93.560199699744857</v>
      </c>
      <c r="H91" s="1"/>
      <c r="S91" s="66" t="s">
        <v>39</v>
      </c>
      <c r="T91" s="67">
        <f>J229</f>
        <v>0</v>
      </c>
      <c r="U91" s="67">
        <f>J230</f>
        <v>3.4134933513474275</v>
      </c>
      <c r="V91" s="67">
        <f>J231</f>
        <v>0.13568521031207589</v>
      </c>
      <c r="W91" s="67">
        <f>J232</f>
        <v>0.65739456332296642</v>
      </c>
      <c r="X91" s="67">
        <f>J233</f>
        <v>0.81080162675050105</v>
      </c>
      <c r="AC91" t="s">
        <v>182</v>
      </c>
      <c r="AD91" s="51">
        <v>0.97073342736248203</v>
      </c>
      <c r="AE91" s="51">
        <v>0.98667919852418295</v>
      </c>
      <c r="AL91" s="2"/>
    </row>
    <row r="92" spans="1:51" ht="15.6" x14ac:dyDescent="0.35">
      <c r="B92" s="16" t="s">
        <v>39</v>
      </c>
      <c r="C92" s="18">
        <f>SQRT((C95+C96)/(C89*C89))</f>
        <v>0</v>
      </c>
      <c r="D92" s="18">
        <f>SQRT((D95+D96)/(D89*D89))</f>
        <v>3.0060461601521986</v>
      </c>
      <c r="E92" s="18">
        <f>SQRT((E95+E96)/(E89*E89))</f>
        <v>0.18940859952751385</v>
      </c>
      <c r="F92" s="18">
        <f>SQRT((F95+F96)/(F89*F89))</f>
        <v>0.28334578177664432</v>
      </c>
      <c r="G92" s="18">
        <f>SQRT((G95+G96)/(G89*G89))</f>
        <v>2.3230923752016692</v>
      </c>
      <c r="H92" s="1"/>
      <c r="S92" s="66" t="s">
        <v>51</v>
      </c>
      <c r="T92" s="67">
        <f>N218*100</f>
        <v>99.889258028792909</v>
      </c>
      <c r="U92" s="67">
        <f>N219*100</f>
        <v>95.495495495495504</v>
      </c>
      <c r="V92" s="67">
        <f>N220*100</f>
        <v>96.461336828309314</v>
      </c>
      <c r="W92" s="67">
        <f>N221*100</f>
        <v>96.264855687606115</v>
      </c>
      <c r="X92" s="67">
        <f>N222*100</f>
        <v>95.905834186284537</v>
      </c>
      <c r="AC92" t="s">
        <v>183</v>
      </c>
      <c r="AD92" s="51">
        <v>0.97143864598025298</v>
      </c>
      <c r="AE92" s="51">
        <v>0.98545512062935103</v>
      </c>
      <c r="AH92" s="78"/>
      <c r="AI92" s="78"/>
      <c r="AJ92" t="s">
        <v>317</v>
      </c>
      <c r="AK92" s="15" t="s">
        <v>23</v>
      </c>
      <c r="AW92" s="12" t="s">
        <v>17</v>
      </c>
      <c r="AX92" s="1" t="s">
        <v>27</v>
      </c>
      <c r="AY92" s="1" t="s">
        <v>33</v>
      </c>
    </row>
    <row r="93" spans="1:51" ht="15.6" x14ac:dyDescent="0.35">
      <c r="B93" s="1" t="s">
        <v>37</v>
      </c>
      <c r="C93" s="18">
        <f>100-C91</f>
        <v>0</v>
      </c>
      <c r="D93" s="18">
        <f>100-D91</f>
        <v>5.2069712737953751</v>
      </c>
      <c r="E93" s="18">
        <f>100-E91</f>
        <v>0.74585256187769744</v>
      </c>
      <c r="F93" s="18">
        <f>100-F91</f>
        <v>0.88029793519942245</v>
      </c>
      <c r="G93" s="18">
        <f>100-G91</f>
        <v>6.4398003002551434</v>
      </c>
      <c r="R93" s="16" t="s">
        <v>61</v>
      </c>
      <c r="S93" t="s">
        <v>9</v>
      </c>
      <c r="T93" s="30">
        <f>N229</f>
        <v>223.51</v>
      </c>
      <c r="U93" s="30">
        <f>N230</f>
        <v>585.02</v>
      </c>
      <c r="V93" s="30">
        <f>N231</f>
        <v>59244.46</v>
      </c>
      <c r="W93" s="30">
        <f>N232</f>
        <v>30747.01</v>
      </c>
      <c r="X93" s="30">
        <f>N233</f>
        <v>5783.8</v>
      </c>
      <c r="Z93" t="s">
        <v>36</v>
      </c>
      <c r="AA93" s="1">
        <f>N234</f>
        <v>96583.8</v>
      </c>
      <c r="AC93" t="s">
        <v>184</v>
      </c>
      <c r="AD93" s="51">
        <v>0.97108603667136795</v>
      </c>
      <c r="AE93" s="51">
        <v>0.98765466574968697</v>
      </c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</row>
    <row r="94" spans="1:51" ht="15.6" x14ac:dyDescent="0.35">
      <c r="B94" s="1" t="s">
        <v>25</v>
      </c>
      <c r="C94" s="1">
        <f>C78</f>
        <v>451</v>
      </c>
      <c r="D94" s="1">
        <f>D78</f>
        <v>57</v>
      </c>
      <c r="E94" s="1">
        <f>E78</f>
        <v>776</v>
      </c>
      <c r="F94" s="1">
        <f>F78</f>
        <v>605</v>
      </c>
      <c r="G94" s="1">
        <f>G78</f>
        <v>947</v>
      </c>
      <c r="R94" s="16" t="s">
        <v>318</v>
      </c>
      <c r="S94" t="s">
        <v>63</v>
      </c>
      <c r="T94" s="57">
        <f>$AA93*T86/100</f>
        <v>276.33991408934702</v>
      </c>
      <c r="U94" s="57">
        <f>$AA93*U86/100</f>
        <v>596.79587900162778</v>
      </c>
      <c r="V94" s="57">
        <f>$AA93*V86/100</f>
        <v>59721.494880182036</v>
      </c>
      <c r="W94" s="57">
        <f>$AA93*W86/100</f>
        <v>30195.449141861573</v>
      </c>
      <c r="X94" s="57">
        <f>$AA93*X86/100</f>
        <v>5793.7201848654204</v>
      </c>
      <c r="Z94" t="s">
        <v>36</v>
      </c>
      <c r="AA94" s="25">
        <f>SUM(T94:X94)</f>
        <v>96583.8</v>
      </c>
      <c r="AC94" t="s">
        <v>185</v>
      </c>
      <c r="AD94" s="51">
        <v>0.97143864598025298</v>
      </c>
      <c r="AE94" s="51">
        <v>0.98622871651447297</v>
      </c>
      <c r="AH94" s="78"/>
      <c r="AI94" s="78"/>
      <c r="AJ94" t="s">
        <v>3</v>
      </c>
      <c r="AK94" s="13">
        <v>0</v>
      </c>
      <c r="AL94" s="29">
        <f>(AL83/$AU94)*$AX94</f>
        <v>0.22256322722477551</v>
      </c>
      <c r="AM94" s="31">
        <f t="shared" ref="AM94:AO95" si="12">(AM83/$AU94)*$AX94</f>
        <v>0</v>
      </c>
      <c r="AN94" s="31">
        <f t="shared" si="12"/>
        <v>0</v>
      </c>
      <c r="AO94" s="31">
        <f t="shared" si="12"/>
        <v>0</v>
      </c>
      <c r="AP94" s="32">
        <f>(AP83/$AU94)*$AX94</f>
        <v>0</v>
      </c>
      <c r="AQ94" s="17">
        <f>SUM(AL94:AP94)</f>
        <v>0.22256322722477551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451</v>
      </c>
      <c r="AV94">
        <v>0</v>
      </c>
      <c r="AW94" s="1">
        <v>214.96</v>
      </c>
      <c r="AX94" s="17">
        <f>AW94/AW99*100</f>
        <v>0.22256322722477551</v>
      </c>
      <c r="AY94" s="52">
        <f>((AX94*AX94*(AR94/100)*(AT94/100))/(AU94-1))</f>
        <v>0</v>
      </c>
    </row>
    <row r="95" spans="1:51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1.375061162814196</v>
      </c>
      <c r="E95" s="18">
        <f>(O86*O86*(100-E91)*(100-E91)*(I86)*(100-I86))/((L86-1)*100)</f>
        <v>0.38164328735082997</v>
      </c>
      <c r="F95" s="18">
        <f>(O87*O87*(100-F91)*(100-F91)*(I87)*(100-I87))/((L87-1)*100)</f>
        <v>2.5514364099415765</v>
      </c>
      <c r="G95" s="18">
        <f>(O88*O88*(100-G91)*(100-G91)*(I88)*(100-I88))/((L88-1)*100)</f>
        <v>9.5128749247094593</v>
      </c>
      <c r="R95" s="66"/>
      <c r="S95" s="66" t="s">
        <v>62</v>
      </c>
      <c r="T95" s="67">
        <f>$AA93*T87/100</f>
        <v>52.784508052518632</v>
      </c>
      <c r="U95" s="67">
        <f>$AA93*U87/100</f>
        <v>56.373697107872538</v>
      </c>
      <c r="V95" s="67">
        <f>$AA93*V87/100</f>
        <v>148.53535843541283</v>
      </c>
      <c r="W95" s="67">
        <f>$AA93*W87/100</f>
        <v>219.39379743694136</v>
      </c>
      <c r="X95" s="67">
        <f>$AA93*X87/100</f>
        <v>155.62152662622057</v>
      </c>
      <c r="AA95" s="1"/>
      <c r="AC95" t="s">
        <v>186</v>
      </c>
      <c r="AD95" s="51">
        <v>0.97496473906911096</v>
      </c>
      <c r="AE95" s="51">
        <v>0.98732678349906799</v>
      </c>
      <c r="AJ95" t="s">
        <v>4</v>
      </c>
      <c r="AK95" s="13">
        <v>1</v>
      </c>
      <c r="AL95" s="33">
        <f t="shared" ref="AL95:AO98" si="13">(AL84/$AU95)*$AX95</f>
        <v>0</v>
      </c>
      <c r="AM95" s="34">
        <f>(AM84/$AU95)*$AX95</f>
        <v>0.49274532016517253</v>
      </c>
      <c r="AN95" s="19">
        <f t="shared" si="12"/>
        <v>3.7188326050201698E-2</v>
      </c>
      <c r="AO95" s="18">
        <f t="shared" si="12"/>
        <v>0</v>
      </c>
      <c r="AP95" s="20">
        <f>(AP84/$AU95)*$AX95</f>
        <v>0</v>
      </c>
      <c r="AQ95" s="17">
        <f>SUM(AL95:AP95)</f>
        <v>0.5299336462153742</v>
      </c>
      <c r="AR95" s="17">
        <f>AM95/AQ95*100</f>
        <v>92.982456140350877</v>
      </c>
      <c r="AS95" s="17">
        <f>SQRT(AR95*(100-AR95)/(AU95-1))</f>
        <v>3.4134933513474275</v>
      </c>
      <c r="AT95" s="18">
        <f>100-AR95</f>
        <v>7.0175438596491233</v>
      </c>
      <c r="AU95" s="1">
        <f>AQ84</f>
        <v>57</v>
      </c>
      <c r="AV95">
        <v>1</v>
      </c>
      <c r="AW95" s="1">
        <v>511.83</v>
      </c>
      <c r="AX95" s="17">
        <f>AW95/AW99*100</f>
        <v>0.5299336462153742</v>
      </c>
      <c r="AY95" s="52">
        <f>((AX95*AX95*(AR95/100)*(AT95/100))/(AU95-1))</f>
        <v>3.2722095760738328E-4</v>
      </c>
    </row>
    <row r="96" spans="1:51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1.5953154041822988</v>
      </c>
      <c r="E96" s="18">
        <f>E91*E91*(SUM((H84*E84*(1-E73/H73))/(H73-1),(H85*E85*(1-E74/H74))/(H74-1), (H87*E87*(1-E76/H76))/(H76-1),(H88*E88*(1-E77/H77))/(H77-1)))</f>
        <v>134.95311278978758</v>
      </c>
      <c r="F96" s="18">
        <f>F91*F91*(SUM((H84*F84*(1-F73/H73))/(H73-1),(H85*F85*(1-F74/H74))/(H74-1), (H86*F86*(1-F75/H75))/(H75-1),(H88*F88*(1-F77/H77))/(H77-1)))</f>
        <v>78.592947114760292</v>
      </c>
      <c r="G96" s="18">
        <f>G91*G91*(SUM((H84*G84*(1-G73/H73))/(H73-1),(H85*G85*(1-G74/H74))/(H74-1), (H86*G86*(1-G75/H75))/(H75-1),(H87*G87*(1-G76/H76))/(H76-1)))</f>
        <v>184.69058373618424</v>
      </c>
      <c r="R96" t="s">
        <v>96</v>
      </c>
      <c r="S96" t="s">
        <v>28</v>
      </c>
      <c r="T96" s="57">
        <f>C263</f>
        <v>0.27467164902520175</v>
      </c>
      <c r="U96" s="57">
        <f t="shared" ref="U96:X99" si="14">D263</f>
        <v>0.56298358987958363</v>
      </c>
      <c r="V96" s="57">
        <f t="shared" si="14"/>
        <v>61.711005878393777</v>
      </c>
      <c r="W96" s="57">
        <f t="shared" si="14"/>
        <v>31.25540402202418</v>
      </c>
      <c r="X96" s="57">
        <f t="shared" si="14"/>
        <v>6.195934860677264</v>
      </c>
      <c r="Y96" s="13"/>
      <c r="Z96" s="74"/>
      <c r="AA96" s="12"/>
      <c r="AC96" t="s">
        <v>187</v>
      </c>
      <c r="AD96" s="51"/>
      <c r="AE96" s="51"/>
      <c r="AH96" s="78"/>
      <c r="AI96" s="78"/>
      <c r="AJ96" t="s">
        <v>5</v>
      </c>
      <c r="AK96" s="13">
        <v>2</v>
      </c>
      <c r="AL96" s="33">
        <f t="shared" si="13"/>
        <v>0</v>
      </c>
      <c r="AM96" s="19">
        <f t="shared" si="13"/>
        <v>0</v>
      </c>
      <c r="AN96" s="34">
        <f t="shared" si="13"/>
        <v>61.106228626193776</v>
      </c>
      <c r="AO96" s="19">
        <f t="shared" si="13"/>
        <v>8.3024767155154583E-2</v>
      </c>
      <c r="AP96" s="20">
        <f>(AP85/$AU96)*$AX96</f>
        <v>0</v>
      </c>
      <c r="AQ96" s="17">
        <f>SUM(AL96:AP96)</f>
        <v>61.189253393348928</v>
      </c>
      <c r="AR96" s="17">
        <f>AN96/AQ96*100</f>
        <v>99.864314789687924</v>
      </c>
      <c r="AS96" s="17">
        <f>SQRT(AR96*(100-AR96)/(AU96-1))</f>
        <v>0.13568521031207589</v>
      </c>
      <c r="AT96" s="18">
        <f>100-AR96</f>
        <v>0.13568521031207581</v>
      </c>
      <c r="AU96" s="1">
        <f>AQ85</f>
        <v>737</v>
      </c>
      <c r="AV96">
        <v>2</v>
      </c>
      <c r="AW96" s="1">
        <v>59098.9</v>
      </c>
      <c r="AX96" s="17">
        <f>AW96/AW99*100</f>
        <v>61.189253393348928</v>
      </c>
      <c r="AY96" s="52">
        <f>((AX96*AX96*(AR96/100)*(AT96/100))/(AU96-1))</f>
        <v>6.8931119611676259E-3</v>
      </c>
    </row>
    <row r="97" spans="1:51" x14ac:dyDescent="0.3">
      <c r="S97" s="66" t="s">
        <v>39</v>
      </c>
      <c r="T97" s="67">
        <f>C264</f>
        <v>5.4577446374107365E-2</v>
      </c>
      <c r="U97" s="67">
        <f t="shared" si="14"/>
        <v>2.3664148648398838E-2</v>
      </c>
      <c r="V97" s="67">
        <f t="shared" si="14"/>
        <v>0.16147121317485313</v>
      </c>
      <c r="W97" s="67">
        <f t="shared" si="14"/>
        <v>0.22732774600589961</v>
      </c>
      <c r="X97" s="67">
        <f t="shared" si="14"/>
        <v>0.16006447953732314</v>
      </c>
      <c r="AC97" t="s">
        <v>188</v>
      </c>
      <c r="AD97" s="51"/>
      <c r="AE97" s="51"/>
      <c r="AJ97" t="s">
        <v>6</v>
      </c>
      <c r="AK97" s="13">
        <v>3</v>
      </c>
      <c r="AL97" s="33">
        <f t="shared" si="13"/>
        <v>0</v>
      </c>
      <c r="AM97" s="19">
        <f t="shared" si="13"/>
        <v>0</v>
      </c>
      <c r="AN97" s="19">
        <f t="shared" si="13"/>
        <v>0.22001948930770626</v>
      </c>
      <c r="AO97" s="34">
        <f t="shared" si="13"/>
        <v>31.187762609367361</v>
      </c>
      <c r="AP97" s="20">
        <f>(AP86/$AU97)*$AX97</f>
        <v>0.60505359559619221</v>
      </c>
      <c r="AQ97" s="17">
        <f>SUM(AL97:AP97)</f>
        <v>32.01283569427126</v>
      </c>
      <c r="AR97" s="17">
        <f>AO97/AQ97*100</f>
        <v>97.422680412371136</v>
      </c>
      <c r="AS97" s="17">
        <f>SQRT(AR97*(100-AR97)/(AU97-1))</f>
        <v>0.65739456332296642</v>
      </c>
      <c r="AT97" s="18">
        <f>100-AR97</f>
        <v>2.5773195876288639</v>
      </c>
      <c r="AU97" s="1">
        <f>AQ86</f>
        <v>582</v>
      </c>
      <c r="AV97">
        <v>3</v>
      </c>
      <c r="AW97" s="1">
        <v>30919.21</v>
      </c>
      <c r="AX97" s="17">
        <f>AW97/AW99*100</f>
        <v>32.01283569427126</v>
      </c>
      <c r="AY97" s="52">
        <f>((AX97*AX97*(AR97/100)*(AT97/100))/(AU97-1))</f>
        <v>4.4289472473943492E-2</v>
      </c>
    </row>
    <row r="98" spans="1:51" x14ac:dyDescent="0.3">
      <c r="S98" t="s">
        <v>30</v>
      </c>
      <c r="T98" s="57">
        <f>C265</f>
        <v>80.112838395365742</v>
      </c>
      <c r="U98" s="57">
        <f t="shared" si="14"/>
        <v>98.92209476044296</v>
      </c>
      <c r="V98" s="57">
        <f t="shared" si="14"/>
        <v>99.126452299306322</v>
      </c>
      <c r="W98" s="57">
        <f t="shared" si="14"/>
        <v>99.093365699400266</v>
      </c>
      <c r="X98" s="57">
        <f t="shared" si="14"/>
        <v>92.947066623255651</v>
      </c>
      <c r="AA98" s="54"/>
      <c r="AC98" t="s">
        <v>189</v>
      </c>
      <c r="AD98" s="51"/>
      <c r="AE98" s="51"/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3"/>
        <v>5.9914906233296938E-3</v>
      </c>
      <c r="AN98" s="21">
        <f t="shared" si="13"/>
        <v>0.2097021718165393</v>
      </c>
      <c r="AO98" s="21">
        <f t="shared" si="13"/>
        <v>0.16177024682990174</v>
      </c>
      <c r="AP98" s="37">
        <f>(AP87/$AU98)*$AX98</f>
        <v>5.6679501296698911</v>
      </c>
      <c r="AQ98" s="17">
        <f>SUM(AL98:AP98)</f>
        <v>6.0454140389396613</v>
      </c>
      <c r="AR98" s="17">
        <f>AP98/AQ98*100</f>
        <v>93.756194251734399</v>
      </c>
      <c r="AS98" s="17">
        <f>SQRT(AR98*(100-AR98)/(AU98-1))</f>
        <v>0.76206920214220453</v>
      </c>
      <c r="AT98" s="18">
        <f>100-AR98</f>
        <v>6.2438057482656006</v>
      </c>
      <c r="AU98" s="1">
        <f>AQ87</f>
        <v>1009</v>
      </c>
      <c r="AV98">
        <v>4</v>
      </c>
      <c r="AW98" s="1">
        <v>5838.89</v>
      </c>
      <c r="AX98" s="17">
        <f>AW98/AW99*100</f>
        <v>6.0454140389396613</v>
      </c>
      <c r="AY98" s="52">
        <f>((AX98*AX98*(AR98/100)*(AT98/100))/(AU98-1))</f>
        <v>2.1224668784635896E-3</v>
      </c>
    </row>
    <row r="99" spans="1:51" x14ac:dyDescent="0.3">
      <c r="A99" s="348" t="s">
        <v>373</v>
      </c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 t="s">
        <v>57</v>
      </c>
      <c r="M99" s="348"/>
      <c r="N99" s="348"/>
      <c r="O99" s="348"/>
      <c r="P99" s="348"/>
      <c r="S99" s="66" t="s">
        <v>39</v>
      </c>
      <c r="T99" s="67">
        <f>C266</f>
        <v>15.932169637745872</v>
      </c>
      <c r="U99" s="67">
        <f t="shared" si="14"/>
        <v>1.1542043672578763</v>
      </c>
      <c r="V99" s="67">
        <f t="shared" si="14"/>
        <v>0.22297398979732277</v>
      </c>
      <c r="W99" s="67">
        <f t="shared" si="14"/>
        <v>0.29144341563916798</v>
      </c>
      <c r="X99" s="67">
        <f t="shared" si="14"/>
        <v>2.3614912145568345</v>
      </c>
      <c r="AC99" t="s">
        <v>190</v>
      </c>
      <c r="AD99" s="51"/>
      <c r="AE99" s="51"/>
      <c r="AK99" t="s">
        <v>28</v>
      </c>
      <c r="AL99" s="17">
        <f t="shared" ref="AL99:AQ99" si="15">SUM(AL94:AL98)</f>
        <v>0.22256322722477551</v>
      </c>
      <c r="AM99" s="17">
        <f t="shared" si="15"/>
        <v>0.49873681078850224</v>
      </c>
      <c r="AN99" s="17">
        <f t="shared" si="15"/>
        <v>61.573138613368222</v>
      </c>
      <c r="AO99" s="17">
        <f t="shared" si="15"/>
        <v>31.43255762335242</v>
      </c>
      <c r="AP99" s="17">
        <f t="shared" si="15"/>
        <v>6.2730037252660829</v>
      </c>
      <c r="AQ99" s="18">
        <f t="shared" si="15"/>
        <v>100</v>
      </c>
      <c r="AR99" s="13" t="s">
        <v>24</v>
      </c>
      <c r="AS99" s="12" t="s">
        <v>29</v>
      </c>
      <c r="AW99" s="1">
        <f>SUM(AW94:AW98)</f>
        <v>96583.79</v>
      </c>
      <c r="AX99" s="17">
        <f>SUM(AX94:AX98)</f>
        <v>100</v>
      </c>
    </row>
    <row r="100" spans="1:51" x14ac:dyDescent="0.3">
      <c r="A100" t="s">
        <v>315</v>
      </c>
      <c r="B100" t="s">
        <v>21</v>
      </c>
      <c r="I100" s="1" t="s">
        <v>53</v>
      </c>
      <c r="O100" s="142"/>
      <c r="P100" s="142"/>
      <c r="S100" t="s">
        <v>31</v>
      </c>
      <c r="T100" s="57">
        <f>I258</f>
        <v>100</v>
      </c>
      <c r="U100" s="57">
        <f>I259</f>
        <v>91.228070175438603</v>
      </c>
      <c r="V100" s="57">
        <f>I260</f>
        <v>99.864314789687924</v>
      </c>
      <c r="W100" s="57">
        <f>I261</f>
        <v>97.422680412371122</v>
      </c>
      <c r="X100" s="57">
        <f>I262</f>
        <v>94.053518334985142</v>
      </c>
      <c r="AC100" t="s">
        <v>191</v>
      </c>
      <c r="AD100" s="51"/>
      <c r="AE100" s="51"/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1.8903508171296299E-2</v>
      </c>
      <c r="AN100" s="18">
        <f>SQRT(SUM((AX94*AN94-AN94*AN94)/AU94,(AX95*AN95-AN95*AN95)/AU95,(AX96*AN96-AN96*AN96)/AU96,(AX97*AN97-AN97*AN97)/AU97,(AX98*AN98-AN98*AN98)/AU98))</f>
        <v>0.14295822039592812</v>
      </c>
      <c r="AO100" s="18">
        <f>SQRT(SUM((AX94*AO94-AO94*AO94)/AU94,(AX95*AO95-AO95*AO95)/AU95,(AX96*AO96-AO96*AO96)/AU96,(AX97*AO97-AO97*AO97)/AU97,(AX98*AO98-AO98*AO98)/AU98))</f>
        <v>0.22812374160011015</v>
      </c>
      <c r="AP100" s="18">
        <f>SQRT(SUM((AX94*AP94-AP94*AP94)/AU94,(AX95*AP95-AP95*AP95)/AU95,(AX96*AP96-AP96*AP96)/AU96,(AX97*AP97-AP97*AP97)/AU97,(AX98*AP98-AP98*AP98)/AU98))</f>
        <v>0.18647315826467684</v>
      </c>
      <c r="AQ100" s="1"/>
      <c r="AR100" s="56">
        <f>(AL94+AM95+AN96+AO97+AP98)/AQ99</f>
        <v>0.98677249912620968</v>
      </c>
      <c r="AS100" s="53">
        <f>SQRT(SUM(AY94:AY98))/100</f>
        <v>2.3158642505808082E-3</v>
      </c>
      <c r="AV100" s="1"/>
      <c r="AW100" s="9"/>
    </row>
    <row r="101" spans="1:51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51</v>
      </c>
      <c r="O101" s="13"/>
      <c r="P101" s="13"/>
      <c r="S101" s="66" t="s">
        <v>39</v>
      </c>
      <c r="T101" s="67">
        <f>J258</f>
        <v>0</v>
      </c>
      <c r="U101" s="67">
        <f>J259</f>
        <v>3.7802263481198874</v>
      </c>
      <c r="V101" s="67">
        <f>J260</f>
        <v>0.13568521031207589</v>
      </c>
      <c r="W101" s="67">
        <f>J261</f>
        <v>0.6573945633229682</v>
      </c>
      <c r="X101" s="67">
        <f>J262</f>
        <v>0.744881690236464</v>
      </c>
      <c r="AC101" t="s">
        <v>192</v>
      </c>
      <c r="AD101" s="51"/>
      <c r="AE101" s="51"/>
      <c r="AK101" s="1" t="s">
        <v>30</v>
      </c>
      <c r="AL101" s="17">
        <f>AL94/AL99*100</f>
        <v>100</v>
      </c>
      <c r="AM101" s="17">
        <f>AM95/AM99*100</f>
        <v>98.79866685319314</v>
      </c>
      <c r="AN101" s="17">
        <f>AN96/AN99*100</f>
        <v>99.241698575565096</v>
      </c>
      <c r="AO101" s="17">
        <f>AO97/AO99*100</f>
        <v>99.221205550886538</v>
      </c>
      <c r="AP101" s="17">
        <f>AP98/AP99*100</f>
        <v>90.354643132775649</v>
      </c>
      <c r="AQ101" s="1"/>
    </row>
    <row r="102" spans="1:51" x14ac:dyDescent="0.3">
      <c r="A102" t="s">
        <v>3</v>
      </c>
      <c r="B102" s="13">
        <v>0</v>
      </c>
      <c r="C102" s="26">
        <v>451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451</v>
      </c>
      <c r="I102" s="10">
        <f>C102/H102</f>
        <v>1</v>
      </c>
      <c r="J102" s="11">
        <f>1-I102</f>
        <v>0</v>
      </c>
      <c r="K102">
        <f>H102-C107</f>
        <v>0</v>
      </c>
      <c r="N102" s="10">
        <f>2*(C108*I102)/(C108+I102)</f>
        <v>1</v>
      </c>
      <c r="O102" s="1"/>
      <c r="P102" s="1"/>
      <c r="S102" s="66" t="s">
        <v>51</v>
      </c>
      <c r="T102" s="67">
        <f>N247*100</f>
        <v>99.889258028792909</v>
      </c>
      <c r="U102" s="67">
        <f>N248*100</f>
        <v>94.545454545454547</v>
      </c>
      <c r="V102" s="67">
        <f>N249*100</f>
        <v>97.483443708609258</v>
      </c>
      <c r="W102" s="67">
        <f>N250*100</f>
        <v>95.857988165680467</v>
      </c>
      <c r="X102" s="67">
        <f>N251*100</f>
        <v>96.541200406917611</v>
      </c>
      <c r="AC102" t="s">
        <v>193</v>
      </c>
      <c r="AD102" s="51"/>
      <c r="AE102" s="51"/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1.2643538569128034</v>
      </c>
      <c r="AN102" s="18">
        <f>SQRT((AN105+AN106)/(AN99*AN99))</f>
        <v>0.18810922406212408</v>
      </c>
      <c r="AO102" s="18">
        <f>SQRT((AO105+AO106)/(AO99*AO99))</f>
        <v>0.2842764990664271</v>
      </c>
      <c r="AP102" s="18">
        <f>SQRT((AP105+AP106)/(AP99*AP99))</f>
        <v>2.6995655729967534</v>
      </c>
      <c r="AQ102" s="1"/>
    </row>
    <row r="103" spans="1:51" x14ac:dyDescent="0.3">
      <c r="A103" t="s">
        <v>4</v>
      </c>
      <c r="B103" s="13">
        <v>1</v>
      </c>
      <c r="C103" s="5">
        <v>0</v>
      </c>
      <c r="D103" s="27">
        <v>54</v>
      </c>
      <c r="E103" s="1">
        <v>3</v>
      </c>
      <c r="F103" s="1">
        <v>0</v>
      </c>
      <c r="G103" s="6">
        <v>0</v>
      </c>
      <c r="H103" s="1">
        <f>SUM(C103:G103)</f>
        <v>57</v>
      </c>
      <c r="I103" s="10">
        <f>D103/H103</f>
        <v>0.94736842105263153</v>
      </c>
      <c r="J103" s="11">
        <f>1-I103</f>
        <v>5.2631578947368474E-2</v>
      </c>
      <c r="K103">
        <f>H103-D107</f>
        <v>1</v>
      </c>
      <c r="N103" s="10">
        <f>2*(D108*I103)/(D108+I103)</f>
        <v>0.95575221238938046</v>
      </c>
      <c r="O103" s="1"/>
      <c r="P103" s="1"/>
      <c r="R103" s="16" t="s">
        <v>61</v>
      </c>
      <c r="S103" t="s">
        <v>9</v>
      </c>
      <c r="T103" s="30">
        <f>N258</f>
        <v>212.53</v>
      </c>
      <c r="U103" s="30">
        <f>N259</f>
        <v>589.61</v>
      </c>
      <c r="V103" s="30">
        <f>N260</f>
        <v>59162.45</v>
      </c>
      <c r="W103" s="30">
        <f>N261</f>
        <v>30705.34</v>
      </c>
      <c r="X103" s="30">
        <f>N262</f>
        <v>5913.87</v>
      </c>
      <c r="Z103" t="s">
        <v>36</v>
      </c>
      <c r="AA103" s="1">
        <f>N263</f>
        <v>96583.799999999988</v>
      </c>
      <c r="AC103" t="s">
        <v>194</v>
      </c>
      <c r="AD103" s="51"/>
      <c r="AE103" s="51"/>
      <c r="AK103" s="1" t="s">
        <v>37</v>
      </c>
      <c r="AL103" s="18">
        <f>100-AL101</f>
        <v>0</v>
      </c>
      <c r="AM103" s="18">
        <f>100-AM101</f>
        <v>1.20133314680686</v>
      </c>
      <c r="AN103" s="18">
        <f>100-AN101</f>
        <v>0.75830142443490445</v>
      </c>
      <c r="AO103" s="18">
        <f>100-AO101</f>
        <v>0.77879444911346241</v>
      </c>
      <c r="AP103" s="18">
        <f>100-AP101</f>
        <v>9.6453568672243506</v>
      </c>
    </row>
    <row r="104" spans="1:51" ht="15.6" x14ac:dyDescent="0.35">
      <c r="A104" t="s">
        <v>5</v>
      </c>
      <c r="B104" s="13">
        <v>2</v>
      </c>
      <c r="C104" s="5">
        <v>0</v>
      </c>
      <c r="D104" s="1">
        <v>0</v>
      </c>
      <c r="E104" s="27">
        <v>736</v>
      </c>
      <c r="F104" s="1">
        <v>1</v>
      </c>
      <c r="G104" s="6">
        <v>0</v>
      </c>
      <c r="H104" s="1">
        <f>SUM(C104:G104)</f>
        <v>737</v>
      </c>
      <c r="I104" s="10">
        <f>E104/H104</f>
        <v>0.99864314789687925</v>
      </c>
      <c r="J104" s="11">
        <f>1-I104</f>
        <v>1.3568521031207537E-3</v>
      </c>
      <c r="K104">
        <f>H104-E107</f>
        <v>-49</v>
      </c>
      <c r="N104" s="10">
        <f>2*(E108*I104)/(E108+I104)</f>
        <v>0.96651346027577156</v>
      </c>
      <c r="O104" s="1"/>
      <c r="P104" s="1"/>
      <c r="R104" s="16" t="s">
        <v>318</v>
      </c>
      <c r="S104" t="s">
        <v>63</v>
      </c>
      <c r="T104" s="57">
        <f>$AA103*T96/100</f>
        <v>265.28831615120276</v>
      </c>
      <c r="U104" s="57">
        <f>$AA103*U96/100</f>
        <v>543.75094448211723</v>
      </c>
      <c r="V104" s="57">
        <f>$AA103*V96/100</f>
        <v>59602.834495576077</v>
      </c>
      <c r="W104" s="57">
        <f>$AA103*W96/100</f>
        <v>30187.656909823785</v>
      </c>
      <c r="X104" s="57">
        <f>$AA103*X96/100</f>
        <v>5984.2693339668067</v>
      </c>
      <c r="Z104" t="s">
        <v>36</v>
      </c>
      <c r="AA104" s="25">
        <f>SUM(T104:X104)</f>
        <v>96583.799999999988</v>
      </c>
      <c r="AC104" t="s">
        <v>195</v>
      </c>
      <c r="AD104" s="51"/>
      <c r="AE104" s="51"/>
      <c r="AH104" s="78"/>
      <c r="AI104" s="78"/>
      <c r="AK104" s="1" t="s">
        <v>25</v>
      </c>
      <c r="AL104" s="1">
        <f>AL88</f>
        <v>451</v>
      </c>
      <c r="AM104" s="1">
        <f>AM88</f>
        <v>54</v>
      </c>
      <c r="AN104" s="1">
        <f>AN88</f>
        <v>779</v>
      </c>
      <c r="AO104" s="1">
        <f>AO88</f>
        <v>595</v>
      </c>
      <c r="AP104" s="1">
        <f>AP88</f>
        <v>957</v>
      </c>
    </row>
    <row r="105" spans="1:51" x14ac:dyDescent="0.3">
      <c r="A105" t="s">
        <v>6</v>
      </c>
      <c r="B105" s="13">
        <v>3</v>
      </c>
      <c r="C105" s="5">
        <v>0</v>
      </c>
      <c r="D105" s="1">
        <v>0</v>
      </c>
      <c r="E105" s="1">
        <v>5</v>
      </c>
      <c r="F105" s="27">
        <v>563</v>
      </c>
      <c r="G105" s="6">
        <v>14</v>
      </c>
      <c r="H105" s="1">
        <f>SUM(C105:G105)</f>
        <v>582</v>
      </c>
      <c r="I105" s="10">
        <f>F105/H105</f>
        <v>0.96735395189003437</v>
      </c>
      <c r="J105" s="11">
        <f>1-I105</f>
        <v>3.2646048109965631E-2</v>
      </c>
      <c r="K105">
        <f>H105-F107</f>
        <v>-8</v>
      </c>
      <c r="N105" s="10">
        <f>2*(F108*I105)/(F108+I105)</f>
        <v>0.96075085324232079</v>
      </c>
      <c r="O105" s="1"/>
      <c r="P105" s="1"/>
      <c r="R105" s="66"/>
      <c r="S105" s="66" t="s">
        <v>62</v>
      </c>
      <c r="T105" s="67">
        <f>$AA103*T97/100</f>
        <v>52.712971651075101</v>
      </c>
      <c r="U105" s="67">
        <f>$AA103*U97/100</f>
        <v>22.855734002272232</v>
      </c>
      <c r="V105" s="67">
        <f>$AA103*V97/100</f>
        <v>155.95503359037377</v>
      </c>
      <c r="W105" s="67">
        <f>$AA103*W97/100</f>
        <v>219.56177554684604</v>
      </c>
      <c r="X105" s="67">
        <f>$AA103*X97/100</f>
        <v>154.5963567873691</v>
      </c>
      <c r="AA105" s="1"/>
      <c r="AC105" t="s">
        <v>196</v>
      </c>
      <c r="AD105" s="51"/>
      <c r="AE105" s="51"/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4.7224572109748175E-2</v>
      </c>
      <c r="AN105" s="18">
        <f>(AX96*AX96*(100-AN101)*(100-AN101)*(AR96)*(100-AR96))/((AU96-1)*100)</f>
        <v>0.39636844797461368</v>
      </c>
      <c r="AO105" s="18">
        <f>(AX97*AX97*(100-AO101)*(100-AO101)*(AR97)*(100-AR97))/((AU97-1)*100)</f>
        <v>2.686248600940607</v>
      </c>
      <c r="AP105" s="18">
        <f>(AX98*AX98*(100-AP101)*(100-AP101)*(AR98)*(100-AR98))/((AU98-1)*100)</f>
        <v>19.745926816361155</v>
      </c>
    </row>
    <row r="106" spans="1:51" x14ac:dyDescent="0.3">
      <c r="A106" t="s">
        <v>7</v>
      </c>
      <c r="B106" s="13">
        <v>4</v>
      </c>
      <c r="C106" s="7">
        <v>0</v>
      </c>
      <c r="D106" s="8">
        <v>2</v>
      </c>
      <c r="E106" s="8">
        <v>42</v>
      </c>
      <c r="F106" s="8">
        <v>26</v>
      </c>
      <c r="G106" s="28">
        <v>939</v>
      </c>
      <c r="H106" s="1">
        <f>SUM(C106:G106)</f>
        <v>1009</v>
      </c>
      <c r="I106" s="10">
        <f>G106/H106</f>
        <v>0.93062438057482655</v>
      </c>
      <c r="J106" s="11">
        <f>1-I106</f>
        <v>6.9375619425173451E-2</v>
      </c>
      <c r="K106">
        <f>H106-G107</f>
        <v>56</v>
      </c>
      <c r="N106" s="10">
        <f>2*(G108*I106)/(G108+I106)</f>
        <v>0.95718654434250772</v>
      </c>
      <c r="O106" s="1"/>
      <c r="P106" s="1"/>
      <c r="R106" t="s">
        <v>97</v>
      </c>
      <c r="S106" t="s">
        <v>28</v>
      </c>
      <c r="T106" s="57">
        <f>C292</f>
        <v>0.28276117087065772</v>
      </c>
      <c r="U106" s="57">
        <f t="shared" ref="U106:X109" si="16">D292</f>
        <v>0.67192265844404475</v>
      </c>
      <c r="V106" s="57">
        <f t="shared" si="16"/>
        <v>61.145587725705496</v>
      </c>
      <c r="W106" s="57">
        <f t="shared" si="16"/>
        <v>31.284014865729691</v>
      </c>
      <c r="X106" s="57">
        <f t="shared" si="16"/>
        <v>6.6157135792501061</v>
      </c>
      <c r="Y106" s="60"/>
      <c r="Z106" s="74"/>
      <c r="AA106" s="12"/>
      <c r="AC106" t="s">
        <v>197</v>
      </c>
      <c r="AD106" s="51"/>
      <c r="AE106" s="51"/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0.35040632505433206</v>
      </c>
      <c r="AN106" s="18">
        <f>AN101*AN101*(SUM((AQ94*AN94*(1-AN83/AQ83))/(AQ83-1),(AQ95*AN95*(1-AN84/AQ84))/(AQ84-1), (AQ97*AN97*(1-AN86/AQ86))/(AQ86-1),(AQ98*AN98*(1-AN87/AQ87))/(AQ87-1)))</f>
        <v>133.75736626719015</v>
      </c>
      <c r="AO106" s="18">
        <f>AO101*AO101*(SUM((AQ94*AO94*(1-AO83/AQ83))/(AQ83-1),(AQ95*AO95*(1-AO84/AQ84))/(AQ84-1), (AQ96*AO96*(1-AO85/AQ85))/(AQ85-1),(AQ98*AO98*(1-AO87/AQ87))/(AQ87-1)))</f>
        <v>77.157580702642207</v>
      </c>
      <c r="AP106" s="18">
        <f>AP101*AP101*(SUM((AQ94*AP94*(1-AP83/AQ83))/(AQ83-1),(AQ95*AP95*(1-AP84/AQ84))/(AQ84-1), (AQ96*AP96*(1-AP85/AQ85))/(AQ85-1),(AQ97*AP97*(1-AP86/AQ86))/(AQ86-1)))</f>
        <v>267.0274649898065</v>
      </c>
    </row>
    <row r="107" spans="1:51" ht="15.6" x14ac:dyDescent="0.35">
      <c r="B107" s="1" t="s">
        <v>19</v>
      </c>
      <c r="C107" s="1">
        <f>SUM(C102:C106)</f>
        <v>451</v>
      </c>
      <c r="D107" s="1">
        <f>SUM(D102:D106)</f>
        <v>56</v>
      </c>
      <c r="E107" s="1">
        <f>SUM(E102:E106)</f>
        <v>786</v>
      </c>
      <c r="F107" s="1">
        <f>SUM(F102:F106)</f>
        <v>590</v>
      </c>
      <c r="G107" s="1">
        <f>SUM(G102:G106)</f>
        <v>953</v>
      </c>
      <c r="H107" s="1">
        <f>SUM(H101:H106)</f>
        <v>2836</v>
      </c>
      <c r="I107" s="13" t="s">
        <v>12</v>
      </c>
      <c r="N107" s="16"/>
      <c r="O107" s="1"/>
      <c r="P107" s="1"/>
      <c r="S107" s="66" t="s">
        <v>39</v>
      </c>
      <c r="T107" s="67">
        <f>C293</f>
        <v>5.4932470109417368E-2</v>
      </c>
      <c r="U107" s="67">
        <f t="shared" si="16"/>
        <v>8.5748446985775426E-2</v>
      </c>
      <c r="V107" s="67">
        <f t="shared" si="16"/>
        <v>0.16528841856408794</v>
      </c>
      <c r="W107" s="67">
        <f t="shared" si="16"/>
        <v>0.23986692897029663</v>
      </c>
      <c r="X107" s="67">
        <f t="shared" si="16"/>
        <v>0.1941874709683728</v>
      </c>
      <c r="AC107" t="s">
        <v>198</v>
      </c>
      <c r="AD107" s="51"/>
      <c r="AE107" s="51"/>
    </row>
    <row r="108" spans="1:51" x14ac:dyDescent="0.3">
      <c r="A108" s="1" t="s">
        <v>316</v>
      </c>
      <c r="B108" s="1" t="s">
        <v>2</v>
      </c>
      <c r="C108" s="10">
        <f>C102/C107</f>
        <v>1</v>
      </c>
      <c r="D108" s="10">
        <f>D103/D107</f>
        <v>0.9642857142857143</v>
      </c>
      <c r="E108" s="10">
        <f>E104/E107</f>
        <v>0.93638676844783719</v>
      </c>
      <c r="F108" s="10">
        <f>F105/F107</f>
        <v>0.95423728813559328</v>
      </c>
      <c r="G108" s="10">
        <f>G106/G107</f>
        <v>0.98530954879328436</v>
      </c>
      <c r="H108" s="10"/>
      <c r="I108" s="14">
        <f>(C102+D103+E104+F105+G106)/H107</f>
        <v>0.96720733427362482</v>
      </c>
      <c r="S108" t="s">
        <v>30</v>
      </c>
      <c r="T108" s="57">
        <f>C294</f>
        <v>80.556126682247736</v>
      </c>
      <c r="U108" s="57">
        <f t="shared" si="16"/>
        <v>84.916158426552641</v>
      </c>
      <c r="V108" s="57">
        <f t="shared" si="16"/>
        <v>99.221298819708025</v>
      </c>
      <c r="W108" s="57">
        <f t="shared" si="16"/>
        <v>99.295260253194357</v>
      </c>
      <c r="X108" s="57">
        <f t="shared" si="16"/>
        <v>90.027429719147719</v>
      </c>
      <c r="AC108" t="s">
        <v>199</v>
      </c>
      <c r="AD108" s="51"/>
      <c r="AE108" s="51"/>
      <c r="AH108" s="78"/>
      <c r="AI108" s="78"/>
      <c r="AJ108" s="118" t="s">
        <v>352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</row>
    <row r="109" spans="1:51" x14ac:dyDescent="0.3">
      <c r="B109" s="1" t="s">
        <v>14</v>
      </c>
      <c r="C109" s="11">
        <f>1-C108</f>
        <v>0</v>
      </c>
      <c r="D109" s="11">
        <f>1-D108</f>
        <v>3.5714285714285698E-2</v>
      </c>
      <c r="E109" s="11">
        <f>1-E108</f>
        <v>6.3613231552162808E-2</v>
      </c>
      <c r="F109" s="11">
        <f>1-F108</f>
        <v>4.5762711864406724E-2</v>
      </c>
      <c r="G109" s="11">
        <f>1-G108</f>
        <v>1.4690451206715638E-2</v>
      </c>
      <c r="S109" s="66" t="s">
        <v>39</v>
      </c>
      <c r="T109" s="67">
        <f>C295</f>
        <v>15.663231221784287</v>
      </c>
      <c r="U109" s="67">
        <f t="shared" si="16"/>
        <v>11.524316113242691</v>
      </c>
      <c r="V109" s="67">
        <f t="shared" si="16"/>
        <v>0.19092743866743411</v>
      </c>
      <c r="W109" s="67">
        <f t="shared" si="16"/>
        <v>0.28232239208542009</v>
      </c>
      <c r="X109" s="67">
        <f t="shared" si="16"/>
        <v>2.6620607837564605</v>
      </c>
      <c r="AC109" t="s">
        <v>200</v>
      </c>
      <c r="AD109" s="51"/>
      <c r="AE109" s="51"/>
      <c r="AJ109" s="106" t="s">
        <v>662</v>
      </c>
      <c r="AK109" s="107" t="s">
        <v>28</v>
      </c>
      <c r="AL109" s="108">
        <f t="shared" ref="AL109:AP112" si="17">AL99</f>
        <v>0.22256322722477551</v>
      </c>
      <c r="AM109" s="108">
        <f t="shared" si="17"/>
        <v>0.49873681078850224</v>
      </c>
      <c r="AN109" s="108">
        <f t="shared" si="17"/>
        <v>61.573138613368222</v>
      </c>
      <c r="AO109" s="108">
        <f t="shared" si="17"/>
        <v>31.43255762335242</v>
      </c>
      <c r="AP109" s="108">
        <f t="shared" si="17"/>
        <v>6.2730037252660829</v>
      </c>
      <c r="AQ109" s="107"/>
      <c r="AR109" s="228" t="s">
        <v>72</v>
      </c>
      <c r="AS109" s="229">
        <f>AR100</f>
        <v>0.98677249912620968</v>
      </c>
    </row>
    <row r="110" spans="1:51" x14ac:dyDescent="0.3">
      <c r="C110" s="2"/>
      <c r="S110" s="15" t="s">
        <v>31</v>
      </c>
      <c r="T110" s="71">
        <f>I287</f>
        <v>100</v>
      </c>
      <c r="U110" s="71">
        <f>I288</f>
        <v>92.982456140350891</v>
      </c>
      <c r="V110" s="71">
        <f>I289</f>
        <v>99.728629579375863</v>
      </c>
      <c r="W110" s="71">
        <f>I290</f>
        <v>97.079037800687288</v>
      </c>
      <c r="X110" s="71">
        <f>I291</f>
        <v>94.152626362735376</v>
      </c>
      <c r="AC110" t="s">
        <v>201</v>
      </c>
      <c r="AD110" s="51"/>
      <c r="AE110" s="51"/>
      <c r="AH110" s="78"/>
      <c r="AI110" s="78"/>
      <c r="AJ110" s="107"/>
      <c r="AK110" s="109" t="s">
        <v>39</v>
      </c>
      <c r="AL110" s="110">
        <f t="shared" si="17"/>
        <v>0</v>
      </c>
      <c r="AM110" s="110">
        <f t="shared" si="17"/>
        <v>1.8903508171296299E-2</v>
      </c>
      <c r="AN110" s="110">
        <f t="shared" si="17"/>
        <v>0.14295822039592812</v>
      </c>
      <c r="AO110" s="110">
        <f t="shared" si="17"/>
        <v>0.22812374160011015</v>
      </c>
      <c r="AP110" s="110">
        <f t="shared" si="17"/>
        <v>0.18647315826467684</v>
      </c>
      <c r="AQ110" s="107"/>
      <c r="AR110" s="228" t="s">
        <v>29</v>
      </c>
      <c r="AS110" s="230">
        <f>AS100</f>
        <v>2.3158642505808082E-3</v>
      </c>
      <c r="AX110" s="103" t="s">
        <v>363</v>
      </c>
    </row>
    <row r="111" spans="1:51" ht="15.6" x14ac:dyDescent="0.35">
      <c r="A111" t="s">
        <v>317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3.4134933513474244</v>
      </c>
      <c r="V111" s="76">
        <f>J289</f>
        <v>0.19175746172356128</v>
      </c>
      <c r="W111" s="76">
        <f>J290</f>
        <v>0.69861456179910675</v>
      </c>
      <c r="X111" s="76">
        <f>J291</f>
        <v>0.73903733049539455</v>
      </c>
      <c r="AC111" t="s">
        <v>155</v>
      </c>
      <c r="AD111" s="51"/>
      <c r="AE111" s="51"/>
      <c r="AJ111" s="107"/>
      <c r="AK111" s="107" t="s">
        <v>30</v>
      </c>
      <c r="AL111" s="108">
        <f t="shared" si="17"/>
        <v>100</v>
      </c>
      <c r="AM111" s="108">
        <f t="shared" si="17"/>
        <v>98.79866685319314</v>
      </c>
      <c r="AN111" s="108">
        <f t="shared" si="17"/>
        <v>99.241698575565096</v>
      </c>
      <c r="AO111" s="108">
        <f t="shared" si="17"/>
        <v>99.221205550886538</v>
      </c>
      <c r="AP111" s="108">
        <f t="shared" si="17"/>
        <v>90.354643132775649</v>
      </c>
      <c r="AQ111" s="107"/>
      <c r="AR111" s="107"/>
      <c r="AS111" s="107"/>
      <c r="AU111" s="103" t="s">
        <v>363</v>
      </c>
      <c r="AW111" s="101"/>
      <c r="AX111" s="1" t="s">
        <v>357</v>
      </c>
      <c r="AY111" s="96"/>
    </row>
    <row r="112" spans="1:51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51</v>
      </c>
      <c r="T112" s="67">
        <f>N276*100</f>
        <v>99.889258028792909</v>
      </c>
      <c r="U112" s="67">
        <f>N277*100</f>
        <v>92.982456140350877</v>
      </c>
      <c r="V112" s="67">
        <f>N278*100</f>
        <v>97.093791281373854</v>
      </c>
      <c r="W112" s="67">
        <f>N279*100</f>
        <v>96.581196581196579</v>
      </c>
      <c r="X112" s="67">
        <f>N280*100</f>
        <v>96.397767630644353</v>
      </c>
      <c r="AC112" t="s">
        <v>202</v>
      </c>
      <c r="AD112" s="51"/>
      <c r="AE112" s="51"/>
      <c r="AH112" s="78"/>
      <c r="AI112" s="78"/>
      <c r="AJ112" s="107"/>
      <c r="AK112" s="109" t="s">
        <v>39</v>
      </c>
      <c r="AL112" s="110">
        <f t="shared" si="17"/>
        <v>0</v>
      </c>
      <c r="AM112" s="110">
        <f t="shared" si="17"/>
        <v>1.2643538569128034</v>
      </c>
      <c r="AN112" s="110">
        <f t="shared" si="17"/>
        <v>0.18810922406212408</v>
      </c>
      <c r="AO112" s="110">
        <f t="shared" si="17"/>
        <v>0.2842764990664271</v>
      </c>
      <c r="AP112" s="110">
        <f t="shared" si="17"/>
        <v>2.6995655729967534</v>
      </c>
      <c r="AQ112" s="107"/>
      <c r="AR112" s="107"/>
      <c r="AS112" s="107"/>
      <c r="AU112" s="93"/>
      <c r="AV112" s="1" t="s">
        <v>357</v>
      </c>
      <c r="AW112" s="97"/>
      <c r="AX112" s="71" t="s">
        <v>358</v>
      </c>
      <c r="AY112" s="95"/>
    </row>
    <row r="113" spans="1:51" x14ac:dyDescent="0.3">
      <c r="A113" t="s">
        <v>3</v>
      </c>
      <c r="B113" s="13">
        <v>0</v>
      </c>
      <c r="C113" s="29">
        <f>(C102/$L113)*$O113</f>
        <v>0.22582462069208298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0.22582462069208298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451</v>
      </c>
      <c r="M113">
        <v>0</v>
      </c>
      <c r="N113" s="1">
        <v>218.11</v>
      </c>
      <c r="O113" s="17">
        <f>N113/N118*100</f>
        <v>0.22582462069208298</v>
      </c>
      <c r="P113" s="52">
        <f>((O113*O113*(I113/100)*(K113/100))/(L113-1))</f>
        <v>0</v>
      </c>
      <c r="R113" s="16" t="s">
        <v>61</v>
      </c>
      <c r="S113" t="s">
        <v>9</v>
      </c>
      <c r="T113" s="30">
        <f>N287</f>
        <v>220</v>
      </c>
      <c r="U113" s="30">
        <f>N288</f>
        <v>592.66999999999996</v>
      </c>
      <c r="V113" s="30">
        <f>N289</f>
        <v>58756.31</v>
      </c>
      <c r="W113" s="30">
        <f>N290</f>
        <v>30905.08</v>
      </c>
      <c r="X113" s="30">
        <f>N291</f>
        <v>6109.75</v>
      </c>
      <c r="Z113" t="s">
        <v>36</v>
      </c>
      <c r="AA113" s="1">
        <f>N292</f>
        <v>96583.81</v>
      </c>
      <c r="AC113" t="s">
        <v>156</v>
      </c>
      <c r="AD113" s="51"/>
      <c r="AE113" s="51"/>
      <c r="AJ113" s="107"/>
      <c r="AK113" s="111" t="s">
        <v>31</v>
      </c>
      <c r="AL113" s="112">
        <f>AR94</f>
        <v>100</v>
      </c>
      <c r="AM113" s="112">
        <f>AR95</f>
        <v>92.982456140350877</v>
      </c>
      <c r="AN113" s="112">
        <f>AR96</f>
        <v>99.864314789687924</v>
      </c>
      <c r="AO113" s="112">
        <f>AR97</f>
        <v>97.422680412371136</v>
      </c>
      <c r="AP113" s="112">
        <f>AR98</f>
        <v>93.756194251734399</v>
      </c>
      <c r="AQ113" s="107"/>
      <c r="AR113" s="107"/>
      <c r="AS113" s="107"/>
      <c r="AU113" s="94"/>
      <c r="AV113" s="71" t="s">
        <v>360</v>
      </c>
      <c r="AW113" s="98"/>
      <c r="AX113" s="71" t="s">
        <v>359</v>
      </c>
      <c r="AY113" s="93"/>
    </row>
    <row r="114" spans="1:51" ht="15.6" x14ac:dyDescent="0.35">
      <c r="A114" t="s">
        <v>4</v>
      </c>
      <c r="B114" s="13">
        <v>1</v>
      </c>
      <c r="C114" s="33">
        <f t="shared" ref="C114:G117" si="18">(C103/$L114)*$O114</f>
        <v>0</v>
      </c>
      <c r="D114" s="34">
        <f t="shared" si="18"/>
        <v>0.5534305033828818</v>
      </c>
      <c r="E114" s="19">
        <f t="shared" si="18"/>
        <v>3.0746139076826766E-2</v>
      </c>
      <c r="F114" s="18">
        <f t="shared" si="18"/>
        <v>0</v>
      </c>
      <c r="G114" s="20">
        <f t="shared" si="18"/>
        <v>0</v>
      </c>
      <c r="H114" s="17">
        <f>SUM(C114:G114)</f>
        <v>0.58417664245970857</v>
      </c>
      <c r="I114" s="17">
        <f>D114/H114*100</f>
        <v>94.73684210526315</v>
      </c>
      <c r="J114" s="17">
        <f>SQRT(I114*(100-I114)/(L114-1))</f>
        <v>2.9839300500728485</v>
      </c>
      <c r="K114" s="18">
        <f>100-I114</f>
        <v>5.2631578947368496</v>
      </c>
      <c r="L114" s="1">
        <f>H103</f>
        <v>57</v>
      </c>
      <c r="M114">
        <v>1</v>
      </c>
      <c r="N114" s="1">
        <v>564.22</v>
      </c>
      <c r="O114" s="17">
        <f>N114/N118*100</f>
        <v>0.58417664245970857</v>
      </c>
      <c r="P114" s="52">
        <f>((O114*O114*(I114/100)*(K114/100))/(L114-1))</f>
        <v>3.038544861851491E-4</v>
      </c>
      <c r="R114" s="16" t="s">
        <v>318</v>
      </c>
      <c r="S114" t="s">
        <v>63</v>
      </c>
      <c r="T114" s="57">
        <f>$AA113*T106/100</f>
        <v>273.10151202749142</v>
      </c>
      <c r="U114" s="57">
        <f>$AA113*U106/100</f>
        <v>648.96850377854514</v>
      </c>
      <c r="V114" s="57">
        <f>$AA113*V106/100</f>
        <v>59056.738272378716</v>
      </c>
      <c r="W114" s="57">
        <f>$AA113*W106/100</f>
        <v>30215.29347828812</v>
      </c>
      <c r="X114" s="57">
        <f>$AA113*X106/100</f>
        <v>6389.7082335271225</v>
      </c>
      <c r="Z114" t="s">
        <v>36</v>
      </c>
      <c r="AA114" s="25">
        <f>SUM(T114:X114)</f>
        <v>96583.81</v>
      </c>
      <c r="AC114" t="s">
        <v>203</v>
      </c>
      <c r="AD114" s="51"/>
      <c r="AE114" s="51"/>
      <c r="AH114" s="78"/>
      <c r="AI114" s="78"/>
      <c r="AJ114" s="107"/>
      <c r="AK114" s="113" t="s">
        <v>39</v>
      </c>
      <c r="AL114" s="114">
        <f>AS94</f>
        <v>0</v>
      </c>
      <c r="AM114" s="114">
        <f>AS95</f>
        <v>3.4134933513474275</v>
      </c>
      <c r="AN114" s="114">
        <f>AS96</f>
        <v>0.13568521031207589</v>
      </c>
      <c r="AO114" s="114">
        <f>AS97</f>
        <v>0.65739456332296642</v>
      </c>
      <c r="AP114" s="114">
        <f>AS98</f>
        <v>0.76206920214220453</v>
      </c>
      <c r="AQ114" s="107"/>
      <c r="AR114" s="107"/>
      <c r="AS114" s="107"/>
      <c r="AU114" s="95"/>
      <c r="AV114" s="1" t="s">
        <v>361</v>
      </c>
      <c r="AW114" s="99"/>
      <c r="AX114" s="1" t="s">
        <v>364</v>
      </c>
      <c r="AY114" s="99"/>
    </row>
    <row r="115" spans="1:51" x14ac:dyDescent="0.3">
      <c r="A115" t="s">
        <v>5</v>
      </c>
      <c r="B115" s="13">
        <v>2</v>
      </c>
      <c r="C115" s="33">
        <f t="shared" si="18"/>
        <v>0</v>
      </c>
      <c r="D115" s="19">
        <f t="shared" si="18"/>
        <v>0</v>
      </c>
      <c r="E115" s="34">
        <f t="shared" si="18"/>
        <v>60.610156682773294</v>
      </c>
      <c r="F115" s="19">
        <f t="shared" si="18"/>
        <v>8.2350756362463709E-2</v>
      </c>
      <c r="G115" s="20">
        <f t="shared" si="18"/>
        <v>0</v>
      </c>
      <c r="H115" s="17">
        <f>SUM(C115:G115)</f>
        <v>60.69250743913576</v>
      </c>
      <c r="I115" s="17">
        <f>E115/H115*100</f>
        <v>99.864314789687924</v>
      </c>
      <c r="J115" s="17">
        <f>SQRT(I115*(100-I115)/(L115-1))</f>
        <v>0.13568521031207589</v>
      </c>
      <c r="K115" s="18">
        <f>100-I115</f>
        <v>0.13568521031207581</v>
      </c>
      <c r="L115" s="1">
        <f>H104</f>
        <v>737</v>
      </c>
      <c r="M115">
        <v>2</v>
      </c>
      <c r="N115" s="1">
        <v>58619.13</v>
      </c>
      <c r="O115" s="17">
        <f>N115/N118*100</f>
        <v>60.69250743913576</v>
      </c>
      <c r="P115" s="52">
        <f>((O115*O115*(I115/100)*(K115/100))/(L115-1))</f>
        <v>6.7816470734698492E-3</v>
      </c>
      <c r="R115" s="66"/>
      <c r="S115" s="66" t="s">
        <v>62</v>
      </c>
      <c r="T115" s="67">
        <f>$AA113*T107/100</f>
        <v>53.055872558786461</v>
      </c>
      <c r="U115" s="67">
        <f>$AA113*U107/100</f>
        <v>82.819117114692048</v>
      </c>
      <c r="V115" s="67">
        <f>$AA113*V107/100</f>
        <v>159.64185213794343</v>
      </c>
      <c r="W115" s="67">
        <f>$AA113*W107/100</f>
        <v>231.67261892950626</v>
      </c>
      <c r="X115" s="67">
        <f>$AA113*X107/100</f>
        <v>187.55365800389833</v>
      </c>
      <c r="AA115" s="1"/>
      <c r="AC115" t="s">
        <v>204</v>
      </c>
      <c r="AD115" s="51"/>
      <c r="AE115" s="51"/>
      <c r="AJ115" s="107"/>
      <c r="AK115" s="109" t="s">
        <v>51</v>
      </c>
      <c r="AL115" s="110">
        <f>AW83*100</f>
        <v>100</v>
      </c>
      <c r="AM115" s="110">
        <f>AW84*100</f>
        <v>95.495495495495504</v>
      </c>
      <c r="AN115" s="110">
        <f>AW85*100</f>
        <v>97.097625329815301</v>
      </c>
      <c r="AO115" s="110">
        <f>AW86*100</f>
        <v>96.346644010195419</v>
      </c>
      <c r="AP115" s="110">
        <f>AW87*100</f>
        <v>96.236012207527978</v>
      </c>
      <c r="AQ115" s="107"/>
      <c r="AR115" s="107"/>
      <c r="AS115" s="107"/>
      <c r="AU115" s="96"/>
      <c r="AV115" s="1" t="s">
        <v>362</v>
      </c>
      <c r="AW115" s="100"/>
      <c r="AX115" s="71" t="s">
        <v>365</v>
      </c>
      <c r="AY115" s="102"/>
    </row>
    <row r="116" spans="1:51" x14ac:dyDescent="0.3">
      <c r="A116" t="s">
        <v>6</v>
      </c>
      <c r="B116" s="13">
        <v>3</v>
      </c>
      <c r="C116" s="33">
        <f t="shared" si="18"/>
        <v>0</v>
      </c>
      <c r="D116" s="19">
        <f t="shared" si="18"/>
        <v>0</v>
      </c>
      <c r="E116" s="19">
        <f t="shared" si="18"/>
        <v>0.27532053446257154</v>
      </c>
      <c r="F116" s="34">
        <f t="shared" si="18"/>
        <v>31.001092180485553</v>
      </c>
      <c r="G116" s="20">
        <f t="shared" si="18"/>
        <v>0.77089749649520034</v>
      </c>
      <c r="H116" s="17">
        <f>SUM(C116:G116)</f>
        <v>32.047310211443325</v>
      </c>
      <c r="I116" s="17">
        <f>F116/H116*100</f>
        <v>96.735395189003441</v>
      </c>
      <c r="J116" s="17">
        <f>SQRT(I116*(100-I116)/(L116-1))</f>
        <v>0.73725876947171687</v>
      </c>
      <c r="K116" s="18">
        <f>100-I116</f>
        <v>3.2646048109965591</v>
      </c>
      <c r="L116" s="1">
        <f>H105</f>
        <v>582</v>
      </c>
      <c r="M116">
        <v>3</v>
      </c>
      <c r="N116" s="1">
        <v>30952.51</v>
      </c>
      <c r="O116" s="17">
        <f>N116/N118*100</f>
        <v>32.047310211443325</v>
      </c>
      <c r="P116" s="52">
        <f>((O116*O116*(I116/100)*(K116/100))/(L116-1))</f>
        <v>5.5824271288481803E-2</v>
      </c>
      <c r="R116" t="s">
        <v>98</v>
      </c>
      <c r="S116" t="s">
        <v>28</v>
      </c>
      <c r="T116" s="57">
        <f>C321</f>
        <v>0.27754761246485959</v>
      </c>
      <c r="U116" s="57">
        <f t="shared" ref="U116:X119" si="19">D321</f>
        <v>0.55432989802069466</v>
      </c>
      <c r="V116" s="57">
        <f t="shared" si="19"/>
        <v>61.699928163586392</v>
      </c>
      <c r="W116" s="57">
        <f t="shared" si="19"/>
        <v>30.797370352435571</v>
      </c>
      <c r="X116" s="57">
        <f t="shared" si="19"/>
        <v>6.6708239734924879</v>
      </c>
      <c r="Z116" s="74"/>
      <c r="AA116" s="12"/>
      <c r="AD116" s="51"/>
      <c r="AE116" s="51"/>
      <c r="AH116" s="78"/>
      <c r="AI116" s="78"/>
      <c r="AJ116" s="115" t="s">
        <v>356</v>
      </c>
      <c r="AK116" s="107" t="s">
        <v>9</v>
      </c>
      <c r="AL116" s="116">
        <f>AW94</f>
        <v>214.96</v>
      </c>
      <c r="AM116" s="116">
        <f>AW95</f>
        <v>511.83</v>
      </c>
      <c r="AN116" s="116">
        <f>AW96</f>
        <v>59098.9</v>
      </c>
      <c r="AO116" s="116">
        <f>AW97</f>
        <v>30919.21</v>
      </c>
      <c r="AP116" s="116">
        <f>AW98</f>
        <v>5838.89</v>
      </c>
      <c r="AQ116" s="107"/>
      <c r="AR116" s="115" t="s">
        <v>36</v>
      </c>
      <c r="AS116" s="136">
        <f>AW99</f>
        <v>96583.79</v>
      </c>
      <c r="AW116" s="102"/>
      <c r="AX116" s="1" t="s">
        <v>362</v>
      </c>
      <c r="AY116" s="104"/>
    </row>
    <row r="117" spans="1:51" ht="15.6" x14ac:dyDescent="0.35">
      <c r="A117" t="s">
        <v>7</v>
      </c>
      <c r="B117" s="13">
        <v>4</v>
      </c>
      <c r="C117" s="35">
        <f t="shared" si="18"/>
        <v>0</v>
      </c>
      <c r="D117" s="36">
        <f t="shared" si="18"/>
        <v>1.2785294521841677E-2</v>
      </c>
      <c r="E117" s="21">
        <f t="shared" si="18"/>
        <v>0.26849118495867519</v>
      </c>
      <c r="F117" s="21">
        <f t="shared" si="18"/>
        <v>0.1662088287839418</v>
      </c>
      <c r="G117" s="37">
        <f t="shared" si="18"/>
        <v>6.002695778004667</v>
      </c>
      <c r="H117" s="17">
        <f>SUM(C117:G117)</f>
        <v>6.4501810862691258</v>
      </c>
      <c r="I117" s="17">
        <f>G117/H117*100</f>
        <v>93.062438057482652</v>
      </c>
      <c r="J117" s="17">
        <f>SQRT(I117*(100-I117)/(L117-1))</f>
        <v>0.80031394419396396</v>
      </c>
      <c r="K117" s="18">
        <f>100-I117</f>
        <v>6.9375619425173483</v>
      </c>
      <c r="L117" s="1">
        <f>H106</f>
        <v>1009</v>
      </c>
      <c r="M117">
        <v>4</v>
      </c>
      <c r="N117" s="1">
        <v>6229.83</v>
      </c>
      <c r="O117" s="17">
        <f>N117/N118*100</f>
        <v>6.4501810862691258</v>
      </c>
      <c r="P117" s="52">
        <f>((O117*O117*(I117/100)*(K117/100))/(L117-1))</f>
        <v>2.6647997724585162E-3</v>
      </c>
      <c r="S117" s="66" t="s">
        <v>39</v>
      </c>
      <c r="T117" s="67">
        <f>C322</f>
        <v>5.4192324590538847E-2</v>
      </c>
      <c r="U117" s="67">
        <f t="shared" si="19"/>
        <v>2.33844576279266E-2</v>
      </c>
      <c r="V117" s="67">
        <f t="shared" si="19"/>
        <v>0.16159134740219946</v>
      </c>
      <c r="W117" s="67">
        <f t="shared" si="19"/>
        <v>0.24910827366675622</v>
      </c>
      <c r="X117" s="67">
        <f t="shared" si="19"/>
        <v>0.19205614025246182</v>
      </c>
      <c r="AD117" s="51"/>
      <c r="AE117" s="51"/>
      <c r="AJ117" s="115" t="s">
        <v>355</v>
      </c>
      <c r="AK117" s="107" t="s">
        <v>63</v>
      </c>
      <c r="AL117" s="108">
        <f>$AS116*AL109/100</f>
        <v>214.96</v>
      </c>
      <c r="AM117" s="108">
        <f>$AS116*AM109/100</f>
        <v>481.69891398466433</v>
      </c>
      <c r="AN117" s="108">
        <f>$AS116*AN109/100</f>
        <v>59469.670894744471</v>
      </c>
      <c r="AO117" s="108">
        <f>$AS116*AO109/100</f>
        <v>30358.755446567688</v>
      </c>
      <c r="AP117" s="108">
        <f>$AS116*AP109/100</f>
        <v>6058.70474470317</v>
      </c>
      <c r="AQ117" s="107"/>
      <c r="AR117" s="115" t="s">
        <v>36</v>
      </c>
      <c r="AS117" s="136">
        <f>SUM(AL117:AP117)</f>
        <v>96583.789999999979</v>
      </c>
    </row>
    <row r="118" spans="1:51" x14ac:dyDescent="0.3">
      <c r="B118" t="s">
        <v>28</v>
      </c>
      <c r="C118" s="17">
        <f t="shared" ref="C118:H118" si="20">SUM(C113:C117)</f>
        <v>0.22582462069208298</v>
      </c>
      <c r="D118" s="17">
        <f t="shared" si="20"/>
        <v>0.56621579790472343</v>
      </c>
      <c r="E118" s="17">
        <f t="shared" si="20"/>
        <v>61.184714541271369</v>
      </c>
      <c r="F118" s="17">
        <f t="shared" si="20"/>
        <v>31.249651765631956</v>
      </c>
      <c r="G118" s="17">
        <f t="shared" si="20"/>
        <v>6.7735932744998673</v>
      </c>
      <c r="H118" s="18">
        <f t="shared" si="20"/>
        <v>100</v>
      </c>
      <c r="I118" s="13" t="s">
        <v>24</v>
      </c>
      <c r="J118" s="12" t="s">
        <v>29</v>
      </c>
      <c r="N118" s="1">
        <f>SUM(N113:N117)</f>
        <v>96583.8</v>
      </c>
      <c r="O118" s="17">
        <f>SUM(O113:O117)</f>
        <v>100</v>
      </c>
      <c r="S118" t="s">
        <v>30</v>
      </c>
      <c r="T118" s="57">
        <f>C323</f>
        <v>80.457788423801574</v>
      </c>
      <c r="U118" s="57">
        <f t="shared" si="19"/>
        <v>98.854442942686362</v>
      </c>
      <c r="V118" s="57">
        <f t="shared" si="19"/>
        <v>99.057812035282907</v>
      </c>
      <c r="W118" s="57">
        <f t="shared" si="19"/>
        <v>99.153024433406074</v>
      </c>
      <c r="X118" s="57">
        <f t="shared" si="19"/>
        <v>90.243074882246034</v>
      </c>
      <c r="AD118" s="51"/>
      <c r="AE118" s="51"/>
      <c r="AH118" s="78"/>
      <c r="AI118" s="78"/>
      <c r="AJ118" s="109"/>
      <c r="AK118" s="109" t="s">
        <v>354</v>
      </c>
      <c r="AL118" s="110">
        <f>$AS116*AL110/100</f>
        <v>0</v>
      </c>
      <c r="AM118" s="110">
        <f>$AS116*AM110/100</f>
        <v>18.257724634797658</v>
      </c>
      <c r="AN118" s="110">
        <f>$AS116*AN110/100</f>
        <v>138.07446737494038</v>
      </c>
      <c r="AO118" s="110">
        <f>$AS116*AO110/100</f>
        <v>220.33055552719298</v>
      </c>
      <c r="AP118" s="110">
        <f>$AS116*AP110/100</f>
        <v>180.10284358472313</v>
      </c>
      <c r="AQ118" s="107"/>
      <c r="AR118" s="107"/>
      <c r="AS118" s="107"/>
    </row>
    <row r="119" spans="1:51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0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1.9495988767595493E-2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0.15409714597989976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0.25206335340134323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0.20997579900284172</v>
      </c>
      <c r="H119" s="1"/>
      <c r="I119" s="56">
        <f>(C113+D114+E115+F116+G117)/H118</f>
        <v>0.98393199765338479</v>
      </c>
      <c r="J119" s="53">
        <f>SQRT(SUM(P113:P117))/100</f>
        <v>2.5607532606753687E-3</v>
      </c>
      <c r="M119" s="1"/>
      <c r="N119" s="9"/>
      <c r="S119" s="66" t="s">
        <v>39</v>
      </c>
      <c r="T119" s="67">
        <f>C324</f>
        <v>15.723231243309396</v>
      </c>
      <c r="U119" s="67">
        <f t="shared" si="19"/>
        <v>1.2258060041556185</v>
      </c>
      <c r="V119" s="67">
        <f t="shared" si="19"/>
        <v>0.22320146265754798</v>
      </c>
      <c r="W119" s="67">
        <f t="shared" si="19"/>
        <v>0.29489843952358957</v>
      </c>
      <c r="X119" s="67">
        <f t="shared" si="19"/>
        <v>2.6140339474935503</v>
      </c>
      <c r="AD119" s="51"/>
      <c r="AE119" s="51"/>
      <c r="AJ119" s="115" t="s">
        <v>376</v>
      </c>
      <c r="AK119" s="122" t="s">
        <v>9</v>
      </c>
      <c r="AL119" s="135">
        <f>AVERAGE(AR195:AR214)</f>
        <v>212.82849999999999</v>
      </c>
      <c r="AM119" s="139">
        <f>AVERAGE(AS195:AS214)</f>
        <v>614.98749999999995</v>
      </c>
      <c r="AN119" s="135">
        <f>AVERAGE(AT195:AT214)</f>
        <v>58847.183500000021</v>
      </c>
      <c r="AO119" s="135">
        <f>AVERAGE(AU195:AU214)</f>
        <v>30934.633000000009</v>
      </c>
      <c r="AP119" s="135">
        <f>AVERAGE(AV195:AV214)</f>
        <v>5974.1679999999997</v>
      </c>
      <c r="AQ119" s="107"/>
      <c r="AR119" s="115" t="s">
        <v>36</v>
      </c>
      <c r="AS119" s="136">
        <f>SUM(AL119:AP119)</f>
        <v>96583.800500000041</v>
      </c>
    </row>
    <row r="120" spans="1:51" x14ac:dyDescent="0.3">
      <c r="B120" s="1" t="s">
        <v>30</v>
      </c>
      <c r="C120" s="17">
        <f>C113/C118*100</f>
        <v>100</v>
      </c>
      <c r="D120" s="17">
        <f>D114/D118*100</f>
        <v>97.741974955634674</v>
      </c>
      <c r="E120" s="17">
        <f>E115/E118*100</f>
        <v>99.060945429253394</v>
      </c>
      <c r="F120" s="17">
        <f>F116/F118*100</f>
        <v>99.204600463996968</v>
      </c>
      <c r="G120" s="17">
        <f>G117/G118*100</f>
        <v>88.619076090716121</v>
      </c>
      <c r="H120" s="1"/>
      <c r="S120" s="15" t="s">
        <v>31</v>
      </c>
      <c r="T120" s="71">
        <f>I316</f>
        <v>100</v>
      </c>
      <c r="U120" s="71">
        <f>I317</f>
        <v>91.228070175438603</v>
      </c>
      <c r="V120" s="71">
        <f>I318</f>
        <v>99.864314789687924</v>
      </c>
      <c r="W120" s="71">
        <f>I319</f>
        <v>96.735395189003427</v>
      </c>
      <c r="X120" s="71">
        <f>I320</f>
        <v>93.954410307234895</v>
      </c>
      <c r="AD120" s="51"/>
      <c r="AE120" s="51"/>
      <c r="AH120" s="78"/>
      <c r="AI120" s="78"/>
      <c r="AJ120" s="140"/>
      <c r="AK120" s="128" t="s">
        <v>368</v>
      </c>
      <c r="AL120" s="125">
        <f>_xlfn.STDEV.S(AR195:AR214)/SQRT($AK$108)</f>
        <v>1.8437894723696227</v>
      </c>
      <c r="AM120" s="125">
        <f>_xlfn.STDEV.S(AS195:AS214)/SQRT($AK$108)</f>
        <v>15.594832694720377</v>
      </c>
      <c r="AN120" s="125">
        <f>_xlfn.STDEV.S(AT195:AT214)/SQRT($AK$108)</f>
        <v>64.255518097158216</v>
      </c>
      <c r="AO120" s="125">
        <f>_xlfn.STDEV.S(AU195:AU214)/SQRT($AK$108)</f>
        <v>57.906634049085774</v>
      </c>
      <c r="AP120" s="125">
        <f>_xlfn.STDEV.S(AV195:AV214)/SQRT($AK$108)</f>
        <v>36.48939939503699</v>
      </c>
      <c r="AQ120" s="107"/>
      <c r="AR120" s="107"/>
      <c r="AS120" s="107"/>
    </row>
    <row r="121" spans="1:51" x14ac:dyDescent="0.3">
      <c r="B121" s="16" t="s">
        <v>39</v>
      </c>
      <c r="C121" s="18">
        <f>SQRT((C124+C125)/(C118*C118))</f>
        <v>0</v>
      </c>
      <c r="D121" s="18">
        <f>SQRT((D124+D125)/(D118*D118))</f>
        <v>1.7077261774786701</v>
      </c>
      <c r="E121" s="18">
        <f>SQRT((E124+E125)/(E118*E118))</f>
        <v>0.21151511625695565</v>
      </c>
      <c r="F121" s="18">
        <f>SQRT((F124+F125)/(F118*F118))</f>
        <v>0.28706150777197642</v>
      </c>
      <c r="G121" s="18">
        <f>SQRT((G124+G125)/(G118*G118))</f>
        <v>2.8027623348595858</v>
      </c>
      <c r="H121" s="1"/>
      <c r="S121" s="75" t="s">
        <v>39</v>
      </c>
      <c r="T121" s="76">
        <f>J316</f>
        <v>0</v>
      </c>
      <c r="U121" s="76">
        <f>J317</f>
        <v>3.7802263481198874</v>
      </c>
      <c r="V121" s="76">
        <f>J318</f>
        <v>0.13568521031207589</v>
      </c>
      <c r="W121" s="76">
        <f>J319</f>
        <v>0.73725876947171842</v>
      </c>
      <c r="X121" s="76">
        <f>J320</f>
        <v>0.75066756966190173</v>
      </c>
      <c r="AD121" s="51"/>
      <c r="AE121" s="51"/>
      <c r="AJ121" s="119" t="s">
        <v>699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</row>
    <row r="122" spans="1:51" x14ac:dyDescent="0.3">
      <c r="B122" s="1" t="s">
        <v>37</v>
      </c>
      <c r="C122" s="18">
        <f>100-C120</f>
        <v>0</v>
      </c>
      <c r="D122" s="18">
        <f>100-D120</f>
        <v>2.2580250443653256</v>
      </c>
      <c r="E122" s="18">
        <f>100-E120</f>
        <v>0.93905457074660603</v>
      </c>
      <c r="F122" s="18">
        <f>100-F120</f>
        <v>0.79539953600303193</v>
      </c>
      <c r="G122" s="18">
        <f>100-G120</f>
        <v>11.380923909283879</v>
      </c>
      <c r="S122" s="66" t="s">
        <v>51</v>
      </c>
      <c r="T122" s="67">
        <f>N305*100</f>
        <v>99.889258028792909</v>
      </c>
      <c r="U122" s="67">
        <f>N306*100</f>
        <v>94.545454545454547</v>
      </c>
      <c r="V122" s="67">
        <f>N307*100</f>
        <v>97.097625329815301</v>
      </c>
      <c r="W122" s="67">
        <f>N308*100</f>
        <v>95.911413969335612</v>
      </c>
      <c r="X122" s="67">
        <f>N309*100</f>
        <v>96.2925342813611</v>
      </c>
      <c r="AD122" s="51"/>
      <c r="AE122" s="51"/>
      <c r="AH122" s="78"/>
      <c r="AI122" s="78"/>
      <c r="AJ122" s="115" t="s">
        <v>375</v>
      </c>
      <c r="AK122" s="122" t="s">
        <v>9</v>
      </c>
      <c r="AL122" s="135">
        <v>1.62</v>
      </c>
      <c r="AM122" s="135">
        <v>329.41</v>
      </c>
      <c r="AN122" s="135">
        <v>5303.17</v>
      </c>
      <c r="AO122" s="135">
        <v>451.91</v>
      </c>
      <c r="AP122" s="135">
        <v>138.16</v>
      </c>
      <c r="AQ122" s="107"/>
      <c r="AR122" s="115" t="s">
        <v>36</v>
      </c>
      <c r="AS122" s="136">
        <f>SUM(AL122:AP122)</f>
        <v>6224.2699999999995</v>
      </c>
      <c r="AU122">
        <v>1</v>
      </c>
      <c r="AV122">
        <v>68</v>
      </c>
    </row>
    <row r="123" spans="1:51" ht="15.6" x14ac:dyDescent="0.35">
      <c r="B123" s="1" t="s">
        <v>25</v>
      </c>
      <c r="C123" s="1">
        <f>C107</f>
        <v>451</v>
      </c>
      <c r="D123" s="1">
        <f>D107</f>
        <v>56</v>
      </c>
      <c r="E123" s="1">
        <f>E107</f>
        <v>786</v>
      </c>
      <c r="F123" s="1">
        <f>F107</f>
        <v>590</v>
      </c>
      <c r="G123" s="1">
        <f>G107</f>
        <v>953</v>
      </c>
      <c r="R123" s="16" t="s">
        <v>61</v>
      </c>
      <c r="S123" t="s">
        <v>9</v>
      </c>
      <c r="T123" s="30">
        <f>N316</f>
        <v>215.68</v>
      </c>
      <c r="U123" s="30">
        <f>N317</f>
        <v>580.15</v>
      </c>
      <c r="V123" s="30">
        <f>N318</f>
        <v>59110.87</v>
      </c>
      <c r="W123" s="30">
        <f>N319</f>
        <v>30488.67</v>
      </c>
      <c r="X123" s="30">
        <f>N320</f>
        <v>6188.43</v>
      </c>
      <c r="Z123" t="s">
        <v>36</v>
      </c>
      <c r="AA123" s="1">
        <f>N321</f>
        <v>96583.799999999988</v>
      </c>
      <c r="AD123" s="51"/>
      <c r="AE123" s="51"/>
      <c r="AJ123" s="107"/>
      <c r="AK123" s="107" t="s">
        <v>367</v>
      </c>
      <c r="AL123" s="108">
        <f>(AL122/$AS122)*100</f>
        <v>2.6027148565213272E-2</v>
      </c>
      <c r="AM123" s="108">
        <f>(AM122/$AS122)*100</f>
        <v>5.2923475363375951</v>
      </c>
      <c r="AN123" s="108">
        <f>(AN122/$AS122)*100</f>
        <v>85.201477442334607</v>
      </c>
      <c r="AO123" s="108">
        <f>(AO122/$AS122)*100</f>
        <v>7.2604498198182279</v>
      </c>
      <c r="AP123" s="108">
        <f>(AP122/$AS122)*100</f>
        <v>2.2196980529443615</v>
      </c>
      <c r="AQ123" s="107"/>
      <c r="AR123" s="107"/>
      <c r="AS123" s="107"/>
      <c r="AU123">
        <v>2</v>
      </c>
      <c r="AV123">
        <v>97</v>
      </c>
    </row>
    <row r="124" spans="1:51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0.15492559107425771</v>
      </c>
      <c r="E124" s="18">
        <f>(O115*O115*(100-E120)*(100-E120)*(I115)*(100-I115))/((L115-1)*100)</f>
        <v>0.59802156688460928</v>
      </c>
      <c r="F124" s="18">
        <f>(O116*O116*(100-F120)*(100-F120)*(I116)*(100-I116))/((L116-1)*100)</f>
        <v>3.5317807024170507</v>
      </c>
      <c r="G124" s="18">
        <f>(O117*O117*(100-G120)*(100-G120)*(I117)*(100-I117))/((L117-1)*100)</f>
        <v>34.515933380382961</v>
      </c>
      <c r="R124" s="16" t="s">
        <v>318</v>
      </c>
      <c r="S124" t="s">
        <v>63</v>
      </c>
      <c r="T124" s="57">
        <f>$AA123*T116/100</f>
        <v>268.06603092783502</v>
      </c>
      <c r="U124" s="57">
        <f>$AA123*U116/100</f>
        <v>535.39288004451157</v>
      </c>
      <c r="V124" s="57">
        <f>$AA123*V116/100</f>
        <v>59592.135217661948</v>
      </c>
      <c r="W124" s="57">
        <f>$AA123*W116/100</f>
        <v>29745.270586455663</v>
      </c>
      <c r="X124" s="57">
        <f>$AA123*X116/100</f>
        <v>6442.9352849100369</v>
      </c>
      <c r="Z124" t="s">
        <v>36</v>
      </c>
      <c r="AA124" s="25">
        <f>SUM(T124:X124)</f>
        <v>96583.8</v>
      </c>
      <c r="AD124" s="51"/>
      <c r="AE124" s="51"/>
      <c r="AH124" s="78"/>
      <c r="AI124" s="78"/>
      <c r="AJ124" s="115" t="s">
        <v>376</v>
      </c>
      <c r="AK124" s="122" t="s">
        <v>9</v>
      </c>
      <c r="AL124" s="135">
        <f>AVERAGE(AR216:AR235)</f>
        <v>1.7370000000000005</v>
      </c>
      <c r="AM124" s="135">
        <f>AVERAGE(AS216:AS235)</f>
        <v>340.33199999999999</v>
      </c>
      <c r="AN124" s="135">
        <f>AVERAGE(AT216:AT235)</f>
        <v>5289.7374999999993</v>
      </c>
      <c r="AO124" s="135">
        <f>AVERAGE(AU216:AU235)</f>
        <v>453.72349999999994</v>
      </c>
      <c r="AP124" s="135">
        <f>AVERAGE(AV216:AV235)</f>
        <v>138.745</v>
      </c>
      <c r="AQ124" s="107"/>
      <c r="AR124" s="115" t="s">
        <v>36</v>
      </c>
      <c r="AS124" s="136">
        <f>SUM(AL124:AP124)</f>
        <v>6224.2749999999996</v>
      </c>
      <c r="AU124">
        <v>3</v>
      </c>
      <c r="AV124">
        <v>126</v>
      </c>
    </row>
    <row r="125" spans="1:51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0.78005035105889409</v>
      </c>
      <c r="E125" s="18">
        <f>E120*E120*(SUM((H113*E113*(1-E102/H102))/(H102-1),(H114*E114*(1-E103/H103))/(H103-1), (H116*E116*(1-E105/H105))/(H105-1),(H117*E117*(1-E106/H106))/(H106-1)))</f>
        <v>166.88419386107293</v>
      </c>
      <c r="F125" s="18">
        <f>F120*F120*(SUM((H113*F113*(1-F102/H102))/(H102-1),(H114*F114*(1-F103/H103))/(H103-1), (H115*F115*(1-F104/H104))/(H104-1),(H117*F117*(1-F106/H106))/(H106-1)))</f>
        <v>76.939384053198012</v>
      </c>
      <c r="G125" s="18">
        <f>G120*G120*(SUM((H113*G113*(1-G102/H102))/(H102-1),(H114*G114*(1-G103/H103))/(H103-1), (H115*G115*(1-G104/H104))/(H104-1),(H116*G116*(1-G105/H105))/(H105-1)))</f>
        <v>325.90563836271662</v>
      </c>
      <c r="R125" s="66"/>
      <c r="S125" s="66" t="s">
        <v>62</v>
      </c>
      <c r="T125" s="67">
        <f>$AA123*T117/100</f>
        <v>52.341006397876853</v>
      </c>
      <c r="U125" s="67">
        <f>$AA123*U117/100</f>
        <v>22.585597786441369</v>
      </c>
      <c r="V125" s="67">
        <f>$AA123*V117/100</f>
        <v>156.07106379224552</v>
      </c>
      <c r="W125" s="67">
        <f>$AA123*W117/100</f>
        <v>240.59823682175247</v>
      </c>
      <c r="X125" s="67">
        <f>$AA123*X117/100</f>
        <v>185.49511838915717</v>
      </c>
      <c r="AA125" s="1"/>
      <c r="AD125" s="51"/>
      <c r="AE125" s="51"/>
      <c r="AJ125" s="107"/>
      <c r="AK125" s="128" t="s">
        <v>368</v>
      </c>
      <c r="AL125" s="125">
        <f>_xlfn.STDEV.S(AR216:AR235)/SQRT($AK$108)</f>
        <v>3.8127901097559272E-2</v>
      </c>
      <c r="AM125" s="125">
        <f>_xlfn.STDEV.S(AS216:AS235)/SQRT($AK$108)</f>
        <v>8.6243960459788003</v>
      </c>
      <c r="AN125" s="125">
        <f>_xlfn.STDEV.S(AT216:AT235)/SQRT($AK$108)</f>
        <v>8.5978425652203914</v>
      </c>
      <c r="AO125" s="125">
        <f>_xlfn.STDEV.S(AU216:AU235)/SQRT($AK$108)</f>
        <v>1.9360767811818766</v>
      </c>
      <c r="AP125" s="125">
        <f>_xlfn.STDEV.S(AV216:AV235)/SQRT($AK$108)</f>
        <v>1.1408981918692507</v>
      </c>
      <c r="AQ125" s="107"/>
      <c r="AR125" s="107"/>
      <c r="AS125" s="141"/>
      <c r="AU125">
        <v>4</v>
      </c>
      <c r="AV125">
        <v>155</v>
      </c>
    </row>
    <row r="126" spans="1:51" x14ac:dyDescent="0.3">
      <c r="R126" t="s">
        <v>99</v>
      </c>
      <c r="S126" t="s">
        <v>28</v>
      </c>
      <c r="T126" s="57">
        <f>C350</f>
        <v>0.21444590086536253</v>
      </c>
      <c r="U126" s="57">
        <f t="shared" ref="U126:X129" si="21">D350</f>
        <v>0.60750517058488929</v>
      </c>
      <c r="V126" s="57">
        <f t="shared" si="21"/>
        <v>61.305534261212678</v>
      </c>
      <c r="W126" s="57">
        <f t="shared" si="21"/>
        <v>31.247450839329527</v>
      </c>
      <c r="X126" s="57">
        <f t="shared" si="21"/>
        <v>6.6250638280075398</v>
      </c>
      <c r="Y126" s="13"/>
      <c r="Z126" s="74"/>
      <c r="AA126" s="12"/>
      <c r="AD126" s="51"/>
      <c r="AE126" s="51"/>
      <c r="AH126" s="78"/>
      <c r="AI126" s="78"/>
      <c r="AJ126" s="119" t="s">
        <v>663</v>
      </c>
      <c r="AK126" s="107"/>
      <c r="AL126" s="116"/>
      <c r="AM126" s="116"/>
      <c r="AN126" s="116"/>
      <c r="AO126" s="116"/>
      <c r="AP126" s="116"/>
      <c r="AQ126" s="107"/>
      <c r="AR126" s="107"/>
      <c r="AS126" s="141"/>
      <c r="AU126">
        <v>5</v>
      </c>
      <c r="AV126">
        <v>184</v>
      </c>
    </row>
    <row r="127" spans="1:51" x14ac:dyDescent="0.3">
      <c r="S127" s="66" t="s">
        <v>39</v>
      </c>
      <c r="T127" s="67">
        <f>C351</f>
        <v>0</v>
      </c>
      <c r="U127" s="67">
        <f t="shared" si="21"/>
        <v>2.4951455307101175E-2</v>
      </c>
      <c r="V127" s="67">
        <f t="shared" si="21"/>
        <v>0.1530642826444448</v>
      </c>
      <c r="W127" s="67">
        <f t="shared" si="21"/>
        <v>0.23973861323430523</v>
      </c>
      <c r="X127" s="67">
        <f t="shared" si="21"/>
        <v>0.19327763292328351</v>
      </c>
      <c r="AD127" s="51"/>
      <c r="AE127" s="51"/>
      <c r="AJ127" s="115" t="s">
        <v>375</v>
      </c>
      <c r="AK127" s="122" t="s">
        <v>9</v>
      </c>
      <c r="AL127" s="135">
        <v>186.29</v>
      </c>
      <c r="AM127" s="135">
        <v>66.540000000000006</v>
      </c>
      <c r="AN127" s="135">
        <v>4648.66</v>
      </c>
      <c r="AO127" s="135">
        <v>15621.17</v>
      </c>
      <c r="AP127" s="135">
        <v>4124.59</v>
      </c>
      <c r="AQ127" s="107"/>
      <c r="AR127" s="115" t="s">
        <v>36</v>
      </c>
      <c r="AS127" s="136">
        <f>SUM(AL127:AP127)</f>
        <v>24647.25</v>
      </c>
      <c r="AU127">
        <v>6</v>
      </c>
      <c r="AV127">
        <v>213</v>
      </c>
    </row>
    <row r="128" spans="1:51" x14ac:dyDescent="0.3">
      <c r="A128" s="348" t="s">
        <v>373</v>
      </c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 t="s">
        <v>59</v>
      </c>
      <c r="M128" s="348"/>
      <c r="N128" s="348"/>
      <c r="O128" s="348"/>
      <c r="P128" s="348"/>
      <c r="S128" t="s">
        <v>30</v>
      </c>
      <c r="T128" s="57">
        <f>C352</f>
        <v>100</v>
      </c>
      <c r="U128" s="57">
        <f t="shared" si="21"/>
        <v>100</v>
      </c>
      <c r="V128" s="57">
        <f t="shared" si="21"/>
        <v>99.172051210288743</v>
      </c>
      <c r="W128" s="57">
        <f t="shared" si="21"/>
        <v>99.236312617654548</v>
      </c>
      <c r="X128" s="57">
        <f t="shared" si="21"/>
        <v>90.059048762416296</v>
      </c>
      <c r="AD128" s="51"/>
      <c r="AE128" s="51"/>
      <c r="AH128" s="78"/>
      <c r="AI128" s="78"/>
      <c r="AJ128" s="107"/>
      <c r="AK128" s="107" t="s">
        <v>367</v>
      </c>
      <c r="AL128" s="108">
        <f>(AL127/$AS127)*100</f>
        <v>0.7558246863240321</v>
      </c>
      <c r="AM128" s="108">
        <f>(AM127/$AS127)*100</f>
        <v>0.26996926634817275</v>
      </c>
      <c r="AN128" s="108">
        <f>(AN127/$AS127)*100</f>
        <v>18.860765399791052</v>
      </c>
      <c r="AO128" s="108">
        <f>(AO127/$AS127)*100</f>
        <v>63.378957084461753</v>
      </c>
      <c r="AP128" s="108">
        <f>(AP127/$AS127)*100</f>
        <v>16.734483563074988</v>
      </c>
      <c r="AQ128" s="107"/>
      <c r="AR128" s="107"/>
      <c r="AS128" s="141"/>
      <c r="AU128">
        <v>7</v>
      </c>
      <c r="AV128">
        <v>242</v>
      </c>
    </row>
    <row r="129" spans="1:48" x14ac:dyDescent="0.3">
      <c r="A129" t="s">
        <v>315</v>
      </c>
      <c r="B129" t="s">
        <v>21</v>
      </c>
      <c r="I129" s="1" t="s">
        <v>53</v>
      </c>
      <c r="O129" s="142"/>
      <c r="P129" s="142"/>
      <c r="S129" s="66" t="s">
        <v>39</v>
      </c>
      <c r="T129" s="67">
        <f>C353</f>
        <v>0</v>
      </c>
      <c r="U129" s="67">
        <f t="shared" si="21"/>
        <v>0</v>
      </c>
      <c r="V129" s="67">
        <f t="shared" si="21"/>
        <v>0.20904653687303942</v>
      </c>
      <c r="W129" s="67">
        <f t="shared" si="21"/>
        <v>0.2852805853345815</v>
      </c>
      <c r="X129" s="67">
        <f t="shared" si="21"/>
        <v>2.6445499410814604</v>
      </c>
      <c r="AD129" s="51"/>
      <c r="AE129" s="51"/>
      <c r="AJ129" s="115" t="s">
        <v>376</v>
      </c>
      <c r="AK129" s="122" t="s">
        <v>9</v>
      </c>
      <c r="AL129" s="135">
        <f>AVERAGE(AL195:AL214)</f>
        <v>184.97449999999998</v>
      </c>
      <c r="AM129" s="139">
        <f>AVERAGE(AM195:AM214)</f>
        <v>94.1</v>
      </c>
      <c r="AN129" s="135">
        <f>AVERAGE(AN195:AN214)</f>
        <v>4605.4665000000005</v>
      </c>
      <c r="AO129" s="135">
        <f>AVERAGE(AO195:AO214)</f>
        <v>15588.859000000002</v>
      </c>
      <c r="AP129" s="135">
        <f>AVERAGE(AP195:AP214)</f>
        <v>4173.8449999999993</v>
      </c>
      <c r="AQ129" s="107"/>
      <c r="AR129" s="115" t="s">
        <v>36</v>
      </c>
      <c r="AS129" s="136">
        <f>SUM(AL129:AP129)</f>
        <v>24647.245000000003</v>
      </c>
      <c r="AU129">
        <v>8</v>
      </c>
      <c r="AV129">
        <v>271</v>
      </c>
    </row>
    <row r="130" spans="1:48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51</v>
      </c>
      <c r="O130" s="13"/>
      <c r="P130" s="13"/>
      <c r="S130" s="15" t="s">
        <v>31</v>
      </c>
      <c r="T130" s="71">
        <f>I345</f>
        <v>100</v>
      </c>
      <c r="U130" s="71">
        <f>I346</f>
        <v>91.228070175438603</v>
      </c>
      <c r="V130" s="71">
        <f>I347</f>
        <v>99.864314789687924</v>
      </c>
      <c r="W130" s="71">
        <f>I348</f>
        <v>97.079037800687288</v>
      </c>
      <c r="X130" s="71">
        <f>I349</f>
        <v>94.747274529236876</v>
      </c>
      <c r="AD130" s="51"/>
      <c r="AE130" s="51"/>
      <c r="AH130" s="78"/>
      <c r="AI130" s="78"/>
      <c r="AJ130" s="107"/>
      <c r="AK130" s="128" t="s">
        <v>368</v>
      </c>
      <c r="AL130" s="125">
        <f>_xlfn.STDEV.S(AL195:AL214)/SQRT($AK$108)</f>
        <v>0.72683252070741455</v>
      </c>
      <c r="AM130" s="125">
        <f>_xlfn.STDEV.S(AM195:AM214)/SQRT($AK$108)</f>
        <v>5.310859827303215</v>
      </c>
      <c r="AN130" s="125">
        <f>_xlfn.STDEV.S(AN195:AN214)/SQRT($AK$108)</f>
        <v>16.487982645662967</v>
      </c>
      <c r="AO130" s="125">
        <f>_xlfn.STDEV.S(AO195:AO214)/SQRT($AK$108)</f>
        <v>18.142461373369645</v>
      </c>
      <c r="AP130" s="125">
        <f>_xlfn.STDEV.S(AP195:AP214)/SQRT($AK$108)</f>
        <v>18.792141057535606</v>
      </c>
      <c r="AQ130" s="107"/>
      <c r="AR130" s="107"/>
      <c r="AS130" s="141"/>
      <c r="AU130">
        <v>9</v>
      </c>
      <c r="AV130">
        <v>300</v>
      </c>
    </row>
    <row r="131" spans="1:48" x14ac:dyDescent="0.3">
      <c r="A131" t="s">
        <v>3</v>
      </c>
      <c r="B131" s="13">
        <v>0</v>
      </c>
      <c r="C131" s="26">
        <v>451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451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/>
      <c r="P131" s="1"/>
      <c r="S131" s="75" t="s">
        <v>39</v>
      </c>
      <c r="T131" s="76">
        <f>J345</f>
        <v>0</v>
      </c>
      <c r="U131" s="76">
        <f>J346</f>
        <v>3.7802263481198874</v>
      </c>
      <c r="V131" s="76">
        <f>J347</f>
        <v>0.13568521031207589</v>
      </c>
      <c r="W131" s="76">
        <f>J348</f>
        <v>0.69861456179910675</v>
      </c>
      <c r="X131" s="76">
        <f>J349</f>
        <v>0.70266035155537654</v>
      </c>
      <c r="AD131" s="51"/>
      <c r="AE131" s="51"/>
      <c r="AJ131" s="119" t="s">
        <v>700</v>
      </c>
      <c r="AK131" s="107"/>
      <c r="AL131" s="116"/>
      <c r="AM131" s="116"/>
      <c r="AN131" s="116"/>
      <c r="AO131" s="116"/>
      <c r="AP131" s="116"/>
      <c r="AQ131" s="107"/>
      <c r="AR131" s="107"/>
      <c r="AS131" s="141"/>
      <c r="AU131">
        <v>10</v>
      </c>
      <c r="AV131">
        <v>329</v>
      </c>
    </row>
    <row r="132" spans="1:48" x14ac:dyDescent="0.3">
      <c r="A132" t="s">
        <v>4</v>
      </c>
      <c r="B132" s="13">
        <v>1</v>
      </c>
      <c r="C132" s="5">
        <v>0</v>
      </c>
      <c r="D132" s="27">
        <v>54</v>
      </c>
      <c r="E132" s="1">
        <v>3</v>
      </c>
      <c r="F132" s="1">
        <v>0</v>
      </c>
      <c r="G132" s="6">
        <v>0</v>
      </c>
      <c r="H132" s="1">
        <f>SUM(C132:G132)</f>
        <v>57</v>
      </c>
      <c r="I132" s="10">
        <f>D132/H132</f>
        <v>0.94736842105263153</v>
      </c>
      <c r="J132" s="11">
        <f>1-I132</f>
        <v>5.2631578947368474E-2</v>
      </c>
      <c r="K132">
        <f>H132-D136</f>
        <v>3</v>
      </c>
      <c r="N132" s="10">
        <f>2*(D137*I132)/(D137+I132)</f>
        <v>0.97297297297297303</v>
      </c>
      <c r="O132" s="1"/>
      <c r="P132" s="1"/>
      <c r="S132" s="66" t="s">
        <v>51</v>
      </c>
      <c r="T132" s="67">
        <f>N334*100</f>
        <v>100</v>
      </c>
      <c r="U132" s="67">
        <f>N335*100</f>
        <v>95.412844036697237</v>
      </c>
      <c r="V132" s="67">
        <f>N336*100</f>
        <v>97.418927862342812</v>
      </c>
      <c r="W132" s="67">
        <f>N337*100</f>
        <v>96.334185848252346</v>
      </c>
      <c r="X132" s="67">
        <f>N338*100</f>
        <v>96.712190187152245</v>
      </c>
      <c r="AD132" s="51"/>
      <c r="AE132" s="51"/>
      <c r="AH132" s="78"/>
      <c r="AI132" s="78"/>
      <c r="AJ132" s="115" t="s">
        <v>375</v>
      </c>
      <c r="AK132" s="122" t="s">
        <v>9</v>
      </c>
      <c r="AL132" s="135">
        <v>0.89</v>
      </c>
      <c r="AM132" s="135">
        <v>21.09</v>
      </c>
      <c r="AN132" s="135">
        <v>1228.06</v>
      </c>
      <c r="AO132" s="135">
        <v>195.09</v>
      </c>
      <c r="AP132" s="135">
        <v>17.079999999999998</v>
      </c>
      <c r="AQ132" s="107"/>
      <c r="AR132" s="115" t="s">
        <v>36</v>
      </c>
      <c r="AS132" s="136">
        <f>SUM(AL132:AP132)</f>
        <v>1462.2099999999998</v>
      </c>
      <c r="AU132">
        <v>11</v>
      </c>
      <c r="AV132">
        <v>358</v>
      </c>
    </row>
    <row r="133" spans="1:48" x14ac:dyDescent="0.3">
      <c r="A133" t="s">
        <v>5</v>
      </c>
      <c r="B133" s="13">
        <v>2</v>
      </c>
      <c r="C133" s="5">
        <v>0</v>
      </c>
      <c r="D133" s="1">
        <v>0</v>
      </c>
      <c r="E133" s="27">
        <v>736</v>
      </c>
      <c r="F133" s="1">
        <v>1</v>
      </c>
      <c r="G133" s="6">
        <v>0</v>
      </c>
      <c r="H133" s="1">
        <f>SUM(C133:G133)</f>
        <v>737</v>
      </c>
      <c r="I133" s="10">
        <f>E133/H133</f>
        <v>0.99864314789687925</v>
      </c>
      <c r="J133" s="11">
        <f>1-I133</f>
        <v>1.3568521031207537E-3</v>
      </c>
      <c r="K133">
        <f>H133-E136</f>
        <v>-45</v>
      </c>
      <c r="N133" s="10">
        <f>2*(E137*I133)/(E137+I133)</f>
        <v>0.96905859117840676</v>
      </c>
      <c r="O133" s="1"/>
      <c r="P133" s="1"/>
      <c r="R133" s="16" t="s">
        <v>61</v>
      </c>
      <c r="S133" t="s">
        <v>9</v>
      </c>
      <c r="T133" s="30">
        <f>N345</f>
        <v>207.12</v>
      </c>
      <c r="U133" s="30">
        <f>N346</f>
        <v>643.16999999999996</v>
      </c>
      <c r="V133" s="30">
        <f>N347</f>
        <v>58800.76</v>
      </c>
      <c r="W133" s="30">
        <f>N348</f>
        <v>30850.63</v>
      </c>
      <c r="X133" s="30">
        <f>N349</f>
        <v>6082.12</v>
      </c>
      <c r="Z133" t="s">
        <v>36</v>
      </c>
      <c r="AA133" s="1">
        <f>N350</f>
        <v>96583.8</v>
      </c>
      <c r="AD133" s="51"/>
      <c r="AE133" s="51"/>
      <c r="AJ133" s="107"/>
      <c r="AK133" s="107" t="s">
        <v>367</v>
      </c>
      <c r="AL133" s="108">
        <f>(AL132/$AS132)*100</f>
        <v>6.086677016297249E-2</v>
      </c>
      <c r="AM133" s="108">
        <f>(AM132/$AS132)*100</f>
        <v>1.4423372839742583</v>
      </c>
      <c r="AN133" s="108">
        <f>(AN132/$AS132)*100</f>
        <v>83.986568276786514</v>
      </c>
      <c r="AO133" s="108">
        <f>(AO132/$AS132)*100</f>
        <v>13.342132798982364</v>
      </c>
      <c r="AP133" s="108">
        <f>(AP132/$AS132)*100</f>
        <v>1.1680948700938989</v>
      </c>
      <c r="AQ133" s="107"/>
      <c r="AR133" s="107"/>
      <c r="AS133" s="141"/>
      <c r="AU133">
        <v>12</v>
      </c>
      <c r="AV133">
        <v>387</v>
      </c>
    </row>
    <row r="134" spans="1:48" ht="15.6" x14ac:dyDescent="0.35">
      <c r="A134" t="s">
        <v>6</v>
      </c>
      <c r="B134" s="13">
        <v>3</v>
      </c>
      <c r="C134" s="5">
        <v>0</v>
      </c>
      <c r="D134" s="1">
        <v>0</v>
      </c>
      <c r="E134" s="1">
        <v>7</v>
      </c>
      <c r="F134" s="27">
        <v>567</v>
      </c>
      <c r="G134" s="6">
        <v>8</v>
      </c>
      <c r="H134" s="1">
        <f>SUM(C134:G134)</f>
        <v>582</v>
      </c>
      <c r="I134" s="10">
        <f>F134/H134</f>
        <v>0.97422680412371132</v>
      </c>
      <c r="J134" s="11">
        <f>1-I134</f>
        <v>2.5773195876288679E-2</v>
      </c>
      <c r="K134">
        <f>H134-F136</f>
        <v>-18</v>
      </c>
      <c r="N134" s="10">
        <f>2*(F137*I134)/(F137+I134)</f>
        <v>0.95939086294416243</v>
      </c>
      <c r="O134" s="1"/>
      <c r="P134" s="1"/>
      <c r="R134" s="16" t="s">
        <v>318</v>
      </c>
      <c r="S134" t="s">
        <v>63</v>
      </c>
      <c r="T134" s="57">
        <f>$AA133*T126/100</f>
        <v>207.12</v>
      </c>
      <c r="U134" s="57">
        <f>$AA133*U126/100</f>
        <v>586.75157894736833</v>
      </c>
      <c r="V134" s="57">
        <f>$AA133*V126/100</f>
        <v>59211.214599781131</v>
      </c>
      <c r="W134" s="57">
        <f>$AA133*W126/100</f>
        <v>30179.975423756354</v>
      </c>
      <c r="X134" s="57">
        <f>$AA133*X126/100</f>
        <v>6398.7383975151461</v>
      </c>
      <c r="Z134" t="s">
        <v>36</v>
      </c>
      <c r="AA134" s="25">
        <f>SUM(T134:X134)</f>
        <v>96583.8</v>
      </c>
      <c r="AD134" s="51"/>
      <c r="AE134" s="51"/>
      <c r="AH134" s="78"/>
      <c r="AI134" s="78"/>
      <c r="AJ134" s="115" t="s">
        <v>376</v>
      </c>
      <c r="AK134" s="122" t="s">
        <v>9</v>
      </c>
      <c r="AL134" s="135">
        <f>AVERAGE(AL216:AL235)</f>
        <v>0.91500000000000026</v>
      </c>
      <c r="AM134" s="139">
        <f>AVERAGE(AM216:AM235)</f>
        <v>23.364000000000001</v>
      </c>
      <c r="AN134" s="135">
        <f>AVERAGE(AN216:AN235)</f>
        <v>1224.8064999999997</v>
      </c>
      <c r="AO134" s="135">
        <f>AVERAGE(AO216:AO235)</f>
        <v>195.72299999999996</v>
      </c>
      <c r="AP134" s="135">
        <f>AVERAGE(AP216:AP235)</f>
        <v>17.405500000000004</v>
      </c>
      <c r="AQ134" s="107"/>
      <c r="AR134" s="115" t="s">
        <v>36</v>
      </c>
      <c r="AS134" s="136">
        <f>SUM(AL134:AP134)</f>
        <v>1462.2139999999997</v>
      </c>
      <c r="AU134">
        <v>13</v>
      </c>
      <c r="AV134">
        <v>416</v>
      </c>
    </row>
    <row r="135" spans="1:48" x14ac:dyDescent="0.3">
      <c r="A135" t="s">
        <v>7</v>
      </c>
      <c r="B135" s="13">
        <v>4</v>
      </c>
      <c r="C135" s="7">
        <v>0</v>
      </c>
      <c r="D135" s="8">
        <v>0</v>
      </c>
      <c r="E135" s="8">
        <v>36</v>
      </c>
      <c r="F135" s="8">
        <v>32</v>
      </c>
      <c r="G135" s="28">
        <v>941</v>
      </c>
      <c r="H135" s="1">
        <f>SUM(C135:G135)</f>
        <v>1009</v>
      </c>
      <c r="I135" s="10">
        <f>G135/H135</f>
        <v>0.93260654112983155</v>
      </c>
      <c r="J135" s="11">
        <f>1-I135</f>
        <v>6.7393458870168454E-2</v>
      </c>
      <c r="K135">
        <f>H135-G136</f>
        <v>60</v>
      </c>
      <c r="N135" s="10">
        <f>2*(G137*I135)/(G137+I135)</f>
        <v>0.96118488253319712</v>
      </c>
      <c r="O135" s="1"/>
      <c r="P135" s="1"/>
      <c r="R135" s="66"/>
      <c r="S135" s="66" t="s">
        <v>62</v>
      </c>
      <c r="T135" s="67">
        <f>$AA133*T127/100</f>
        <v>0</v>
      </c>
      <c r="U135" s="67">
        <f>$AA133*U127/100</f>
        <v>24.099063690899985</v>
      </c>
      <c r="V135" s="67">
        <f>$AA133*V127/100</f>
        <v>147.83530062074527</v>
      </c>
      <c r="W135" s="67">
        <f>$AA133*W127/100</f>
        <v>231.54866272899488</v>
      </c>
      <c r="X135" s="67">
        <f>$AA133*X127/100</f>
        <v>186.67488242735831</v>
      </c>
      <c r="AA135" s="1"/>
      <c r="AD135" s="51"/>
      <c r="AE135" s="51"/>
      <c r="AJ135" s="107"/>
      <c r="AK135" s="128" t="s">
        <v>368</v>
      </c>
      <c r="AL135" s="125">
        <f>_xlfn.STDEV.S(AL216:AL235)/SQRT($AK$108)</f>
        <v>1.7464249196572985E-2</v>
      </c>
      <c r="AM135" s="125">
        <f>_xlfn.STDEV.S(AM216:AM235)/SQRT($AK$108)</f>
        <v>0.90699312363202911</v>
      </c>
      <c r="AN135" s="125">
        <f>_xlfn.STDEV.S(AN216:AN235)/SQRT($AK$108)</f>
        <v>1.0443394474877132</v>
      </c>
      <c r="AO135" s="125">
        <f>_xlfn.STDEV.S(AO216:AO235)/SQRT($AK$108)</f>
        <v>0.94366812297321456</v>
      </c>
      <c r="AP135" s="125">
        <f>_xlfn.STDEV.S(AP216:AP235)/SQRT($AK$108)</f>
        <v>0.28395373511227234</v>
      </c>
      <c r="AQ135" s="107"/>
      <c r="AR135" s="107"/>
      <c r="AS135" s="107"/>
      <c r="AU135">
        <v>14</v>
      </c>
      <c r="AV135">
        <v>445</v>
      </c>
    </row>
    <row r="136" spans="1:48" ht="15.6" x14ac:dyDescent="0.35">
      <c r="B136" s="1" t="s">
        <v>19</v>
      </c>
      <c r="C136" s="1">
        <f>SUM(C131:C135)</f>
        <v>451</v>
      </c>
      <c r="D136" s="1">
        <f>SUM(D131:D135)</f>
        <v>54</v>
      </c>
      <c r="E136" s="1">
        <f>SUM(E131:E135)</f>
        <v>782</v>
      </c>
      <c r="F136" s="1">
        <f>SUM(F131:F135)</f>
        <v>600</v>
      </c>
      <c r="G136" s="1">
        <f>SUM(G131:G135)</f>
        <v>949</v>
      </c>
      <c r="H136" s="1">
        <f>SUM(H130:H135)</f>
        <v>2836</v>
      </c>
      <c r="I136" s="13" t="s">
        <v>12</v>
      </c>
      <c r="N136" s="16"/>
      <c r="O136" s="1"/>
      <c r="P136" s="1"/>
      <c r="R136" t="s">
        <v>100</v>
      </c>
      <c r="S136" t="s">
        <v>28</v>
      </c>
      <c r="T136" s="57">
        <f>C379</f>
        <v>0.22088590426137716</v>
      </c>
      <c r="U136" s="57">
        <f t="shared" ref="U136:X139" si="22">D379</f>
        <v>0.66702414622476391</v>
      </c>
      <c r="V136" s="57">
        <f t="shared" si="22"/>
        <v>60.619133056895798</v>
      </c>
      <c r="W136" s="57">
        <f t="shared" si="22"/>
        <v>32.140817800287181</v>
      </c>
      <c r="X136" s="57">
        <f t="shared" si="22"/>
        <v>6.3521390923308694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</row>
    <row r="137" spans="1:48" x14ac:dyDescent="0.3">
      <c r="A137" s="1" t="s">
        <v>316</v>
      </c>
      <c r="B137" s="1" t="s">
        <v>2</v>
      </c>
      <c r="C137" s="10">
        <f>C131/C136</f>
        <v>1</v>
      </c>
      <c r="D137" s="10">
        <f>D132/D136</f>
        <v>1</v>
      </c>
      <c r="E137" s="10">
        <f>E133/E136</f>
        <v>0.94117647058823528</v>
      </c>
      <c r="F137" s="10">
        <f>F134/F136</f>
        <v>0.94499999999999995</v>
      </c>
      <c r="G137" s="10">
        <f>G135/G136</f>
        <v>0.99157007376185458</v>
      </c>
      <c r="H137" s="10"/>
      <c r="I137" s="14">
        <f>(C131+D132+E133+F134+G135)/H136</f>
        <v>0.96932299012693934</v>
      </c>
      <c r="S137" s="66" t="s">
        <v>39</v>
      </c>
      <c r="T137" s="67">
        <f>C380</f>
        <v>0</v>
      </c>
      <c r="U137" s="67">
        <f t="shared" si="22"/>
        <v>8.5068158871674543E-2</v>
      </c>
      <c r="V137" s="67">
        <f t="shared" si="22"/>
        <v>0.14482227297642822</v>
      </c>
      <c r="W137" s="67">
        <f t="shared" si="22"/>
        <v>0.19514887511689727</v>
      </c>
      <c r="X137" s="67">
        <f t="shared" si="22"/>
        <v>0.16555186730452917</v>
      </c>
      <c r="AD137" s="51"/>
      <c r="AE137" s="51"/>
      <c r="AU137">
        <v>16</v>
      </c>
      <c r="AV137">
        <v>503</v>
      </c>
    </row>
    <row r="138" spans="1:48" x14ac:dyDescent="0.3">
      <c r="B138" s="1" t="s">
        <v>14</v>
      </c>
      <c r="C138" s="11">
        <f>1-C137</f>
        <v>0</v>
      </c>
      <c r="D138" s="11">
        <f>1-D137</f>
        <v>0</v>
      </c>
      <c r="E138" s="11">
        <f>1-E137</f>
        <v>5.8823529411764719E-2</v>
      </c>
      <c r="F138" s="11">
        <f>1-F137</f>
        <v>5.5000000000000049E-2</v>
      </c>
      <c r="G138" s="11">
        <f>1-G137</f>
        <v>8.4299262381454243E-3</v>
      </c>
      <c r="S138" t="s">
        <v>30</v>
      </c>
      <c r="T138" s="57">
        <f>C381</f>
        <v>100</v>
      </c>
      <c r="U138" s="57">
        <f t="shared" si="22"/>
        <v>83.979575030003843</v>
      </c>
      <c r="V138" s="57">
        <f t="shared" si="22"/>
        <v>99.176207519323185</v>
      </c>
      <c r="W138" s="57">
        <f t="shared" si="22"/>
        <v>99.412530890138186</v>
      </c>
      <c r="X138" s="57">
        <f t="shared" si="22"/>
        <v>92.940187199299956</v>
      </c>
      <c r="AA138" s="54"/>
      <c r="AD138" s="51"/>
      <c r="AE138" s="51"/>
      <c r="AH138" s="78"/>
      <c r="AI138" s="78"/>
      <c r="AU138">
        <v>17</v>
      </c>
      <c r="AV138">
        <v>532</v>
      </c>
    </row>
    <row r="139" spans="1:48" x14ac:dyDescent="0.3">
      <c r="C139" s="2"/>
      <c r="S139" s="66" t="s">
        <v>39</v>
      </c>
      <c r="T139" s="67">
        <f>C382</f>
        <v>0</v>
      </c>
      <c r="U139" s="67">
        <f t="shared" si="22"/>
        <v>11.517983719814969</v>
      </c>
      <c r="V139" s="67">
        <f t="shared" si="22"/>
        <v>0.19623473567520427</v>
      </c>
      <c r="W139" s="67">
        <f t="shared" si="22"/>
        <v>0.11080630658338191</v>
      </c>
      <c r="X139" s="67">
        <f t="shared" si="22"/>
        <v>2.3748581692728687</v>
      </c>
      <c r="AD139" s="51"/>
      <c r="AE139" s="51"/>
      <c r="AU139">
        <v>18</v>
      </c>
      <c r="AV139">
        <v>561</v>
      </c>
    </row>
    <row r="140" spans="1:48" ht="15.6" x14ac:dyDescent="0.35">
      <c r="A140" t="s">
        <v>317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92.982456140350877</v>
      </c>
      <c r="V140" s="57">
        <f>I376</f>
        <v>99.86431478968791</v>
      </c>
      <c r="W140" s="57">
        <f>I377</f>
        <v>97.9381443298969</v>
      </c>
      <c r="X140" s="57">
        <f>I378</f>
        <v>92.963330029732404</v>
      </c>
      <c r="AD140" s="51"/>
      <c r="AE140" s="51"/>
      <c r="AH140" s="78"/>
      <c r="AI140" s="78"/>
      <c r="AU140">
        <v>19</v>
      </c>
      <c r="AV140">
        <v>590</v>
      </c>
    </row>
    <row r="141" spans="1:48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3.4134933513474275</v>
      </c>
      <c r="V141" s="67">
        <f>J376</f>
        <v>0.135685210312083</v>
      </c>
      <c r="W141" s="67">
        <f>J377</f>
        <v>0.58954505375429189</v>
      </c>
      <c r="X141" s="67">
        <f>J378</f>
        <v>0.8055809009974596</v>
      </c>
      <c r="AD141" s="51"/>
      <c r="AE141" s="51"/>
    </row>
    <row r="142" spans="1:48" x14ac:dyDescent="0.3">
      <c r="A142" t="s">
        <v>3</v>
      </c>
      <c r="B142" s="13">
        <v>0</v>
      </c>
      <c r="C142" s="29">
        <f>(C131/$L142)*$O142</f>
        <v>0.22060635427473343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0.22060635427473343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451</v>
      </c>
      <c r="M142">
        <v>0</v>
      </c>
      <c r="N142" s="1">
        <v>213.07</v>
      </c>
      <c r="O142" s="17">
        <f>N142/N147*100</f>
        <v>0.22060635427473343</v>
      </c>
      <c r="P142" s="52">
        <f>((O142*O142*(I142/100)*(K142/100))/(L142-1))</f>
        <v>0</v>
      </c>
      <c r="S142" s="66" t="s">
        <v>51</v>
      </c>
      <c r="T142" s="67">
        <f>N363*100</f>
        <v>100</v>
      </c>
      <c r="U142" s="67">
        <f>N364*100</f>
        <v>92.173913043478251</v>
      </c>
      <c r="V142" s="67">
        <f>N365*100</f>
        <v>96.969696969696969</v>
      </c>
      <c r="W142" s="67">
        <f>N366*100</f>
        <v>96.44670050761421</v>
      </c>
      <c r="X142" s="67">
        <f>N367*100</f>
        <v>95.959079283887462</v>
      </c>
      <c r="AD142" s="51"/>
      <c r="AE142" s="51"/>
      <c r="AH142" s="78"/>
      <c r="AI142" s="78"/>
    </row>
    <row r="143" spans="1:48" x14ac:dyDescent="0.3">
      <c r="A143" t="s">
        <v>4</v>
      </c>
      <c r="B143" s="13">
        <v>1</v>
      </c>
      <c r="C143" s="33">
        <f t="shared" ref="C143:G146" si="23">(C132/$L143)*$O143</f>
        <v>0</v>
      </c>
      <c r="D143" s="34">
        <f t="shared" si="23"/>
        <v>0.55087041403151304</v>
      </c>
      <c r="E143" s="19">
        <f t="shared" si="23"/>
        <v>3.0603911890639612E-2</v>
      </c>
      <c r="F143" s="18">
        <f t="shared" si="23"/>
        <v>0</v>
      </c>
      <c r="G143" s="20">
        <f t="shared" si="23"/>
        <v>0</v>
      </c>
      <c r="H143" s="17">
        <f>SUM(C143:G143)</f>
        <v>0.58147432592215265</v>
      </c>
      <c r="I143" s="17">
        <f>D143/H143*100</f>
        <v>94.736842105263165</v>
      </c>
      <c r="J143" s="17">
        <f>SQRT(I143*(100-I143)/(L143-1))</f>
        <v>2.983930050072845</v>
      </c>
      <c r="K143" s="18">
        <f>100-I143</f>
        <v>5.2631578947368354</v>
      </c>
      <c r="L143" s="1">
        <f>H132</f>
        <v>57</v>
      </c>
      <c r="M143">
        <v>1</v>
      </c>
      <c r="N143" s="1">
        <v>561.61</v>
      </c>
      <c r="O143" s="17">
        <f>N143/N147*100</f>
        <v>0.58147432592215265</v>
      </c>
      <c r="P143" s="52">
        <f>((O143*O143*(I143/100)*(K143/100))/(L143-1))</f>
        <v>3.010498145389387E-4</v>
      </c>
      <c r="R143" s="16" t="s">
        <v>61</v>
      </c>
      <c r="S143" t="s">
        <v>9</v>
      </c>
      <c r="T143" s="30">
        <f>N374</f>
        <v>213.34</v>
      </c>
      <c r="U143" s="30">
        <f>N375</f>
        <v>581.86</v>
      </c>
      <c r="V143" s="30">
        <f>N376</f>
        <v>58144.84</v>
      </c>
      <c r="W143" s="30">
        <f>N377</f>
        <v>31510.15</v>
      </c>
      <c r="X143" s="30">
        <f>N378</f>
        <v>6133.61</v>
      </c>
      <c r="Z143" t="s">
        <v>36</v>
      </c>
      <c r="AA143" s="1">
        <f>N379</f>
        <v>96583.8</v>
      </c>
      <c r="AD143" s="51"/>
      <c r="AE143" s="51"/>
    </row>
    <row r="144" spans="1:48" ht="15.6" x14ac:dyDescent="0.35">
      <c r="A144" t="s">
        <v>5</v>
      </c>
      <c r="B144" s="13">
        <v>2</v>
      </c>
      <c r="C144" s="33">
        <f t="shared" si="23"/>
        <v>0</v>
      </c>
      <c r="D144" s="19">
        <f t="shared" si="23"/>
        <v>0</v>
      </c>
      <c r="E144" s="34">
        <f t="shared" si="23"/>
        <v>61.05970419264824</v>
      </c>
      <c r="F144" s="19">
        <f t="shared" si="23"/>
        <v>8.296155460957641E-2</v>
      </c>
      <c r="G144" s="20">
        <f t="shared" si="23"/>
        <v>0</v>
      </c>
      <c r="H144" s="17">
        <f>SUM(C144:G144)</f>
        <v>61.142665747257816</v>
      </c>
      <c r="I144" s="17">
        <f>E144/H144*100</f>
        <v>99.864314789687924</v>
      </c>
      <c r="J144" s="17">
        <f>SQRT(I144*(100-I144)/(L144-1))</f>
        <v>0.13568521031207589</v>
      </c>
      <c r="K144" s="18">
        <f>100-I144</f>
        <v>0.13568521031207581</v>
      </c>
      <c r="L144" s="1">
        <f>H133</f>
        <v>737</v>
      </c>
      <c r="M144">
        <v>2</v>
      </c>
      <c r="N144" s="1">
        <v>59053.91</v>
      </c>
      <c r="O144" s="17">
        <f>N144/N147*100</f>
        <v>61.142665747257816</v>
      </c>
      <c r="P144" s="52">
        <f>((O144*O144*(I144/100)*(K144/100))/(L144-1))</f>
        <v>6.88261954323772E-3</v>
      </c>
      <c r="R144" s="16" t="s">
        <v>318</v>
      </c>
      <c r="S144" t="s">
        <v>63</v>
      </c>
      <c r="T144" s="57">
        <f>$AA143*T136/100</f>
        <v>213.34</v>
      </c>
      <c r="U144" s="57">
        <f>$AA143*U136/100</f>
        <v>644.23726734143349</v>
      </c>
      <c r="V144" s="57">
        <f>$AA143*V136/100</f>
        <v>58548.262233406131</v>
      </c>
      <c r="W144" s="57">
        <f>$AA143*W136/100</f>
        <v>31042.823182593769</v>
      </c>
      <c r="X144" s="57">
        <f>$AA143*X136/100</f>
        <v>6135.1373166586618</v>
      </c>
      <c r="Z144" t="s">
        <v>36</v>
      </c>
      <c r="AA144" s="25">
        <f>SUM(T144:X144)</f>
        <v>96583.799999999988</v>
      </c>
      <c r="AD144" s="51"/>
      <c r="AE144" s="51"/>
      <c r="AH144" s="78"/>
      <c r="AI144" s="78"/>
    </row>
    <row r="145" spans="1:35" x14ac:dyDescent="0.3">
      <c r="A145" t="s">
        <v>6</v>
      </c>
      <c r="B145" s="13">
        <v>3</v>
      </c>
      <c r="C145" s="33">
        <f t="shared" si="23"/>
        <v>0</v>
      </c>
      <c r="D145" s="19">
        <f t="shared" si="23"/>
        <v>0</v>
      </c>
      <c r="E145" s="19">
        <f t="shared" si="23"/>
        <v>0.38499471523505585</v>
      </c>
      <c r="F145" s="34">
        <f t="shared" si="23"/>
        <v>31.184571934039521</v>
      </c>
      <c r="G145" s="20">
        <f t="shared" si="23"/>
        <v>0.43999396026863524</v>
      </c>
      <c r="H145" s="17">
        <f>SUM(C145:G145)</f>
        <v>32.009560609543215</v>
      </c>
      <c r="I145" s="17">
        <f>F145/H145*100</f>
        <v>97.422680412371136</v>
      </c>
      <c r="J145" s="17">
        <f>SQRT(I145*(100-I145)/(L145-1))</f>
        <v>0.65739456332296642</v>
      </c>
      <c r="K145" s="18">
        <f>100-I145</f>
        <v>2.5773195876288639</v>
      </c>
      <c r="L145" s="1">
        <f>H134</f>
        <v>582</v>
      </c>
      <c r="M145">
        <v>3</v>
      </c>
      <c r="N145" s="1">
        <v>30916.05</v>
      </c>
      <c r="O145" s="17">
        <f>N145/N147*100</f>
        <v>32.009560609543215</v>
      </c>
      <c r="P145" s="52">
        <f>((O145*O145*(I145/100)*(K145/100))/(L145-1))</f>
        <v>4.4280410836510881E-2</v>
      </c>
      <c r="R145" s="66"/>
      <c r="S145" s="66" t="s">
        <v>62</v>
      </c>
      <c r="T145" s="67">
        <f>$AA143*T137/100</f>
        <v>0</v>
      </c>
      <c r="U145" s="67">
        <f>$AA143*U137/100</f>
        <v>82.162060428300393</v>
      </c>
      <c r="V145" s="67">
        <f>$AA143*V137/100</f>
        <v>139.8748544870075</v>
      </c>
      <c r="W145" s="67">
        <f>$AA143*W137/100</f>
        <v>188.48219924515382</v>
      </c>
      <c r="X145" s="67">
        <f>$AA143*X137/100</f>
        <v>159.89628441367185</v>
      </c>
      <c r="AA145" s="1"/>
      <c r="AD145" s="51"/>
      <c r="AE145" s="51"/>
    </row>
    <row r="146" spans="1:35" x14ac:dyDescent="0.3">
      <c r="A146" t="s">
        <v>7</v>
      </c>
      <c r="B146" s="13">
        <v>4</v>
      </c>
      <c r="C146" s="35">
        <f t="shared" si="23"/>
        <v>0</v>
      </c>
      <c r="D146" s="36">
        <f t="shared" si="23"/>
        <v>0</v>
      </c>
      <c r="E146" s="21">
        <f t="shared" si="23"/>
        <v>0.21570361414080746</v>
      </c>
      <c r="F146" s="21">
        <f t="shared" si="23"/>
        <v>0.19173654590293998</v>
      </c>
      <c r="G146" s="37">
        <f t="shared" si="23"/>
        <v>5.6382528029583288</v>
      </c>
      <c r="H146" s="17">
        <f>SUM(C146:G146)</f>
        <v>6.0456929630020761</v>
      </c>
      <c r="I146" s="17">
        <f>G146/H146*100</f>
        <v>93.260654112983161</v>
      </c>
      <c r="J146" s="17">
        <f>SQRT(I146*(100-I146)/(L146-1))</f>
        <v>0.78963762893908551</v>
      </c>
      <c r="K146" s="18">
        <f>100-I146</f>
        <v>6.7393458870168388</v>
      </c>
      <c r="L146" s="1">
        <f>H135</f>
        <v>1009</v>
      </c>
      <c r="M146">
        <v>4</v>
      </c>
      <c r="N146" s="1">
        <v>5839.16</v>
      </c>
      <c r="O146" s="17">
        <f>N146/N147*100</f>
        <v>6.0456929630020761</v>
      </c>
      <c r="P146" s="52">
        <f>((O146*O146*(I146/100)*(K146/100))/(L146-1))</f>
        <v>2.2790184765917126E-3</v>
      </c>
      <c r="R146" t="s">
        <v>101</v>
      </c>
      <c r="S146" t="s">
        <v>28</v>
      </c>
      <c r="T146" s="57">
        <f>C408</f>
        <v>0.20708441788374446</v>
      </c>
      <c r="U146" s="57">
        <f t="shared" ref="U146:X149" si="24">D408</f>
        <v>0.73613719021888113</v>
      </c>
      <c r="V146" s="57">
        <f t="shared" si="24"/>
        <v>61.712846475359498</v>
      </c>
      <c r="W146" s="57">
        <f t="shared" si="24"/>
        <v>31.138714250414491</v>
      </c>
      <c r="X146" s="57">
        <f t="shared" si="24"/>
        <v>6.2052176661233744</v>
      </c>
      <c r="Y146" s="60"/>
      <c r="Z146" s="74"/>
      <c r="AA146" s="12"/>
      <c r="AD146" s="51"/>
      <c r="AE146" s="51"/>
      <c r="AH146" s="78"/>
      <c r="AI146" s="78"/>
    </row>
    <row r="147" spans="1:35" x14ac:dyDescent="0.3">
      <c r="B147" t="s">
        <v>28</v>
      </c>
      <c r="C147" s="17">
        <f t="shared" ref="C147:H147" si="25">SUM(C142:C146)</f>
        <v>0.22060635427473343</v>
      </c>
      <c r="D147" s="17">
        <f t="shared" si="25"/>
        <v>0.55087041403151304</v>
      </c>
      <c r="E147" s="17">
        <f t="shared" si="25"/>
        <v>61.691006433914737</v>
      </c>
      <c r="F147" s="17">
        <f t="shared" si="25"/>
        <v>31.459270034552038</v>
      </c>
      <c r="G147" s="17">
        <f t="shared" si="25"/>
        <v>6.0782467632269643</v>
      </c>
      <c r="H147" s="18">
        <f t="shared" si="25"/>
        <v>100</v>
      </c>
      <c r="I147" s="13" t="s">
        <v>24</v>
      </c>
      <c r="J147" s="12" t="s">
        <v>29</v>
      </c>
      <c r="N147" s="1">
        <f>SUM(N142:N146)</f>
        <v>96583.8</v>
      </c>
      <c r="O147" s="17">
        <f>SUM(O142:O146)</f>
        <v>100</v>
      </c>
      <c r="S147" s="66" t="s">
        <v>39</v>
      </c>
      <c r="T147" s="67">
        <f>C409</f>
        <v>0</v>
      </c>
      <c r="U147" s="67">
        <f t="shared" si="24"/>
        <v>8.6924612654219496E-2</v>
      </c>
      <c r="V147" s="67">
        <f t="shared" si="24"/>
        <v>0.17164653444169325</v>
      </c>
      <c r="W147" s="67">
        <f t="shared" si="24"/>
        <v>0.23305094236874394</v>
      </c>
      <c r="X147" s="67">
        <f t="shared" si="24"/>
        <v>0.1839738399037856</v>
      </c>
      <c r="AD147" s="51"/>
      <c r="AE147" s="51"/>
    </row>
    <row r="148" spans="1:35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1.7197913793401604E-2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0.17127499935576096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0.22845133887659899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0.16168938896694612</v>
      </c>
      <c r="H148" s="1"/>
      <c r="I148" s="56">
        <f>(C142+D143+E144+F145+G146)/H147</f>
        <v>0.98654005697952341</v>
      </c>
      <c r="J148" s="53">
        <f>SQRT(SUM(P142:P146))/100</f>
        <v>2.3182557812044652E-3</v>
      </c>
      <c r="M148" s="1"/>
      <c r="N148" s="9"/>
      <c r="S148" t="s">
        <v>30</v>
      </c>
      <c r="T148" s="57">
        <f>C410</f>
        <v>100</v>
      </c>
      <c r="U148" s="57">
        <f t="shared" si="24"/>
        <v>83.084531499999926</v>
      </c>
      <c r="V148" s="57">
        <f t="shared" si="24"/>
        <v>99.370015418663343</v>
      </c>
      <c r="W148" s="57">
        <f t="shared" si="24"/>
        <v>99.110015485305951</v>
      </c>
      <c r="X148" s="57">
        <f t="shared" si="24"/>
        <v>90.334207808338718</v>
      </c>
      <c r="AD148" s="51"/>
      <c r="AE148" s="51"/>
      <c r="AH148" s="78"/>
      <c r="AI148" s="78"/>
    </row>
    <row r="149" spans="1:35" x14ac:dyDescent="0.3">
      <c r="B149" s="1" t="s">
        <v>30</v>
      </c>
      <c r="C149" s="17">
        <f>C142/C147*100</f>
        <v>100</v>
      </c>
      <c r="D149" s="17">
        <f>D143/D147*100</f>
        <v>100</v>
      </c>
      <c r="E149" s="17">
        <f>E144/E147*100</f>
        <v>98.976670542824152</v>
      </c>
      <c r="F149" s="17">
        <f>F145/F147*100</f>
        <v>99.126813495002224</v>
      </c>
      <c r="G149" s="17">
        <f>G146/G147*100</f>
        <v>92.761169833864372</v>
      </c>
      <c r="H149" s="1"/>
      <c r="S149" s="66" t="s">
        <v>39</v>
      </c>
      <c r="T149" s="67">
        <f>C411</f>
        <v>0</v>
      </c>
      <c r="U149" s="67">
        <f t="shared" si="24"/>
        <v>10.551100188144206</v>
      </c>
      <c r="V149" s="67">
        <f t="shared" si="24"/>
        <v>0.20153917814012359</v>
      </c>
      <c r="W149" s="67">
        <f t="shared" si="24"/>
        <v>0.29233342871941564</v>
      </c>
      <c r="X149" s="67">
        <f t="shared" si="24"/>
        <v>2.6905820751501146</v>
      </c>
      <c r="AD149" s="51"/>
      <c r="AE149" s="51"/>
    </row>
    <row r="150" spans="1:35" x14ac:dyDescent="0.3">
      <c r="B150" s="16" t="s">
        <v>39</v>
      </c>
      <c r="C150" s="18">
        <f>SQRT((C153+C154)/(C147*C147))</f>
        <v>0</v>
      </c>
      <c r="D150" s="18">
        <f>SQRT((D153+D154)/(D147*D147))</f>
        <v>0</v>
      </c>
      <c r="E150" s="18">
        <f>SQRT((E153+E154)/(E147*E147))</f>
        <v>0.24107554806695797</v>
      </c>
      <c r="F150" s="18">
        <f>SQRT((F153+F154)/(F147*F147))</f>
        <v>0.2877519454046738</v>
      </c>
      <c r="G150" s="18">
        <f>SQRT((G153+G154)/(G147*G147))</f>
        <v>2.4272297246706023</v>
      </c>
      <c r="H150" s="1"/>
      <c r="S150" s="15" t="s">
        <v>31</v>
      </c>
      <c r="T150" s="71">
        <f>I403</f>
        <v>100</v>
      </c>
      <c r="U150" s="71">
        <f>I404</f>
        <v>94.73684210526315</v>
      </c>
      <c r="V150" s="71">
        <f>I405</f>
        <v>99.728629579375834</v>
      </c>
      <c r="W150" s="71">
        <f>I406</f>
        <v>97.250859106529205</v>
      </c>
      <c r="X150" s="71">
        <f>I407</f>
        <v>94.648166501486628</v>
      </c>
      <c r="AD150" s="51"/>
      <c r="AE150" s="51"/>
      <c r="AH150" s="78"/>
      <c r="AI150" s="78"/>
    </row>
    <row r="151" spans="1:35" x14ac:dyDescent="0.3">
      <c r="B151" s="1" t="s">
        <v>37</v>
      </c>
      <c r="C151" s="18">
        <f>100-C149</f>
        <v>0</v>
      </c>
      <c r="D151" s="18">
        <f>100-D149</f>
        <v>0</v>
      </c>
      <c r="E151" s="18">
        <f>100-E149</f>
        <v>1.0233294571758478</v>
      </c>
      <c r="F151" s="18">
        <f>100-F149</f>
        <v>0.87318650499777561</v>
      </c>
      <c r="G151" s="18">
        <f>100-G149</f>
        <v>7.238830166135628</v>
      </c>
      <c r="S151" s="75" t="s">
        <v>39</v>
      </c>
      <c r="T151" s="76">
        <f>J403</f>
        <v>0</v>
      </c>
      <c r="U151" s="76">
        <f>J404</f>
        <v>2.9839300500728485</v>
      </c>
      <c r="V151" s="76">
        <f>J405</f>
        <v>0.1917574617235713</v>
      </c>
      <c r="W151" s="76">
        <f>J406</f>
        <v>0.67835519625077212</v>
      </c>
      <c r="X151" s="76">
        <f>J407</f>
        <v>0.70888719806390643</v>
      </c>
      <c r="AD151" s="51"/>
      <c r="AE151" s="51"/>
    </row>
    <row r="152" spans="1:35" ht="15.6" x14ac:dyDescent="0.35">
      <c r="B152" s="1" t="s">
        <v>25</v>
      </c>
      <c r="C152" s="1">
        <f>C136</f>
        <v>451</v>
      </c>
      <c r="D152" s="1">
        <f>D136</f>
        <v>54</v>
      </c>
      <c r="E152" s="1">
        <f>E136</f>
        <v>782</v>
      </c>
      <c r="F152" s="1">
        <f>F136</f>
        <v>600</v>
      </c>
      <c r="G152" s="1">
        <f>G136</f>
        <v>949</v>
      </c>
      <c r="S152" s="66" t="s">
        <v>51</v>
      </c>
      <c r="T152" s="67">
        <f>N392*100</f>
        <v>100</v>
      </c>
      <c r="U152" s="67">
        <f>N393*100</f>
        <v>90.756302521008394</v>
      </c>
      <c r="V152" s="67">
        <f>N394*100</f>
        <v>98.393574297188763</v>
      </c>
      <c r="W152" s="67">
        <f>N395*100</f>
        <v>95.769881556683572</v>
      </c>
      <c r="X152" s="67">
        <f>N396*100</f>
        <v>96.708860759493675</v>
      </c>
      <c r="AD152" s="51"/>
      <c r="AE152" s="51"/>
      <c r="AH152" s="78"/>
      <c r="AI152" s="78"/>
    </row>
    <row r="153" spans="1:35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0</v>
      </c>
      <c r="E153" s="18">
        <f>(O144*O144*(100-E149)*(100-E149)*(I144)*(100-I144))/((L144-1)*100)</f>
        <v>0.72075010581190979</v>
      </c>
      <c r="F153" s="18">
        <f>(O145*O145*(100-F149)*(100-F149)*(I145)*(100-I145))/((L145-1)*100)</f>
        <v>3.3761806142970365</v>
      </c>
      <c r="G153" s="18">
        <f>(O146*O146*(100-G149)*(100-G149)*(I146)*(100-I146))/((L146-1)*100)</f>
        <v>11.942207728054008</v>
      </c>
      <c r="R153" s="16" t="s">
        <v>61</v>
      </c>
      <c r="S153" t="s">
        <v>9</v>
      </c>
      <c r="T153" s="30">
        <f>N403</f>
        <v>200.01</v>
      </c>
      <c r="U153" s="30">
        <f>N404</f>
        <v>623.54</v>
      </c>
      <c r="V153" s="30">
        <f>N405</f>
        <v>59390.28</v>
      </c>
      <c r="W153" s="30">
        <f>N406</f>
        <v>30649.9</v>
      </c>
      <c r="X153" s="30">
        <f>N407</f>
        <v>5720.07</v>
      </c>
      <c r="Z153" t="s">
        <v>36</v>
      </c>
      <c r="AA153" s="1">
        <f>N408</f>
        <v>96583.800000000017</v>
      </c>
      <c r="AD153" s="51"/>
      <c r="AE153" s="51"/>
    </row>
    <row r="154" spans="1:35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0</v>
      </c>
      <c r="E154" s="18">
        <f>E149*E149*(SUM((H142*E142*(1-E131/H131))/(H131-1),(H143*E143*(1-E132/H132))/(H132-1), (H145*E145*(1-E134/H134))/(H134-1),(H146*E146*(1-E135/H135))/(H135-1)))</f>
        <v>220.46138008142029</v>
      </c>
      <c r="F154" s="18">
        <f>F149*F149*(SUM((H142*F142*(1-F131/H131))/(H131-1),(H143*F143*(1-F132/H132))/(H132-1), (H144*F144*(1-F133/H133))/(H133-1),(H146*F146*(1-F135/H135))/(H135-1)))</f>
        <v>78.570962845120704</v>
      </c>
      <c r="G154" s="18">
        <f>G149*G149*(SUM((H142*G142*(1-G131/H131))/(H131-1),(H143*G143*(1-G132/H132))/(H132-1), (H144*G144*(1-G133/H133))/(H133-1),(H145*G145*(1-G134/H134))/(H134-1)))</f>
        <v>205.7176890888108</v>
      </c>
      <c r="R154" s="16" t="s">
        <v>318</v>
      </c>
      <c r="S154" t="s">
        <v>63</v>
      </c>
      <c r="T154" s="57">
        <f>$AA153*T146/100</f>
        <v>200.01</v>
      </c>
      <c r="U154" s="57">
        <f>$AA153*U146/100</f>
        <v>710.98927152662372</v>
      </c>
      <c r="V154" s="57">
        <f>$AA153*V146/100</f>
        <v>59604.612214068278</v>
      </c>
      <c r="W154" s="57">
        <f>$AA153*W146/100</f>
        <v>30074.953494191835</v>
      </c>
      <c r="X154" s="57">
        <f>$AA153*X146/100</f>
        <v>5993.2350202132693</v>
      </c>
      <c r="Z154" t="s">
        <v>36</v>
      </c>
      <c r="AA154" s="25">
        <f>SUM(T154:X154)</f>
        <v>96583.8</v>
      </c>
      <c r="AD154" s="51"/>
      <c r="AE154" s="51"/>
      <c r="AH154" s="78"/>
      <c r="AI154" s="78"/>
    </row>
    <row r="155" spans="1:35" x14ac:dyDescent="0.3">
      <c r="R155" s="66"/>
      <c r="S155" s="66" t="s">
        <v>62</v>
      </c>
      <c r="T155" s="67">
        <f>$AA153*T147/100</f>
        <v>0</v>
      </c>
      <c r="U155" s="67">
        <f>$AA153*U147/100</f>
        <v>83.955094036726052</v>
      </c>
      <c r="V155" s="67">
        <f>$AA153*V147/100</f>
        <v>165.78274553209616</v>
      </c>
      <c r="W155" s="67">
        <f>$AA153*W147/100</f>
        <v>225.08945607554296</v>
      </c>
      <c r="X155" s="67">
        <f>$AA153*X147/100</f>
        <v>177.68892558499249</v>
      </c>
      <c r="AA155" s="1"/>
      <c r="AD155" s="51"/>
      <c r="AE155" s="51"/>
    </row>
    <row r="156" spans="1:35" x14ac:dyDescent="0.3">
      <c r="R156" t="s">
        <v>102</v>
      </c>
      <c r="S156" t="s">
        <v>28</v>
      </c>
      <c r="T156" s="57">
        <f>C437</f>
        <v>0.21062538438123163</v>
      </c>
      <c r="U156" s="57">
        <f t="shared" ref="U156:X159" si="26">D437</f>
        <v>0.57142265063930286</v>
      </c>
      <c r="V156" s="57">
        <f t="shared" si="26"/>
        <v>61.47155629835401</v>
      </c>
      <c r="W156" s="57">
        <f t="shared" si="26"/>
        <v>31.244309383221005</v>
      </c>
      <c r="X156" s="57">
        <f t="shared" si="26"/>
        <v>6.502086283404453</v>
      </c>
      <c r="Z156" s="74"/>
      <c r="AA156" s="12"/>
      <c r="AD156" s="51"/>
      <c r="AE156" s="51"/>
      <c r="AH156" s="78"/>
      <c r="AI156" s="78"/>
    </row>
    <row r="157" spans="1:35" x14ac:dyDescent="0.3">
      <c r="A157" s="348" t="s">
        <v>373</v>
      </c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 t="s">
        <v>78</v>
      </c>
      <c r="M157" s="348"/>
      <c r="N157" s="348"/>
      <c r="O157" s="348"/>
      <c r="P157" s="348"/>
      <c r="S157" s="66" t="s">
        <v>39</v>
      </c>
      <c r="T157" s="67">
        <f>C438</f>
        <v>0</v>
      </c>
      <c r="U157" s="67">
        <f t="shared" si="26"/>
        <v>2.1464558822370115E-2</v>
      </c>
      <c r="V157" s="67">
        <f t="shared" si="26"/>
        <v>0.1278979042591124</v>
      </c>
      <c r="W157" s="67">
        <f t="shared" si="26"/>
        <v>0.22576898321962102</v>
      </c>
      <c r="X157" s="67">
        <f t="shared" si="26"/>
        <v>0.19376061886823989</v>
      </c>
      <c r="AD157" s="51"/>
      <c r="AE157" s="51"/>
    </row>
    <row r="158" spans="1:35" x14ac:dyDescent="0.3">
      <c r="A158" t="s">
        <v>315</v>
      </c>
      <c r="B158" t="s">
        <v>21</v>
      </c>
      <c r="I158" s="1" t="s">
        <v>53</v>
      </c>
      <c r="O158" s="142"/>
      <c r="P158" s="142"/>
      <c r="S158" t="s">
        <v>30</v>
      </c>
      <c r="T158" s="57">
        <f>C439</f>
        <v>100</v>
      </c>
      <c r="U158" s="57">
        <f t="shared" si="26"/>
        <v>98.926018170385177</v>
      </c>
      <c r="V158" s="57">
        <f t="shared" si="26"/>
        <v>99.223879323122048</v>
      </c>
      <c r="W158" s="57">
        <f t="shared" si="26"/>
        <v>99.410743054400953</v>
      </c>
      <c r="X158" s="57">
        <f t="shared" si="26"/>
        <v>89.854246198626399</v>
      </c>
      <c r="AD158" s="51"/>
      <c r="AE158" s="51"/>
      <c r="AH158" s="78"/>
      <c r="AI158" s="78"/>
    </row>
    <row r="159" spans="1:35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51</v>
      </c>
      <c r="O159" s="13"/>
      <c r="P159" s="13"/>
      <c r="S159" s="66" t="s">
        <v>39</v>
      </c>
      <c r="T159" s="67">
        <f>C440</f>
        <v>0</v>
      </c>
      <c r="U159" s="67">
        <f t="shared" si="26"/>
        <v>1.1317788026142106</v>
      </c>
      <c r="V159" s="67">
        <f t="shared" si="26"/>
        <v>0.20666174349960029</v>
      </c>
      <c r="W159" s="67">
        <f t="shared" si="26"/>
        <v>0.11351697763843327</v>
      </c>
      <c r="X159" s="67">
        <f t="shared" si="26"/>
        <v>2.6996751193034054</v>
      </c>
      <c r="AD159" s="51"/>
      <c r="AE159" s="51"/>
    </row>
    <row r="160" spans="1:35" x14ac:dyDescent="0.3">
      <c r="A160" t="s">
        <v>3</v>
      </c>
      <c r="B160" s="13">
        <v>0</v>
      </c>
      <c r="C160" s="26">
        <v>451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451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/>
      <c r="P160" s="1"/>
      <c r="S160" s="15" t="s">
        <v>31</v>
      </c>
      <c r="T160" s="71">
        <f>I432</f>
        <v>100</v>
      </c>
      <c r="U160" s="71">
        <f>I433</f>
        <v>92.982456140350891</v>
      </c>
      <c r="V160" s="71">
        <f>I434</f>
        <v>100</v>
      </c>
      <c r="W160" s="71">
        <f>I435</f>
        <v>97.079037800687288</v>
      </c>
      <c r="X160" s="71">
        <f>I436</f>
        <v>94.350842418235885</v>
      </c>
      <c r="AD160" s="51"/>
      <c r="AE160" s="51"/>
      <c r="AH160" s="78"/>
      <c r="AI160" s="78"/>
    </row>
    <row r="161" spans="1:35" x14ac:dyDescent="0.3">
      <c r="A161" t="s">
        <v>4</v>
      </c>
      <c r="B161" s="13">
        <v>1</v>
      </c>
      <c r="C161" s="5">
        <v>0</v>
      </c>
      <c r="D161" s="27">
        <v>52</v>
      </c>
      <c r="E161" s="1">
        <v>5</v>
      </c>
      <c r="F161" s="1">
        <v>0</v>
      </c>
      <c r="G161" s="6">
        <v>0</v>
      </c>
      <c r="H161" s="1">
        <f>SUM(C161:G161)</f>
        <v>57</v>
      </c>
      <c r="I161" s="10">
        <f>D161/H161</f>
        <v>0.91228070175438591</v>
      </c>
      <c r="J161" s="11">
        <f>1-I161</f>
        <v>8.7719298245614086E-2</v>
      </c>
      <c r="K161">
        <f>H161-D165</f>
        <v>5</v>
      </c>
      <c r="N161" s="10">
        <f>2*(D166*I161)/(D166+I161)</f>
        <v>0.95412844036697242</v>
      </c>
      <c r="O161" s="1"/>
      <c r="P161" s="1"/>
      <c r="S161" s="75" t="s">
        <v>39</v>
      </c>
      <c r="T161" s="76">
        <f>J432</f>
        <v>0</v>
      </c>
      <c r="U161" s="76">
        <f>J433</f>
        <v>3.4134933513474244</v>
      </c>
      <c r="V161" s="76">
        <f>J434</f>
        <v>0</v>
      </c>
      <c r="W161" s="76">
        <f>J435</f>
        <v>0.69861456179910675</v>
      </c>
      <c r="X161" s="76">
        <f>J436</f>
        <v>0.72716751579303351</v>
      </c>
      <c r="AD161" s="51"/>
      <c r="AE161" s="51"/>
    </row>
    <row r="162" spans="1:35" x14ac:dyDescent="0.3">
      <c r="A162" t="s">
        <v>5</v>
      </c>
      <c r="B162" s="13">
        <v>2</v>
      </c>
      <c r="C162" s="5">
        <v>0</v>
      </c>
      <c r="D162" s="1">
        <v>0</v>
      </c>
      <c r="E162" s="27">
        <v>736</v>
      </c>
      <c r="F162" s="1">
        <v>1</v>
      </c>
      <c r="G162" s="6">
        <v>0</v>
      </c>
      <c r="H162" s="1">
        <f>SUM(C162:G162)</f>
        <v>737</v>
      </c>
      <c r="I162" s="10">
        <f>E162/H162</f>
        <v>0.99864314789687925</v>
      </c>
      <c r="J162" s="11">
        <f>1-I162</f>
        <v>1.3568521031207537E-3</v>
      </c>
      <c r="K162">
        <f>H162-E165</f>
        <v>-51</v>
      </c>
      <c r="N162" s="10">
        <f>2*(E166*I162)/(E166+I162)</f>
        <v>0.96524590163934421</v>
      </c>
      <c r="O162" s="1"/>
      <c r="P162" s="1"/>
      <c r="S162" s="66" t="s">
        <v>51</v>
      </c>
      <c r="T162" s="67">
        <f>N421*100</f>
        <v>100</v>
      </c>
      <c r="U162" s="67">
        <f>N422*100</f>
        <v>95.495495495495504</v>
      </c>
      <c r="V162" s="67">
        <f>N423*100</f>
        <v>97.6805831676607</v>
      </c>
      <c r="W162" s="67">
        <f>N424*100</f>
        <v>96.006796941376379</v>
      </c>
      <c r="X162" s="67">
        <f>N425*100</f>
        <v>96.502787633046125</v>
      </c>
      <c r="AD162" s="51"/>
      <c r="AE162" s="51"/>
      <c r="AH162" s="78"/>
      <c r="AI162" s="78"/>
    </row>
    <row r="163" spans="1:35" x14ac:dyDescent="0.3">
      <c r="A163" t="s">
        <v>6</v>
      </c>
      <c r="B163" s="13">
        <v>3</v>
      </c>
      <c r="C163" s="5">
        <v>0</v>
      </c>
      <c r="D163" s="1">
        <v>0</v>
      </c>
      <c r="E163" s="1">
        <v>4</v>
      </c>
      <c r="F163" s="27">
        <v>564</v>
      </c>
      <c r="G163" s="6">
        <v>14</v>
      </c>
      <c r="H163" s="1">
        <f>SUM(C163:G163)</f>
        <v>582</v>
      </c>
      <c r="I163" s="10">
        <f>F163/H163</f>
        <v>0.96907216494845361</v>
      </c>
      <c r="J163" s="11">
        <f>1-I163</f>
        <v>3.0927835051546393E-2</v>
      </c>
      <c r="K163">
        <f>H163-F165</f>
        <v>-11</v>
      </c>
      <c r="N163" s="10">
        <f>2*(F166*I163)/(F166+I163)</f>
        <v>0.96000000000000008</v>
      </c>
      <c r="O163" s="1"/>
      <c r="P163" s="1"/>
      <c r="R163" s="16" t="s">
        <v>61</v>
      </c>
      <c r="S163" t="s">
        <v>9</v>
      </c>
      <c r="T163" s="30">
        <f>N432</f>
        <v>203.43</v>
      </c>
      <c r="U163" s="30">
        <f>N433</f>
        <v>587.17999999999995</v>
      </c>
      <c r="V163" s="30">
        <f>N434</f>
        <v>58910.77</v>
      </c>
      <c r="W163" s="30">
        <f>N435</f>
        <v>30901.75</v>
      </c>
      <c r="X163" s="30">
        <f>N436</f>
        <v>5980.67</v>
      </c>
      <c r="Z163" t="s">
        <v>36</v>
      </c>
      <c r="AA163" s="1">
        <f>N437</f>
        <v>96583.8</v>
      </c>
      <c r="AD163" s="51"/>
      <c r="AE163" s="51"/>
    </row>
    <row r="164" spans="1:35" ht="15.6" x14ac:dyDescent="0.35">
      <c r="A164" t="s">
        <v>7</v>
      </c>
      <c r="B164" s="13">
        <v>4</v>
      </c>
      <c r="C164" s="7">
        <v>0</v>
      </c>
      <c r="D164" s="8">
        <v>0</v>
      </c>
      <c r="E164" s="8">
        <v>43</v>
      </c>
      <c r="F164" s="8">
        <v>28</v>
      </c>
      <c r="G164" s="28">
        <v>938</v>
      </c>
      <c r="H164" s="1">
        <f>SUM(C164:G164)</f>
        <v>1009</v>
      </c>
      <c r="I164" s="10">
        <f>G164/H164</f>
        <v>0.92963330029732405</v>
      </c>
      <c r="J164" s="11">
        <f>1-I164</f>
        <v>7.036669970267595E-2</v>
      </c>
      <c r="K164">
        <f>H164-G165</f>
        <v>57</v>
      </c>
      <c r="N164" s="10">
        <f>2*(G166*I164)/(G166+I164)</f>
        <v>0.95665476797552274</v>
      </c>
      <c r="O164" s="1"/>
      <c r="P164" s="1"/>
      <c r="R164" s="16" t="s">
        <v>318</v>
      </c>
      <c r="S164" t="s">
        <v>63</v>
      </c>
      <c r="T164" s="57">
        <f>$AA163*T156/100</f>
        <v>203.43</v>
      </c>
      <c r="U164" s="57">
        <f>$AA163*U156/100</f>
        <v>551.90171004816295</v>
      </c>
      <c r="V164" s="57">
        <f>$AA163*V156/100</f>
        <v>59371.564992089647</v>
      </c>
      <c r="W164" s="57">
        <f>$AA163*W156/100</f>
        <v>30176.941286071407</v>
      </c>
      <c r="X164" s="57">
        <f>$AA163*X156/100</f>
        <v>6279.9620117907898</v>
      </c>
      <c r="Z164" t="s">
        <v>36</v>
      </c>
      <c r="AA164" s="25">
        <f>SUM(T164:X164)</f>
        <v>96583.8</v>
      </c>
      <c r="AD164" s="51"/>
      <c r="AE164" s="51"/>
      <c r="AH164" s="78"/>
      <c r="AI164" s="78"/>
    </row>
    <row r="165" spans="1:35" ht="15.6" x14ac:dyDescent="0.35">
      <c r="B165" s="1" t="s">
        <v>19</v>
      </c>
      <c r="C165" s="1">
        <f>SUM(C160:C164)</f>
        <v>451</v>
      </c>
      <c r="D165" s="1">
        <f>SUM(D160:D164)</f>
        <v>52</v>
      </c>
      <c r="E165" s="1">
        <f>SUM(E160:E164)</f>
        <v>788</v>
      </c>
      <c r="F165" s="1">
        <f>SUM(F160:F164)</f>
        <v>593</v>
      </c>
      <c r="G165" s="1">
        <f>SUM(G160:G164)</f>
        <v>952</v>
      </c>
      <c r="H165" s="1">
        <f>SUM(H159:H164)</f>
        <v>2836</v>
      </c>
      <c r="I165" s="13" t="s">
        <v>12</v>
      </c>
      <c r="N165" s="16"/>
      <c r="O165" s="1"/>
      <c r="P165" s="1"/>
      <c r="R165" s="66"/>
      <c r="S165" s="66" t="s">
        <v>62</v>
      </c>
      <c r="T165" s="67">
        <f>$AA163*T157/100</f>
        <v>0</v>
      </c>
      <c r="U165" s="67">
        <f>$AA163*U157/100</f>
        <v>20.731286563880307</v>
      </c>
      <c r="V165" s="67">
        <f>$AA163*V157/100</f>
        <v>123.52865605381261</v>
      </c>
      <c r="W165" s="67">
        <f>$AA163*W157/100</f>
        <v>218.05626321487233</v>
      </c>
      <c r="X165" s="67">
        <f>$AA163*X157/100</f>
        <v>187.14136860646306</v>
      </c>
      <c r="AA165" s="1"/>
      <c r="AD165" s="51"/>
      <c r="AE165" s="51"/>
    </row>
    <row r="166" spans="1:35" x14ac:dyDescent="0.3">
      <c r="A166" s="1" t="s">
        <v>316</v>
      </c>
      <c r="B166" s="1" t="s">
        <v>2</v>
      </c>
      <c r="C166" s="10">
        <f>C160/C165</f>
        <v>1</v>
      </c>
      <c r="D166" s="10">
        <f>D161/D165</f>
        <v>1</v>
      </c>
      <c r="E166" s="10">
        <f>E162/E165</f>
        <v>0.93401015228426398</v>
      </c>
      <c r="F166" s="10">
        <f>F163/F165</f>
        <v>0.95109612141652611</v>
      </c>
      <c r="G166" s="10">
        <f>G164/G165</f>
        <v>0.98529411764705888</v>
      </c>
      <c r="H166" s="10"/>
      <c r="I166" s="14">
        <f>(C160+D161+E162+F163+G164)/H165</f>
        <v>0.96650211565585331</v>
      </c>
      <c r="R166" t="s">
        <v>103</v>
      </c>
      <c r="S166" t="s">
        <v>28</v>
      </c>
      <c r="T166" s="57">
        <f>C466</f>
        <v>0.27547154192086742</v>
      </c>
      <c r="U166" s="57">
        <f t="shared" ref="U166:X169" si="27">D466</f>
        <v>0.54972187826172714</v>
      </c>
      <c r="V166" s="57">
        <f t="shared" si="27"/>
        <v>61.358343326235648</v>
      </c>
      <c r="W166" s="57">
        <f t="shared" si="27"/>
        <v>31.11999656602249</v>
      </c>
      <c r="X166" s="57">
        <f t="shared" si="27"/>
        <v>6.6964666875592691</v>
      </c>
      <c r="Z166" s="74"/>
      <c r="AA166" s="12"/>
      <c r="AD166" s="51"/>
      <c r="AE166" s="51"/>
      <c r="AH166" s="78"/>
      <c r="AI166" s="78"/>
    </row>
    <row r="167" spans="1:35" x14ac:dyDescent="0.3">
      <c r="B167" s="1" t="s">
        <v>14</v>
      </c>
      <c r="C167" s="11">
        <f>1-C166</f>
        <v>0</v>
      </c>
      <c r="D167" s="11">
        <f>1-D166</f>
        <v>0</v>
      </c>
      <c r="E167" s="11">
        <f>1-E166</f>
        <v>6.5989847715736016E-2</v>
      </c>
      <c r="F167" s="11">
        <f>1-F166</f>
        <v>4.8903878583473892E-2</v>
      </c>
      <c r="G167" s="11">
        <f>1-G166</f>
        <v>1.4705882352941124E-2</v>
      </c>
      <c r="S167" s="66" t="s">
        <v>39</v>
      </c>
      <c r="T167" s="67">
        <f>C467</f>
        <v>5.4724951931652589E-2</v>
      </c>
      <c r="U167" s="67">
        <f t="shared" si="27"/>
        <v>2.4982607178060154E-2</v>
      </c>
      <c r="V167" s="67">
        <f t="shared" si="27"/>
        <v>0.15274468422498369</v>
      </c>
      <c r="W167" s="67">
        <f t="shared" si="27"/>
        <v>0.24506874384869201</v>
      </c>
      <c r="X167" s="67">
        <f t="shared" si="27"/>
        <v>0.19344684049262711</v>
      </c>
      <c r="AD167" s="51"/>
      <c r="AE167" s="51"/>
    </row>
    <row r="168" spans="1:35" x14ac:dyDescent="0.3">
      <c r="C168" s="2"/>
      <c r="S168" t="s">
        <v>30</v>
      </c>
      <c r="T168" s="57">
        <f>C468</f>
        <v>80.116992562680238</v>
      </c>
      <c r="U168" s="57">
        <f t="shared" si="27"/>
        <v>95.384065862784382</v>
      </c>
      <c r="V168" s="57">
        <f t="shared" si="27"/>
        <v>99.161337977785294</v>
      </c>
      <c r="W168" s="57">
        <f t="shared" si="27"/>
        <v>99.265510062367852</v>
      </c>
      <c r="X168" s="57">
        <f t="shared" si="27"/>
        <v>90.184908599112788</v>
      </c>
      <c r="AD168" s="51"/>
      <c r="AE168" s="51"/>
      <c r="AH168" s="78"/>
      <c r="AI168" s="78"/>
    </row>
    <row r="169" spans="1:35" ht="15.6" x14ac:dyDescent="0.35">
      <c r="A169" t="s">
        <v>317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15.929667589794633</v>
      </c>
      <c r="U169" s="67">
        <f t="shared" si="27"/>
        <v>2.8566396657445297</v>
      </c>
      <c r="V169" s="67">
        <f t="shared" si="27"/>
        <v>0.20815815169074878</v>
      </c>
      <c r="W169" s="67">
        <f t="shared" si="27"/>
        <v>0.28577153456997301</v>
      </c>
      <c r="X169" s="67">
        <f t="shared" si="27"/>
        <v>2.6213004200123131</v>
      </c>
      <c r="AD169" s="51"/>
      <c r="AE169" s="51"/>
    </row>
    <row r="170" spans="1:35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91.228070175438589</v>
      </c>
      <c r="V170" s="71">
        <f>I463</f>
        <v>99.864314789687924</v>
      </c>
      <c r="W170" s="71">
        <f>I464</f>
        <v>96.907216494845358</v>
      </c>
      <c r="X170" s="71">
        <f>I465</f>
        <v>94.350842418235871</v>
      </c>
      <c r="AD170" s="51"/>
      <c r="AE170" s="51"/>
      <c r="AH170" s="78"/>
      <c r="AI170" s="78"/>
    </row>
    <row r="171" spans="1:35" x14ac:dyDescent="0.3">
      <c r="A171" t="s">
        <v>3</v>
      </c>
      <c r="B171" s="13">
        <v>0</v>
      </c>
      <c r="C171" s="29">
        <f>(C160/$L171)*$O171</f>
        <v>0.2096935728034694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0.2096935728034694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451</v>
      </c>
      <c r="M171">
        <v>0</v>
      </c>
      <c r="N171" s="1">
        <v>202.53</v>
      </c>
      <c r="O171" s="17">
        <f>N171/N176*100</f>
        <v>0.2096935728034694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3.7802263481198901</v>
      </c>
      <c r="V171" s="76">
        <f>J463</f>
        <v>0.13568521031207589</v>
      </c>
      <c r="W171" s="76">
        <f>J464</f>
        <v>0.71823200493893458</v>
      </c>
      <c r="X171" s="76">
        <f>J465</f>
        <v>0.7271675157930344</v>
      </c>
      <c r="AD171" s="51"/>
      <c r="AE171" s="51"/>
    </row>
    <row r="172" spans="1:35" x14ac:dyDescent="0.3">
      <c r="A172" t="s">
        <v>4</v>
      </c>
      <c r="B172" s="13">
        <v>1</v>
      </c>
      <c r="C172" s="33">
        <f t="shared" ref="C172:G175" si="28">(C161/$L172)*$O172</f>
        <v>0</v>
      </c>
      <c r="D172" s="34">
        <f t="shared" si="28"/>
        <v>0.56201577961568616</v>
      </c>
      <c r="E172" s="19">
        <f t="shared" si="28"/>
        <v>5.4039978809200591E-2</v>
      </c>
      <c r="F172" s="18">
        <f t="shared" si="28"/>
        <v>0</v>
      </c>
      <c r="G172" s="20">
        <f t="shared" si="28"/>
        <v>0</v>
      </c>
      <c r="H172" s="17">
        <f>SUM(C172:G172)</f>
        <v>0.6160557584248868</v>
      </c>
      <c r="I172" s="17">
        <f>D172/H172*100</f>
        <v>91.228070175438589</v>
      </c>
      <c r="J172" s="17">
        <f>SQRT(I172*(100-I172)/(L172-1))</f>
        <v>3.7802263481198901</v>
      </c>
      <c r="K172" s="18">
        <f>100-I172</f>
        <v>8.7719298245614112</v>
      </c>
      <c r="L172" s="1">
        <f>H161</f>
        <v>57</v>
      </c>
      <c r="M172">
        <v>1</v>
      </c>
      <c r="N172" s="1">
        <v>595.01</v>
      </c>
      <c r="O172" s="17">
        <f>N172/N176*100</f>
        <v>0.6160557584248868</v>
      </c>
      <c r="P172" s="52">
        <f>((O172*O172*(I172/100)*(K172/100))/(L172-1))</f>
        <v>5.4234501465835814E-4</v>
      </c>
      <c r="S172" s="66" t="s">
        <v>51</v>
      </c>
      <c r="T172" s="67">
        <f>N450*100</f>
        <v>99.889258028792909</v>
      </c>
      <c r="U172" s="67">
        <f>N451*100</f>
        <v>92.035398230088489</v>
      </c>
      <c r="V172" s="67">
        <f>N452*100</f>
        <v>97.290152015862517</v>
      </c>
      <c r="W172" s="67">
        <f>N453*100</f>
        <v>96.410256410256395</v>
      </c>
      <c r="X172" s="67">
        <f>N454*100</f>
        <v>96.502787633046125</v>
      </c>
      <c r="AD172" s="51"/>
      <c r="AE172" s="51"/>
      <c r="AH172" s="78"/>
      <c r="AI172" s="78"/>
    </row>
    <row r="173" spans="1:35" x14ac:dyDescent="0.3">
      <c r="A173" t="s">
        <v>5</v>
      </c>
      <c r="B173" s="13">
        <v>2</v>
      </c>
      <c r="C173" s="33">
        <f t="shared" si="28"/>
        <v>0</v>
      </c>
      <c r="D173" s="19">
        <f t="shared" si="28"/>
        <v>0</v>
      </c>
      <c r="E173" s="34">
        <f t="shared" si="28"/>
        <v>60.469161071539737</v>
      </c>
      <c r="F173" s="19">
        <f t="shared" si="28"/>
        <v>8.2159186238505072E-2</v>
      </c>
      <c r="G173" s="20">
        <f t="shared" si="28"/>
        <v>0</v>
      </c>
      <c r="H173" s="17">
        <f>SUM(C173:G173)</f>
        <v>60.551320257778244</v>
      </c>
      <c r="I173" s="17">
        <f>E173/H173*100</f>
        <v>99.864314789687924</v>
      </c>
      <c r="J173" s="17">
        <f>SQRT(I173*(100-I173)/(L173-1))</f>
        <v>0.13568521031207589</v>
      </c>
      <c r="K173" s="18">
        <f>100-I173</f>
        <v>0.13568521031207581</v>
      </c>
      <c r="L173" s="1">
        <f>H162</f>
        <v>737</v>
      </c>
      <c r="M173">
        <v>2</v>
      </c>
      <c r="N173" s="1">
        <v>58482.76</v>
      </c>
      <c r="O173" s="17">
        <f>N173/N176*100</f>
        <v>60.551320257778244</v>
      </c>
      <c r="P173" s="52">
        <f>((O173*O173*(I173/100)*(K173/100))/(L173-1))</f>
        <v>6.7501318833733523E-3</v>
      </c>
      <c r="R173" s="16" t="s">
        <v>61</v>
      </c>
      <c r="S173" t="s">
        <v>9</v>
      </c>
      <c r="T173" s="1">
        <f>N461</f>
        <v>213.16</v>
      </c>
      <c r="U173" s="1">
        <f>N462</f>
        <v>555.13</v>
      </c>
      <c r="V173" s="1">
        <f>N463</f>
        <v>58845.06</v>
      </c>
      <c r="W173" s="1">
        <f>N464</f>
        <v>30788.33</v>
      </c>
      <c r="X173" s="1">
        <f>N465</f>
        <v>6182.13</v>
      </c>
      <c r="Z173" t="s">
        <v>36</v>
      </c>
      <c r="AA173" s="1">
        <f>N466</f>
        <v>96583.81</v>
      </c>
      <c r="AD173" s="51"/>
      <c r="AE173" s="51"/>
    </row>
    <row r="174" spans="1:35" ht="15.6" x14ac:dyDescent="0.35">
      <c r="A174" t="s">
        <v>6</v>
      </c>
      <c r="B174" s="13">
        <v>3</v>
      </c>
      <c r="C174" s="33">
        <f t="shared" si="28"/>
        <v>0</v>
      </c>
      <c r="D174" s="19">
        <f t="shared" si="28"/>
        <v>0</v>
      </c>
      <c r="E174" s="19">
        <f t="shared" si="28"/>
        <v>0.22229075757740765</v>
      </c>
      <c r="F174" s="34">
        <f t="shared" si="28"/>
        <v>31.34299681841448</v>
      </c>
      <c r="G174" s="20">
        <f t="shared" si="28"/>
        <v>0.77801765152092683</v>
      </c>
      <c r="H174" s="17">
        <f>SUM(C174:G174)</f>
        <v>32.343305227512815</v>
      </c>
      <c r="I174" s="17">
        <f>F174/H174*100</f>
        <v>96.907216494845358</v>
      </c>
      <c r="J174" s="17">
        <f>SQRT(I174*(100-I174)/(L174-1))</f>
        <v>0.71823200493893458</v>
      </c>
      <c r="K174" s="18">
        <f>100-I174</f>
        <v>3.0927835051546424</v>
      </c>
      <c r="L174" s="1">
        <f>H163</f>
        <v>582</v>
      </c>
      <c r="M174">
        <v>3</v>
      </c>
      <c r="N174" s="1">
        <v>31238.39</v>
      </c>
      <c r="O174" s="17">
        <f>N174/N176*100</f>
        <v>32.343305227512815</v>
      </c>
      <c r="P174" s="52">
        <f>((O174*O174*(I174/100)*(K174/100))/(L174-1))</f>
        <v>5.39632758757356E-2</v>
      </c>
      <c r="R174" s="16" t="s">
        <v>318</v>
      </c>
      <c r="S174" t="s">
        <v>63</v>
      </c>
      <c r="T174" s="57">
        <f>$AA173*T166/100</f>
        <v>266.06091065292094</v>
      </c>
      <c r="U174" s="57">
        <f>$AA173*U166/100</f>
        <v>530.94233442873781</v>
      </c>
      <c r="V174" s="57">
        <f>$AA173*V166/100</f>
        <v>59262.225737359113</v>
      </c>
      <c r="W174" s="57">
        <f>$AA173*W166/100</f>
        <v>30056.878355333683</v>
      </c>
      <c r="X174" s="57">
        <f>$AA173*X166/100</f>
        <v>6467.702662225538</v>
      </c>
      <c r="Z174" t="s">
        <v>36</v>
      </c>
      <c r="AA174" s="25">
        <f>SUM(T174:X174)</f>
        <v>96583.809999999983</v>
      </c>
      <c r="AD174" s="51"/>
      <c r="AE174" s="51"/>
      <c r="AH174" s="78"/>
      <c r="AI174" s="78"/>
    </row>
    <row r="175" spans="1:35" x14ac:dyDescent="0.3">
      <c r="A175" t="s">
        <v>7</v>
      </c>
      <c r="B175" s="13">
        <v>4</v>
      </c>
      <c r="C175" s="35">
        <f t="shared" si="28"/>
        <v>0</v>
      </c>
      <c r="D175" s="36">
        <f t="shared" si="28"/>
        <v>0</v>
      </c>
      <c r="E175" s="21">
        <f t="shared" si="28"/>
        <v>0.26761534478658577</v>
      </c>
      <c r="F175" s="21">
        <f t="shared" si="28"/>
        <v>0.17426115474475351</v>
      </c>
      <c r="G175" s="37">
        <f t="shared" si="28"/>
        <v>5.8377486839492425</v>
      </c>
      <c r="H175" s="17">
        <f>SUM(C175:G175)</f>
        <v>6.2796251834805821</v>
      </c>
      <c r="I175" s="17">
        <f>G175/H175*100</f>
        <v>92.963330029732404</v>
      </c>
      <c r="J175" s="17">
        <f>SQRT(I175*(100-I175)/(L175-1))</f>
        <v>0.8055809009974596</v>
      </c>
      <c r="K175" s="18">
        <f>100-I175</f>
        <v>7.0366699702675959</v>
      </c>
      <c r="L175" s="1">
        <f>H164</f>
        <v>1009</v>
      </c>
      <c r="M175">
        <v>4</v>
      </c>
      <c r="N175" s="1">
        <v>6065.1</v>
      </c>
      <c r="O175" s="17">
        <f>N175/N176*100</f>
        <v>6.2796251834805821</v>
      </c>
      <c r="P175" s="52">
        <f>((O175*O175*(I175/100)*(K175/100))/(L175-1))</f>
        <v>2.5590912238166426E-3</v>
      </c>
      <c r="R175" s="66"/>
      <c r="S175" s="66" t="s">
        <v>62</v>
      </c>
      <c r="T175" s="67">
        <f>$AA173*T167/100</f>
        <v>52.855443596258667</v>
      </c>
      <c r="U175" s="67">
        <f>$AA173*U167/100</f>
        <v>24.129153849903979</v>
      </c>
      <c r="V175" s="67">
        <f>$AA173*V167/100</f>
        <v>147.52663559695822</v>
      </c>
      <c r="W175" s="67">
        <f>$AA173*W167/100</f>
        <v>236.69672992820739</v>
      </c>
      <c r="X175" s="67">
        <f>$AA173*X167/100</f>
        <v>186.83832887240203</v>
      </c>
      <c r="AA175" s="1"/>
      <c r="AD175" s="51"/>
      <c r="AE175" s="51"/>
    </row>
    <row r="176" spans="1:35" x14ac:dyDescent="0.3">
      <c r="B176" t="s">
        <v>28</v>
      </c>
      <c r="C176" s="17">
        <f t="shared" ref="C176:H176" si="29">SUM(C171:C175)</f>
        <v>0.2096935728034694</v>
      </c>
      <c r="D176" s="17">
        <f t="shared" si="29"/>
        <v>0.56201577961568616</v>
      </c>
      <c r="E176" s="17">
        <f t="shared" si="29"/>
        <v>61.013107152712927</v>
      </c>
      <c r="F176" s="17">
        <f t="shared" si="29"/>
        <v>31.599417159397742</v>
      </c>
      <c r="G176" s="17">
        <f t="shared" si="29"/>
        <v>6.6157663354701697</v>
      </c>
      <c r="H176" s="18">
        <f t="shared" si="29"/>
        <v>99.999999999999986</v>
      </c>
      <c r="I176" s="13" t="s">
        <v>24</v>
      </c>
      <c r="J176" s="12" t="s">
        <v>29</v>
      </c>
      <c r="N176" s="1">
        <f>SUM(N171:N175)</f>
        <v>96583.790000000008</v>
      </c>
      <c r="O176" s="17">
        <f>SUM(O171:O175)</f>
        <v>99.999999999999986</v>
      </c>
      <c r="R176" t="s">
        <v>104</v>
      </c>
      <c r="S176" t="s">
        <v>28</v>
      </c>
      <c r="T176" s="57">
        <f>C495</f>
        <v>0.2049412225384819</v>
      </c>
      <c r="U176" s="57">
        <f t="shared" ref="U176:X179" si="30">D495</f>
        <v>0.8183117746806341</v>
      </c>
      <c r="V176" s="57">
        <f t="shared" si="30"/>
        <v>61.541256970509885</v>
      </c>
      <c r="W176" s="57">
        <f t="shared" si="30"/>
        <v>30.973717261954679</v>
      </c>
      <c r="X176" s="57">
        <f t="shared" si="30"/>
        <v>6.4617727703163172</v>
      </c>
      <c r="AD176" s="51"/>
      <c r="AE176" s="51"/>
      <c r="AH176" s="78"/>
      <c r="AI176" s="78"/>
    </row>
    <row r="177" spans="1:41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2.3083114821006941E-2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0.14538483788208303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0.24832633019549058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0.21154912948259946</v>
      </c>
      <c r="H177" s="1"/>
      <c r="I177" s="14">
        <f>(C171+D172+E173+F174+G175)/H176</f>
        <v>0.98421615926322625</v>
      </c>
      <c r="J177" s="53">
        <f>SQRT(SUM(P171:P175))/100</f>
        <v>2.5261600107195103E-3</v>
      </c>
      <c r="M177" s="1"/>
      <c r="N177" s="9"/>
      <c r="S177" s="66" t="s">
        <v>39</v>
      </c>
      <c r="T177" s="67">
        <f>C496</f>
        <v>0</v>
      </c>
      <c r="U177" s="67">
        <f t="shared" si="30"/>
        <v>3.4846757869667538E-2</v>
      </c>
      <c r="V177" s="67">
        <f t="shared" si="30"/>
        <v>0.15495342111264268</v>
      </c>
      <c r="W177" s="67">
        <f t="shared" si="30"/>
        <v>0.23794878313128773</v>
      </c>
      <c r="X177" s="67">
        <f t="shared" si="30"/>
        <v>0.19286812852756649</v>
      </c>
      <c r="AD177" s="51"/>
      <c r="AE177" s="51"/>
    </row>
    <row r="178" spans="1:41" x14ac:dyDescent="0.3">
      <c r="B178" s="1" t="s">
        <v>30</v>
      </c>
      <c r="C178" s="17">
        <f>C171/C176*100</f>
        <v>100</v>
      </c>
      <c r="D178" s="17">
        <f>D172/D176*100</f>
        <v>100</v>
      </c>
      <c r="E178" s="17">
        <f>E173/E176*100</f>
        <v>99.108476675656405</v>
      </c>
      <c r="F178" s="17">
        <f>F174/F176*100</f>
        <v>99.188528257689711</v>
      </c>
      <c r="G178" s="17">
        <f>G175/G176*100</f>
        <v>88.239946635514983</v>
      </c>
      <c r="H178" s="1"/>
      <c r="S178" s="70" t="s">
        <v>30</v>
      </c>
      <c r="T178" s="64">
        <f>C497</f>
        <v>100</v>
      </c>
      <c r="U178" s="64">
        <f t="shared" si="30"/>
        <v>96.982481095920107</v>
      </c>
      <c r="V178" s="64">
        <f t="shared" si="30"/>
        <v>99.042807108673429</v>
      </c>
      <c r="W178" s="64">
        <f t="shared" si="30"/>
        <v>99.234367239472192</v>
      </c>
      <c r="X178" s="64">
        <f t="shared" si="30"/>
        <v>89.897321075790757</v>
      </c>
      <c r="AD178" s="51"/>
      <c r="AE178" s="51"/>
      <c r="AH178" s="78"/>
      <c r="AI178" s="78"/>
    </row>
    <row r="179" spans="1:41" x14ac:dyDescent="0.3">
      <c r="B179" s="16" t="s">
        <v>39</v>
      </c>
      <c r="C179" s="18">
        <f>SQRT((C182+C183)/(C176*C176))</f>
        <v>0</v>
      </c>
      <c r="D179" s="18">
        <f>SQRT((D182+D183)/(D176*D176))</f>
        <v>0</v>
      </c>
      <c r="E179" s="18">
        <f>SQRT((E182+E183)/(E176*E176))</f>
        <v>0.19548394619930262</v>
      </c>
      <c r="F179" s="18">
        <f>SQRT((F182+F183)/(F176*F176))</f>
        <v>0.28366659110660458</v>
      </c>
      <c r="G179" s="18">
        <f>SQRT((G182+G183)/(G176*G176))</f>
        <v>2.8858608732047242</v>
      </c>
      <c r="H179" s="1"/>
      <c r="S179" s="66" t="s">
        <v>39</v>
      </c>
      <c r="T179" s="67">
        <f>C498</f>
        <v>0</v>
      </c>
      <c r="U179" s="67">
        <f t="shared" si="30"/>
        <v>1.8987304620542063</v>
      </c>
      <c r="V179" s="67">
        <f t="shared" si="30"/>
        <v>0.2115034163422532</v>
      </c>
      <c r="W179" s="67">
        <f t="shared" si="30"/>
        <v>0.28798203826180124</v>
      </c>
      <c r="X179" s="67">
        <f t="shared" si="30"/>
        <v>2.7082843052650327</v>
      </c>
      <c r="AD179" s="51"/>
      <c r="AE179" s="51"/>
    </row>
    <row r="180" spans="1:41" x14ac:dyDescent="0.3">
      <c r="B180" s="1" t="s">
        <v>37</v>
      </c>
      <c r="C180" s="18">
        <f>100-C178</f>
        <v>0</v>
      </c>
      <c r="D180" s="18">
        <f>100-D178</f>
        <v>0</v>
      </c>
      <c r="E180" s="18">
        <f>100-E178</f>
        <v>0.89152332434359494</v>
      </c>
      <c r="F180" s="18">
        <f>100-F178</f>
        <v>0.81147174231028885</v>
      </c>
      <c r="G180" s="18">
        <f>100-G178</f>
        <v>11.760053364485017</v>
      </c>
      <c r="S180" s="70" t="s">
        <v>31</v>
      </c>
      <c r="T180" s="64">
        <f>I490</f>
        <v>100</v>
      </c>
      <c r="U180" s="64">
        <f>I491</f>
        <v>91.228070175438603</v>
      </c>
      <c r="V180" s="64">
        <f>I492</f>
        <v>99.86431478968791</v>
      </c>
      <c r="W180" s="64">
        <f>I493</f>
        <v>97.079037800687288</v>
      </c>
      <c r="X180" s="64">
        <f>I494</f>
        <v>93.260654112983147</v>
      </c>
      <c r="AD180" s="51"/>
      <c r="AE180" s="51"/>
      <c r="AH180" s="78"/>
      <c r="AI180" s="78"/>
    </row>
    <row r="181" spans="1:41" ht="15.6" x14ac:dyDescent="0.35">
      <c r="B181" s="1" t="s">
        <v>25</v>
      </c>
      <c r="C181" s="1">
        <f>C165</f>
        <v>451</v>
      </c>
      <c r="D181" s="1">
        <f>D165</f>
        <v>52</v>
      </c>
      <c r="E181" s="1">
        <f>E165</f>
        <v>788</v>
      </c>
      <c r="F181" s="1">
        <f>F165</f>
        <v>593</v>
      </c>
      <c r="G181" s="1">
        <f>G165</f>
        <v>952</v>
      </c>
      <c r="S181" s="66" t="s">
        <v>39</v>
      </c>
      <c r="T181" s="67">
        <f>J490</f>
        <v>0</v>
      </c>
      <c r="U181" s="67">
        <f>J491</f>
        <v>3.7802263481198874</v>
      </c>
      <c r="V181" s="67">
        <f>J492</f>
        <v>0.135685210312083</v>
      </c>
      <c r="W181" s="67">
        <f>J493</f>
        <v>0.69861456179910675</v>
      </c>
      <c r="X181" s="67">
        <f>J494</f>
        <v>0.78963762893908618</v>
      </c>
      <c r="AD181" s="51"/>
      <c r="AE181" s="51"/>
      <c r="AN181" s="2"/>
      <c r="AO181" s="2"/>
    </row>
    <row r="182" spans="1:41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0</v>
      </c>
      <c r="E182" s="18">
        <f>(O173*O173*(100-E178)*(100-E178)*(I173)*(100-I173))/((L173-1)*100)</f>
        <v>0.53650982282085435</v>
      </c>
      <c r="F182" s="18">
        <f>(O174*O174*(100-F178)*(100-F178)*(I174)*(100-I174))/((L174-1)*100)</f>
        <v>3.5534082646716985</v>
      </c>
      <c r="G182" s="18">
        <f>(O175*O175*(100-G178)*(100-G178)*(I175)*(100-I175))/((L175-1)*100)</f>
        <v>35.391938644123776</v>
      </c>
      <c r="S182" s="68" t="s">
        <v>51</v>
      </c>
      <c r="T182" s="65">
        <f>N479*100</f>
        <v>100</v>
      </c>
      <c r="U182" s="65">
        <f>N480*100</f>
        <v>92.035398230088489</v>
      </c>
      <c r="V182" s="65">
        <f>N481*100</f>
        <v>96.714848883048603</v>
      </c>
      <c r="W182" s="65">
        <f>N482*100</f>
        <v>96.334185848252346</v>
      </c>
      <c r="X182" s="65">
        <f>N483*100</f>
        <v>95.922528032619766</v>
      </c>
      <c r="AD182" s="51"/>
      <c r="AE182" s="51"/>
      <c r="AH182" s="78"/>
      <c r="AI182" s="78"/>
    </row>
    <row r="183" spans="1:41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0</v>
      </c>
      <c r="E183" s="18">
        <f>E178*E178*(SUM((H171*E171*(1-E160/H160))/(H160-1),(H172*E172*(1-E161/H161))/(H161-1), (H174*E174*(1-E163/H163))/(H163-1),(H175*E175*(1-E164/H164))/(H164-1)))</f>
        <v>141.71879801870853</v>
      </c>
      <c r="F183" s="18">
        <f>F178*F178*(SUM((H171*F171*(1-F160/H160))/(H160-1),(H172*F172*(1-F161/H161))/(H161-1), (H173*F173*(1-F162/H162))/(H162-1),(H175*F175*(1-F164/H164))/(H164-1)))</f>
        <v>76.794490539923288</v>
      </c>
      <c r="G183" s="18">
        <f>G178*G178*(SUM((H171*G171*(1-G160/H160))/(H160-1),(H172*G172*(1-G161/H161))/(H161-1), (H173*G173*(1-G162/H162))/(H162-1),(H174*G174*(1-G163/H163))/(H163-1)))</f>
        <v>329.11944485639134</v>
      </c>
      <c r="R183" s="16" t="s">
        <v>61</v>
      </c>
      <c r="S183" t="s">
        <v>9</v>
      </c>
      <c r="T183" s="1">
        <f>N490</f>
        <v>197.94</v>
      </c>
      <c r="U183" s="1">
        <f>N491</f>
        <v>840.21</v>
      </c>
      <c r="V183" s="1">
        <f>N492</f>
        <v>58949.919999999998</v>
      </c>
      <c r="W183" s="1">
        <f>N493</f>
        <v>30579.77</v>
      </c>
      <c r="X183" s="1">
        <f>N494</f>
        <v>6015.95</v>
      </c>
      <c r="Z183" t="s">
        <v>36</v>
      </c>
      <c r="AA183" s="1">
        <f>N495</f>
        <v>96583.79</v>
      </c>
      <c r="AD183" s="51"/>
      <c r="AE183" s="51"/>
      <c r="AN183" s="78"/>
      <c r="AO183" s="78"/>
    </row>
    <row r="184" spans="1:41" ht="15.6" x14ac:dyDescent="0.35">
      <c r="R184" s="16" t="s">
        <v>318</v>
      </c>
      <c r="S184" t="s">
        <v>63</v>
      </c>
      <c r="T184" s="57">
        <f>$AA183*T176/100</f>
        <v>197.94000000000003</v>
      </c>
      <c r="U184" s="57">
        <f>$AA183*U176/100</f>
        <v>790.35652600281674</v>
      </c>
      <c r="V184" s="57">
        <f>$AA183*V176/100</f>
        <v>59438.878395757631</v>
      </c>
      <c r="W184" s="57">
        <f>$AA183*W176/100</f>
        <v>29915.590035480054</v>
      </c>
      <c r="X184" s="57">
        <f>$AA183*X176/100</f>
        <v>6241.0250427594929</v>
      </c>
      <c r="Z184" t="s">
        <v>36</v>
      </c>
      <c r="AA184" s="25">
        <f>SUM(T184:X184)</f>
        <v>96583.789999999979</v>
      </c>
      <c r="AD184" s="51"/>
      <c r="AE184" s="51"/>
      <c r="AH184" s="78"/>
      <c r="AI184" s="78"/>
    </row>
    <row r="185" spans="1:41" x14ac:dyDescent="0.3">
      <c r="R185" s="66"/>
      <c r="S185" s="66" t="s">
        <v>62</v>
      </c>
      <c r="T185" s="67">
        <f>$AA183*T177/100</f>
        <v>0</v>
      </c>
      <c r="U185" s="67">
        <f>$AA183*U177/100</f>
        <v>33.656319442648169</v>
      </c>
      <c r="V185" s="67">
        <f>$AA183*V177/100</f>
        <v>149.65988684525047</v>
      </c>
      <c r="W185" s="67">
        <f>$AA183*W177/100</f>
        <v>229.81995300707837</v>
      </c>
      <c r="X185" s="67">
        <f>$AA183*X177/100</f>
        <v>186.27934823399491</v>
      </c>
      <c r="AA185" s="1"/>
      <c r="AD185" s="51"/>
      <c r="AE185" s="51"/>
      <c r="AN185" s="78"/>
      <c r="AO185" s="78"/>
    </row>
    <row r="186" spans="1:41" x14ac:dyDescent="0.3">
      <c r="A186" s="348" t="s">
        <v>373</v>
      </c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 t="s">
        <v>79</v>
      </c>
      <c r="M186" s="348"/>
      <c r="N186" s="348"/>
      <c r="O186" s="348"/>
      <c r="P186" s="348"/>
      <c r="R186" t="s">
        <v>105</v>
      </c>
      <c r="S186" s="70" t="s">
        <v>28</v>
      </c>
      <c r="T186" s="64">
        <f>C524</f>
        <v>0.22433366420314127</v>
      </c>
      <c r="U186" s="64">
        <f t="shared" ref="U186:X189" si="31">D524</f>
        <v>0.73732820924484643</v>
      </c>
      <c r="V186" s="64">
        <f t="shared" si="31"/>
        <v>61.012240944344754</v>
      </c>
      <c r="W186" s="64">
        <f t="shared" si="31"/>
        <v>32.260922292831211</v>
      </c>
      <c r="X186" s="64">
        <f t="shared" si="31"/>
        <v>5.7651748893760431</v>
      </c>
      <c r="AA186" s="12"/>
      <c r="AD186" s="51"/>
      <c r="AE186" s="51"/>
    </row>
    <row r="187" spans="1:41" x14ac:dyDescent="0.3">
      <c r="A187" t="s">
        <v>315</v>
      </c>
      <c r="B187" t="s">
        <v>21</v>
      </c>
      <c r="I187" s="1" t="s">
        <v>53</v>
      </c>
      <c r="O187" s="142"/>
      <c r="P187" s="142"/>
      <c r="S187" s="66" t="s">
        <v>39</v>
      </c>
      <c r="T187" s="67">
        <f>C525</f>
        <v>0</v>
      </c>
      <c r="U187" s="67">
        <f t="shared" si="31"/>
        <v>6.1959874255571125E-2</v>
      </c>
      <c r="V187" s="67">
        <f t="shared" si="31"/>
        <v>0.15435425623297777</v>
      </c>
      <c r="W187" s="67">
        <f t="shared" si="31"/>
        <v>0.20430392666451236</v>
      </c>
      <c r="X187" s="67">
        <f t="shared" si="31"/>
        <v>0.133036958317587</v>
      </c>
      <c r="AD187" s="51"/>
      <c r="AE187" s="51"/>
      <c r="AN187" s="78"/>
      <c r="AO187" s="78"/>
    </row>
    <row r="188" spans="1:41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51</v>
      </c>
      <c r="O188" s="13"/>
      <c r="P188" s="13"/>
      <c r="S188" t="s">
        <v>30</v>
      </c>
      <c r="T188" s="57">
        <f>C526</f>
        <v>100</v>
      </c>
      <c r="U188" s="57">
        <f t="shared" si="31"/>
        <v>89.243038763149443</v>
      </c>
      <c r="V188" s="57">
        <f t="shared" si="31"/>
        <v>99.182633003286483</v>
      </c>
      <c r="W188" s="57">
        <f t="shared" si="31"/>
        <v>99.112740442421313</v>
      </c>
      <c r="X188" s="57">
        <f t="shared" si="31"/>
        <v>95.143452136758185</v>
      </c>
      <c r="AD188" s="51"/>
      <c r="AE188" s="51"/>
    </row>
    <row r="189" spans="1:41" x14ac:dyDescent="0.3">
      <c r="A189" t="s">
        <v>3</v>
      </c>
      <c r="B189" s="13">
        <v>0</v>
      </c>
      <c r="C189" s="26">
        <v>451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451</v>
      </c>
      <c r="I189" s="10">
        <f>C189/H189</f>
        <v>1</v>
      </c>
      <c r="J189" s="11">
        <f>1-I189</f>
        <v>0</v>
      </c>
      <c r="K189">
        <f>H189-C194</f>
        <v>0</v>
      </c>
      <c r="N189" s="10">
        <f>2*(C195*I189)/(C195+I189)</f>
        <v>1</v>
      </c>
      <c r="O189" s="1"/>
      <c r="P189" s="1"/>
      <c r="S189" s="66" t="s">
        <v>39</v>
      </c>
      <c r="T189" s="67">
        <f>C527</f>
        <v>0</v>
      </c>
      <c r="U189" s="67">
        <f t="shared" si="31"/>
        <v>7.7680580853408232</v>
      </c>
      <c r="V189" s="67">
        <f t="shared" si="31"/>
        <v>0.21293875494517775</v>
      </c>
      <c r="W189" s="67">
        <f t="shared" si="31"/>
        <v>0.27787645116784931</v>
      </c>
      <c r="X189" s="67">
        <f t="shared" si="31"/>
        <v>2.0961429296959539</v>
      </c>
      <c r="AD189" s="51"/>
      <c r="AE189" s="51"/>
      <c r="AN189" s="78"/>
      <c r="AO189" s="78"/>
    </row>
    <row r="190" spans="1:41" x14ac:dyDescent="0.3">
      <c r="A190" t="s">
        <v>4</v>
      </c>
      <c r="B190" s="13">
        <v>1</v>
      </c>
      <c r="C190" s="5">
        <v>0</v>
      </c>
      <c r="D190" s="27">
        <v>53</v>
      </c>
      <c r="E190" s="1">
        <v>4</v>
      </c>
      <c r="F190" s="1">
        <v>0</v>
      </c>
      <c r="G190" s="6">
        <v>0</v>
      </c>
      <c r="H190" s="1">
        <f>SUM(C190:G190)</f>
        <v>57</v>
      </c>
      <c r="I190" s="10">
        <f>D190/H190</f>
        <v>0.92982456140350878</v>
      </c>
      <c r="J190" s="11">
        <f>1-I190</f>
        <v>7.0175438596491224E-2</v>
      </c>
      <c r="K190">
        <f>H190-D194</f>
        <v>-1</v>
      </c>
      <c r="N190" s="10">
        <f>2*(D195*I190)/(D195+I190)</f>
        <v>0.92173913043478251</v>
      </c>
      <c r="O190" s="1"/>
      <c r="P190" s="1"/>
      <c r="S190" t="s">
        <v>31</v>
      </c>
      <c r="T190" s="57">
        <f>I519</f>
        <v>100</v>
      </c>
      <c r="U190" s="57">
        <f>I520</f>
        <v>92.982456140350862</v>
      </c>
      <c r="V190" s="57">
        <f>I521</f>
        <v>99.864314789687924</v>
      </c>
      <c r="W190" s="57">
        <f>I522</f>
        <v>98.109965635738831</v>
      </c>
      <c r="X190" s="57">
        <f>I523</f>
        <v>93.260654112983147</v>
      </c>
      <c r="AD190" s="51"/>
      <c r="AE190" s="51"/>
    </row>
    <row r="191" spans="1:41" x14ac:dyDescent="0.3">
      <c r="A191" t="s">
        <v>5</v>
      </c>
      <c r="B191" s="13">
        <v>2</v>
      </c>
      <c r="C191" s="5">
        <v>0</v>
      </c>
      <c r="D191" s="1">
        <v>1</v>
      </c>
      <c r="E191" s="27">
        <v>735</v>
      </c>
      <c r="F191" s="1">
        <v>1</v>
      </c>
      <c r="G191" s="6">
        <v>0</v>
      </c>
      <c r="H191" s="1">
        <f>SUM(C191:G191)</f>
        <v>737</v>
      </c>
      <c r="I191" s="10">
        <f>E191/H191</f>
        <v>0.99728629579375849</v>
      </c>
      <c r="J191" s="11">
        <f>1-I191</f>
        <v>2.7137042062415073E-3</v>
      </c>
      <c r="K191">
        <f>H191-E194</f>
        <v>-33</v>
      </c>
      <c r="N191" s="10">
        <f>2*(E195*I191)/(E195+I191)</f>
        <v>0.97544790975447915</v>
      </c>
      <c r="O191" s="1"/>
      <c r="P191" s="1"/>
      <c r="S191" s="66" t="s">
        <v>39</v>
      </c>
      <c r="T191" s="67">
        <f>J519</f>
        <v>0</v>
      </c>
      <c r="U191" s="67">
        <f>J520</f>
        <v>3.4134933513474306</v>
      </c>
      <c r="V191" s="67">
        <f>J521</f>
        <v>0.13568521031207589</v>
      </c>
      <c r="W191" s="67">
        <f>J522</f>
        <v>0.5649413271715471</v>
      </c>
      <c r="X191" s="67">
        <f>J523</f>
        <v>0.78963762893908618</v>
      </c>
      <c r="AD191" s="51"/>
      <c r="AE191" s="51"/>
      <c r="AN191" s="78"/>
      <c r="AO191" s="78"/>
    </row>
    <row r="192" spans="1:41" x14ac:dyDescent="0.3">
      <c r="A192" t="s">
        <v>6</v>
      </c>
      <c r="B192" s="13">
        <v>3</v>
      </c>
      <c r="C192" s="5">
        <v>0</v>
      </c>
      <c r="D192" s="1">
        <v>1</v>
      </c>
      <c r="E192" s="1">
        <v>4</v>
      </c>
      <c r="F192" s="27">
        <v>566</v>
      </c>
      <c r="G192" s="6">
        <v>11</v>
      </c>
      <c r="H192" s="1">
        <f>SUM(C192:G192)</f>
        <v>582</v>
      </c>
      <c r="I192" s="10">
        <f>F192/H192</f>
        <v>0.97250859106529208</v>
      </c>
      <c r="J192" s="11">
        <f>1-I192</f>
        <v>2.7491408934707917E-2</v>
      </c>
      <c r="K192">
        <f>H192-F194</f>
        <v>-5</v>
      </c>
      <c r="N192" s="10">
        <f>2*(F195*I192)/(F195+I192)</f>
        <v>0.96834901625320779</v>
      </c>
      <c r="O192" s="1"/>
      <c r="P192" s="1"/>
      <c r="S192" s="66" t="s">
        <v>51</v>
      </c>
      <c r="T192" s="67">
        <f>N508*100</f>
        <v>100</v>
      </c>
      <c r="U192" s="67">
        <f>N509*100</f>
        <v>92.173913043478251</v>
      </c>
      <c r="V192" s="67">
        <f>N510*100</f>
        <v>97.418927862342812</v>
      </c>
      <c r="W192" s="67">
        <f>N511*100</f>
        <v>96.047098402018506</v>
      </c>
      <c r="X192" s="67">
        <f>N512*100</f>
        <v>96.265984654731469</v>
      </c>
      <c r="AD192" s="51"/>
      <c r="AE192" s="51"/>
    </row>
    <row r="193" spans="1:48" x14ac:dyDescent="0.3">
      <c r="A193" t="s">
        <v>7</v>
      </c>
      <c r="B193" s="13">
        <v>4</v>
      </c>
      <c r="C193" s="7">
        <v>0</v>
      </c>
      <c r="D193" s="8">
        <v>3</v>
      </c>
      <c r="E193" s="8">
        <v>27</v>
      </c>
      <c r="F193" s="8">
        <v>20</v>
      </c>
      <c r="G193" s="28">
        <v>959</v>
      </c>
      <c r="H193" s="1">
        <f>SUM(C193:G193)</f>
        <v>1009</v>
      </c>
      <c r="I193" s="10">
        <f>G193/H193</f>
        <v>0.95044598612487607</v>
      </c>
      <c r="J193" s="11">
        <f>1-I193</f>
        <v>4.9554013875123926E-2</v>
      </c>
      <c r="K193">
        <f>H193-G194</f>
        <v>39</v>
      </c>
      <c r="N193" s="10">
        <f>2*(G195*I193)/(G195+I193)</f>
        <v>0.96917635169277405</v>
      </c>
      <c r="O193" s="1"/>
      <c r="P193" s="1"/>
      <c r="R193" s="16" t="s">
        <v>61</v>
      </c>
      <c r="S193" t="s">
        <v>9</v>
      </c>
      <c r="T193" s="1">
        <f>N519</f>
        <v>216.67</v>
      </c>
      <c r="U193" s="1">
        <f>N520</f>
        <v>683.5</v>
      </c>
      <c r="V193" s="1">
        <f>N521</f>
        <v>58525.7</v>
      </c>
      <c r="W193" s="1">
        <f>N522</f>
        <v>31477.3</v>
      </c>
      <c r="X193" s="1">
        <f>N523</f>
        <v>5680.64</v>
      </c>
      <c r="Z193" t="s">
        <v>36</v>
      </c>
      <c r="AA193" s="1">
        <f>N524</f>
        <v>96583.81</v>
      </c>
      <c r="AD193" s="51"/>
      <c r="AE193" s="51"/>
      <c r="AL193" s="131">
        <v>0</v>
      </c>
      <c r="AM193" s="132">
        <v>1</v>
      </c>
      <c r="AN193" s="132">
        <v>2</v>
      </c>
      <c r="AO193" s="132">
        <v>3</v>
      </c>
      <c r="AP193" s="133">
        <v>4</v>
      </c>
    </row>
    <row r="194" spans="1:48" ht="15.6" x14ac:dyDescent="0.35">
      <c r="B194" s="1" t="s">
        <v>19</v>
      </c>
      <c r="C194" s="1">
        <f>SUM(C189:C193)</f>
        <v>451</v>
      </c>
      <c r="D194" s="1">
        <f>SUM(D189:D193)</f>
        <v>58</v>
      </c>
      <c r="E194" s="1">
        <f>SUM(E189:E193)</f>
        <v>770</v>
      </c>
      <c r="F194" s="1">
        <f>SUM(F189:F193)</f>
        <v>587</v>
      </c>
      <c r="G194" s="1">
        <f>SUM(G189:G193)</f>
        <v>970</v>
      </c>
      <c r="H194" s="1">
        <f>SUM(H188:H193)</f>
        <v>2836</v>
      </c>
      <c r="I194" s="13" t="s">
        <v>12</v>
      </c>
      <c r="N194" s="16"/>
      <c r="O194" s="1"/>
      <c r="P194" s="1"/>
      <c r="R194" s="16" t="s">
        <v>318</v>
      </c>
      <c r="S194" t="s">
        <v>63</v>
      </c>
      <c r="T194" s="57">
        <f>$AA193*T186/100</f>
        <v>216.66999999999996</v>
      </c>
      <c r="U194" s="57">
        <f>$AA193*U186/100</f>
        <v>712.13967669344493</v>
      </c>
      <c r="V194" s="57">
        <f>$AA193*V186/100</f>
        <v>58927.946870428139</v>
      </c>
      <c r="W194" s="57">
        <f>$AA193*W186/100</f>
        <v>31158.827891555742</v>
      </c>
      <c r="X194" s="57">
        <f>$AA193*X186/100</f>
        <v>5568.225561322668</v>
      </c>
      <c r="Z194" t="s">
        <v>36</v>
      </c>
      <c r="AA194" s="25">
        <f>SUM(T194:X194)</f>
        <v>96583.81</v>
      </c>
      <c r="AD194" s="51"/>
      <c r="AE194" s="51"/>
      <c r="AJ194" t="s">
        <v>2</v>
      </c>
      <c r="AQ194" t="s">
        <v>633</v>
      </c>
    </row>
    <row r="195" spans="1:48" x14ac:dyDescent="0.3">
      <c r="A195" s="1" t="s">
        <v>316</v>
      </c>
      <c r="B195" s="1" t="s">
        <v>2</v>
      </c>
      <c r="C195" s="10">
        <f>C189/C194</f>
        <v>1</v>
      </c>
      <c r="D195" s="10">
        <f>D190/D194</f>
        <v>0.91379310344827591</v>
      </c>
      <c r="E195" s="10">
        <f>E191/E194</f>
        <v>0.95454545454545459</v>
      </c>
      <c r="F195" s="10">
        <f>F192/F194</f>
        <v>0.96422487223168651</v>
      </c>
      <c r="G195" s="10">
        <f>G193/G194</f>
        <v>0.98865979381443303</v>
      </c>
      <c r="H195" s="10"/>
      <c r="I195" s="14">
        <f>(C189+D190+E191+F192+G193)/H194</f>
        <v>0.97461212976022571</v>
      </c>
      <c r="R195" s="66"/>
      <c r="S195" s="66" t="s">
        <v>62</v>
      </c>
      <c r="T195" s="67">
        <f>$AA193*T187/100</f>
        <v>0</v>
      </c>
      <c r="U195" s="67">
        <f>$AA193*U187/100</f>
        <v>59.843207227239731</v>
      </c>
      <c r="V195" s="67">
        <f>$AA193*V187/100</f>
        <v>149.0812215669724</v>
      </c>
      <c r="W195" s="67">
        <f>$AA193*W187/100</f>
        <v>197.32451635219192</v>
      </c>
      <c r="X195" s="67">
        <f>$AA193*X187/100</f>
        <v>128.49216305123741</v>
      </c>
      <c r="AA195" s="1"/>
      <c r="AD195" s="51"/>
      <c r="AE195" s="51"/>
      <c r="AJ195" t="s">
        <v>633</v>
      </c>
      <c r="AK195">
        <v>0</v>
      </c>
      <c r="AL195" s="1">
        <v>184.07</v>
      </c>
      <c r="AM195" s="1">
        <v>80.650000000000006</v>
      </c>
      <c r="AN195" s="1">
        <v>4654.92</v>
      </c>
      <c r="AO195" s="1">
        <v>15558.25</v>
      </c>
      <c r="AP195" s="1">
        <v>4169.3500000000004</v>
      </c>
      <c r="AR195" s="1">
        <v>204.78</v>
      </c>
      <c r="AS195" s="1">
        <v>543.97</v>
      </c>
      <c r="AT195" s="1">
        <v>58966.32</v>
      </c>
      <c r="AU195" s="1">
        <v>30951.97</v>
      </c>
      <c r="AV195" s="1">
        <v>5916.75</v>
      </c>
    </row>
    <row r="196" spans="1:48" x14ac:dyDescent="0.3">
      <c r="B196" s="1" t="s">
        <v>14</v>
      </c>
      <c r="C196" s="11">
        <f>1-C195</f>
        <v>0</v>
      </c>
      <c r="D196" s="11">
        <f>1-D195</f>
        <v>8.6206896551724088E-2</v>
      </c>
      <c r="E196" s="11">
        <f>1-E195</f>
        <v>4.5454545454545414E-2</v>
      </c>
      <c r="F196" s="11">
        <f>1-F195</f>
        <v>3.5775127768313486E-2</v>
      </c>
      <c r="G196" s="11">
        <f>1-G195</f>
        <v>1.134020618556697E-2</v>
      </c>
      <c r="R196" t="s">
        <v>106</v>
      </c>
      <c r="S196" t="s">
        <v>28</v>
      </c>
      <c r="T196" s="57">
        <f>C553</f>
        <v>0.29294239500539065</v>
      </c>
      <c r="U196" s="57">
        <f t="shared" ref="U196:X199" si="32">D553</f>
        <v>0.62838558720170767</v>
      </c>
      <c r="V196" s="57">
        <f t="shared" si="32"/>
        <v>61.307492582303318</v>
      </c>
      <c r="W196" s="57">
        <f t="shared" si="32"/>
        <v>31.354923583826434</v>
      </c>
      <c r="X196" s="57">
        <f t="shared" si="32"/>
        <v>6.4162558516631467</v>
      </c>
      <c r="Y196" s="13"/>
      <c r="Z196" s="74"/>
      <c r="AA196" s="12"/>
      <c r="AD196" s="51"/>
      <c r="AE196" s="51"/>
      <c r="AJ196" t="s">
        <v>633</v>
      </c>
      <c r="AK196">
        <v>1</v>
      </c>
      <c r="AL196" s="1">
        <v>187.18</v>
      </c>
      <c r="AM196" s="1">
        <v>100.02</v>
      </c>
      <c r="AN196" s="1">
        <v>4572.01</v>
      </c>
      <c r="AO196" s="1">
        <v>15638.97</v>
      </c>
      <c r="AP196" s="1">
        <v>4149.07</v>
      </c>
      <c r="AR196" s="1">
        <v>216.94</v>
      </c>
      <c r="AS196" s="1">
        <v>645.05999999999995</v>
      </c>
      <c r="AT196" s="1">
        <v>58750.37</v>
      </c>
      <c r="AU196" s="1">
        <v>30939.279999999999</v>
      </c>
      <c r="AV196" s="1">
        <v>6032.16</v>
      </c>
    </row>
    <row r="197" spans="1:48" x14ac:dyDescent="0.3">
      <c r="C197" s="2"/>
      <c r="S197" s="66" t="s">
        <v>39</v>
      </c>
      <c r="T197" s="67">
        <f>C554</f>
        <v>5.5142873477864132E-2</v>
      </c>
      <c r="U197" s="67">
        <f t="shared" si="32"/>
        <v>8.6552558944476013E-2</v>
      </c>
      <c r="V197" s="67">
        <f t="shared" si="32"/>
        <v>0.16642552805959196</v>
      </c>
      <c r="W197" s="67">
        <f t="shared" si="32"/>
        <v>0.24661005685504331</v>
      </c>
      <c r="X197" s="67">
        <f t="shared" si="32"/>
        <v>0.20231004902406577</v>
      </c>
      <c r="AD197" s="51"/>
      <c r="AE197" s="51"/>
      <c r="AJ197" t="s">
        <v>633</v>
      </c>
      <c r="AK197">
        <v>2</v>
      </c>
      <c r="AL197" s="1">
        <v>185.61</v>
      </c>
      <c r="AM197" s="1">
        <v>88.6</v>
      </c>
      <c r="AN197" s="1">
        <v>4595.51</v>
      </c>
      <c r="AO197" s="1">
        <v>15678.45</v>
      </c>
      <c r="AP197" s="1">
        <v>4099.07</v>
      </c>
      <c r="AR197" s="1">
        <v>209.56</v>
      </c>
      <c r="AS197" s="1">
        <v>575.39</v>
      </c>
      <c r="AT197" s="1">
        <v>58958.66</v>
      </c>
      <c r="AU197" s="1">
        <v>31021.56</v>
      </c>
      <c r="AV197" s="1">
        <v>5818.63</v>
      </c>
    </row>
    <row r="198" spans="1:48" ht="15.6" x14ac:dyDescent="0.35">
      <c r="A198" t="s">
        <v>317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81.160013314053344</v>
      </c>
      <c r="U198" s="57">
        <f t="shared" si="32"/>
        <v>84.917038550217157</v>
      </c>
      <c r="V198" s="57">
        <f t="shared" si="32"/>
        <v>99.153487771180863</v>
      </c>
      <c r="W198" s="57">
        <f t="shared" si="32"/>
        <v>99.274149882371816</v>
      </c>
      <c r="X198" s="57">
        <f t="shared" si="32"/>
        <v>88.817870992026613</v>
      </c>
      <c r="AD198" s="51"/>
      <c r="AE198" s="51"/>
      <c r="AJ198" t="s">
        <v>633</v>
      </c>
      <c r="AK198">
        <v>3</v>
      </c>
      <c r="AL198" s="1">
        <v>184.08</v>
      </c>
      <c r="AM198" s="1">
        <v>75.81</v>
      </c>
      <c r="AN198" s="1">
        <v>4586.2700000000004</v>
      </c>
      <c r="AO198" s="1">
        <v>15516.23</v>
      </c>
      <c r="AP198" s="1">
        <v>4284.8599999999997</v>
      </c>
      <c r="AR198" s="1">
        <v>218.11</v>
      </c>
      <c r="AS198" s="1">
        <v>564.22</v>
      </c>
      <c r="AT198" s="1">
        <v>58619.13</v>
      </c>
      <c r="AU198" s="1">
        <v>30952.51</v>
      </c>
      <c r="AV198" s="1">
        <v>6229.83</v>
      </c>
    </row>
    <row r="199" spans="1:48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15.290535702680186</v>
      </c>
      <c r="U199" s="67">
        <f t="shared" si="32"/>
        <v>12.676962211911665</v>
      </c>
      <c r="V199" s="67">
        <f t="shared" si="32"/>
        <v>0.19263324800110132</v>
      </c>
      <c r="W199" s="67">
        <f t="shared" si="32"/>
        <v>0.28282366621422395</v>
      </c>
      <c r="X199" s="67">
        <f t="shared" si="32"/>
        <v>2.846878596827616</v>
      </c>
      <c r="AD199" s="51"/>
      <c r="AE199" s="51"/>
      <c r="AJ199" t="s">
        <v>633</v>
      </c>
      <c r="AK199">
        <v>4</v>
      </c>
      <c r="AL199" s="1">
        <v>182.3</v>
      </c>
      <c r="AM199" s="1">
        <v>83.16</v>
      </c>
      <c r="AN199" s="1">
        <v>4705.1499999999996</v>
      </c>
      <c r="AO199" s="1">
        <v>15579.11</v>
      </c>
      <c r="AP199" s="1">
        <v>4097.5200000000004</v>
      </c>
      <c r="AR199" s="1">
        <v>213.07</v>
      </c>
      <c r="AS199" s="1">
        <v>561.61</v>
      </c>
      <c r="AT199" s="1">
        <v>59053.91</v>
      </c>
      <c r="AU199" s="1">
        <v>30916.05</v>
      </c>
      <c r="AV199" s="1">
        <v>5839.16</v>
      </c>
    </row>
    <row r="200" spans="1:48" x14ac:dyDescent="0.3">
      <c r="A200" t="s">
        <v>3</v>
      </c>
      <c r="B200" s="13">
        <v>0</v>
      </c>
      <c r="C200" s="29">
        <f>(C189/$L200)*$O200</f>
        <v>0.22554507070543925</v>
      </c>
      <c r="D200" s="31">
        <f>(D189/$L200)*$O200</f>
        <v>0</v>
      </c>
      <c r="E200" s="31">
        <f>(E189/$L200)*$O200</f>
        <v>0</v>
      </c>
      <c r="F200" s="31">
        <f>(F189/$L200)*$O200</f>
        <v>0</v>
      </c>
      <c r="G200" s="32">
        <f>(G189/$L200)*$O200</f>
        <v>0</v>
      </c>
      <c r="H200" s="17">
        <f>SUM(C200:G200)</f>
        <v>0.22554507070543925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451</v>
      </c>
      <c r="M200">
        <v>0</v>
      </c>
      <c r="N200" s="1">
        <v>217.84</v>
      </c>
      <c r="O200" s="17">
        <f>N200/N205*100</f>
        <v>0.22554507070543925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89.473684210526315</v>
      </c>
      <c r="V200" s="57">
        <f>I550</f>
        <v>99.728629579375848</v>
      </c>
      <c r="W200" s="57">
        <f>I551</f>
        <v>96.907216494845358</v>
      </c>
      <c r="X200" s="57">
        <f>I552</f>
        <v>93.557978196233904</v>
      </c>
      <c r="AD200" s="51"/>
      <c r="AE200" s="51"/>
      <c r="AJ200" t="s">
        <v>633</v>
      </c>
      <c r="AK200">
        <v>5</v>
      </c>
      <c r="AL200" s="1">
        <v>181.51</v>
      </c>
      <c r="AM200" s="1">
        <v>84.71</v>
      </c>
      <c r="AN200" s="1">
        <v>4506.99</v>
      </c>
      <c r="AO200" s="1">
        <v>15658.08</v>
      </c>
      <c r="AP200" s="1">
        <v>4215.95</v>
      </c>
      <c r="AR200" s="1">
        <v>202.53</v>
      </c>
      <c r="AS200" s="1">
        <v>595.01</v>
      </c>
      <c r="AT200" s="1">
        <v>58482.76</v>
      </c>
      <c r="AU200" s="1">
        <v>31238.39</v>
      </c>
      <c r="AV200" s="1">
        <v>6065.1</v>
      </c>
    </row>
    <row r="201" spans="1:48" x14ac:dyDescent="0.3">
      <c r="A201" t="s">
        <v>4</v>
      </c>
      <c r="B201" s="13">
        <v>1</v>
      </c>
      <c r="C201" s="33">
        <f t="shared" ref="C201:G204" si="33">(C190/$L201)*$O201</f>
        <v>0</v>
      </c>
      <c r="D201" s="34">
        <f t="shared" si="33"/>
        <v>0.63339760258367406</v>
      </c>
      <c r="E201" s="19">
        <f t="shared" si="33"/>
        <v>4.7803592647824453E-2</v>
      </c>
      <c r="F201" s="18">
        <f t="shared" si="33"/>
        <v>0</v>
      </c>
      <c r="G201" s="20">
        <f t="shared" si="33"/>
        <v>0</v>
      </c>
      <c r="H201" s="17">
        <f>SUM(C201:G201)</f>
        <v>0.68120119523149847</v>
      </c>
      <c r="I201" s="17">
        <f>D201/H201*100</f>
        <v>92.982456140350891</v>
      </c>
      <c r="J201" s="17">
        <f>SQRT(I201*(100-I201)/(L201-1))</f>
        <v>3.4134933513474244</v>
      </c>
      <c r="K201" s="18">
        <f>100-I201</f>
        <v>7.0175438596491091</v>
      </c>
      <c r="L201" s="1">
        <f>H190</f>
        <v>57</v>
      </c>
      <c r="M201">
        <v>1</v>
      </c>
      <c r="N201" s="1">
        <v>657.93</v>
      </c>
      <c r="O201" s="17">
        <f>N201/N205*100</f>
        <v>0.68120119523149847</v>
      </c>
      <c r="P201" s="52">
        <f>((O201*O201*(I201/100)*(K201/100))/(L201-1))</f>
        <v>5.4069073175033028E-4</v>
      </c>
      <c r="S201" s="66" t="s">
        <v>39</v>
      </c>
      <c r="T201" s="67">
        <f>J548</f>
        <v>0</v>
      </c>
      <c r="U201" s="67">
        <f>J549</f>
        <v>4.1010195919683134</v>
      </c>
      <c r="V201" s="67">
        <f>J550</f>
        <v>0.19175746172356631</v>
      </c>
      <c r="W201" s="67">
        <f>J551</f>
        <v>0.71823200493893458</v>
      </c>
      <c r="X201" s="67">
        <f>J552</f>
        <v>0.77325234044289104</v>
      </c>
      <c r="AD201" s="51"/>
      <c r="AE201" s="51"/>
      <c r="AJ201" t="s">
        <v>633</v>
      </c>
      <c r="AK201">
        <v>6</v>
      </c>
      <c r="AL201" s="1">
        <v>189.91</v>
      </c>
      <c r="AM201" s="1">
        <v>121.22</v>
      </c>
      <c r="AN201" s="1">
        <v>4549.28</v>
      </c>
      <c r="AO201" s="1">
        <v>15560.76</v>
      </c>
      <c r="AP201" s="1">
        <v>4226.09</v>
      </c>
      <c r="AR201" s="1">
        <v>217.84</v>
      </c>
      <c r="AS201" s="1">
        <v>657.93</v>
      </c>
      <c r="AT201" s="1">
        <v>58604.99</v>
      </c>
      <c r="AU201" s="1">
        <v>31013</v>
      </c>
      <c r="AV201" s="1">
        <v>6090.04</v>
      </c>
    </row>
    <row r="202" spans="1:48" x14ac:dyDescent="0.3">
      <c r="A202" t="s">
        <v>5</v>
      </c>
      <c r="B202" s="13">
        <v>2</v>
      </c>
      <c r="C202" s="33">
        <f t="shared" si="33"/>
        <v>0</v>
      </c>
      <c r="D202" s="19">
        <f t="shared" si="33"/>
        <v>8.2330891862684108E-2</v>
      </c>
      <c r="E202" s="34">
        <f t="shared" si="33"/>
        <v>60.513205519072827</v>
      </c>
      <c r="F202" s="19">
        <f t="shared" si="33"/>
        <v>8.2330891862684108E-2</v>
      </c>
      <c r="G202" s="20">
        <f t="shared" si="33"/>
        <v>0</v>
      </c>
      <c r="H202" s="17">
        <f>SUM(C202:G202)</f>
        <v>60.677867302798191</v>
      </c>
      <c r="I202" s="17">
        <f>E202/H202*100</f>
        <v>99.728629579375848</v>
      </c>
      <c r="J202" s="17">
        <f>SQRT(I202*(100-I202)/(L202-1))</f>
        <v>0.19175746172356631</v>
      </c>
      <c r="K202" s="18">
        <f>100-I202</f>
        <v>0.27137042062415162</v>
      </c>
      <c r="L202" s="1">
        <f>H191</f>
        <v>737</v>
      </c>
      <c r="M202">
        <v>2</v>
      </c>
      <c r="N202" s="1">
        <v>58604.99</v>
      </c>
      <c r="O202" s="17">
        <f>N202/N205*100</f>
        <v>60.677867302798191</v>
      </c>
      <c r="P202" s="52">
        <f>((O202*O202*(I202/100)*(K202/100))/(L202-1))</f>
        <v>1.3538332010475971E-2</v>
      </c>
      <c r="S202" s="66" t="s">
        <v>51</v>
      </c>
      <c r="T202" s="67">
        <f>N537*100</f>
        <v>99.889258028792909</v>
      </c>
      <c r="U202" s="67">
        <f>N538*100</f>
        <v>91.891891891891902</v>
      </c>
      <c r="V202" s="67">
        <f>N539*100</f>
        <v>96.646942800788963</v>
      </c>
      <c r="W202" s="67">
        <f>N540*100</f>
        <v>96.327924850555078</v>
      </c>
      <c r="X202" s="67">
        <f>N541*100</f>
        <v>96.032553407934884</v>
      </c>
      <c r="AD202" s="51"/>
      <c r="AE202" s="51"/>
      <c r="AJ202" t="s">
        <v>633</v>
      </c>
      <c r="AK202">
        <v>7</v>
      </c>
      <c r="AL202" s="1">
        <v>187.6</v>
      </c>
      <c r="AM202" s="1">
        <v>66.28</v>
      </c>
      <c r="AN202" s="1">
        <v>4736.7</v>
      </c>
      <c r="AO202" s="1">
        <v>15549.3</v>
      </c>
      <c r="AP202" s="1">
        <v>4107.3599999999997</v>
      </c>
      <c r="AR202" s="1">
        <v>223.51</v>
      </c>
      <c r="AS202" s="1">
        <v>585.02</v>
      </c>
      <c r="AT202" s="1">
        <v>59244.46</v>
      </c>
      <c r="AU202" s="1">
        <v>30747.01</v>
      </c>
      <c r="AV202" s="1">
        <v>5783.8</v>
      </c>
    </row>
    <row r="203" spans="1:48" x14ac:dyDescent="0.3">
      <c r="A203" t="s">
        <v>6</v>
      </c>
      <c r="B203" s="13">
        <v>3</v>
      </c>
      <c r="C203" s="33">
        <f t="shared" si="33"/>
        <v>0</v>
      </c>
      <c r="D203" s="19">
        <f t="shared" si="33"/>
        <v>5.5171717804389571E-2</v>
      </c>
      <c r="E203" s="19">
        <f t="shared" si="33"/>
        <v>0.22068687121755828</v>
      </c>
      <c r="F203" s="34">
        <f t="shared" si="33"/>
        <v>31.227192277284498</v>
      </c>
      <c r="G203" s="20">
        <f t="shared" si="33"/>
        <v>0.6068888958482852</v>
      </c>
      <c r="H203" s="17">
        <f>SUM(C203:G203)</f>
        <v>32.109939762154731</v>
      </c>
      <c r="I203" s="17">
        <f>F203/H203*100</f>
        <v>97.250859106529205</v>
      </c>
      <c r="J203" s="17">
        <f>SQRT(I203*(100-I203)/(L203-1))</f>
        <v>0.67835519625077212</v>
      </c>
      <c r="K203" s="18">
        <f>100-I203</f>
        <v>2.7491408934707948</v>
      </c>
      <c r="L203" s="1">
        <f>H192</f>
        <v>582</v>
      </c>
      <c r="M203">
        <v>3</v>
      </c>
      <c r="N203" s="1">
        <v>31013</v>
      </c>
      <c r="O203" s="17">
        <f>N203/N205*100</f>
        <v>32.109939762154731</v>
      </c>
      <c r="P203" s="52">
        <f>((O203*O203*(I203/100)*(K203/100))/(L203-1))</f>
        <v>4.7445310572000174E-2</v>
      </c>
      <c r="R203" s="16" t="s">
        <v>61</v>
      </c>
      <c r="S203" t="s">
        <v>9</v>
      </c>
      <c r="T203" s="1">
        <f>N548</f>
        <v>229.63</v>
      </c>
      <c r="U203" s="1">
        <f>N549</f>
        <v>576.01</v>
      </c>
      <c r="V203" s="1">
        <f>N550</f>
        <v>58871.62</v>
      </c>
      <c r="W203" s="1">
        <f>N551</f>
        <v>31023.45</v>
      </c>
      <c r="X203" s="1">
        <f>N552</f>
        <v>5883.09</v>
      </c>
      <c r="Z203" t="s">
        <v>36</v>
      </c>
      <c r="AA203" s="1">
        <f>N553</f>
        <v>96583.8</v>
      </c>
      <c r="AD203" s="51"/>
      <c r="AE203" s="51"/>
      <c r="AJ203" t="s">
        <v>633</v>
      </c>
      <c r="AK203">
        <v>8</v>
      </c>
      <c r="AL203" s="1">
        <v>183.29</v>
      </c>
      <c r="AM203" s="1">
        <v>107.31</v>
      </c>
      <c r="AN203" s="1">
        <v>4661.3500000000004</v>
      </c>
      <c r="AO203" s="1">
        <v>15543.86</v>
      </c>
      <c r="AP203" s="1">
        <v>4151.43</v>
      </c>
      <c r="AR203" s="1">
        <v>212.53</v>
      </c>
      <c r="AS203" s="1">
        <v>589.61</v>
      </c>
      <c r="AT203" s="1">
        <v>59162.45</v>
      </c>
      <c r="AU203" s="1">
        <v>30705.34</v>
      </c>
      <c r="AV203" s="1">
        <v>5913.87</v>
      </c>
    </row>
    <row r="204" spans="1:48" ht="15.6" x14ac:dyDescent="0.35">
      <c r="A204" t="s">
        <v>7</v>
      </c>
      <c r="B204" s="13">
        <v>4</v>
      </c>
      <c r="C204" s="35">
        <f t="shared" si="33"/>
        <v>0</v>
      </c>
      <c r="D204" s="36">
        <f t="shared" si="33"/>
        <v>1.8747611503796259E-2</v>
      </c>
      <c r="E204" s="21">
        <f t="shared" si="33"/>
        <v>0.16872850353416632</v>
      </c>
      <c r="F204" s="21">
        <f t="shared" si="33"/>
        <v>0.12498407669197505</v>
      </c>
      <c r="G204" s="37">
        <f t="shared" si="33"/>
        <v>5.9929864773802031</v>
      </c>
      <c r="H204" s="17">
        <f>SUM(C204:G204)</f>
        <v>6.3054466691101405</v>
      </c>
      <c r="I204" s="17">
        <f>G204/H204*100</f>
        <v>95.044598612487619</v>
      </c>
      <c r="J204" s="17">
        <f>SQRT(I204*(100-I204)/(L204-1))</f>
        <v>0.68355406992264778</v>
      </c>
      <c r="K204" s="18">
        <f>100-I204</f>
        <v>4.9554013875123815</v>
      </c>
      <c r="L204" s="1">
        <f>H193</f>
        <v>1009</v>
      </c>
      <c r="M204">
        <v>4</v>
      </c>
      <c r="N204" s="1">
        <v>6090.04</v>
      </c>
      <c r="O204" s="17">
        <f>N204/N205*100</f>
        <v>6.3054466691101414</v>
      </c>
      <c r="P204" s="52">
        <f>((O204*O204*(I204/100)*(K204/100))/(L204-1))</f>
        <v>1.8577080394416062E-3</v>
      </c>
      <c r="R204" s="16" t="s">
        <v>318</v>
      </c>
      <c r="S204" t="s">
        <v>63</v>
      </c>
      <c r="T204" s="57">
        <f>$AA203*T196/100</f>
        <v>282.93489690721651</v>
      </c>
      <c r="U204" s="57">
        <f>$AA203*U196/100</f>
        <v>606.91867877172297</v>
      </c>
      <c r="V204" s="57">
        <f>$AA203*V196/100</f>
        <v>59213.106020706677</v>
      </c>
      <c r="W204" s="57">
        <f>$AA203*W196/100</f>
        <v>30283.776684355755</v>
      </c>
      <c r="X204" s="57">
        <f>$AA203*X196/100</f>
        <v>6197.063719258631</v>
      </c>
      <c r="Z204" t="s">
        <v>36</v>
      </c>
      <c r="AA204" s="25">
        <f>SUM(T204:X204)</f>
        <v>96583.8</v>
      </c>
      <c r="AD204" s="51"/>
      <c r="AE204" s="51"/>
      <c r="AJ204" t="s">
        <v>633</v>
      </c>
      <c r="AK204">
        <v>9</v>
      </c>
      <c r="AL204" s="1">
        <v>185.29</v>
      </c>
      <c r="AM204" s="1">
        <v>79.98</v>
      </c>
      <c r="AN204" s="1">
        <v>4543.1000000000004</v>
      </c>
      <c r="AO204" s="1">
        <v>15591.87</v>
      </c>
      <c r="AP204" s="1">
        <v>4247</v>
      </c>
      <c r="AR204" s="1">
        <v>220</v>
      </c>
      <c r="AS204" s="1">
        <v>592.66999999999996</v>
      </c>
      <c r="AT204" s="1">
        <v>58756.31</v>
      </c>
      <c r="AU204" s="1">
        <v>30905.08</v>
      </c>
      <c r="AV204" s="1">
        <v>6109.75</v>
      </c>
    </row>
    <row r="205" spans="1:48" x14ac:dyDescent="0.3">
      <c r="B205" t="s">
        <v>28</v>
      </c>
      <c r="C205" s="17">
        <f t="shared" ref="C205:H205" si="34">SUM(C200:C204)</f>
        <v>0.22554507070543925</v>
      </c>
      <c r="D205" s="17">
        <f t="shared" si="34"/>
        <v>0.78964782375454401</v>
      </c>
      <c r="E205" s="17">
        <f t="shared" si="34"/>
        <v>60.950424486472379</v>
      </c>
      <c r="F205" s="17">
        <f t="shared" si="34"/>
        <v>31.434507245839161</v>
      </c>
      <c r="G205" s="17">
        <f t="shared" si="34"/>
        <v>6.5998753732284881</v>
      </c>
      <c r="H205" s="18">
        <f t="shared" si="34"/>
        <v>100</v>
      </c>
      <c r="I205" s="13" t="s">
        <v>24</v>
      </c>
      <c r="J205" s="12" t="s">
        <v>29</v>
      </c>
      <c r="N205" s="1">
        <f>SUM(N200:N204)</f>
        <v>96583.799999999988</v>
      </c>
      <c r="O205" s="17">
        <f>SUM(O200:O204)</f>
        <v>100</v>
      </c>
      <c r="R205" s="66"/>
      <c r="S205" s="66" t="s">
        <v>62</v>
      </c>
      <c r="T205" s="67">
        <f>$AA203*T197/100</f>
        <v>53.259082634113341</v>
      </c>
      <c r="U205" s="67">
        <f>$AA203*U197/100</f>
        <v>83.595750425814828</v>
      </c>
      <c r="V205" s="67">
        <f>$AA203*V197/100</f>
        <v>160.74009917002019</v>
      </c>
      <c r="W205" s="67">
        <f>$AA203*W197/100</f>
        <v>238.18536409276135</v>
      </c>
      <c r="X205" s="67">
        <f>$AA203*X197/100</f>
        <v>195.39873312930567</v>
      </c>
      <c r="AA205" s="1"/>
      <c r="AD205" s="51"/>
      <c r="AE205" s="51"/>
      <c r="AJ205" t="s">
        <v>633</v>
      </c>
      <c r="AK205">
        <v>10</v>
      </c>
      <c r="AL205" s="1">
        <v>185</v>
      </c>
      <c r="AM205" s="1">
        <v>75.66</v>
      </c>
      <c r="AN205" s="1">
        <v>4616.1099999999997</v>
      </c>
      <c r="AO205" s="1">
        <v>15471.87</v>
      </c>
      <c r="AP205" s="1">
        <v>4298.6099999999997</v>
      </c>
      <c r="AR205" s="1">
        <v>215.68</v>
      </c>
      <c r="AS205" s="1">
        <v>580.15</v>
      </c>
      <c r="AT205" s="1">
        <v>59110.87</v>
      </c>
      <c r="AU205" s="1">
        <v>30488.67</v>
      </c>
      <c r="AV205" s="1">
        <v>6188.43</v>
      </c>
    </row>
    <row r="206" spans="1:48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0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0.10225400277648584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0.1648313169351226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0.23430436873515589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0.18629580685287528</v>
      </c>
      <c r="H206" s="1"/>
      <c r="I206" s="14">
        <f>(C200+D201+E202+F203+G204)/H205</f>
        <v>0.98592326947026632</v>
      </c>
      <c r="J206" s="53">
        <f>SQRT(SUM(P200:P204))/100</f>
        <v>2.5175790226657844E-3</v>
      </c>
      <c r="M206" s="1"/>
      <c r="N206" s="9"/>
      <c r="R206" t="s">
        <v>107</v>
      </c>
      <c r="S206" t="s">
        <v>28</v>
      </c>
      <c r="T206" s="57">
        <f>C582</f>
        <v>0.28373338085647526</v>
      </c>
      <c r="U206" s="57">
        <f t="shared" ref="U206:X209" si="35">D582</f>
        <v>0.69657625187154137</v>
      </c>
      <c r="V206" s="57">
        <f t="shared" si="35"/>
        <v>61.332215802207713</v>
      </c>
      <c r="W206" s="57">
        <f t="shared" si="35"/>
        <v>31.512044534985723</v>
      </c>
      <c r="X206" s="57">
        <f>G582</f>
        <v>6.1754300300785578</v>
      </c>
      <c r="Y206" s="60"/>
      <c r="Z206" s="74"/>
      <c r="AA206" s="12"/>
      <c r="AD206" s="51"/>
      <c r="AE206" s="51"/>
      <c r="AJ206" t="s">
        <v>633</v>
      </c>
      <c r="AK206">
        <v>11</v>
      </c>
      <c r="AL206" s="1">
        <v>180.56</v>
      </c>
      <c r="AM206" s="1">
        <v>105.58</v>
      </c>
      <c r="AN206" s="1">
        <v>4565.21</v>
      </c>
      <c r="AO206" s="1">
        <v>15590.59</v>
      </c>
      <c r="AP206" s="1">
        <v>4205.3100000000004</v>
      </c>
      <c r="AR206" s="1">
        <v>207.12</v>
      </c>
      <c r="AS206" s="1">
        <v>643.16999999999996</v>
      </c>
      <c r="AT206" s="1">
        <v>58800.76</v>
      </c>
      <c r="AU206" s="1">
        <v>30850.63</v>
      </c>
      <c r="AV206" s="1">
        <v>6082.12</v>
      </c>
    </row>
    <row r="207" spans="1:48" x14ac:dyDescent="0.3">
      <c r="B207" s="1" t="s">
        <v>30</v>
      </c>
      <c r="C207" s="17">
        <f>C200/C205*100</f>
        <v>100</v>
      </c>
      <c r="D207" s="17">
        <f>D201/D205*100</f>
        <v>80.212669943425425</v>
      </c>
      <c r="E207" s="17">
        <f>E202/E205*100</f>
        <v>99.282664606385822</v>
      </c>
      <c r="F207" s="17">
        <f>F203/F205*100</f>
        <v>99.340486024058478</v>
      </c>
      <c r="G207" s="17">
        <f>G204/G205*100</f>
        <v>90.804540062831364</v>
      </c>
      <c r="H207" s="1"/>
      <c r="S207" s="66" t="s">
        <v>39</v>
      </c>
      <c r="T207" s="67">
        <f>C583</f>
        <v>5.5158995020195646E-2</v>
      </c>
      <c r="U207" s="67">
        <f t="shared" si="35"/>
        <v>2.9724795027845287E-2</v>
      </c>
      <c r="V207" s="67">
        <f t="shared" si="35"/>
        <v>0.18380879388158367</v>
      </c>
      <c r="W207" s="67">
        <f t="shared" si="35"/>
        <v>0.25457528243588151</v>
      </c>
      <c r="X207" s="67">
        <f t="shared" si="35"/>
        <v>0.17939599800133377</v>
      </c>
      <c r="AD207" s="51"/>
      <c r="AE207" s="51"/>
      <c r="AJ207" t="s">
        <v>633</v>
      </c>
      <c r="AK207">
        <v>12</v>
      </c>
      <c r="AL207" s="1">
        <v>183.06</v>
      </c>
      <c r="AM207" s="1">
        <v>79.91</v>
      </c>
      <c r="AN207" s="1">
        <v>4428.7700000000004</v>
      </c>
      <c r="AO207" s="1">
        <v>15731.51</v>
      </c>
      <c r="AP207" s="1">
        <v>4224</v>
      </c>
      <c r="AR207" s="1">
        <v>213.34</v>
      </c>
      <c r="AS207" s="1">
        <v>581.86</v>
      </c>
      <c r="AT207" s="1">
        <v>58144.84</v>
      </c>
      <c r="AU207" s="1">
        <v>31510.15</v>
      </c>
      <c r="AV207" s="1">
        <v>6133.61</v>
      </c>
    </row>
    <row r="208" spans="1:48" x14ac:dyDescent="0.3">
      <c r="B208" s="16" t="s">
        <v>39</v>
      </c>
      <c r="C208" s="18">
        <f>SQRT((C211+C212)/(C205*C205))</f>
        <v>0</v>
      </c>
      <c r="D208" s="18">
        <f>SQRT((D211+D212)/(D205*D205))</f>
        <v>11.683737655358629</v>
      </c>
      <c r="E208" s="18">
        <f>SQRT((E211+E212)/(E205*E205))</f>
        <v>0.19101611594706636</v>
      </c>
      <c r="F208" s="18">
        <f>SQRT((F211+F212)/(F205*F205))</f>
        <v>0.27827713016664923</v>
      </c>
      <c r="G208" s="18">
        <f>SQRT((G211+G212)/(G205*G205))</f>
        <v>2.5670567443861145</v>
      </c>
      <c r="H208" s="1"/>
      <c r="S208" t="s">
        <v>30</v>
      </c>
      <c r="T208" s="57">
        <f>C584</f>
        <v>80.542845025780679</v>
      </c>
      <c r="U208" s="57">
        <f t="shared" si="35"/>
        <v>97.429024090976043</v>
      </c>
      <c r="V208" s="57">
        <f t="shared" si="35"/>
        <v>98.983666193700415</v>
      </c>
      <c r="W208" s="57">
        <f t="shared" si="35"/>
        <v>98.983233584011145</v>
      </c>
      <c r="X208" s="57">
        <f t="shared" si="35"/>
        <v>91.0603078072388</v>
      </c>
      <c r="AD208" s="51"/>
      <c r="AE208" s="51"/>
      <c r="AJ208" t="s">
        <v>633</v>
      </c>
      <c r="AK208">
        <v>13</v>
      </c>
      <c r="AL208" s="1">
        <v>181.74</v>
      </c>
      <c r="AM208" s="1">
        <v>109.41</v>
      </c>
      <c r="AN208" s="1">
        <v>4732.3999999999996</v>
      </c>
      <c r="AO208" s="1">
        <v>15600.39</v>
      </c>
      <c r="AP208" s="1">
        <v>4023.31</v>
      </c>
      <c r="AR208" s="1">
        <v>200.01</v>
      </c>
      <c r="AS208" s="1">
        <v>623.54</v>
      </c>
      <c r="AT208" s="1">
        <v>59390.28</v>
      </c>
      <c r="AU208" s="1">
        <v>30649.9</v>
      </c>
      <c r="AV208" s="1">
        <v>5720.07</v>
      </c>
    </row>
    <row r="209" spans="1:48" x14ac:dyDescent="0.3">
      <c r="B209" s="1" t="s">
        <v>37</v>
      </c>
      <c r="C209" s="18">
        <f>100-C207</f>
        <v>0</v>
      </c>
      <c r="D209" s="18">
        <f>100-D207</f>
        <v>19.787330056574575</v>
      </c>
      <c r="E209" s="18">
        <f>100-E207</f>
        <v>0.71733539361417797</v>
      </c>
      <c r="F209" s="18">
        <f>100-F207</f>
        <v>0.65951397594152184</v>
      </c>
      <c r="G209" s="18">
        <f>100-G207</f>
        <v>9.1954599371686356</v>
      </c>
      <c r="S209" s="66" t="s">
        <v>39</v>
      </c>
      <c r="T209" s="67">
        <f>C585</f>
        <v>15.671346177311451</v>
      </c>
      <c r="U209" s="67">
        <f t="shared" si="35"/>
        <v>1.778947965643632</v>
      </c>
      <c r="V209" s="67">
        <f t="shared" si="35"/>
        <v>0.2303298332451082</v>
      </c>
      <c r="W209" s="67">
        <f t="shared" si="35"/>
        <v>0.3854919092259031</v>
      </c>
      <c r="X209" s="67">
        <f t="shared" si="35"/>
        <v>2.6441882279177396</v>
      </c>
      <c r="AD209" s="51"/>
      <c r="AE209" s="51"/>
      <c r="AJ209" t="s">
        <v>633</v>
      </c>
      <c r="AK209">
        <v>14</v>
      </c>
      <c r="AL209" s="1">
        <v>183.54</v>
      </c>
      <c r="AM209" s="1">
        <v>80.11</v>
      </c>
      <c r="AN209" s="1">
        <v>4602.68</v>
      </c>
      <c r="AO209" s="1">
        <v>15595.92</v>
      </c>
      <c r="AP209" s="1">
        <v>4184.99</v>
      </c>
      <c r="AR209" s="1">
        <v>203.43</v>
      </c>
      <c r="AS209" s="1">
        <v>587.17999999999995</v>
      </c>
      <c r="AT209" s="1">
        <v>58910.77</v>
      </c>
      <c r="AU209" s="1">
        <v>30901.75</v>
      </c>
      <c r="AV209" s="1">
        <v>5980.67</v>
      </c>
    </row>
    <row r="210" spans="1:48" ht="15.6" x14ac:dyDescent="0.35">
      <c r="B210" s="1" t="s">
        <v>25</v>
      </c>
      <c r="C210" s="1">
        <f>C194</f>
        <v>451</v>
      </c>
      <c r="D210" s="1">
        <f>D194</f>
        <v>58</v>
      </c>
      <c r="E210" s="1">
        <f>E194</f>
        <v>770</v>
      </c>
      <c r="F210" s="1">
        <f>F194</f>
        <v>587</v>
      </c>
      <c r="G210" s="1">
        <f>G194</f>
        <v>970</v>
      </c>
      <c r="S210" s="15" t="s">
        <v>31</v>
      </c>
      <c r="T210" s="71">
        <f>I577</f>
        <v>100</v>
      </c>
      <c r="U210" s="71">
        <f>I578</f>
        <v>91.228070175438589</v>
      </c>
      <c r="V210" s="71">
        <f>I579</f>
        <v>99.728629579375834</v>
      </c>
      <c r="W210" s="71">
        <f>I580</f>
        <v>97.079037800687288</v>
      </c>
      <c r="X210" s="71">
        <f>I581</f>
        <v>93.359762140733395</v>
      </c>
      <c r="AD210" s="51"/>
      <c r="AE210" s="51"/>
      <c r="AJ210" t="s">
        <v>633</v>
      </c>
      <c r="AK210">
        <v>15</v>
      </c>
      <c r="AL210" s="1">
        <v>183.29</v>
      </c>
      <c r="AM210" s="1">
        <v>78.84</v>
      </c>
      <c r="AN210" s="1">
        <v>4596.3100000000004</v>
      </c>
      <c r="AO210" s="1">
        <v>15458.09</v>
      </c>
      <c r="AP210" s="1">
        <v>4330.71</v>
      </c>
      <c r="AR210" s="1">
        <v>213.16</v>
      </c>
      <c r="AS210" s="1">
        <v>555.13</v>
      </c>
      <c r="AT210" s="1">
        <v>58845.06</v>
      </c>
      <c r="AU210" s="1">
        <v>30788.33</v>
      </c>
      <c r="AV210" s="1">
        <v>6182.13</v>
      </c>
    </row>
    <row r="211" spans="1:48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21.170120064022846</v>
      </c>
      <c r="E211" s="18">
        <f>(O202*O202*(100-E207)*(100-E207)*(I202)*(100-I202))/((L202-1)*100)</f>
        <v>0.69664204087729464</v>
      </c>
      <c r="F211" s="18">
        <f>(O203*O203*(100-F207)*(100-F207)*(I203)*(100-I203))/((L203-1)*100)</f>
        <v>2.0636749870297431</v>
      </c>
      <c r="G211" s="18">
        <f>(O204*O204*(100-G207)*(100-G207)*(I204)*(100-I204))/((L204-1)*100)</f>
        <v>15.708125910325878</v>
      </c>
      <c r="S211" s="75" t="s">
        <v>39</v>
      </c>
      <c r="T211" s="76">
        <f>J577</f>
        <v>0</v>
      </c>
      <c r="U211" s="76">
        <f>J578</f>
        <v>3.7802263481198901</v>
      </c>
      <c r="V211" s="76">
        <f>J579</f>
        <v>0.1917574617235713</v>
      </c>
      <c r="W211" s="76">
        <f>J580</f>
        <v>0.69861456179910675</v>
      </c>
      <c r="X211" s="76">
        <f>J581</f>
        <v>0.78422633185985546</v>
      </c>
      <c r="AD211" s="51"/>
      <c r="AE211" s="51"/>
      <c r="AJ211" t="s">
        <v>633</v>
      </c>
      <c r="AK211">
        <v>16</v>
      </c>
      <c r="AL211" s="1">
        <v>180.74</v>
      </c>
      <c r="AM211" s="1">
        <v>163.07</v>
      </c>
      <c r="AN211" s="1">
        <v>4625.3</v>
      </c>
      <c r="AO211" s="1">
        <v>15476.53</v>
      </c>
      <c r="AP211" s="1">
        <v>4201.6099999999997</v>
      </c>
      <c r="AR211" s="1">
        <v>197.94</v>
      </c>
      <c r="AS211" s="1">
        <v>840.21</v>
      </c>
      <c r="AT211" s="1">
        <v>58949.919999999998</v>
      </c>
      <c r="AU211" s="1">
        <v>30579.77</v>
      </c>
      <c r="AV211" s="1">
        <v>6015.95</v>
      </c>
    </row>
    <row r="212" spans="1:48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63.949657350953977</v>
      </c>
      <c r="E212" s="18">
        <f>E207*E207*(SUM((H200*E200*(1-E189/H189))/(H189-1),(H201*E201*(1-E190/H190))/(H190-1), (H203*E203*(1-E192/H192))/(H192-1),(H204*E204*(1-E193/H193))/(H193-1)))</f>
        <v>134.85147508107042</v>
      </c>
      <c r="F212" s="18">
        <f>F207*F207*(SUM((H200*F200*(1-F189/H189))/(H189-1),(H201*F201*(1-F190/H190))/(H190-1), (H202*F202*(1-F191/H191))/(H191-1),(H204*F204*(1-F193/H193))/(H193-1)))</f>
        <v>74.455159370727429</v>
      </c>
      <c r="G212" s="18">
        <f>G207*G207*(SUM((H200*G200*(1-G189/H189))/(H189-1),(H201*G201*(1-G190/H190))/(H190-1), (H202*G202*(1-G191/H191))/(H191-1),(H203*G203*(1-G192/H192))/(H192-1)))</f>
        <v>271.33186464660753</v>
      </c>
      <c r="S212" s="66" t="s">
        <v>51</v>
      </c>
      <c r="T212" s="67">
        <f>N566*100</f>
        <v>99.889258028792909</v>
      </c>
      <c r="U212" s="67">
        <f>N567*100</f>
        <v>92.857142857142847</v>
      </c>
      <c r="V212" s="67">
        <f>N568*100</f>
        <v>96.646942800788963</v>
      </c>
      <c r="W212" s="67">
        <f>N569*100</f>
        <v>96.170212765957444</v>
      </c>
      <c r="X212" s="67">
        <f>N570*100</f>
        <v>96.073431922488524</v>
      </c>
      <c r="AD212" s="51"/>
      <c r="AE212" s="51"/>
      <c r="AJ212" t="s">
        <v>633</v>
      </c>
      <c r="AK212">
        <v>17</v>
      </c>
      <c r="AL212" s="1">
        <v>189.58</v>
      </c>
      <c r="AM212" s="1">
        <v>106.7</v>
      </c>
      <c r="AN212" s="1">
        <v>4574.71</v>
      </c>
      <c r="AO212" s="1">
        <v>15742.23</v>
      </c>
      <c r="AP212" s="1">
        <v>4034.03</v>
      </c>
      <c r="AR212" s="1">
        <v>216.67</v>
      </c>
      <c r="AS212" s="1">
        <v>683.5</v>
      </c>
      <c r="AT212" s="1">
        <v>58525.7</v>
      </c>
      <c r="AU212" s="1">
        <v>31477.3</v>
      </c>
      <c r="AV212" s="1">
        <v>5680.64</v>
      </c>
    </row>
    <row r="213" spans="1:48" x14ac:dyDescent="0.3">
      <c r="R213" s="16" t="s">
        <v>61</v>
      </c>
      <c r="S213" t="s">
        <v>9</v>
      </c>
      <c r="T213" s="1">
        <f>N577</f>
        <v>220.72</v>
      </c>
      <c r="U213" s="1">
        <f>N578</f>
        <v>718.51</v>
      </c>
      <c r="V213" s="1">
        <f>N579</f>
        <v>58794.49</v>
      </c>
      <c r="W213" s="1">
        <f>N580</f>
        <v>31032.52</v>
      </c>
      <c r="X213" s="1">
        <f>N581</f>
        <v>5817.56</v>
      </c>
      <c r="Z213" t="s">
        <v>36</v>
      </c>
      <c r="AA213" s="1">
        <f>N582</f>
        <v>96583.8</v>
      </c>
      <c r="AD213" s="51"/>
      <c r="AE213" s="51"/>
      <c r="AJ213" t="s">
        <v>633</v>
      </c>
      <c r="AK213">
        <v>18</v>
      </c>
      <c r="AL213" s="1">
        <v>190.22</v>
      </c>
      <c r="AM213" s="1">
        <v>67.73</v>
      </c>
      <c r="AN213" s="1">
        <v>4609.49</v>
      </c>
      <c r="AO213" s="1">
        <v>15688.08</v>
      </c>
      <c r="AP213" s="1">
        <v>4091.72</v>
      </c>
      <c r="AR213" s="1">
        <v>229.63</v>
      </c>
      <c r="AS213" s="1">
        <v>576.01</v>
      </c>
      <c r="AT213" s="1">
        <v>58871.62</v>
      </c>
      <c r="AU213" s="1">
        <v>31023.45</v>
      </c>
      <c r="AV213" s="1">
        <v>5883.09</v>
      </c>
    </row>
    <row r="214" spans="1:48" ht="15.6" x14ac:dyDescent="0.35">
      <c r="R214" s="16" t="s">
        <v>318</v>
      </c>
      <c r="S214" t="s">
        <v>63</v>
      </c>
      <c r="T214" s="57">
        <f>$AA213*T206/100</f>
        <v>274.04048109965635</v>
      </c>
      <c r="U214" s="57">
        <f>$AA213*U206/100</f>
        <v>672.77981395510574</v>
      </c>
      <c r="V214" s="57">
        <f>$AA213*V206/100</f>
        <v>59236.984645972698</v>
      </c>
      <c r="W214" s="57">
        <f>$AA213*W206/100</f>
        <v>30435.530069581539</v>
      </c>
      <c r="X214" s="57">
        <f>$AA213*X206/100</f>
        <v>5964.4649893910146</v>
      </c>
      <c r="Z214" t="s">
        <v>36</v>
      </c>
      <c r="AA214" s="25">
        <f>SUM(T214:X214)</f>
        <v>96583.800000000017</v>
      </c>
      <c r="AD214" s="51"/>
      <c r="AE214" s="51"/>
      <c r="AJ214" t="s">
        <v>633</v>
      </c>
      <c r="AK214">
        <v>19</v>
      </c>
      <c r="AL214" s="1">
        <v>190.92</v>
      </c>
      <c r="AM214" s="1">
        <v>127.25</v>
      </c>
      <c r="AN214" s="1">
        <v>4647.07</v>
      </c>
      <c r="AO214" s="1">
        <v>15547.09</v>
      </c>
      <c r="AP214" s="1">
        <v>4134.91</v>
      </c>
      <c r="AR214" s="1">
        <v>220.72</v>
      </c>
      <c r="AS214" s="1">
        <v>718.51</v>
      </c>
      <c r="AT214" s="1">
        <v>58794.49</v>
      </c>
      <c r="AU214" s="1">
        <v>31032.52</v>
      </c>
      <c r="AV214" s="1">
        <v>5817.56</v>
      </c>
    </row>
    <row r="215" spans="1:48" x14ac:dyDescent="0.3">
      <c r="A215" s="348" t="s">
        <v>373</v>
      </c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 t="s">
        <v>80</v>
      </c>
      <c r="M215" s="348"/>
      <c r="N215" s="348"/>
      <c r="O215" s="348"/>
      <c r="P215" s="348"/>
      <c r="R215" s="66"/>
      <c r="S215" s="66" t="s">
        <v>62</v>
      </c>
      <c r="T215" s="67">
        <f>$AA213*T207/100</f>
        <v>53.274653432315723</v>
      </c>
      <c r="U215" s="67">
        <f>$AA213*U207/100</f>
        <v>28.709336580104036</v>
      </c>
      <c r="V215" s="67">
        <f>$AA213*V207/100</f>
        <v>177.529517865001</v>
      </c>
      <c r="W215" s="67">
        <f>$AA213*W207/100</f>
        <v>245.87848163730695</v>
      </c>
      <c r="X215" s="67">
        <f>$AA213*X207/100</f>
        <v>173.2674719176122</v>
      </c>
      <c r="AA215" s="1"/>
      <c r="AD215" s="51"/>
      <c r="AE215" s="51"/>
      <c r="AQ215" t="s">
        <v>644</v>
      </c>
    </row>
    <row r="216" spans="1:48" x14ac:dyDescent="0.3">
      <c r="A216" t="s">
        <v>315</v>
      </c>
      <c r="B216" t="s">
        <v>21</v>
      </c>
      <c r="I216" s="1" t="s">
        <v>53</v>
      </c>
      <c r="O216" s="142"/>
      <c r="P216" s="142"/>
      <c r="AJ216" t="s">
        <v>644</v>
      </c>
      <c r="AK216">
        <v>0</v>
      </c>
      <c r="AL216" s="1">
        <v>0.84</v>
      </c>
      <c r="AM216" s="1">
        <v>19.68</v>
      </c>
      <c r="AN216" s="1">
        <v>1226.5899999999999</v>
      </c>
      <c r="AO216" s="1">
        <v>198.83</v>
      </c>
      <c r="AP216" s="1">
        <v>16.28</v>
      </c>
      <c r="AR216" s="1">
        <v>1.53</v>
      </c>
      <c r="AS216" s="1">
        <v>307.63</v>
      </c>
      <c r="AT216" s="1">
        <v>5320</v>
      </c>
      <c r="AU216" s="1">
        <v>454.88</v>
      </c>
      <c r="AV216" s="1">
        <v>140.22999999999999</v>
      </c>
    </row>
    <row r="217" spans="1:48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51</v>
      </c>
      <c r="O217" s="13"/>
      <c r="P217" s="13"/>
      <c r="AJ217" t="s">
        <v>644</v>
      </c>
      <c r="AK217">
        <v>1</v>
      </c>
      <c r="AL217" s="1">
        <v>0.89</v>
      </c>
      <c r="AM217" s="1">
        <v>24.8</v>
      </c>
      <c r="AN217" s="1">
        <v>1222.94</v>
      </c>
      <c r="AO217" s="1">
        <v>195.53</v>
      </c>
      <c r="AP217" s="1">
        <v>18.05</v>
      </c>
      <c r="AR217" s="1">
        <v>1.71</v>
      </c>
      <c r="AS217" s="1">
        <v>354.26</v>
      </c>
      <c r="AT217" s="1">
        <v>5271.85</v>
      </c>
      <c r="AU217" s="1">
        <v>460.28</v>
      </c>
      <c r="AV217" s="1">
        <v>136.18</v>
      </c>
    </row>
    <row r="218" spans="1:48" x14ac:dyDescent="0.3">
      <c r="A218" t="s">
        <v>3</v>
      </c>
      <c r="B218" s="13">
        <v>0</v>
      </c>
      <c r="C218" s="26">
        <v>451</v>
      </c>
      <c r="D218" s="3">
        <v>0</v>
      </c>
      <c r="E218" s="3">
        <v>0</v>
      </c>
      <c r="F218" s="3">
        <v>0</v>
      </c>
      <c r="G218" s="4">
        <v>0</v>
      </c>
      <c r="H218" s="1">
        <f>SUM(C218:G218)</f>
        <v>451</v>
      </c>
      <c r="I218" s="10">
        <f>C218/H218</f>
        <v>1</v>
      </c>
      <c r="J218" s="11">
        <f>1-I218</f>
        <v>0</v>
      </c>
      <c r="K218">
        <f>H218-C223</f>
        <v>-1</v>
      </c>
      <c r="N218" s="10">
        <f>2*(C224*I218)/(C224+I218)</f>
        <v>0.99889258028792915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644</v>
      </c>
      <c r="AK218">
        <v>2</v>
      </c>
      <c r="AL218" s="1">
        <v>0.84</v>
      </c>
      <c r="AM218" s="1">
        <v>21.02</v>
      </c>
      <c r="AN218" s="1">
        <v>1233.83</v>
      </c>
      <c r="AO218" s="1">
        <v>189.16</v>
      </c>
      <c r="AP218" s="1">
        <v>17.37</v>
      </c>
      <c r="AR218" s="1">
        <v>1.53</v>
      </c>
      <c r="AS218" s="1">
        <v>292.14999999999998</v>
      </c>
      <c r="AT218" s="1">
        <v>5348.98</v>
      </c>
      <c r="AU218" s="1">
        <v>446.33</v>
      </c>
      <c r="AV218" s="1">
        <v>135.28</v>
      </c>
    </row>
    <row r="219" spans="1:48" x14ac:dyDescent="0.3">
      <c r="A219" t="s">
        <v>4</v>
      </c>
      <c r="B219" s="13">
        <v>1</v>
      </c>
      <c r="C219" s="5">
        <v>0</v>
      </c>
      <c r="D219" s="27">
        <v>53</v>
      </c>
      <c r="E219" s="1">
        <v>4</v>
      </c>
      <c r="F219" s="1">
        <v>0</v>
      </c>
      <c r="G219" s="6">
        <v>0</v>
      </c>
      <c r="H219" s="1">
        <f>SUM(C219:G219)</f>
        <v>57</v>
      </c>
      <c r="I219" s="10">
        <f>D219/H219</f>
        <v>0.92982456140350878</v>
      </c>
      <c r="J219" s="11">
        <f>1-I219</f>
        <v>7.0175438596491224E-2</v>
      </c>
      <c r="K219">
        <f>H219-D223</f>
        <v>3</v>
      </c>
      <c r="N219" s="10">
        <f>2*(D224*I219)/(D224+I219)</f>
        <v>0.95495495495495497</v>
      </c>
      <c r="O219" s="1"/>
      <c r="P219" s="1"/>
      <c r="R219" t="s">
        <v>348</v>
      </c>
      <c r="S219" t="s">
        <v>28</v>
      </c>
      <c r="T219" s="57">
        <f>AVERAGE(T16,T26,T36,T46,T56,T66,T76,T86,T96,T106,T116,T126,T136,T146,T156,T166,T176,T186,T196,T206)</f>
        <v>0.23954182915786637</v>
      </c>
      <c r="U219" s="57">
        <f>AVERAGE(U16,U26,U36,U46,U56,U66,U76,U86,U96,U106,U116,U126,U136,U146,U156,U166,U176,U186,U196,U206)</f>
        <v>0.6298227098862389</v>
      </c>
      <c r="V219" s="57">
        <f>AVERAGE(V16,V26,V36,V46,V56,V66,V76,V86,V96,V106,V116,V126,V136,V146,V156,V166,V176,V186,V196,V206)</f>
        <v>61.357766354755597</v>
      </c>
      <c r="W219" s="57">
        <f>AVERAGE(W16,W26,W36,W46,W56,W66,W76,W86,W96,W106,W116,W126,W136,W146,W156,W166,W176,W186,W196,W206)</f>
        <v>31.385982787198845</v>
      </c>
      <c r="X219" s="57">
        <f>AVERAGE(X16,X26,X36,X46,X56,X66,X76,X86,X96,X106,X116,X126,X136,X146,X156,X166,X176,X186,X196,X206)</f>
        <v>6.38688631900144</v>
      </c>
      <c r="AJ219" t="s">
        <v>644</v>
      </c>
      <c r="AK219">
        <v>3</v>
      </c>
      <c r="AL219" s="1">
        <v>1.03</v>
      </c>
      <c r="AM219" s="1">
        <v>18.649999999999999</v>
      </c>
      <c r="AN219" s="1">
        <v>1228.07</v>
      </c>
      <c r="AO219" s="1">
        <v>194.46</v>
      </c>
      <c r="AP219" s="1">
        <v>20.010000000000002</v>
      </c>
      <c r="AR219" s="1">
        <v>1.98</v>
      </c>
      <c r="AS219" s="1">
        <v>278.38</v>
      </c>
      <c r="AT219" s="1">
        <v>5344.75</v>
      </c>
      <c r="AU219" s="1">
        <v>455.06</v>
      </c>
      <c r="AV219" s="1">
        <v>144.1</v>
      </c>
    </row>
    <row r="220" spans="1:48" x14ac:dyDescent="0.3">
      <c r="A220" t="s">
        <v>5</v>
      </c>
      <c r="B220" s="13">
        <v>2</v>
      </c>
      <c r="C220" s="5">
        <v>0</v>
      </c>
      <c r="D220" s="1">
        <v>0</v>
      </c>
      <c r="E220" s="27">
        <v>736</v>
      </c>
      <c r="F220" s="1">
        <v>1</v>
      </c>
      <c r="G220" s="6">
        <v>0</v>
      </c>
      <c r="H220" s="1">
        <f>SUM(C220:G220)</f>
        <v>737</v>
      </c>
      <c r="I220" s="10">
        <f>E220/H220</f>
        <v>0.99864314789687925</v>
      </c>
      <c r="J220" s="11">
        <f>1-I220</f>
        <v>1.3568521031207537E-3</v>
      </c>
      <c r="K220">
        <f>H220-E223</f>
        <v>-52</v>
      </c>
      <c r="N220" s="10">
        <f>2*(E224*I220)/(E224+I220)</f>
        <v>0.96461336828309308</v>
      </c>
      <c r="O220" s="1"/>
      <c r="P220" s="1"/>
      <c r="S220" s="66" t="s">
        <v>39</v>
      </c>
      <c r="T220" s="67">
        <f t="shared" ref="T220:X228" si="36">AVERAGE(T17,T27,T37,T47,T57,T67,T77,T87,T97,T107,T117,T127,T137,T147,T157,T167,T177,T187,T197,T207)</f>
        <v>1.9169028727240106E-2</v>
      </c>
      <c r="U220" s="67">
        <f t="shared" si="36"/>
        <v>4.3968206305663789E-2</v>
      </c>
      <c r="V220" s="67">
        <f t="shared" si="36"/>
        <v>0.157365413975078</v>
      </c>
      <c r="W220" s="67">
        <f t="shared" si="36"/>
        <v>0.23285259520241969</v>
      </c>
      <c r="X220" s="67">
        <f t="shared" si="36"/>
        <v>0.18325710481843599</v>
      </c>
      <c r="AC220" t="s">
        <v>118</v>
      </c>
      <c r="AD220" t="s">
        <v>157</v>
      </c>
      <c r="AE220" t="s">
        <v>119</v>
      </c>
      <c r="AJ220" t="s">
        <v>644</v>
      </c>
      <c r="AK220">
        <v>4</v>
      </c>
      <c r="AL220" s="1">
        <v>0.89</v>
      </c>
      <c r="AM220" s="1">
        <v>20.51</v>
      </c>
      <c r="AN220" s="1">
        <v>1225.8399999999999</v>
      </c>
      <c r="AO220" s="1">
        <v>197.78</v>
      </c>
      <c r="AP220" s="1">
        <v>17.18</v>
      </c>
      <c r="AR220" s="1">
        <v>1.8</v>
      </c>
      <c r="AS220" s="1">
        <v>335.35</v>
      </c>
      <c r="AT220" s="1">
        <v>5285.98</v>
      </c>
      <c r="AU220" s="1">
        <v>457.94</v>
      </c>
      <c r="AV220" s="1">
        <v>143.19999999999999</v>
      </c>
    </row>
    <row r="221" spans="1:48" x14ac:dyDescent="0.3">
      <c r="A221" t="s">
        <v>6</v>
      </c>
      <c r="B221" s="13">
        <v>3</v>
      </c>
      <c r="C221" s="5">
        <v>1</v>
      </c>
      <c r="D221" s="1">
        <v>1</v>
      </c>
      <c r="E221" s="1">
        <v>5</v>
      </c>
      <c r="F221" s="27">
        <v>567</v>
      </c>
      <c r="G221" s="6">
        <v>8</v>
      </c>
      <c r="H221" s="1">
        <f>SUM(C221:G221)</f>
        <v>582</v>
      </c>
      <c r="I221" s="10">
        <f>F221/H221</f>
        <v>0.97422680412371132</v>
      </c>
      <c r="J221" s="11">
        <f>1-I221</f>
        <v>2.5773195876288679E-2</v>
      </c>
      <c r="K221">
        <f>H221-F223</f>
        <v>-14</v>
      </c>
      <c r="N221" s="10">
        <f>2*(F224*I221)/(F224+I221)</f>
        <v>0.9626485568760611</v>
      </c>
      <c r="O221" s="1"/>
      <c r="P221" s="1"/>
      <c r="S221" t="s">
        <v>30</v>
      </c>
      <c r="T221" s="57">
        <f t="shared" si="36"/>
        <v>93.191443802857094</v>
      </c>
      <c r="U221" s="57">
        <f t="shared" si="36"/>
        <v>93.826694214555374</v>
      </c>
      <c r="V221" s="57">
        <f t="shared" si="36"/>
        <v>99.139027239373092</v>
      </c>
      <c r="W221" s="57">
        <f t="shared" si="36"/>
        <v>99.22700106337463</v>
      </c>
      <c r="X221" s="57">
        <f t="shared" si="36"/>
        <v>90.871941604009081</v>
      </c>
      <c r="AB221">
        <v>0</v>
      </c>
      <c r="AC221">
        <v>31</v>
      </c>
      <c r="AD221">
        <v>26</v>
      </c>
      <c r="AE221">
        <v>15</v>
      </c>
      <c r="AJ221" t="s">
        <v>644</v>
      </c>
      <c r="AK221">
        <v>5</v>
      </c>
      <c r="AL221" s="1">
        <v>0.88</v>
      </c>
      <c r="AM221" s="1">
        <v>22.06</v>
      </c>
      <c r="AN221" s="1">
        <v>1219.25</v>
      </c>
      <c r="AO221" s="1">
        <v>204.36</v>
      </c>
      <c r="AP221" s="1">
        <v>15.66</v>
      </c>
      <c r="AR221" s="1">
        <v>1.71</v>
      </c>
      <c r="AS221" s="1">
        <v>357.86</v>
      </c>
      <c r="AT221" s="1">
        <v>5263.84</v>
      </c>
      <c r="AU221" s="1">
        <v>473.06</v>
      </c>
      <c r="AV221" s="1">
        <v>127.81</v>
      </c>
    </row>
    <row r="222" spans="1:48" x14ac:dyDescent="0.3">
      <c r="A222" t="s">
        <v>7</v>
      </c>
      <c r="B222" s="13">
        <v>4</v>
      </c>
      <c r="C222" s="7">
        <v>0</v>
      </c>
      <c r="D222" s="8">
        <v>0</v>
      </c>
      <c r="E222" s="8">
        <v>44</v>
      </c>
      <c r="F222" s="8">
        <v>28</v>
      </c>
      <c r="G222" s="28">
        <v>937</v>
      </c>
      <c r="H222" s="1">
        <f>SUM(C222:G222)</f>
        <v>1009</v>
      </c>
      <c r="I222" s="10">
        <f>G222/H222</f>
        <v>0.92864222001982155</v>
      </c>
      <c r="J222" s="11">
        <f>1-I222</f>
        <v>7.1357779980178448E-2</v>
      </c>
      <c r="K222">
        <f>H222-G223</f>
        <v>64</v>
      </c>
      <c r="N222" s="10">
        <f>2*(G224*I222)/(G224+I222)</f>
        <v>0.95905834186284533</v>
      </c>
      <c r="O222" s="1"/>
      <c r="P222" s="1"/>
      <c r="S222" s="66" t="s">
        <v>39</v>
      </c>
      <c r="T222" s="67">
        <f t="shared" si="36"/>
        <v>5.4836517273998826</v>
      </c>
      <c r="U222" s="67">
        <f t="shared" si="36"/>
        <v>4.4538600058863986</v>
      </c>
      <c r="V222" s="67">
        <f t="shared" si="36"/>
        <v>0.2089570246995624</v>
      </c>
      <c r="W222" s="67">
        <f t="shared" si="36"/>
        <v>0.2637190943251273</v>
      </c>
      <c r="X222" s="67">
        <f t="shared" si="36"/>
        <v>2.5976816308412545</v>
      </c>
      <c r="AB222">
        <v>1</v>
      </c>
      <c r="AC222">
        <v>60</v>
      </c>
      <c r="AD222">
        <v>55</v>
      </c>
      <c r="AE222">
        <v>44</v>
      </c>
      <c r="AJ222" t="s">
        <v>644</v>
      </c>
      <c r="AK222">
        <v>6</v>
      </c>
      <c r="AL222" s="1">
        <v>0.89</v>
      </c>
      <c r="AM222" s="1">
        <v>25.68</v>
      </c>
      <c r="AN222" s="1">
        <v>1220.22</v>
      </c>
      <c r="AO222" s="1">
        <v>198.62</v>
      </c>
      <c r="AP222" s="1">
        <v>16.8</v>
      </c>
      <c r="AR222" s="1">
        <v>1.71</v>
      </c>
      <c r="AS222" s="1">
        <v>363.62</v>
      </c>
      <c r="AT222" s="1">
        <v>5255.29</v>
      </c>
      <c r="AU222" s="1">
        <v>458.12</v>
      </c>
      <c r="AV222" s="1">
        <v>145.54</v>
      </c>
    </row>
    <row r="223" spans="1:48" ht="15.6" x14ac:dyDescent="0.35">
      <c r="B223" s="1" t="s">
        <v>19</v>
      </c>
      <c r="C223" s="1">
        <f>SUM(C218:C222)</f>
        <v>452</v>
      </c>
      <c r="D223" s="1">
        <f>SUM(D218:D222)</f>
        <v>54</v>
      </c>
      <c r="E223" s="1">
        <f>SUM(E218:E222)</f>
        <v>789</v>
      </c>
      <c r="F223" s="1">
        <f>SUM(F218:F222)</f>
        <v>596</v>
      </c>
      <c r="G223" s="1">
        <f>SUM(G218:G222)</f>
        <v>945</v>
      </c>
      <c r="H223" s="1">
        <f>SUM(H217:H222)</f>
        <v>2836</v>
      </c>
      <c r="I223" s="13" t="s">
        <v>12</v>
      </c>
      <c r="N223" s="16"/>
      <c r="O223" s="1"/>
      <c r="P223" s="1"/>
      <c r="S223" s="15" t="s">
        <v>31</v>
      </c>
      <c r="T223" s="71">
        <f t="shared" si="36"/>
        <v>100</v>
      </c>
      <c r="U223" s="71">
        <f t="shared" si="36"/>
        <v>92.280701754385987</v>
      </c>
      <c r="V223" s="71">
        <f t="shared" si="36"/>
        <v>99.837177747625503</v>
      </c>
      <c r="W223" s="71">
        <f t="shared" si="36"/>
        <v>97.233676975945031</v>
      </c>
      <c r="X223" s="71">
        <f t="shared" si="36"/>
        <v>93.761149653121919</v>
      </c>
      <c r="AB223">
        <v>2</v>
      </c>
      <c r="AC223">
        <v>89</v>
      </c>
      <c r="AD223">
        <v>84</v>
      </c>
      <c r="AE223">
        <v>73</v>
      </c>
      <c r="AJ223" t="s">
        <v>644</v>
      </c>
      <c r="AK223">
        <v>7</v>
      </c>
      <c r="AL223" s="1">
        <v>0.94</v>
      </c>
      <c r="AM223" s="1">
        <v>22.1</v>
      </c>
      <c r="AN223" s="1">
        <v>1228.31</v>
      </c>
      <c r="AO223" s="1">
        <v>194.56</v>
      </c>
      <c r="AP223" s="1">
        <v>16.3</v>
      </c>
      <c r="AR223" s="1">
        <v>1.89</v>
      </c>
      <c r="AS223" s="1">
        <v>325.63</v>
      </c>
      <c r="AT223" s="1">
        <v>5317.57</v>
      </c>
      <c r="AU223" s="1">
        <v>447.95</v>
      </c>
      <c r="AV223" s="1">
        <v>131.22999999999999</v>
      </c>
    </row>
    <row r="224" spans="1:48" x14ac:dyDescent="0.3">
      <c r="A224" s="1" t="s">
        <v>316</v>
      </c>
      <c r="B224" s="1" t="s">
        <v>2</v>
      </c>
      <c r="C224" s="10">
        <f>C218/C223</f>
        <v>0.99778761061946908</v>
      </c>
      <c r="D224" s="10">
        <f>D219/D223</f>
        <v>0.98148148148148151</v>
      </c>
      <c r="E224" s="10">
        <f>E220/E223</f>
        <v>0.93282636248415718</v>
      </c>
      <c r="F224" s="10">
        <f>F221/F223</f>
        <v>0.95134228187919467</v>
      </c>
      <c r="G224" s="10">
        <f>G222/G223</f>
        <v>0.99153439153439149</v>
      </c>
      <c r="H224" s="10"/>
      <c r="I224" s="14">
        <f>(C218+D219+E220+F221+G222)/H223</f>
        <v>0.96755994358251063</v>
      </c>
      <c r="S224" s="75" t="s">
        <v>39</v>
      </c>
      <c r="T224" s="76">
        <f t="shared" si="36"/>
        <v>0</v>
      </c>
      <c r="U224" s="76">
        <f t="shared" si="36"/>
        <v>3.5484650167348932</v>
      </c>
      <c r="V224" s="76">
        <f t="shared" si="36"/>
        <v>0.14291901264934564</v>
      </c>
      <c r="W224" s="76">
        <f t="shared" si="36"/>
        <v>0.67835976772566542</v>
      </c>
      <c r="X224" s="76">
        <f t="shared" si="36"/>
        <v>0.76056279188130838</v>
      </c>
      <c r="AB224">
        <v>3</v>
      </c>
      <c r="AC224">
        <v>118</v>
      </c>
      <c r="AD224">
        <v>113</v>
      </c>
      <c r="AE224">
        <v>102</v>
      </c>
      <c r="AJ224" t="s">
        <v>644</v>
      </c>
      <c r="AK224">
        <v>8</v>
      </c>
      <c r="AL224" s="1">
        <v>0.89</v>
      </c>
      <c r="AM224" s="1">
        <v>18.98</v>
      </c>
      <c r="AN224" s="1">
        <v>1229.01</v>
      </c>
      <c r="AO224" s="1">
        <v>197.22</v>
      </c>
      <c r="AP224" s="1">
        <v>16.11</v>
      </c>
      <c r="AR224" s="1">
        <v>1.62</v>
      </c>
      <c r="AS224" s="1">
        <v>292.33</v>
      </c>
      <c r="AT224" s="1">
        <v>5339.62</v>
      </c>
      <c r="AU224" s="1">
        <v>452.54</v>
      </c>
      <c r="AV224" s="1">
        <v>138.16</v>
      </c>
    </row>
    <row r="225" spans="1:48" x14ac:dyDescent="0.3">
      <c r="B225" s="1" t="s">
        <v>14</v>
      </c>
      <c r="C225" s="11">
        <f>1-C224</f>
        <v>2.2123893805309214E-3</v>
      </c>
      <c r="D225" s="11">
        <f>1-D224</f>
        <v>1.851851851851849E-2</v>
      </c>
      <c r="E225" s="11">
        <f>1-E224</f>
        <v>6.7173637515842821E-2</v>
      </c>
      <c r="F225" s="11">
        <f>1-F224</f>
        <v>4.8657718120805327E-2</v>
      </c>
      <c r="G225" s="11">
        <f>1-G224</f>
        <v>8.4656084656085095E-3</v>
      </c>
      <c r="S225" s="66" t="s">
        <v>51</v>
      </c>
      <c r="T225" s="67">
        <f t="shared" si="36"/>
        <v>99.961240310077528</v>
      </c>
      <c r="U225" s="67">
        <f t="shared" si="36"/>
        <v>93.793249313415387</v>
      </c>
      <c r="V225" s="67">
        <f t="shared" si="36"/>
        <v>97.108684176004118</v>
      </c>
      <c r="W225" s="67">
        <f t="shared" si="36"/>
        <v>96.217838605472849</v>
      </c>
      <c r="X225" s="67">
        <f t="shared" si="36"/>
        <v>96.254748971339865</v>
      </c>
      <c r="AB225">
        <v>4</v>
      </c>
      <c r="AC225">
        <v>147</v>
      </c>
      <c r="AD225">
        <v>142</v>
      </c>
      <c r="AE225">
        <v>131</v>
      </c>
      <c r="AJ225" t="s">
        <v>644</v>
      </c>
      <c r="AK225">
        <v>9</v>
      </c>
      <c r="AL225" s="1">
        <v>0.94</v>
      </c>
      <c r="AM225" s="1">
        <v>21.89</v>
      </c>
      <c r="AN225" s="1">
        <v>1229.93</v>
      </c>
      <c r="AO225" s="1">
        <v>191.54</v>
      </c>
      <c r="AP225" s="1">
        <v>17.920000000000002</v>
      </c>
      <c r="AR225" s="1">
        <v>1.8</v>
      </c>
      <c r="AS225" s="1">
        <v>320.86</v>
      </c>
      <c r="AT225" s="1">
        <v>5319.1</v>
      </c>
      <c r="AU225" s="1">
        <v>442.1</v>
      </c>
      <c r="AV225" s="1">
        <v>140.41</v>
      </c>
    </row>
    <row r="226" spans="1:48" x14ac:dyDescent="0.3">
      <c r="C226" s="2"/>
      <c r="R226" s="16" t="s">
        <v>61</v>
      </c>
      <c r="S226" t="s">
        <v>9</v>
      </c>
      <c r="T226" s="1">
        <f t="shared" si="36"/>
        <v>212.82849999999999</v>
      </c>
      <c r="U226" s="1">
        <f t="shared" si="36"/>
        <v>614.98749999999995</v>
      </c>
      <c r="V226" s="1">
        <f t="shared" si="36"/>
        <v>58847.183500000021</v>
      </c>
      <c r="W226" s="1">
        <f t="shared" si="36"/>
        <v>30934.633000000009</v>
      </c>
      <c r="X226" s="1">
        <f t="shared" si="36"/>
        <v>5974.1679999999997</v>
      </c>
      <c r="AB226">
        <v>5</v>
      </c>
      <c r="AC226">
        <v>176</v>
      </c>
      <c r="AD226">
        <v>171</v>
      </c>
      <c r="AE226">
        <v>160</v>
      </c>
      <c r="AJ226" t="s">
        <v>644</v>
      </c>
      <c r="AK226">
        <v>10</v>
      </c>
      <c r="AL226" s="1">
        <v>0.8</v>
      </c>
      <c r="AM226" s="1">
        <v>27.45</v>
      </c>
      <c r="AN226" s="1">
        <v>1226.25</v>
      </c>
      <c r="AO226" s="1">
        <v>190.52</v>
      </c>
      <c r="AP226" s="1">
        <v>17.190000000000001</v>
      </c>
      <c r="AR226" s="1">
        <v>1.62</v>
      </c>
      <c r="AS226" s="1">
        <v>391.16</v>
      </c>
      <c r="AT226" s="1">
        <v>5254.21</v>
      </c>
      <c r="AU226" s="1">
        <v>440.12</v>
      </c>
      <c r="AV226" s="1">
        <v>137.16999999999999</v>
      </c>
    </row>
    <row r="227" spans="1:48" ht="15.6" x14ac:dyDescent="0.35">
      <c r="A227" t="s">
        <v>317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318</v>
      </c>
      <c r="S227" t="s">
        <v>63</v>
      </c>
      <c r="T227" s="57">
        <f>AVERAGE(T24,T34,T44,T54,T64,T74,T84,T94,T104,T114,T124,T134,T144,T154,T164,T174,T184,T194,T204,T214)</f>
        <v>231.35860309278345</v>
      </c>
      <c r="U227" s="57">
        <f t="shared" si="36"/>
        <v>608.30670990033821</v>
      </c>
      <c r="V227" s="57">
        <f t="shared" si="36"/>
        <v>59261.662643846554</v>
      </c>
      <c r="W227" s="57">
        <f t="shared" si="36"/>
        <v>30313.775004871324</v>
      </c>
      <c r="X227" s="57">
        <f t="shared" si="36"/>
        <v>6168.6975382890005</v>
      </c>
      <c r="AB227">
        <v>6</v>
      </c>
      <c r="AC227">
        <v>205</v>
      </c>
      <c r="AD227">
        <v>200</v>
      </c>
      <c r="AE227">
        <v>189</v>
      </c>
      <c r="AJ227" t="s">
        <v>644</v>
      </c>
      <c r="AK227">
        <v>11</v>
      </c>
      <c r="AL227" s="1">
        <v>0.94</v>
      </c>
      <c r="AM227" s="1">
        <v>34.97</v>
      </c>
      <c r="AN227" s="1">
        <v>1215.31</v>
      </c>
      <c r="AO227" s="1">
        <v>193.08</v>
      </c>
      <c r="AP227" s="1">
        <v>17.920000000000002</v>
      </c>
      <c r="AR227" s="1">
        <v>1.98</v>
      </c>
      <c r="AS227" s="1">
        <v>437.87</v>
      </c>
      <c r="AT227" s="1">
        <v>5199.76</v>
      </c>
      <c r="AU227" s="1">
        <v>447.86</v>
      </c>
      <c r="AV227" s="1">
        <v>136.81</v>
      </c>
    </row>
    <row r="228" spans="1:48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62</v>
      </c>
      <c r="T228" s="67">
        <f>AVERAGE(T25,T35,T45,T55,T65,T75,T85,T95,T105,T115,T125,T135,T145,T155,T165,T175,T185,T195,T205,T215)</f>
        <v>18.514176916147242</v>
      </c>
      <c r="U228" s="67">
        <f t="shared" si="36"/>
        <v>42.46616502312493</v>
      </c>
      <c r="V228" s="67">
        <f t="shared" si="36"/>
        <v>151.98949751474152</v>
      </c>
      <c r="W228" s="67">
        <f t="shared" si="36"/>
        <v>224.8978858750732</v>
      </c>
      <c r="X228" s="67">
        <f t="shared" si="36"/>
        <v>176.99667606491488</v>
      </c>
      <c r="AB228">
        <v>7</v>
      </c>
      <c r="AC228">
        <v>234</v>
      </c>
      <c r="AD228">
        <v>229</v>
      </c>
      <c r="AE228">
        <v>218</v>
      </c>
      <c r="AJ228" t="s">
        <v>644</v>
      </c>
      <c r="AK228">
        <v>12</v>
      </c>
      <c r="AL228" s="1">
        <v>0.98</v>
      </c>
      <c r="AM228" s="1">
        <v>24.24</v>
      </c>
      <c r="AN228" s="1">
        <v>1219.56</v>
      </c>
      <c r="AO228" s="1">
        <v>199.33</v>
      </c>
      <c r="AP228" s="1">
        <v>18.11</v>
      </c>
      <c r="AR228" s="1">
        <v>1.71</v>
      </c>
      <c r="AS228" s="1">
        <v>365.06</v>
      </c>
      <c r="AT228" s="1">
        <v>5248.9</v>
      </c>
      <c r="AU228" s="1">
        <v>465.95</v>
      </c>
      <c r="AV228" s="1">
        <v>142.66</v>
      </c>
    </row>
    <row r="229" spans="1:48" x14ac:dyDescent="0.3">
      <c r="A229" t="s">
        <v>3</v>
      </c>
      <c r="B229" s="13">
        <v>0</v>
      </c>
      <c r="C229" s="29">
        <f>(C218/$L229)*$O229</f>
        <v>0.23141562042495739</v>
      </c>
      <c r="D229" s="31">
        <f>(D218/$L229)*$O229</f>
        <v>0</v>
      </c>
      <c r="E229" s="31">
        <f>(E218/$L229)*$O229</f>
        <v>0</v>
      </c>
      <c r="F229" s="31">
        <f>(F218/$L229)*$O229</f>
        <v>0</v>
      </c>
      <c r="G229" s="32">
        <f>(G218/$L229)*$O229</f>
        <v>0</v>
      </c>
      <c r="H229" s="17">
        <f>SUM(C229:G229)</f>
        <v>0.23141562042495739</v>
      </c>
      <c r="I229" s="17">
        <f>C229/H229*100</f>
        <v>100</v>
      </c>
      <c r="J229" s="17">
        <f>SQRT(I229*(100-I229)/(L229-1))</f>
        <v>0</v>
      </c>
      <c r="K229" s="18">
        <f>100-I229</f>
        <v>0</v>
      </c>
      <c r="L229" s="1">
        <f>H218</f>
        <v>451</v>
      </c>
      <c r="M229">
        <v>0</v>
      </c>
      <c r="N229" s="1">
        <v>223.51</v>
      </c>
      <c r="O229" s="17">
        <f>N229/N234*100</f>
        <v>0.23141562042495739</v>
      </c>
      <c r="P229" s="52">
        <f>((O229*O229*(I229/100)*(K229/100))/(L229-1))</f>
        <v>0</v>
      </c>
      <c r="AB229">
        <v>8</v>
      </c>
      <c r="AC229">
        <v>263</v>
      </c>
      <c r="AD229">
        <v>258</v>
      </c>
      <c r="AE229">
        <v>247</v>
      </c>
      <c r="AJ229" t="s">
        <v>644</v>
      </c>
      <c r="AK229">
        <v>13</v>
      </c>
      <c r="AL229" s="1">
        <v>0.84</v>
      </c>
      <c r="AM229" s="1">
        <v>26.36</v>
      </c>
      <c r="AN229" s="1">
        <v>1229.04</v>
      </c>
      <c r="AO229" s="1">
        <v>189.99</v>
      </c>
      <c r="AP229" s="1">
        <v>15.99</v>
      </c>
      <c r="AR229" s="1">
        <v>1.53</v>
      </c>
      <c r="AS229" s="1">
        <v>376.4</v>
      </c>
      <c r="AT229" s="1">
        <v>5275.18</v>
      </c>
      <c r="AU229" s="1">
        <v>441.38</v>
      </c>
      <c r="AV229" s="1">
        <v>129.79</v>
      </c>
    </row>
    <row r="230" spans="1:48" x14ac:dyDescent="0.3">
      <c r="A230" t="s">
        <v>4</v>
      </c>
      <c r="B230" s="13">
        <v>1</v>
      </c>
      <c r="C230" s="33">
        <f t="shared" ref="C230:G233" si="37">(C219/$L230)*$O230</f>
        <v>0</v>
      </c>
      <c r="D230" s="34">
        <f t="shared" si="37"/>
        <v>0.56320621565136253</v>
      </c>
      <c r="E230" s="19">
        <f t="shared" si="37"/>
        <v>4.2506129483121699E-2</v>
      </c>
      <c r="F230" s="18">
        <f t="shared" si="37"/>
        <v>0</v>
      </c>
      <c r="G230" s="20">
        <f t="shared" si="37"/>
        <v>0</v>
      </c>
      <c r="H230" s="17">
        <f>SUM(C230:G230)</f>
        <v>0.60571234513448424</v>
      </c>
      <c r="I230" s="17">
        <f>D230/H230*100</f>
        <v>92.982456140350877</v>
      </c>
      <c r="J230" s="17">
        <f>SQRT(I230*(100-I230)/(L230-1))</f>
        <v>3.4134933513474275</v>
      </c>
      <c r="K230" s="18">
        <f>100-I230</f>
        <v>7.0175438596491233</v>
      </c>
      <c r="L230" s="1">
        <f>H219</f>
        <v>57</v>
      </c>
      <c r="M230">
        <v>1</v>
      </c>
      <c r="N230" s="1">
        <v>585.02</v>
      </c>
      <c r="O230" s="17">
        <f>N230/N234*100</f>
        <v>0.60571234513448424</v>
      </c>
      <c r="P230" s="52">
        <f>((O230*O230*(I230/100)*(K230/100))/(L230-1))</f>
        <v>4.2749493443171045E-4</v>
      </c>
      <c r="S230" t="s">
        <v>64</v>
      </c>
      <c r="T230" s="1" t="s">
        <v>639</v>
      </c>
      <c r="U230" s="1" t="s">
        <v>640</v>
      </c>
      <c r="V230" s="1" t="s">
        <v>641</v>
      </c>
      <c r="W230" s="1" t="s">
        <v>642</v>
      </c>
      <c r="X230" s="1" t="s">
        <v>643</v>
      </c>
      <c r="AB230">
        <v>9</v>
      </c>
      <c r="AC230">
        <v>292</v>
      </c>
      <c r="AD230">
        <v>287</v>
      </c>
      <c r="AE230">
        <v>276</v>
      </c>
      <c r="AJ230" t="s">
        <v>644</v>
      </c>
      <c r="AK230">
        <v>14</v>
      </c>
      <c r="AL230" s="1">
        <v>0.89</v>
      </c>
      <c r="AM230" s="1">
        <v>21.53</v>
      </c>
      <c r="AN230" s="1">
        <v>1224.1400000000001</v>
      </c>
      <c r="AO230" s="1">
        <v>197.45</v>
      </c>
      <c r="AP230" s="1">
        <v>18.21</v>
      </c>
      <c r="AR230" s="1">
        <v>1.62</v>
      </c>
      <c r="AS230" s="1">
        <v>325.81</v>
      </c>
      <c r="AT230" s="1">
        <v>5302.09</v>
      </c>
      <c r="AU230" s="1">
        <v>452.81</v>
      </c>
      <c r="AV230" s="1">
        <v>141.94</v>
      </c>
    </row>
    <row r="231" spans="1:48" x14ac:dyDescent="0.3">
      <c r="A231" t="s">
        <v>5</v>
      </c>
      <c r="B231" s="13">
        <v>2</v>
      </c>
      <c r="C231" s="33">
        <f t="shared" si="37"/>
        <v>0</v>
      </c>
      <c r="D231" s="19">
        <f t="shared" si="37"/>
        <v>0</v>
      </c>
      <c r="E231" s="34">
        <f t="shared" si="37"/>
        <v>61.256726314196321</v>
      </c>
      <c r="F231" s="19">
        <f t="shared" si="37"/>
        <v>8.3229247709505863E-2</v>
      </c>
      <c r="G231" s="20">
        <f t="shared" si="37"/>
        <v>0</v>
      </c>
      <c r="H231" s="17">
        <f>SUM(C231:G231)</f>
        <v>61.339955561905825</v>
      </c>
      <c r="I231" s="17">
        <f>E231/H231*100</f>
        <v>99.864314789687924</v>
      </c>
      <c r="J231" s="17">
        <f>SQRT(I231*(100-I231)/(L231-1))</f>
        <v>0.13568521031207589</v>
      </c>
      <c r="K231" s="18">
        <f>100-I231</f>
        <v>0.13568521031207581</v>
      </c>
      <c r="L231" s="1">
        <f>H220</f>
        <v>737</v>
      </c>
      <c r="M231">
        <v>2</v>
      </c>
      <c r="N231" s="1">
        <v>59244.46</v>
      </c>
      <c r="O231" s="17">
        <f>N231/N234*100</f>
        <v>61.339955561905825</v>
      </c>
      <c r="P231" s="52">
        <f>((O231*O231*(I231/100)*(K231/100))/(L231-1))</f>
        <v>6.9271076742902782E-3</v>
      </c>
      <c r="T231" s="57">
        <f>T24</f>
        <v>204.78</v>
      </c>
      <c r="U231" s="57">
        <f>U24</f>
        <v>496.25333333333333</v>
      </c>
      <c r="V231" s="57">
        <f>V24</f>
        <v>59470.087612168958</v>
      </c>
      <c r="W231" s="57">
        <f>W24</f>
        <v>30111.972061957844</v>
      </c>
      <c r="X231" s="57">
        <f>X24</f>
        <v>6300.6969925398707</v>
      </c>
      <c r="AB231">
        <v>10</v>
      </c>
      <c r="AC231">
        <v>321</v>
      </c>
      <c r="AD231">
        <v>316</v>
      </c>
      <c r="AE231">
        <v>305</v>
      </c>
      <c r="AJ231" t="s">
        <v>644</v>
      </c>
      <c r="AK231">
        <v>15</v>
      </c>
      <c r="AL231" s="1">
        <v>0.89</v>
      </c>
      <c r="AM231" s="1">
        <v>20.010000000000002</v>
      </c>
      <c r="AN231" s="1">
        <v>1225.98</v>
      </c>
      <c r="AO231" s="1">
        <v>195.47</v>
      </c>
      <c r="AP231" s="1">
        <v>19.86</v>
      </c>
      <c r="AR231" s="1">
        <v>1.62</v>
      </c>
      <c r="AS231" s="1">
        <v>314.74</v>
      </c>
      <c r="AT231" s="1">
        <v>5305.33</v>
      </c>
      <c r="AU231" s="1">
        <v>460.46</v>
      </c>
      <c r="AV231" s="1">
        <v>142.12</v>
      </c>
    </row>
    <row r="232" spans="1:48" x14ac:dyDescent="0.3">
      <c r="A232" t="s">
        <v>6</v>
      </c>
      <c r="B232" s="13">
        <v>3</v>
      </c>
      <c r="C232" s="33">
        <f t="shared" si="37"/>
        <v>5.4698525103948147E-2</v>
      </c>
      <c r="D232" s="19">
        <f t="shared" si="37"/>
        <v>5.4698525103948147E-2</v>
      </c>
      <c r="E232" s="19">
        <f t="shared" si="37"/>
        <v>0.27349262551974074</v>
      </c>
      <c r="F232" s="34">
        <f t="shared" si="37"/>
        <v>31.014063733938599</v>
      </c>
      <c r="G232" s="20">
        <f t="shared" si="37"/>
        <v>0.43758820083158517</v>
      </c>
      <c r="H232" s="17">
        <f>SUM(C232:G232)</f>
        <v>31.834541610497819</v>
      </c>
      <c r="I232" s="17">
        <f>F232/H232*100</f>
        <v>97.422680412371136</v>
      </c>
      <c r="J232" s="17">
        <f>SQRT(I232*(100-I232)/(L232-1))</f>
        <v>0.65739456332296642</v>
      </c>
      <c r="K232" s="18">
        <f>100-I232</f>
        <v>2.5773195876288639</v>
      </c>
      <c r="L232" s="1">
        <f>H221</f>
        <v>582</v>
      </c>
      <c r="M232">
        <v>3</v>
      </c>
      <c r="N232" s="1">
        <v>30747.01</v>
      </c>
      <c r="O232" s="17">
        <f>N232/N234*100</f>
        <v>31.834541610497823</v>
      </c>
      <c r="P232" s="52">
        <f>((O232*O232*(I232/100)*(K232/100))/(L232-1))</f>
        <v>4.3797509734757829E-2</v>
      </c>
      <c r="T232" s="57">
        <f>T34</f>
        <v>216.94</v>
      </c>
      <c r="U232" s="57">
        <f>U34</f>
        <v>599.79263157894729</v>
      </c>
      <c r="V232" s="57">
        <f>V34</f>
        <v>59179.008888520279</v>
      </c>
      <c r="W232" s="57">
        <f>W34</f>
        <v>30341.803453863628</v>
      </c>
      <c r="X232" s="57">
        <f>X34</f>
        <v>6246.265026037142</v>
      </c>
      <c r="AB232">
        <v>11</v>
      </c>
      <c r="AC232">
        <v>350</v>
      </c>
      <c r="AD232">
        <v>345</v>
      </c>
      <c r="AE232">
        <v>334</v>
      </c>
      <c r="AJ232" t="s">
        <v>644</v>
      </c>
      <c r="AK232">
        <v>16</v>
      </c>
      <c r="AL232" s="1">
        <v>0.84</v>
      </c>
      <c r="AM232" s="1">
        <v>26.47</v>
      </c>
      <c r="AN232" s="1">
        <v>1226.3900000000001</v>
      </c>
      <c r="AO232" s="1">
        <v>190.14</v>
      </c>
      <c r="AP232" s="1">
        <v>18.38</v>
      </c>
      <c r="AR232" s="1">
        <v>1.53</v>
      </c>
      <c r="AS232" s="1">
        <v>319.77999999999997</v>
      </c>
      <c r="AT232" s="1">
        <v>5312.17</v>
      </c>
      <c r="AU232" s="1">
        <v>443.72</v>
      </c>
      <c r="AV232" s="1">
        <v>147.07</v>
      </c>
    </row>
    <row r="233" spans="1:48" x14ac:dyDescent="0.3">
      <c r="A233" t="s">
        <v>7</v>
      </c>
      <c r="B233" s="13">
        <v>4</v>
      </c>
      <c r="C233" s="35">
        <f t="shared" si="37"/>
        <v>0</v>
      </c>
      <c r="D233" s="36">
        <f t="shared" si="37"/>
        <v>0</v>
      </c>
      <c r="E233" s="21">
        <f t="shared" si="37"/>
        <v>0.26113824968248145</v>
      </c>
      <c r="F233" s="21">
        <f t="shared" si="37"/>
        <v>0.16617888616157911</v>
      </c>
      <c r="G233" s="37">
        <f t="shared" si="37"/>
        <v>5.5610577261928436</v>
      </c>
      <c r="H233" s="17">
        <f>SUM(C233:G233)</f>
        <v>5.9883748620369044</v>
      </c>
      <c r="I233" s="17">
        <f>G233/H233*100</f>
        <v>92.864222001982156</v>
      </c>
      <c r="J233" s="17">
        <f>SQRT(I233*(100-I233)/(L233-1))</f>
        <v>0.81080162675050105</v>
      </c>
      <c r="K233" s="18">
        <f>100-I233</f>
        <v>7.1357779980178435</v>
      </c>
      <c r="L233" s="1">
        <f>H222</f>
        <v>1009</v>
      </c>
      <c r="M233">
        <v>4</v>
      </c>
      <c r="N233" s="1">
        <v>5783.8</v>
      </c>
      <c r="O233" s="17">
        <f>N233/N234*100</f>
        <v>5.9883748620369044</v>
      </c>
      <c r="P233" s="52">
        <f>((O233*O233*(I233/100)*(K233/100))/(L233-1))</f>
        <v>2.3574754561708445E-3</v>
      </c>
      <c r="T233" s="57">
        <f>T44</f>
        <v>209.56</v>
      </c>
      <c r="U233" s="57">
        <f>U44</f>
        <v>553.75084015787729</v>
      </c>
      <c r="V233" s="57">
        <f>V44</f>
        <v>59321.109835625124</v>
      </c>
      <c r="W233" s="57">
        <f>W44</f>
        <v>30705.542108846068</v>
      </c>
      <c r="X233" s="57">
        <f>X44</f>
        <v>5793.8372153709397</v>
      </c>
      <c r="AB233">
        <v>12</v>
      </c>
      <c r="AC233">
        <v>379</v>
      </c>
      <c r="AD233">
        <v>374</v>
      </c>
      <c r="AE233">
        <v>363</v>
      </c>
      <c r="AJ233" t="s">
        <v>644</v>
      </c>
      <c r="AK233">
        <v>17</v>
      </c>
      <c r="AL233" s="1">
        <v>1.1200000000000001</v>
      </c>
      <c r="AM233" s="1">
        <v>21.73</v>
      </c>
      <c r="AN233" s="1">
        <v>1220.03</v>
      </c>
      <c r="AO233" s="1">
        <v>202.98</v>
      </c>
      <c r="AP233" s="1">
        <v>16.350000000000001</v>
      </c>
      <c r="AR233" s="1">
        <v>2.0699999999999998</v>
      </c>
      <c r="AS233" s="1">
        <v>341.39</v>
      </c>
      <c r="AT233" s="1">
        <v>5281.03</v>
      </c>
      <c r="AU233" s="1">
        <v>461.72</v>
      </c>
      <c r="AV233" s="1">
        <v>138.07</v>
      </c>
    </row>
    <row r="234" spans="1:48" x14ac:dyDescent="0.3">
      <c r="B234" t="s">
        <v>28</v>
      </c>
      <c r="C234" s="17">
        <f>SUM(C229:C233)</f>
        <v>0.28611414552890552</v>
      </c>
      <c r="D234" s="17">
        <f>SUM(D229:D233)</f>
        <v>0.61790474075531066</v>
      </c>
      <c r="E234" s="17">
        <f>SUM(E229:E233)</f>
        <v>61.833863318881669</v>
      </c>
      <c r="F234" s="17">
        <f>SUM(F229:F233)</f>
        <v>31.263471867809685</v>
      </c>
      <c r="G234" s="17">
        <f>SUM(G229:G233)</f>
        <v>5.9986459270244286</v>
      </c>
      <c r="H234" s="1">
        <f>SUM(H228:H233)</f>
        <v>99.999999999999986</v>
      </c>
      <c r="I234" s="13" t="s">
        <v>24</v>
      </c>
      <c r="J234" s="12" t="s">
        <v>29</v>
      </c>
      <c r="N234" s="1">
        <f>SUM(N229:N233)</f>
        <v>96583.8</v>
      </c>
      <c r="O234" s="17">
        <f>SUM(O229:O233)</f>
        <v>99.999999999999986</v>
      </c>
      <c r="T234" s="57">
        <f>T54</f>
        <v>218.11000000000004</v>
      </c>
      <c r="U234" s="57">
        <f>U54</f>
        <v>546.87273381670229</v>
      </c>
      <c r="V234" s="57">
        <f>V54</f>
        <v>59094.522323112462</v>
      </c>
      <c r="W234" s="57">
        <f>W54</f>
        <v>30182.101162014435</v>
      </c>
      <c r="X234" s="57">
        <f>X54</f>
        <v>6542.1937810564032</v>
      </c>
      <c r="AB234">
        <v>13</v>
      </c>
      <c r="AC234">
        <v>408</v>
      </c>
      <c r="AD234">
        <v>403</v>
      </c>
      <c r="AE234">
        <v>392</v>
      </c>
      <c r="AJ234" t="s">
        <v>644</v>
      </c>
      <c r="AK234">
        <v>18</v>
      </c>
      <c r="AL234" s="1">
        <v>1.03</v>
      </c>
      <c r="AM234" s="1">
        <v>29.05</v>
      </c>
      <c r="AN234" s="1">
        <v>1218.6600000000001</v>
      </c>
      <c r="AO234" s="1">
        <v>194.86</v>
      </c>
      <c r="AP234" s="1">
        <v>18.61</v>
      </c>
      <c r="AR234" s="1">
        <v>1.98</v>
      </c>
      <c r="AS234" s="1">
        <v>380</v>
      </c>
      <c r="AT234" s="1">
        <v>5245.84</v>
      </c>
      <c r="AU234" s="1">
        <v>456.05</v>
      </c>
      <c r="AV234" s="1">
        <v>140.41</v>
      </c>
    </row>
    <row r="235" spans="1:48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5.4651513041026167E-2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5.8367652865048317E-2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0.15378910172866755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0.22715382645634294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0.16112590996235454</v>
      </c>
      <c r="H235" s="1"/>
      <c r="I235" s="14">
        <f>(C229+D230+E231+F232+G233)/H234</f>
        <v>0.98626469610404099</v>
      </c>
      <c r="J235" s="53">
        <f>SQRT(SUM(P229:P233))/100</f>
        <v>2.3132139503221631E-3</v>
      </c>
      <c r="M235" s="1"/>
      <c r="N235" s="9"/>
      <c r="T235" s="57">
        <f>T64</f>
        <v>213.07</v>
      </c>
      <c r="U235" s="57">
        <f>U64</f>
        <v>532.05157894736851</v>
      </c>
      <c r="V235" s="57">
        <f>V64</f>
        <v>59583.518272119341</v>
      </c>
      <c r="W235" s="57">
        <f>W64</f>
        <v>30384.55845163167</v>
      </c>
      <c r="X235" s="57">
        <f>X64</f>
        <v>5870.6016973016049</v>
      </c>
      <c r="AB235">
        <v>14</v>
      </c>
      <c r="AC235">
        <v>437</v>
      </c>
      <c r="AD235">
        <v>432</v>
      </c>
      <c r="AE235">
        <v>421</v>
      </c>
      <c r="AJ235" t="s">
        <v>644</v>
      </c>
      <c r="AK235">
        <v>19</v>
      </c>
      <c r="AL235" s="1">
        <v>0.94</v>
      </c>
      <c r="AM235" s="1">
        <v>20.100000000000001</v>
      </c>
      <c r="AN235" s="1">
        <v>1226.78</v>
      </c>
      <c r="AO235" s="1">
        <v>198.58</v>
      </c>
      <c r="AP235" s="1">
        <v>15.81</v>
      </c>
      <c r="AR235" s="1">
        <v>1.8</v>
      </c>
      <c r="AS235" s="1">
        <v>326.36</v>
      </c>
      <c r="AT235" s="1">
        <v>5303.26</v>
      </c>
      <c r="AU235" s="1">
        <v>456.14</v>
      </c>
      <c r="AV235" s="1">
        <v>136.72</v>
      </c>
    </row>
    <row r="236" spans="1:48" x14ac:dyDescent="0.3">
      <c r="B236" s="1" t="s">
        <v>30</v>
      </c>
      <c r="C236" s="17">
        <f>C229/C234*100</f>
        <v>80.882271653212598</v>
      </c>
      <c r="D236" s="17">
        <f>D230/D234*100</f>
        <v>91.147741472725059</v>
      </c>
      <c r="E236" s="17">
        <f>E231/E234*100</f>
        <v>99.066632790338502</v>
      </c>
      <c r="F236" s="17">
        <f>F232/F234*100</f>
        <v>99.202237886676031</v>
      </c>
      <c r="G236" s="17">
        <f>G233/G234*100</f>
        <v>92.70521704139577</v>
      </c>
      <c r="H236" s="1"/>
      <c r="T236" s="57">
        <f>T74</f>
        <v>202.53</v>
      </c>
      <c r="U236" s="57">
        <f>U74</f>
        <v>542.81614035087716</v>
      </c>
      <c r="V236" s="57">
        <f>V74</f>
        <v>58928.771284851238</v>
      </c>
      <c r="W236" s="57">
        <f>W74</f>
        <v>30519.914710456684</v>
      </c>
      <c r="X236" s="57">
        <f>X74</f>
        <v>6389.7578643412053</v>
      </c>
      <c r="AB236">
        <v>15</v>
      </c>
      <c r="AC236">
        <v>466</v>
      </c>
      <c r="AD236">
        <v>461</v>
      </c>
      <c r="AE236">
        <v>450</v>
      </c>
    </row>
    <row r="237" spans="1:48" x14ac:dyDescent="0.3">
      <c r="B237" s="16" t="s">
        <v>39</v>
      </c>
      <c r="C237" s="18">
        <f>SQRT((C240+C241)/(C234*C234))</f>
        <v>15.46285297537182</v>
      </c>
      <c r="D237" s="18">
        <f>SQRT((D240+D241)/(D234*D234))</f>
        <v>8.5951625388140478</v>
      </c>
      <c r="E237" s="18">
        <f>SQRT((E240+E241)/(E234*E234))</f>
        <v>0.20784275966065277</v>
      </c>
      <c r="F237" s="18">
        <f>SQRT((F240+F241)/(F234*F234))</f>
        <v>0.28681406901693068</v>
      </c>
      <c r="G237" s="18">
        <f>SQRT((G240+G241)/(G234*G234))</f>
        <v>2.4487598702607194</v>
      </c>
      <c r="H237" s="1"/>
      <c r="T237" s="57">
        <f>T84</f>
        <v>217.84</v>
      </c>
      <c r="U237" s="57">
        <f>U84</f>
        <v>762.67187479944118</v>
      </c>
      <c r="V237" s="57">
        <f>V84</f>
        <v>58868.236085165503</v>
      </c>
      <c r="W237" s="57">
        <f>W84</f>
        <v>30360.6416093068</v>
      </c>
      <c r="X237" s="57">
        <f>X84</f>
        <v>6374.4104307282551</v>
      </c>
      <c r="AB237">
        <v>16</v>
      </c>
      <c r="AC237">
        <v>495</v>
      </c>
      <c r="AD237">
        <v>490</v>
      </c>
      <c r="AE237">
        <v>479</v>
      </c>
      <c r="AN237" s="78"/>
      <c r="AO237" s="78"/>
    </row>
    <row r="238" spans="1:48" x14ac:dyDescent="0.3">
      <c r="B238" s="1" t="s">
        <v>37</v>
      </c>
      <c r="C238" s="18">
        <f>100-C236</f>
        <v>19.117728346787402</v>
      </c>
      <c r="D238" s="18">
        <f>100-D236</f>
        <v>8.852258527274941</v>
      </c>
      <c r="E238" s="18">
        <f>100-E236</f>
        <v>0.93336720966149755</v>
      </c>
      <c r="F238" s="18">
        <f>100-F236</f>
        <v>0.7977621133239694</v>
      </c>
      <c r="G238" s="18">
        <f>100-G236</f>
        <v>7.2947829586042303</v>
      </c>
      <c r="T238" s="57">
        <f>T94</f>
        <v>276.33991408934702</v>
      </c>
      <c r="U238" s="57">
        <f>U94</f>
        <v>596.79587900162778</v>
      </c>
      <c r="V238" s="57">
        <f>V94</f>
        <v>59721.494880182036</v>
      </c>
      <c r="W238" s="57">
        <f>W94</f>
        <v>30195.449141861573</v>
      </c>
      <c r="X238" s="57">
        <f>X94</f>
        <v>5793.7201848654204</v>
      </c>
      <c r="AB238">
        <v>17</v>
      </c>
      <c r="AC238">
        <v>524</v>
      </c>
      <c r="AD238">
        <v>519</v>
      </c>
      <c r="AE238">
        <v>508</v>
      </c>
    </row>
    <row r="239" spans="1:48" ht="15.6" x14ac:dyDescent="0.35">
      <c r="B239" s="1" t="s">
        <v>25</v>
      </c>
      <c r="C239" s="1">
        <f>C223</f>
        <v>452</v>
      </c>
      <c r="D239" s="1">
        <f>D223</f>
        <v>54</v>
      </c>
      <c r="E239" s="1">
        <f>E223</f>
        <v>789</v>
      </c>
      <c r="F239" s="1">
        <f>F223</f>
        <v>596</v>
      </c>
      <c r="G239" s="1">
        <f>G223</f>
        <v>945</v>
      </c>
      <c r="T239" s="57">
        <f>T104</f>
        <v>265.28831615120276</v>
      </c>
      <c r="U239" s="57">
        <f>U104</f>
        <v>543.75094448211723</v>
      </c>
      <c r="V239" s="57">
        <f>V104</f>
        <v>59602.834495576077</v>
      </c>
      <c r="W239" s="57">
        <f>W104</f>
        <v>30187.656909823785</v>
      </c>
      <c r="X239" s="57">
        <f>X104</f>
        <v>5984.2693339668067</v>
      </c>
      <c r="AB239">
        <v>18</v>
      </c>
      <c r="AC239">
        <v>553</v>
      </c>
      <c r="AD239">
        <v>548</v>
      </c>
      <c r="AE239">
        <v>537</v>
      </c>
      <c r="AN239" s="78"/>
      <c r="AO239" s="78"/>
    </row>
    <row r="240" spans="1:48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3.3499563691412821</v>
      </c>
      <c r="E240" s="18">
        <f>(O231*O231*(100-E236)*(100-E236)*(I231)*(100-I231))/((L231-1)*100)</f>
        <v>0.60347185121694635</v>
      </c>
      <c r="F240" s="18">
        <f>(O232*O232*(100-F236)*(100-F236)*(I232)*(100-I232))/((L232-1)*100)</f>
        <v>2.7873803392598191</v>
      </c>
      <c r="G240" s="18">
        <f>(O233*O233*(100-G236)*(100-G236)*(I233)*(100-I233))/((L233-1)*100)</f>
        <v>12.545036513713429</v>
      </c>
      <c r="T240" s="57">
        <f>T114</f>
        <v>273.10151202749142</v>
      </c>
      <c r="U240" s="57">
        <f>U114</f>
        <v>648.96850377854514</v>
      </c>
      <c r="V240" s="57">
        <f>V114</f>
        <v>59056.738272378716</v>
      </c>
      <c r="W240" s="57">
        <f>W114</f>
        <v>30215.29347828812</v>
      </c>
      <c r="X240" s="57">
        <f>X114</f>
        <v>6389.7082335271225</v>
      </c>
      <c r="AB240">
        <v>19</v>
      </c>
      <c r="AC240">
        <v>582</v>
      </c>
      <c r="AD240">
        <v>577</v>
      </c>
      <c r="AE240">
        <v>566</v>
      </c>
    </row>
    <row r="241" spans="1:41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19.573023291353859</v>
      </c>
      <c r="D241" s="18">
        <f>D236*D236*(SUM((H229*D229*(1-D218/H218))/(H218-1),(H231*D231*(1-D220/H220))/(H220-1), (H232*D232*(1-D221/H221))/(H221-1),(H233*D233*(1-D222/H222))/(H222-1)))</f>
        <v>24.856676259028351</v>
      </c>
      <c r="E241" s="18">
        <f>E236*E236*(SUM((H229*E229*(1-E218/H218))/(H218-1),(H230*E230*(1-E219/H219))/(H219-1), (H232*E232*(1-E221/H221))/(H221-1),(H233*E233*(1-E222/H222))/(H222-1)))</f>
        <v>164.56325548168306</v>
      </c>
      <c r="F241" s="18">
        <f>F236*F236*(SUM((H229*F229*(1-F218/H218))/(H218-1),(H230*F230*(1-F219/H219))/(H219-1), (H231*F231*(1-F220/H220))/(H220-1),(H233*F233*(1-F222/H222))/(H222-1)))</f>
        <v>77.61618606722466</v>
      </c>
      <c r="G241" s="18">
        <f>G236*G236*(SUM((H229*G229*(1-G218/H218))/(H218-1),(H230*G230*(1-G219/H219))/(H219-1), (H231*G231*(1-G220/H220))/(H220-1),(H232*G232*(1-G221/H221))/(H221-1)))</f>
        <v>203.22883579706661</v>
      </c>
      <c r="T241" s="57">
        <f>T124</f>
        <v>268.06603092783502</v>
      </c>
      <c r="U241" s="57">
        <f>U124</f>
        <v>535.39288004451157</v>
      </c>
      <c r="V241" s="57">
        <f>V124</f>
        <v>59592.135217661948</v>
      </c>
      <c r="W241" s="57">
        <f>W124</f>
        <v>29745.270586455663</v>
      </c>
      <c r="X241" s="57">
        <f>X124</f>
        <v>6442.9352849100369</v>
      </c>
      <c r="AB241">
        <v>20</v>
      </c>
      <c r="AC241">
        <v>611</v>
      </c>
      <c r="AD241">
        <v>606</v>
      </c>
      <c r="AE241">
        <v>595</v>
      </c>
      <c r="AN241" s="78"/>
      <c r="AO241" s="78"/>
    </row>
    <row r="242" spans="1:41" x14ac:dyDescent="0.3">
      <c r="T242" s="57">
        <f>T134</f>
        <v>207.12</v>
      </c>
      <c r="U242" s="57">
        <f>U134</f>
        <v>586.75157894736833</v>
      </c>
      <c r="V242" s="57">
        <f>V134</f>
        <v>59211.214599781131</v>
      </c>
      <c r="W242" s="57">
        <f>W134</f>
        <v>30179.975423756354</v>
      </c>
      <c r="X242" s="57">
        <f>X134</f>
        <v>6398.7383975151461</v>
      </c>
      <c r="AB242">
        <v>21</v>
      </c>
      <c r="AC242">
        <v>640</v>
      </c>
      <c r="AD242">
        <v>635</v>
      </c>
      <c r="AE242">
        <v>624</v>
      </c>
    </row>
    <row r="243" spans="1:41" x14ac:dyDescent="0.3">
      <c r="T243" s="57">
        <f>T144</f>
        <v>213.34</v>
      </c>
      <c r="U243" s="57">
        <f>U144</f>
        <v>644.23726734143349</v>
      </c>
      <c r="V243" s="57">
        <f>V144</f>
        <v>58548.262233406131</v>
      </c>
      <c r="W243" s="57">
        <f>W144</f>
        <v>31042.823182593769</v>
      </c>
      <c r="X243" s="57">
        <f>X144</f>
        <v>6135.1373166586618</v>
      </c>
      <c r="AB243">
        <v>22</v>
      </c>
      <c r="AC243">
        <v>669</v>
      </c>
      <c r="AD243">
        <v>664</v>
      </c>
      <c r="AE243">
        <v>653</v>
      </c>
      <c r="AN243" s="78"/>
      <c r="AO243" s="78"/>
    </row>
    <row r="244" spans="1:41" x14ac:dyDescent="0.3">
      <c r="A244" s="348" t="s">
        <v>373</v>
      </c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 t="s">
        <v>81</v>
      </c>
      <c r="M244" s="348"/>
      <c r="N244" s="348"/>
      <c r="O244" s="348"/>
      <c r="P244" s="348"/>
      <c r="T244" s="57">
        <f>T154</f>
        <v>200.01</v>
      </c>
      <c r="U244" s="57">
        <f>U154</f>
        <v>710.98927152662372</v>
      </c>
      <c r="V244" s="57">
        <f>V154</f>
        <v>59604.612214068278</v>
      </c>
      <c r="W244" s="57">
        <f>W154</f>
        <v>30074.953494191835</v>
      </c>
      <c r="X244" s="57">
        <f>X154</f>
        <v>5993.2350202132693</v>
      </c>
      <c r="AB244">
        <v>23</v>
      </c>
      <c r="AC244">
        <v>698</v>
      </c>
      <c r="AD244">
        <v>693</v>
      </c>
      <c r="AE244">
        <v>682</v>
      </c>
    </row>
    <row r="245" spans="1:41" x14ac:dyDescent="0.3">
      <c r="A245" t="s">
        <v>315</v>
      </c>
      <c r="B245" t="s">
        <v>21</v>
      </c>
      <c r="I245" s="1" t="s">
        <v>53</v>
      </c>
      <c r="O245" s="142"/>
      <c r="P245" s="142"/>
      <c r="T245" s="57">
        <f>T164</f>
        <v>203.43</v>
      </c>
      <c r="U245" s="57">
        <f>U164</f>
        <v>551.90171004816295</v>
      </c>
      <c r="V245" s="57">
        <f>V164</f>
        <v>59371.564992089647</v>
      </c>
      <c r="W245" s="57">
        <f>W164</f>
        <v>30176.941286071407</v>
      </c>
      <c r="X245" s="57">
        <f>X164</f>
        <v>6279.9620117907898</v>
      </c>
      <c r="AB245">
        <v>24</v>
      </c>
      <c r="AC245">
        <v>727</v>
      </c>
      <c r="AD245">
        <v>722</v>
      </c>
      <c r="AE245">
        <v>711</v>
      </c>
      <c r="AN245" s="78"/>
      <c r="AO245" s="78"/>
    </row>
    <row r="246" spans="1:41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51</v>
      </c>
      <c r="O246" s="13"/>
      <c r="P246" s="13"/>
      <c r="T246" s="57">
        <f>T174</f>
        <v>266.06091065292094</v>
      </c>
      <c r="U246" s="57">
        <f>U174</f>
        <v>530.94233442873781</v>
      </c>
      <c r="V246" s="57">
        <f>V174</f>
        <v>59262.225737359113</v>
      </c>
      <c r="W246" s="57">
        <f>W174</f>
        <v>30056.878355333683</v>
      </c>
      <c r="X246" s="57">
        <f>X174</f>
        <v>6467.702662225538</v>
      </c>
      <c r="AB246">
        <v>25</v>
      </c>
      <c r="AC246">
        <v>756</v>
      </c>
      <c r="AD246">
        <v>751</v>
      </c>
      <c r="AE246">
        <v>740</v>
      </c>
    </row>
    <row r="247" spans="1:41" x14ac:dyDescent="0.3">
      <c r="A247" t="s">
        <v>3</v>
      </c>
      <c r="B247" s="13">
        <v>0</v>
      </c>
      <c r="C247" s="26">
        <v>451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451</v>
      </c>
      <c r="I247" s="10">
        <f>C247/H247</f>
        <v>1</v>
      </c>
      <c r="J247" s="11">
        <f>1-I247</f>
        <v>0</v>
      </c>
      <c r="K247">
        <f>H247-C252</f>
        <v>-1</v>
      </c>
      <c r="N247" s="10">
        <f>2*(C253*I247)/(C253+I247)</f>
        <v>0.99889258028792915</v>
      </c>
      <c r="O247" s="1"/>
      <c r="P247" s="1"/>
      <c r="T247" s="57">
        <f>T184</f>
        <v>197.94000000000003</v>
      </c>
      <c r="U247" s="57">
        <f>U184</f>
        <v>790.35652600281674</v>
      </c>
      <c r="V247" s="57">
        <f>V184</f>
        <v>59438.878395757631</v>
      </c>
      <c r="W247" s="57">
        <f>W184</f>
        <v>29915.590035480054</v>
      </c>
      <c r="X247" s="57">
        <f>X184</f>
        <v>6241.0250427594929</v>
      </c>
      <c r="AB247">
        <v>26</v>
      </c>
      <c r="AC247">
        <v>785</v>
      </c>
      <c r="AD247">
        <v>780</v>
      </c>
      <c r="AE247">
        <v>769</v>
      </c>
      <c r="AN247" s="78"/>
      <c r="AO247" s="78"/>
    </row>
    <row r="248" spans="1:41" x14ac:dyDescent="0.3">
      <c r="A248" t="s">
        <v>4</v>
      </c>
      <c r="B248" s="13">
        <v>1</v>
      </c>
      <c r="C248" s="5">
        <v>0</v>
      </c>
      <c r="D248" s="27">
        <v>52</v>
      </c>
      <c r="E248" s="1">
        <v>5</v>
      </c>
      <c r="F248" s="1">
        <v>0</v>
      </c>
      <c r="G248" s="6">
        <v>0</v>
      </c>
      <c r="H248" s="1">
        <f>SUM(C248:G248)</f>
        <v>57</v>
      </c>
      <c r="I248" s="10">
        <f>D248/H248</f>
        <v>0.91228070175438591</v>
      </c>
      <c r="J248" s="11">
        <f>1-I248</f>
        <v>8.7719298245614086E-2</v>
      </c>
      <c r="K248">
        <f>H248-D252</f>
        <v>4</v>
      </c>
      <c r="N248" s="10">
        <f>2*(D253*I248)/(D253+I248)</f>
        <v>0.94545454545454544</v>
      </c>
      <c r="O248" s="1"/>
      <c r="P248" s="1"/>
      <c r="T248" s="57">
        <f>T194</f>
        <v>216.66999999999996</v>
      </c>
      <c r="U248" s="57">
        <f>U194</f>
        <v>712.13967669344493</v>
      </c>
      <c r="V248" s="57">
        <f>V194</f>
        <v>58927.946870428139</v>
      </c>
      <c r="W248" s="57">
        <f>W194</f>
        <v>31158.827891555742</v>
      </c>
      <c r="X248" s="57">
        <f>X194</f>
        <v>5568.225561322668</v>
      </c>
      <c r="AB248">
        <v>27</v>
      </c>
      <c r="AC248">
        <v>814</v>
      </c>
      <c r="AD248">
        <v>809</v>
      </c>
      <c r="AE248">
        <v>798</v>
      </c>
    </row>
    <row r="249" spans="1:41" x14ac:dyDescent="0.3">
      <c r="A249" t="s">
        <v>5</v>
      </c>
      <c r="B249" s="13">
        <v>2</v>
      </c>
      <c r="C249" s="5">
        <v>0</v>
      </c>
      <c r="D249" s="1">
        <v>0</v>
      </c>
      <c r="E249" s="27">
        <v>736</v>
      </c>
      <c r="F249" s="1">
        <v>1</v>
      </c>
      <c r="G249" s="6">
        <v>0</v>
      </c>
      <c r="H249" s="1">
        <f>SUM(C249:G249)</f>
        <v>737</v>
      </c>
      <c r="I249" s="10">
        <f>E249/H249</f>
        <v>0.99864314789687925</v>
      </c>
      <c r="J249" s="11">
        <f>1-I249</f>
        <v>1.3568521031207537E-3</v>
      </c>
      <c r="K249">
        <f>H249-E252</f>
        <v>-36</v>
      </c>
      <c r="N249" s="10">
        <f>2*(E253*I249)/(E253+I249)</f>
        <v>0.97483443708609263</v>
      </c>
      <c r="O249" s="1"/>
      <c r="P249" s="1"/>
      <c r="T249" s="57">
        <f>T204</f>
        <v>282.93489690721651</v>
      </c>
      <c r="U249" s="57">
        <f>U204</f>
        <v>606.91867877172297</v>
      </c>
      <c r="V249" s="57">
        <f>V204</f>
        <v>59213.106020706677</v>
      </c>
      <c r="W249" s="57">
        <f>W204</f>
        <v>30283.776684355755</v>
      </c>
      <c r="X249" s="57">
        <f>X204</f>
        <v>6197.063719258631</v>
      </c>
      <c r="AB249">
        <v>28</v>
      </c>
      <c r="AC249">
        <v>843</v>
      </c>
      <c r="AD249">
        <v>838</v>
      </c>
      <c r="AE249">
        <v>827</v>
      </c>
      <c r="AN249" s="78"/>
      <c r="AO249" s="78"/>
    </row>
    <row r="250" spans="1:41" x14ac:dyDescent="0.3">
      <c r="A250" t="s">
        <v>6</v>
      </c>
      <c r="B250" s="13">
        <v>3</v>
      </c>
      <c r="C250" s="5">
        <v>1</v>
      </c>
      <c r="D250" s="1">
        <v>0</v>
      </c>
      <c r="E250" s="1">
        <v>6</v>
      </c>
      <c r="F250" s="27">
        <v>567</v>
      </c>
      <c r="G250" s="6">
        <v>8</v>
      </c>
      <c r="H250" s="1">
        <f>SUM(C250:G250)</f>
        <v>582</v>
      </c>
      <c r="I250" s="10">
        <f>F250/H250</f>
        <v>0.97422680412371132</v>
      </c>
      <c r="J250" s="11">
        <f>1-I250</f>
        <v>2.5773195876288679E-2</v>
      </c>
      <c r="K250">
        <f>H250-F252</f>
        <v>-19</v>
      </c>
      <c r="N250" s="10">
        <f>2*(F253*I250)/(F253+I250)</f>
        <v>0.95857988165680463</v>
      </c>
      <c r="O250" s="1"/>
      <c r="P250" s="1"/>
      <c r="T250" s="57">
        <f>T214</f>
        <v>274.04048109965635</v>
      </c>
      <c r="U250" s="57">
        <f>U214</f>
        <v>672.77981395510574</v>
      </c>
      <c r="V250" s="57">
        <f>V214</f>
        <v>59236.984645972698</v>
      </c>
      <c r="W250" s="57">
        <f>W214</f>
        <v>30435.530069581539</v>
      </c>
      <c r="X250" s="57">
        <f>X214</f>
        <v>5964.4649893910146</v>
      </c>
      <c r="AB250">
        <v>29</v>
      </c>
      <c r="AC250">
        <v>872</v>
      </c>
      <c r="AD250">
        <v>867</v>
      </c>
      <c r="AE250">
        <v>856</v>
      </c>
    </row>
    <row r="251" spans="1:41" x14ac:dyDescent="0.3">
      <c r="A251" t="s">
        <v>7</v>
      </c>
      <c r="B251" s="13">
        <v>4</v>
      </c>
      <c r="C251" s="7">
        <v>0</v>
      </c>
      <c r="D251" s="8">
        <v>1</v>
      </c>
      <c r="E251" s="8">
        <v>26</v>
      </c>
      <c r="F251" s="8">
        <v>33</v>
      </c>
      <c r="G251" s="28">
        <v>949</v>
      </c>
      <c r="H251" s="1">
        <f>SUM(C251:G251)</f>
        <v>1009</v>
      </c>
      <c r="I251" s="10">
        <f>G251/H251</f>
        <v>0.94053518334985131</v>
      </c>
      <c r="J251" s="11">
        <f>1-I251</f>
        <v>5.9464816650148689E-2</v>
      </c>
      <c r="K251">
        <f>H251-G252</f>
        <v>52</v>
      </c>
      <c r="N251" s="10">
        <f>2*(G253*I251)/(G253+I251)</f>
        <v>0.96541200406917604</v>
      </c>
      <c r="O251" s="1"/>
      <c r="P251" s="1"/>
      <c r="AN251" s="78"/>
      <c r="AO251" s="78"/>
    </row>
    <row r="252" spans="1:41" ht="15.6" x14ac:dyDescent="0.35">
      <c r="B252" s="1" t="s">
        <v>19</v>
      </c>
      <c r="C252" s="1">
        <f>SUM(C247:C251)</f>
        <v>452</v>
      </c>
      <c r="D252" s="1">
        <f>SUM(D247:D251)</f>
        <v>53</v>
      </c>
      <c r="E252" s="1">
        <f>SUM(E247:E251)</f>
        <v>773</v>
      </c>
      <c r="F252" s="1">
        <f>SUM(F247:F251)</f>
        <v>601</v>
      </c>
      <c r="G252" s="1">
        <f>SUM(G247:G251)</f>
        <v>957</v>
      </c>
      <c r="H252" s="1">
        <f>SUM(H246:H251)</f>
        <v>2836</v>
      </c>
      <c r="I252" s="13" t="s">
        <v>12</v>
      </c>
      <c r="N252" s="16"/>
      <c r="O252" s="1"/>
      <c r="P252" s="1"/>
    </row>
    <row r="253" spans="1:41" x14ac:dyDescent="0.3">
      <c r="A253" s="1" t="s">
        <v>316</v>
      </c>
      <c r="B253" s="1" t="s">
        <v>2</v>
      </c>
      <c r="C253" s="10">
        <f>C247/C252</f>
        <v>0.99778761061946908</v>
      </c>
      <c r="D253" s="10">
        <f>D248/D252</f>
        <v>0.98113207547169812</v>
      </c>
      <c r="E253" s="10">
        <f>E249/E252</f>
        <v>0.95213454075032344</v>
      </c>
      <c r="F253" s="10">
        <f>F250/F252</f>
        <v>0.94342762063227958</v>
      </c>
      <c r="G253" s="10">
        <f>G251/G252</f>
        <v>0.99164054336468133</v>
      </c>
      <c r="H253" s="10"/>
      <c r="I253" s="14">
        <f>(C247+D248+E249+F250+G251)/H252</f>
        <v>0.97143864598025387</v>
      </c>
      <c r="AN253" s="78"/>
      <c r="AO253" s="78"/>
    </row>
    <row r="254" spans="1:41" x14ac:dyDescent="0.3">
      <c r="B254" s="1" t="s">
        <v>14</v>
      </c>
      <c r="C254" s="11">
        <f>1-C253</f>
        <v>2.2123893805309214E-3</v>
      </c>
      <c r="D254" s="11">
        <f>1-D253</f>
        <v>1.8867924528301883E-2</v>
      </c>
      <c r="E254" s="11">
        <f>1-E253</f>
        <v>4.7865459249676556E-2</v>
      </c>
      <c r="F254" s="11">
        <f>1-F253</f>
        <v>5.6572379367720416E-2</v>
      </c>
      <c r="G254" s="11">
        <f>1-G253</f>
        <v>8.3594566353186739E-3</v>
      </c>
    </row>
    <row r="255" spans="1:41" x14ac:dyDescent="0.3">
      <c r="C255" s="2"/>
      <c r="AN255" s="78"/>
      <c r="AO255" s="78"/>
    </row>
    <row r="256" spans="1:41" ht="15.6" x14ac:dyDescent="0.35">
      <c r="A256" t="s">
        <v>317</v>
      </c>
      <c r="B256" s="15" t="s">
        <v>23</v>
      </c>
      <c r="N256" s="12" t="s">
        <v>17</v>
      </c>
      <c r="O256" s="1" t="s">
        <v>27</v>
      </c>
      <c r="P256" s="1" t="s">
        <v>33</v>
      </c>
    </row>
    <row r="257" spans="1:41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</row>
    <row r="258" spans="1:41" x14ac:dyDescent="0.3">
      <c r="A258" t="s">
        <v>3</v>
      </c>
      <c r="B258" s="13">
        <v>0</v>
      </c>
      <c r="C258" s="29">
        <f>(C247/$L258)*$O258</f>
        <v>0.22004725430144603</v>
      </c>
      <c r="D258" s="31">
        <f>(D247/$L258)*$O258</f>
        <v>0</v>
      </c>
      <c r="E258" s="31">
        <f>(E247/$L258)*$O258</f>
        <v>0</v>
      </c>
      <c r="F258" s="31">
        <f>(F247/$L258)*$O258</f>
        <v>0</v>
      </c>
      <c r="G258" s="32">
        <f>(G247/$L258)*$O258</f>
        <v>0</v>
      </c>
      <c r="H258" s="17">
        <f>SUM(C258:G258)</f>
        <v>0.22004725430144603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451</v>
      </c>
      <c r="M258">
        <v>0</v>
      </c>
      <c r="N258" s="1">
        <v>212.53</v>
      </c>
      <c r="O258" s="17">
        <f>N258/N263*100</f>
        <v>0.22004725430144603</v>
      </c>
      <c r="P258" s="52">
        <f>((O258*O258*(I258/100)*(K258/100))/(L258-1))</f>
        <v>0</v>
      </c>
    </row>
    <row r="259" spans="1:41" x14ac:dyDescent="0.3">
      <c r="A259" t="s">
        <v>4</v>
      </c>
      <c r="B259" s="13">
        <v>1</v>
      </c>
      <c r="C259" s="33">
        <f t="shared" ref="C259:G262" si="38">(C248/$L259)*$O259</f>
        <v>0</v>
      </c>
      <c r="D259" s="34">
        <f t="shared" si="38"/>
        <v>0.55691516026642529</v>
      </c>
      <c r="E259" s="19">
        <f t="shared" si="38"/>
        <v>5.3549534641002428E-2</v>
      </c>
      <c r="F259" s="18">
        <f t="shared" si="38"/>
        <v>0</v>
      </c>
      <c r="G259" s="20">
        <f t="shared" si="38"/>
        <v>0</v>
      </c>
      <c r="H259" s="17">
        <f>SUM(C259:G259)</f>
        <v>0.61046469490742772</v>
      </c>
      <c r="I259" s="17">
        <f>D259/H259*100</f>
        <v>91.228070175438603</v>
      </c>
      <c r="J259" s="17">
        <f>SQRT(I259*(100-I259)/(L259-1))</f>
        <v>3.7802263481198874</v>
      </c>
      <c r="K259" s="18">
        <f>100-I259</f>
        <v>8.771929824561397</v>
      </c>
      <c r="L259" s="1">
        <f>H248</f>
        <v>57</v>
      </c>
      <c r="M259">
        <v>1</v>
      </c>
      <c r="N259" s="1">
        <v>589.61</v>
      </c>
      <c r="O259" s="17">
        <f>N259/N263*100</f>
        <v>0.61046469490742772</v>
      </c>
      <c r="P259" s="52">
        <f>((O259*O259*(I259/100)*(K259/100))/(L259-1))</f>
        <v>5.3254549404975612E-4</v>
      </c>
      <c r="AN259" s="78"/>
      <c r="AO259" s="78"/>
    </row>
    <row r="260" spans="1:41" x14ac:dyDescent="0.3">
      <c r="A260" t="s">
        <v>5</v>
      </c>
      <c r="B260" s="13">
        <v>2</v>
      </c>
      <c r="C260" s="33">
        <f t="shared" si="38"/>
        <v>0</v>
      </c>
      <c r="D260" s="19">
        <f t="shared" si="38"/>
        <v>0</v>
      </c>
      <c r="E260" s="34">
        <f t="shared" si="38"/>
        <v>61.171930805468129</v>
      </c>
      <c r="F260" s="19">
        <f t="shared" si="38"/>
        <v>8.3114036420472992E-2</v>
      </c>
      <c r="G260" s="20">
        <f t="shared" si="38"/>
        <v>0</v>
      </c>
      <c r="H260" s="17">
        <f>SUM(C260:G260)</f>
        <v>61.255044841888605</v>
      </c>
      <c r="I260" s="17">
        <f>E260/H260*100</f>
        <v>99.864314789687924</v>
      </c>
      <c r="J260" s="17">
        <f>SQRT(I260*(100-I260)/(L260-1))</f>
        <v>0.13568521031207589</v>
      </c>
      <c r="K260" s="18">
        <f>100-I260</f>
        <v>0.13568521031207581</v>
      </c>
      <c r="L260" s="1">
        <f>H249</f>
        <v>737</v>
      </c>
      <c r="M260">
        <v>2</v>
      </c>
      <c r="N260" s="1">
        <v>59162.45</v>
      </c>
      <c r="O260" s="17">
        <f>N260/N263*100</f>
        <v>61.255044841888605</v>
      </c>
      <c r="P260" s="52">
        <f>((O260*O260*(I260/100)*(K260/100))/(L260-1))</f>
        <v>6.9079430501037048E-3</v>
      </c>
    </row>
    <row r="261" spans="1:41" x14ac:dyDescent="0.3">
      <c r="A261" t="s">
        <v>6</v>
      </c>
      <c r="B261" s="13">
        <v>3</v>
      </c>
      <c r="C261" s="33">
        <f t="shared" si="38"/>
        <v>5.4624394723755701E-2</v>
      </c>
      <c r="D261" s="19">
        <f t="shared" si="38"/>
        <v>0</v>
      </c>
      <c r="E261" s="19">
        <f t="shared" si="38"/>
        <v>0.32774636834253418</v>
      </c>
      <c r="F261" s="34">
        <f t="shared" si="38"/>
        <v>30.972031808369483</v>
      </c>
      <c r="G261" s="20">
        <f t="shared" si="38"/>
        <v>0.43699515779004561</v>
      </c>
      <c r="H261" s="17">
        <f>SUM(C261:G261)</f>
        <v>31.791397729225821</v>
      </c>
      <c r="I261" s="17">
        <f>F261/H261*100</f>
        <v>97.422680412371122</v>
      </c>
      <c r="J261" s="17">
        <f>SQRT(I261*(100-I261)/(L261-1))</f>
        <v>0.6573945633229682</v>
      </c>
      <c r="K261" s="18">
        <f>100-I261</f>
        <v>2.5773195876288781</v>
      </c>
      <c r="L261" s="1">
        <f>H250</f>
        <v>582</v>
      </c>
      <c r="M261">
        <v>3</v>
      </c>
      <c r="N261" s="1">
        <v>30705.34</v>
      </c>
      <c r="O261" s="17">
        <f>N261/N263*100</f>
        <v>31.791397729225817</v>
      </c>
      <c r="P261" s="52">
        <f>((O261*O261*(I261/100)*(K261/100))/(L261-1))</f>
        <v>4.3678876701302043E-2</v>
      </c>
      <c r="AN261" s="78"/>
      <c r="AO261" s="78"/>
    </row>
    <row r="262" spans="1:41" x14ac:dyDescent="0.3">
      <c r="A262" t="s">
        <v>7</v>
      </c>
      <c r="B262" s="13">
        <v>4</v>
      </c>
      <c r="C262" s="35">
        <f t="shared" si="38"/>
        <v>0</v>
      </c>
      <c r="D262" s="36">
        <f t="shared" si="38"/>
        <v>6.0684296131582917E-3</v>
      </c>
      <c r="E262" s="21">
        <f t="shared" si="38"/>
        <v>0.15777916994211558</v>
      </c>
      <c r="F262" s="21">
        <f t="shared" si="38"/>
        <v>0.20025817723422362</v>
      </c>
      <c r="G262" s="37">
        <f t="shared" si="38"/>
        <v>5.7589397028872185</v>
      </c>
      <c r="H262" s="17">
        <f>SUM(C262:G262)</f>
        <v>6.1230454796767155</v>
      </c>
      <c r="I262" s="17">
        <f>G262/H262*100</f>
        <v>94.053518334985142</v>
      </c>
      <c r="J262" s="17">
        <f>SQRT(I262*(100-I262)/(L262-1))</f>
        <v>0.744881690236464</v>
      </c>
      <c r="K262" s="18">
        <f>100-I262</f>
        <v>5.9464816650148578</v>
      </c>
      <c r="L262" s="1">
        <f>H251</f>
        <v>1009</v>
      </c>
      <c r="M262">
        <v>4</v>
      </c>
      <c r="N262" s="1">
        <v>5913.87</v>
      </c>
      <c r="O262" s="17">
        <f>N262/N263*100</f>
        <v>6.1230454796767164</v>
      </c>
      <c r="P262" s="52">
        <f>((O262*O262*(I262/100)*(K262/100))/(L262-1))</f>
        <v>2.0802214424639151E-3</v>
      </c>
    </row>
    <row r="263" spans="1:41" x14ac:dyDescent="0.3">
      <c r="B263" t="s">
        <v>28</v>
      </c>
      <c r="C263" s="17">
        <f>SUM(C258:C262)</f>
        <v>0.27467164902520175</v>
      </c>
      <c r="D263" s="17">
        <f>SUM(D258:D262)</f>
        <v>0.56298358987958363</v>
      </c>
      <c r="E263" s="17">
        <f>SUM(E258:E262)</f>
        <v>61.711005878393777</v>
      </c>
      <c r="F263" s="17">
        <f>SUM(F258:F262)</f>
        <v>31.25540402202418</v>
      </c>
      <c r="G263" s="17">
        <f>SUM(G258:G262)</f>
        <v>6.195934860677264</v>
      </c>
      <c r="H263" s="1">
        <f>SUM(H257:H262)</f>
        <v>100.00000000000001</v>
      </c>
      <c r="I263" s="13" t="s">
        <v>24</v>
      </c>
      <c r="J263" s="12" t="s">
        <v>29</v>
      </c>
      <c r="N263" s="1">
        <f>SUM(N258:N262)</f>
        <v>96583.799999999988</v>
      </c>
      <c r="O263" s="17">
        <f>SUM(O258:O262)</f>
        <v>100.00000000000001</v>
      </c>
      <c r="AM263" s="78"/>
      <c r="AN263" s="78"/>
      <c r="AO263" s="78"/>
    </row>
    <row r="264" spans="1:41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5.4577446374107365E-2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2.3664148648398838E-2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0.16147121317485313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0.22732774600589961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0.16006447953732314</v>
      </c>
      <c r="H264" s="1"/>
      <c r="I264" s="56">
        <f>(C258+D259+E260+F261+G262)/H263</f>
        <v>0.98679864731292677</v>
      </c>
      <c r="J264" s="53">
        <f>SQRT(SUM(P258:P262))/100</f>
        <v>2.3065035592411171E-3</v>
      </c>
      <c r="M264" s="1"/>
      <c r="N264" s="9"/>
    </row>
    <row r="265" spans="1:41" x14ac:dyDescent="0.3">
      <c r="B265" s="1" t="s">
        <v>30</v>
      </c>
      <c r="C265" s="17">
        <f>C258/C263*100</f>
        <v>80.112838395365742</v>
      </c>
      <c r="D265" s="17">
        <f>D259/D263*100</f>
        <v>98.92209476044296</v>
      </c>
      <c r="E265" s="17">
        <f>E260/E263*100</f>
        <v>99.126452299306322</v>
      </c>
      <c r="F265" s="17">
        <f>F261/F263*100</f>
        <v>99.093365699400266</v>
      </c>
      <c r="G265" s="17">
        <f>G262/G263*100</f>
        <v>92.947066623255651</v>
      </c>
      <c r="H265" s="1"/>
      <c r="AM265" s="78"/>
      <c r="AN265" s="78"/>
      <c r="AO265" s="78"/>
    </row>
    <row r="266" spans="1:41" x14ac:dyDescent="0.3">
      <c r="B266" s="16" t="s">
        <v>39</v>
      </c>
      <c r="C266" s="18">
        <f>SQRT((C269+C270)/(C263*C263))</f>
        <v>15.932169637745872</v>
      </c>
      <c r="D266" s="18">
        <f>SQRT((D269+D270)/(D263*D263))</f>
        <v>1.1542043672578763</v>
      </c>
      <c r="E266" s="18">
        <f>SQRT((E269+E270)/(E263*E263))</f>
        <v>0.22297398979732277</v>
      </c>
      <c r="F266" s="18">
        <f>SQRT((F269+F270)/(F263*F263))</f>
        <v>0.29144341563916798</v>
      </c>
      <c r="G266" s="18">
        <f>SQRT((G269+G270)/(G263*G263))</f>
        <v>2.3614912145568345</v>
      </c>
      <c r="H266" s="1"/>
    </row>
    <row r="267" spans="1:41" x14ac:dyDescent="0.3">
      <c r="B267" s="1" t="s">
        <v>37</v>
      </c>
      <c r="C267" s="18">
        <f>100-C265</f>
        <v>19.887161604634258</v>
      </c>
      <c r="D267" s="18">
        <f>100-D265</f>
        <v>1.0779052395570403</v>
      </c>
      <c r="E267" s="18">
        <f>100-E265</f>
        <v>0.8735477006936776</v>
      </c>
      <c r="F267" s="18">
        <f>100-F265</f>
        <v>0.90663430059973393</v>
      </c>
      <c r="G267" s="18">
        <f>100-G265</f>
        <v>7.0529333767443489</v>
      </c>
      <c r="AM267" s="78"/>
      <c r="AN267" s="78"/>
      <c r="AO267" s="78"/>
    </row>
    <row r="268" spans="1:41" ht="15.6" x14ac:dyDescent="0.35">
      <c r="B268" s="1" t="s">
        <v>25</v>
      </c>
      <c r="C268" s="1">
        <f>C252</f>
        <v>452</v>
      </c>
      <c r="D268" s="1">
        <f>D252</f>
        <v>53</v>
      </c>
      <c r="E268" s="1">
        <f>E252</f>
        <v>773</v>
      </c>
      <c r="F268" s="1">
        <f>F252</f>
        <v>601</v>
      </c>
      <c r="G268" s="1">
        <f>G252</f>
        <v>957</v>
      </c>
    </row>
    <row r="269" spans="1:41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6.1875380177298822E-2</v>
      </c>
      <c r="E269" s="18">
        <f>(O260*O260*(100-E265)*(100-E265)*(I260)*(100-I260))/((L260-1)*100)</f>
        <v>0.52713517662099019</v>
      </c>
      <c r="F269" s="18">
        <f>(O261*O261*(100-F265)*(100-F265)*(I261)*(100-I261))/((L261-1)*100)</f>
        <v>3.5903414443918602</v>
      </c>
      <c r="G269" s="18">
        <f>(O262*O262*(100-G265)*(100-G265)*(I262)*(100-I262))/((L262-1)*100)</f>
        <v>10.347826337589646</v>
      </c>
      <c r="AM269" s="78"/>
      <c r="AN269" s="78"/>
      <c r="AO269" s="78"/>
    </row>
    <row r="270" spans="1:41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19.150385179712554</v>
      </c>
      <c r="D270" s="18">
        <f>D265*D265*(SUM((H258*D258*(1-D247/H247))/(H247-1),(H260*D260*(1-D249/H249))/(H249-1), (H261*D261*(1-D250/H250))/(H250-1),(H262*D262*(1-D251/H251))/(H251-1)))</f>
        <v>0.36036221415258146</v>
      </c>
      <c r="E270" s="18">
        <f>E265*E265*(SUM((H258*E258*(1-E247/H247))/(H247-1),(H259*E259*(1-E248/H248))/(H248-1), (H261*E261*(1-E250/H250))/(H250-1),(H262*E262*(1-E251/H251))/(H251-1)))</f>
        <v>188.80906667542865</v>
      </c>
      <c r="F270" s="18">
        <f>F265*F265*(SUM((H258*F258*(1-F247/H247))/(H247-1),(H259*F259*(1-F248/H248))/(H248-1), (H260*F260*(1-F249/H249))/(H249-1),(H262*F262*(1-F251/H251))/(H251-1)))</f>
        <v>79.386849896890126</v>
      </c>
      <c r="G270" s="18">
        <f>G265*G265*(SUM((H258*G258*(1-G247/H247))/(H247-1),(H259*G259*(1-G248/H248))/(H248-1), (H260*G260*(1-G249/H249))/(H249-1),(H261*G261*(1-G250/H250))/(H250-1)))</f>
        <v>203.73723070734491</v>
      </c>
    </row>
    <row r="271" spans="1:41" x14ac:dyDescent="0.3">
      <c r="AM271" s="78"/>
      <c r="AN271" s="78"/>
      <c r="AO271" s="78"/>
    </row>
    <row r="272" spans="1:41" x14ac:dyDescent="0.3">
      <c r="T272" s="2"/>
    </row>
    <row r="273" spans="1:41" x14ac:dyDescent="0.3">
      <c r="A273" s="348" t="s">
        <v>373</v>
      </c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 t="s">
        <v>82</v>
      </c>
      <c r="M273" s="348"/>
      <c r="N273" s="348"/>
      <c r="O273" s="348"/>
      <c r="P273" s="348"/>
      <c r="AM273" s="78"/>
      <c r="AN273" s="78"/>
      <c r="AO273" s="78"/>
    </row>
    <row r="274" spans="1:41" ht="15" thickBot="1" x14ac:dyDescent="0.35">
      <c r="A274" t="s">
        <v>315</v>
      </c>
      <c r="B274" t="s">
        <v>21</v>
      </c>
      <c r="I274" s="1" t="s">
        <v>53</v>
      </c>
      <c r="O274" s="142"/>
      <c r="P274" s="142"/>
      <c r="R274" s="59" t="s">
        <v>73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72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51</v>
      </c>
      <c r="O275" s="13"/>
      <c r="P275" s="13"/>
      <c r="S275" t="s">
        <v>28</v>
      </c>
      <c r="T275" s="57">
        <f t="shared" ref="T275:X276" si="39">AVERAGE(T16,T26,T36,T46,T56)</f>
        <v>0.22000790996854427</v>
      </c>
      <c r="U275" s="57">
        <f t="shared" si="39"/>
        <v>0.56504736966532454</v>
      </c>
      <c r="V275" s="57">
        <f t="shared" si="39"/>
        <v>61.42815813038726</v>
      </c>
      <c r="W275" s="57">
        <f t="shared" si="39"/>
        <v>31.41851474357361</v>
      </c>
      <c r="X275" s="57">
        <f t="shared" si="39"/>
        <v>6.3682718464052597</v>
      </c>
      <c r="Z275" s="14">
        <f>AVERAGE(AE16,AE17,AE18,AE19,AE20)</f>
        <v>0.98605963077550352</v>
      </c>
      <c r="AA275" s="72">
        <f>AVERAGE(AF16,AF17,AF18,AF19,AF20)</f>
        <v>2.364228994529372E-3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451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451</v>
      </c>
      <c r="I276" s="10">
        <f>C276/H276</f>
        <v>1</v>
      </c>
      <c r="J276" s="11">
        <f>1-I276</f>
        <v>0</v>
      </c>
      <c r="K276">
        <f>H276-C281</f>
        <v>-1</v>
      </c>
      <c r="N276" s="10">
        <f>2*(C282*I276)/(C282+I276)</f>
        <v>0.99889258028792915</v>
      </c>
      <c r="O276" s="1"/>
      <c r="P276" s="1"/>
      <c r="S276" t="s">
        <v>39</v>
      </c>
      <c r="T276" s="57">
        <f t="shared" si="39"/>
        <v>0</v>
      </c>
      <c r="U276" s="57">
        <f t="shared" si="39"/>
        <v>2.1277384691529677E-2</v>
      </c>
      <c r="V276" s="57">
        <f t="shared" si="39"/>
        <v>0.15704687319621766</v>
      </c>
      <c r="W276" s="57">
        <f t="shared" si="39"/>
        <v>0.22975004462869358</v>
      </c>
      <c r="X276" s="57">
        <f t="shared" si="39"/>
        <v>0.18444824518994266</v>
      </c>
    </row>
    <row r="277" spans="1:41" x14ac:dyDescent="0.3">
      <c r="A277" t="s">
        <v>4</v>
      </c>
      <c r="B277" s="13">
        <v>1</v>
      </c>
      <c r="C277" s="5">
        <v>0</v>
      </c>
      <c r="D277" s="27">
        <v>53</v>
      </c>
      <c r="E277" s="1">
        <v>4</v>
      </c>
      <c r="F277" s="1">
        <v>0</v>
      </c>
      <c r="G277" s="6">
        <v>0</v>
      </c>
      <c r="H277" s="1">
        <f>SUM(C277:G277)</f>
        <v>57</v>
      </c>
      <c r="I277" s="10">
        <f>D277/H277</f>
        <v>0.92982456140350878</v>
      </c>
      <c r="J277" s="11">
        <f>1-I277</f>
        <v>7.0175438596491224E-2</v>
      </c>
      <c r="K277">
        <f>H277-D281</f>
        <v>0</v>
      </c>
      <c r="N277" s="10">
        <f>2*(D282*I277)/(D282+I277)</f>
        <v>0.92982456140350878</v>
      </c>
      <c r="O277" s="1"/>
      <c r="P277" s="1"/>
      <c r="S277" s="66" t="s">
        <v>60</v>
      </c>
      <c r="T277" s="67">
        <f>1.96*T276</f>
        <v>0</v>
      </c>
      <c r="U277" s="67">
        <f>1.96*U276</f>
        <v>4.1703673995398163E-2</v>
      </c>
      <c r="V277" s="67">
        <f>1.96*V276</f>
        <v>0.30781187146458661</v>
      </c>
      <c r="W277" s="67">
        <f>1.96*W276</f>
        <v>0.45031008747223944</v>
      </c>
      <c r="X277" s="67">
        <f>1.96*X276</f>
        <v>0.3615185605722876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1</v>
      </c>
      <c r="E278" s="27">
        <v>735</v>
      </c>
      <c r="F278" s="1">
        <v>1</v>
      </c>
      <c r="G278" s="6">
        <v>0</v>
      </c>
      <c r="H278" s="1">
        <f>SUM(C278:G278)</f>
        <v>737</v>
      </c>
      <c r="I278" s="10">
        <f>E278/H278</f>
        <v>0.99728629579375849</v>
      </c>
      <c r="J278" s="11">
        <f>1-I278</f>
        <v>2.7137042062415073E-3</v>
      </c>
      <c r="K278">
        <f>H278-E281</f>
        <v>-40</v>
      </c>
      <c r="N278" s="10">
        <f>2*(E282*I278)/(E282+I278)</f>
        <v>0.97093791281373854</v>
      </c>
      <c r="O278" s="1"/>
      <c r="P278" s="1"/>
      <c r="S278" t="s">
        <v>30</v>
      </c>
      <c r="T278" s="57">
        <f t="shared" ref="T278:X279" si="40">AVERAGE(T18,T28,T38,T48,T58)</f>
        <v>100</v>
      </c>
      <c r="U278" s="57">
        <f t="shared" si="40"/>
        <v>98.507000736367857</v>
      </c>
      <c r="V278" s="57">
        <f t="shared" si="40"/>
        <v>99.090224406951975</v>
      </c>
      <c r="W278" s="57">
        <f t="shared" si="40"/>
        <v>99.245503090984784</v>
      </c>
      <c r="X278" s="57">
        <f t="shared" si="40"/>
        <v>90.836001307236288</v>
      </c>
    </row>
    <row r="279" spans="1:41" x14ac:dyDescent="0.3">
      <c r="A279" t="s">
        <v>6</v>
      </c>
      <c r="B279" s="13">
        <v>3</v>
      </c>
      <c r="C279" s="5">
        <v>1</v>
      </c>
      <c r="D279" s="1">
        <v>0</v>
      </c>
      <c r="E279" s="1">
        <v>4</v>
      </c>
      <c r="F279" s="27">
        <v>565</v>
      </c>
      <c r="G279" s="6">
        <v>12</v>
      </c>
      <c r="H279" s="1">
        <f>SUM(C279:G279)</f>
        <v>582</v>
      </c>
      <c r="I279" s="10">
        <f>F279/H279</f>
        <v>0.97079037800687284</v>
      </c>
      <c r="J279" s="11">
        <f>1-I279</f>
        <v>2.9209621993127155E-2</v>
      </c>
      <c r="K279">
        <f>H279-F281</f>
        <v>-6</v>
      </c>
      <c r="N279" s="10">
        <f>2*(F282*I279)/(F282+I279)</f>
        <v>0.96581196581196582</v>
      </c>
      <c r="O279" s="1"/>
      <c r="P279" s="1"/>
      <c r="S279" t="s">
        <v>39</v>
      </c>
      <c r="T279" s="57">
        <f t="shared" si="40"/>
        <v>0</v>
      </c>
      <c r="U279" s="57">
        <f t="shared" si="40"/>
        <v>0.94275446752617376</v>
      </c>
      <c r="V279" s="57">
        <f t="shared" si="40"/>
        <v>0.21572983652991309</v>
      </c>
      <c r="W279" s="57">
        <f t="shared" si="40"/>
        <v>0.24701539024972435</v>
      </c>
      <c r="X279" s="57">
        <f t="shared" si="40"/>
        <v>2.617581879728037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3</v>
      </c>
      <c r="E280" s="8">
        <v>34</v>
      </c>
      <c r="F280" s="8">
        <v>22</v>
      </c>
      <c r="G280" s="28">
        <v>950</v>
      </c>
      <c r="H280" s="1">
        <f>SUM(C280:G280)</f>
        <v>1009</v>
      </c>
      <c r="I280" s="10">
        <f>G280/H280</f>
        <v>0.94152626362735381</v>
      </c>
      <c r="J280" s="11">
        <f>1-I280</f>
        <v>5.847373637264619E-2</v>
      </c>
      <c r="K280">
        <f>H280-G281</f>
        <v>47</v>
      </c>
      <c r="N280" s="10">
        <f>2*(G282*I280)/(G282+I280)</f>
        <v>0.96397767630644349</v>
      </c>
      <c r="O280" s="1"/>
      <c r="P280" s="1"/>
      <c r="S280" s="66" t="s">
        <v>60</v>
      </c>
      <c r="T280" s="67">
        <f>1.96*T279</f>
        <v>0</v>
      </c>
      <c r="U280" s="67">
        <f>1.96*U279</f>
        <v>1.8477987563513005</v>
      </c>
      <c r="V280" s="67">
        <f>1.96*V279</f>
        <v>0.42283047959862968</v>
      </c>
      <c r="W280" s="67">
        <f>1.96*W279</f>
        <v>0.48415016488945972</v>
      </c>
      <c r="X280" s="67">
        <f>1.96*X279</f>
        <v>5.1304604842669521</v>
      </c>
    </row>
    <row r="281" spans="1:41" ht="15.6" x14ac:dyDescent="0.35">
      <c r="B281" s="1" t="s">
        <v>19</v>
      </c>
      <c r="C281" s="1">
        <f>SUM(C276:C280)</f>
        <v>452</v>
      </c>
      <c r="D281" s="1">
        <f>SUM(D276:D280)</f>
        <v>57</v>
      </c>
      <c r="E281" s="1">
        <f>SUM(E276:E280)</f>
        <v>777</v>
      </c>
      <c r="F281" s="1">
        <f>SUM(F276:F280)</f>
        <v>588</v>
      </c>
      <c r="G281" s="1">
        <f>SUM(G276:G280)</f>
        <v>962</v>
      </c>
      <c r="H281" s="1">
        <f>SUM(H275:H280)</f>
        <v>2836</v>
      </c>
      <c r="I281" s="13" t="s">
        <v>12</v>
      </c>
      <c r="N281" s="16"/>
      <c r="O281" s="1"/>
      <c r="P281" s="1"/>
      <c r="S281" t="s">
        <v>31</v>
      </c>
      <c r="T281" s="57">
        <f t="shared" ref="T281:X282" si="41">AVERAGE(T20,T30,T40,T50,T60)</f>
        <v>100</v>
      </c>
      <c r="U281" s="57">
        <f t="shared" si="41"/>
        <v>92.982456140350877</v>
      </c>
      <c r="V281" s="57">
        <f t="shared" si="41"/>
        <v>99.864314789687924</v>
      </c>
      <c r="W281" s="57">
        <f t="shared" si="41"/>
        <v>97.285223367697583</v>
      </c>
      <c r="X281" s="57">
        <f t="shared" si="41"/>
        <v>93.538156590683855</v>
      </c>
      <c r="AM281" s="78"/>
      <c r="AN281" s="78"/>
      <c r="AO281" s="78"/>
    </row>
    <row r="282" spans="1:41" x14ac:dyDescent="0.3">
      <c r="A282" s="1" t="s">
        <v>316</v>
      </c>
      <c r="B282" s="1" t="s">
        <v>2</v>
      </c>
      <c r="C282" s="10">
        <f>C276/C281</f>
        <v>0.99778761061946908</v>
      </c>
      <c r="D282" s="10">
        <f>D277/D281</f>
        <v>0.92982456140350878</v>
      </c>
      <c r="E282" s="10">
        <f>E278/E281</f>
        <v>0.94594594594594594</v>
      </c>
      <c r="F282" s="10">
        <f>F279/F281</f>
        <v>0.96088435374149661</v>
      </c>
      <c r="G282" s="10">
        <f>G280/G281</f>
        <v>0.98752598752598753</v>
      </c>
      <c r="H282" s="10"/>
      <c r="I282" s="14">
        <f>(C276+D277+E278+F279+G280)/H281</f>
        <v>0.97108603667136817</v>
      </c>
      <c r="S282" t="s">
        <v>39</v>
      </c>
      <c r="T282" s="57">
        <f t="shared" si="41"/>
        <v>0</v>
      </c>
      <c r="U282" s="57">
        <f t="shared" si="41"/>
        <v>3.3883612295465801</v>
      </c>
      <c r="V282" s="57">
        <f t="shared" si="41"/>
        <v>0.13568521031207589</v>
      </c>
      <c r="W282" s="57">
        <f t="shared" si="41"/>
        <v>0.67123637223118737</v>
      </c>
      <c r="X282" s="57">
        <f t="shared" si="41"/>
        <v>0.77370304743561369</v>
      </c>
    </row>
    <row r="283" spans="1:41" x14ac:dyDescent="0.3">
      <c r="B283" s="1" t="s">
        <v>14</v>
      </c>
      <c r="C283" s="11">
        <f>1-C282</f>
        <v>2.2123893805309214E-3</v>
      </c>
      <c r="D283" s="11">
        <f>1-D282</f>
        <v>7.0175438596491224E-2</v>
      </c>
      <c r="E283" s="11">
        <f>1-E282</f>
        <v>5.4054054054054057E-2</v>
      </c>
      <c r="F283" s="11">
        <f>1-F282</f>
        <v>3.9115646258503389E-2</v>
      </c>
      <c r="G283" s="11">
        <f>1-G282</f>
        <v>1.2474012474012475E-2</v>
      </c>
      <c r="S283" s="66" t="s">
        <v>60</v>
      </c>
      <c r="T283" s="67">
        <f>1.96*T282</f>
        <v>0</v>
      </c>
      <c r="U283" s="67">
        <f>1.96*U282</f>
        <v>6.6411880099112972</v>
      </c>
      <c r="V283" s="67">
        <f>1.96*V282</f>
        <v>0.26594301221166877</v>
      </c>
      <c r="W283" s="67">
        <f>1.96*W282</f>
        <v>1.3156232895731272</v>
      </c>
      <c r="X283" s="67">
        <f>1.96*X282</f>
        <v>1.5164579729738028</v>
      </c>
      <c r="AM283" s="78"/>
      <c r="AN283" s="78"/>
      <c r="AO283" s="78"/>
    </row>
    <row r="284" spans="1:41" x14ac:dyDescent="0.3">
      <c r="C284" s="2"/>
      <c r="S284" t="s">
        <v>51</v>
      </c>
      <c r="T284" s="57">
        <f>AVERAGE(T22,T32,T42,T52,T62)</f>
        <v>100</v>
      </c>
      <c r="U284" s="57">
        <f>AVERAGE(U22,U32,U42,U52,U62)</f>
        <v>95.175413822401495</v>
      </c>
      <c r="V284" s="57">
        <f>AVERAGE(V22,V32,V42,V52,V62)</f>
        <v>96.957501714574249</v>
      </c>
      <c r="W284" s="57">
        <f>AVERAGE(W22,W32,W42,W52,W62)</f>
        <v>96.21183458987025</v>
      </c>
      <c r="X284" s="57">
        <f>AVERAGE(X22,X32,X42,X52,X62)</f>
        <v>96.138865488071986</v>
      </c>
    </row>
    <row r="285" spans="1:41" ht="15.6" x14ac:dyDescent="0.35">
      <c r="A285" t="s">
        <v>317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</v>
      </c>
      <c r="U285" s="57">
        <f>_xlfn.STDEV.S(U22,U32,U42,U52,U62)</f>
        <v>2.3298070323919062</v>
      </c>
      <c r="V285" s="57">
        <f>_xlfn.STDEV.S(V22,V32,V42,V52,V62)</f>
        <v>0.26496359760183025</v>
      </c>
      <c r="W285" s="57">
        <f>_xlfn.STDEV.S(W22,W32,W42,W52,W62)</f>
        <v>0.31094352003972009</v>
      </c>
      <c r="X285" s="57">
        <f>_xlfn.STDEV.S(X22,X32,X42,X52,X62)</f>
        <v>0.27354260695870203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60</v>
      </c>
      <c r="T286" s="67">
        <f>1.96*T285</f>
        <v>0</v>
      </c>
      <c r="U286" s="67">
        <f>1.96*U285</f>
        <v>4.5664217834881358</v>
      </c>
      <c r="V286" s="67">
        <f>1.96*V285</f>
        <v>0.51932865129958727</v>
      </c>
      <c r="W286" s="67">
        <f>1.96*W285</f>
        <v>0.60944929927785141</v>
      </c>
      <c r="X286" s="67">
        <f>1.96*X285</f>
        <v>0.53614350963905599</v>
      </c>
    </row>
    <row r="287" spans="1:41" x14ac:dyDescent="0.3">
      <c r="A287" t="s">
        <v>3</v>
      </c>
      <c r="B287" s="13">
        <v>0</v>
      </c>
      <c r="C287" s="29">
        <f>(C276/$L287)*$O287</f>
        <v>0.22778144701477401</v>
      </c>
      <c r="D287" s="31">
        <f>(D276/$L287)*$O287</f>
        <v>0</v>
      </c>
      <c r="E287" s="31">
        <f>(E276/$L287)*$O287</f>
        <v>0</v>
      </c>
      <c r="F287" s="31">
        <f>(F276/$L287)*$O287</f>
        <v>0</v>
      </c>
      <c r="G287" s="32">
        <f>(G276/$L287)*$O287</f>
        <v>0</v>
      </c>
      <c r="H287" s="17">
        <f>SUM(C287:G287)</f>
        <v>0.22778144701477401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451</v>
      </c>
      <c r="M287">
        <v>0</v>
      </c>
      <c r="N287" s="1">
        <v>220</v>
      </c>
      <c r="O287" s="17">
        <f>N287/N292*100</f>
        <v>0.22778144701477401</v>
      </c>
      <c r="P287" s="52">
        <f>((O287*O287*(I287/100)*(K287/100))/(L287-1))</f>
        <v>0</v>
      </c>
      <c r="R287" s="16" t="s">
        <v>70</v>
      </c>
      <c r="S287" t="s">
        <v>9</v>
      </c>
      <c r="T287" s="57">
        <f>AVERAGE(T23,T33,T43,T53,T63)</f>
        <v>212.49200000000002</v>
      </c>
      <c r="U287" s="57">
        <f>AVERAGE(U23,U33,U43,U53,U63)</f>
        <v>578.05000000000007</v>
      </c>
      <c r="V287" s="57">
        <f>AVERAGE(V23,V33,V43,V53,V63)</f>
        <v>58869.678</v>
      </c>
      <c r="W287" s="57">
        <f>AVERAGE(W23,W33,W43,W53,W63)</f>
        <v>30956.273999999998</v>
      </c>
      <c r="X287" s="57">
        <f>AVERAGE(X23,X33,X43,X53,X63)</f>
        <v>5967.3060000000005</v>
      </c>
      <c r="Z287" t="s">
        <v>36</v>
      </c>
      <c r="AA287" s="57">
        <f>AVERAGE(AA23,AA33,AA43,AA53,AA63)</f>
        <v>96583.8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42">(C277/$L288)*$O288</f>
        <v>0</v>
      </c>
      <c r="D288" s="34">
        <f t="shared" si="42"/>
        <v>0.57057090914824915</v>
      </c>
      <c r="E288" s="19">
        <f t="shared" si="42"/>
        <v>4.3061955407415024E-2</v>
      </c>
      <c r="F288" s="18">
        <f t="shared" si="42"/>
        <v>0</v>
      </c>
      <c r="G288" s="20">
        <f t="shared" si="42"/>
        <v>0</v>
      </c>
      <c r="H288" s="17">
        <f>SUM(C288:G288)</f>
        <v>0.61363286455566413</v>
      </c>
      <c r="I288" s="17">
        <f>D288/H288*100</f>
        <v>92.982456140350891</v>
      </c>
      <c r="J288" s="17">
        <f>SQRT(I288*(100-I288)/(L288-1))</f>
        <v>3.4134933513474244</v>
      </c>
      <c r="K288" s="18">
        <f>100-I288</f>
        <v>7.0175438596491091</v>
      </c>
      <c r="L288" s="1">
        <f>H277</f>
        <v>57</v>
      </c>
      <c r="M288">
        <v>1</v>
      </c>
      <c r="N288" s="1">
        <v>592.66999999999996</v>
      </c>
      <c r="O288" s="17">
        <f>N288/N292*100</f>
        <v>0.61363286455566413</v>
      </c>
      <c r="P288" s="52">
        <f>((O288*O288*(I288/100)*(K288/100))/(L288-1))</f>
        <v>4.3874819725910915E-4</v>
      </c>
      <c r="S288" t="s">
        <v>29</v>
      </c>
      <c r="T288" s="57">
        <f>_xlfn.STDEV.S(T23,T33,T43,T53,T63)</f>
        <v>5.4715692447414046</v>
      </c>
      <c r="U288" s="57">
        <f>_xlfn.STDEV.S(U23,U33,U43,U53,U63)</f>
        <v>39.116507384990257</v>
      </c>
      <c r="V288" s="57">
        <f>_xlfn.STDEV.S(V23,V33,V43,V53,V63)</f>
        <v>179.03044537173179</v>
      </c>
      <c r="W288" s="57">
        <f>_xlfn.STDEV.S(W23,W33,W43,W53,W63)</f>
        <v>39.375500377773839</v>
      </c>
      <c r="X288" s="57">
        <f>_xlfn.STDEV.S(X23,X33,X43,X53,X63)</f>
        <v>168.97244695511748</v>
      </c>
      <c r="Z288" t="s">
        <v>29</v>
      </c>
      <c r="AA288" s="57">
        <f>_xlfn.STDEV.S(AA23,AA33,AA43,AA53,AA63)</f>
        <v>7.0710678081611624E-3</v>
      </c>
    </row>
    <row r="289" spans="1:41" x14ac:dyDescent="0.3">
      <c r="A289" t="s">
        <v>5</v>
      </c>
      <c r="B289" s="13">
        <v>2</v>
      </c>
      <c r="C289" s="33">
        <f t="shared" si="42"/>
        <v>0</v>
      </c>
      <c r="D289" s="19">
        <f t="shared" si="42"/>
        <v>8.254346437059723E-2</v>
      </c>
      <c r="E289" s="34">
        <f t="shared" si="42"/>
        <v>60.669446312388963</v>
      </c>
      <c r="F289" s="19">
        <f t="shared" si="42"/>
        <v>8.254346437059723E-2</v>
      </c>
      <c r="G289" s="20">
        <f t="shared" si="42"/>
        <v>0</v>
      </c>
      <c r="H289" s="17">
        <f>SUM(C289:G289)</f>
        <v>60.834533241130153</v>
      </c>
      <c r="I289" s="17">
        <f>E289/H289*100</f>
        <v>99.728629579375863</v>
      </c>
      <c r="J289" s="17">
        <f>SQRT(I289*(100-I289)/(L289-1))</f>
        <v>0.19175746172356128</v>
      </c>
      <c r="K289" s="18">
        <f>100-I289</f>
        <v>0.27137042062413741</v>
      </c>
      <c r="L289" s="1">
        <f>H278</f>
        <v>737</v>
      </c>
      <c r="M289">
        <v>2</v>
      </c>
      <c r="N289" s="1">
        <v>58756.31</v>
      </c>
      <c r="O289" s="17">
        <f>N289/N292*100</f>
        <v>60.83453324113016</v>
      </c>
      <c r="P289" s="52">
        <f>((O289*O289*(I289/100)*(K289/100))/(L289-1))</f>
        <v>1.3608332282799654E-2</v>
      </c>
      <c r="S289" t="s">
        <v>60</v>
      </c>
      <c r="T289" s="57">
        <f>1.96*T288</f>
        <v>10.724275719693154</v>
      </c>
      <c r="U289" s="57">
        <f>1.96*U288</f>
        <v>76.668354474580909</v>
      </c>
      <c r="V289" s="57">
        <f>1.96*V288</f>
        <v>350.89967292859427</v>
      </c>
      <c r="W289" s="57">
        <f>1.96*W288</f>
        <v>77.175980740436728</v>
      </c>
      <c r="X289" s="57">
        <f>1.96*X288</f>
        <v>331.18599603203023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42"/>
        <v>5.4979723855883726E-2</v>
      </c>
      <c r="D290" s="19">
        <f t="shared" si="42"/>
        <v>0</v>
      </c>
      <c r="E290" s="19">
        <f t="shared" si="42"/>
        <v>0.2199188954235349</v>
      </c>
      <c r="F290" s="34">
        <f t="shared" si="42"/>
        <v>31.063543978574305</v>
      </c>
      <c r="G290" s="20">
        <f t="shared" si="42"/>
        <v>0.65975668627060469</v>
      </c>
      <c r="H290" s="17">
        <f>SUM(C290:G290)</f>
        <v>31.998199284124329</v>
      </c>
      <c r="I290" s="17">
        <f>F290/H290*100</f>
        <v>97.079037800687288</v>
      </c>
      <c r="J290" s="17">
        <f>SQRT(I290*(100-I290)/(L290-1))</f>
        <v>0.69861456179910675</v>
      </c>
      <c r="K290" s="18">
        <f>100-I290</f>
        <v>2.9209621993127115</v>
      </c>
      <c r="L290" s="1">
        <f>H279</f>
        <v>582</v>
      </c>
      <c r="M290">
        <v>3</v>
      </c>
      <c r="N290" s="1">
        <v>30905.08</v>
      </c>
      <c r="O290" s="17">
        <f>N290/N292*100</f>
        <v>31.998199284124329</v>
      </c>
      <c r="P290" s="52">
        <f>((O290*O290*(I290/100)*(K290/100))/(L290-1))</f>
        <v>4.9971955574459423E-2</v>
      </c>
      <c r="R290" s="16" t="s">
        <v>69</v>
      </c>
      <c r="S290" t="s">
        <v>9</v>
      </c>
      <c r="T290" s="57">
        <f>AVERAGE(T24,T34,T44,T54,T64)</f>
        <v>212.49200000000002</v>
      </c>
      <c r="U290" s="57">
        <f>AVERAGE(U24,U34,U44,U54,U64)</f>
        <v>545.74422356684568</v>
      </c>
      <c r="V290" s="57">
        <f>AVERAGE(V24,V34,V44,V54,V64)</f>
        <v>59329.649386309226</v>
      </c>
      <c r="W290" s="57">
        <f>AVERAGE(W24,W34,W44,W54,W64)</f>
        <v>30345.195447662729</v>
      </c>
      <c r="X290" s="57">
        <f>AVERAGE(X24,X34,X44,X54,X64)</f>
        <v>6150.7189424611925</v>
      </c>
      <c r="Z290" t="s">
        <v>36</v>
      </c>
      <c r="AA290" s="24">
        <f>SUM(T290:X290)</f>
        <v>96583.799999999988</v>
      </c>
    </row>
    <row r="291" spans="1:41" x14ac:dyDescent="0.3">
      <c r="A291" t="s">
        <v>7</v>
      </c>
      <c r="B291" s="13">
        <v>4</v>
      </c>
      <c r="C291" s="35">
        <f t="shared" si="42"/>
        <v>0</v>
      </c>
      <c r="D291" s="36">
        <f t="shared" si="42"/>
        <v>1.8808284925198426E-2</v>
      </c>
      <c r="E291" s="21">
        <f t="shared" si="42"/>
        <v>0.21316056248558216</v>
      </c>
      <c r="F291" s="21">
        <f t="shared" si="42"/>
        <v>0.13792742278478845</v>
      </c>
      <c r="G291" s="37">
        <f t="shared" si="42"/>
        <v>5.9559568929795015</v>
      </c>
      <c r="H291" s="17">
        <f>SUM(C291:G291)</f>
        <v>6.3258531631750703</v>
      </c>
      <c r="I291" s="17">
        <f>G291/H291*100</f>
        <v>94.152626362735376</v>
      </c>
      <c r="J291" s="17">
        <f>SQRT(I291*(100-I291)/(L291-1))</f>
        <v>0.73903733049539455</v>
      </c>
      <c r="K291" s="18">
        <f>100-I291</f>
        <v>5.8473736372646243</v>
      </c>
      <c r="L291" s="1">
        <f>H280</f>
        <v>1009</v>
      </c>
      <c r="M291">
        <v>4</v>
      </c>
      <c r="N291" s="1">
        <v>6109.75</v>
      </c>
      <c r="O291" s="17">
        <f>N291/N292*100</f>
        <v>6.3258531631750703</v>
      </c>
      <c r="P291" s="52">
        <f>((O291*O291*(I291/100)*(K291/100))/(L291-1))</f>
        <v>2.1856014287288785E-3</v>
      </c>
      <c r="S291" t="s">
        <v>29</v>
      </c>
      <c r="T291" s="57">
        <f>_xlfn.STDEV.S(T24,T34,T44,T54,T64)</f>
        <v>5.4715692447414117</v>
      </c>
      <c r="U291" s="57">
        <f>_xlfn.STDEV.S(U24,U34,U44,U54,U64)</f>
        <v>37.494821595932713</v>
      </c>
      <c r="V291" s="57">
        <f>_xlfn.STDEV.S(V24,V34,V44,V54,V64)</f>
        <v>201.3842879997232</v>
      </c>
      <c r="W291" s="57">
        <f>_xlfn.STDEV.S(W24,W34,W44,W54,W64)</f>
        <v>230.43630442063011</v>
      </c>
      <c r="X291" s="57">
        <f>_xlfn.STDEV.S(X24,X34,X44,X54,X64)</f>
        <v>312.53210115601297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0.28276117087065772</v>
      </c>
      <c r="D292" s="17">
        <f>SUM(D287:D291)</f>
        <v>0.67192265844404475</v>
      </c>
      <c r="E292" s="17">
        <f>SUM(E287:E291)</f>
        <v>61.145587725705496</v>
      </c>
      <c r="F292" s="17">
        <f>SUM(F287:F291)</f>
        <v>31.284014865729691</v>
      </c>
      <c r="G292" s="17">
        <f>SUM(G287:G291)</f>
        <v>6.6157135792501061</v>
      </c>
      <c r="H292" s="1">
        <f>SUM(H286:H291)</f>
        <v>99.999999999999986</v>
      </c>
      <c r="I292" s="13" t="s">
        <v>24</v>
      </c>
      <c r="J292" s="12" t="s">
        <v>29</v>
      </c>
      <c r="N292" s="1">
        <f>SUM(N287:N291)</f>
        <v>96583.81</v>
      </c>
      <c r="O292" s="17">
        <f>SUM(O287:O291)</f>
        <v>100</v>
      </c>
      <c r="S292" s="66" t="s">
        <v>60</v>
      </c>
      <c r="T292" s="67">
        <f>1.96*T291</f>
        <v>10.724275719693166</v>
      </c>
      <c r="U292" s="67">
        <f>1.96*U291</f>
        <v>73.489850328028112</v>
      </c>
      <c r="V292" s="67">
        <f>1.96*V291</f>
        <v>394.71320447945749</v>
      </c>
      <c r="W292" s="67">
        <f>1.96*W291</f>
        <v>451.65515666443503</v>
      </c>
      <c r="X292" s="67">
        <f>1.96*X291</f>
        <v>612.56291826578536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5.4932470109417368E-2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8.5748446985775426E-2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0.16528841856408794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0.23986692897029663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0.1941874709683728</v>
      </c>
      <c r="H293" s="1"/>
      <c r="I293" s="56">
        <f>(C287+D288+E289+F290+G291)/H292</f>
        <v>0.9848729954010581</v>
      </c>
      <c r="J293" s="53">
        <f>SQRT(SUM(P287:P291))/100</f>
        <v>2.5730261849279163E-3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80.556126682247736</v>
      </c>
      <c r="D294" s="17">
        <f>D288/D292*100</f>
        <v>84.916158426552641</v>
      </c>
      <c r="E294" s="17">
        <f>E289/E292*100</f>
        <v>99.221298819708025</v>
      </c>
      <c r="F294" s="17">
        <f>F290/F292*100</f>
        <v>99.295260253194357</v>
      </c>
      <c r="G294" s="17">
        <f>G291/G292*100</f>
        <v>90.027429719147719</v>
      </c>
      <c r="H294" s="1"/>
    </row>
    <row r="295" spans="1:41" x14ac:dyDescent="0.3">
      <c r="B295" s="16" t="s">
        <v>39</v>
      </c>
      <c r="C295" s="18">
        <f>SQRT((C298+C299)/(C292*C292))</f>
        <v>15.663231221784287</v>
      </c>
      <c r="D295" s="18">
        <f>SQRT((D298+D299)/(D292*D292))</f>
        <v>11.524316113242691</v>
      </c>
      <c r="E295" s="18">
        <f>SQRT((E298+E299)/(E292*E292))</f>
        <v>0.19092743866743411</v>
      </c>
      <c r="F295" s="18">
        <f>SQRT((F298+F299)/(F292*F292))</f>
        <v>0.28232239208542009</v>
      </c>
      <c r="G295" s="18">
        <f>SQRT((G298+G299)/(G292*G292))</f>
        <v>2.6620607837564605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19.443873317752264</v>
      </c>
      <c r="D296" s="18">
        <f>100-D294</f>
        <v>15.083841573447359</v>
      </c>
      <c r="E296" s="18">
        <f>100-E294</f>
        <v>0.77870118029197499</v>
      </c>
      <c r="F296" s="18">
        <f>100-F294</f>
        <v>0.70473974680564311</v>
      </c>
      <c r="G296" s="18">
        <f>100-G294</f>
        <v>9.9725702808522811</v>
      </c>
    </row>
    <row r="297" spans="1:41" ht="15.6" x14ac:dyDescent="0.35">
      <c r="B297" s="1" t="s">
        <v>25</v>
      </c>
      <c r="C297" s="1">
        <f>C281</f>
        <v>452</v>
      </c>
      <c r="D297" s="1">
        <f>D281</f>
        <v>57</v>
      </c>
      <c r="E297" s="1">
        <f>E281</f>
        <v>777</v>
      </c>
      <c r="F297" s="1">
        <f>F281</f>
        <v>588</v>
      </c>
      <c r="G297" s="1">
        <f>G281</f>
        <v>962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9.9824988700180199</v>
      </c>
      <c r="E298" s="18">
        <f>(O289*O289*(100-E294)*(100-E294)*(I289)*(100-I289))/((L289-1)*100)</f>
        <v>0.82517596757420153</v>
      </c>
      <c r="F298" s="18">
        <f>(O290*O290*(100-F294)*(100-F294)*(I290)*(100-I290))/((L290-1)*100)</f>
        <v>2.4818977044978672</v>
      </c>
      <c r="G298" s="18">
        <f>(O291*O291*(100-G294)*(100-G294)*(I291)*(100-I291))/((L291-1)*100)</f>
        <v>21.736277862925988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19.61562998997476</v>
      </c>
      <c r="D299" s="18">
        <f>D294*D294*(SUM((H287*D287*(1-D276/H276))/(H276-1),(H289*D289*(1-D278/H278))/(H278-1), (H290*D290*(1-D279/H279))/(H279-1),(H291*D291*(1-D280/H280))/(H280-1)))</f>
        <v>49.978505397189856</v>
      </c>
      <c r="E299" s="18">
        <f>E294*E294*(SUM((H287*E287*(1-E276/H276))/(H276-1),(H288*E288*(1-E277/H277))/(H277-1), (H290*E290*(1-E279/H279))/(H279-1),(H291*E291*(1-E280/H280))/(H280-1)))</f>
        <v>135.4657494428865</v>
      </c>
      <c r="F299" s="18">
        <f>F294*F294*(SUM((H287*F287*(1-F276/H276))/(H276-1),(H288*F288*(1-F277/H277))/(H277-1), (H289*F289*(1-F278/H278))/(H278-1),(H291*F291*(1-F280/H280))/(H280-1)))</f>
        <v>75.525468945798082</v>
      </c>
      <c r="G299" s="18">
        <f>G294*G294*(SUM((H287*G287*(1-G276/H276))/(H276-1),(H288*G288*(1-G277/H277))/(H277-1), (H289*G289*(1-G278/H278))/(H278-1),(H290*G290*(1-G279/H279))/(H279-1)))</f>
        <v>288.42624781150278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48" t="s">
        <v>373</v>
      </c>
      <c r="B302" s="348"/>
      <c r="C302" s="348"/>
      <c r="D302" s="348"/>
      <c r="E302" s="348"/>
      <c r="F302" s="348"/>
      <c r="G302" s="348"/>
      <c r="H302" s="348"/>
      <c r="I302" s="348"/>
      <c r="J302" s="348"/>
      <c r="K302" s="348"/>
      <c r="L302" s="348" t="s">
        <v>83</v>
      </c>
      <c r="M302" s="348"/>
      <c r="N302" s="348"/>
      <c r="O302" s="348"/>
      <c r="P302" s="348"/>
    </row>
    <row r="303" spans="1:41" x14ac:dyDescent="0.3">
      <c r="A303" t="s">
        <v>315</v>
      </c>
      <c r="B303" t="s">
        <v>21</v>
      </c>
      <c r="I303" s="1" t="s">
        <v>53</v>
      </c>
      <c r="O303" s="142"/>
      <c r="P303" s="142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51</v>
      </c>
      <c r="O304" s="13"/>
      <c r="P304" s="13"/>
    </row>
    <row r="305" spans="1:41" x14ac:dyDescent="0.3">
      <c r="A305" t="s">
        <v>3</v>
      </c>
      <c r="B305" s="13">
        <v>0</v>
      </c>
      <c r="C305" s="26">
        <v>451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451</v>
      </c>
      <c r="I305" s="10">
        <f>C305/H305</f>
        <v>1</v>
      </c>
      <c r="J305" s="11">
        <f>1-I305</f>
        <v>0</v>
      </c>
      <c r="K305">
        <f>H305-C310</f>
        <v>-1</v>
      </c>
      <c r="N305" s="10">
        <f>2*(C311*I305)/(C311+I305)</f>
        <v>0.99889258028792915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52</v>
      </c>
      <c r="E306" s="1">
        <v>5</v>
      </c>
      <c r="F306" s="1">
        <v>0</v>
      </c>
      <c r="G306" s="6">
        <v>0</v>
      </c>
      <c r="H306" s="1">
        <f>SUM(C306:G306)</f>
        <v>57</v>
      </c>
      <c r="I306" s="10">
        <f>D306/H306</f>
        <v>0.91228070175438591</v>
      </c>
      <c r="J306" s="11">
        <f>1-I306</f>
        <v>8.7719298245614086E-2</v>
      </c>
      <c r="K306">
        <f>H306-D310</f>
        <v>4</v>
      </c>
      <c r="N306" s="10">
        <f>2*(D311*I306)/(D311+I306)</f>
        <v>0.94545454545454544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0</v>
      </c>
      <c r="E307" s="27">
        <v>736</v>
      </c>
      <c r="F307" s="1">
        <v>1</v>
      </c>
      <c r="G307" s="6">
        <v>0</v>
      </c>
      <c r="H307" s="1">
        <f>SUM(C307:G307)</f>
        <v>737</v>
      </c>
      <c r="I307" s="10">
        <f>E307/H307</f>
        <v>0.99864314789687925</v>
      </c>
      <c r="J307" s="11">
        <f>1-I307</f>
        <v>1.3568521031207537E-3</v>
      </c>
      <c r="K307">
        <f>H307-E310</f>
        <v>-42</v>
      </c>
      <c r="N307" s="10">
        <f>2*(E311*I307)/(E311+I307)</f>
        <v>0.97097625329815296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1</v>
      </c>
      <c r="D308" s="1">
        <v>0</v>
      </c>
      <c r="E308" s="1">
        <v>6</v>
      </c>
      <c r="F308" s="27">
        <v>563</v>
      </c>
      <c r="G308" s="6">
        <v>12</v>
      </c>
      <c r="H308" s="1">
        <f>SUM(C308:G308)</f>
        <v>582</v>
      </c>
      <c r="I308" s="10">
        <f>F308/H308</f>
        <v>0.96735395189003437</v>
      </c>
      <c r="J308" s="11">
        <f>1-I308</f>
        <v>3.2646048109965631E-2</v>
      </c>
      <c r="K308">
        <f>H308-F310</f>
        <v>-10</v>
      </c>
      <c r="N308" s="10">
        <f>2*(F311*I308)/(F311+I308)</f>
        <v>0.95911413969335613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1</v>
      </c>
      <c r="E309" s="8">
        <v>32</v>
      </c>
      <c r="F309" s="8">
        <v>28</v>
      </c>
      <c r="G309" s="28">
        <v>948</v>
      </c>
      <c r="H309" s="1">
        <f>SUM(C309:G309)</f>
        <v>1009</v>
      </c>
      <c r="I309" s="10">
        <f>G309/H309</f>
        <v>0.93954410307234881</v>
      </c>
      <c r="J309" s="11">
        <f>1-I309</f>
        <v>6.0455896927651187E-2</v>
      </c>
      <c r="K309">
        <f>H309-G310</f>
        <v>49</v>
      </c>
      <c r="N309" s="10">
        <f>2*(G311*I309)/(G311+I309)</f>
        <v>0.96292534281361097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452</v>
      </c>
      <c r="D310" s="1">
        <f>SUM(D305:D309)</f>
        <v>53</v>
      </c>
      <c r="E310" s="1">
        <f>SUM(E305:E309)</f>
        <v>779</v>
      </c>
      <c r="F310" s="1">
        <f>SUM(F305:F309)</f>
        <v>592</v>
      </c>
      <c r="G310" s="1">
        <f>SUM(G305:G309)</f>
        <v>960</v>
      </c>
      <c r="H310" s="1">
        <f>SUM(H304:H309)</f>
        <v>2836</v>
      </c>
      <c r="I310" s="13" t="s">
        <v>12</v>
      </c>
      <c r="N310" s="16" t="s">
        <v>36</v>
      </c>
      <c r="O310" s="1"/>
      <c r="P310" s="1"/>
    </row>
    <row r="311" spans="1:41" x14ac:dyDescent="0.3">
      <c r="A311" s="1" t="s">
        <v>316</v>
      </c>
      <c r="B311" s="1" t="s">
        <v>2</v>
      </c>
      <c r="C311" s="10">
        <f>C305/C310</f>
        <v>0.99778761061946908</v>
      </c>
      <c r="D311" s="10">
        <f>D306/D310</f>
        <v>0.98113207547169812</v>
      </c>
      <c r="E311" s="10">
        <f>E307/E310</f>
        <v>0.94480102695763801</v>
      </c>
      <c r="F311" s="10">
        <f>F308/F310</f>
        <v>0.95101351351351349</v>
      </c>
      <c r="G311" s="10">
        <f>G309/G310</f>
        <v>0.98750000000000004</v>
      </c>
      <c r="H311" s="10"/>
      <c r="I311" s="14">
        <f>(C305+D306+E307+F308+G309)/H310</f>
        <v>0.96967559943582515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2.2123893805309214E-3</v>
      </c>
      <c r="D312" s="11">
        <f>1-D311</f>
        <v>1.8867924528301883E-2</v>
      </c>
      <c r="E312" s="11">
        <f>1-E311</f>
        <v>5.5198973042361987E-2</v>
      </c>
      <c r="F312" s="11">
        <f>1-F311</f>
        <v>4.8986486486486513E-2</v>
      </c>
      <c r="G312" s="11">
        <f>1-G311</f>
        <v>1.2499999999999956E-2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317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0.22330867081228944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0.22330867081228944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451</v>
      </c>
      <c r="M316">
        <v>0</v>
      </c>
      <c r="N316" s="1">
        <v>215.68</v>
      </c>
      <c r="O316" s="17">
        <f>N316/N321*100</f>
        <v>0.22330867081228944</v>
      </c>
      <c r="P316" s="52">
        <f>((O316*O316*(I316/100)*(K316/100))/(L316-1))</f>
        <v>0</v>
      </c>
    </row>
    <row r="317" spans="1:41" x14ac:dyDescent="0.3">
      <c r="A317" t="s">
        <v>4</v>
      </c>
      <c r="B317" s="13">
        <v>1</v>
      </c>
      <c r="C317" s="33">
        <f t="shared" ref="C317:G320" si="43">(C306/$L317)*$O317</f>
        <v>0</v>
      </c>
      <c r="D317" s="34">
        <f t="shared" si="43"/>
        <v>0.54797973275311906</v>
      </c>
      <c r="E317" s="19">
        <f t="shared" si="43"/>
        <v>5.2690358918569144E-2</v>
      </c>
      <c r="F317" s="18">
        <f t="shared" si="43"/>
        <v>0</v>
      </c>
      <c r="G317" s="20">
        <f t="shared" si="43"/>
        <v>0</v>
      </c>
      <c r="H317" s="17">
        <f>SUM(C317:G317)</f>
        <v>0.60067009167168817</v>
      </c>
      <c r="I317" s="17">
        <f>D317/H317*100</f>
        <v>91.228070175438603</v>
      </c>
      <c r="J317" s="17">
        <f>SQRT(I317*(100-I317)/(L317-1))</f>
        <v>3.7802263481198874</v>
      </c>
      <c r="K317" s="18">
        <f>100-I317</f>
        <v>8.771929824561397</v>
      </c>
      <c r="L317" s="1">
        <f>H306</f>
        <v>57</v>
      </c>
      <c r="M317">
        <v>1</v>
      </c>
      <c r="N317" s="1">
        <v>580.15</v>
      </c>
      <c r="O317" s="17">
        <f>N317/N321*100</f>
        <v>0.60067009167168828</v>
      </c>
      <c r="P317" s="52">
        <f>((O317*O317*(I317/100)*(K317/100))/(L317-1))</f>
        <v>5.1559372855113268E-4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43"/>
        <v>0</v>
      </c>
      <c r="D318" s="19">
        <f t="shared" si="43"/>
        <v>0</v>
      </c>
      <c r="E318" s="34">
        <f t="shared" si="43"/>
        <v>61.118598866189991</v>
      </c>
      <c r="F318" s="19">
        <f t="shared" si="43"/>
        <v>8.3041574546453792E-2</v>
      </c>
      <c r="G318" s="20">
        <f t="shared" si="43"/>
        <v>0</v>
      </c>
      <c r="H318" s="17">
        <f>SUM(C318:G318)</f>
        <v>61.201640440736448</v>
      </c>
      <c r="I318" s="17">
        <f>E318/H318*100</f>
        <v>99.864314789687924</v>
      </c>
      <c r="J318" s="17">
        <f>SQRT(I318*(100-I318)/(L318-1))</f>
        <v>0.13568521031207589</v>
      </c>
      <c r="K318" s="18">
        <f>100-I318</f>
        <v>0.13568521031207581</v>
      </c>
      <c r="L318" s="1">
        <f>H307</f>
        <v>737</v>
      </c>
      <c r="M318">
        <v>2</v>
      </c>
      <c r="N318" s="1">
        <v>59110.87</v>
      </c>
      <c r="O318" s="17">
        <f>N318/N321*100</f>
        <v>61.201640440736448</v>
      </c>
      <c r="P318" s="52">
        <f>((O318*O318*(I318/100)*(K318/100))/(L318-1))</f>
        <v>6.8959031031542327E-3</v>
      </c>
    </row>
    <row r="319" spans="1:41" x14ac:dyDescent="0.3">
      <c r="A319" t="s">
        <v>6</v>
      </c>
      <c r="B319" s="13">
        <v>3</v>
      </c>
      <c r="C319" s="33">
        <f t="shared" si="43"/>
        <v>5.4238941652570163E-2</v>
      </c>
      <c r="D319" s="19">
        <f t="shared" si="43"/>
        <v>0</v>
      </c>
      <c r="E319" s="19">
        <f t="shared" si="43"/>
        <v>0.32543364991542095</v>
      </c>
      <c r="F319" s="34">
        <f t="shared" si="43"/>
        <v>30.536524150397003</v>
      </c>
      <c r="G319" s="20">
        <f t="shared" si="43"/>
        <v>0.65086729983084191</v>
      </c>
      <c r="H319" s="17">
        <f>SUM(C319:G319)</f>
        <v>31.567064041795838</v>
      </c>
      <c r="I319" s="17">
        <f>F319/H319*100</f>
        <v>96.735395189003427</v>
      </c>
      <c r="J319" s="17">
        <f>SQRT(I319*(100-I319)/(L319-1))</f>
        <v>0.73725876947171842</v>
      </c>
      <c r="K319" s="18">
        <f>100-I319</f>
        <v>3.2646048109965733</v>
      </c>
      <c r="L319" s="1">
        <f>H308</f>
        <v>582</v>
      </c>
      <c r="M319">
        <v>3</v>
      </c>
      <c r="N319" s="1">
        <v>30488.67</v>
      </c>
      <c r="O319" s="17">
        <f>N319/N321*100</f>
        <v>31.567064041795835</v>
      </c>
      <c r="P319" s="52">
        <f>((O319*O319*(I319/100)*(K319/100))/(L319-1))</f>
        <v>5.4163694116433847E-2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43"/>
        <v>0</v>
      </c>
      <c r="D320" s="36">
        <f t="shared" si="43"/>
        <v>6.3501652675755759E-3</v>
      </c>
      <c r="E320" s="21">
        <f t="shared" si="43"/>
        <v>0.20320528856241843</v>
      </c>
      <c r="F320" s="21">
        <f t="shared" si="43"/>
        <v>0.17780462749211612</v>
      </c>
      <c r="G320" s="37">
        <f t="shared" si="43"/>
        <v>6.0199566736616461</v>
      </c>
      <c r="H320" s="17">
        <f>SUM(C320:G320)</f>
        <v>6.4073167549837562</v>
      </c>
      <c r="I320" s="17">
        <f>G320/H320*100</f>
        <v>93.954410307234895</v>
      </c>
      <c r="J320" s="17">
        <f>SQRT(I320*(100-I320)/(L320-1))</f>
        <v>0.75066756966190173</v>
      </c>
      <c r="K320" s="18">
        <f>100-I320</f>
        <v>6.0455896927651054</v>
      </c>
      <c r="L320" s="1">
        <f>H309</f>
        <v>1009</v>
      </c>
      <c r="M320">
        <v>4</v>
      </c>
      <c r="N320" s="1">
        <v>6188.43</v>
      </c>
      <c r="O320" s="17">
        <f>N320/N321*100</f>
        <v>6.4073167549837562</v>
      </c>
      <c r="P320" s="52">
        <f>((O320*O320*(I320/100)*(K320/100))/(L320-1))</f>
        <v>2.3133838359773334E-3</v>
      </c>
    </row>
    <row r="321" spans="1:41" x14ac:dyDescent="0.3">
      <c r="B321" t="s">
        <v>28</v>
      </c>
      <c r="C321" s="17">
        <f t="shared" ref="C321:H321" si="44">SUM(C316:C320)</f>
        <v>0.27754761246485959</v>
      </c>
      <c r="D321" s="17">
        <f t="shared" si="44"/>
        <v>0.55432989802069466</v>
      </c>
      <c r="E321" s="17">
        <f t="shared" si="44"/>
        <v>61.699928163586392</v>
      </c>
      <c r="F321" s="17">
        <f t="shared" si="44"/>
        <v>30.797370352435571</v>
      </c>
      <c r="G321" s="17">
        <f t="shared" si="44"/>
        <v>6.6708239734924879</v>
      </c>
      <c r="H321" s="18">
        <f t="shared" si="44"/>
        <v>100.00000000000001</v>
      </c>
      <c r="I321" s="13" t="s">
        <v>24</v>
      </c>
      <c r="J321" s="12" t="s">
        <v>29</v>
      </c>
      <c r="N321" s="1">
        <f>SUM(N316:N320)</f>
        <v>96583.799999999988</v>
      </c>
      <c r="O321" s="17">
        <f>SUM(O316:O320)</f>
        <v>100.00000000000001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5.4192324590538847E-2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2.33844576279266E-2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0.16159134740219946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0.24910827366675622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0.19205614025246182</v>
      </c>
      <c r="H322" s="1"/>
      <c r="I322" s="14">
        <f>(C316+D317+E318+F319+G320)/H321</f>
        <v>0.9844636809381403</v>
      </c>
      <c r="J322" s="53">
        <f>SQRT(SUM(P316:P320))/100</f>
        <v>2.5276189345729422E-3</v>
      </c>
      <c r="M322" s="1"/>
      <c r="N322" s="9"/>
    </row>
    <row r="323" spans="1:41" x14ac:dyDescent="0.3">
      <c r="B323" s="1" t="s">
        <v>30</v>
      </c>
      <c r="C323" s="17">
        <f>C316/C321*100</f>
        <v>80.457788423801574</v>
      </c>
      <c r="D323" s="17">
        <f>D317/D321*100</f>
        <v>98.854442942686362</v>
      </c>
      <c r="E323" s="17">
        <f>E318/E321*100</f>
        <v>99.057812035282907</v>
      </c>
      <c r="F323" s="17">
        <f>F319/F321*100</f>
        <v>99.153024433406074</v>
      </c>
      <c r="G323" s="17">
        <f>G320/G321*100</f>
        <v>90.243074882246034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15.723231243309396</v>
      </c>
      <c r="D324" s="18">
        <f>SQRT((D327+D328)/(D321*D321))</f>
        <v>1.2258060041556185</v>
      </c>
      <c r="E324" s="18">
        <f>SQRT((E327+E328)/(E321*E321))</f>
        <v>0.22320146265754798</v>
      </c>
      <c r="F324" s="18">
        <f>SQRT((F327+F328)/(F321*F321))</f>
        <v>0.29489843952358957</v>
      </c>
      <c r="G324" s="18">
        <f>SQRT((G327+G328)/(G321*G321))</f>
        <v>2.6140339474935503</v>
      </c>
      <c r="H324" s="1"/>
    </row>
    <row r="325" spans="1:41" x14ac:dyDescent="0.3">
      <c r="B325" s="1" t="s">
        <v>37</v>
      </c>
      <c r="C325" s="18">
        <f>100-C323</f>
        <v>19.542211576198426</v>
      </c>
      <c r="D325" s="18">
        <f>100-D323</f>
        <v>1.1455570573136384</v>
      </c>
      <c r="E325" s="18">
        <f>100-E323</f>
        <v>0.94218796471709254</v>
      </c>
      <c r="F325" s="18">
        <f>100-F323</f>
        <v>0.84697556659392603</v>
      </c>
      <c r="G325" s="18">
        <f>100-G323</f>
        <v>9.7569251177539655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452</v>
      </c>
      <c r="D326" s="1">
        <f>D310</f>
        <v>53</v>
      </c>
      <c r="E326" s="1">
        <f>E310</f>
        <v>779</v>
      </c>
      <c r="F326" s="1">
        <f>F310</f>
        <v>592</v>
      </c>
      <c r="G326" s="1">
        <f>G310</f>
        <v>960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6.7661415090845251E-2</v>
      </c>
      <c r="E327" s="18">
        <f>(O318*O318*(100-E323)*(100-E323)*(I318)*(100-I318))/((L318-1)*100)</f>
        <v>0.61216184201852408</v>
      </c>
      <c r="F327" s="18">
        <f>(O319*O319*(100-F323)*(100-F323)*(I319)*(100-I319))/((L319-1)*100)</f>
        <v>3.8855279819127362</v>
      </c>
      <c r="G327" s="18">
        <f>(O320*O320*(100-G323)*(100-G323)*(I320)*(100-I320))/((L320-1)*100)</f>
        <v>22.022856073288398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19.044018509940418</v>
      </c>
      <c r="D328" s="18">
        <f>D323*D323*(SUM((H316*D316*(1-D305/H305))/(H305-1),(H318*D318*(1-D307/H307))/(H307-1), (H319*D319*(1-D308/H308))/(H308-1),(H320*D320*(1-D309/H309))/(H309-1)))</f>
        <v>0.39406008148908467</v>
      </c>
      <c r="E328" s="18">
        <f>E323*E323*(SUM((H316*E316*(1-E305/H305))/(H305-1),(H317*E317*(1-E306/H306))/(H306-1), (H319*E319*(1-E308/H308))/(H308-1),(H320*E320*(1-E309/H309))/(H309-1)))</f>
        <v>189.04244184869682</v>
      </c>
      <c r="F328" s="18">
        <f>F323*F323*(SUM((H316*F316*(1-F305/H305))/(H305-1),(H317*F317*(1-F306/H306))/(H306-1), (H318*F318*(1-F307/H307))/(H307-1),(H320*F320*(1-F309/H309))/(H309-1)))</f>
        <v>78.598948097102692</v>
      </c>
      <c r="G328" s="18">
        <f>G323*G323*(SUM((H316*G316*(1-G305/H305))/(H305-1),(H317*G317*(1-G306/H306))/(H306-1), (H318*G318*(1-G307/H307))/(H307-1),(H319*G319*(1-G308/H308))/(H308-1)))</f>
        <v>282.05262906013382</v>
      </c>
    </row>
    <row r="329" spans="1:41" x14ac:dyDescent="0.3">
      <c r="AM329" s="78"/>
    </row>
    <row r="331" spans="1:41" x14ac:dyDescent="0.3">
      <c r="A331" s="348" t="s">
        <v>373</v>
      </c>
      <c r="B331" s="348"/>
      <c r="C331" s="348"/>
      <c r="D331" s="348"/>
      <c r="E331" s="348"/>
      <c r="F331" s="348"/>
      <c r="G331" s="348"/>
      <c r="H331" s="348"/>
      <c r="I331" s="348"/>
      <c r="J331" s="348"/>
      <c r="K331" s="348"/>
      <c r="L331" s="348" t="s">
        <v>84</v>
      </c>
      <c r="M331" s="348"/>
      <c r="N331" s="348"/>
      <c r="O331" s="348"/>
      <c r="P331" s="348"/>
      <c r="AM331" s="78"/>
    </row>
    <row r="332" spans="1:41" x14ac:dyDescent="0.3">
      <c r="A332" t="s">
        <v>315</v>
      </c>
      <c r="B332" t="s">
        <v>21</v>
      </c>
      <c r="I332" s="1" t="s">
        <v>53</v>
      </c>
      <c r="O332" s="142"/>
      <c r="P332" s="142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51</v>
      </c>
      <c r="O333" s="13"/>
      <c r="P333" s="13"/>
      <c r="AM333" s="78"/>
    </row>
    <row r="334" spans="1:41" x14ac:dyDescent="0.3">
      <c r="A334" t="s">
        <v>3</v>
      </c>
      <c r="B334" s="13">
        <v>0</v>
      </c>
      <c r="C334" s="26">
        <v>451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451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52</v>
      </c>
      <c r="E335" s="1">
        <v>5</v>
      </c>
      <c r="F335" s="1">
        <v>0</v>
      </c>
      <c r="G335" s="6">
        <v>0</v>
      </c>
      <c r="H335" s="1">
        <f>SUM(C335:G335)</f>
        <v>57</v>
      </c>
      <c r="I335" s="10">
        <f>D335/H335</f>
        <v>0.91228070175438591</v>
      </c>
      <c r="J335" s="11">
        <f>1-I335</f>
        <v>8.7719298245614086E-2</v>
      </c>
      <c r="K335">
        <f>H335-D339</f>
        <v>5</v>
      </c>
      <c r="N335" s="10">
        <f>2*(D340*I335)/(D340+I335)</f>
        <v>0.95412844036697242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0</v>
      </c>
      <c r="E336" s="27">
        <v>736</v>
      </c>
      <c r="F336" s="1">
        <v>1</v>
      </c>
      <c r="G336" s="6">
        <v>0</v>
      </c>
      <c r="H336" s="1">
        <f>SUM(C336:G336)</f>
        <v>737</v>
      </c>
      <c r="I336" s="10">
        <f>E336/H336</f>
        <v>0.99864314789687925</v>
      </c>
      <c r="J336" s="11">
        <f>1-I336</f>
        <v>1.3568521031207537E-3</v>
      </c>
      <c r="K336">
        <f>H336-E339</f>
        <v>-37</v>
      </c>
      <c r="N336" s="10">
        <f>2*(E340*I336)/(E340+I336)</f>
        <v>0.97418927862342819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0</v>
      </c>
      <c r="E337" s="1">
        <v>5</v>
      </c>
      <c r="F337" s="27">
        <v>565</v>
      </c>
      <c r="G337" s="6">
        <v>12</v>
      </c>
      <c r="H337" s="1">
        <f>SUM(C337:G337)</f>
        <v>582</v>
      </c>
      <c r="I337" s="10">
        <f>F337/H337</f>
        <v>0.97079037800687284</v>
      </c>
      <c r="J337" s="11">
        <f>1-I337</f>
        <v>2.9209621993127155E-2</v>
      </c>
      <c r="K337">
        <f>H337-F339</f>
        <v>-9</v>
      </c>
      <c r="N337" s="10">
        <f>2*(F340*I337)/(F340+I337)</f>
        <v>0.96334185848252341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0</v>
      </c>
      <c r="E338" s="8">
        <v>28</v>
      </c>
      <c r="F338" s="8">
        <v>25</v>
      </c>
      <c r="G338" s="28">
        <v>956</v>
      </c>
      <c r="H338" s="1">
        <f>SUM(C338:G338)</f>
        <v>1009</v>
      </c>
      <c r="I338" s="10">
        <f>G338/H338</f>
        <v>0.94747274529236869</v>
      </c>
      <c r="J338" s="11">
        <f>1-I338</f>
        <v>5.252725470763131E-2</v>
      </c>
      <c r="K338">
        <f>H338-G339</f>
        <v>41</v>
      </c>
      <c r="N338" s="10">
        <f>2*(G340*I338)/(G340+I338)</f>
        <v>0.96712190187152247</v>
      </c>
      <c r="O338" s="1"/>
      <c r="P338" s="1"/>
    </row>
    <row r="339" spans="1:40" ht="15.6" x14ac:dyDescent="0.35">
      <c r="B339" s="1" t="s">
        <v>19</v>
      </c>
      <c r="C339" s="1">
        <f>SUM(C334:C338)</f>
        <v>451</v>
      </c>
      <c r="D339" s="1">
        <f>SUM(D334:D338)</f>
        <v>52</v>
      </c>
      <c r="E339" s="1">
        <f>SUM(E334:E338)</f>
        <v>774</v>
      </c>
      <c r="F339" s="1">
        <f>SUM(F334:F338)</f>
        <v>591</v>
      </c>
      <c r="G339" s="1">
        <f>SUM(G334:G338)</f>
        <v>968</v>
      </c>
      <c r="H339" s="1">
        <f>SUM(H333:H338)</f>
        <v>2836</v>
      </c>
      <c r="I339" s="13" t="s">
        <v>12</v>
      </c>
      <c r="N339" s="16"/>
      <c r="O339" s="1"/>
      <c r="P339" s="1"/>
      <c r="AM339" s="78"/>
    </row>
    <row r="340" spans="1:40" x14ac:dyDescent="0.3">
      <c r="A340" s="1" t="s">
        <v>316</v>
      </c>
      <c r="B340" s="1" t="s">
        <v>2</v>
      </c>
      <c r="C340" s="10">
        <f>C334/C339</f>
        <v>1</v>
      </c>
      <c r="D340" s="10">
        <f>D335/D339</f>
        <v>1</v>
      </c>
      <c r="E340" s="10">
        <f>E336/E339</f>
        <v>0.95090439276485783</v>
      </c>
      <c r="F340" s="10">
        <f>F337/F339</f>
        <v>0.95600676818950936</v>
      </c>
      <c r="G340" s="10">
        <f>G338/G339</f>
        <v>0.98760330578512401</v>
      </c>
      <c r="H340" s="10"/>
      <c r="I340" s="14">
        <f>(C334+D335+E336+F337+G338)/H339</f>
        <v>0.97320169252468269</v>
      </c>
    </row>
    <row r="341" spans="1:40" x14ac:dyDescent="0.3">
      <c r="B341" s="1" t="s">
        <v>14</v>
      </c>
      <c r="C341" s="11">
        <f>1-C340</f>
        <v>0</v>
      </c>
      <c r="D341" s="11">
        <f>1-D340</f>
        <v>0</v>
      </c>
      <c r="E341" s="11">
        <f>1-E340</f>
        <v>4.9095607235142169E-2</v>
      </c>
      <c r="F341" s="11">
        <f>1-F340</f>
        <v>4.3993231810490641E-2</v>
      </c>
      <c r="G341" s="11">
        <f>1-G340</f>
        <v>1.2396694214875992E-2</v>
      </c>
      <c r="AM341" s="78"/>
      <c r="AN341" s="78"/>
    </row>
    <row r="342" spans="1:40" x14ac:dyDescent="0.3">
      <c r="C342" s="2"/>
    </row>
    <row r="343" spans="1:40" ht="15.6" x14ac:dyDescent="0.35">
      <c r="A343" t="s">
        <v>317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0.21444590086536253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0.21444590086536253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451</v>
      </c>
      <c r="M345">
        <v>0</v>
      </c>
      <c r="N345" s="1">
        <v>207.12</v>
      </c>
      <c r="O345" s="17">
        <f>N345/N350*100</f>
        <v>0.21444590086536253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45">(C335/$L346)*$O346</f>
        <v>0</v>
      </c>
      <c r="D346" s="34">
        <f t="shared" si="45"/>
        <v>0.60750517058488929</v>
      </c>
      <c r="E346" s="19">
        <f t="shared" si="45"/>
        <v>5.8413958710085513E-2</v>
      </c>
      <c r="F346" s="18">
        <f t="shared" si="45"/>
        <v>0</v>
      </c>
      <c r="G346" s="20">
        <f t="shared" si="45"/>
        <v>0</v>
      </c>
      <c r="H346" s="17">
        <f>SUM(C346:G346)</f>
        <v>0.66591912929497477</v>
      </c>
      <c r="I346" s="17">
        <f>D346/H346*100</f>
        <v>91.228070175438603</v>
      </c>
      <c r="J346" s="17">
        <f>SQRT(I346*(100-I346)/(L346-1))</f>
        <v>3.7802263481198874</v>
      </c>
      <c r="K346" s="18">
        <f>100-I346</f>
        <v>8.771929824561397</v>
      </c>
      <c r="L346" s="1">
        <f>H335</f>
        <v>57</v>
      </c>
      <c r="M346">
        <v>1</v>
      </c>
      <c r="N346" s="1">
        <v>643.16999999999996</v>
      </c>
      <c r="O346" s="17">
        <f>N346/N350*100</f>
        <v>0.66591912929497488</v>
      </c>
      <c r="P346" s="52">
        <f>((O346*O346*(I346/100)*(K346/100))/(L346-1))</f>
        <v>6.336925348340921E-4</v>
      </c>
    </row>
    <row r="347" spans="1:40" x14ac:dyDescent="0.3">
      <c r="A347" t="s">
        <v>5</v>
      </c>
      <c r="B347" s="13">
        <v>2</v>
      </c>
      <c r="C347" s="33">
        <f t="shared" si="45"/>
        <v>0</v>
      </c>
      <c r="D347" s="19">
        <f t="shared" si="45"/>
        <v>0</v>
      </c>
      <c r="E347" s="34">
        <f t="shared" si="45"/>
        <v>60.797955832270944</v>
      </c>
      <c r="F347" s="19">
        <f t="shared" si="45"/>
        <v>8.2605918250368116E-2</v>
      </c>
      <c r="G347" s="20">
        <f t="shared" si="45"/>
        <v>0</v>
      </c>
      <c r="H347" s="17">
        <f>SUM(C347:G347)</f>
        <v>60.880561750521309</v>
      </c>
      <c r="I347" s="17">
        <f>E347/H347*100</f>
        <v>99.864314789687924</v>
      </c>
      <c r="J347" s="17">
        <f>SQRT(I347*(100-I347)/(L347-1))</f>
        <v>0.13568521031207589</v>
      </c>
      <c r="K347" s="18">
        <f>100-I347</f>
        <v>0.13568521031207581</v>
      </c>
      <c r="L347" s="1">
        <f>H336</f>
        <v>737</v>
      </c>
      <c r="M347">
        <v>2</v>
      </c>
      <c r="N347" s="1">
        <v>58800.76</v>
      </c>
      <c r="O347" s="17">
        <f>N347/N350*100</f>
        <v>60.880561750521309</v>
      </c>
      <c r="P347" s="52">
        <f>((O347*O347*(I347/100)*(K347/100))/(L347-1))</f>
        <v>6.823737729986493E-3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45"/>
        <v>0</v>
      </c>
      <c r="D348" s="19">
        <f t="shared" si="45"/>
        <v>0</v>
      </c>
      <c r="E348" s="19">
        <f t="shared" si="45"/>
        <v>0.27441431858376086</v>
      </c>
      <c r="F348" s="34">
        <f t="shared" si="45"/>
        <v>31.008817999964972</v>
      </c>
      <c r="G348" s="20">
        <f t="shared" si="45"/>
        <v>0.65859436460102594</v>
      </c>
      <c r="H348" s="17">
        <f>SUM(C348:G348)</f>
        <v>31.94182668314976</v>
      </c>
      <c r="I348" s="17">
        <f>F348/H348*100</f>
        <v>97.079037800687288</v>
      </c>
      <c r="J348" s="17">
        <f>SQRT(I348*(100-I348)/(L348-1))</f>
        <v>0.69861456179910675</v>
      </c>
      <c r="K348" s="18">
        <f>100-I348</f>
        <v>2.9209621993127115</v>
      </c>
      <c r="L348" s="1">
        <f>H337</f>
        <v>582</v>
      </c>
      <c r="M348">
        <v>3</v>
      </c>
      <c r="N348" s="1">
        <v>30850.63</v>
      </c>
      <c r="O348" s="17">
        <f>N348/N350*100</f>
        <v>31.94182668314976</v>
      </c>
      <c r="P348" s="52">
        <f>((O348*O348*(I348/100)*(K348/100))/(L348-1))</f>
        <v>4.9796035196667816E-2</v>
      </c>
    </row>
    <row r="349" spans="1:40" x14ac:dyDescent="0.3">
      <c r="A349" t="s">
        <v>7</v>
      </c>
      <c r="B349" s="13">
        <v>4</v>
      </c>
      <c r="C349" s="35">
        <f t="shared" si="45"/>
        <v>0</v>
      </c>
      <c r="D349" s="36">
        <f t="shared" si="45"/>
        <v>0</v>
      </c>
      <c r="E349" s="21">
        <f t="shared" si="45"/>
        <v>0.17475015164788954</v>
      </c>
      <c r="F349" s="21">
        <f t="shared" si="45"/>
        <v>0.15602692111418709</v>
      </c>
      <c r="G349" s="37">
        <f t="shared" si="45"/>
        <v>5.9664694634065141</v>
      </c>
      <c r="H349" s="17">
        <f>SUM(C349:G349)</f>
        <v>6.2972465361685908</v>
      </c>
      <c r="I349" s="17">
        <f>G349/H349*100</f>
        <v>94.747274529236876</v>
      </c>
      <c r="J349" s="17">
        <f>SQRT(I349*(100-I349)/(L349-1))</f>
        <v>0.70266035155537654</v>
      </c>
      <c r="K349" s="18">
        <f>100-I349</f>
        <v>5.2527254707631243</v>
      </c>
      <c r="L349" s="1">
        <f>H338</f>
        <v>1009</v>
      </c>
      <c r="M349">
        <v>4</v>
      </c>
      <c r="N349" s="1">
        <v>6082.12</v>
      </c>
      <c r="O349" s="17">
        <f>N349/N350*100</f>
        <v>6.2972465361685908</v>
      </c>
      <c r="P349" s="52">
        <f>((O349*O349*(I349/100)*(K349/100))/(L349-1))</f>
        <v>1.9579080395138119E-3</v>
      </c>
      <c r="AM349" s="78"/>
      <c r="AN349" s="78"/>
    </row>
    <row r="350" spans="1:40" x14ac:dyDescent="0.3">
      <c r="B350" t="s">
        <v>28</v>
      </c>
      <c r="C350" s="17">
        <f t="shared" ref="C350:H350" si="46">SUM(C345:C349)</f>
        <v>0.21444590086536253</v>
      </c>
      <c r="D350" s="17">
        <f t="shared" si="46"/>
        <v>0.60750517058488929</v>
      </c>
      <c r="E350" s="17">
        <f t="shared" si="46"/>
        <v>61.305534261212678</v>
      </c>
      <c r="F350" s="17">
        <f t="shared" si="46"/>
        <v>31.247450839329527</v>
      </c>
      <c r="G350" s="17">
        <f t="shared" si="46"/>
        <v>6.6250638280075398</v>
      </c>
      <c r="H350" s="18">
        <f t="shared" si="46"/>
        <v>99.999999999999986</v>
      </c>
      <c r="I350" s="13" t="s">
        <v>24</v>
      </c>
      <c r="J350" s="12" t="s">
        <v>29</v>
      </c>
      <c r="N350" s="1">
        <f>SUM(N345:N349)</f>
        <v>96583.8</v>
      </c>
      <c r="O350" s="17">
        <f>SUM(O345:O349)</f>
        <v>99.999999999999986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2.4951455307101175E-2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0.1530642826444448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0.23973861323430523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0.19327763292328351</v>
      </c>
      <c r="H351" s="1"/>
      <c r="I351" s="14">
        <f>(C345+D346+E347+F348+G349)/H350</f>
        <v>0.98595194367092687</v>
      </c>
      <c r="J351" s="53">
        <f>SQRT(SUM(P345:P349))/100</f>
        <v>2.4333387249004649E-3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100</v>
      </c>
      <c r="E352" s="17">
        <f>E347/E350*100</f>
        <v>99.172051210288743</v>
      </c>
      <c r="F352" s="17">
        <f>F348/F350*100</f>
        <v>99.236312617654548</v>
      </c>
      <c r="G352" s="17">
        <f>G349/G350*100</f>
        <v>90.059048762416296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0</v>
      </c>
      <c r="E353" s="18">
        <f>SQRT((E356+E357)/(E350*E350))</f>
        <v>0.20904653687303942</v>
      </c>
      <c r="F353" s="18">
        <f>SQRT((F356+F357)/(F350*F350))</f>
        <v>0.2852805853345815</v>
      </c>
      <c r="G353" s="18">
        <f>SQRT((G356+G357)/(G350*G350))</f>
        <v>2.6445499410814604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0</v>
      </c>
      <c r="E354" s="18">
        <f>100-E352</f>
        <v>0.8279487897112574</v>
      </c>
      <c r="F354" s="18">
        <f>100-F352</f>
        <v>0.76368738234545219</v>
      </c>
      <c r="G354" s="18">
        <f>100-G352</f>
        <v>9.9409512375837039</v>
      </c>
    </row>
    <row r="355" spans="1:40" ht="15.6" x14ac:dyDescent="0.35">
      <c r="B355" s="1" t="s">
        <v>25</v>
      </c>
      <c r="C355" s="1">
        <f>C339</f>
        <v>451</v>
      </c>
      <c r="D355" s="1">
        <f>D339</f>
        <v>52</v>
      </c>
      <c r="E355" s="1">
        <f>E339</f>
        <v>774</v>
      </c>
      <c r="F355" s="1">
        <f>F339</f>
        <v>591</v>
      </c>
      <c r="G355" s="1">
        <f>G339</f>
        <v>968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0</v>
      </c>
      <c r="E356" s="18">
        <f>(O347*O347*(100-E352)*(100-E352)*(I347)*(100-I347))/((L347-1)*100)</f>
        <v>0.46776667438906888</v>
      </c>
      <c r="F356" s="18">
        <f>(O348*O348*(100-F352)*(100-F352)*(I348)*(100-I348))/((L348-1)*100)</f>
        <v>2.9041964867764816</v>
      </c>
      <c r="G356" s="18">
        <f>(O349*O349*(100-G352)*(100-G352)*(I349)*(100-I349))/((L349-1)*100)</f>
        <v>19.348538976649262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0</v>
      </c>
      <c r="E357" s="18">
        <f>E352*E352*(SUM((H345*E345*(1-E334/H334))/(H334-1),(H346*E346*(1-E335/H335))/(H335-1), (H348*E348*(1-E337/H337))/(H337-1),(H349*E349*(1-E338/H338))/(H338-1)))</f>
        <v>163.77464660656145</v>
      </c>
      <c r="F357" s="18">
        <f>F352*F352*(SUM((H345*F345*(1-F334/H334))/(H334-1),(H346*F346*(1-F335/H335))/(H335-1), (H347*F347*(1-F336/H336))/(H336-1),(H349*F349*(1-F338/H338))/(H338-1)))</f>
        <v>76.560388716484425</v>
      </c>
      <c r="G357" s="18">
        <f>G352*G352*(SUM((H345*G345*(1-G334/H334))/(H334-1),(H346*G346*(1-G335/H335))/(H335-1), (H347*G347*(1-G336/H336))/(H336-1),(H348*G348*(1-G337/H337))/(H337-1)))</f>
        <v>287.61279906767169</v>
      </c>
      <c r="AM357" s="78"/>
      <c r="AN357" s="78"/>
    </row>
    <row r="359" spans="1:40" x14ac:dyDescent="0.3">
      <c r="AM359" s="78"/>
      <c r="AN359" s="78"/>
    </row>
    <row r="360" spans="1:40" x14ac:dyDescent="0.3">
      <c r="A360" s="348" t="s">
        <v>373</v>
      </c>
      <c r="B360" s="348"/>
      <c r="C360" s="348"/>
      <c r="D360" s="348"/>
      <c r="E360" s="348"/>
      <c r="F360" s="348"/>
      <c r="G360" s="348"/>
      <c r="H360" s="348"/>
      <c r="I360" s="348"/>
      <c r="J360" s="348"/>
      <c r="K360" s="348"/>
      <c r="L360" s="348" t="s">
        <v>85</v>
      </c>
      <c r="M360" s="348"/>
      <c r="N360" s="348"/>
      <c r="O360" s="348"/>
      <c r="P360" s="348"/>
    </row>
    <row r="361" spans="1:40" x14ac:dyDescent="0.3">
      <c r="A361" t="s">
        <v>15</v>
      </c>
      <c r="B361" t="s">
        <v>21</v>
      </c>
      <c r="I361" s="1" t="s">
        <v>53</v>
      </c>
      <c r="O361" s="142"/>
      <c r="P361" s="142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51</v>
      </c>
      <c r="O362" s="13"/>
      <c r="P362" s="13"/>
    </row>
    <row r="363" spans="1:40" x14ac:dyDescent="0.3">
      <c r="A363" t="s">
        <v>3</v>
      </c>
      <c r="B363" s="13">
        <v>0</v>
      </c>
      <c r="C363" s="26">
        <v>451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451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53</v>
      </c>
      <c r="E364" s="1">
        <v>4</v>
      </c>
      <c r="F364" s="1">
        <v>0</v>
      </c>
      <c r="G364" s="6">
        <v>0</v>
      </c>
      <c r="H364" s="1">
        <f>SUM(C364:G364)</f>
        <v>57</v>
      </c>
      <c r="I364" s="10">
        <f>D364/H364</f>
        <v>0.92982456140350878</v>
      </c>
      <c r="J364" s="11">
        <f>1-I364</f>
        <v>7.0175438596491224E-2</v>
      </c>
      <c r="K364">
        <f>H364-D368</f>
        <v>-1</v>
      </c>
      <c r="N364" s="10">
        <f>2*(D369*I364)/(D369+I364)</f>
        <v>0.92173913043478251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1</v>
      </c>
      <c r="E365" s="27">
        <v>736</v>
      </c>
      <c r="F365" s="1">
        <v>0</v>
      </c>
      <c r="G365" s="6">
        <v>0</v>
      </c>
      <c r="H365" s="1">
        <f>SUM(C365:G365)</f>
        <v>737</v>
      </c>
      <c r="I365" s="10">
        <f>E365/H365</f>
        <v>0.99864314789687925</v>
      </c>
      <c r="J365" s="11">
        <f>1-I365</f>
        <v>1.3568521031207537E-3</v>
      </c>
      <c r="K365">
        <f>H365-E368</f>
        <v>-44</v>
      </c>
      <c r="N365" s="10">
        <f>2*(E369*I365)/(E369+I365)</f>
        <v>0.96969696969696972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0</v>
      </c>
      <c r="E366" s="1">
        <v>4</v>
      </c>
      <c r="F366" s="27">
        <v>570</v>
      </c>
      <c r="G366" s="6">
        <v>8</v>
      </c>
      <c r="H366" s="1">
        <f>SUM(C366:G366)</f>
        <v>582</v>
      </c>
      <c r="I366" s="10">
        <f>F366/H366</f>
        <v>0.97938144329896903</v>
      </c>
      <c r="J366" s="11">
        <f>1-I366</f>
        <v>2.0618556701030966E-2</v>
      </c>
      <c r="K366">
        <f>H366-F368</f>
        <v>-18</v>
      </c>
      <c r="N366" s="10">
        <f>2*(F369*I366)/(F369+I366)</f>
        <v>0.96446700507614214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4</v>
      </c>
      <c r="E367" s="8">
        <v>37</v>
      </c>
      <c r="F367" s="8">
        <v>30</v>
      </c>
      <c r="G367" s="28">
        <v>938</v>
      </c>
      <c r="H367" s="1">
        <f>SUM(C367:G367)</f>
        <v>1009</v>
      </c>
      <c r="I367" s="10">
        <f>G367/H367</f>
        <v>0.92963330029732405</v>
      </c>
      <c r="J367" s="11">
        <f>1-I367</f>
        <v>7.036669970267595E-2</v>
      </c>
      <c r="K367">
        <f>H367-G368</f>
        <v>63</v>
      </c>
      <c r="N367" s="10">
        <f>2*(G369*I367)/(G369+I367)</f>
        <v>0.95959079283887461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451</v>
      </c>
      <c r="D368" s="1">
        <f>SUM(D363:D367)</f>
        <v>58</v>
      </c>
      <c r="E368" s="1">
        <f>SUM(E363:E367)</f>
        <v>781</v>
      </c>
      <c r="F368" s="1">
        <f>SUM(F363:F367)</f>
        <v>600</v>
      </c>
      <c r="G368" s="1">
        <f>SUM(G363:G367)</f>
        <v>946</v>
      </c>
      <c r="H368" s="1">
        <f>SUM(H362:H367)</f>
        <v>2836</v>
      </c>
      <c r="I368" s="13" t="s">
        <v>12</v>
      </c>
      <c r="N368" s="16"/>
      <c r="O368" s="1"/>
      <c r="P368" s="1"/>
    </row>
    <row r="369" spans="1:40" x14ac:dyDescent="0.3">
      <c r="A369" s="1" t="s">
        <v>52</v>
      </c>
      <c r="B369" s="1" t="s">
        <v>2</v>
      </c>
      <c r="C369" s="10">
        <f>C363/C368</f>
        <v>1</v>
      </c>
      <c r="D369" s="10">
        <f>D364/D368</f>
        <v>0.91379310344827591</v>
      </c>
      <c r="E369" s="10">
        <f>E365/E368</f>
        <v>0.94238156209987201</v>
      </c>
      <c r="F369" s="10">
        <f>F366/F368</f>
        <v>0.95</v>
      </c>
      <c r="G369" s="10">
        <f>G367/G368</f>
        <v>0.9915433403805497</v>
      </c>
      <c r="H369" s="10"/>
      <c r="I369" s="14">
        <f>(C363+D364+E365+F366+G367)/H368</f>
        <v>0.96897038081805364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8.6206896551724088E-2</v>
      </c>
      <c r="E370" s="11">
        <f>1-E369</f>
        <v>5.7618437900127994E-2</v>
      </c>
      <c r="F370" s="11">
        <f>1-F369</f>
        <v>5.0000000000000044E-2</v>
      </c>
      <c r="G370" s="11">
        <f>1-G369</f>
        <v>8.4566596194503019E-3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0.22088590426137716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0.22088590426137716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451</v>
      </c>
      <c r="M374">
        <v>0</v>
      </c>
      <c r="N374" s="1">
        <v>213.34</v>
      </c>
      <c r="O374" s="17">
        <f>N374/N379*100</f>
        <v>0.22088590426137716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47">(C364/$L375)*$O375</f>
        <v>0</v>
      </c>
      <c r="D375" s="34">
        <f t="shared" si="47"/>
        <v>0.56016404334706815</v>
      </c>
      <c r="E375" s="19">
        <f t="shared" si="47"/>
        <v>4.2276531573363633E-2</v>
      </c>
      <c r="F375" s="18">
        <f t="shared" si="47"/>
        <v>0</v>
      </c>
      <c r="G375" s="20">
        <f t="shared" si="47"/>
        <v>0</v>
      </c>
      <c r="H375" s="17">
        <f>SUM(C375:G375)</f>
        <v>0.60244057492043179</v>
      </c>
      <c r="I375" s="17">
        <f>D375/H375*100</f>
        <v>92.982456140350877</v>
      </c>
      <c r="J375" s="17">
        <f>SQRT(I375*(100-I375)/(L375-1))</f>
        <v>3.4134933513474275</v>
      </c>
      <c r="K375" s="18">
        <f>100-I375</f>
        <v>7.0175438596491233</v>
      </c>
      <c r="L375" s="1">
        <f>H364</f>
        <v>57</v>
      </c>
      <c r="M375">
        <v>1</v>
      </c>
      <c r="N375" s="1">
        <v>581.86</v>
      </c>
      <c r="O375" s="17">
        <f>N375/N379*100</f>
        <v>0.60244057492043179</v>
      </c>
      <c r="P375" s="52">
        <f>((O375*O375*(I375/100)*(K375/100))/(L375-1))</f>
        <v>4.2288915830045296E-4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47"/>
        <v>0</v>
      </c>
      <c r="D376" s="19">
        <f t="shared" si="47"/>
        <v>8.1684452713208705E-2</v>
      </c>
      <c r="E376" s="34">
        <f t="shared" si="47"/>
        <v>60.119757196921611</v>
      </c>
      <c r="F376" s="19">
        <f t="shared" si="47"/>
        <v>0</v>
      </c>
      <c r="G376" s="20">
        <f t="shared" si="47"/>
        <v>0</v>
      </c>
      <c r="H376" s="17">
        <f>SUM(C376:G376)</f>
        <v>60.201441649634823</v>
      </c>
      <c r="I376" s="17">
        <f>E376/H376*100</f>
        <v>99.86431478968791</v>
      </c>
      <c r="J376" s="17">
        <f>SQRT(I376*(100-I376)/(L376-1))</f>
        <v>0.135685210312083</v>
      </c>
      <c r="K376" s="18">
        <f>100-I376</f>
        <v>0.13568521031209002</v>
      </c>
      <c r="L376" s="1">
        <f>H365</f>
        <v>737</v>
      </c>
      <c r="M376">
        <v>2</v>
      </c>
      <c r="N376" s="1">
        <v>58144.84</v>
      </c>
      <c r="O376" s="17">
        <f>N376/N379*100</f>
        <v>60.201441649634823</v>
      </c>
      <c r="P376" s="52">
        <f>((O376*O376*(I376/100)*(K376/100))/(L376-1))</f>
        <v>6.6723498150571209E-3</v>
      </c>
    </row>
    <row r="377" spans="1:40" x14ac:dyDescent="0.3">
      <c r="A377" t="s">
        <v>6</v>
      </c>
      <c r="B377" s="13">
        <v>3</v>
      </c>
      <c r="C377" s="33">
        <f t="shared" si="47"/>
        <v>0</v>
      </c>
      <c r="D377" s="19">
        <f t="shared" si="47"/>
        <v>0</v>
      </c>
      <c r="E377" s="19">
        <f t="shared" si="47"/>
        <v>0.224224564379323</v>
      </c>
      <c r="F377" s="34">
        <f t="shared" si="47"/>
        <v>31.952000424053526</v>
      </c>
      <c r="G377" s="20">
        <f t="shared" si="47"/>
        <v>0.44844912875864601</v>
      </c>
      <c r="H377" s="17">
        <f>SUM(C377:G377)</f>
        <v>32.624674117191496</v>
      </c>
      <c r="I377" s="17">
        <f>F377/H377*100</f>
        <v>97.9381443298969</v>
      </c>
      <c r="J377" s="17">
        <f>SQRT(I377*(100-I377)/(L377-1))</f>
        <v>0.58954505375429189</v>
      </c>
      <c r="K377" s="18">
        <f>100-I377</f>
        <v>2.0618556701030997</v>
      </c>
      <c r="L377" s="1">
        <f>H366</f>
        <v>582</v>
      </c>
      <c r="M377">
        <v>3</v>
      </c>
      <c r="N377" s="1">
        <v>31510.15</v>
      </c>
      <c r="O377" s="17">
        <f>N377/N379*100</f>
        <v>32.624674117191496</v>
      </c>
      <c r="P377" s="52">
        <f>((O377*O377*(I377/100)*(K377/100))/(L377-1))</f>
        <v>3.6993580255411544E-2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47"/>
        <v>0</v>
      </c>
      <c r="D378" s="36">
        <f t="shared" si="47"/>
        <v>2.5175650164487095E-2</v>
      </c>
      <c r="E378" s="21">
        <f t="shared" si="47"/>
        <v>0.23287476402150564</v>
      </c>
      <c r="F378" s="21">
        <f t="shared" si="47"/>
        <v>0.18881737623365322</v>
      </c>
      <c r="G378" s="37">
        <f t="shared" si="47"/>
        <v>5.9036899635722238</v>
      </c>
      <c r="H378" s="17">
        <f>SUM(C378:G378)</f>
        <v>6.3505577539918701</v>
      </c>
      <c r="I378" s="17">
        <f>G378/H378*100</f>
        <v>92.963330029732404</v>
      </c>
      <c r="J378" s="17">
        <f>SQRT(I378*(100-I378)/(L378-1))</f>
        <v>0.8055809009974596</v>
      </c>
      <c r="K378" s="18">
        <f>100-I378</f>
        <v>7.0366699702675959</v>
      </c>
      <c r="L378" s="1">
        <f>H367</f>
        <v>1009</v>
      </c>
      <c r="M378">
        <v>4</v>
      </c>
      <c r="N378" s="1">
        <v>6133.61</v>
      </c>
      <c r="O378" s="17">
        <f>N378/N379*100</f>
        <v>6.3505577539918701</v>
      </c>
      <c r="P378" s="52">
        <f>((O378*O378*(I378/100)*(K378/100))/(L378-1))</f>
        <v>2.6172310410160333E-3</v>
      </c>
    </row>
    <row r="379" spans="1:40" x14ac:dyDescent="0.3">
      <c r="B379" t="s">
        <v>28</v>
      </c>
      <c r="C379" s="17">
        <f t="shared" ref="C379:H379" si="48">SUM(C374:C378)</f>
        <v>0.22088590426137716</v>
      </c>
      <c r="D379" s="17">
        <f t="shared" si="48"/>
        <v>0.66702414622476391</v>
      </c>
      <c r="E379" s="17">
        <f t="shared" si="48"/>
        <v>60.619133056895798</v>
      </c>
      <c r="F379" s="17">
        <f t="shared" si="48"/>
        <v>32.140817800287181</v>
      </c>
      <c r="G379" s="17">
        <f t="shared" si="48"/>
        <v>6.3521390923308694</v>
      </c>
      <c r="H379" s="18">
        <f t="shared" si="48"/>
        <v>100</v>
      </c>
      <c r="I379" s="13" t="s">
        <v>24</v>
      </c>
      <c r="J379" s="12" t="s">
        <v>29</v>
      </c>
      <c r="N379" s="1">
        <f>SUM(N374:N378)</f>
        <v>96583.8</v>
      </c>
      <c r="O379" s="17">
        <f>SUM(O374:O378)</f>
        <v>100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8.5068158871674543E-2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0.14482227297642822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0.19514887511689727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0.16555186730452917</v>
      </c>
      <c r="H380" s="1"/>
      <c r="I380" s="14">
        <f>(C374+D375+E376+F377+G378)/H379</f>
        <v>0.98756497532155807</v>
      </c>
      <c r="J380" s="53">
        <f>SQRT(SUM(P374:P378))/100</f>
        <v>2.161158260511829E-3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83.979575030003843</v>
      </c>
      <c r="E381" s="17">
        <f>E376/E379*100</f>
        <v>99.176207519323185</v>
      </c>
      <c r="F381" s="17">
        <f>F377/F379*100</f>
        <v>99.412530890138186</v>
      </c>
      <c r="G381" s="17">
        <f>G378/G379*100</f>
        <v>92.940187199299956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11.517983719814969</v>
      </c>
      <c r="E382" s="18">
        <f>SQRT((E385+E386)/(E379*E379))</f>
        <v>0.19623473567520427</v>
      </c>
      <c r="F382" s="18">
        <f>SQRT((F385+F386)/(F379*F379))</f>
        <v>0.11080630658338191</v>
      </c>
      <c r="G382" s="18">
        <f>SQRT((G385+G386)/(G379*G379))</f>
        <v>2.3748581692728687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16.020424969996157</v>
      </c>
      <c r="E383" s="18">
        <f>100-E381</f>
        <v>0.82379248067681488</v>
      </c>
      <c r="F383" s="18">
        <f>100-F381</f>
        <v>0.58746910986181433</v>
      </c>
      <c r="G383" s="18">
        <f>100-G381</f>
        <v>7.059812800700044</v>
      </c>
      <c r="AM383" s="78"/>
      <c r="AN383" s="78"/>
    </row>
    <row r="384" spans="1:40" ht="15.6" x14ac:dyDescent="0.35">
      <c r="B384" s="1" t="s">
        <v>25</v>
      </c>
      <c r="C384" s="1">
        <f>C368</f>
        <v>451</v>
      </c>
      <c r="D384" s="1">
        <f>D368</f>
        <v>58</v>
      </c>
      <c r="E384" s="1">
        <f>E368</f>
        <v>781</v>
      </c>
      <c r="F384" s="1">
        <f>F368</f>
        <v>600</v>
      </c>
      <c r="G384" s="1">
        <f>G368</f>
        <v>946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10.853620089340057</v>
      </c>
      <c r="E385" s="18">
        <f>(O376*O376*(100-E381)*(100-E381)*(I376)*(100-I376))/((L376-1)*100)</f>
        <v>0.45280837861469653</v>
      </c>
      <c r="F385" s="18">
        <f>(O377*O377*(100-F381)*(100-F381)*(I377)*(100-I377))/((L377-1)*100)</f>
        <v>1.2767222754584056</v>
      </c>
      <c r="G385" s="18">
        <f>(O378*O378*(100-G381)*(100-G381)*(I378)*(100-I378))/((L378-1)*100)</f>
        <v>13.044529920098382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48.171384828217178</v>
      </c>
      <c r="E386" s="18">
        <f>E381*E381*(SUM((H374*E374*(1-E363/H363))/(H363-1),(H375*E375*(1-E364/H364))/(H364-1), (H377*E377*(1-E366/H366))/(H366-1),(H378*E378*(1-E367/H367))/(H367-1)))</f>
        <v>141.05200450600697</v>
      </c>
      <c r="F386" s="18">
        <f>F381*F381*(SUM((H374*F374*(1-F363/H363))/(H363-1),(H375*F375*(1-F364/H364))/(H364-1), (H376*F376*(1-F365/H365))/(H365-1),(H378*F378*(1-F367/H367))/(H367-1)))</f>
        <v>11.406885513897642</v>
      </c>
      <c r="G386" s="18">
        <f>G381*G381*(SUM((H374*G374*(1-G363/H363))/(H363-1),(H375*G375*(1-G364/H364))/(H364-1), (H376*G376*(1-G365/H365))/(H365-1),(H377*G377*(1-G366/H366))/(H366-1)))</f>
        <v>214.5256507383674</v>
      </c>
    </row>
    <row r="387" spans="1:40" x14ac:dyDescent="0.3">
      <c r="AM387" s="78"/>
      <c r="AN387" s="78"/>
    </row>
    <row r="389" spans="1:40" x14ac:dyDescent="0.3">
      <c r="A389" s="348" t="s">
        <v>373</v>
      </c>
      <c r="B389" s="348"/>
      <c r="C389" s="348"/>
      <c r="D389" s="348"/>
      <c r="E389" s="348"/>
      <c r="F389" s="348"/>
      <c r="G389" s="348"/>
      <c r="H389" s="348"/>
      <c r="I389" s="348"/>
      <c r="J389" s="348"/>
      <c r="K389" s="348"/>
      <c r="L389" s="348" t="s">
        <v>86</v>
      </c>
      <c r="M389" s="348"/>
      <c r="N389" s="348"/>
      <c r="O389" s="348"/>
      <c r="P389" s="348"/>
      <c r="AM389" s="78"/>
      <c r="AN389" s="78"/>
    </row>
    <row r="390" spans="1:40" x14ac:dyDescent="0.3">
      <c r="A390" t="s">
        <v>15</v>
      </c>
      <c r="B390" t="s">
        <v>21</v>
      </c>
      <c r="I390" s="1" t="s">
        <v>53</v>
      </c>
      <c r="O390" s="142"/>
      <c r="P390" s="142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51</v>
      </c>
      <c r="O391" s="13"/>
      <c r="P391" s="13"/>
      <c r="AM391" s="78"/>
      <c r="AN391" s="78"/>
    </row>
    <row r="392" spans="1:40" x14ac:dyDescent="0.3">
      <c r="A392" t="s">
        <v>3</v>
      </c>
      <c r="B392" s="13">
        <v>0</v>
      </c>
      <c r="C392" s="26">
        <v>451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451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54</v>
      </c>
      <c r="E393" s="1">
        <v>3</v>
      </c>
      <c r="F393" s="1">
        <v>0</v>
      </c>
      <c r="G393" s="6">
        <v>0</v>
      </c>
      <c r="H393" s="1">
        <f>SUM(C393:G393)</f>
        <v>57</v>
      </c>
      <c r="I393" s="10">
        <f>D393/H393</f>
        <v>0.94736842105263153</v>
      </c>
      <c r="J393" s="11">
        <f>1-I393</f>
        <v>5.2631578947368474E-2</v>
      </c>
      <c r="K393">
        <f>H393-D397</f>
        <v>-5</v>
      </c>
      <c r="N393" s="10">
        <f>2*(D398*I393)/(D398+I393)</f>
        <v>0.90756302521008392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1</v>
      </c>
      <c r="E394" s="27">
        <v>735</v>
      </c>
      <c r="F394" s="1">
        <v>1</v>
      </c>
      <c r="G394" s="6">
        <v>0</v>
      </c>
      <c r="H394" s="1">
        <f>SUM(C394:G394)</f>
        <v>737</v>
      </c>
      <c r="I394" s="10">
        <f>E394/H394</f>
        <v>0.99728629579375849</v>
      </c>
      <c r="J394" s="11">
        <f>1-I394</f>
        <v>2.7137042062415073E-3</v>
      </c>
      <c r="K394">
        <f>H394-E397</f>
        <v>-20</v>
      </c>
      <c r="N394" s="10">
        <f>2*(E398*I394)/(E398+I394)</f>
        <v>0.98393574297188757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0</v>
      </c>
      <c r="E395" s="1">
        <v>5</v>
      </c>
      <c r="F395" s="27">
        <v>566</v>
      </c>
      <c r="G395" s="6">
        <v>11</v>
      </c>
      <c r="H395" s="1">
        <f>SUM(C395:G395)</f>
        <v>582</v>
      </c>
      <c r="I395" s="10">
        <f>F395/H395</f>
        <v>0.97250859106529208</v>
      </c>
      <c r="J395" s="11">
        <f>1-I395</f>
        <v>2.7491408934707917E-2</v>
      </c>
      <c r="K395">
        <f>H395-F397</f>
        <v>-18</v>
      </c>
      <c r="N395" s="10">
        <f>2*(F398*I395)/(F398+I395)</f>
        <v>0.95769881556683578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7</v>
      </c>
      <c r="E396" s="8">
        <v>14</v>
      </c>
      <c r="F396" s="8">
        <v>33</v>
      </c>
      <c r="G396" s="28">
        <v>955</v>
      </c>
      <c r="H396" s="1">
        <f>SUM(C396:G396)</f>
        <v>1009</v>
      </c>
      <c r="I396" s="10">
        <f>G396/H396</f>
        <v>0.94648166501486619</v>
      </c>
      <c r="J396" s="11">
        <f>1-I396</f>
        <v>5.3518334985133809E-2</v>
      </c>
      <c r="K396">
        <f>H396-G397</f>
        <v>43</v>
      </c>
      <c r="N396" s="10">
        <f>2*(G398*I396)/(G398+I396)</f>
        <v>0.96708860759493676</v>
      </c>
      <c r="O396" s="1"/>
      <c r="P396" s="1"/>
    </row>
    <row r="397" spans="1:40" ht="15.6" x14ac:dyDescent="0.35">
      <c r="B397" s="1" t="s">
        <v>19</v>
      </c>
      <c r="C397" s="1">
        <f>SUM(C392:C396)</f>
        <v>451</v>
      </c>
      <c r="D397" s="1">
        <f>SUM(D392:D396)</f>
        <v>62</v>
      </c>
      <c r="E397" s="1">
        <f>SUM(E392:E396)</f>
        <v>757</v>
      </c>
      <c r="F397" s="1">
        <f>SUM(F392:F396)</f>
        <v>600</v>
      </c>
      <c r="G397" s="1">
        <f>SUM(G392:G396)</f>
        <v>966</v>
      </c>
      <c r="H397" s="1">
        <f>SUM(H391:H396)</f>
        <v>2836</v>
      </c>
      <c r="I397" s="13" t="s">
        <v>12</v>
      </c>
      <c r="N397" s="16"/>
      <c r="O397" s="1"/>
      <c r="P397" s="1"/>
      <c r="AM397" s="78"/>
      <c r="AN397" s="78"/>
    </row>
    <row r="398" spans="1:40" x14ac:dyDescent="0.3">
      <c r="A398" s="1" t="s">
        <v>52</v>
      </c>
      <c r="B398" s="1" t="s">
        <v>2</v>
      </c>
      <c r="C398" s="10">
        <f>C392/C397</f>
        <v>1</v>
      </c>
      <c r="D398" s="10">
        <f>D393/D397</f>
        <v>0.87096774193548387</v>
      </c>
      <c r="E398" s="10">
        <f>E394/E397</f>
        <v>0.97093791281373842</v>
      </c>
      <c r="F398" s="10">
        <f>F395/F397</f>
        <v>0.94333333333333336</v>
      </c>
      <c r="G398" s="10">
        <f>G396/G397</f>
        <v>0.98861283643892339</v>
      </c>
      <c r="H398" s="10"/>
      <c r="I398" s="14">
        <f>(C392+D393+E394+F395+G396)/H397</f>
        <v>0.97355430183356839</v>
      </c>
    </row>
    <row r="399" spans="1:40" x14ac:dyDescent="0.3">
      <c r="B399" s="1" t="s">
        <v>14</v>
      </c>
      <c r="C399" s="11">
        <f>1-C398</f>
        <v>0</v>
      </c>
      <c r="D399" s="11">
        <f>1-D398</f>
        <v>0.12903225806451613</v>
      </c>
      <c r="E399" s="11">
        <f>1-E398</f>
        <v>2.9062087186261576E-2</v>
      </c>
      <c r="F399" s="11">
        <f>1-F398</f>
        <v>5.6666666666666643E-2</v>
      </c>
      <c r="G399" s="11">
        <f>1-G398</f>
        <v>1.1387163561076608E-2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0.20708441788374446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0.20708441788374446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451</v>
      </c>
      <c r="M403">
        <v>0</v>
      </c>
      <c r="N403" s="1">
        <v>200.01</v>
      </c>
      <c r="O403" s="17">
        <f>N403/N408*100</f>
        <v>0.20708441788374446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49">(C393/$L404)*$O404</f>
        <v>0</v>
      </c>
      <c r="D404" s="34">
        <f t="shared" si="49"/>
        <v>0.61161613569062068</v>
      </c>
      <c r="E404" s="19">
        <f t="shared" si="49"/>
        <v>3.3978674205034483E-2</v>
      </c>
      <c r="F404" s="18">
        <f t="shared" si="49"/>
        <v>0</v>
      </c>
      <c r="G404" s="20">
        <f t="shared" si="49"/>
        <v>0</v>
      </c>
      <c r="H404" s="17">
        <f>SUM(C404:G404)</f>
        <v>0.64559480989565521</v>
      </c>
      <c r="I404" s="17">
        <f>D404/H404*100</f>
        <v>94.73684210526315</v>
      </c>
      <c r="J404" s="17">
        <f>SQRT(I404*(100-I404)/(L404-1))</f>
        <v>2.9839300500728485</v>
      </c>
      <c r="K404" s="18">
        <f>100-I404</f>
        <v>5.2631578947368496</v>
      </c>
      <c r="L404" s="1">
        <f>H393</f>
        <v>57</v>
      </c>
      <c r="M404">
        <v>1</v>
      </c>
      <c r="N404" s="1">
        <v>623.54</v>
      </c>
      <c r="O404" s="17">
        <f>N404/N408*100</f>
        <v>0.64559480989565521</v>
      </c>
      <c r="P404" s="52">
        <f>((O404*O404*(I404/100)*(K404/100))/(L404-1))</f>
        <v>3.7110545380667485E-4</v>
      </c>
    </row>
    <row r="405" spans="1:40" x14ac:dyDescent="0.3">
      <c r="A405" t="s">
        <v>5</v>
      </c>
      <c r="B405" s="13">
        <v>2</v>
      </c>
      <c r="C405" s="33">
        <f t="shared" si="49"/>
        <v>0</v>
      </c>
      <c r="D405" s="19">
        <f t="shared" si="49"/>
        <v>8.3434102119538459E-2</v>
      </c>
      <c r="E405" s="34">
        <f t="shared" si="49"/>
        <v>61.324065057860771</v>
      </c>
      <c r="F405" s="19">
        <f t="shared" si="49"/>
        <v>8.3434102119538459E-2</v>
      </c>
      <c r="G405" s="20">
        <f t="shared" si="49"/>
        <v>0</v>
      </c>
      <c r="H405" s="17">
        <f>SUM(C405:G405)</f>
        <v>61.490933262099851</v>
      </c>
      <c r="I405" s="17">
        <f>E405/H405*100</f>
        <v>99.728629579375834</v>
      </c>
      <c r="J405" s="17">
        <f>SQRT(I405*(100-I405)/(L405-1))</f>
        <v>0.1917574617235713</v>
      </c>
      <c r="K405" s="18">
        <f>100-I405</f>
        <v>0.27137042062416583</v>
      </c>
      <c r="L405" s="1">
        <f>H394</f>
        <v>737</v>
      </c>
      <c r="M405">
        <v>2</v>
      </c>
      <c r="N405" s="1">
        <v>59390.28</v>
      </c>
      <c r="O405" s="17">
        <f>N405/N408*100</f>
        <v>61.490933262099844</v>
      </c>
      <c r="P405" s="52">
        <f>((O405*O405*(I405/100)*(K405/100))/(L405-1))</f>
        <v>1.3903582354410426E-2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49"/>
        <v>0</v>
      </c>
      <c r="D406" s="19">
        <f t="shared" si="49"/>
        <v>0</v>
      </c>
      <c r="E406" s="19">
        <f t="shared" si="49"/>
        <v>0.27262883847624542</v>
      </c>
      <c r="F406" s="34">
        <f t="shared" si="49"/>
        <v>30.861584515510977</v>
      </c>
      <c r="G406" s="20">
        <f t="shared" si="49"/>
        <v>0.59978344464773981</v>
      </c>
      <c r="H406" s="17">
        <f>SUM(C406:G406)</f>
        <v>31.733996798634962</v>
      </c>
      <c r="I406" s="17">
        <f>F406/H406*100</f>
        <v>97.250859106529205</v>
      </c>
      <c r="J406" s="17">
        <f>SQRT(I406*(100-I406)/(L406-1))</f>
        <v>0.67835519625077212</v>
      </c>
      <c r="K406" s="18">
        <f>100-I406</f>
        <v>2.7491408934707948</v>
      </c>
      <c r="L406" s="1">
        <f>H395</f>
        <v>582</v>
      </c>
      <c r="M406">
        <v>3</v>
      </c>
      <c r="N406" s="1">
        <v>30649.9</v>
      </c>
      <c r="O406" s="17">
        <f>N406/N408*100</f>
        <v>31.733996798634962</v>
      </c>
      <c r="P406" s="52">
        <f>((O406*O406*(I406/100)*(K406/100))/(L406-1))</f>
        <v>4.6340835469880902E-2</v>
      </c>
    </row>
    <row r="407" spans="1:40" x14ac:dyDescent="0.3">
      <c r="A407" t="s">
        <v>7</v>
      </c>
      <c r="B407" s="13">
        <v>4</v>
      </c>
      <c r="C407" s="35">
        <f t="shared" si="49"/>
        <v>0</v>
      </c>
      <c r="D407" s="36">
        <f t="shared" si="49"/>
        <v>4.1086952408721927E-2</v>
      </c>
      <c r="E407" s="21">
        <f t="shared" si="49"/>
        <v>8.2173904817443855E-2</v>
      </c>
      <c r="F407" s="21">
        <f t="shared" si="49"/>
        <v>0.19369563278397481</v>
      </c>
      <c r="G407" s="37">
        <f t="shared" si="49"/>
        <v>5.605434221475635</v>
      </c>
      <c r="H407" s="17">
        <f>SUM(C407:G407)</f>
        <v>5.9223907114857752</v>
      </c>
      <c r="I407" s="17">
        <f>G407/H407*100</f>
        <v>94.648166501486628</v>
      </c>
      <c r="J407" s="17">
        <f>SQRT(I407*(100-I407)/(L407-1))</f>
        <v>0.70888719806390643</v>
      </c>
      <c r="K407" s="18">
        <f>100-I407</f>
        <v>5.351833498513372</v>
      </c>
      <c r="L407" s="1">
        <f>H396</f>
        <v>1009</v>
      </c>
      <c r="M407">
        <v>4</v>
      </c>
      <c r="N407" s="1">
        <v>5720.07</v>
      </c>
      <c r="O407" s="17">
        <f>N407/N408*100</f>
        <v>5.9223907114857752</v>
      </c>
      <c r="P407" s="52">
        <f>((O407*O407*(I407/100)*(K407/100))/(L407-1))</f>
        <v>1.7625781307754364E-3</v>
      </c>
      <c r="AM407" s="78"/>
      <c r="AN407" s="78"/>
    </row>
    <row r="408" spans="1:40" x14ac:dyDescent="0.3">
      <c r="B408" t="s">
        <v>28</v>
      </c>
      <c r="C408" s="17">
        <f t="shared" ref="C408:H408" si="50">SUM(C403:C407)</f>
        <v>0.20708441788374446</v>
      </c>
      <c r="D408" s="17">
        <f t="shared" si="50"/>
        <v>0.73613719021888113</v>
      </c>
      <c r="E408" s="17">
        <f t="shared" si="50"/>
        <v>61.712846475359498</v>
      </c>
      <c r="F408" s="17">
        <f t="shared" si="50"/>
        <v>31.138714250414491</v>
      </c>
      <c r="G408" s="17">
        <f t="shared" si="50"/>
        <v>6.2052176661233744</v>
      </c>
      <c r="H408" s="18">
        <f t="shared" si="50"/>
        <v>99.999999999999986</v>
      </c>
      <c r="I408" s="13" t="s">
        <v>24</v>
      </c>
      <c r="J408" s="12" t="s">
        <v>29</v>
      </c>
      <c r="N408" s="1">
        <f>SUM(N403:N407)</f>
        <v>96583.800000000017</v>
      </c>
      <c r="O408" s="17">
        <f>SUM(O403:O407)</f>
        <v>99.999999999999972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8.6924612654219496E-2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0.17164653444169325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0.23305094236874394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0.1839738399037856</v>
      </c>
      <c r="H409" s="1"/>
      <c r="I409" s="56">
        <f>(C403+D404+E405+F406+G407)/H408</f>
        <v>0.9860978434842177</v>
      </c>
      <c r="J409" s="53">
        <f>SQRT(SUM(P403:P407))/100</f>
        <v>2.4975608382754853E-3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83.084531499999926</v>
      </c>
      <c r="E410" s="17">
        <f>E405/E408*100</f>
        <v>99.370015418663343</v>
      </c>
      <c r="F410" s="17">
        <f>F406/F408*100</f>
        <v>99.110015485305951</v>
      </c>
      <c r="G410" s="17">
        <f>G407/G408*100</f>
        <v>90.334207808338718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10.551100188144206</v>
      </c>
      <c r="E411" s="18">
        <f>SQRT((E414+E415)/(E408*E408))</f>
        <v>0.20153917814012359</v>
      </c>
      <c r="F411" s="18">
        <f>SQRT((F414+F415)/(F408*F408))</f>
        <v>0.29233342871941564</v>
      </c>
      <c r="G411" s="18">
        <f>SQRT((G414+G415)/(G408*G408))</f>
        <v>2.6905820751501146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16.915468500000074</v>
      </c>
      <c r="E412" s="18">
        <f>100-E410</f>
        <v>0.62998458133665736</v>
      </c>
      <c r="F412" s="18">
        <f>100-F410</f>
        <v>0.88998451469404927</v>
      </c>
      <c r="G412" s="18">
        <f>100-G410</f>
        <v>9.6657921916612821</v>
      </c>
    </row>
    <row r="413" spans="1:40" ht="15.6" x14ac:dyDescent="0.35">
      <c r="B413" s="1" t="s">
        <v>25</v>
      </c>
      <c r="C413" s="1">
        <f>C397</f>
        <v>451</v>
      </c>
      <c r="D413" s="1">
        <f>D397</f>
        <v>62</v>
      </c>
      <c r="E413" s="1">
        <f>E397</f>
        <v>757</v>
      </c>
      <c r="F413" s="1">
        <f>F397</f>
        <v>600</v>
      </c>
      <c r="G413" s="1">
        <f>G397</f>
        <v>966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10.6185544489067</v>
      </c>
      <c r="E414" s="18">
        <f>(O405*O405*(100-E410)*(100-E410)*(I405)*(100-I405))/((L405-1)*100)</f>
        <v>0.55180617277048372</v>
      </c>
      <c r="F414" s="18">
        <f>(O406*O406*(100-F410)*(100-F410)*(I406)*(100-I406))/((L406-1)*100)</f>
        <v>3.6705298455217781</v>
      </c>
      <c r="G414" s="18">
        <f>(O407*O407*(100-G410)*(100-G410)*(I407)*(100-I407))/((L407-1)*100)</f>
        <v>16.467333651136528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49.708623817126799</v>
      </c>
      <c r="E415" s="18">
        <f>E410*E410*(SUM((H403*E403*(1-E392/H392))/(H392-1),(H404*E404*(1-E393/H393))/(H393-1), (H406*E406*(1-E395/H395))/(H395-1),(H407*E407*(1-E396/H396))/(H396-1)))</f>
        <v>154.14100201877883</v>
      </c>
      <c r="F415" s="18">
        <f>F410*F410*(SUM((H403*F403*(1-F392/H392))/(H392-1),(H404*F404*(1-F393/H393))/(H393-1), (H405*F405*(1-F394/H394))/(H394-1),(H407*F407*(1-F396/H396))/(H396-1)))</f>
        <v>79.192023759668331</v>
      </c>
      <c r="G415" s="18">
        <f>G410*G410*(SUM((H403*G403*(1-G392/H392))/(H392-1),(H404*G404*(1-G393/H393))/(H393-1), (H405*G405*(1-G394/H394))/(H394-1),(H406*G406*(1-G395/H395))/(H395-1)))</f>
        <v>262.27730928464479</v>
      </c>
      <c r="AM415" s="78"/>
      <c r="AN415" s="78"/>
    </row>
    <row r="417" spans="1:40" x14ac:dyDescent="0.3">
      <c r="AM417" s="78"/>
      <c r="AN417" s="78"/>
    </row>
    <row r="418" spans="1:40" x14ac:dyDescent="0.3">
      <c r="A418" s="348" t="s">
        <v>373</v>
      </c>
      <c r="B418" s="348"/>
      <c r="C418" s="348"/>
      <c r="D418" s="348"/>
      <c r="E418" s="348"/>
      <c r="F418" s="348"/>
      <c r="G418" s="348"/>
      <c r="H418" s="348"/>
      <c r="I418" s="348"/>
      <c r="J418" s="348"/>
      <c r="K418" s="348"/>
      <c r="L418" s="348" t="s">
        <v>87</v>
      </c>
      <c r="M418" s="348"/>
      <c r="N418" s="348"/>
      <c r="O418" s="348"/>
      <c r="P418" s="348"/>
    </row>
    <row r="419" spans="1:40" x14ac:dyDescent="0.3">
      <c r="A419" t="s">
        <v>15</v>
      </c>
      <c r="B419" t="s">
        <v>21</v>
      </c>
      <c r="I419" s="1" t="s">
        <v>53</v>
      </c>
      <c r="O419" s="142"/>
      <c r="P419" s="142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51</v>
      </c>
      <c r="O420" s="13"/>
      <c r="P420" s="13"/>
    </row>
    <row r="421" spans="1:40" x14ac:dyDescent="0.3">
      <c r="A421" t="s">
        <v>3</v>
      </c>
      <c r="B421" s="13">
        <v>0</v>
      </c>
      <c r="C421" s="26">
        <v>451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451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53</v>
      </c>
      <c r="E422" s="1">
        <v>4</v>
      </c>
      <c r="F422" s="1">
        <v>0</v>
      </c>
      <c r="G422" s="6">
        <v>0</v>
      </c>
      <c r="H422" s="1">
        <f>SUM(C422:G422)</f>
        <v>57</v>
      </c>
      <c r="I422" s="10">
        <f>D422/H422</f>
        <v>0.92982456140350878</v>
      </c>
      <c r="J422" s="11">
        <f>1-I422</f>
        <v>7.0175438596491224E-2</v>
      </c>
      <c r="K422">
        <f>H422-D426</f>
        <v>3</v>
      </c>
      <c r="N422" s="10">
        <f>2*(D427*I422)/(D427+I422)</f>
        <v>0.95495495495495497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0</v>
      </c>
      <c r="E423" s="27">
        <v>737</v>
      </c>
      <c r="F423" s="1">
        <v>0</v>
      </c>
      <c r="G423" s="6">
        <v>0</v>
      </c>
      <c r="H423" s="1">
        <f>SUM(C423:G423)</f>
        <v>737</v>
      </c>
      <c r="I423" s="10">
        <f>E423/H423</f>
        <v>1</v>
      </c>
      <c r="J423" s="11">
        <f>1-I423</f>
        <v>0</v>
      </c>
      <c r="K423">
        <f>H423-E426</f>
        <v>-35</v>
      </c>
      <c r="N423" s="10">
        <f>2*(E427*I423)/(E427+I423)</f>
        <v>0.97680583167660706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0</v>
      </c>
      <c r="E424" s="1">
        <v>5</v>
      </c>
      <c r="F424" s="27">
        <v>565</v>
      </c>
      <c r="G424" s="6">
        <v>12</v>
      </c>
      <c r="H424" s="1">
        <f>SUM(C424:G424)</f>
        <v>582</v>
      </c>
      <c r="I424" s="10">
        <f>F424/H424</f>
        <v>0.97079037800687284</v>
      </c>
      <c r="J424" s="11">
        <f>1-I424</f>
        <v>2.9209621993127155E-2</v>
      </c>
      <c r="K424">
        <f>H424-F426</f>
        <v>-13</v>
      </c>
      <c r="N424" s="10">
        <f>2*(F427*I424)/(F427+I424)</f>
        <v>0.96006796941376382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1</v>
      </c>
      <c r="E425" s="8">
        <v>26</v>
      </c>
      <c r="F425" s="8">
        <v>30</v>
      </c>
      <c r="G425" s="28">
        <v>952</v>
      </c>
      <c r="H425" s="1">
        <f>SUM(C425:G425)</f>
        <v>1009</v>
      </c>
      <c r="I425" s="10">
        <f>G425/H425</f>
        <v>0.94350842418235881</v>
      </c>
      <c r="J425" s="11">
        <f>1-I425</f>
        <v>5.6491575817641193E-2</v>
      </c>
      <c r="K425">
        <f>H425-G426</f>
        <v>45</v>
      </c>
      <c r="N425" s="10">
        <f>2*(G427*I425)/(G427+I425)</f>
        <v>0.96502787633046128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451</v>
      </c>
      <c r="D426" s="1">
        <f>SUM(D421:D425)</f>
        <v>54</v>
      </c>
      <c r="E426" s="1">
        <f>SUM(E421:E425)</f>
        <v>772</v>
      </c>
      <c r="F426" s="1">
        <f>SUM(F421:F425)</f>
        <v>595</v>
      </c>
      <c r="G426" s="1">
        <f>SUM(G421:G425)</f>
        <v>964</v>
      </c>
      <c r="H426" s="1">
        <f>SUM(H420:H425)</f>
        <v>2836</v>
      </c>
      <c r="I426" s="13" t="s">
        <v>12</v>
      </c>
      <c r="N426" s="16"/>
      <c r="O426" s="1"/>
      <c r="P426" s="1"/>
    </row>
    <row r="427" spans="1:40" x14ac:dyDescent="0.3">
      <c r="A427" s="1" t="s">
        <v>52</v>
      </c>
      <c r="B427" s="1" t="s">
        <v>2</v>
      </c>
      <c r="C427" s="10">
        <f>C421/C426</f>
        <v>1</v>
      </c>
      <c r="D427" s="10">
        <f>D422/D426</f>
        <v>0.98148148148148151</v>
      </c>
      <c r="E427" s="10">
        <f>E423/E426</f>
        <v>0.95466321243523311</v>
      </c>
      <c r="F427" s="10">
        <f>F424/F426</f>
        <v>0.94957983193277307</v>
      </c>
      <c r="G427" s="10">
        <f>G425/G426</f>
        <v>0.98755186721991706</v>
      </c>
      <c r="H427" s="10"/>
      <c r="I427" s="14">
        <f>(C421+D422+E423+F424+G425)/H426</f>
        <v>0.97249647390691119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1.851851851851849E-2</v>
      </c>
      <c r="E428" s="11">
        <f>1-E427</f>
        <v>4.5336787564766889E-2</v>
      </c>
      <c r="F428" s="11">
        <f>1-F427</f>
        <v>5.0420168067226934E-2</v>
      </c>
      <c r="G428" s="11">
        <f>1-G427</f>
        <v>1.2448132780082943E-2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0.21062538438123163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0.21062538438123163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451</v>
      </c>
      <c r="M432">
        <v>0</v>
      </c>
      <c r="N432" s="1">
        <v>203.43</v>
      </c>
      <c r="O432" s="17">
        <f>N432/N437*100</f>
        <v>0.21062538438123163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51">(C422/$L433)*$O433</f>
        <v>0</v>
      </c>
      <c r="D433" s="34">
        <f t="shared" si="51"/>
        <v>0.56528567520113338</v>
      </c>
      <c r="E433" s="19">
        <f t="shared" si="51"/>
        <v>4.266306982650063E-2</v>
      </c>
      <c r="F433" s="18">
        <f t="shared" si="51"/>
        <v>0</v>
      </c>
      <c r="G433" s="20">
        <f t="shared" si="51"/>
        <v>0</v>
      </c>
      <c r="H433" s="17">
        <f>SUM(C433:G433)</f>
        <v>0.60794874502763396</v>
      </c>
      <c r="I433" s="17">
        <f>D433/H433*100</f>
        <v>92.982456140350891</v>
      </c>
      <c r="J433" s="17">
        <f>SQRT(I433*(100-I433)/(L433-1))</f>
        <v>3.4134933513474244</v>
      </c>
      <c r="K433" s="18">
        <f>100-I433</f>
        <v>7.0175438596491091</v>
      </c>
      <c r="L433" s="1">
        <f>H422</f>
        <v>57</v>
      </c>
      <c r="M433">
        <v>1</v>
      </c>
      <c r="N433" s="1">
        <v>587.17999999999995</v>
      </c>
      <c r="O433" s="17">
        <f>N433/N437*100</f>
        <v>0.60794874502763396</v>
      </c>
      <c r="P433" s="52">
        <f>((O433*O433*(I433/100)*(K433/100))/(L433-1))</f>
        <v>4.3065753987547254E-4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51"/>
        <v>0</v>
      </c>
      <c r="D434" s="19">
        <f t="shared" si="51"/>
        <v>0</v>
      </c>
      <c r="E434" s="34">
        <f t="shared" si="51"/>
        <v>60.994462839523813</v>
      </c>
      <c r="F434" s="19">
        <f t="shared" si="51"/>
        <v>0</v>
      </c>
      <c r="G434" s="20">
        <f t="shared" si="51"/>
        <v>0</v>
      </c>
      <c r="H434" s="17">
        <f>SUM(C434:G434)</f>
        <v>60.994462839523813</v>
      </c>
      <c r="I434" s="17">
        <f>E434/H434*100</f>
        <v>100</v>
      </c>
      <c r="J434" s="17">
        <f>SQRT(I434*(100-I434)/(L434-1))</f>
        <v>0</v>
      </c>
      <c r="K434" s="18">
        <f>100-I434</f>
        <v>0</v>
      </c>
      <c r="L434" s="1">
        <f>H423</f>
        <v>737</v>
      </c>
      <c r="M434">
        <v>2</v>
      </c>
      <c r="N434" s="1">
        <v>58910.77</v>
      </c>
      <c r="O434" s="17">
        <f>N434/N437*100</f>
        <v>60.994462839523813</v>
      </c>
      <c r="P434" s="52">
        <f>((O434*O434*(I434/100)*(K434/100))/(L434-1))</f>
        <v>0</v>
      </c>
    </row>
    <row r="435" spans="1:40" x14ac:dyDescent="0.3">
      <c r="A435" t="s">
        <v>6</v>
      </c>
      <c r="B435" s="13">
        <v>3</v>
      </c>
      <c r="C435" s="33">
        <f t="shared" si="51"/>
        <v>0</v>
      </c>
      <c r="D435" s="19">
        <f t="shared" si="51"/>
        <v>0</v>
      </c>
      <c r="E435" s="19">
        <f t="shared" si="51"/>
        <v>0.27486902761129134</v>
      </c>
      <c r="F435" s="34">
        <f t="shared" si="51"/>
        <v>31.060200120075919</v>
      </c>
      <c r="G435" s="20">
        <f t="shared" si="51"/>
        <v>0.65968566626709912</v>
      </c>
      <c r="H435" s="17">
        <f>SUM(C435:G435)</f>
        <v>31.994754813954309</v>
      </c>
      <c r="I435" s="17">
        <f>F435/H435*100</f>
        <v>97.079037800687288</v>
      </c>
      <c r="J435" s="17">
        <f>SQRT(I435*(100-I435)/(L435-1))</f>
        <v>0.69861456179910675</v>
      </c>
      <c r="K435" s="18">
        <f>100-I435</f>
        <v>2.9209621993127115</v>
      </c>
      <c r="L435" s="1">
        <f>H424</f>
        <v>582</v>
      </c>
      <c r="M435">
        <v>3</v>
      </c>
      <c r="N435" s="1">
        <v>30901.75</v>
      </c>
      <c r="O435" s="17">
        <f>N435/N437*100</f>
        <v>31.994754813954309</v>
      </c>
      <c r="P435" s="52">
        <f>((O435*O435*(I435/100)*(K435/100))/(L435-1))</f>
        <v>4.9961197616211817E-2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51"/>
        <v>0</v>
      </c>
      <c r="D436" s="36">
        <f t="shared" si="51"/>
        <v>6.1369754381694888E-3</v>
      </c>
      <c r="E436" s="21">
        <f t="shared" si="51"/>
        <v>0.1595613613924067</v>
      </c>
      <c r="F436" s="21">
        <f t="shared" si="51"/>
        <v>0.18410926314508466</v>
      </c>
      <c r="G436" s="37">
        <f t="shared" si="51"/>
        <v>5.8424006171373541</v>
      </c>
      <c r="H436" s="17">
        <f>SUM(C436:G436)</f>
        <v>6.1922082171130146</v>
      </c>
      <c r="I436" s="17">
        <f>G436/H436*100</f>
        <v>94.350842418235885</v>
      </c>
      <c r="J436" s="17">
        <f>SQRT(I436*(100-I436)/(L436-1))</f>
        <v>0.72716751579303351</v>
      </c>
      <c r="K436" s="18">
        <f>100-I436</f>
        <v>5.6491575817641149</v>
      </c>
      <c r="L436" s="1">
        <f>H425</f>
        <v>1009</v>
      </c>
      <c r="M436">
        <v>4</v>
      </c>
      <c r="N436" s="1">
        <v>5980.67</v>
      </c>
      <c r="O436" s="17">
        <f>N436/N437*100</f>
        <v>6.1922082171130146</v>
      </c>
      <c r="P436" s="52">
        <f>((O436*O436*(I436/100)*(K436/100))/(L436-1))</f>
        <v>2.0274961686281099E-3</v>
      </c>
    </row>
    <row r="437" spans="1:40" x14ac:dyDescent="0.3">
      <c r="B437" t="s">
        <v>28</v>
      </c>
      <c r="C437" s="17">
        <f t="shared" ref="C437:H437" si="52">SUM(C432:C436)</f>
        <v>0.21062538438123163</v>
      </c>
      <c r="D437" s="17">
        <f t="shared" si="52"/>
        <v>0.57142265063930286</v>
      </c>
      <c r="E437" s="17">
        <f t="shared" si="52"/>
        <v>61.47155629835401</v>
      </c>
      <c r="F437" s="17">
        <f t="shared" si="52"/>
        <v>31.244309383221005</v>
      </c>
      <c r="G437" s="17">
        <f t="shared" si="52"/>
        <v>6.502086283404453</v>
      </c>
      <c r="H437" s="18">
        <f t="shared" si="52"/>
        <v>100.00000000000001</v>
      </c>
      <c r="I437" s="13" t="s">
        <v>24</v>
      </c>
      <c r="J437" s="12" t="s">
        <v>29</v>
      </c>
      <c r="N437" s="1">
        <f>SUM(N432:N436)</f>
        <v>96583.8</v>
      </c>
      <c r="O437" s="17">
        <f>SUM(O432:O436)</f>
        <v>100.00000000000001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2.1464558822370115E-2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0.1278979042591124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0.22576898321962102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0.19376061886823989</v>
      </c>
      <c r="H438" s="1"/>
      <c r="I438" s="56">
        <f>(C432+D433+E434+F435+G436)/H437</f>
        <v>0.98672974636319433</v>
      </c>
      <c r="J438" s="53">
        <f>SQRT(SUM(P432:P436))/100</f>
        <v>2.289527272707521E-3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98.926018170385177</v>
      </c>
      <c r="E439" s="17">
        <f>E434/E437*100</f>
        <v>99.223879323122048</v>
      </c>
      <c r="F439" s="17">
        <f>F435/F437*100</f>
        <v>99.410743054400953</v>
      </c>
      <c r="G439" s="17">
        <f>G436/G437*100</f>
        <v>89.854246198626399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1.1317788026142106</v>
      </c>
      <c r="E440" s="18">
        <f>SQRT((E443+E444)/(E437*E437))</f>
        <v>0.20666174349960029</v>
      </c>
      <c r="F440" s="18">
        <f>SQRT((F443+F444)/(F437*F437))</f>
        <v>0.11351697763843327</v>
      </c>
      <c r="G440" s="18">
        <f>SQRT((G443+G444)/(G437*G437))</f>
        <v>2.6996751193034054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1.0739818296148229</v>
      </c>
      <c r="E441" s="18">
        <f>100-E439</f>
        <v>0.77612067687795161</v>
      </c>
      <c r="F441" s="18">
        <f>100-F439</f>
        <v>0.58925694559904684</v>
      </c>
      <c r="G441" s="18">
        <f>100-G439</f>
        <v>10.145753801373601</v>
      </c>
      <c r="AM441" s="78"/>
      <c r="AN441" s="78"/>
    </row>
    <row r="442" spans="1:40" ht="15.6" x14ac:dyDescent="0.35">
      <c r="B442" s="1" t="s">
        <v>25</v>
      </c>
      <c r="C442" s="1">
        <f>C426</f>
        <v>451</v>
      </c>
      <c r="D442" s="1">
        <f>D426</f>
        <v>54</v>
      </c>
      <c r="E442" s="1">
        <f>E426</f>
        <v>772</v>
      </c>
      <c r="F442" s="1">
        <f>F426</f>
        <v>595</v>
      </c>
      <c r="G442" s="1">
        <f>G426</f>
        <v>964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4.9673632804924969E-2</v>
      </c>
      <c r="E443" s="18">
        <f>(O434*O434*(100-E439)*(100-E439)*(I434)*(100-I434))/((L434-1)*100)</f>
        <v>0</v>
      </c>
      <c r="F443" s="18">
        <f>(O435*O435*(100-F439)*(100-F439)*(I435)*(100-I435))/((L435-1)*100)</f>
        <v>1.7347714287708091</v>
      </c>
      <c r="G443" s="18">
        <f>(O436*O436*(100-G439)*(100-G439)*(I436)*(100-I436))/((L436-1)*100)</f>
        <v>20.870299481429747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0.3685783554125423</v>
      </c>
      <c r="E444" s="18">
        <f>E439*E439*(SUM((H432*E432*(1-E421/H421))/(H421-1),(H433*E433*(1-E422/H422))/(H422-1), (H435*E435*(1-E424/H424))/(H424-1),(H436*E436*(1-E425/H425))/(H425-1)))</f>
        <v>161.38701719115545</v>
      </c>
      <c r="F444" s="18">
        <f>F439*F439*(SUM((H432*F432*(1-F421/H421))/(H421-1),(H433*F433*(1-F422/H422))/(H422-1), (H434*F434*(1-F423/H423))/(H423-1),(H436*F436*(1-F425/H425))/(H425-1)))</f>
        <v>10.84473201566054</v>
      </c>
      <c r="G444" s="18">
        <f>G439*G439*(SUM((H432*G432*(1-G421/H421))/(H421-1),(H433*G433*(1-G422/H422))/(H422-1), (H434*G434*(1-G423/H423))/(H423-1),(H435*G435*(1-G424/H424))/(H424-1)))</f>
        <v>287.25578466970364</v>
      </c>
    </row>
    <row r="445" spans="1:40" x14ac:dyDescent="0.3">
      <c r="AM445" s="78"/>
      <c r="AN445" s="78"/>
    </row>
    <row r="447" spans="1:40" x14ac:dyDescent="0.3">
      <c r="A447" s="348" t="s">
        <v>373</v>
      </c>
      <c r="B447" s="348"/>
      <c r="C447" s="348"/>
      <c r="D447" s="348"/>
      <c r="E447" s="348"/>
      <c r="F447" s="348"/>
      <c r="G447" s="348"/>
      <c r="H447" s="348"/>
      <c r="I447" s="348"/>
      <c r="J447" s="348"/>
      <c r="K447" s="348"/>
      <c r="L447" s="348" t="s">
        <v>88</v>
      </c>
      <c r="M447" s="348"/>
      <c r="N447" s="348"/>
      <c r="O447" s="348"/>
      <c r="P447" s="348"/>
      <c r="AM447" s="78"/>
      <c r="AN447" s="78"/>
    </row>
    <row r="448" spans="1:40" x14ac:dyDescent="0.3">
      <c r="A448" t="s">
        <v>15</v>
      </c>
      <c r="B448" t="s">
        <v>21</v>
      </c>
      <c r="I448" s="1" t="s">
        <v>53</v>
      </c>
      <c r="O448" s="142"/>
      <c r="P448" s="142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51</v>
      </c>
      <c r="O449" s="13"/>
      <c r="P449" s="13"/>
      <c r="AM449" s="78"/>
      <c r="AN449" s="78"/>
    </row>
    <row r="450" spans="1:40" x14ac:dyDescent="0.3">
      <c r="A450" t="s">
        <v>3</v>
      </c>
      <c r="B450" s="13">
        <v>0</v>
      </c>
      <c r="C450" s="26">
        <v>451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451</v>
      </c>
      <c r="I450" s="10">
        <f>C450/H450</f>
        <v>1</v>
      </c>
      <c r="J450" s="11">
        <f>1-I450</f>
        <v>0</v>
      </c>
      <c r="K450">
        <f>H450-C455</f>
        <v>-1</v>
      </c>
      <c r="N450" s="10">
        <f>2*(C456*I450)/(C456+I450)</f>
        <v>0.99889258028792915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52</v>
      </c>
      <c r="E451" s="1">
        <v>5</v>
      </c>
      <c r="F451" s="1">
        <v>0</v>
      </c>
      <c r="G451" s="6">
        <v>0</v>
      </c>
      <c r="H451" s="1">
        <f>SUM(C451:G451)</f>
        <v>57</v>
      </c>
      <c r="I451" s="10">
        <f>D451/H451</f>
        <v>0.91228070175438591</v>
      </c>
      <c r="J451" s="11">
        <f>1-I451</f>
        <v>8.7719298245614086E-2</v>
      </c>
      <c r="K451">
        <f>H451-D455</f>
        <v>1</v>
      </c>
      <c r="N451" s="10">
        <f>2*(D456*I451)/(D456+I451)</f>
        <v>0.92035398230088494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0</v>
      </c>
      <c r="E452" s="27">
        <v>736</v>
      </c>
      <c r="F452" s="1">
        <v>1</v>
      </c>
      <c r="G452" s="6">
        <v>0</v>
      </c>
      <c r="H452" s="1">
        <f>SUM(C452:G452)</f>
        <v>737</v>
      </c>
      <c r="I452" s="10">
        <f>E452/H452</f>
        <v>0.99864314789687925</v>
      </c>
      <c r="J452" s="11">
        <f>1-I452</f>
        <v>1.3568521031207537E-3</v>
      </c>
      <c r="K452">
        <f>H452-E455</f>
        <v>-39</v>
      </c>
      <c r="N452" s="10">
        <f>2*(E456*I452)/(E456+I452)</f>
        <v>0.97290152015862519</v>
      </c>
      <c r="O452" s="1"/>
      <c r="P452" s="1"/>
    </row>
    <row r="453" spans="1:40" x14ac:dyDescent="0.3">
      <c r="A453" t="s">
        <v>6</v>
      </c>
      <c r="B453" s="13">
        <v>3</v>
      </c>
      <c r="C453" s="5">
        <v>1</v>
      </c>
      <c r="D453" s="1">
        <v>0</v>
      </c>
      <c r="E453" s="1">
        <v>5</v>
      </c>
      <c r="F453" s="27">
        <v>564</v>
      </c>
      <c r="G453" s="6">
        <v>12</v>
      </c>
      <c r="H453" s="1">
        <f>SUM(C453:G453)</f>
        <v>582</v>
      </c>
      <c r="I453" s="10">
        <f>F453/H453</f>
        <v>0.96907216494845361</v>
      </c>
      <c r="J453" s="11">
        <f>1-I453</f>
        <v>3.0927835051546393E-2</v>
      </c>
      <c r="K453">
        <f>H453-F455</f>
        <v>-6</v>
      </c>
      <c r="N453" s="10">
        <f>2*(F456*I453)/(F456+I453)</f>
        <v>0.96410256410256401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4</v>
      </c>
      <c r="E454" s="8">
        <v>30</v>
      </c>
      <c r="F454" s="8">
        <v>23</v>
      </c>
      <c r="G454" s="28">
        <v>952</v>
      </c>
      <c r="H454" s="1">
        <f>SUM(C454:G454)</f>
        <v>1009</v>
      </c>
      <c r="I454" s="10">
        <f>G454/H454</f>
        <v>0.94350842418235881</v>
      </c>
      <c r="J454" s="11">
        <f>1-I454</f>
        <v>5.6491575817641193E-2</v>
      </c>
      <c r="K454">
        <f>H454-G455</f>
        <v>45</v>
      </c>
      <c r="N454" s="10">
        <f>2*(G456*I454)/(G456+I454)</f>
        <v>0.96502787633046128</v>
      </c>
      <c r="O454" s="1"/>
      <c r="P454" s="1"/>
    </row>
    <row r="455" spans="1:40" ht="15.6" x14ac:dyDescent="0.35">
      <c r="B455" s="1" t="s">
        <v>19</v>
      </c>
      <c r="C455" s="1">
        <f>SUM(C450:C454)</f>
        <v>452</v>
      </c>
      <c r="D455" s="1">
        <f>SUM(D450:D454)</f>
        <v>56</v>
      </c>
      <c r="E455" s="1">
        <f>SUM(E450:E454)</f>
        <v>776</v>
      </c>
      <c r="F455" s="1">
        <f>SUM(F450:F454)</f>
        <v>588</v>
      </c>
      <c r="G455" s="1">
        <f>SUM(G450:G454)</f>
        <v>964</v>
      </c>
      <c r="H455" s="1">
        <f>SUM(H449:H454)</f>
        <v>2836</v>
      </c>
      <c r="I455" s="13" t="s">
        <v>12</v>
      </c>
      <c r="N455" s="16"/>
      <c r="O455" s="1"/>
      <c r="P455" s="1"/>
      <c r="AM455" s="78"/>
      <c r="AN455" s="78"/>
    </row>
    <row r="456" spans="1:40" x14ac:dyDescent="0.3">
      <c r="A456" s="1" t="s">
        <v>52</v>
      </c>
      <c r="B456" s="1" t="s">
        <v>2</v>
      </c>
      <c r="C456" s="10">
        <f>C450/C455</f>
        <v>0.99778761061946908</v>
      </c>
      <c r="D456" s="10">
        <f>D451/D455</f>
        <v>0.9285714285714286</v>
      </c>
      <c r="E456" s="10">
        <f>E452/E455</f>
        <v>0.94845360824742264</v>
      </c>
      <c r="F456" s="10">
        <f>F453/F455</f>
        <v>0.95918367346938771</v>
      </c>
      <c r="G456" s="10">
        <f>G454/G455</f>
        <v>0.98755186721991706</v>
      </c>
      <c r="H456" s="10"/>
      <c r="I456" s="14">
        <f>(C450+D451+E452+F453+G454)/H455</f>
        <v>0.97143864598025387</v>
      </c>
    </row>
    <row r="457" spans="1:40" x14ac:dyDescent="0.3">
      <c r="B457" s="1" t="s">
        <v>14</v>
      </c>
      <c r="C457" s="11">
        <f>1-C456</f>
        <v>2.2123893805309214E-3</v>
      </c>
      <c r="D457" s="11">
        <f>1-D456</f>
        <v>7.1428571428571397E-2</v>
      </c>
      <c r="E457" s="11">
        <f>1-E456</f>
        <v>5.1546391752577359E-2</v>
      </c>
      <c r="F457" s="11">
        <f>1-F456</f>
        <v>4.081632653061229E-2</v>
      </c>
      <c r="G457" s="11">
        <f>1-G456</f>
        <v>1.2448132780082943E-2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0.22069951475304195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0.22069951475304195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451</v>
      </c>
      <c r="M461">
        <v>0</v>
      </c>
      <c r="N461" s="1">
        <v>213.16</v>
      </c>
      <c r="O461" s="17">
        <f>N461/N466*100</f>
        <v>0.22069951475304195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53">(C451/$L462)*$O462</f>
        <v>0</v>
      </c>
      <c r="D462" s="34">
        <f t="shared" si="53"/>
        <v>0.52434707842330119</v>
      </c>
      <c r="E462" s="19">
        <f t="shared" si="53"/>
        <v>5.0417988309932806E-2</v>
      </c>
      <c r="F462" s="18">
        <f t="shared" si="53"/>
        <v>0</v>
      </c>
      <c r="G462" s="20">
        <f t="shared" si="53"/>
        <v>0</v>
      </c>
      <c r="H462" s="17">
        <f>SUM(C462:G462)</f>
        <v>0.57476506673323402</v>
      </c>
      <c r="I462" s="17">
        <f>D462/H462*100</f>
        <v>91.228070175438589</v>
      </c>
      <c r="J462" s="17">
        <f>SQRT(I462*(100-I462)/(L462-1))</f>
        <v>3.7802263481198901</v>
      </c>
      <c r="K462" s="18">
        <f>100-I462</f>
        <v>8.7719298245614112</v>
      </c>
      <c r="L462" s="1">
        <f>H451</f>
        <v>57</v>
      </c>
      <c r="M462">
        <v>1</v>
      </c>
      <c r="N462" s="1">
        <v>555.13</v>
      </c>
      <c r="O462" s="17">
        <f>N462/N466*100</f>
        <v>0.57476506673323402</v>
      </c>
      <c r="P462" s="52">
        <f>((O462*O462*(I462/100)*(K462/100))/(L462-1))</f>
        <v>4.720808012552401E-4</v>
      </c>
    </row>
    <row r="463" spans="1:40" x14ac:dyDescent="0.3">
      <c r="A463" t="s">
        <v>5</v>
      </c>
      <c r="B463" s="13">
        <v>2</v>
      </c>
      <c r="C463" s="33">
        <f t="shared" si="53"/>
        <v>0</v>
      </c>
      <c r="D463" s="19">
        <f t="shared" si="53"/>
        <v>0</v>
      </c>
      <c r="E463" s="34">
        <f t="shared" si="53"/>
        <v>60.843754203298396</v>
      </c>
      <c r="F463" s="19">
        <f t="shared" si="53"/>
        <v>8.2668144297959767E-2</v>
      </c>
      <c r="G463" s="20">
        <f t="shared" si="53"/>
        <v>0</v>
      </c>
      <c r="H463" s="17">
        <f>SUM(C463:G463)</f>
        <v>60.926422347596358</v>
      </c>
      <c r="I463" s="17">
        <f>E463/H463*100</f>
        <v>99.864314789687924</v>
      </c>
      <c r="J463" s="17">
        <f>SQRT(I463*(100-I463)/(L463-1))</f>
        <v>0.13568521031207589</v>
      </c>
      <c r="K463" s="18">
        <f>100-I463</f>
        <v>0.13568521031207581</v>
      </c>
      <c r="L463" s="1">
        <f>H452</f>
        <v>737</v>
      </c>
      <c r="M463">
        <v>2</v>
      </c>
      <c r="N463" s="1">
        <v>58845.06</v>
      </c>
      <c r="O463" s="17">
        <f>N463/N466*100</f>
        <v>60.926422347596358</v>
      </c>
      <c r="P463" s="52">
        <f>((O463*O463*(I463/100)*(K463/100))/(L463-1))</f>
        <v>6.8340220816682905E-3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53"/>
        <v>5.4772027167825504E-2</v>
      </c>
      <c r="D464" s="19">
        <f t="shared" si="53"/>
        <v>0</v>
      </c>
      <c r="E464" s="19">
        <f t="shared" si="53"/>
        <v>0.27386013583912755</v>
      </c>
      <c r="F464" s="34">
        <f t="shared" si="53"/>
        <v>30.891423322653583</v>
      </c>
      <c r="G464" s="20">
        <f t="shared" si="53"/>
        <v>0.65726432601390605</v>
      </c>
      <c r="H464" s="17">
        <f>SUM(C464:G464)</f>
        <v>31.877319811674443</v>
      </c>
      <c r="I464" s="17">
        <f>F464/H464*100</f>
        <v>96.907216494845358</v>
      </c>
      <c r="J464" s="17">
        <f>SQRT(I464*(100-I464)/(L464-1))</f>
        <v>0.71823200493893458</v>
      </c>
      <c r="K464" s="18">
        <f>100-I464</f>
        <v>3.0927835051546424</v>
      </c>
      <c r="L464" s="1">
        <f>H453</f>
        <v>582</v>
      </c>
      <c r="M464">
        <v>3</v>
      </c>
      <c r="N464" s="1">
        <v>30788.33</v>
      </c>
      <c r="O464" s="17">
        <f>N464/N466*100</f>
        <v>31.877319811674443</v>
      </c>
      <c r="P464" s="52">
        <f>((O464*O464*(I464/100)*(K464/100))/(L464-1))</f>
        <v>5.2419528045888605E-2</v>
      </c>
    </row>
    <row r="465" spans="1:40" x14ac:dyDescent="0.3">
      <c r="A465" t="s">
        <v>7</v>
      </c>
      <c r="B465" s="13">
        <v>4</v>
      </c>
      <c r="C465" s="35">
        <f t="shared" si="53"/>
        <v>0</v>
      </c>
      <c r="D465" s="36">
        <f t="shared" si="53"/>
        <v>2.5374799838425891E-2</v>
      </c>
      <c r="E465" s="21">
        <f t="shared" si="53"/>
        <v>0.19031099878819419</v>
      </c>
      <c r="F465" s="21">
        <f t="shared" si="53"/>
        <v>0.14590509907094887</v>
      </c>
      <c r="G465" s="37">
        <f t="shared" si="53"/>
        <v>6.0392023615453629</v>
      </c>
      <c r="H465" s="17">
        <f>SUM(C465:G465)</f>
        <v>6.4007932592429322</v>
      </c>
      <c r="I465" s="17">
        <f>G465/H465*100</f>
        <v>94.350842418235871</v>
      </c>
      <c r="J465" s="17">
        <f>SQRT(I465*(100-I465)/(L465-1))</f>
        <v>0.7271675157930344</v>
      </c>
      <c r="K465" s="18">
        <f>100-I465</f>
        <v>5.6491575817641291</v>
      </c>
      <c r="L465" s="1">
        <f>H454</f>
        <v>1009</v>
      </c>
      <c r="M465">
        <v>4</v>
      </c>
      <c r="N465" s="1">
        <v>6182.13</v>
      </c>
      <c r="O465" s="17">
        <f>N465/N466*100</f>
        <v>6.4007932592429313</v>
      </c>
      <c r="P465" s="52">
        <f>((O465*O465*(I465/100)*(K465/100))/(L465-1))</f>
        <v>2.1663894873893532E-3</v>
      </c>
      <c r="AM465" s="78"/>
      <c r="AN465" s="78"/>
    </row>
    <row r="466" spans="1:40" x14ac:dyDescent="0.3">
      <c r="B466" t="s">
        <v>28</v>
      </c>
      <c r="C466" s="17">
        <f t="shared" ref="C466:H466" si="54">SUM(C461:C465)</f>
        <v>0.27547154192086742</v>
      </c>
      <c r="D466" s="17">
        <f t="shared" si="54"/>
        <v>0.54972187826172714</v>
      </c>
      <c r="E466" s="17">
        <f t="shared" si="54"/>
        <v>61.358343326235648</v>
      </c>
      <c r="F466" s="17">
        <f t="shared" si="54"/>
        <v>31.11999656602249</v>
      </c>
      <c r="G466" s="17">
        <f t="shared" si="54"/>
        <v>6.6964666875592691</v>
      </c>
      <c r="H466" s="18">
        <f t="shared" si="54"/>
        <v>100.00000000000001</v>
      </c>
      <c r="I466" s="13" t="s">
        <v>24</v>
      </c>
      <c r="J466" s="12" t="s">
        <v>29</v>
      </c>
      <c r="N466" s="1">
        <f>SUM(N461:N465)</f>
        <v>96583.81</v>
      </c>
      <c r="O466" s="17">
        <f>SUM(O461:O465)</f>
        <v>100.00000000000001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5.4724951931652589E-2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2.4982607178060154E-2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0.15274468422498369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0.24506874384869201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0.19344684049262711</v>
      </c>
      <c r="H467" s="1"/>
      <c r="I467" s="14">
        <f>(C461+D462+E463+F464+G465)/H466</f>
        <v>0.98519426480673677</v>
      </c>
      <c r="J467" s="53">
        <f>SQRT(SUM(P461:P465))/100</f>
        <v>2.4878106924804684E-3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80.116992562680238</v>
      </c>
      <c r="D468" s="17">
        <f>D462/D466*100</f>
        <v>95.384065862784382</v>
      </c>
      <c r="E468" s="17">
        <f>E463/E466*100</f>
        <v>99.161337977785294</v>
      </c>
      <c r="F468" s="17">
        <f>F464/F466*100</f>
        <v>99.265510062367852</v>
      </c>
      <c r="G468" s="17">
        <f>G465/G466*100</f>
        <v>90.184908599112788</v>
      </c>
      <c r="H468" s="1"/>
    </row>
    <row r="469" spans="1:40" x14ac:dyDescent="0.3">
      <c r="B469" s="16" t="s">
        <v>39</v>
      </c>
      <c r="C469" s="18">
        <f>SQRT((C472+C473)/(C466*C466))</f>
        <v>15.929667589794633</v>
      </c>
      <c r="D469" s="18">
        <f>SQRT((D472+D473)/(D466*D466))</f>
        <v>2.8566396657445297</v>
      </c>
      <c r="E469" s="18">
        <f>SQRT((E472+E473)/(E466*E466))</f>
        <v>0.20815815169074878</v>
      </c>
      <c r="F469" s="18">
        <f>SQRT((F472+F473)/(F466*F466))</f>
        <v>0.28577153456997301</v>
      </c>
      <c r="G469" s="18">
        <f>SQRT((G472+G473)/(G466*G466))</f>
        <v>2.6213004200123131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19.883007437319762</v>
      </c>
      <c r="D470" s="18">
        <f>100-D468</f>
        <v>4.6159341372156177</v>
      </c>
      <c r="E470" s="18">
        <f>100-E468</f>
        <v>0.83866202221470587</v>
      </c>
      <c r="F470" s="18">
        <f>100-F468</f>
        <v>0.73448993763214787</v>
      </c>
      <c r="G470" s="18">
        <f>100-G468</f>
        <v>9.8150914008872121</v>
      </c>
    </row>
    <row r="471" spans="1:40" ht="15.6" x14ac:dyDescent="0.35">
      <c r="B471" s="1" t="s">
        <v>25</v>
      </c>
      <c r="C471" s="1">
        <f>C455</f>
        <v>452</v>
      </c>
      <c r="D471" s="1">
        <f>D455</f>
        <v>56</v>
      </c>
      <c r="E471" s="1">
        <f>E455</f>
        <v>776</v>
      </c>
      <c r="F471" s="1">
        <f>F455</f>
        <v>588</v>
      </c>
      <c r="G471" s="1">
        <f>G455</f>
        <v>964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1.0058553856761401</v>
      </c>
      <c r="E472" s="18">
        <f>(O463*O463*(100-E468)*(100-E468)*(I463)*(100-I463))/((L463-1)*100)</f>
        <v>0.48067366818403889</v>
      </c>
      <c r="F472" s="18">
        <f>(O464*O464*(100-F468)*(100-F468)*(I464)*(100-I464))/((L464-1)*100)</f>
        <v>2.8279049450207037</v>
      </c>
      <c r="G472" s="18">
        <f>(O465*O465*(100-G468)*(100-G468)*(I465)*(100-I465))/((L465-1)*100)</f>
        <v>20.87013392686519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19.256036767272612</v>
      </c>
      <c r="D473" s="18">
        <f>D468*D468*(SUM((H461*D461*(1-D450/H450))/(H450-1),(H463*D463*(1-D452/H452))/(H452-1), (H464*D464*(1-D453/H453))/(H453-1),(H465*D465*(1-D454/H454))/(H454-1)))</f>
        <v>1.4601667348731897</v>
      </c>
      <c r="E473" s="18">
        <f>E468*E468*(SUM((H461*E461*(1-E450/H450))/(H450-1),(H462*E462*(1-E451/H451))/(H451-1), (H464*E464*(1-E453/H453))/(H453-1),(H465*E465*(1-E454/H454))/(H454-1)))</f>
        <v>162.64942402864054</v>
      </c>
      <c r="F473" s="18">
        <f>F468*F468*(SUM((H461*F461*(1-F450/H450))/(H450-1),(H462*F462*(1-F451/H451))/(H451-1), (H463*F463*(1-F452/H452))/(H452-1),(H465*F465*(1-F454/H454))/(H454-1)))</f>
        <v>76.261264476115244</v>
      </c>
      <c r="G473" s="18">
        <f>G468*G468*(SUM((H461*G461*(1-G450/H450))/(H450-1),(H462*G462*(1-G451/H451))/(H451-1), (H463*G463*(1-G452/H452))/(H452-1),(H464*G464*(1-G453/H453))/(H453-1)))</f>
        <v>287.25350600061137</v>
      </c>
      <c r="AM473" s="78"/>
      <c r="AN473" s="78"/>
    </row>
    <row r="475" spans="1:40" x14ac:dyDescent="0.3">
      <c r="AM475" s="78"/>
      <c r="AN475" s="78"/>
    </row>
    <row r="476" spans="1:40" x14ac:dyDescent="0.3">
      <c r="A476" s="348" t="s">
        <v>373</v>
      </c>
      <c r="B476" s="348"/>
      <c r="C476" s="348"/>
      <c r="D476" s="348"/>
      <c r="E476" s="348"/>
      <c r="F476" s="348"/>
      <c r="G476" s="348"/>
      <c r="H476" s="348"/>
      <c r="I476" s="348"/>
      <c r="J476" s="348"/>
      <c r="K476" s="348"/>
      <c r="L476" s="348" t="s">
        <v>89</v>
      </c>
      <c r="M476" s="348"/>
      <c r="N476" s="348"/>
      <c r="O476" s="348"/>
      <c r="P476" s="348"/>
    </row>
    <row r="477" spans="1:40" x14ac:dyDescent="0.3">
      <c r="A477" t="s">
        <v>15</v>
      </c>
      <c r="B477" t="s">
        <v>21</v>
      </c>
      <c r="I477" s="1" t="s">
        <v>53</v>
      </c>
      <c r="O477" s="142"/>
      <c r="P477" s="142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51</v>
      </c>
      <c r="O478" s="13"/>
      <c r="P478" s="13"/>
    </row>
    <row r="479" spans="1:40" x14ac:dyDescent="0.3">
      <c r="A479" t="s">
        <v>3</v>
      </c>
      <c r="B479" s="13">
        <v>0</v>
      </c>
      <c r="C479" s="26">
        <v>451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451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52</v>
      </c>
      <c r="E480" s="1">
        <v>5</v>
      </c>
      <c r="F480" s="1">
        <v>0</v>
      </c>
      <c r="G480" s="6">
        <v>0</v>
      </c>
      <c r="H480" s="1">
        <f>SUM(C480:G480)</f>
        <v>57</v>
      </c>
      <c r="I480" s="10">
        <f>D480/H480</f>
        <v>0.91228070175438591</v>
      </c>
      <c r="J480" s="11">
        <f>1-I480</f>
        <v>8.7719298245614086E-2</v>
      </c>
      <c r="K480">
        <f>H480-D484</f>
        <v>1</v>
      </c>
      <c r="N480" s="10">
        <f>2*(D485*I480)/(D485+I480)</f>
        <v>0.92035398230088494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0</v>
      </c>
      <c r="E481" s="27">
        <v>736</v>
      </c>
      <c r="F481" s="1">
        <v>1</v>
      </c>
      <c r="G481" s="6">
        <v>0</v>
      </c>
      <c r="H481" s="1">
        <f>SUM(C481:G481)</f>
        <v>737</v>
      </c>
      <c r="I481" s="10">
        <f>E481/H481</f>
        <v>0.99864314789687925</v>
      </c>
      <c r="J481" s="11">
        <f>1-I481</f>
        <v>1.3568521031207537E-3</v>
      </c>
      <c r="K481">
        <f>H481-E484</f>
        <v>-48</v>
      </c>
      <c r="N481" s="10">
        <f>2*(E485*I481)/(E485+I481)</f>
        <v>0.9671484888304861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0</v>
      </c>
      <c r="E482" s="1">
        <v>5</v>
      </c>
      <c r="F482" s="27">
        <v>565</v>
      </c>
      <c r="G482" s="6">
        <v>12</v>
      </c>
      <c r="H482" s="1">
        <f>SUM(C482:G482)</f>
        <v>582</v>
      </c>
      <c r="I482" s="10">
        <f>F482/H482</f>
        <v>0.97079037800687284</v>
      </c>
      <c r="J482" s="11">
        <f>1-I482</f>
        <v>2.9209621993127155E-2</v>
      </c>
      <c r="K482">
        <f>H482-F484</f>
        <v>-9</v>
      </c>
      <c r="N482" s="10">
        <f>2*(F485*I482)/(F485+I482)</f>
        <v>0.96334185848252341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4</v>
      </c>
      <c r="E483" s="8">
        <v>39</v>
      </c>
      <c r="F483" s="8">
        <v>25</v>
      </c>
      <c r="G483" s="28">
        <v>941</v>
      </c>
      <c r="H483" s="1">
        <f>SUM(C483:G483)</f>
        <v>1009</v>
      </c>
      <c r="I483" s="10">
        <f>G483/H483</f>
        <v>0.93260654112983155</v>
      </c>
      <c r="J483" s="11">
        <f>1-I483</f>
        <v>6.7393458870168454E-2</v>
      </c>
      <c r="K483">
        <f>H483-G484</f>
        <v>56</v>
      </c>
      <c r="N483" s="10">
        <f>2*(G485*I483)/(G485+I483)</f>
        <v>0.95922528032619769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451</v>
      </c>
      <c r="D484" s="1">
        <f>SUM(D479:D483)</f>
        <v>56</v>
      </c>
      <c r="E484" s="1">
        <f>SUM(E479:E483)</f>
        <v>785</v>
      </c>
      <c r="F484" s="1">
        <f>SUM(F479:F483)</f>
        <v>591</v>
      </c>
      <c r="G484" s="1">
        <f>SUM(G479:G483)</f>
        <v>953</v>
      </c>
      <c r="H484" s="1">
        <f>SUM(H478:H483)</f>
        <v>2836</v>
      </c>
      <c r="I484" s="13" t="s">
        <v>12</v>
      </c>
      <c r="N484" s="16"/>
      <c r="O484" s="1"/>
      <c r="P484" s="1"/>
    </row>
    <row r="485" spans="1:40" x14ac:dyDescent="0.3">
      <c r="A485" s="1" t="s">
        <v>52</v>
      </c>
      <c r="B485" s="1" t="s">
        <v>2</v>
      </c>
      <c r="C485" s="10">
        <f>C479/C484</f>
        <v>1</v>
      </c>
      <c r="D485" s="10">
        <f>D480/D484</f>
        <v>0.9285714285714286</v>
      </c>
      <c r="E485" s="10">
        <f>E481/E484</f>
        <v>0.93757961783439492</v>
      </c>
      <c r="F485" s="10">
        <f>F482/F484</f>
        <v>0.95600676818950936</v>
      </c>
      <c r="G485" s="10">
        <f>G483/G484</f>
        <v>0.98740818467995806</v>
      </c>
      <c r="H485" s="10"/>
      <c r="I485" s="14">
        <f>(C479+D480+E481+F482+G483)/H484</f>
        <v>0.96791255289139633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7.1428571428571397E-2</v>
      </c>
      <c r="E486" s="11">
        <f>1-E485</f>
        <v>6.2420382165605082E-2</v>
      </c>
      <c r="F486" s="11">
        <f>1-F485</f>
        <v>4.3993231810490641E-2</v>
      </c>
      <c r="G486" s="11">
        <f>1-G485</f>
        <v>1.2591815320041944E-2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0.2049412225384819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0.2049412225384819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451</v>
      </c>
      <c r="M490">
        <v>0</v>
      </c>
      <c r="N490" s="1">
        <v>197.94</v>
      </c>
      <c r="O490" s="17">
        <f>N490/N495*100</f>
        <v>0.2049412225384819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55">(C480/$L491)*$O491</f>
        <v>0</v>
      </c>
      <c r="D491" s="34">
        <f t="shared" si="55"/>
        <v>0.79361906218533429</v>
      </c>
      <c r="E491" s="19">
        <f t="shared" si="55"/>
        <v>7.6309525210128293E-2</v>
      </c>
      <c r="F491" s="18">
        <f t="shared" si="55"/>
        <v>0</v>
      </c>
      <c r="G491" s="20">
        <f t="shared" si="55"/>
        <v>0</v>
      </c>
      <c r="H491" s="17">
        <f>SUM(C491:G491)</f>
        <v>0.86992858739546253</v>
      </c>
      <c r="I491" s="17">
        <f>D491/H491*100</f>
        <v>91.228070175438603</v>
      </c>
      <c r="J491" s="17">
        <f>SQRT(I491*(100-I491)/(L491-1))</f>
        <v>3.7802263481198874</v>
      </c>
      <c r="K491" s="18">
        <f>100-I491</f>
        <v>8.771929824561397</v>
      </c>
      <c r="L491" s="1">
        <f>H480</f>
        <v>57</v>
      </c>
      <c r="M491">
        <v>1</v>
      </c>
      <c r="N491" s="1">
        <v>840.21</v>
      </c>
      <c r="O491" s="17">
        <f>N491/N495*100</f>
        <v>0.86992858739546264</v>
      </c>
      <c r="P491" s="52">
        <f>((O491*O491*(I491/100)*(K491/100))/(L491-1))</f>
        <v>1.0814409613048236E-3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55"/>
        <v>0</v>
      </c>
      <c r="D492" s="19">
        <f t="shared" si="55"/>
        <v>0</v>
      </c>
      <c r="E492" s="34">
        <f t="shared" si="55"/>
        <v>60.95218843355515</v>
      </c>
      <c r="F492" s="19">
        <f t="shared" si="55"/>
        <v>8.2815473415156451E-2</v>
      </c>
      <c r="G492" s="20">
        <f t="shared" si="55"/>
        <v>0</v>
      </c>
      <c r="H492" s="17">
        <f>SUM(C492:G492)</f>
        <v>61.03500390697031</v>
      </c>
      <c r="I492" s="17">
        <f>E492/H492*100</f>
        <v>99.86431478968791</v>
      </c>
      <c r="J492" s="17">
        <f>SQRT(I492*(100-I492)/(L492-1))</f>
        <v>0.135685210312083</v>
      </c>
      <c r="K492" s="18">
        <f>100-I492</f>
        <v>0.13568521031209002</v>
      </c>
      <c r="L492" s="1">
        <f>H481</f>
        <v>737</v>
      </c>
      <c r="M492">
        <v>2</v>
      </c>
      <c r="N492" s="1">
        <v>58949.919999999998</v>
      </c>
      <c r="O492" s="17">
        <f>N492/N495*100</f>
        <v>61.03500390697031</v>
      </c>
      <c r="P492" s="52">
        <f>((O492*O492*(I492/100)*(K492/100))/(L492-1))</f>
        <v>6.8584026369771954E-3</v>
      </c>
    </row>
    <row r="493" spans="1:40" x14ac:dyDescent="0.3">
      <c r="A493" t="s">
        <v>6</v>
      </c>
      <c r="B493" s="13">
        <v>3</v>
      </c>
      <c r="C493" s="33">
        <f t="shared" si="55"/>
        <v>0</v>
      </c>
      <c r="D493" s="19">
        <f t="shared" si="55"/>
        <v>0</v>
      </c>
      <c r="E493" s="19">
        <f t="shared" si="55"/>
        <v>0.27200506491543275</v>
      </c>
      <c r="F493" s="34">
        <f t="shared" si="55"/>
        <v>30.736572335443899</v>
      </c>
      <c r="G493" s="20">
        <f t="shared" si="55"/>
        <v>0.65281215579703855</v>
      </c>
      <c r="H493" s="17">
        <f>SUM(C493:G493)</f>
        <v>31.661389556156372</v>
      </c>
      <c r="I493" s="17">
        <f>F493/H493*100</f>
        <v>97.079037800687288</v>
      </c>
      <c r="J493" s="17">
        <f>SQRT(I493*(100-I493)/(L493-1))</f>
        <v>0.69861456179910675</v>
      </c>
      <c r="K493" s="18">
        <f>100-I493</f>
        <v>2.9209621993127115</v>
      </c>
      <c r="L493" s="1">
        <f>H482</f>
        <v>582</v>
      </c>
      <c r="M493">
        <v>3</v>
      </c>
      <c r="N493" s="1">
        <v>30579.77</v>
      </c>
      <c r="O493" s="17">
        <f>N493/N495*100</f>
        <v>31.661389556156372</v>
      </c>
      <c r="P493" s="52">
        <f>((O493*O493*(I493/100)*(K493/100))/(L493-1))</f>
        <v>4.8925492945771129E-2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55"/>
        <v>0</v>
      </c>
      <c r="D494" s="36">
        <f t="shared" si="55"/>
        <v>2.4692712495299803E-2</v>
      </c>
      <c r="E494" s="21">
        <f t="shared" si="55"/>
        <v>0.24075394682917309</v>
      </c>
      <c r="F494" s="21">
        <f t="shared" si="55"/>
        <v>0.15432945309562379</v>
      </c>
      <c r="G494" s="37">
        <f t="shared" si="55"/>
        <v>5.8089606145192789</v>
      </c>
      <c r="H494" s="17">
        <f>SUM(C494:G494)</f>
        <v>6.2287367269393759</v>
      </c>
      <c r="I494" s="17">
        <f>G494/H494*100</f>
        <v>93.260654112983147</v>
      </c>
      <c r="J494" s="17">
        <f>SQRT(I494*(100-I494)/(L494-1))</f>
        <v>0.78963762893908618</v>
      </c>
      <c r="K494" s="18">
        <f>100-I494</f>
        <v>6.739345887016853</v>
      </c>
      <c r="L494" s="1">
        <f>H483</f>
        <v>1009</v>
      </c>
      <c r="M494">
        <v>4</v>
      </c>
      <c r="N494" s="1">
        <v>6015.95</v>
      </c>
      <c r="O494" s="17">
        <f>N494/N495*100</f>
        <v>6.2287367269393759</v>
      </c>
      <c r="P494" s="52">
        <f>((O494*O494*(I494/100)*(K494/100))/(L494-1))</f>
        <v>2.419110023774167E-3</v>
      </c>
    </row>
    <row r="495" spans="1:40" x14ac:dyDescent="0.3">
      <c r="B495" t="s">
        <v>28</v>
      </c>
      <c r="C495" s="17">
        <f t="shared" ref="C495:H495" si="56">SUM(C490:C494)</f>
        <v>0.2049412225384819</v>
      </c>
      <c r="D495" s="17">
        <f t="shared" si="56"/>
        <v>0.8183117746806341</v>
      </c>
      <c r="E495" s="17">
        <f t="shared" si="56"/>
        <v>61.541256970509885</v>
      </c>
      <c r="F495" s="17">
        <f t="shared" si="56"/>
        <v>30.973717261954679</v>
      </c>
      <c r="G495" s="17">
        <f t="shared" si="56"/>
        <v>6.4617727703163172</v>
      </c>
      <c r="H495" s="18">
        <f t="shared" si="56"/>
        <v>100</v>
      </c>
      <c r="I495" s="13" t="s">
        <v>24</v>
      </c>
      <c r="J495" s="12" t="s">
        <v>29</v>
      </c>
      <c r="N495" s="1">
        <f>SUM(N490:N494)</f>
        <v>96583.79</v>
      </c>
      <c r="O495" s="17">
        <f>SUM(O490:O494)</f>
        <v>100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3.4846757869667538E-2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0.15495342111264268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0.23794878313128773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0.19286812852756649</v>
      </c>
      <c r="H496" s="1"/>
      <c r="I496" s="14">
        <f>(C490+D491+E492+F493+G494)/H495</f>
        <v>0.98496281668242147</v>
      </c>
      <c r="J496" s="53">
        <f>SQRT(SUM(P490:P494))/100</f>
        <v>2.4348397599806711E-3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96.982481095920107</v>
      </c>
      <c r="E497" s="17">
        <f>E492/E495*100</f>
        <v>99.042807108673429</v>
      </c>
      <c r="F497" s="17">
        <f>F493/F495*100</f>
        <v>99.234367239472192</v>
      </c>
      <c r="G497" s="17">
        <f>G494/G495*100</f>
        <v>89.897321075790757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1.8987304620542063</v>
      </c>
      <c r="E498" s="18">
        <f>SQRT((E501+E502)/(E495*E495))</f>
        <v>0.2115034163422532</v>
      </c>
      <c r="F498" s="18">
        <f>SQRT((F501+F502)/(F495*F495))</f>
        <v>0.28798203826180124</v>
      </c>
      <c r="G498" s="18">
        <f>SQRT((G501+G502)/(G495*G495))</f>
        <v>2.7082843052650327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3.0175189040798926</v>
      </c>
      <c r="E499" s="18">
        <f>100-E497</f>
        <v>0.95719289132657082</v>
      </c>
      <c r="F499" s="18">
        <f>100-F497</f>
        <v>0.76563276052780793</v>
      </c>
      <c r="G499" s="18">
        <f>100-G497</f>
        <v>10.102678924209243</v>
      </c>
      <c r="AM499" s="78"/>
      <c r="AN499" s="78"/>
    </row>
    <row r="500" spans="1:40" ht="15.6" x14ac:dyDescent="0.35">
      <c r="B500" s="1" t="s">
        <v>25</v>
      </c>
      <c r="C500" s="1">
        <f>C484</f>
        <v>451</v>
      </c>
      <c r="D500" s="1">
        <f>D484</f>
        <v>56</v>
      </c>
      <c r="E500" s="1">
        <f>E484</f>
        <v>785</v>
      </c>
      <c r="F500" s="1">
        <f>F484</f>
        <v>591</v>
      </c>
      <c r="G500" s="1">
        <f>G484</f>
        <v>953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0.98469745217668969</v>
      </c>
      <c r="E501" s="18">
        <f>(O492*O492*(100-E497)*(100-E497)*(I492)*(100-I492))/((L492-1)*100)</f>
        <v>0.62837935329506378</v>
      </c>
      <c r="F501" s="18">
        <f>(O493*O493*(100-F497)*(100-F497)*(I493)*(100-I493))/((L493-1)*100)</f>
        <v>2.8679807122997372</v>
      </c>
      <c r="G501" s="18">
        <f>(O494*O494*(100-G497)*(100-G497)*(I494)*(100-I494))/((L494-1)*100)</f>
        <v>24.6904339256904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1.4294524680764966</v>
      </c>
      <c r="E502" s="18">
        <f>E497*E497*(SUM((H490*E490*(1-E479/H479))/(H479-1),(H491*E491*(1-E480/H480))/(H480-1), (H493*E493*(1-E482/H482))/(H482-1),(H494*E494*(1-E483/H483))/(H483-1)))</f>
        <v>168.79272111312761</v>
      </c>
      <c r="F502" s="18">
        <f>F497*F497*(SUM((H490*F490*(1-F479/H479))/(H479-1),(H491*F491*(1-F480/H480))/(H480-1), (H492*F492*(1-F481/H481))/(H481-1),(H494*F494*(1-F483/H483))/(H483-1)))</f>
        <v>76.696175560339682</v>
      </c>
      <c r="G502" s="18">
        <f>G497*G497*(SUM((H490*G490*(1-G479/H479))/(H479-1),(H491*G491*(1-G480/H480))/(H480-1), (H492*G492*(1-G481/H481))/(H481-1),(H493*G493*(1-G482/H482))/(H482-1)))</f>
        <v>281.57068840657456</v>
      </c>
    </row>
    <row r="503" spans="1:40" x14ac:dyDescent="0.3">
      <c r="AM503" s="78"/>
      <c r="AN503" s="78"/>
    </row>
    <row r="505" spans="1:40" x14ac:dyDescent="0.3">
      <c r="A505" s="348" t="s">
        <v>373</v>
      </c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 t="s">
        <v>90</v>
      </c>
      <c r="M505" s="348"/>
      <c r="N505" s="348"/>
      <c r="O505" s="348"/>
      <c r="P505" s="348"/>
      <c r="AM505" s="78"/>
      <c r="AN505" s="78"/>
    </row>
    <row r="506" spans="1:40" x14ac:dyDescent="0.3">
      <c r="A506" t="s">
        <v>15</v>
      </c>
      <c r="B506" t="s">
        <v>21</v>
      </c>
      <c r="I506" s="1" t="s">
        <v>53</v>
      </c>
      <c r="O506" s="142"/>
      <c r="P506" s="142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51</v>
      </c>
      <c r="O507" s="13"/>
      <c r="P507" s="13"/>
      <c r="AM507" s="78"/>
      <c r="AN507" s="78"/>
    </row>
    <row r="508" spans="1:40" x14ac:dyDescent="0.3">
      <c r="A508" t="s">
        <v>3</v>
      </c>
      <c r="B508" s="13">
        <v>0</v>
      </c>
      <c r="C508" s="26">
        <v>451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451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53</v>
      </c>
      <c r="E509" s="1">
        <v>4</v>
      </c>
      <c r="F509" s="1">
        <v>0</v>
      </c>
      <c r="G509" s="6">
        <v>0</v>
      </c>
      <c r="H509" s="1">
        <f>SUM(C509:G509)</f>
        <v>57</v>
      </c>
      <c r="I509" s="10">
        <f>D509/H509</f>
        <v>0.92982456140350878</v>
      </c>
      <c r="J509" s="11">
        <f>1-I509</f>
        <v>7.0175438596491224E-2</v>
      </c>
      <c r="K509">
        <f>H509-D513</f>
        <v>-1</v>
      </c>
      <c r="N509" s="10">
        <f>2*(D514*I509)/(D514+I509)</f>
        <v>0.92173913043478251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0</v>
      </c>
      <c r="E510" s="27">
        <v>736</v>
      </c>
      <c r="F510" s="1">
        <v>1</v>
      </c>
      <c r="G510" s="6">
        <v>0</v>
      </c>
      <c r="H510" s="1">
        <f>SUM(C510:G510)</f>
        <v>737</v>
      </c>
      <c r="I510" s="10">
        <f>E510/H510</f>
        <v>0.99864314789687925</v>
      </c>
      <c r="J510" s="11">
        <f>1-I510</f>
        <v>1.3568521031207537E-3</v>
      </c>
      <c r="K510">
        <f>H510-E513</f>
        <v>-37</v>
      </c>
      <c r="N510" s="10">
        <f>2*(E514*I510)/(E514+I510)</f>
        <v>0.97418927862342819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1</v>
      </c>
      <c r="E511" s="1">
        <v>5</v>
      </c>
      <c r="F511" s="27">
        <v>571</v>
      </c>
      <c r="G511" s="6">
        <v>5</v>
      </c>
      <c r="H511" s="1">
        <f>SUM(C511:G511)</f>
        <v>582</v>
      </c>
      <c r="I511" s="10">
        <f>F511/H511</f>
        <v>0.98109965635738827</v>
      </c>
      <c r="J511" s="11">
        <f>1-I511</f>
        <v>1.8900343642611728E-2</v>
      </c>
      <c r="K511">
        <f>H511-F513</f>
        <v>-25</v>
      </c>
      <c r="N511" s="10">
        <f>2*(F514*I511)/(F514+I511)</f>
        <v>0.96047098402018505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4</v>
      </c>
      <c r="E512" s="8">
        <v>29</v>
      </c>
      <c r="F512" s="8">
        <v>35</v>
      </c>
      <c r="G512" s="28">
        <v>941</v>
      </c>
      <c r="H512" s="1">
        <f>SUM(C512:G512)</f>
        <v>1009</v>
      </c>
      <c r="I512" s="10">
        <f>G512/H512</f>
        <v>0.93260654112983155</v>
      </c>
      <c r="J512" s="11">
        <f>1-I512</f>
        <v>6.7393458870168454E-2</v>
      </c>
      <c r="K512">
        <f>H512-G513</f>
        <v>63</v>
      </c>
      <c r="N512" s="10">
        <f>2*(G514*I512)/(G514+I512)</f>
        <v>0.96265984654731462</v>
      </c>
      <c r="O512" s="1"/>
      <c r="P512" s="1"/>
    </row>
    <row r="513" spans="1:40" ht="15.6" x14ac:dyDescent="0.35">
      <c r="B513" s="1" t="s">
        <v>19</v>
      </c>
      <c r="C513" s="1">
        <f>SUM(C508:C512)</f>
        <v>451</v>
      </c>
      <c r="D513" s="1">
        <f>SUM(D508:D512)</f>
        <v>58</v>
      </c>
      <c r="E513" s="1">
        <f>SUM(E508:E512)</f>
        <v>774</v>
      </c>
      <c r="F513" s="1">
        <f>SUM(F508:F512)</f>
        <v>607</v>
      </c>
      <c r="G513" s="1">
        <f>SUM(G508:G512)</f>
        <v>946</v>
      </c>
      <c r="H513" s="1">
        <f>SUM(H507:H512)</f>
        <v>2836</v>
      </c>
      <c r="I513" s="13" t="s">
        <v>12</v>
      </c>
      <c r="N513" s="16"/>
      <c r="O513" s="1"/>
      <c r="P513" s="1"/>
      <c r="AM513" s="78"/>
      <c r="AN513" s="78"/>
    </row>
    <row r="514" spans="1:40" x14ac:dyDescent="0.3">
      <c r="A514" s="1" t="s">
        <v>52</v>
      </c>
      <c r="B514" s="1" t="s">
        <v>2</v>
      </c>
      <c r="C514" s="10">
        <f>C508/C513</f>
        <v>1</v>
      </c>
      <c r="D514" s="10">
        <f>D509/D513</f>
        <v>0.91379310344827591</v>
      </c>
      <c r="E514" s="10">
        <f>E510/E513</f>
        <v>0.95090439276485783</v>
      </c>
      <c r="F514" s="10">
        <f>F511/F513</f>
        <v>0.94069192751235586</v>
      </c>
      <c r="G514" s="10">
        <f>G512/G513</f>
        <v>0.9947145877378436</v>
      </c>
      <c r="H514" s="10"/>
      <c r="I514" s="14">
        <f>(C508+D509+E510+F511+G512)/H513</f>
        <v>0.97038081805359666</v>
      </c>
    </row>
    <row r="515" spans="1:40" x14ac:dyDescent="0.3">
      <c r="B515" s="1" t="s">
        <v>14</v>
      </c>
      <c r="C515" s="11">
        <f>1-C514</f>
        <v>0</v>
      </c>
      <c r="D515" s="11">
        <f>1-D514</f>
        <v>8.6206896551724088E-2</v>
      </c>
      <c r="E515" s="11">
        <f>1-E514</f>
        <v>4.9095607235142169E-2</v>
      </c>
      <c r="F515" s="11">
        <f>1-F514</f>
        <v>5.9308072487644137E-2</v>
      </c>
      <c r="G515" s="11">
        <f>1-G514</f>
        <v>5.285412262156397E-3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0.22433366420314127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0.22433366420314127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451</v>
      </c>
      <c r="M519">
        <v>0</v>
      </c>
      <c r="N519" s="1">
        <v>216.67</v>
      </c>
      <c r="O519" s="17">
        <f>N519/N524*100</f>
        <v>0.22433366420314127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57">(C509/$L520)*$O520</f>
        <v>0</v>
      </c>
      <c r="D520" s="34">
        <f t="shared" si="57"/>
        <v>0.65801409958801393</v>
      </c>
      <c r="E520" s="19">
        <f t="shared" si="57"/>
        <v>4.9661441478340673E-2</v>
      </c>
      <c r="F520" s="18">
        <f t="shared" si="57"/>
        <v>0</v>
      </c>
      <c r="G520" s="20">
        <f t="shared" si="57"/>
        <v>0</v>
      </c>
      <c r="H520" s="17">
        <f>SUM(C520:G520)</f>
        <v>0.70767554106635466</v>
      </c>
      <c r="I520" s="17">
        <f>D520/H520*100</f>
        <v>92.982456140350862</v>
      </c>
      <c r="J520" s="17">
        <f>SQRT(I520*(100-I520)/(L520-1))</f>
        <v>3.4134933513474306</v>
      </c>
      <c r="K520" s="18">
        <f>100-I520</f>
        <v>7.0175438596491375</v>
      </c>
      <c r="L520" s="1">
        <f>H509</f>
        <v>57</v>
      </c>
      <c r="M520">
        <v>1</v>
      </c>
      <c r="N520" s="1">
        <v>683.5</v>
      </c>
      <c r="O520" s="17">
        <f>N520/N524*100</f>
        <v>0.70767554106635466</v>
      </c>
      <c r="P520" s="52">
        <f>((O520*O520*(I520/100)*(K520/100))/(L520-1))</f>
        <v>5.8353444104666525E-4</v>
      </c>
    </row>
    <row r="521" spans="1:40" x14ac:dyDescent="0.3">
      <c r="A521" t="s">
        <v>5</v>
      </c>
      <c r="B521" s="13">
        <v>2</v>
      </c>
      <c r="C521" s="33">
        <f t="shared" si="57"/>
        <v>0</v>
      </c>
      <c r="D521" s="19">
        <f t="shared" si="57"/>
        <v>0</v>
      </c>
      <c r="E521" s="34">
        <f t="shared" si="57"/>
        <v>60.513547022910345</v>
      </c>
      <c r="F521" s="19">
        <f t="shared" si="57"/>
        <v>8.2219493237649918E-2</v>
      </c>
      <c r="G521" s="20">
        <f t="shared" si="57"/>
        <v>0</v>
      </c>
      <c r="H521" s="17">
        <f>SUM(C521:G521)</f>
        <v>60.595766516147997</v>
      </c>
      <c r="I521" s="17">
        <f>E521/H521*100</f>
        <v>99.864314789687924</v>
      </c>
      <c r="J521" s="17">
        <f>SQRT(I521*(100-I521)/(L521-1))</f>
        <v>0.13568521031207589</v>
      </c>
      <c r="K521" s="18">
        <f>100-I521</f>
        <v>0.13568521031207581</v>
      </c>
      <c r="L521" s="1">
        <f>H510</f>
        <v>737</v>
      </c>
      <c r="M521">
        <v>2</v>
      </c>
      <c r="N521" s="1">
        <v>58525.7</v>
      </c>
      <c r="O521" s="17">
        <f>N521/N524*100</f>
        <v>60.595766516147997</v>
      </c>
      <c r="P521" s="52">
        <f>((O521*O521*(I521/100)*(K521/100))/(L521-1))</f>
        <v>6.760045068255954E-3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57"/>
        <v>0</v>
      </c>
      <c r="D522" s="19">
        <f t="shared" si="57"/>
        <v>5.5997695580429128E-2</v>
      </c>
      <c r="E522" s="19">
        <f t="shared" si="57"/>
        <v>0.2799884779021457</v>
      </c>
      <c r="F522" s="34">
        <f t="shared" si="57"/>
        <v>31.974684176425033</v>
      </c>
      <c r="G522" s="20">
        <f t="shared" si="57"/>
        <v>0.2799884779021457</v>
      </c>
      <c r="H522" s="17">
        <f>SUM(C522:G522)</f>
        <v>32.590658827809754</v>
      </c>
      <c r="I522" s="17">
        <f>F522/H522*100</f>
        <v>98.109965635738831</v>
      </c>
      <c r="J522" s="17">
        <f>SQRT(I522*(100-I522)/(L522-1))</f>
        <v>0.5649413271715471</v>
      </c>
      <c r="K522" s="18">
        <f>100-I522</f>
        <v>1.8900343642611688</v>
      </c>
      <c r="L522" s="1">
        <f>H511</f>
        <v>582</v>
      </c>
      <c r="M522">
        <v>3</v>
      </c>
      <c r="N522" s="1">
        <v>31477.3</v>
      </c>
      <c r="O522" s="17">
        <f>N522/N524*100</f>
        <v>32.590658827809754</v>
      </c>
      <c r="P522" s="52">
        <f>((O522*O522*(I522/100)*(K522/100))/(L522-1))</f>
        <v>3.3899474937538636E-2</v>
      </c>
    </row>
    <row r="523" spans="1:40" x14ac:dyDescent="0.3">
      <c r="A523" t="s">
        <v>7</v>
      </c>
      <c r="B523" s="13">
        <v>4</v>
      </c>
      <c r="C523" s="35">
        <f t="shared" si="57"/>
        <v>0</v>
      </c>
      <c r="D523" s="36">
        <f t="shared" si="57"/>
        <v>2.3316414076403388E-2</v>
      </c>
      <c r="E523" s="21">
        <f t="shared" si="57"/>
        <v>0.16904400205392456</v>
      </c>
      <c r="F523" s="21">
        <f t="shared" si="57"/>
        <v>0.20401862316852964</v>
      </c>
      <c r="G523" s="37">
        <f t="shared" si="57"/>
        <v>5.4851864114738973</v>
      </c>
      <c r="H523" s="17">
        <f>SUM(C523:G523)</f>
        <v>5.8815654507727553</v>
      </c>
      <c r="I523" s="17">
        <f>G523/H523*100</f>
        <v>93.260654112983147</v>
      </c>
      <c r="J523" s="17">
        <f>SQRT(I523*(100-I523)/(L523-1))</f>
        <v>0.78963762893908618</v>
      </c>
      <c r="K523" s="18">
        <f>100-I523</f>
        <v>6.739345887016853</v>
      </c>
      <c r="L523" s="1">
        <f>H512</f>
        <v>1009</v>
      </c>
      <c r="M523">
        <v>4</v>
      </c>
      <c r="N523" s="1">
        <v>5680.64</v>
      </c>
      <c r="O523" s="17">
        <f>N523/N524*100</f>
        <v>5.8815654507727544</v>
      </c>
      <c r="P523" s="52">
        <f>((O523*O523*(I523/100)*(K523/100))/(L523-1))</f>
        <v>2.1569572620587026E-3</v>
      </c>
      <c r="AM523" s="78"/>
      <c r="AN523" s="78"/>
    </row>
    <row r="524" spans="1:40" x14ac:dyDescent="0.3">
      <c r="B524" t="s">
        <v>28</v>
      </c>
      <c r="C524" s="17">
        <f>SUM(C519:C523)</f>
        <v>0.22433366420314127</v>
      </c>
      <c r="D524" s="17">
        <f>SUM(D519:D523)</f>
        <v>0.73732820924484643</v>
      </c>
      <c r="E524" s="17">
        <f>SUM(E519:E523)</f>
        <v>61.012240944344754</v>
      </c>
      <c r="F524" s="17">
        <f>SUM(F519:F523)</f>
        <v>32.260922292831211</v>
      </c>
      <c r="G524" s="17">
        <f>SUM(G519:G523)</f>
        <v>5.7651748893760431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96583.81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6.1959874255571125E-2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0.15435425623297777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0.20430392666451236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0.133036958317587</v>
      </c>
      <c r="H525" s="1"/>
      <c r="I525" s="14">
        <f>(C519+D520+E521+F522+G523)/H524</f>
        <v>0.98855765374600424</v>
      </c>
      <c r="J525" s="53">
        <f>SQRT(SUM(P519:P523))/100</f>
        <v>2.0832669466225389E-3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89.243038763149443</v>
      </c>
      <c r="E526" s="17">
        <f>E521/E524*100</f>
        <v>99.182633003286483</v>
      </c>
      <c r="F526" s="17">
        <f>F522/F524*100</f>
        <v>99.112740442421313</v>
      </c>
      <c r="G526" s="17">
        <f>G523/G524*100</f>
        <v>95.143452136758185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7.7680580853408232</v>
      </c>
      <c r="E527" s="18">
        <f>SQRT((E530+E531)/(E524*E524))</f>
        <v>0.21293875494517775</v>
      </c>
      <c r="F527" s="18">
        <f>SQRT((F530+F531)/(F524*F524))</f>
        <v>0.27787645116784931</v>
      </c>
      <c r="G527" s="18">
        <f>SQRT((G530+G531)/(G524*G524))</f>
        <v>2.0961429296959539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10.756961236850557</v>
      </c>
      <c r="E528" s="18">
        <f>100-E526</f>
        <v>0.81736699671351687</v>
      </c>
      <c r="F528" s="18">
        <f>100-F526</f>
        <v>0.88725955757868746</v>
      </c>
      <c r="G528" s="18">
        <f>100-G526</f>
        <v>4.8565478632418149</v>
      </c>
    </row>
    <row r="529" spans="1:40" ht="15.6" x14ac:dyDescent="0.35">
      <c r="B529" s="1" t="s">
        <v>25</v>
      </c>
      <c r="C529" s="1">
        <f>C513</f>
        <v>451</v>
      </c>
      <c r="D529" s="1">
        <f>D513</f>
        <v>58</v>
      </c>
      <c r="E529" s="1">
        <f>E513</f>
        <v>774</v>
      </c>
      <c r="F529" s="1">
        <f>F513</f>
        <v>607</v>
      </c>
      <c r="G529" s="1">
        <f>G513</f>
        <v>946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6.7522062732118355</v>
      </c>
      <c r="E530" s="18">
        <f>(O521*O521*(100-E526)*(100-E526)*(I521)*(100-I521))/((L521-1)*100)</f>
        <v>0.45163104470567333</v>
      </c>
      <c r="F530" s="18">
        <f>(O522*O522*(100-F526)*(100-F526)*(I522)*(100-I522))/((L522-1)*100)</f>
        <v>2.6686667468578538</v>
      </c>
      <c r="G530" s="18">
        <f>(O523*O523*(100-G526)*(100-G526)*(I523)*(100-I523))/((L523-1)*100)</f>
        <v>5.0874117248620969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26.053291222252081</v>
      </c>
      <c r="E531" s="18">
        <f>E526*E526*(SUM((H519*E519*(1-E508/H508))/(H508-1),(H520*E520*(1-E509/H509))/(H509-1), (H522*E522*(1-E511/H511))/(H511-1),(H523*E523*(1-E512/H512))/(H512-1)))</f>
        <v>168.33707124276623</v>
      </c>
      <c r="F531" s="18">
        <f>F526*F526*(SUM((H519*F519*(1-F508/H508))/(H508-1),(H520*F520*(1-F509/H509))/(H509-1), (H521*F521*(1-F510/H510))/(H510-1),(H523*F523*(1-F512/H512))/(H512-1)))</f>
        <v>77.694500679641294</v>
      </c>
      <c r="G531" s="18">
        <f>G526*G526*(SUM((H519*G519*(1-G508/H508))/(H508-1),(H520*G520*(1-G509/H509))/(H509-1), (H521*G521*(1-G510/H510))/(H510-1),(H522*G522*(1-G511/H511))/(H511-1)))</f>
        <v>140.95088459851735</v>
      </c>
      <c r="AM531" s="78"/>
      <c r="AN531" s="78"/>
    </row>
    <row r="533" spans="1:40" x14ac:dyDescent="0.3">
      <c r="AM533" s="78"/>
      <c r="AN533" s="78"/>
    </row>
    <row r="534" spans="1:40" x14ac:dyDescent="0.3">
      <c r="A534" s="348" t="s">
        <v>373</v>
      </c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 t="s">
        <v>91</v>
      </c>
      <c r="M534" s="348"/>
      <c r="N534" s="348"/>
      <c r="O534" s="348"/>
      <c r="P534" s="348"/>
    </row>
    <row r="535" spans="1:40" x14ac:dyDescent="0.3">
      <c r="A535" t="s">
        <v>15</v>
      </c>
      <c r="B535" t="s">
        <v>21</v>
      </c>
      <c r="I535" s="1" t="s">
        <v>53</v>
      </c>
      <c r="O535" s="142"/>
      <c r="P535" s="142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51</v>
      </c>
      <c r="O536" s="13"/>
      <c r="P536" s="13"/>
    </row>
    <row r="537" spans="1:40" x14ac:dyDescent="0.3">
      <c r="A537" t="s">
        <v>3</v>
      </c>
      <c r="B537" s="13">
        <v>0</v>
      </c>
      <c r="C537" s="26">
        <v>451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451</v>
      </c>
      <c r="I537" s="10">
        <f>C537/H537</f>
        <v>1</v>
      </c>
      <c r="J537" s="11">
        <f>1-I537</f>
        <v>0</v>
      </c>
      <c r="K537">
        <f>H537-C542</f>
        <v>-1</v>
      </c>
      <c r="N537" s="10">
        <f>2*(C543*I537)/(C543+I537)</f>
        <v>0.99889258028792915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51</v>
      </c>
      <c r="E538" s="1">
        <v>6</v>
      </c>
      <c r="F538" s="1">
        <v>0</v>
      </c>
      <c r="G538" s="6">
        <v>0</v>
      </c>
      <c r="H538" s="1">
        <f>SUM(C538:G538)</f>
        <v>57</v>
      </c>
      <c r="I538" s="10">
        <f>D538/H538</f>
        <v>0.89473684210526316</v>
      </c>
      <c r="J538" s="11">
        <f>1-I538</f>
        <v>0.10526315789473684</v>
      </c>
      <c r="K538">
        <f>H538-D542</f>
        <v>3</v>
      </c>
      <c r="N538" s="10">
        <f>2*(D543*I538)/(D543+I538)</f>
        <v>0.91891891891891897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1</v>
      </c>
      <c r="E539" s="27">
        <v>735</v>
      </c>
      <c r="F539" s="1">
        <v>1</v>
      </c>
      <c r="G539" s="6">
        <v>0</v>
      </c>
      <c r="H539" s="1">
        <f>SUM(C539:G539)</f>
        <v>737</v>
      </c>
      <c r="I539" s="10">
        <f>E539/H539</f>
        <v>0.99728629579375849</v>
      </c>
      <c r="J539" s="11">
        <f>1-I539</f>
        <v>2.7137042062415073E-3</v>
      </c>
      <c r="K539">
        <f>H539-E542</f>
        <v>-47</v>
      </c>
      <c r="N539" s="10">
        <f>2*(E543*I539)/(E543+I539)</f>
        <v>0.9664694280078896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1</v>
      </c>
      <c r="D540" s="1">
        <v>0</v>
      </c>
      <c r="E540" s="1">
        <v>4</v>
      </c>
      <c r="F540" s="27">
        <v>564</v>
      </c>
      <c r="G540" s="6">
        <v>13</v>
      </c>
      <c r="H540" s="1">
        <f>SUM(C540:G540)</f>
        <v>582</v>
      </c>
      <c r="I540" s="10">
        <f>F540/H540</f>
        <v>0.96907216494845361</v>
      </c>
      <c r="J540" s="11">
        <f>1-I540</f>
        <v>3.0927835051546393E-2</v>
      </c>
      <c r="K540">
        <f>H540-F542</f>
        <v>-7</v>
      </c>
      <c r="N540" s="10">
        <f>2*(F543*I540)/(F543+I540)</f>
        <v>0.9632792485055508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2</v>
      </c>
      <c r="E541" s="8">
        <v>39</v>
      </c>
      <c r="F541" s="8">
        <v>24</v>
      </c>
      <c r="G541" s="28">
        <v>944</v>
      </c>
      <c r="H541" s="1">
        <f>SUM(C541:G541)</f>
        <v>1009</v>
      </c>
      <c r="I541" s="10">
        <f>G541/H541</f>
        <v>0.93557978196233893</v>
      </c>
      <c r="J541" s="11">
        <f>1-I541</f>
        <v>6.442021803766107E-2</v>
      </c>
      <c r="K541">
        <f>H541-G542</f>
        <v>52</v>
      </c>
      <c r="N541" s="10">
        <f>2*(G543*I541)/(G543+I541)</f>
        <v>0.96032553407934884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452</v>
      </c>
      <c r="D542" s="1">
        <f>SUM(D537:D541)</f>
        <v>54</v>
      </c>
      <c r="E542" s="1">
        <f>SUM(E537:E541)</f>
        <v>784</v>
      </c>
      <c r="F542" s="1">
        <f>SUM(F537:F541)</f>
        <v>589</v>
      </c>
      <c r="G542" s="1">
        <f>SUM(G537:G541)</f>
        <v>957</v>
      </c>
      <c r="H542" s="1">
        <f>SUM(H536:H541)</f>
        <v>2836</v>
      </c>
      <c r="I542" s="13" t="s">
        <v>12</v>
      </c>
      <c r="N542" s="16"/>
      <c r="O542" s="1"/>
      <c r="P542" s="1"/>
    </row>
    <row r="543" spans="1:40" x14ac:dyDescent="0.3">
      <c r="A543" s="1" t="s">
        <v>52</v>
      </c>
      <c r="B543" s="1" t="s">
        <v>2</v>
      </c>
      <c r="C543" s="10">
        <f>C537/C542</f>
        <v>0.99778761061946908</v>
      </c>
      <c r="D543" s="10">
        <f>D538/D542</f>
        <v>0.94444444444444442</v>
      </c>
      <c r="E543" s="10">
        <f>E539/E542</f>
        <v>0.9375</v>
      </c>
      <c r="F543" s="10">
        <f>F540/F542</f>
        <v>0.95755517826825132</v>
      </c>
      <c r="G543" s="10">
        <f>G541/G542</f>
        <v>0.98641588296760707</v>
      </c>
      <c r="H543" s="10"/>
      <c r="I543" s="14">
        <f>(C537+D538+E539+F540+G541)/H542</f>
        <v>0.96791255289139633</v>
      </c>
    </row>
    <row r="544" spans="1:40" x14ac:dyDescent="0.3">
      <c r="B544" s="1" t="s">
        <v>14</v>
      </c>
      <c r="C544" s="11">
        <f>1-C543</f>
        <v>2.2123893805309214E-3</v>
      </c>
      <c r="D544" s="11">
        <f>1-D543</f>
        <v>5.555555555555558E-2</v>
      </c>
      <c r="E544" s="11">
        <f>1-E543</f>
        <v>6.25E-2</v>
      </c>
      <c r="F544" s="11">
        <f>1-F543</f>
        <v>4.2444821731748683E-2</v>
      </c>
      <c r="G544" s="11">
        <f>1-G543</f>
        <v>1.3584117032392928E-2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0.23775208678888179</v>
      </c>
      <c r="D548" s="31">
        <f>(D537/$L548)*$O548</f>
        <v>0</v>
      </c>
      <c r="E548" s="31">
        <f>(E537/$L548)*$O548</f>
        <v>0</v>
      </c>
      <c r="F548" s="31">
        <f>(F537/$L548)*$O548</f>
        <v>0</v>
      </c>
      <c r="G548" s="32">
        <f>(G537/$L548)*$O548</f>
        <v>0</v>
      </c>
      <c r="H548" s="17">
        <f>SUM(C548:G548)</f>
        <v>0.23775208678888179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451</v>
      </c>
      <c r="M548">
        <v>0</v>
      </c>
      <c r="N548" s="1">
        <v>229.63</v>
      </c>
      <c r="O548" s="17">
        <f>N548/N553*100</f>
        <v>0.23775208678888179</v>
      </c>
      <c r="P548" s="52">
        <f>((O548*O548*(I548/100)*(K548/100))/(L548-1))</f>
        <v>0</v>
      </c>
    </row>
    <row r="549" spans="1:16" x14ac:dyDescent="0.3">
      <c r="A549" t="s">
        <v>4</v>
      </c>
      <c r="B549" s="13">
        <v>1</v>
      </c>
      <c r="C549" s="33">
        <f t="shared" ref="C549:G552" si="58">(C538/$L549)*$O549</f>
        <v>0</v>
      </c>
      <c r="D549" s="34">
        <f t="shared" si="58"/>
        <v>0.53360643132808261</v>
      </c>
      <c r="E549" s="19">
        <f t="shared" si="58"/>
        <v>6.2777227215068537E-2</v>
      </c>
      <c r="F549" s="18">
        <f t="shared" si="58"/>
        <v>0</v>
      </c>
      <c r="G549" s="20">
        <f t="shared" si="58"/>
        <v>0</v>
      </c>
      <c r="H549" s="17">
        <f>SUM(C549:G549)</f>
        <v>0.59638365854315112</v>
      </c>
      <c r="I549" s="17">
        <f>D549/H549*100</f>
        <v>89.473684210526315</v>
      </c>
      <c r="J549" s="17">
        <f>SQRT(I549*(100-I549)/(L549-1))</f>
        <v>4.1010195919683134</v>
      </c>
      <c r="K549" s="18">
        <f>100-I549</f>
        <v>10.526315789473685</v>
      </c>
      <c r="L549" s="1">
        <f>H538</f>
        <v>57</v>
      </c>
      <c r="M549">
        <v>1</v>
      </c>
      <c r="N549" s="1">
        <v>576.01</v>
      </c>
      <c r="O549" s="17">
        <f>N549/N553*100</f>
        <v>0.59638365854315112</v>
      </c>
      <c r="P549" s="52">
        <f>((O549*O549*(I549/100)*(K549/100))/(L549-1))</f>
        <v>5.9818450326615919E-4</v>
      </c>
    </row>
    <row r="550" spans="1:16" x14ac:dyDescent="0.3">
      <c r="A550" t="s">
        <v>5</v>
      </c>
      <c r="B550" s="13">
        <v>2</v>
      </c>
      <c r="C550" s="33">
        <f t="shared" si="58"/>
        <v>0</v>
      </c>
      <c r="D550" s="19">
        <f t="shared" si="58"/>
        <v>8.2705465524369706E-2</v>
      </c>
      <c r="E550" s="34">
        <f t="shared" si="58"/>
        <v>60.788517160411736</v>
      </c>
      <c r="F550" s="19">
        <f t="shared" si="58"/>
        <v>8.2705465524369706E-2</v>
      </c>
      <c r="G550" s="20">
        <f t="shared" si="58"/>
        <v>0</v>
      </c>
      <c r="H550" s="17">
        <f>SUM(C550:G550)</f>
        <v>60.953928091460476</v>
      </c>
      <c r="I550" s="17">
        <f>E550/H550*100</f>
        <v>99.728629579375848</v>
      </c>
      <c r="J550" s="17">
        <f>SQRT(I550*(100-I550)/(L550-1))</f>
        <v>0.19175746172356631</v>
      </c>
      <c r="K550" s="18">
        <f>100-I550</f>
        <v>0.27137042062415162</v>
      </c>
      <c r="L550" s="1">
        <f>H539</f>
        <v>737</v>
      </c>
      <c r="M550">
        <v>2</v>
      </c>
      <c r="N550" s="1">
        <v>58871.62</v>
      </c>
      <c r="O550" s="17">
        <f>N550/N553*100</f>
        <v>60.953928091460476</v>
      </c>
      <c r="P550" s="52">
        <f>((O550*O550*(I550/100)*(K550/100))/(L550-1))</f>
        <v>1.3661800571434736E-2</v>
      </c>
    </row>
    <row r="551" spans="1:16" x14ac:dyDescent="0.3">
      <c r="A551" t="s">
        <v>6</v>
      </c>
      <c r="B551" s="13">
        <v>3</v>
      </c>
      <c r="C551" s="33">
        <f t="shared" si="58"/>
        <v>5.5190308216508867E-2</v>
      </c>
      <c r="D551" s="19">
        <f t="shared" si="58"/>
        <v>0</v>
      </c>
      <c r="E551" s="19">
        <f t="shared" si="58"/>
        <v>0.22076123286603547</v>
      </c>
      <c r="F551" s="34">
        <f t="shared" si="58"/>
        <v>31.127333834110999</v>
      </c>
      <c r="G551" s="20">
        <f t="shared" si="58"/>
        <v>0.71747400681461526</v>
      </c>
      <c r="H551" s="17">
        <f>SUM(C551:G551)</f>
        <v>32.12075938200816</v>
      </c>
      <c r="I551" s="17">
        <f>F551/H551*100</f>
        <v>96.907216494845358</v>
      </c>
      <c r="J551" s="17">
        <f>SQRT(I551*(100-I551)/(L551-1))</f>
        <v>0.71823200493893458</v>
      </c>
      <c r="K551" s="18">
        <f>100-I551</f>
        <v>3.0927835051546424</v>
      </c>
      <c r="L551" s="1">
        <f>H540</f>
        <v>582</v>
      </c>
      <c r="M551">
        <v>3</v>
      </c>
      <c r="N551" s="1">
        <v>31023.45</v>
      </c>
      <c r="O551" s="17">
        <f>N551/N553*100</f>
        <v>32.12075938200816</v>
      </c>
      <c r="P551" s="52">
        <f>((O551*O551*(I551/100)*(K551/100))/(L551-1))</f>
        <v>5.3223216297296982E-2</v>
      </c>
    </row>
    <row r="552" spans="1:16" x14ac:dyDescent="0.3">
      <c r="A552" t="s">
        <v>7</v>
      </c>
      <c r="B552" s="13">
        <v>4</v>
      </c>
      <c r="C552" s="35">
        <f t="shared" si="58"/>
        <v>0</v>
      </c>
      <c r="D552" s="36">
        <f t="shared" si="58"/>
        <v>1.2073690349255366E-2</v>
      </c>
      <c r="E552" s="21">
        <f t="shared" si="58"/>
        <v>0.23543696181047963</v>
      </c>
      <c r="F552" s="21">
        <f t="shared" si="58"/>
        <v>0.14488428419106439</v>
      </c>
      <c r="G552" s="37">
        <f t="shared" si="58"/>
        <v>5.6987818448485319</v>
      </c>
      <c r="H552" s="17">
        <f>SUM(C552:G552)</f>
        <v>6.0911767811993309</v>
      </c>
      <c r="I552" s="17">
        <f>G552/H552*100</f>
        <v>93.557978196233904</v>
      </c>
      <c r="J552" s="17">
        <f>SQRT(I552*(100-I552)/(L552-1))</f>
        <v>0.77325234044289104</v>
      </c>
      <c r="K552" s="18">
        <f>100-I552</f>
        <v>6.4420218037660959</v>
      </c>
      <c r="L552" s="1">
        <f>H541</f>
        <v>1009</v>
      </c>
      <c r="M552">
        <v>4</v>
      </c>
      <c r="N552" s="1">
        <v>5883.09</v>
      </c>
      <c r="O552" s="17">
        <f>N552/N553*100</f>
        <v>6.0911767811993318</v>
      </c>
      <c r="P552" s="52">
        <f>((O552*O552*(I552/100)*(K552/100))/(L552-1))</f>
        <v>2.218425733419075E-3</v>
      </c>
    </row>
    <row r="553" spans="1:16" x14ac:dyDescent="0.3">
      <c r="B553" t="s">
        <v>28</v>
      </c>
      <c r="C553" s="17">
        <f>SUM(C548:C552)</f>
        <v>0.29294239500539065</v>
      </c>
      <c r="D553" s="17">
        <f>SUM(D548:D552)</f>
        <v>0.62838558720170767</v>
      </c>
      <c r="E553" s="17">
        <f>SUM(E548:E552)</f>
        <v>61.307492582303318</v>
      </c>
      <c r="F553" s="17">
        <f>SUM(F548:F552)</f>
        <v>31.354923583826434</v>
      </c>
      <c r="G553" s="17">
        <f>SUM(G548:G552)</f>
        <v>6.4162558516631467</v>
      </c>
      <c r="H553" s="1">
        <f>SUM(H547:H552)</f>
        <v>100.00000000000001</v>
      </c>
      <c r="I553" s="13" t="s">
        <v>24</v>
      </c>
      <c r="J553" s="12" t="s">
        <v>29</v>
      </c>
      <c r="N553" s="1">
        <f>SUM(N548:N552)</f>
        <v>96583.8</v>
      </c>
      <c r="O553" s="17">
        <f>SUM(O548:O552)</f>
        <v>100.00000000000001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5.5142873477864132E-2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8.6552558944476013E-2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0.16642552805959196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0.24661005685504331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0.20231004902406577</v>
      </c>
      <c r="H554" s="1"/>
      <c r="I554" s="56">
        <f>(C548+D549+E550+F551+G552)/H553</f>
        <v>0.98385991357488212</v>
      </c>
      <c r="J554" s="53">
        <f>SQRT(SUM(P548:P552))/100</f>
        <v>2.6401065718151791E-3</v>
      </c>
      <c r="M554" s="1"/>
      <c r="N554" s="9"/>
    </row>
    <row r="555" spans="1:16" x14ac:dyDescent="0.3">
      <c r="B555" s="1" t="s">
        <v>30</v>
      </c>
      <c r="C555" s="17">
        <f>C548/C553*100</f>
        <v>81.160013314053344</v>
      </c>
      <c r="D555" s="17">
        <f>D549/D553*100</f>
        <v>84.917038550217157</v>
      </c>
      <c r="E555" s="17">
        <f>E550/E553*100</f>
        <v>99.153487771180863</v>
      </c>
      <c r="F555" s="17">
        <f>F551/F553*100</f>
        <v>99.274149882371816</v>
      </c>
      <c r="G555" s="17">
        <f>G552/G553*100</f>
        <v>88.817870992026613</v>
      </c>
      <c r="H555" s="1"/>
    </row>
    <row r="556" spans="1:16" x14ac:dyDescent="0.3">
      <c r="B556" s="16" t="s">
        <v>39</v>
      </c>
      <c r="C556" s="18">
        <f>SQRT((C559+C560)/(C553*C553))</f>
        <v>15.290535702680186</v>
      </c>
      <c r="D556" s="18">
        <f>SQRT((D559+D560)/(D553*D553))</f>
        <v>12.676962211911665</v>
      </c>
      <c r="E556" s="18">
        <f>SQRT((E559+E560)/(E553*E553))</f>
        <v>0.19263324800110132</v>
      </c>
      <c r="F556" s="18">
        <f>SQRT((F559+F560)/(F553*F553))</f>
        <v>0.28282366621422395</v>
      </c>
      <c r="G556" s="18">
        <f>SQRT((G559+G560)/(G553*G553))</f>
        <v>2.846878596827616</v>
      </c>
      <c r="H556" s="1"/>
    </row>
    <row r="557" spans="1:16" x14ac:dyDescent="0.3">
      <c r="B557" s="1" t="s">
        <v>37</v>
      </c>
      <c r="C557" s="18">
        <f>100-C555</f>
        <v>18.839986685946656</v>
      </c>
      <c r="D557" s="18">
        <f>100-D555</f>
        <v>15.082961449782843</v>
      </c>
      <c r="E557" s="18">
        <f>100-E555</f>
        <v>0.84651222881913668</v>
      </c>
      <c r="F557" s="18">
        <f>100-F555</f>
        <v>0.72585011762818397</v>
      </c>
      <c r="G557" s="18">
        <f>100-G555</f>
        <v>11.182129007973387</v>
      </c>
    </row>
    <row r="558" spans="1:16" ht="15.6" x14ac:dyDescent="0.35">
      <c r="B558" s="1" t="s">
        <v>25</v>
      </c>
      <c r="C558" s="1">
        <f>C542</f>
        <v>452</v>
      </c>
      <c r="D558" s="1">
        <f>D542</f>
        <v>54</v>
      </c>
      <c r="E558" s="1">
        <f>E542</f>
        <v>784</v>
      </c>
      <c r="F558" s="1">
        <f>F542</f>
        <v>589</v>
      </c>
      <c r="G558" s="1">
        <f>G542</f>
        <v>957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13.608441790969186</v>
      </c>
      <c r="E559" s="18">
        <f>(O550*O550*(100-E555)*(100-E555)*(I550)*(100-I550))/((L550-1)*100)</f>
        <v>0.97898134041578411</v>
      </c>
      <c r="F559" s="18">
        <f>(O551*O551*(100-F555)*(100-F555)*(I551)*(100-I551))/((L551-1)*100)</f>
        <v>2.8041098222568492</v>
      </c>
      <c r="G559" s="18">
        <f>(O552*O552*(100-G555)*(100-G555)*(I552)*(100-I552))/((L552-1)*100)</f>
        <v>27.739197400744604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20.063646069231101</v>
      </c>
      <c r="D560" s="18">
        <f>D555*D555*(SUM((H548*D548*(1-D537/H537))/(H537-1),(H550*D550*(1-D539/H539))/(H539-1), (H551*D551*(1-D540/H540))/(H540-1),(H552*D552*(1-D541/H541))/(H541-1)))</f>
        <v>49.849038321544512</v>
      </c>
      <c r="E560" s="18">
        <f>E555*E555*(SUM((H548*E548*(1-E537/H537))/(H537-1),(H549*E549*(1-E538/H538))/(H538-1), (H551*E551*(1-E540/H540))/(H540-1),(H552*E552*(1-E541/H541))/(H541-1)))</f>
        <v>138.49384548845381</v>
      </c>
      <c r="F560" s="18">
        <f>F555*F555*(SUM((H548*F548*(1-F537/H537))/(H537-1),(H549*F549*(1-F538/H538))/(H538-1), (H550*F550*(1-F539/H539))/(H539-1),(H552*F552*(1-F541/H541))/(H541-1)))</f>
        <v>75.835796725619616</v>
      </c>
      <c r="G560" s="18">
        <f>G555*G555*(SUM((H548*G548*(1-G537/H537))/(H537-1),(H549*G549*(1-G538/H538))/(H538-1), (H550*G550*(1-G539/H539))/(H539-1),(H551*G551*(1-G540/H540))/(H540-1)))</f>
        <v>305.91857147596511</v>
      </c>
    </row>
    <row r="563" spans="1:16" x14ac:dyDescent="0.3">
      <c r="A563" s="348" t="s">
        <v>373</v>
      </c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 t="s">
        <v>92</v>
      </c>
      <c r="M563" s="348"/>
      <c r="N563" s="348"/>
      <c r="O563" s="348"/>
      <c r="P563" s="348"/>
    </row>
    <row r="564" spans="1:16" x14ac:dyDescent="0.3">
      <c r="A564" t="s">
        <v>15</v>
      </c>
      <c r="B564" t="s">
        <v>21</v>
      </c>
      <c r="I564" s="1" t="s">
        <v>53</v>
      </c>
      <c r="O564" s="142"/>
      <c r="P564" s="142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51</v>
      </c>
      <c r="O565" s="13"/>
      <c r="P565" s="13"/>
    </row>
    <row r="566" spans="1:16" x14ac:dyDescent="0.3">
      <c r="A566" t="s">
        <v>3</v>
      </c>
      <c r="B566" s="13">
        <v>0</v>
      </c>
      <c r="C566" s="26">
        <v>451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451</v>
      </c>
      <c r="I566" s="10">
        <f>C566/H566</f>
        <v>1</v>
      </c>
      <c r="J566" s="11">
        <f>1-I566</f>
        <v>0</v>
      </c>
      <c r="K566">
        <f>H566-C571</f>
        <v>-1</v>
      </c>
      <c r="N566" s="10">
        <f>2*(C572*I566)/(C572+I566)</f>
        <v>0.99889258028792915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52</v>
      </c>
      <c r="E567" s="1">
        <v>5</v>
      </c>
      <c r="F567" s="1">
        <v>0</v>
      </c>
      <c r="G567" s="6">
        <v>0</v>
      </c>
      <c r="H567" s="1">
        <f>SUM(C567:G567)</f>
        <v>57</v>
      </c>
      <c r="I567" s="10">
        <f>D567/H567</f>
        <v>0.91228070175438591</v>
      </c>
      <c r="J567" s="11">
        <f>1-I567</f>
        <v>8.7719298245614086E-2</v>
      </c>
      <c r="K567">
        <f>H567-D571</f>
        <v>2</v>
      </c>
      <c r="N567" s="10">
        <f>2*(D572*I567)/(D572+I567)</f>
        <v>0.92857142857142849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0</v>
      </c>
      <c r="E568" s="27">
        <v>735</v>
      </c>
      <c r="F568" s="1">
        <v>2</v>
      </c>
      <c r="G568" s="6">
        <v>0</v>
      </c>
      <c r="H568" s="1">
        <f>SUM(C568:G568)</f>
        <v>737</v>
      </c>
      <c r="I568" s="10">
        <f>E568/H568</f>
        <v>0.99728629579375849</v>
      </c>
      <c r="J568" s="11">
        <f>1-I568</f>
        <v>2.7137042062415073E-3</v>
      </c>
      <c r="K568">
        <f>H568-E571</f>
        <v>-47</v>
      </c>
      <c r="N568" s="10">
        <f>2*(E572*I568)/(E572+I568)</f>
        <v>0.9664694280078896</v>
      </c>
      <c r="O568" s="1"/>
      <c r="P568" s="1"/>
    </row>
    <row r="569" spans="1:16" x14ac:dyDescent="0.3">
      <c r="A569" t="s">
        <v>6</v>
      </c>
      <c r="B569" s="13">
        <v>3</v>
      </c>
      <c r="C569" s="5">
        <v>1</v>
      </c>
      <c r="D569" s="1">
        <v>0</v>
      </c>
      <c r="E569" s="1">
        <v>6</v>
      </c>
      <c r="F569" s="27">
        <v>565</v>
      </c>
      <c r="G569" s="6">
        <v>10</v>
      </c>
      <c r="H569" s="1">
        <f>SUM(C569:G569)</f>
        <v>582</v>
      </c>
      <c r="I569" s="10">
        <f>F569/H569</f>
        <v>0.97079037800687284</v>
      </c>
      <c r="J569" s="11">
        <f>1-I569</f>
        <v>2.9209621993127155E-2</v>
      </c>
      <c r="K569">
        <f>H569-F571</f>
        <v>-11</v>
      </c>
      <c r="N569" s="10">
        <f>2*(F572*I569)/(F572+I569)</f>
        <v>0.96170212765957441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3</v>
      </c>
      <c r="E570" s="8">
        <v>38</v>
      </c>
      <c r="F570" s="8">
        <v>26</v>
      </c>
      <c r="G570" s="28">
        <v>942</v>
      </c>
      <c r="H570" s="1">
        <f>SUM(C570:G570)</f>
        <v>1009</v>
      </c>
      <c r="I570" s="10">
        <f>G570/H570</f>
        <v>0.93359762140733404</v>
      </c>
      <c r="J570" s="11">
        <f>1-I570</f>
        <v>6.6402378592665956E-2</v>
      </c>
      <c r="K570">
        <f>H570-G571</f>
        <v>57</v>
      </c>
      <c r="N570" s="10">
        <f>2*(G572*I570)/(G572+I570)</f>
        <v>0.96073431922488528</v>
      </c>
      <c r="O570" s="1"/>
      <c r="P570" s="1"/>
    </row>
    <row r="571" spans="1:16" ht="15.6" x14ac:dyDescent="0.35">
      <c r="B571" s="1" t="s">
        <v>19</v>
      </c>
      <c r="C571" s="1">
        <f>SUM(C566:C570)</f>
        <v>452</v>
      </c>
      <c r="D571" s="1">
        <f>SUM(D566:D570)</f>
        <v>55</v>
      </c>
      <c r="E571" s="1">
        <f>SUM(E566:E570)</f>
        <v>784</v>
      </c>
      <c r="F571" s="1">
        <f>SUM(F566:F570)</f>
        <v>593</v>
      </c>
      <c r="G571" s="1">
        <f>SUM(G566:G570)</f>
        <v>952</v>
      </c>
      <c r="H571" s="1">
        <f>SUM(H565:H570)</f>
        <v>2836</v>
      </c>
      <c r="I571" s="13" t="s">
        <v>12</v>
      </c>
      <c r="N571" s="16"/>
      <c r="O571" s="1"/>
      <c r="P571" s="1"/>
    </row>
    <row r="572" spans="1:16" x14ac:dyDescent="0.3">
      <c r="A572" s="1" t="s">
        <v>52</v>
      </c>
      <c r="B572" s="1" t="s">
        <v>2</v>
      </c>
      <c r="C572" s="10">
        <f>C566/C571</f>
        <v>0.99778761061946908</v>
      </c>
      <c r="D572" s="10">
        <f>D567/D571</f>
        <v>0.94545454545454544</v>
      </c>
      <c r="E572" s="10">
        <f>E568/E571</f>
        <v>0.9375</v>
      </c>
      <c r="F572" s="10">
        <f>F569/F571</f>
        <v>0.95278246205733563</v>
      </c>
      <c r="G572" s="10">
        <f>G570/G571</f>
        <v>0.98949579831932777</v>
      </c>
      <c r="H572" s="10"/>
      <c r="I572" s="14">
        <f>(C566+D567+E568+F569+G570)/H571</f>
        <v>0.96791255289139633</v>
      </c>
    </row>
    <row r="573" spans="1:16" x14ac:dyDescent="0.3">
      <c r="B573" s="1" t="s">
        <v>14</v>
      </c>
      <c r="C573" s="11">
        <f>1-C572</f>
        <v>2.2123893805309214E-3</v>
      </c>
      <c r="D573" s="11">
        <f>1-D572</f>
        <v>5.4545454545454564E-2</v>
      </c>
      <c r="E573" s="11">
        <f>1-E572</f>
        <v>6.25E-2</v>
      </c>
      <c r="F573" s="11">
        <f>1-F572</f>
        <v>4.7217537942664367E-2</v>
      </c>
      <c r="G573" s="11">
        <f>1-G572</f>
        <v>1.0504201680672232E-2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0.2285269372296389</v>
      </c>
      <c r="D577" s="31">
        <f>(D566/$L577)*$O577</f>
        <v>0</v>
      </c>
      <c r="E577" s="31">
        <f>(E566/$L577)*$O577</f>
        <v>0</v>
      </c>
      <c r="F577" s="31">
        <f>(F566/$L577)*$O577</f>
        <v>0</v>
      </c>
      <c r="G577" s="32">
        <f>(G566/$L577)*$O577</f>
        <v>0</v>
      </c>
      <c r="H577" s="17">
        <f>SUM(C577:G577)</f>
        <v>0.2285269372296389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451</v>
      </c>
      <c r="M577">
        <v>0</v>
      </c>
      <c r="N577" s="1">
        <v>220.72</v>
      </c>
      <c r="O577" s="17">
        <f>N577/N582*100</f>
        <v>0.2285269372296389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ref="C578:G581" si="59">(C567/$L578)*$O578</f>
        <v>0</v>
      </c>
      <c r="D578" s="34">
        <f t="shared" si="59"/>
        <v>0.67866744424794201</v>
      </c>
      <c r="E578" s="19">
        <f t="shared" si="59"/>
        <v>6.5256485023840585E-2</v>
      </c>
      <c r="F578" s="18">
        <f t="shared" si="59"/>
        <v>0</v>
      </c>
      <c r="G578" s="20">
        <f t="shared" si="59"/>
        <v>0</v>
      </c>
      <c r="H578" s="17">
        <f>SUM(C578:G578)</f>
        <v>0.74392392927178264</v>
      </c>
      <c r="I578" s="17">
        <f>D578/H578*100</f>
        <v>91.228070175438589</v>
      </c>
      <c r="J578" s="17">
        <f>SQRT(I578*(100-I578)/(L578-1))</f>
        <v>3.7802263481198901</v>
      </c>
      <c r="K578" s="18">
        <f>100-I578</f>
        <v>8.7719298245614112</v>
      </c>
      <c r="L578" s="1">
        <f>H567</f>
        <v>57</v>
      </c>
      <c r="M578">
        <v>1</v>
      </c>
      <c r="N578" s="1">
        <v>718.51</v>
      </c>
      <c r="O578" s="17">
        <f>N578/N582*100</f>
        <v>0.74392392927178264</v>
      </c>
      <c r="P578" s="52">
        <f>((O578*O578*(I578/100)*(K578/100))/(L578-1))</f>
        <v>7.9084735556667919E-4</v>
      </c>
    </row>
    <row r="579" spans="1:16" x14ac:dyDescent="0.3">
      <c r="A579" t="s">
        <v>5</v>
      </c>
      <c r="B579" s="13">
        <v>2</v>
      </c>
      <c r="C579" s="33">
        <f t="shared" si="59"/>
        <v>0</v>
      </c>
      <c r="D579" s="19">
        <f t="shared" si="59"/>
        <v>0</v>
      </c>
      <c r="E579" s="34">
        <f t="shared" si="59"/>
        <v>60.708875758857261</v>
      </c>
      <c r="F579" s="19">
        <f t="shared" si="59"/>
        <v>0.16519421975199253</v>
      </c>
      <c r="G579" s="20">
        <f t="shared" si="59"/>
        <v>0</v>
      </c>
      <c r="H579" s="17">
        <f>SUM(C579:G579)</f>
        <v>60.874069978609256</v>
      </c>
      <c r="I579" s="17">
        <f>E579/H579*100</f>
        <v>99.728629579375834</v>
      </c>
      <c r="J579" s="17">
        <f>SQRT(I579*(100-I579)/(L579-1))</f>
        <v>0.1917574617235713</v>
      </c>
      <c r="K579" s="18">
        <f>100-I579</f>
        <v>0.27137042062416583</v>
      </c>
      <c r="L579" s="1">
        <f>H568</f>
        <v>737</v>
      </c>
      <c r="M579">
        <v>2</v>
      </c>
      <c r="N579" s="1">
        <v>58794.49</v>
      </c>
      <c r="O579" s="17">
        <f>N579/N582*100</f>
        <v>60.874069978609249</v>
      </c>
      <c r="P579" s="52">
        <f>((O579*O579*(I579/100)*(K579/100))/(L579-1))</f>
        <v>1.3626026308431509E-2</v>
      </c>
    </row>
    <row r="580" spans="1:16" x14ac:dyDescent="0.3">
      <c r="A580" t="s">
        <v>6</v>
      </c>
      <c r="B580" s="13">
        <v>3</v>
      </c>
      <c r="C580" s="33">
        <f t="shared" si="59"/>
        <v>5.5206443626836348E-2</v>
      </c>
      <c r="D580" s="19">
        <f t="shared" si="59"/>
        <v>0</v>
      </c>
      <c r="E580" s="19">
        <f t="shared" si="59"/>
        <v>0.33123866176101807</v>
      </c>
      <c r="F580" s="34">
        <f t="shared" si="59"/>
        <v>31.191640649162537</v>
      </c>
      <c r="G580" s="20">
        <f t="shared" si="59"/>
        <v>0.55206443626836355</v>
      </c>
      <c r="H580" s="17">
        <f>SUM(C580:G580)</f>
        <v>32.130150190818753</v>
      </c>
      <c r="I580" s="17">
        <f>F580/H580*100</f>
        <v>97.079037800687288</v>
      </c>
      <c r="J580" s="17">
        <f>SQRT(I580*(100-I580)/(L580-1))</f>
        <v>0.69861456179910675</v>
      </c>
      <c r="K580" s="18">
        <f>100-I580</f>
        <v>2.9209621993127115</v>
      </c>
      <c r="L580" s="1">
        <f>H569</f>
        <v>582</v>
      </c>
      <c r="M580">
        <v>3</v>
      </c>
      <c r="N580" s="1">
        <v>31032.52</v>
      </c>
      <c r="O580" s="17">
        <f>N580/N582*100</f>
        <v>32.130150190818753</v>
      </c>
      <c r="P580" s="52">
        <f>((O580*O580*(I580/100)*(K580/100))/(L580-1))</f>
        <v>5.0384943836748623E-2</v>
      </c>
    </row>
    <row r="581" spans="1:16" x14ac:dyDescent="0.3">
      <c r="A581" t="s">
        <v>7</v>
      </c>
      <c r="B581" s="13">
        <v>4</v>
      </c>
      <c r="C581" s="35">
        <f t="shared" si="59"/>
        <v>0</v>
      </c>
      <c r="D581" s="36">
        <f t="shared" si="59"/>
        <v>1.7908807623599345E-2</v>
      </c>
      <c r="E581" s="21">
        <f t="shared" si="59"/>
        <v>0.2268448965655917</v>
      </c>
      <c r="F581" s="21">
        <f t="shared" si="59"/>
        <v>0.15520966607119432</v>
      </c>
      <c r="G581" s="37">
        <f t="shared" si="59"/>
        <v>5.6233655938101945</v>
      </c>
      <c r="H581" s="17">
        <f>SUM(C581:G581)</f>
        <v>6.02332896407058</v>
      </c>
      <c r="I581" s="17">
        <f>G581/H581*100</f>
        <v>93.359762140733395</v>
      </c>
      <c r="J581" s="17">
        <f>SQRT(I581*(100-I581)/(L581-1))</f>
        <v>0.78422633185985546</v>
      </c>
      <c r="K581" s="18">
        <f>100-I581</f>
        <v>6.6402378592666054</v>
      </c>
      <c r="L581" s="1">
        <f>H570</f>
        <v>1009</v>
      </c>
      <c r="M581">
        <v>4</v>
      </c>
      <c r="N581" s="1">
        <v>5817.56</v>
      </c>
      <c r="O581" s="17">
        <f>N581/N582*100</f>
        <v>6.02332896407058</v>
      </c>
      <c r="P581" s="52">
        <f>((O581*O581*(I581/100)*(K581/100))/(L581-1))</f>
        <v>2.2312899356216466E-3</v>
      </c>
    </row>
    <row r="582" spans="1:16" x14ac:dyDescent="0.3">
      <c r="B582" t="s">
        <v>28</v>
      </c>
      <c r="C582" s="17">
        <f t="shared" ref="C582:H582" si="60">SUM(C577:C581)</f>
        <v>0.28373338085647526</v>
      </c>
      <c r="D582" s="17">
        <f t="shared" si="60"/>
        <v>0.69657625187154137</v>
      </c>
      <c r="E582" s="17">
        <f t="shared" si="60"/>
        <v>61.332215802207713</v>
      </c>
      <c r="F582" s="17">
        <f t="shared" si="60"/>
        <v>31.512044534985723</v>
      </c>
      <c r="G582" s="17">
        <f t="shared" si="60"/>
        <v>6.1754300300785578</v>
      </c>
      <c r="H582" s="18">
        <f t="shared" si="60"/>
        <v>100.00000000000001</v>
      </c>
      <c r="I582" s="13" t="s">
        <v>24</v>
      </c>
      <c r="J582" s="12" t="s">
        <v>29</v>
      </c>
      <c r="N582" s="1">
        <f>SUM(N577:N581)</f>
        <v>96583.8</v>
      </c>
      <c r="O582" s="17">
        <f>SUM(O577:O581)</f>
        <v>100.00000000000001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5.5158995020195646E-2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2.9724795027845287E-2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0.18380879388158367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0.25457528243588151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0.17939599800133377</v>
      </c>
      <c r="H583" s="1"/>
      <c r="I583" s="56">
        <f>(C577+D578+E579+F580+G581)/H582</f>
        <v>0.98431076383307559</v>
      </c>
      <c r="J583" s="53">
        <f>SQRT(SUM(P577:P581))/100</f>
        <v>2.5890752680516739E-3</v>
      </c>
      <c r="M583" s="1"/>
      <c r="N583" s="9"/>
    </row>
    <row r="584" spans="1:16" x14ac:dyDescent="0.3">
      <c r="B584" s="1" t="s">
        <v>30</v>
      </c>
      <c r="C584" s="17">
        <f>C577/C582*100</f>
        <v>80.542845025780679</v>
      </c>
      <c r="D584" s="17">
        <f>D578/D582*100</f>
        <v>97.429024090976043</v>
      </c>
      <c r="E584" s="17">
        <f>E579/E582*100</f>
        <v>98.983666193700415</v>
      </c>
      <c r="F584" s="17">
        <f>F580/F582*100</f>
        <v>98.983233584011145</v>
      </c>
      <c r="G584" s="17">
        <f>G581/G582*100</f>
        <v>91.0603078072388</v>
      </c>
      <c r="H584" s="1"/>
    </row>
    <row r="585" spans="1:16" x14ac:dyDescent="0.3">
      <c r="B585" s="16" t="s">
        <v>39</v>
      </c>
      <c r="C585" s="18">
        <f>SQRT((C588+C589)/(C582*C582))</f>
        <v>15.671346177311451</v>
      </c>
      <c r="D585" s="18">
        <f>SQRT((D588+D589)/(D582*D582))</f>
        <v>1.778947965643632</v>
      </c>
      <c r="E585" s="18">
        <f>SQRT((E588+E589)/(E582*E582))</f>
        <v>0.2303298332451082</v>
      </c>
      <c r="F585" s="18">
        <f>SQRT((F588+F589)/(F582*F582))</f>
        <v>0.3854919092259031</v>
      </c>
      <c r="G585" s="18">
        <f>SQRT((G588+G589)/(G582*G582))</f>
        <v>2.6441882279177396</v>
      </c>
      <c r="H585" s="1"/>
    </row>
    <row r="586" spans="1:16" x14ac:dyDescent="0.3">
      <c r="B586" s="1" t="s">
        <v>37</v>
      </c>
      <c r="C586" s="18">
        <f>100-C584</f>
        <v>19.457154974219321</v>
      </c>
      <c r="D586" s="18">
        <f>100-D584</f>
        <v>2.5709759090239572</v>
      </c>
      <c r="E586" s="18">
        <f>100-E584</f>
        <v>1.0163338062995848</v>
      </c>
      <c r="F586" s="18">
        <f>100-F584</f>
        <v>1.0167664159888545</v>
      </c>
      <c r="G586" s="18">
        <f>100-G584</f>
        <v>8.9396921927611999</v>
      </c>
    </row>
    <row r="587" spans="1:16" ht="15.6" x14ac:dyDescent="0.35">
      <c r="B587" s="1" t="s">
        <v>25</v>
      </c>
      <c r="C587" s="1">
        <f>C571</f>
        <v>452</v>
      </c>
      <c r="D587" s="1">
        <f>D571</f>
        <v>55</v>
      </c>
      <c r="E587" s="1">
        <f>E571</f>
        <v>784</v>
      </c>
      <c r="F587" s="1">
        <f>F571</f>
        <v>593</v>
      </c>
      <c r="G587" s="1">
        <f>G571</f>
        <v>952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0.52274354786484067</v>
      </c>
      <c r="E588" s="18">
        <f>(O579*O579*(100-E584)*(100-E584)*(I579)*(100-I579))/((L579-1)*100)</f>
        <v>1.4074791388688244</v>
      </c>
      <c r="F588" s="18">
        <f>(O580*O580*(100-F584)*(100-F584)*(I580)*(100-I580))/((L580-1)*100)</f>
        <v>5.2088657540491461</v>
      </c>
      <c r="G588" s="18">
        <f>(O581*O581*(100-G584)*(100-G584)*(I581)*(100-I581))/((L581-1)*100)</f>
        <v>17.832044439742496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19.771220259821625</v>
      </c>
      <c r="D589" s="18">
        <f>D584*D584*(SUM((H577*D577*(1-D566/H566))/(H566-1),(H579*D579*(1-D568/H568))/(H568-1), (H580*D580*(1-D569/H569))/(H569-1),(H581*D581*(1-D570/H570))/(H570-1)))</f>
        <v>1.0128059435520533</v>
      </c>
      <c r="E589" s="18">
        <f>E584*E584*(SUM((H577*E577*(1-E566/H566))/(H566-1),(H578*E578*(1-E567/H567))/(H567-1), (H580*E580*(1-E569/H569))/(H569-1),(H581*E581*(1-E570/H570))/(H570-1)))</f>
        <v>198.1544513788603</v>
      </c>
      <c r="F589" s="18">
        <f>F584*F584*(SUM((H577*F577*(1-F566/H566))/(H566-1),(H578*F578*(1-F567/H567))/(H567-1), (H579*F579*(1-F568/H568))/(H568-1),(H581*F581*(1-F570/H570))/(H570-1)))</f>
        <v>142.35624836109719</v>
      </c>
      <c r="G589" s="18">
        <f>G584*G584*(SUM((H577*G577*(1-G566/H566))/(H566-1),(H578*G578*(1-G567/H567))/(H567-1), (H579*G579*(1-G568/H568))/(H568-1),(H580*G580*(1-G569/H569))/(H569-1)))</f>
        <v>248.80417656910123</v>
      </c>
    </row>
    <row r="592" spans="1:16" x14ac:dyDescent="0.3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48"/>
      <c r="B998" s="348"/>
      <c r="C998" s="348"/>
      <c r="D998" s="348"/>
      <c r="E998" s="348"/>
      <c r="F998" s="348"/>
      <c r="G998" s="348"/>
      <c r="H998" s="348"/>
      <c r="I998" s="348"/>
      <c r="J998" s="348"/>
      <c r="K998" s="348"/>
      <c r="L998" s="348"/>
      <c r="M998" s="348"/>
      <c r="N998" s="348"/>
      <c r="O998" s="348"/>
      <c r="P998" s="348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48"/>
      <c r="B1027" s="348"/>
      <c r="C1027" s="348"/>
      <c r="D1027" s="348"/>
      <c r="E1027" s="348"/>
      <c r="F1027" s="348"/>
      <c r="G1027" s="348"/>
      <c r="H1027" s="348"/>
      <c r="I1027" s="348"/>
      <c r="J1027" s="348"/>
      <c r="K1027" s="348"/>
      <c r="L1027" s="348"/>
      <c r="M1027" s="348"/>
      <c r="N1027" s="348"/>
      <c r="O1027" s="348"/>
      <c r="P1027" s="348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48"/>
      <c r="B1056" s="348"/>
      <c r="C1056" s="348"/>
      <c r="D1056" s="348"/>
      <c r="E1056" s="348"/>
      <c r="F1056" s="348"/>
      <c r="G1056" s="348"/>
      <c r="H1056" s="348"/>
      <c r="I1056" s="348"/>
      <c r="J1056" s="348"/>
      <c r="K1056" s="348"/>
      <c r="L1056" s="348"/>
      <c r="M1056" s="348"/>
      <c r="N1056" s="348"/>
      <c r="O1056" s="348"/>
      <c r="P1056" s="348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48"/>
      <c r="B1085" s="348"/>
      <c r="C1085" s="348"/>
      <c r="D1085" s="348"/>
      <c r="E1085" s="348"/>
      <c r="F1085" s="348"/>
      <c r="G1085" s="348"/>
      <c r="H1085" s="348"/>
      <c r="I1085" s="348"/>
      <c r="J1085" s="348"/>
      <c r="K1085" s="348"/>
      <c r="L1085" s="348"/>
      <c r="M1085" s="348"/>
      <c r="N1085" s="348"/>
      <c r="O1085" s="348"/>
      <c r="P1085" s="348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48"/>
      <c r="B1114" s="348"/>
      <c r="C1114" s="348"/>
      <c r="D1114" s="348"/>
      <c r="E1114" s="348"/>
      <c r="F1114" s="348"/>
      <c r="G1114" s="348"/>
      <c r="H1114" s="348"/>
      <c r="I1114" s="348"/>
      <c r="J1114" s="348"/>
      <c r="K1114" s="348"/>
      <c r="L1114" s="348"/>
      <c r="M1114" s="348"/>
      <c r="N1114" s="348"/>
      <c r="O1114" s="348"/>
      <c r="P1114" s="348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48"/>
      <c r="B1143" s="348"/>
      <c r="C1143" s="348"/>
      <c r="D1143" s="348"/>
      <c r="E1143" s="348"/>
      <c r="F1143" s="348"/>
      <c r="G1143" s="348"/>
      <c r="H1143" s="348"/>
      <c r="I1143" s="348"/>
      <c r="J1143" s="348"/>
      <c r="K1143" s="348"/>
      <c r="L1143" s="348"/>
      <c r="M1143" s="348"/>
      <c r="N1143" s="348"/>
      <c r="O1143" s="348"/>
      <c r="P1143" s="348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48"/>
      <c r="B1172" s="348"/>
      <c r="C1172" s="348"/>
      <c r="D1172" s="348"/>
      <c r="E1172" s="348"/>
      <c r="F1172" s="348"/>
      <c r="G1172" s="348"/>
      <c r="H1172" s="348"/>
      <c r="I1172" s="348"/>
      <c r="J1172" s="348"/>
      <c r="K1172" s="348"/>
      <c r="L1172" s="348"/>
      <c r="M1172" s="348"/>
      <c r="N1172" s="348"/>
      <c r="O1172" s="348"/>
      <c r="P1172" s="348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48"/>
      <c r="B1201" s="348"/>
      <c r="C1201" s="348"/>
      <c r="D1201" s="348"/>
      <c r="E1201" s="348"/>
      <c r="F1201" s="348"/>
      <c r="G1201" s="348"/>
      <c r="H1201" s="348"/>
      <c r="I1201" s="348"/>
      <c r="J1201" s="348"/>
      <c r="K1201" s="348"/>
      <c r="L1201" s="348"/>
      <c r="M1201" s="348"/>
      <c r="N1201" s="348"/>
      <c r="O1201" s="348"/>
      <c r="P1201" s="348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48"/>
      <c r="B1230" s="348"/>
      <c r="C1230" s="348"/>
      <c r="D1230" s="348"/>
      <c r="E1230" s="348"/>
      <c r="F1230" s="348"/>
      <c r="G1230" s="348"/>
      <c r="H1230" s="348"/>
      <c r="I1230" s="348"/>
      <c r="J1230" s="348"/>
      <c r="K1230" s="348"/>
      <c r="L1230" s="348"/>
      <c r="M1230" s="348"/>
      <c r="N1230" s="348"/>
      <c r="O1230" s="348"/>
      <c r="P1230" s="348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48"/>
      <c r="B1259" s="348"/>
      <c r="C1259" s="348"/>
      <c r="D1259" s="348"/>
      <c r="E1259" s="348"/>
      <c r="F1259" s="348"/>
      <c r="G1259" s="348"/>
      <c r="H1259" s="348"/>
      <c r="I1259" s="348"/>
      <c r="J1259" s="348"/>
      <c r="K1259" s="348"/>
      <c r="L1259" s="348"/>
      <c r="M1259" s="348"/>
      <c r="N1259" s="348"/>
      <c r="O1259" s="348"/>
      <c r="P1259" s="348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48"/>
      <c r="B1288" s="348"/>
      <c r="C1288" s="348"/>
      <c r="D1288" s="348"/>
      <c r="E1288" s="348"/>
      <c r="F1288" s="348"/>
      <c r="G1288" s="348"/>
      <c r="H1288" s="348"/>
      <c r="I1288" s="348"/>
      <c r="J1288" s="348"/>
      <c r="K1288" s="348"/>
      <c r="L1288" s="348"/>
      <c r="M1288" s="348"/>
      <c r="N1288" s="348"/>
      <c r="O1288" s="348"/>
      <c r="P1288" s="348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48"/>
      <c r="B1317" s="348"/>
      <c r="C1317" s="348"/>
      <c r="D1317" s="348"/>
      <c r="E1317" s="348"/>
      <c r="F1317" s="348"/>
      <c r="G1317" s="348"/>
      <c r="H1317" s="348"/>
      <c r="I1317" s="348"/>
      <c r="J1317" s="348"/>
      <c r="K1317" s="348"/>
      <c r="L1317" s="348"/>
      <c r="M1317" s="348"/>
      <c r="N1317" s="348"/>
      <c r="O1317" s="348"/>
      <c r="P1317" s="348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48"/>
      <c r="B1346" s="348"/>
      <c r="C1346" s="348"/>
      <c r="D1346" s="348"/>
      <c r="E1346" s="348"/>
      <c r="F1346" s="348"/>
      <c r="G1346" s="348"/>
      <c r="H1346" s="348"/>
      <c r="I1346" s="348"/>
      <c r="J1346" s="348"/>
      <c r="K1346" s="348"/>
      <c r="L1346" s="348"/>
      <c r="M1346" s="348"/>
      <c r="N1346" s="348"/>
      <c r="O1346" s="348"/>
      <c r="P1346" s="348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48"/>
      <c r="B1375" s="348"/>
      <c r="C1375" s="348"/>
      <c r="D1375" s="348"/>
      <c r="E1375" s="348"/>
      <c r="F1375" s="348"/>
      <c r="G1375" s="348"/>
      <c r="H1375" s="348"/>
      <c r="I1375" s="348"/>
      <c r="J1375" s="348"/>
      <c r="K1375" s="348"/>
      <c r="L1375" s="348"/>
      <c r="M1375" s="348"/>
      <c r="N1375" s="348"/>
      <c r="O1375" s="348"/>
      <c r="P1375" s="348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48"/>
      <c r="B1404" s="348"/>
      <c r="C1404" s="348"/>
      <c r="D1404" s="348"/>
      <c r="E1404" s="348"/>
      <c r="F1404" s="348"/>
      <c r="G1404" s="348"/>
      <c r="H1404" s="348"/>
      <c r="I1404" s="348"/>
      <c r="J1404" s="348"/>
      <c r="K1404" s="348"/>
      <c r="L1404" s="348"/>
      <c r="M1404" s="348"/>
      <c r="N1404" s="348"/>
      <c r="O1404" s="348"/>
      <c r="P1404" s="348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48"/>
      <c r="B1433" s="348"/>
      <c r="C1433" s="348"/>
      <c r="D1433" s="348"/>
      <c r="E1433" s="348"/>
      <c r="F1433" s="348"/>
      <c r="G1433" s="348"/>
      <c r="H1433" s="348"/>
      <c r="I1433" s="348"/>
      <c r="J1433" s="348"/>
      <c r="K1433" s="348"/>
      <c r="L1433" s="348"/>
      <c r="M1433" s="348"/>
      <c r="N1433" s="348"/>
      <c r="O1433" s="348"/>
      <c r="P1433" s="348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02"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64FF1-9EAD-4EBD-90B2-848B40BDDDEE}">
  <dimension ref="A1:BE1459"/>
  <sheetViews>
    <sheetView topLeftCell="AD93" zoomScale="80" zoomScaleNormal="80" workbookViewId="0">
      <selection activeCell="AL100" sqref="AL100:AP100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</cols>
  <sheetData>
    <row r="1" spans="1:57" x14ac:dyDescent="0.3">
      <c r="A1" s="12"/>
      <c r="B1" s="12" t="s">
        <v>10</v>
      </c>
      <c r="C1" s="12"/>
      <c r="D1" s="12"/>
      <c r="E1" s="12"/>
      <c r="F1" s="12"/>
    </row>
    <row r="2" spans="1:57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AG2" s="51" t="s">
        <v>122</v>
      </c>
      <c r="AH2" s="51" t="s">
        <v>126</v>
      </c>
    </row>
    <row r="3" spans="1:57" x14ac:dyDescent="0.3">
      <c r="A3" s="12" t="s">
        <v>3</v>
      </c>
      <c r="B3" s="103">
        <v>51.51</v>
      </c>
      <c r="C3" s="22">
        <f>B3/$B$8</f>
        <v>7.4793088427472038E-2</v>
      </c>
      <c r="D3" s="85">
        <v>0.01</v>
      </c>
      <c r="E3" s="86">
        <f>D3-C3</f>
        <v>-6.4793088427472043E-2</v>
      </c>
      <c r="F3" s="12"/>
      <c r="G3" t="s">
        <v>46</v>
      </c>
      <c r="AG3" s="51" t="s">
        <v>123</v>
      </c>
      <c r="AH3" s="51" t="s">
        <v>129</v>
      </c>
    </row>
    <row r="4" spans="1:57" x14ac:dyDescent="0.3">
      <c r="A4" s="12" t="s">
        <v>4</v>
      </c>
      <c r="B4" s="103">
        <v>20.98</v>
      </c>
      <c r="C4" s="22">
        <f>B4/$B$8</f>
        <v>3.0463191520255551E-2</v>
      </c>
      <c r="D4" s="85">
        <v>0.01</v>
      </c>
      <c r="E4" s="86">
        <f>D4-C4</f>
        <v>-2.0463191520255553E-2</v>
      </c>
      <c r="F4" s="12"/>
      <c r="G4" t="s">
        <v>635</v>
      </c>
      <c r="AG4" s="51" t="s">
        <v>124</v>
      </c>
      <c r="AH4" s="51" t="s">
        <v>127</v>
      </c>
    </row>
    <row r="5" spans="1:57" x14ac:dyDescent="0.3">
      <c r="A5" s="12" t="s">
        <v>5</v>
      </c>
      <c r="B5" s="103">
        <v>234.23</v>
      </c>
      <c r="C5" s="22">
        <f>B5/$B$8</f>
        <v>0.34010454479454039</v>
      </c>
      <c r="D5" s="85">
        <v>0.42</v>
      </c>
      <c r="E5" s="86">
        <f>D5-C5</f>
        <v>7.9895455205459598E-2</v>
      </c>
      <c r="F5" s="12" t="s">
        <v>45</v>
      </c>
      <c r="AG5" s="51" t="s">
        <v>125</v>
      </c>
      <c r="AH5" s="51" t="s">
        <v>128</v>
      </c>
    </row>
    <row r="6" spans="1:57" x14ac:dyDescent="0.3">
      <c r="A6" s="12" t="s">
        <v>6</v>
      </c>
      <c r="B6" s="103">
        <v>206.92</v>
      </c>
      <c r="C6" s="22">
        <f>B6/$B$8</f>
        <v>0.30045012342093796</v>
      </c>
      <c r="D6" s="85">
        <v>0.35</v>
      </c>
      <c r="E6" s="86">
        <f>D6-C6</f>
        <v>4.9549876579062013E-2</v>
      </c>
      <c r="F6" s="12" t="s">
        <v>45</v>
      </c>
      <c r="I6" s="12"/>
      <c r="J6" s="12" t="s">
        <v>50</v>
      </c>
      <c r="K6" s="12"/>
      <c r="AG6" s="51" t="s">
        <v>150</v>
      </c>
      <c r="AH6" s="51" t="s">
        <v>152</v>
      </c>
    </row>
    <row r="7" spans="1:57" x14ac:dyDescent="0.3">
      <c r="A7" s="12" t="s">
        <v>7</v>
      </c>
      <c r="B7" s="103">
        <v>175.06</v>
      </c>
      <c r="C7" s="22">
        <f>B7/$B$8</f>
        <v>0.25418905183679397</v>
      </c>
      <c r="D7" s="85">
        <v>0.21</v>
      </c>
      <c r="E7" s="86">
        <f>D7-C7</f>
        <v>-4.4189051836793974E-2</v>
      </c>
      <c r="F7" s="12"/>
      <c r="I7" s="12"/>
      <c r="J7" s="12">
        <v>7063</v>
      </c>
      <c r="K7" s="12"/>
      <c r="AG7" s="51" t="s">
        <v>151</v>
      </c>
      <c r="AH7" s="51" t="s">
        <v>153</v>
      </c>
    </row>
    <row r="8" spans="1:57" x14ac:dyDescent="0.3">
      <c r="A8" s="12"/>
      <c r="B8" s="103">
        <f>SUM(B3:B7)</f>
        <v>688.7</v>
      </c>
      <c r="C8" s="61">
        <f>SUM(C3:C7)</f>
        <v>0.99999999999999989</v>
      </c>
      <c r="D8" s="12"/>
      <c r="E8" s="12" t="s">
        <v>16</v>
      </c>
      <c r="F8" s="134">
        <v>81836.97</v>
      </c>
      <c r="I8" s="12" t="s">
        <v>55</v>
      </c>
      <c r="J8" s="12" t="s">
        <v>50</v>
      </c>
      <c r="K8" s="12" t="s">
        <v>54</v>
      </c>
      <c r="AG8" s="51" t="s">
        <v>205</v>
      </c>
      <c r="AH8" s="51" t="s">
        <v>210</v>
      </c>
    </row>
    <row r="9" spans="1:57" x14ac:dyDescent="0.3">
      <c r="A9" s="12"/>
      <c r="B9" s="87">
        <f>B8/0.36</f>
        <v>1913.0555555555557</v>
      </c>
      <c r="C9" s="12" t="s">
        <v>44</v>
      </c>
      <c r="D9" s="12"/>
      <c r="E9" s="12" t="s">
        <v>47</v>
      </c>
      <c r="F9" s="88">
        <f>B8/F8</f>
        <v>8.4155119623808162E-3</v>
      </c>
      <c r="G9" s="46"/>
      <c r="I9" s="12">
        <v>2306</v>
      </c>
      <c r="J9" s="12">
        <v>7044</v>
      </c>
      <c r="K9" s="89">
        <f>(J7-J9)/J7</f>
        <v>2.6900750389352965E-3</v>
      </c>
      <c r="AG9" s="51" t="s">
        <v>206</v>
      </c>
      <c r="AH9" s="51" t="s">
        <v>211</v>
      </c>
    </row>
    <row r="10" spans="1:57" x14ac:dyDescent="0.3">
      <c r="A10" s="129" t="s">
        <v>636</v>
      </c>
      <c r="B10" s="130">
        <v>24756</v>
      </c>
      <c r="F10" s="46"/>
      <c r="I10" s="89">
        <f>I9/(I9+J9)</f>
        <v>0.24663101604278076</v>
      </c>
      <c r="J10" s="89">
        <f>J9/(J9+I9)</f>
        <v>0.7533689839572193</v>
      </c>
      <c r="K10" s="12"/>
      <c r="AG10" s="51" t="s">
        <v>207</v>
      </c>
      <c r="AH10" s="51" t="s">
        <v>212</v>
      </c>
    </row>
    <row r="11" spans="1:57" x14ac:dyDescent="0.3">
      <c r="B11" s="18"/>
      <c r="F11" s="46"/>
      <c r="I11" s="45"/>
      <c r="J11" s="45"/>
      <c r="AG11" s="51" t="s">
        <v>208</v>
      </c>
      <c r="AH11" s="51" t="s">
        <v>213</v>
      </c>
    </row>
    <row r="12" spans="1:57" x14ac:dyDescent="0.3">
      <c r="A12" s="348" t="s">
        <v>378</v>
      </c>
      <c r="B12" s="348"/>
      <c r="C12" s="348"/>
      <c r="D12" s="348"/>
      <c r="E12" s="348"/>
      <c r="F12" s="348"/>
      <c r="G12" s="348"/>
      <c r="H12" s="348"/>
      <c r="I12" s="348"/>
      <c r="J12" s="348"/>
      <c r="K12" s="348"/>
      <c r="L12" s="348" t="s">
        <v>48</v>
      </c>
      <c r="M12" s="348"/>
      <c r="N12" s="348"/>
      <c r="O12" s="348"/>
      <c r="P12" s="348"/>
      <c r="R12" s="47" t="s">
        <v>378</v>
      </c>
      <c r="S12" s="47" t="s">
        <v>633</v>
      </c>
      <c r="T12" s="47"/>
      <c r="U12" s="47"/>
      <c r="V12" s="47"/>
      <c r="W12" s="47"/>
      <c r="X12" s="47"/>
      <c r="Y12" s="47"/>
      <c r="Z12" s="47"/>
      <c r="AA12" s="47"/>
      <c r="AB12" s="47" t="s">
        <v>58</v>
      </c>
      <c r="AC12" s="47"/>
      <c r="AD12" s="47"/>
      <c r="AE12" s="47"/>
      <c r="AF12" s="47"/>
      <c r="AG12" s="51" t="s">
        <v>209</v>
      </c>
      <c r="AH12" s="51" t="s">
        <v>214</v>
      </c>
      <c r="AW12" s="66"/>
      <c r="AX12" s="77" t="s">
        <v>323</v>
      </c>
      <c r="AY12" s="77" t="s">
        <v>326</v>
      </c>
      <c r="AZ12" s="77" t="s">
        <v>324</v>
      </c>
      <c r="BA12" s="77" t="s">
        <v>325</v>
      </c>
      <c r="BB12" s="77" t="s">
        <v>327</v>
      </c>
      <c r="BC12" s="77" t="s">
        <v>328</v>
      </c>
      <c r="BD12" s="77" t="s">
        <v>349</v>
      </c>
      <c r="BE12" s="13"/>
    </row>
    <row r="13" spans="1:57" x14ac:dyDescent="0.3">
      <c r="A13" t="s">
        <v>315</v>
      </c>
      <c r="B13" t="s">
        <v>21</v>
      </c>
      <c r="I13" s="1" t="s">
        <v>53</v>
      </c>
      <c r="AG13" s="51" t="s">
        <v>319</v>
      </c>
      <c r="AH13" s="51" t="s">
        <v>321</v>
      </c>
      <c r="AW13" s="51" t="s">
        <v>126</v>
      </c>
      <c r="AX13" s="80">
        <f>MIN($AE$16:$AE$20)</f>
        <v>0.97174226426276689</v>
      </c>
      <c r="AY13" s="80">
        <f>_xlfn.QUARTILE.EXC($AE$16:$AE$20,1)</f>
        <v>0.97214584495428602</v>
      </c>
      <c r="AZ13" s="80">
        <f>MEDIAN($AE$16:$AE$20)</f>
        <v>0.97439877965502175</v>
      </c>
      <c r="BA13" s="80">
        <f>AVERAGE($AE$16:$AE$20)</f>
        <v>0.97373263771215401</v>
      </c>
      <c r="BB13" s="80">
        <f>_xlfn.QUARTILE.EXC(AE16:AE20,3)</f>
        <v>0.97498635949858814</v>
      </c>
      <c r="BC13" s="80">
        <f>MAX(AE16:AE20)</f>
        <v>0.97542898709176751</v>
      </c>
      <c r="BD13" s="80">
        <f>(BB13-AY13)/AZ13</f>
        <v>2.9151458351659486E-3</v>
      </c>
      <c r="BE13" s="80"/>
    </row>
    <row r="14" spans="1:57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51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320</v>
      </c>
      <c r="AH14" s="51" t="s">
        <v>322</v>
      </c>
      <c r="AW14" s="51" t="s">
        <v>129</v>
      </c>
      <c r="AX14" s="80">
        <f>MIN($AE$16:$AE$25)</f>
        <v>0.96960054930080242</v>
      </c>
      <c r="AY14" s="80">
        <f>_xlfn.QUARTILE.EXC($AE$16:$AE$25,1)</f>
        <v>0.97216903453186654</v>
      </c>
      <c r="AZ14" s="80">
        <f>MEDIAN($AE$16:$AE$25)</f>
        <v>0.97379181611635213</v>
      </c>
      <c r="BA14" s="80">
        <f>AVERAGE($AE$16:$AE$25)</f>
        <v>0.97327602389640711</v>
      </c>
      <c r="BB14" s="80">
        <f>_xlfn.QUARTILE.EXC($AE$16:$AE$25,3)</f>
        <v>0.97455819332444671</v>
      </c>
      <c r="BC14" s="80">
        <f>MAX($AE$16:$AE$25)</f>
        <v>0.97542898709176751</v>
      </c>
      <c r="BD14" s="80">
        <f t="shared" ref="BD14:BD23" si="0">(BB14-AY14)/AZ14</f>
        <v>2.4534595105846577E-3</v>
      </c>
      <c r="BE14" s="80"/>
    </row>
    <row r="15" spans="1:57" x14ac:dyDescent="0.3">
      <c r="A15" t="s">
        <v>3</v>
      </c>
      <c r="B15" s="13">
        <v>0</v>
      </c>
      <c r="C15" s="26">
        <v>344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344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72</v>
      </c>
      <c r="AF15" s="12" t="s">
        <v>29</v>
      </c>
      <c r="AH15" t="s">
        <v>120</v>
      </c>
      <c r="AI15" t="s">
        <v>121</v>
      </c>
      <c r="AW15" s="51" t="s">
        <v>127</v>
      </c>
      <c r="AX15" s="80">
        <f>MIN($AE$16:$AE$35)</f>
        <v>0.96558435546682986</v>
      </c>
      <c r="AY15" s="80">
        <f>_xlfn.QUARTILE.EXC($AE$16:$AE$35,1)</f>
        <v>0.97188452101913347</v>
      </c>
      <c r="AZ15" s="126">
        <f>MEDIAN($AE$16:$AE$35)</f>
        <v>0.97379181611635213</v>
      </c>
      <c r="BA15" s="126">
        <f>AVERAGE($AE$16:$AE$35)</f>
        <v>0.97309772550953844</v>
      </c>
      <c r="BB15" s="80">
        <f>_xlfn.QUARTILE.EXC($AE$16:$AE$35,3)</f>
        <v>0.97458711616252269</v>
      </c>
      <c r="BC15" s="80">
        <f>MAX($AE$16:$AE$35)</f>
        <v>0.97670392231719783</v>
      </c>
      <c r="BD15" s="80">
        <f t="shared" si="0"/>
        <v>2.775331542801037E-3</v>
      </c>
      <c r="BE15" s="80"/>
    </row>
    <row r="16" spans="1:57" x14ac:dyDescent="0.3">
      <c r="A16" t="s">
        <v>4</v>
      </c>
      <c r="B16" s="13">
        <v>1</v>
      </c>
      <c r="C16" s="5">
        <v>0</v>
      </c>
      <c r="D16" s="27">
        <v>48</v>
      </c>
      <c r="E16" s="1">
        <v>0</v>
      </c>
      <c r="F16" s="1">
        <v>0</v>
      </c>
      <c r="G16" s="6">
        <v>0</v>
      </c>
      <c r="H16" s="1">
        <f>SUM(C16:G16)</f>
        <v>48</v>
      </c>
      <c r="I16" s="10">
        <f>D16/H16</f>
        <v>1</v>
      </c>
      <c r="J16" s="11">
        <f>1-I16</f>
        <v>0</v>
      </c>
      <c r="K16">
        <f>H16-D20</f>
        <v>-5</v>
      </c>
      <c r="N16" s="10">
        <f>2*(D21*I16)/(D21+I16)</f>
        <v>0.95049504950495045</v>
      </c>
      <c r="R16" t="s">
        <v>65</v>
      </c>
      <c r="S16" t="s">
        <v>28</v>
      </c>
      <c r="T16" s="57">
        <f t="shared" ref="T16:X19" si="1">C31</f>
        <v>0.40146892046467508</v>
      </c>
      <c r="U16" s="57">
        <f t="shared" si="1"/>
        <v>0.8232080080262475</v>
      </c>
      <c r="V16" s="57">
        <f t="shared" si="1"/>
        <v>62.735391220865161</v>
      </c>
      <c r="W16" s="57">
        <f t="shared" si="1"/>
        <v>32.278883140372848</v>
      </c>
      <c r="X16" s="57">
        <f t="shared" si="1"/>
        <v>3.7610487102710715</v>
      </c>
      <c r="AC16" t="s">
        <v>65</v>
      </c>
      <c r="AD16" s="51">
        <f>I21</f>
        <v>0.91196877710320901</v>
      </c>
      <c r="AE16" s="55">
        <f>I32</f>
        <v>0.97174226426276689</v>
      </c>
      <c r="AF16" s="55">
        <f>J32</f>
        <v>3.977477119690636E-3</v>
      </c>
      <c r="AH16">
        <v>21</v>
      </c>
      <c r="AI16">
        <v>32</v>
      </c>
      <c r="AW16" s="51" t="s">
        <v>128</v>
      </c>
      <c r="AX16" s="80">
        <f>MIN($AE$16:$AE$45)</f>
        <v>0.96558435546682986</v>
      </c>
      <c r="AY16" s="80">
        <f>_xlfn.QUARTILE.EXC($AE$16:$AE$45,1)</f>
        <v>0.97188452101913347</v>
      </c>
      <c r="AZ16" s="80">
        <f>MEDIAN($AE$16:$AE$45)</f>
        <v>0.97379181611635213</v>
      </c>
      <c r="BA16" s="80">
        <f>AVERAGE($AE$16:$AE$45)</f>
        <v>0.97309772550953844</v>
      </c>
      <c r="BB16" s="80">
        <f>_xlfn.QUARTILE.EXC($AE$16:$AE$45,3)</f>
        <v>0.97458711616252269</v>
      </c>
      <c r="BC16" s="80">
        <f>MAX($AE$16:$AE$45)</f>
        <v>0.97670392231719783</v>
      </c>
      <c r="BD16" s="80">
        <f t="shared" si="0"/>
        <v>2.775331542801037E-3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0</v>
      </c>
      <c r="E17" s="27">
        <v>713</v>
      </c>
      <c r="F17" s="1">
        <v>5</v>
      </c>
      <c r="G17" s="6">
        <v>0</v>
      </c>
      <c r="H17" s="1">
        <f>SUM(C17:G17)</f>
        <v>718</v>
      </c>
      <c r="I17" s="10">
        <f>E17/H17</f>
        <v>0.99303621169916434</v>
      </c>
      <c r="J17" s="11">
        <f>1-I17</f>
        <v>6.9637883008356605E-3</v>
      </c>
      <c r="K17">
        <f>H17-E20</f>
        <v>-150</v>
      </c>
      <c r="N17" s="10">
        <f>2*(E21*I17)/(E21+I17)</f>
        <v>0.89911727616645643</v>
      </c>
      <c r="S17" s="66" t="s">
        <v>39</v>
      </c>
      <c r="T17" s="67">
        <f t="shared" si="1"/>
        <v>0</v>
      </c>
      <c r="U17" s="67">
        <f t="shared" si="1"/>
        <v>1.1231876155300271E-2</v>
      </c>
      <c r="V17" s="67">
        <f t="shared" si="1"/>
        <v>0.32612122369258434</v>
      </c>
      <c r="W17" s="67">
        <f t="shared" si="1"/>
        <v>0.3937649549278805</v>
      </c>
      <c r="X17" s="67">
        <f t="shared" si="1"/>
        <v>0.23925224219258751</v>
      </c>
      <c r="AC17" t="s">
        <v>66</v>
      </c>
      <c r="AD17" s="51">
        <f>I50</f>
        <v>0.9132697311361665</v>
      </c>
      <c r="AE17" s="55">
        <f>I61</f>
        <v>0.97454373190540866</v>
      </c>
      <c r="AF17" s="55">
        <f>J61</f>
        <v>3.7229316717568785E-3</v>
      </c>
      <c r="AH17">
        <v>50</v>
      </c>
      <c r="AI17">
        <v>61</v>
      </c>
      <c r="AW17" s="51" t="s">
        <v>152</v>
      </c>
      <c r="AX17" s="80">
        <f>MIN($AE$16:$AE$55)</f>
        <v>0.96558435546682986</v>
      </c>
      <c r="AY17" s="80">
        <f>_xlfn.QUARTILE.EXC($AE$16:$AE$55,1)</f>
        <v>0.97188452101913347</v>
      </c>
      <c r="AZ17" s="80">
        <f>MEDIAN($AE$16:$AE$55)</f>
        <v>0.97379181611635213</v>
      </c>
      <c r="BA17" s="80">
        <f>AVERAGE($AE$16:$AE$55)</f>
        <v>0.97309772550953844</v>
      </c>
      <c r="BB17" s="80">
        <f>_xlfn.QUARTILE.EXC($AE$16:$AE$55,3)</f>
        <v>0.97458711616252269</v>
      </c>
      <c r="BC17" s="80">
        <f>MAX($AE$16:$AE$55)</f>
        <v>0.97670392231719783</v>
      </c>
      <c r="BD17" s="80">
        <f t="shared" si="0"/>
        <v>2.775331542801037E-3</v>
      </c>
      <c r="BE17" s="80"/>
    </row>
    <row r="18" spans="1:57" x14ac:dyDescent="0.3">
      <c r="A18" t="s">
        <v>6</v>
      </c>
      <c r="B18" s="13">
        <v>3</v>
      </c>
      <c r="C18" s="5">
        <v>0</v>
      </c>
      <c r="D18" s="1">
        <v>0</v>
      </c>
      <c r="E18" s="1">
        <v>10</v>
      </c>
      <c r="F18" s="27">
        <v>383</v>
      </c>
      <c r="G18" s="6">
        <v>8</v>
      </c>
      <c r="H18" s="1">
        <f>SUM(C18:G18)</f>
        <v>401</v>
      </c>
      <c r="I18" s="10">
        <f>F18/H18</f>
        <v>0.95511221945137159</v>
      </c>
      <c r="J18" s="11">
        <f>1-I18</f>
        <v>4.4887780548628409E-2</v>
      </c>
      <c r="K18">
        <f>H18-F20</f>
        <v>-17</v>
      </c>
      <c r="N18" s="10">
        <f>2*(F21*I18)/(F21+I18)</f>
        <v>0.93528693528693529</v>
      </c>
      <c r="S18" s="70" t="s">
        <v>30</v>
      </c>
      <c r="T18" s="64">
        <f t="shared" si="1"/>
        <v>100</v>
      </c>
      <c r="U18" s="64">
        <f t="shared" si="1"/>
        <v>96.939462250763114</v>
      </c>
      <c r="V18" s="64">
        <f t="shared" si="1"/>
        <v>97.516098129897969</v>
      </c>
      <c r="W18" s="64">
        <f t="shared" si="1"/>
        <v>98.202603511078181</v>
      </c>
      <c r="X18" s="64">
        <f t="shared" si="1"/>
        <v>82.395497508563693</v>
      </c>
      <c r="AC18" t="s">
        <v>67</v>
      </c>
      <c r="AD18" s="51">
        <f>I79</f>
        <v>0.91370338248048566</v>
      </c>
      <c r="AE18" s="55">
        <f>I90</f>
        <v>0.97439877965502175</v>
      </c>
      <c r="AF18" s="55">
        <f>J90</f>
        <v>3.7339069804284632E-3</v>
      </c>
      <c r="AH18">
        <v>79</v>
      </c>
      <c r="AI18">
        <v>90</v>
      </c>
      <c r="AW18" s="51" t="s">
        <v>153</v>
      </c>
      <c r="AX18" s="80">
        <f>MIN($AE$16:$AE$65)</f>
        <v>0.96558435546682986</v>
      </c>
      <c r="AY18" s="80">
        <f>_xlfn.QUARTILE.EXC($AE$16:$AE$65,1)</f>
        <v>0.97188452101913347</v>
      </c>
      <c r="AZ18" s="80">
        <f>MEDIAN($AE$16:$AE$65)</f>
        <v>0.97379181611635213</v>
      </c>
      <c r="BA18" s="80">
        <f>AVERAGE($AE$16:$AE$65)</f>
        <v>0.97309772550953844</v>
      </c>
      <c r="BB18" s="80">
        <f>_xlfn.QUARTILE.EXC($AE$16:$AE$65,3)</f>
        <v>0.97458711616252269</v>
      </c>
      <c r="BC18" s="80">
        <f>MAX($AE$16:$AE$65)</f>
        <v>0.97670392231719783</v>
      </c>
      <c r="BD18" s="80">
        <f t="shared" si="0"/>
        <v>2.775331542801037E-3</v>
      </c>
      <c r="BE18" s="80"/>
    </row>
    <row r="19" spans="1:57" x14ac:dyDescent="0.3">
      <c r="A19" t="s">
        <v>7</v>
      </c>
      <c r="B19" s="13">
        <v>4</v>
      </c>
      <c r="C19" s="7">
        <v>0</v>
      </c>
      <c r="D19" s="8">
        <v>5</v>
      </c>
      <c r="E19" s="8">
        <v>145</v>
      </c>
      <c r="F19" s="8">
        <v>30</v>
      </c>
      <c r="G19" s="28">
        <v>615</v>
      </c>
      <c r="H19" s="1">
        <f>SUM(C19:G19)</f>
        <v>795</v>
      </c>
      <c r="I19" s="10">
        <f>G19/H19</f>
        <v>0.77358490566037741</v>
      </c>
      <c r="J19" s="11">
        <f>1-I19</f>
        <v>0.22641509433962259</v>
      </c>
      <c r="K19">
        <f>H19-G20</f>
        <v>172</v>
      </c>
      <c r="N19" s="10">
        <f>2*(G21*I19)/(G21+I19)</f>
        <v>0.86741889985895626</v>
      </c>
      <c r="S19" s="66" t="s">
        <v>39</v>
      </c>
      <c r="T19" s="67">
        <f t="shared" si="1"/>
        <v>0</v>
      </c>
      <c r="U19" s="67">
        <f t="shared" si="1"/>
        <v>1.3234777335574361</v>
      </c>
      <c r="V19" s="67">
        <f t="shared" si="1"/>
        <v>0.41809363493974167</v>
      </c>
      <c r="W19" s="67">
        <f t="shared" si="1"/>
        <v>0.61822494046326448</v>
      </c>
      <c r="X19" s="67">
        <f t="shared" si="1"/>
        <v>5.796219015740899</v>
      </c>
      <c r="AC19" t="s">
        <v>68</v>
      </c>
      <c r="AD19" s="51">
        <f>I108</f>
        <v>0.91673894189071992</v>
      </c>
      <c r="AE19" s="73">
        <f>I119</f>
        <v>0.97542898709176751</v>
      </c>
      <c r="AF19" s="73">
        <f>J119</f>
        <v>3.5949152407322386E-3</v>
      </c>
      <c r="AH19">
        <v>108</v>
      </c>
      <c r="AI19">
        <v>119</v>
      </c>
      <c r="AW19" s="51" t="s">
        <v>210</v>
      </c>
      <c r="AX19" s="80">
        <f>MIN($AE$16:$AE$75)</f>
        <v>0.96558435546682986</v>
      </c>
      <c r="AY19" s="80">
        <f>_xlfn.QUARTILE.EXC($AE$16:$AE$75,1)</f>
        <v>0.97188452101913347</v>
      </c>
      <c r="AZ19" s="80">
        <f>MEDIAN($AE$16:$AE$75)</f>
        <v>0.97379181611635213</v>
      </c>
      <c r="BA19" s="80">
        <f>AVERAGE($AE$16:$AE$75)</f>
        <v>0.97309772550953844</v>
      </c>
      <c r="BB19" s="80">
        <f>_xlfn.QUARTILE.EXC($AE$16:$AE$75,3)</f>
        <v>0.97458711616252269</v>
      </c>
      <c r="BC19" s="80">
        <f>MAX($AE$16:$AE$75)</f>
        <v>0.97670392231719783</v>
      </c>
      <c r="BD19" s="80">
        <f t="shared" si="0"/>
        <v>2.775331542801037E-3</v>
      </c>
      <c r="BE19" s="80"/>
    </row>
    <row r="20" spans="1:57" ht="15.6" x14ac:dyDescent="0.35">
      <c r="B20" s="1" t="s">
        <v>19</v>
      </c>
      <c r="C20" s="1">
        <f>SUM(C15:C19)</f>
        <v>344</v>
      </c>
      <c r="D20" s="1">
        <f>SUM(D15:D19)</f>
        <v>53</v>
      </c>
      <c r="E20" s="1">
        <f>SUM(E15:E19)</f>
        <v>868</v>
      </c>
      <c r="F20" s="1">
        <f>SUM(F15:F19)</f>
        <v>418</v>
      </c>
      <c r="G20" s="1">
        <f>SUM(G15:G19)</f>
        <v>623</v>
      </c>
      <c r="H20" s="1">
        <f>SUM(H14:H19)</f>
        <v>2306</v>
      </c>
      <c r="I20" s="13" t="s">
        <v>12</v>
      </c>
      <c r="N20" s="16"/>
      <c r="S20" s="70" t="s">
        <v>31</v>
      </c>
      <c r="T20" s="64">
        <f>I26</f>
        <v>100</v>
      </c>
      <c r="U20" s="64">
        <f>I27</f>
        <v>100</v>
      </c>
      <c r="V20" s="64">
        <f>I28</f>
        <v>99.30362116991644</v>
      </c>
      <c r="W20" s="64">
        <f>I29</f>
        <v>95.511221945137166</v>
      </c>
      <c r="X20" s="64">
        <f>I30</f>
        <v>77.358490566037744</v>
      </c>
      <c r="AC20" t="s">
        <v>71</v>
      </c>
      <c r="AD20" s="51">
        <f>I137</f>
        <v>0.91283607979184733</v>
      </c>
      <c r="AE20" s="73">
        <f>I148</f>
        <v>0.97254942564580515</v>
      </c>
      <c r="AF20" s="73">
        <f>J148</f>
        <v>3.8968071229292921E-3</v>
      </c>
      <c r="AH20">
        <v>137</v>
      </c>
      <c r="AI20">
        <v>148</v>
      </c>
      <c r="AW20" s="51" t="s">
        <v>211</v>
      </c>
      <c r="AX20" s="80">
        <f>MIN($AE$16:$AE$85)</f>
        <v>0.96558435546682986</v>
      </c>
      <c r="AY20" s="80">
        <f>_xlfn.QUARTILE.EXC($AE$16:$AE$85,1)</f>
        <v>0.97188452101913347</v>
      </c>
      <c r="AZ20" s="80">
        <f>MEDIAN($AE$16:$AE$85)</f>
        <v>0.97379181611635213</v>
      </c>
      <c r="BA20" s="80">
        <f>AVERAGE($AE$16:$AE$85)</f>
        <v>0.97309772550953844</v>
      </c>
      <c r="BB20" s="80">
        <f>_xlfn.QUARTILE.EXC($AE$16:$AE$85,3)</f>
        <v>0.97458711616252269</v>
      </c>
      <c r="BC20" s="80">
        <f>MAX($AE$16:$AE$85)</f>
        <v>0.97670392231719783</v>
      </c>
      <c r="BD20" s="80">
        <f t="shared" si="0"/>
        <v>2.775331542801037E-3</v>
      </c>
      <c r="BE20" s="80"/>
    </row>
    <row r="21" spans="1:57" x14ac:dyDescent="0.3">
      <c r="A21" s="1" t="s">
        <v>316</v>
      </c>
      <c r="B21" s="1" t="s">
        <v>2</v>
      </c>
      <c r="C21" s="10">
        <f>C15/C20</f>
        <v>1</v>
      </c>
      <c r="D21" s="10">
        <f>D16/D20</f>
        <v>0.90566037735849059</v>
      </c>
      <c r="E21" s="10">
        <f>E17/E20</f>
        <v>0.8214285714285714</v>
      </c>
      <c r="F21" s="10">
        <f>F18/F20</f>
        <v>0.91626794258373201</v>
      </c>
      <c r="G21" s="10">
        <f>G19/G20</f>
        <v>0.9871589085072231</v>
      </c>
      <c r="H21" s="10"/>
      <c r="I21" s="14">
        <f>(C15+D16+E17+F18+G19)/H20</f>
        <v>0.91196877710320901</v>
      </c>
      <c r="S21" s="66" t="s">
        <v>39</v>
      </c>
      <c r="T21" s="67">
        <f>J26</f>
        <v>0</v>
      </c>
      <c r="U21" s="67">
        <f>J27</f>
        <v>0</v>
      </c>
      <c r="V21" s="67">
        <f>J28</f>
        <v>0.31056016230667621</v>
      </c>
      <c r="W21" s="67">
        <f>J29</f>
        <v>1.0352882171893791</v>
      </c>
      <c r="X21" s="67">
        <f>J30</f>
        <v>1.4852392940667265</v>
      </c>
      <c r="AC21" t="s">
        <v>93</v>
      </c>
      <c r="AD21" s="51">
        <f>I166</f>
        <v>0.91413703382480482</v>
      </c>
      <c r="AE21" s="55">
        <f>I177</f>
        <v>0.97460157758156074</v>
      </c>
      <c r="AF21" s="55">
        <f>J177</f>
        <v>3.7002531333639216E-3</v>
      </c>
      <c r="AH21">
        <v>166</v>
      </c>
      <c r="AI21">
        <v>177</v>
      </c>
      <c r="AW21" s="51" t="s">
        <v>212</v>
      </c>
      <c r="AX21" s="80">
        <f>MIN($AE$16:$AE$95)</f>
        <v>0.96558435546682986</v>
      </c>
      <c r="AY21" s="80">
        <f>_xlfn.QUARTILE.EXC($AE$16:$AE$95,1)</f>
        <v>0.97188452101913347</v>
      </c>
      <c r="AZ21" s="80">
        <f>MEDIAN($AE$16:$AE$95)</f>
        <v>0.97379181611635213</v>
      </c>
      <c r="BA21" s="80">
        <f>AVERAGE($AE$16:$AE$95)</f>
        <v>0.97309772550953844</v>
      </c>
      <c r="BB21" s="80">
        <f>_xlfn.QUARTILE.EXC($AE$16:$AE$95,3)</f>
        <v>0.97458711616252269</v>
      </c>
      <c r="BC21" s="80">
        <f>MAX($AE$16:$AE$95)</f>
        <v>0.97670392231719783</v>
      </c>
      <c r="BD21" s="80">
        <f t="shared" si="0"/>
        <v>2.775331542801037E-3</v>
      </c>
      <c r="BE21" s="80"/>
    </row>
    <row r="22" spans="1:57" x14ac:dyDescent="0.3">
      <c r="B22" s="1" t="s">
        <v>14</v>
      </c>
      <c r="C22" s="11">
        <f>1-C21</f>
        <v>0</v>
      </c>
      <c r="D22" s="11">
        <f>1-D21</f>
        <v>9.4339622641509413E-2</v>
      </c>
      <c r="E22" s="11">
        <f>1-E21</f>
        <v>0.1785714285714286</v>
      </c>
      <c r="F22" s="11">
        <f>1-F21</f>
        <v>8.3732057416267991E-2</v>
      </c>
      <c r="G22" s="11">
        <f>1-G21</f>
        <v>1.2841091492776902E-2</v>
      </c>
      <c r="S22" s="68" t="s">
        <v>51</v>
      </c>
      <c r="T22" s="65">
        <f>N15*100</f>
        <v>100</v>
      </c>
      <c r="U22" s="65">
        <f>N16*100</f>
        <v>95.049504950495049</v>
      </c>
      <c r="V22" s="65">
        <f>N17*100</f>
        <v>89.911727616645649</v>
      </c>
      <c r="W22" s="65">
        <f>N18*100</f>
        <v>93.528693528693523</v>
      </c>
      <c r="X22" s="65">
        <f>N19*100</f>
        <v>86.741889985895625</v>
      </c>
      <c r="Y22" s="46"/>
      <c r="Z22" s="46"/>
      <c r="AA22" s="46"/>
      <c r="AC22" t="s">
        <v>94</v>
      </c>
      <c r="AD22" s="51">
        <f>I195</f>
        <v>0.91196877710320901</v>
      </c>
      <c r="AE22" s="55">
        <f>I206</f>
        <v>0.97231129128823313</v>
      </c>
      <c r="AF22" s="55">
        <f>J206</f>
        <v>3.8975462439683906E-3</v>
      </c>
      <c r="AH22">
        <v>195</v>
      </c>
      <c r="AI22">
        <v>206</v>
      </c>
      <c r="AW22" s="51" t="s">
        <v>213</v>
      </c>
      <c r="AX22" s="80">
        <f>MIN($AE$16:$AE$105)</f>
        <v>0.96558435546682986</v>
      </c>
      <c r="AY22" s="80">
        <f>_xlfn.QUARTILE.EXC($AE$16:$AE$105,1)</f>
        <v>0.97188452101913347</v>
      </c>
      <c r="AZ22" s="80">
        <f>MEDIAN($AE$16:$AE$105)</f>
        <v>0.97379181611635213</v>
      </c>
      <c r="BA22" s="80">
        <f>AVERAGE($AE$16:$AE$105)</f>
        <v>0.97309772550953844</v>
      </c>
      <c r="BB22" s="80">
        <f>_xlfn.QUARTILE.EXC($AE$16:$AE$105,3)</f>
        <v>0.97458711616252269</v>
      </c>
      <c r="BC22" s="80">
        <f>MAX($AE$16:$AE$105)</f>
        <v>0.97670392231719783</v>
      </c>
      <c r="BD22" s="80">
        <f t="shared" si="0"/>
        <v>2.775331542801037E-3</v>
      </c>
      <c r="BE22" s="80"/>
    </row>
    <row r="23" spans="1:57" x14ac:dyDescent="0.3">
      <c r="C23" s="2"/>
      <c r="R23" s="16" t="s">
        <v>61</v>
      </c>
      <c r="S23" t="s">
        <v>9</v>
      </c>
      <c r="T23" s="30">
        <f>N26</f>
        <v>328.55</v>
      </c>
      <c r="U23" s="30">
        <f>N27</f>
        <v>653.07000000000005</v>
      </c>
      <c r="V23" s="30">
        <f>N28</f>
        <v>50416.58</v>
      </c>
      <c r="W23" s="30">
        <f>N29</f>
        <v>27160.43</v>
      </c>
      <c r="X23" s="30">
        <f>N30</f>
        <v>3278.34</v>
      </c>
      <c r="Z23" t="s">
        <v>36</v>
      </c>
      <c r="AA23" s="1">
        <f>N31</f>
        <v>81836.97</v>
      </c>
      <c r="AC23" t="s">
        <v>95</v>
      </c>
      <c r="AD23" s="51">
        <f>I224</f>
        <v>0.91283607979184733</v>
      </c>
      <c r="AE23" s="55">
        <f>I235</f>
        <v>0.97369125559416958</v>
      </c>
      <c r="AF23" s="55">
        <f>J235</f>
        <v>3.8392109002493209E-3</v>
      </c>
      <c r="AH23">
        <v>224</v>
      </c>
      <c r="AI23">
        <v>235</v>
      </c>
      <c r="AW23" s="51" t="s">
        <v>214</v>
      </c>
      <c r="AX23" s="80">
        <f>MIN($AE$16:$AE$115)</f>
        <v>0.96558435546682986</v>
      </c>
      <c r="AY23" s="80">
        <f>_xlfn.QUARTILE.EXC($AE$16:$AE$115,1)</f>
        <v>0.97188452101913347</v>
      </c>
      <c r="AZ23" s="126">
        <f>MEDIAN($AE$16:$AE$115)</f>
        <v>0.97379181611635213</v>
      </c>
      <c r="BA23" s="126">
        <f>AVERAGE($AE$16:$AE$115)</f>
        <v>0.97309772550953844</v>
      </c>
      <c r="BB23" s="80">
        <f>_xlfn.QUARTILE.EXC($AE$16:$AE$115,3)</f>
        <v>0.97458711616252269</v>
      </c>
      <c r="BC23" s="80">
        <f>MAX($AE$16:$AE$115)</f>
        <v>0.97670392231719783</v>
      </c>
      <c r="BD23" s="80">
        <f t="shared" si="0"/>
        <v>2.775331542801037E-3</v>
      </c>
      <c r="BE23" s="80"/>
    </row>
    <row r="24" spans="1:57" ht="15.6" x14ac:dyDescent="0.35">
      <c r="A24" t="s">
        <v>317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318</v>
      </c>
      <c r="S24" t="s">
        <v>63</v>
      </c>
      <c r="T24" s="57">
        <f>$AA23*T16/100</f>
        <v>328.55</v>
      </c>
      <c r="U24" s="57">
        <f>$AA23*U16/100</f>
        <v>673.68849056603779</v>
      </c>
      <c r="V24" s="57">
        <f>$AA23*V16/100</f>
        <v>51340.743292802057</v>
      </c>
      <c r="W24" s="57">
        <f>$AA23*W16/100</f>
        <v>26416.059911921984</v>
      </c>
      <c r="X24" s="57">
        <f>$AA23*X16/100</f>
        <v>3077.9283047099239</v>
      </c>
      <c r="Z24" t="s">
        <v>36</v>
      </c>
      <c r="AA24" s="25">
        <f>SUM(T24:X24)</f>
        <v>81836.97</v>
      </c>
      <c r="AC24" t="s">
        <v>96</v>
      </c>
      <c r="AD24" s="51">
        <f>I253</f>
        <v>0.896357328707719</v>
      </c>
      <c r="AE24" s="55">
        <f>I264</f>
        <v>0.96960054930080242</v>
      </c>
      <c r="AF24" s="55">
        <f>J264</f>
        <v>4.1243092388433293E-3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62</v>
      </c>
      <c r="T25" s="67">
        <f>$AA23*T17/100</f>
        <v>0</v>
      </c>
      <c r="U25" s="67">
        <f>$AA23*U17/100</f>
        <v>9.1918271196502364</v>
      </c>
      <c r="V25" s="67">
        <f>$AA23*V17/100</f>
        <v>266.88772799693311</v>
      </c>
      <c r="W25" s="67">
        <f>$AA23*W17/100</f>
        <v>322.24530803484305</v>
      </c>
      <c r="X25" s="67">
        <f>$AA23*X17/100</f>
        <v>195.79678566747521</v>
      </c>
      <c r="AA25" s="1"/>
      <c r="AC25" t="s">
        <v>97</v>
      </c>
      <c r="AD25" s="51">
        <f>I282</f>
        <v>0.91760624457935824</v>
      </c>
      <c r="AE25" s="55">
        <f>I293</f>
        <v>0.97389237663853467</v>
      </c>
      <c r="AF25" s="55">
        <f>J293</f>
        <v>3.7784011815877039E-3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0.40146892046467508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0.40146892046467508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344</v>
      </c>
      <c r="M26">
        <v>0</v>
      </c>
      <c r="N26" s="1">
        <v>328.55</v>
      </c>
      <c r="O26" s="17">
        <f>N26/N31*100</f>
        <v>0.40146892046467508</v>
      </c>
      <c r="P26" s="52">
        <f>((O26*O26*(I26/100)*(K26/100))/(L26-1))</f>
        <v>0</v>
      </c>
      <c r="R26" t="s">
        <v>66</v>
      </c>
      <c r="S26" s="70" t="s">
        <v>28</v>
      </c>
      <c r="T26" s="64">
        <f t="shared" ref="T26:X29" si="3">C60</f>
        <v>0.41136664761659669</v>
      </c>
      <c r="U26" s="64">
        <f t="shared" si="3"/>
        <v>0.95374734864466404</v>
      </c>
      <c r="V26" s="64">
        <f t="shared" si="3"/>
        <v>62.682467574485052</v>
      </c>
      <c r="W26" s="64">
        <f t="shared" si="3"/>
        <v>32.390665113116697</v>
      </c>
      <c r="X26" s="64">
        <f t="shared" si="3"/>
        <v>3.561753316136969</v>
      </c>
      <c r="Y26" s="13"/>
      <c r="Z26" s="74"/>
      <c r="AA26" s="12"/>
      <c r="AC26" t="s">
        <v>98</v>
      </c>
      <c r="AD26" s="51">
        <f>I311</f>
        <v>0.91457068516912399</v>
      </c>
      <c r="AE26" s="55">
        <f>I322</f>
        <v>0.9695489186500762</v>
      </c>
      <c r="AF26" s="55">
        <f>J322</f>
        <v>4.19629607426447E-3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0.79801341618586319</v>
      </c>
      <c r="E27" s="19">
        <f t="shared" si="2"/>
        <v>0</v>
      </c>
      <c r="F27" s="18">
        <f t="shared" si="2"/>
        <v>0</v>
      </c>
      <c r="G27" s="20">
        <f t="shared" si="2"/>
        <v>0</v>
      </c>
      <c r="H27" s="17">
        <f>SUM(C27:G27)</f>
        <v>0.79801341618586319</v>
      </c>
      <c r="I27" s="17">
        <f>D27/H27*100</f>
        <v>100</v>
      </c>
      <c r="J27" s="17">
        <f>SQRT(I27*(100-I27)/(L27-1))</f>
        <v>0</v>
      </c>
      <c r="K27" s="18">
        <f>100-I27</f>
        <v>0</v>
      </c>
      <c r="L27" s="1">
        <f>H16</f>
        <v>48</v>
      </c>
      <c r="M27">
        <v>1</v>
      </c>
      <c r="N27" s="1">
        <v>653.07000000000005</v>
      </c>
      <c r="O27" s="17">
        <f>N27/N31*100</f>
        <v>0.79801341618586319</v>
      </c>
      <c r="P27" s="52">
        <f>((O27*O27*(I27/100)*(K27/100))/(L27-1))</f>
        <v>0</v>
      </c>
      <c r="S27" s="66" t="s">
        <v>39</v>
      </c>
      <c r="T27" s="67">
        <f t="shared" si="3"/>
        <v>0</v>
      </c>
      <c r="U27" s="67">
        <f t="shared" si="3"/>
        <v>8.3403373776246667E-2</v>
      </c>
      <c r="V27" s="67">
        <f t="shared" si="3"/>
        <v>0.29314825994773902</v>
      </c>
      <c r="W27" s="67">
        <f t="shared" si="3"/>
        <v>0.36822163306098354</v>
      </c>
      <c r="X27" s="67">
        <f t="shared" si="3"/>
        <v>0.22597866691704835</v>
      </c>
      <c r="AC27" t="s">
        <v>99</v>
      </c>
      <c r="AD27" s="51">
        <f>I340</f>
        <v>0.90893321769297486</v>
      </c>
      <c r="AE27" s="55">
        <f>I351</f>
        <v>0.97330800910904258</v>
      </c>
      <c r="AF27" s="55">
        <f>J351</f>
        <v>3.8321686647117071E-3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0</v>
      </c>
      <c r="E28" s="34">
        <f t="shared" si="2"/>
        <v>61.177105665114262</v>
      </c>
      <c r="F28" s="19">
        <f t="shared" si="2"/>
        <v>0.42901196118593449</v>
      </c>
      <c r="G28" s="20">
        <f t="shared" si="2"/>
        <v>0</v>
      </c>
      <c r="H28" s="17">
        <f>SUM(C28:G28)</f>
        <v>61.606117626300197</v>
      </c>
      <c r="I28" s="17">
        <f>E28/H28*100</f>
        <v>99.30362116991644</v>
      </c>
      <c r="J28" s="17">
        <f>SQRT(I28*(100-I28)/(L28-1))</f>
        <v>0.31056016230667621</v>
      </c>
      <c r="K28" s="18">
        <f>100-I28</f>
        <v>0.69637883008356027</v>
      </c>
      <c r="L28" s="1">
        <f>H17</f>
        <v>718</v>
      </c>
      <c r="M28">
        <v>2</v>
      </c>
      <c r="N28" s="1">
        <v>50416.58</v>
      </c>
      <c r="O28" s="17">
        <f>N28/N31*100</f>
        <v>61.606117626300197</v>
      </c>
      <c r="P28" s="52">
        <f>((O28*O28*(I28/100)*(K28/100))/(L28-1))</f>
        <v>3.6604895510557352E-2</v>
      </c>
      <c r="S28" t="s">
        <v>30</v>
      </c>
      <c r="T28" s="57">
        <f t="shared" si="3"/>
        <v>100</v>
      </c>
      <c r="U28" s="57">
        <f t="shared" si="3"/>
        <v>90.751278264750141</v>
      </c>
      <c r="V28" s="57">
        <f t="shared" si="3"/>
        <v>97.61327406072084</v>
      </c>
      <c r="W28" s="57">
        <f t="shared" si="3"/>
        <v>98.833643481963122</v>
      </c>
      <c r="X28" s="57">
        <f t="shared" si="3"/>
        <v>83.615709102622631</v>
      </c>
      <c r="AC28" t="s">
        <v>100</v>
      </c>
      <c r="AD28" s="51">
        <f>I369</f>
        <v>0.92064180398959239</v>
      </c>
      <c r="AE28" s="55">
        <f>I380</f>
        <v>0.97670392231719783</v>
      </c>
      <c r="AF28" s="55">
        <f>J380</f>
        <v>3.4697185689131272E-3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0</v>
      </c>
      <c r="E29" s="19">
        <f t="shared" si="2"/>
        <v>0.82764239237975479</v>
      </c>
      <c r="F29" s="34">
        <f t="shared" si="2"/>
        <v>31.69870362814461</v>
      </c>
      <c r="G29" s="20">
        <f t="shared" si="2"/>
        <v>0.66211391390380381</v>
      </c>
      <c r="H29" s="17">
        <f>SUM(C29:G29)</f>
        <v>33.188459934428167</v>
      </c>
      <c r="I29" s="17">
        <f>F29/H29*100</f>
        <v>95.511221945137166</v>
      </c>
      <c r="J29" s="17">
        <f>SQRT(I29*(100-I29)/(L29-1))</f>
        <v>1.0352882171893791</v>
      </c>
      <c r="K29" s="18">
        <f>100-I29</f>
        <v>4.4887780548628342</v>
      </c>
      <c r="L29" s="1">
        <f>H18</f>
        <v>401</v>
      </c>
      <c r="M29">
        <v>3</v>
      </c>
      <c r="N29" s="1">
        <v>27160.43</v>
      </c>
      <c r="O29" s="17">
        <f>N29/N31*100</f>
        <v>33.188459934428167</v>
      </c>
      <c r="P29" s="52">
        <f>((O29*O29*(I29/100)*(K29/100))/(L29-1))</f>
        <v>0.11805835907760465</v>
      </c>
      <c r="S29" s="66" t="s">
        <v>39</v>
      </c>
      <c r="T29" s="67">
        <f t="shared" si="3"/>
        <v>0</v>
      </c>
      <c r="U29" s="67">
        <f t="shared" si="3"/>
        <v>7.9459222638273816</v>
      </c>
      <c r="V29" s="67">
        <f t="shared" si="3"/>
        <v>0.39862526020908834</v>
      </c>
      <c r="W29" s="67">
        <f t="shared" si="3"/>
        <v>0.47326005136989069</v>
      </c>
      <c r="X29" s="67">
        <f t="shared" si="3"/>
        <v>5.7730830177175454</v>
      </c>
      <c r="AC29" t="s">
        <v>101</v>
      </c>
      <c r="AD29" s="51">
        <f>I398</f>
        <v>0.91153512575888984</v>
      </c>
      <c r="AE29" s="55">
        <f>I409</f>
        <v>0.97417004340578328</v>
      </c>
      <c r="AF29" s="55">
        <f>J409</f>
        <v>3.7700644474782125E-3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2.5194591840384289E-2</v>
      </c>
      <c r="E30" s="21">
        <f t="shared" si="2"/>
        <v>0.73064316337114432</v>
      </c>
      <c r="F30" s="21">
        <f t="shared" si="2"/>
        <v>0.15116755104230573</v>
      </c>
      <c r="G30" s="37">
        <f t="shared" si="2"/>
        <v>3.0989347963672675</v>
      </c>
      <c r="H30" s="17">
        <f>SUM(C30:G30)</f>
        <v>4.0059401026211017</v>
      </c>
      <c r="I30" s="17">
        <f>G30/H30*100</f>
        <v>77.358490566037744</v>
      </c>
      <c r="J30" s="17">
        <f>SQRT(I30*(100-I30)/(L30-1))</f>
        <v>1.4852392940667265</v>
      </c>
      <c r="K30" s="18">
        <f>100-I30</f>
        <v>22.641509433962256</v>
      </c>
      <c r="L30" s="1">
        <f>H19</f>
        <v>795</v>
      </c>
      <c r="M30">
        <v>4</v>
      </c>
      <c r="N30" s="1">
        <v>3278.34</v>
      </c>
      <c r="O30" s="17">
        <f>N30/N31*100</f>
        <v>4.0059401026211017</v>
      </c>
      <c r="P30" s="52">
        <f>((O30*O30*(I30/100)*(K30/100))/(L30-1))</f>
        <v>3.539987788463169E-3</v>
      </c>
      <c r="S30" t="s">
        <v>31</v>
      </c>
      <c r="T30" s="57">
        <f>I55</f>
        <v>100</v>
      </c>
      <c r="U30" s="57">
        <f>I56</f>
        <v>100</v>
      </c>
      <c r="V30" s="57">
        <f>I57</f>
        <v>99.582172701949872</v>
      </c>
      <c r="W30" s="57">
        <f>I58</f>
        <v>95.760598503740653</v>
      </c>
      <c r="X30" s="57">
        <f>I59</f>
        <v>77.358490566037744</v>
      </c>
      <c r="AC30" t="s">
        <v>102</v>
      </c>
      <c r="AD30" s="51">
        <f>I427</f>
        <v>0.90719861231569821</v>
      </c>
      <c r="AE30" s="55">
        <f>I438</f>
        <v>0.96558435546682986</v>
      </c>
      <c r="AF30" s="55">
        <f>J438</f>
        <v>4.4861606743377587E-3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0.40146892046467508</v>
      </c>
      <c r="D31" s="17">
        <f>SUM(D26:D30)</f>
        <v>0.8232080080262475</v>
      </c>
      <c r="E31" s="17">
        <f>SUM(E26:E30)</f>
        <v>62.735391220865161</v>
      </c>
      <c r="F31" s="17">
        <f>SUM(F26:F30)</f>
        <v>32.278883140372848</v>
      </c>
      <c r="G31" s="17">
        <f>SUM(G26:G30)</f>
        <v>3.7610487102710715</v>
      </c>
      <c r="H31" s="1">
        <f>SUM(H25:H30)</f>
        <v>100</v>
      </c>
      <c r="I31" s="13" t="s">
        <v>24</v>
      </c>
      <c r="J31" s="12" t="s">
        <v>29</v>
      </c>
      <c r="N31" s="1">
        <f>SUM(N26:N30)</f>
        <v>81836.97</v>
      </c>
      <c r="O31" s="17">
        <f>SUM(O26:O30)</f>
        <v>100</v>
      </c>
      <c r="S31" s="66" t="s">
        <v>39</v>
      </c>
      <c r="T31" s="67">
        <f>J55</f>
        <v>0</v>
      </c>
      <c r="U31" s="67">
        <f>J56</f>
        <v>0</v>
      </c>
      <c r="V31" s="67">
        <f>J57</f>
        <v>0.24089602077015851</v>
      </c>
      <c r="W31" s="67">
        <f>J58</f>
        <v>1.0074319140510797</v>
      </c>
      <c r="X31" s="67">
        <f>J59</f>
        <v>1.4852392940667265</v>
      </c>
      <c r="AC31" t="s">
        <v>103</v>
      </c>
      <c r="AD31" s="51">
        <f>I456</f>
        <v>0.91717259323503908</v>
      </c>
      <c r="AE31" s="55">
        <f>I467</f>
        <v>0.97561973087496467</v>
      </c>
      <c r="AF31" s="55">
        <f>J467</f>
        <v>3.6296168806103741E-3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1.1231876155300271E-2</v>
      </c>
      <c r="E32" s="18">
        <f>SQRT(SUM((O26*O26*(E26/O26)*(1-E26/O26))/L26,(O27*O27*(E27/O27)*(1-E27/O27))/L27,(O28*O28*(E28/O28)*(1-E28/O28))/L28,(O29*O29*(E29/O29)*(1-E29/O29))/L29,(O30*O30*(E30/O30)*(1-E30/O30))/L30))</f>
        <v>0.32612122369258434</v>
      </c>
      <c r="F32" s="18">
        <f>SQRT(SUM((O26*O26*(F26/O26)*(1-F26/O26))/L26,(O27*O27*(F27/O27)*(1-F27/O27))/L27,(O28*O28*(F28/O28)*(1-F28/O28))/L28,(O29*O29*(F29/O29)*(1-F29/O29))/L29,(O30*O30*(F30/O30)*(1-F30/O30))/L30))</f>
        <v>0.3937649549278805</v>
      </c>
      <c r="G32" s="18">
        <f>SQRT(SUM((O26*O26*(G26/O26)*(1-G26/O26))/L26,(O27*O27*(G27/O27)*(1-G27/O27))/L27,(O28*O28*(G28/O28)*(1-G28/O28))/L28,(O29*O29*(G29/O29)*(1-G29/O29))/L29,(O30*O30*(G30/O30)*(1-G30/O30))/L30))</f>
        <v>0.23925224219258751</v>
      </c>
      <c r="H32" s="1"/>
      <c r="I32" s="14">
        <f>(C26+D27+E28+F29+G30)/H31</f>
        <v>0.97174226426276689</v>
      </c>
      <c r="J32" s="53">
        <f>SQRT(SUM(P26:P30))/100</f>
        <v>3.977477119690636E-3</v>
      </c>
      <c r="M32" s="1"/>
      <c r="N32" s="9"/>
      <c r="S32" s="66" t="s">
        <v>51</v>
      </c>
      <c r="T32" s="67">
        <f>N44*100</f>
        <v>100</v>
      </c>
      <c r="U32" s="67">
        <f>N45*100</f>
        <v>97.959183673469383</v>
      </c>
      <c r="V32" s="67">
        <f>N46*100</f>
        <v>89.598997493734331</v>
      </c>
      <c r="W32" s="67">
        <f>N47*100</f>
        <v>94.464944649446508</v>
      </c>
      <c r="X32" s="67">
        <f>N48*100</f>
        <v>86.803105151729014</v>
      </c>
      <c r="AC32" t="s">
        <v>104</v>
      </c>
      <c r="AD32" s="51">
        <f>I485</f>
        <v>0.91283607979184733</v>
      </c>
      <c r="AE32" s="55">
        <f>I496</f>
        <v>0.97020850001044867</v>
      </c>
      <c r="AF32" s="55">
        <f>J496</f>
        <v>4.1662016544956994E-3</v>
      </c>
      <c r="AH32">
        <v>485</v>
      </c>
      <c r="AI32">
        <v>496</v>
      </c>
    </row>
    <row r="33" spans="1:35" x14ac:dyDescent="0.3">
      <c r="B33" s="1" t="s">
        <v>30</v>
      </c>
      <c r="C33" s="17">
        <f>C26/C31*100</f>
        <v>100</v>
      </c>
      <c r="D33" s="17">
        <f>D27/D31*100</f>
        <v>96.939462250763114</v>
      </c>
      <c r="E33" s="17">
        <f>E28/E31*100</f>
        <v>97.516098129897969</v>
      </c>
      <c r="F33" s="17">
        <f>F29/F31*100</f>
        <v>98.202603511078181</v>
      </c>
      <c r="G33" s="17">
        <f>G30/G31*100</f>
        <v>82.395497508563693</v>
      </c>
      <c r="H33" s="1"/>
      <c r="R33" s="16" t="s">
        <v>61</v>
      </c>
      <c r="S33" t="s">
        <v>9</v>
      </c>
      <c r="T33" s="30">
        <f>N55</f>
        <v>336.65</v>
      </c>
      <c r="U33" s="30">
        <f>N56</f>
        <v>708.33</v>
      </c>
      <c r="V33" s="30">
        <f>N57</f>
        <v>50283.199999999997</v>
      </c>
      <c r="W33" s="30">
        <f>N58</f>
        <v>27358.19</v>
      </c>
      <c r="X33" s="30">
        <f>N59</f>
        <v>3150.6</v>
      </c>
      <c r="Z33" t="s">
        <v>36</v>
      </c>
      <c r="AA33" s="1">
        <f>N60</f>
        <v>81836.97</v>
      </c>
      <c r="AC33" t="s">
        <v>105</v>
      </c>
      <c r="AD33" s="51">
        <f>I514</f>
        <v>0.91890719861231573</v>
      </c>
      <c r="AE33" s="55">
        <f>I525</f>
        <v>0.97667688834834665</v>
      </c>
      <c r="AF33" s="55">
        <f>J525</f>
        <v>3.5395972383405493E-3</v>
      </c>
      <c r="AH33">
        <v>514</v>
      </c>
      <c r="AI33">
        <v>525</v>
      </c>
    </row>
    <row r="34" spans="1:35" ht="15.6" x14ac:dyDescent="0.35">
      <c r="B34" s="16" t="s">
        <v>39</v>
      </c>
      <c r="C34" s="18">
        <f>SQRT((C37+C38)/(C31*C31))</f>
        <v>0</v>
      </c>
      <c r="D34" s="18">
        <f>SQRT((D37+D38)/(D31*D31))</f>
        <v>1.3234777335574361</v>
      </c>
      <c r="E34" s="18">
        <f>SQRT((E37+E38)/(E31*E31))</f>
        <v>0.41809363493974167</v>
      </c>
      <c r="F34" s="18">
        <f>SQRT((F37+F38)/(F31*F31))</f>
        <v>0.61822494046326448</v>
      </c>
      <c r="G34" s="18">
        <f>SQRT((G37+G38)/(G31*G31))</f>
        <v>5.796219015740899</v>
      </c>
      <c r="H34" s="1"/>
      <c r="R34" s="16" t="s">
        <v>318</v>
      </c>
      <c r="S34" t="s">
        <v>63</v>
      </c>
      <c r="T34" s="57">
        <f>$AA33*T26/100</f>
        <v>336.64999999999992</v>
      </c>
      <c r="U34" s="57">
        <f>$AA33*U26/100</f>
        <v>780.51793158612918</v>
      </c>
      <c r="V34" s="57">
        <f>$AA33*V26/100</f>
        <v>51297.432184191057</v>
      </c>
      <c r="W34" s="57">
        <f>$AA33*W26/100</f>
        <v>26507.538891421776</v>
      </c>
      <c r="X34" s="57">
        <f>$AA33*X26/100</f>
        <v>2914.8309928010167</v>
      </c>
      <c r="Z34" t="s">
        <v>36</v>
      </c>
      <c r="AA34" s="25">
        <f>SUM(T34:X34)</f>
        <v>81836.969999999972</v>
      </c>
      <c r="AB34" s="25"/>
      <c r="AC34" t="s">
        <v>106</v>
      </c>
      <c r="AD34" s="51">
        <f>I543</f>
        <v>0.91283607979184733</v>
      </c>
      <c r="AE34" s="55">
        <f>I554</f>
        <v>0.97324078008597015</v>
      </c>
      <c r="AF34" s="55">
        <f>J554</f>
        <v>3.8450723092179353E-3</v>
      </c>
      <c r="AH34">
        <v>543</v>
      </c>
      <c r="AI34">
        <v>554</v>
      </c>
    </row>
    <row r="35" spans="1:35" x14ac:dyDescent="0.3">
      <c r="B35" s="1" t="s">
        <v>37</v>
      </c>
      <c r="C35" s="18">
        <f>100-C33</f>
        <v>0</v>
      </c>
      <c r="D35" s="18">
        <f>100-D33</f>
        <v>3.0605377492368859</v>
      </c>
      <c r="E35" s="18">
        <f>100-E33</f>
        <v>2.4839018701020308</v>
      </c>
      <c r="F35" s="18">
        <f>100-F33</f>
        <v>1.7973964889218195</v>
      </c>
      <c r="G35" s="18">
        <f>100-G33</f>
        <v>17.604502491436307</v>
      </c>
      <c r="R35" s="66"/>
      <c r="S35" s="66" t="s">
        <v>62</v>
      </c>
      <c r="T35" s="67">
        <f>$AA33*T27/100</f>
        <v>0</v>
      </c>
      <c r="U35" s="67">
        <f>$AA33*U27/100</f>
        <v>68.254793976254845</v>
      </c>
      <c r="V35" s="67">
        <f>$AA33*V27/100</f>
        <v>239.9036535489532</v>
      </c>
      <c r="W35" s="67">
        <f>$AA33*W27/100</f>
        <v>301.34142738162717</v>
      </c>
      <c r="X35" s="67">
        <f>$AA33*X27/100</f>
        <v>184.93409385130479</v>
      </c>
      <c r="AA35" s="1"/>
      <c r="AB35" s="25"/>
      <c r="AC35" s="58" t="s">
        <v>107</v>
      </c>
      <c r="AD35" s="120">
        <f>I572</f>
        <v>0.92020815264527323</v>
      </c>
      <c r="AE35" s="121">
        <f>I583</f>
        <v>0.97413312295804022</v>
      </c>
      <c r="AF35" s="121">
        <f>J583</f>
        <v>3.7629485945449665E-3</v>
      </c>
      <c r="AH35">
        <v>572</v>
      </c>
      <c r="AI35">
        <v>583</v>
      </c>
    </row>
    <row r="36" spans="1:35" ht="15.6" x14ac:dyDescent="0.35">
      <c r="B36" s="1" t="s">
        <v>25</v>
      </c>
      <c r="C36" s="1">
        <f>C20</f>
        <v>344</v>
      </c>
      <c r="D36" s="1">
        <f>D20</f>
        <v>53</v>
      </c>
      <c r="E36" s="1">
        <f>E20</f>
        <v>868</v>
      </c>
      <c r="F36" s="1">
        <f>F20</f>
        <v>418</v>
      </c>
      <c r="G36" s="1">
        <f>G20</f>
        <v>623</v>
      </c>
      <c r="R36" t="s">
        <v>67</v>
      </c>
      <c r="S36" t="s">
        <v>28</v>
      </c>
      <c r="T36" s="57">
        <f t="shared" ref="T36:X39" si="4">C89</f>
        <v>0.41488583949283558</v>
      </c>
      <c r="U36" s="57">
        <f t="shared" si="4"/>
        <v>0.97822764540407448</v>
      </c>
      <c r="V36" s="57">
        <f t="shared" si="4"/>
        <v>62.672382760677081</v>
      </c>
      <c r="W36" s="57">
        <f t="shared" si="4"/>
        <v>32.456833295950716</v>
      </c>
      <c r="X36" s="57">
        <f t="shared" si="4"/>
        <v>3.4776704584752869</v>
      </c>
      <c r="Y36" s="13"/>
      <c r="Z36" s="74"/>
      <c r="AA36" s="12"/>
      <c r="AC36" t="s">
        <v>108</v>
      </c>
      <c r="AD36" s="51"/>
      <c r="AE36" s="51"/>
      <c r="AH36">
        <v>601</v>
      </c>
      <c r="AI36">
        <v>612</v>
      </c>
    </row>
    <row r="37" spans="1:3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0</v>
      </c>
      <c r="E37" s="18">
        <f>(O28*O28*(100-E33)*(100-E33)*(I28)*(100-I28))/((L28-1)*100)</f>
        <v>22.584373127767662</v>
      </c>
      <c r="F37" s="18">
        <f>(O29*O29*(100-F33)*(100-F33)*(I29)*(100-I29))/((L29-1)*100)</f>
        <v>38.140336515823563</v>
      </c>
      <c r="G37" s="18">
        <f>(O30*O30*(100-G33)*(100-G33)*(I30)*(100-I30))/((L30-1)*100)</f>
        <v>109.71077336360196</v>
      </c>
      <c r="S37" s="66" t="s">
        <v>39</v>
      </c>
      <c r="T37" s="67">
        <f t="shared" si="4"/>
        <v>0</v>
      </c>
      <c r="U37" s="67">
        <f t="shared" si="4"/>
        <v>8.6009922320643459E-2</v>
      </c>
      <c r="V37" s="67">
        <f t="shared" si="4"/>
        <v>0.32666540506429964</v>
      </c>
      <c r="W37" s="67">
        <f t="shared" si="4"/>
        <v>0.35925806935240295</v>
      </c>
      <c r="X37" s="67">
        <f t="shared" si="4"/>
        <v>0.19227349593135151</v>
      </c>
      <c r="AC37" t="s">
        <v>109</v>
      </c>
      <c r="AD37" s="51"/>
      <c r="AE37" s="51"/>
      <c r="AH37">
        <v>630</v>
      </c>
      <c r="AI37">
        <v>641</v>
      </c>
    </row>
    <row r="38" spans="1:35" x14ac:dyDescent="0.3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1.1870047343231216</v>
      </c>
      <c r="E38" s="18">
        <f>E33*E33*(SUM((H26*E26*(1-E15/H15))/(H15-1),(H27*E27*(1-E16/H16))/(H16-1), (H29*E29*(1-E18/H18))/(H18-1),(H30*E30*(1-E19/H19))/(H19-1)))</f>
        <v>665.39011383037871</v>
      </c>
      <c r="F38" s="18">
        <f>F33*F33*(SUM((H26*F26*(1-F15/H15))/(H15-1),(H27*F27*(1-F16/H16))/(H16-1), (H28*F28*(1-F17/H17))/(H17-1),(H30*F30*(1-F19/H19))/(H19-1)))</f>
        <v>360.08605820943421</v>
      </c>
      <c r="G38" s="18">
        <f>G33*G33*(SUM((H26*G26*(1-G15/H15))/(H15-1),(H27*G27*(1-G16/H16))/(H16-1), (H28*G28*(1-G17/H17))/(H17-1),(H29*G29*(1-G18/H18))/(H18-1)))</f>
        <v>365.52321219242953</v>
      </c>
      <c r="S38" t="s">
        <v>30</v>
      </c>
      <c r="T38" s="57">
        <f t="shared" si="4"/>
        <v>100</v>
      </c>
      <c r="U38" s="57">
        <f t="shared" si="4"/>
        <v>90.707427215996788</v>
      </c>
      <c r="V38" s="57">
        <f t="shared" si="4"/>
        <v>97.617501711901397</v>
      </c>
      <c r="W38" s="57">
        <f t="shared" si="4"/>
        <v>98.262310609044761</v>
      </c>
      <c r="X38" s="57">
        <f t="shared" si="4"/>
        <v>88.151490249925828</v>
      </c>
      <c r="Z38" s="50"/>
      <c r="AA38" s="54"/>
      <c r="AC38" t="s">
        <v>110</v>
      </c>
      <c r="AD38" s="51"/>
      <c r="AE38" s="51"/>
      <c r="AH38">
        <v>659</v>
      </c>
      <c r="AI38">
        <v>670</v>
      </c>
    </row>
    <row r="39" spans="1:35" x14ac:dyDescent="0.3">
      <c r="S39" s="66" t="s">
        <v>39</v>
      </c>
      <c r="T39" s="67">
        <f t="shared" si="4"/>
        <v>0</v>
      </c>
      <c r="U39" s="67">
        <f t="shared" si="4"/>
        <v>7.9809394979727744</v>
      </c>
      <c r="V39" s="67">
        <f t="shared" si="4"/>
        <v>0.39879797107708287</v>
      </c>
      <c r="W39" s="67">
        <f t="shared" si="4"/>
        <v>0.60726356341677112</v>
      </c>
      <c r="X39" s="67">
        <f t="shared" si="4"/>
        <v>5.058888526628059</v>
      </c>
      <c r="AC39" t="s">
        <v>111</v>
      </c>
      <c r="AD39" s="51"/>
      <c r="AE39" s="51"/>
      <c r="AH39">
        <v>688</v>
      </c>
      <c r="AI39">
        <v>699</v>
      </c>
    </row>
    <row r="40" spans="1:35" x14ac:dyDescent="0.3">
      <c r="S40" t="s">
        <v>31</v>
      </c>
      <c r="T40" s="57">
        <f>I84</f>
        <v>100</v>
      </c>
      <c r="U40" s="57">
        <f>I85</f>
        <v>100</v>
      </c>
      <c r="V40" s="57">
        <f>I86</f>
        <v>99.164345403899716</v>
      </c>
      <c r="W40" s="57">
        <f>I87</f>
        <v>96.508728179551113</v>
      </c>
      <c r="X40" s="57">
        <f>I88</f>
        <v>77.484276729559753</v>
      </c>
      <c r="AC40" t="s">
        <v>112</v>
      </c>
      <c r="AD40" s="51"/>
      <c r="AE40" s="51"/>
      <c r="AH40">
        <v>717</v>
      </c>
      <c r="AI40">
        <v>728</v>
      </c>
    </row>
    <row r="41" spans="1:35" x14ac:dyDescent="0.3">
      <c r="A41" s="348" t="s">
        <v>378</v>
      </c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 t="s">
        <v>49</v>
      </c>
      <c r="M41" s="348"/>
      <c r="N41" s="348"/>
      <c r="O41" s="348"/>
      <c r="P41" s="348"/>
      <c r="S41" s="66" t="s">
        <v>39</v>
      </c>
      <c r="T41" s="67">
        <f>J84</f>
        <v>0</v>
      </c>
      <c r="U41" s="67">
        <f>J85</f>
        <v>0</v>
      </c>
      <c r="V41" s="67">
        <f>J86</f>
        <v>0.33996295845078778</v>
      </c>
      <c r="W41" s="67">
        <f>J87</f>
        <v>0.91779382641286622</v>
      </c>
      <c r="X41" s="67">
        <f>J88</f>
        <v>1.4823115469539365</v>
      </c>
      <c r="AC41" t="s">
        <v>113</v>
      </c>
      <c r="AD41" s="51"/>
      <c r="AE41" s="51"/>
      <c r="AH41">
        <v>746</v>
      </c>
      <c r="AI41">
        <v>757</v>
      </c>
    </row>
    <row r="42" spans="1:35" x14ac:dyDescent="0.3">
      <c r="A42" t="s">
        <v>315</v>
      </c>
      <c r="B42" t="s">
        <v>21</v>
      </c>
      <c r="I42" s="1" t="s">
        <v>53</v>
      </c>
      <c r="S42" s="66" t="s">
        <v>51</v>
      </c>
      <c r="T42" s="67">
        <f>N73*100</f>
        <v>100</v>
      </c>
      <c r="U42" s="67">
        <f>N74*100</f>
        <v>97.959183673469383</v>
      </c>
      <c r="V42" s="67">
        <f>N75*100</f>
        <v>89.559748427672972</v>
      </c>
      <c r="W42" s="67">
        <f>N76*100</f>
        <v>94.390243902439025</v>
      </c>
      <c r="X42" s="67">
        <f>N77*100</f>
        <v>87.005649717514117</v>
      </c>
      <c r="AC42" t="s">
        <v>114</v>
      </c>
      <c r="AD42" s="51"/>
      <c r="AE42" s="51"/>
      <c r="AH42">
        <v>775</v>
      </c>
      <c r="AI42">
        <v>786</v>
      </c>
    </row>
    <row r="43" spans="1:3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51</v>
      </c>
      <c r="R43" s="16" t="s">
        <v>61</v>
      </c>
      <c r="S43" t="s">
        <v>9</v>
      </c>
      <c r="T43" s="30">
        <f>N84</f>
        <v>339.53</v>
      </c>
      <c r="U43" s="30">
        <f>N85</f>
        <v>726.16</v>
      </c>
      <c r="V43" s="30">
        <f>N86</f>
        <v>50489.13</v>
      </c>
      <c r="W43" s="30">
        <f>N87</f>
        <v>27044.32</v>
      </c>
      <c r="X43" s="30">
        <f>N88</f>
        <v>3237.83</v>
      </c>
      <c r="Z43" t="s">
        <v>36</v>
      </c>
      <c r="AA43" s="1">
        <f>N89</f>
        <v>81836.97</v>
      </c>
      <c r="AC43" t="s">
        <v>115</v>
      </c>
      <c r="AD43" s="51"/>
      <c r="AE43" s="51"/>
      <c r="AH43">
        <v>804</v>
      </c>
      <c r="AI43">
        <v>815</v>
      </c>
    </row>
    <row r="44" spans="1:35" ht="15.6" x14ac:dyDescent="0.35">
      <c r="A44" t="s">
        <v>3</v>
      </c>
      <c r="B44" s="13">
        <v>0</v>
      </c>
      <c r="C44" s="26">
        <v>344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344</v>
      </c>
      <c r="I44" s="10">
        <f>C44/H44</f>
        <v>1</v>
      </c>
      <c r="J44" s="11">
        <f>1-I44</f>
        <v>0</v>
      </c>
      <c r="K44">
        <f>H44-C49</f>
        <v>0</v>
      </c>
      <c r="N44" s="10">
        <f>2*(C50*I44)/(C50+I44)</f>
        <v>1</v>
      </c>
      <c r="R44" s="16" t="s">
        <v>318</v>
      </c>
      <c r="S44" t="s">
        <v>63</v>
      </c>
      <c r="T44" s="57">
        <f>$AA43*T36/100</f>
        <v>339.53</v>
      </c>
      <c r="U44" s="57">
        <f>$AA43*U36/100</f>
        <v>800.55186470103888</v>
      </c>
      <c r="V44" s="57">
        <f>$AA43*V36/100</f>
        <v>51289.179078140471</v>
      </c>
      <c r="W44" s="57">
        <f>$AA43*W36/100</f>
        <v>26561.688927357198</v>
      </c>
      <c r="X44" s="57">
        <f>$AA43*X36/100</f>
        <v>2846.020129801283</v>
      </c>
      <c r="Z44" t="s">
        <v>36</v>
      </c>
      <c r="AA44" s="25">
        <f>SUM(T44:X44)</f>
        <v>81836.969999999987</v>
      </c>
      <c r="AC44" t="s">
        <v>116</v>
      </c>
      <c r="AD44" s="51"/>
      <c r="AE44" s="51"/>
      <c r="AH44">
        <v>833</v>
      </c>
      <c r="AI44">
        <v>844</v>
      </c>
    </row>
    <row r="45" spans="1:35" x14ac:dyDescent="0.3">
      <c r="A45" t="s">
        <v>4</v>
      </c>
      <c r="B45" s="13">
        <v>1</v>
      </c>
      <c r="C45" s="5">
        <v>0</v>
      </c>
      <c r="D45" s="27">
        <v>48</v>
      </c>
      <c r="E45" s="1">
        <v>0</v>
      </c>
      <c r="F45" s="1">
        <v>0</v>
      </c>
      <c r="G45" s="6">
        <v>0</v>
      </c>
      <c r="H45" s="1">
        <f>SUM(C45:G45)</f>
        <v>48</v>
      </c>
      <c r="I45" s="10">
        <f>D45/H45</f>
        <v>1</v>
      </c>
      <c r="J45" s="11">
        <f>1-I45</f>
        <v>0</v>
      </c>
      <c r="K45">
        <f>H45-D49</f>
        <v>-2</v>
      </c>
      <c r="N45" s="10">
        <f>2*(D50*I45)/(D50+I45)</f>
        <v>0.97959183673469385</v>
      </c>
      <c r="R45" s="66"/>
      <c r="S45" s="66" t="s">
        <v>62</v>
      </c>
      <c r="T45" s="67">
        <f>$AA43*T37/100</f>
        <v>0</v>
      </c>
      <c r="U45" s="67">
        <f>$AA43*U37/100</f>
        <v>70.387914326568293</v>
      </c>
      <c r="V45" s="67">
        <f>$AA43*V37/100</f>
        <v>267.33306954284939</v>
      </c>
      <c r="W45" s="67">
        <f>$AA43*W37/100</f>
        <v>294.0059184385052</v>
      </c>
      <c r="X45" s="67">
        <f>$AA43*X37/100</f>
        <v>157.35080318329136</v>
      </c>
      <c r="AA45" s="1"/>
      <c r="AC45" t="s">
        <v>117</v>
      </c>
      <c r="AD45" s="51"/>
      <c r="AE45" s="51"/>
      <c r="AH45">
        <v>862</v>
      </c>
      <c r="AI45">
        <v>873</v>
      </c>
    </row>
    <row r="46" spans="1:35" x14ac:dyDescent="0.3">
      <c r="A46" t="s">
        <v>5</v>
      </c>
      <c r="B46" s="13">
        <v>2</v>
      </c>
      <c r="C46" s="5">
        <v>0</v>
      </c>
      <c r="D46" s="1">
        <v>0</v>
      </c>
      <c r="E46" s="27">
        <v>715</v>
      </c>
      <c r="F46" s="1">
        <v>3</v>
      </c>
      <c r="G46" s="6">
        <v>0</v>
      </c>
      <c r="H46" s="1">
        <f>SUM(C46:G46)</f>
        <v>718</v>
      </c>
      <c r="I46" s="10">
        <f>E46/H46</f>
        <v>0.99582172701949856</v>
      </c>
      <c r="J46" s="11">
        <f>1-I46</f>
        <v>4.1782729805014407E-3</v>
      </c>
      <c r="K46">
        <f>H46-E49</f>
        <v>-160</v>
      </c>
      <c r="N46" s="10">
        <f>2*(E50*I46)/(E50+I46)</f>
        <v>0.89598997493734334</v>
      </c>
      <c r="R46" t="s">
        <v>68</v>
      </c>
      <c r="S46" t="s">
        <v>28</v>
      </c>
      <c r="T46" s="57">
        <f t="shared" ref="T46:X49" si="5">C118</f>
        <v>0.40806740523262286</v>
      </c>
      <c r="U46" s="57">
        <f t="shared" si="5"/>
        <v>0.70453966214742003</v>
      </c>
      <c r="V46" s="57">
        <f t="shared" si="5"/>
        <v>63.150380941919657</v>
      </c>
      <c r="W46" s="57">
        <f t="shared" si="5"/>
        <v>31.973572013901144</v>
      </c>
      <c r="X46" s="57">
        <f t="shared" si="5"/>
        <v>3.7634399767991522</v>
      </c>
      <c r="Y46" s="60"/>
      <c r="Z46" s="74"/>
      <c r="AA46" s="12"/>
      <c r="AC46" t="s">
        <v>130</v>
      </c>
      <c r="AD46" s="51"/>
      <c r="AE46" s="51"/>
      <c r="AH46">
        <v>891</v>
      </c>
      <c r="AI46">
        <v>902</v>
      </c>
    </row>
    <row r="47" spans="1:35" x14ac:dyDescent="0.3">
      <c r="A47" t="s">
        <v>6</v>
      </c>
      <c r="B47" s="13">
        <v>3</v>
      </c>
      <c r="C47" s="5">
        <v>0</v>
      </c>
      <c r="D47" s="1">
        <v>1</v>
      </c>
      <c r="E47" s="1">
        <v>9</v>
      </c>
      <c r="F47" s="27">
        <v>384</v>
      </c>
      <c r="G47" s="6">
        <v>7</v>
      </c>
      <c r="H47" s="1">
        <f>SUM(C47:G47)</f>
        <v>401</v>
      </c>
      <c r="I47" s="10">
        <f>F47/H47</f>
        <v>0.95760598503740646</v>
      </c>
      <c r="J47" s="11">
        <f>1-I47</f>
        <v>4.239401496259354E-2</v>
      </c>
      <c r="K47">
        <f>H47-F49</f>
        <v>-11</v>
      </c>
      <c r="N47" s="10">
        <f>2*(F50*I47)/(F50+I47)</f>
        <v>0.94464944649446503</v>
      </c>
      <c r="S47" s="66" t="s">
        <v>39</v>
      </c>
      <c r="T47" s="67">
        <f t="shared" si="5"/>
        <v>0</v>
      </c>
      <c r="U47" s="67">
        <f t="shared" si="5"/>
        <v>7.2435739701644927E-3</v>
      </c>
      <c r="V47" s="67">
        <f t="shared" si="5"/>
        <v>0.29037126501181976</v>
      </c>
      <c r="W47" s="67">
        <f t="shared" si="5"/>
        <v>0.35526441332009018</v>
      </c>
      <c r="X47" s="67">
        <f t="shared" si="5"/>
        <v>0.22301192826266664</v>
      </c>
      <c r="AC47" t="s">
        <v>131</v>
      </c>
      <c r="AD47" s="51"/>
      <c r="AE47" s="51"/>
      <c r="AH47">
        <v>920</v>
      </c>
      <c r="AI47">
        <v>931</v>
      </c>
    </row>
    <row r="48" spans="1:35" x14ac:dyDescent="0.3">
      <c r="A48" t="s">
        <v>7</v>
      </c>
      <c r="B48" s="13">
        <v>4</v>
      </c>
      <c r="C48" s="7">
        <v>0</v>
      </c>
      <c r="D48" s="8">
        <v>1</v>
      </c>
      <c r="E48" s="8">
        <v>154</v>
      </c>
      <c r="F48" s="8">
        <v>25</v>
      </c>
      <c r="G48" s="28">
        <v>615</v>
      </c>
      <c r="H48" s="1">
        <f>SUM(C48:G48)</f>
        <v>795</v>
      </c>
      <c r="I48" s="10">
        <f>G48/H48</f>
        <v>0.77358490566037741</v>
      </c>
      <c r="J48" s="11">
        <f>1-I48</f>
        <v>0.22641509433962259</v>
      </c>
      <c r="K48">
        <f>H48-G49</f>
        <v>173</v>
      </c>
      <c r="N48" s="10">
        <f>2*(G50*I48)/(G50+I48)</f>
        <v>0.8680310515172901</v>
      </c>
      <c r="S48" t="s">
        <v>30</v>
      </c>
      <c r="T48" s="57">
        <f t="shared" si="5"/>
        <v>100</v>
      </c>
      <c r="U48" s="57">
        <f t="shared" si="5"/>
        <v>98.54417416818228</v>
      </c>
      <c r="V48" s="57">
        <f t="shared" si="5"/>
        <v>97.711574046181454</v>
      </c>
      <c r="W48" s="57">
        <f t="shared" si="5"/>
        <v>98.660952146728405</v>
      </c>
      <c r="X48" s="57">
        <f t="shared" si="5"/>
        <v>84.759866322153059</v>
      </c>
      <c r="AC48" t="s">
        <v>132</v>
      </c>
      <c r="AD48" s="51"/>
      <c r="AE48" s="51"/>
      <c r="AH48">
        <v>949</v>
      </c>
      <c r="AI48">
        <v>960</v>
      </c>
    </row>
    <row r="49" spans="1:35" ht="15.6" x14ac:dyDescent="0.35">
      <c r="B49" s="1" t="s">
        <v>19</v>
      </c>
      <c r="C49" s="1">
        <f>SUM(C44:C48)</f>
        <v>344</v>
      </c>
      <c r="D49" s="1">
        <f>SUM(D44:D48)</f>
        <v>50</v>
      </c>
      <c r="E49" s="1">
        <f>SUM(E44:E48)</f>
        <v>878</v>
      </c>
      <c r="F49" s="1">
        <f>SUM(F44:F48)</f>
        <v>412</v>
      </c>
      <c r="G49" s="1">
        <f>SUM(G44:G48)</f>
        <v>622</v>
      </c>
      <c r="H49" s="1">
        <f>SUM(H43:H48)</f>
        <v>2306</v>
      </c>
      <c r="I49" s="13" t="s">
        <v>12</v>
      </c>
      <c r="S49" s="66" t="s">
        <v>39</v>
      </c>
      <c r="T49" s="67">
        <f t="shared" si="5"/>
        <v>0</v>
      </c>
      <c r="U49" s="67">
        <f t="shared" si="5"/>
        <v>1.0137986768329215</v>
      </c>
      <c r="V49" s="67">
        <f t="shared" si="5"/>
        <v>0.3897153947873756</v>
      </c>
      <c r="W49" s="67">
        <f t="shared" si="5"/>
        <v>0.48807486028027086</v>
      </c>
      <c r="X49" s="67">
        <f t="shared" si="5"/>
        <v>5.4152580360547828</v>
      </c>
      <c r="AC49" t="s">
        <v>133</v>
      </c>
      <c r="AD49" s="51"/>
      <c r="AE49" s="51"/>
      <c r="AH49">
        <v>978</v>
      </c>
      <c r="AI49">
        <v>989</v>
      </c>
    </row>
    <row r="50" spans="1:35" x14ac:dyDescent="0.3">
      <c r="A50" s="1" t="s">
        <v>316</v>
      </c>
      <c r="B50" s="1" t="s">
        <v>2</v>
      </c>
      <c r="C50" s="10">
        <f>C44/C49</f>
        <v>1</v>
      </c>
      <c r="D50" s="10">
        <f>D45/D49</f>
        <v>0.96</v>
      </c>
      <c r="E50" s="10">
        <f>E46/E49</f>
        <v>0.81435079726651483</v>
      </c>
      <c r="F50" s="10">
        <f>F47/F49</f>
        <v>0.93203883495145634</v>
      </c>
      <c r="G50" s="10">
        <f>G48/G49</f>
        <v>0.9887459807073955</v>
      </c>
      <c r="H50" s="10"/>
      <c r="I50" s="14">
        <f>(C44+D45+E46+F47+G48)/H49</f>
        <v>0.9132697311361665</v>
      </c>
      <c r="S50" s="15" t="s">
        <v>31</v>
      </c>
      <c r="T50" s="71">
        <f>I113</f>
        <v>100</v>
      </c>
      <c r="U50" s="71">
        <f>I114</f>
        <v>100</v>
      </c>
      <c r="V50" s="71">
        <f>I115</f>
        <v>99.582172701949872</v>
      </c>
      <c r="W50" s="71">
        <f>I116</f>
        <v>96.009975062344139</v>
      </c>
      <c r="X50" s="71">
        <f>I117</f>
        <v>78.23899371069183</v>
      </c>
      <c r="AC50" t="s">
        <v>134</v>
      </c>
      <c r="AD50" s="51"/>
      <c r="AE50" s="51"/>
      <c r="AH50">
        <v>1007</v>
      </c>
      <c r="AI50">
        <v>1018</v>
      </c>
    </row>
    <row r="51" spans="1:35" x14ac:dyDescent="0.3">
      <c r="B51" s="1" t="s">
        <v>14</v>
      </c>
      <c r="C51" s="11">
        <f>1-C50</f>
        <v>0</v>
      </c>
      <c r="D51" s="11">
        <f>1-D50</f>
        <v>4.0000000000000036E-2</v>
      </c>
      <c r="E51" s="11">
        <f>1-E50</f>
        <v>0.18564920273348517</v>
      </c>
      <c r="F51" s="11">
        <f>1-F50</f>
        <v>6.7961165048543659E-2</v>
      </c>
      <c r="G51" s="11">
        <f>1-G50</f>
        <v>1.12540192926045E-2</v>
      </c>
      <c r="S51" s="75" t="s">
        <v>39</v>
      </c>
      <c r="T51" s="76">
        <f>J113</f>
        <v>0</v>
      </c>
      <c r="U51" s="76">
        <f>J114</f>
        <v>0</v>
      </c>
      <c r="V51" s="76">
        <f>J115</f>
        <v>0.24089602077015851</v>
      </c>
      <c r="W51" s="76">
        <f>J116</f>
        <v>0.97862428281040326</v>
      </c>
      <c r="X51" s="76">
        <f>J117</f>
        <v>1.4643364201558484</v>
      </c>
      <c r="AC51" t="s">
        <v>135</v>
      </c>
      <c r="AD51" s="51"/>
      <c r="AE51" s="51"/>
      <c r="AH51">
        <v>1036</v>
      </c>
      <c r="AI51">
        <v>1047</v>
      </c>
    </row>
    <row r="52" spans="1:35" x14ac:dyDescent="0.3">
      <c r="C52" s="2"/>
      <c r="S52" s="66" t="s">
        <v>51</v>
      </c>
      <c r="T52" s="67">
        <f>N102*100</f>
        <v>100</v>
      </c>
      <c r="U52" s="67">
        <f>N103*100</f>
        <v>97.959183673469383</v>
      </c>
      <c r="V52" s="67">
        <f>N104*100</f>
        <v>90.506329113924039</v>
      </c>
      <c r="W52" s="67">
        <f>N105*100</f>
        <v>93.673965936739663</v>
      </c>
      <c r="X52" s="67">
        <f>N106*100</f>
        <v>87.359550561797761</v>
      </c>
      <c r="AC52" t="s">
        <v>136</v>
      </c>
      <c r="AD52" s="51"/>
      <c r="AE52" s="51"/>
      <c r="AH52">
        <v>1065</v>
      </c>
      <c r="AI52">
        <v>1076</v>
      </c>
    </row>
    <row r="53" spans="1:35" ht="15.6" x14ac:dyDescent="0.35">
      <c r="A53" t="s">
        <v>317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61</v>
      </c>
      <c r="S53" t="s">
        <v>9</v>
      </c>
      <c r="T53" s="30">
        <f>N113</f>
        <v>333.95</v>
      </c>
      <c r="U53" s="30">
        <f>N114</f>
        <v>568.17999999999995</v>
      </c>
      <c r="V53" s="30">
        <f>N115</f>
        <v>50709.57</v>
      </c>
      <c r="W53" s="30">
        <f>N116</f>
        <v>26888.69</v>
      </c>
      <c r="X53" s="30">
        <f>N117</f>
        <v>3336.58</v>
      </c>
      <c r="Z53" t="s">
        <v>36</v>
      </c>
      <c r="AA53" s="1">
        <f>N118</f>
        <v>81836.97</v>
      </c>
      <c r="AC53" t="s">
        <v>137</v>
      </c>
      <c r="AD53" s="51"/>
      <c r="AE53" s="51"/>
      <c r="AH53">
        <v>1094</v>
      </c>
      <c r="AI53">
        <v>1105</v>
      </c>
    </row>
    <row r="54" spans="1:35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318</v>
      </c>
      <c r="S54" t="s">
        <v>63</v>
      </c>
      <c r="T54" s="57">
        <f>$AA53*T46/100</f>
        <v>333.95</v>
      </c>
      <c r="U54" s="57">
        <f>$AA53*U46/100</f>
        <v>576.57391194968545</v>
      </c>
      <c r="V54" s="57">
        <f>$AA53*V46/100</f>
        <v>51680.35830632451</v>
      </c>
      <c r="W54" s="57">
        <f>$AA53*W46/100</f>
        <v>26166.202536944678</v>
      </c>
      <c r="X54" s="57">
        <f>$AA53*X46/100</f>
        <v>3079.8852447811291</v>
      </c>
      <c r="Z54" t="s">
        <v>36</v>
      </c>
      <c r="AA54" s="25">
        <f>SUM(T54:X54)</f>
        <v>81836.97</v>
      </c>
      <c r="AC54" t="s">
        <v>138</v>
      </c>
      <c r="AD54" s="51"/>
      <c r="AE54" s="51"/>
      <c r="AH54">
        <v>1123</v>
      </c>
      <c r="AI54">
        <v>1134</v>
      </c>
    </row>
    <row r="55" spans="1:35" x14ac:dyDescent="0.3">
      <c r="A55" t="s">
        <v>3</v>
      </c>
      <c r="B55" s="13">
        <v>0</v>
      </c>
      <c r="C55" s="29">
        <f>(C44/$L55)*$O55</f>
        <v>0.41136664761659669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0.41136664761659669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344</v>
      </c>
      <c r="M55">
        <v>0</v>
      </c>
      <c r="N55" s="1">
        <v>336.65</v>
      </c>
      <c r="O55" s="17">
        <f>N55/N60*100</f>
        <v>0.41136664761659669</v>
      </c>
      <c r="P55" s="52">
        <f>((O55*O55*(I55/100)*(K55/100))/(L55-1))</f>
        <v>0</v>
      </c>
      <c r="R55" s="66"/>
      <c r="S55" s="66" t="s">
        <v>62</v>
      </c>
      <c r="T55" s="67">
        <f>$AA53*T47/100</f>
        <v>0</v>
      </c>
      <c r="U55" s="67">
        <f>$AA53*U47/100</f>
        <v>5.9279214568913243</v>
      </c>
      <c r="V55" s="67">
        <f>$AA53*V47/100</f>
        <v>237.63104503634341</v>
      </c>
      <c r="W55" s="67">
        <f>$AA53*W47/100</f>
        <v>290.73763134943817</v>
      </c>
      <c r="X55" s="67">
        <f>$AA53*X47/100</f>
        <v>182.50620482874001</v>
      </c>
      <c r="AA55" s="1"/>
      <c r="AC55" t="s">
        <v>139</v>
      </c>
      <c r="AD55" s="51"/>
      <c r="AE55" s="51"/>
      <c r="AH55">
        <v>1152</v>
      </c>
      <c r="AI55">
        <v>1163</v>
      </c>
    </row>
    <row r="56" spans="1:35" x14ac:dyDescent="0.3">
      <c r="A56" t="s">
        <v>4</v>
      </c>
      <c r="B56" s="13">
        <v>1</v>
      </c>
      <c r="C56" s="33">
        <f t="shared" ref="C56:G59" si="6">(C45/$L56)*$O56</f>
        <v>0</v>
      </c>
      <c r="D56" s="34">
        <f t="shared" si="6"/>
        <v>0.86553791031119565</v>
      </c>
      <c r="E56" s="19">
        <f t="shared" si="6"/>
        <v>0</v>
      </c>
      <c r="F56" s="18">
        <f t="shared" si="6"/>
        <v>0</v>
      </c>
      <c r="G56" s="20">
        <f t="shared" si="6"/>
        <v>0</v>
      </c>
      <c r="H56" s="17">
        <f>SUM(C56:G56)</f>
        <v>0.86553791031119565</v>
      </c>
      <c r="I56" s="17">
        <f>D56/H56*100</f>
        <v>100</v>
      </c>
      <c r="J56" s="17">
        <f>SQRT(I56*(100-I56)/(L56-1))</f>
        <v>0</v>
      </c>
      <c r="K56" s="18">
        <f>100-I56</f>
        <v>0</v>
      </c>
      <c r="L56" s="1">
        <f>H45</f>
        <v>48</v>
      </c>
      <c r="M56">
        <v>1</v>
      </c>
      <c r="N56" s="1">
        <v>708.33</v>
      </c>
      <c r="O56" s="17">
        <f>N56/N60*100</f>
        <v>0.86553791031119565</v>
      </c>
      <c r="P56" s="52">
        <f>((O56*O56*(I56/100)*(K56/100))/(L56-1))</f>
        <v>0</v>
      </c>
      <c r="R56" t="s">
        <v>71</v>
      </c>
      <c r="S56" t="s">
        <v>28</v>
      </c>
      <c r="T56" s="57">
        <f t="shared" ref="T56:X59" si="7">C147</f>
        <v>0.42412371816796235</v>
      </c>
      <c r="U56" s="57">
        <f t="shared" si="7"/>
        <v>0.83452503190184091</v>
      </c>
      <c r="V56" s="57">
        <f t="shared" si="7"/>
        <v>62.564045247472812</v>
      </c>
      <c r="W56" s="57">
        <f t="shared" si="7"/>
        <v>32.384194705149952</v>
      </c>
      <c r="X56" s="57">
        <f t="shared" si="7"/>
        <v>3.793111297307413</v>
      </c>
      <c r="Y56" s="13"/>
      <c r="Z56" s="74"/>
      <c r="AA56" s="12"/>
      <c r="AC56" t="s">
        <v>140</v>
      </c>
      <c r="AD56" s="51"/>
      <c r="AE56" s="51"/>
      <c r="AH56">
        <v>1181</v>
      </c>
      <c r="AI56">
        <v>1192</v>
      </c>
    </row>
    <row r="57" spans="1:35" x14ac:dyDescent="0.3">
      <c r="A57" t="s">
        <v>5</v>
      </c>
      <c r="B57" s="13">
        <v>2</v>
      </c>
      <c r="C57" s="33">
        <f t="shared" si="6"/>
        <v>0</v>
      </c>
      <c r="D57" s="19">
        <f t="shared" si="6"/>
        <v>0</v>
      </c>
      <c r="E57" s="34">
        <f t="shared" si="6"/>
        <v>61.186408861504574</v>
      </c>
      <c r="F57" s="19">
        <f t="shared" si="6"/>
        <v>0.25672619102729194</v>
      </c>
      <c r="G57" s="20">
        <f t="shared" si="6"/>
        <v>0</v>
      </c>
      <c r="H57" s="17">
        <f>SUM(C57:G57)</f>
        <v>61.443135052531865</v>
      </c>
      <c r="I57" s="17">
        <f>E57/H57*100</f>
        <v>99.582172701949872</v>
      </c>
      <c r="J57" s="17">
        <f>SQRT(I57*(100-I57)/(L57-1))</f>
        <v>0.24089602077015851</v>
      </c>
      <c r="K57" s="18">
        <f>100-I57</f>
        <v>0.41782729805012764</v>
      </c>
      <c r="L57" s="1">
        <f>H46</f>
        <v>718</v>
      </c>
      <c r="M57">
        <v>2</v>
      </c>
      <c r="N57" s="1">
        <v>50283.199999999997</v>
      </c>
      <c r="O57" s="17">
        <f>N57/N60*100</f>
        <v>61.443135052531872</v>
      </c>
      <c r="P57" s="52">
        <f>((O57*O57*(I57/100)*(K57/100))/(L57-1))</f>
        <v>2.1908164141774305E-2</v>
      </c>
      <c r="S57" s="66" t="s">
        <v>39</v>
      </c>
      <c r="T57" s="67">
        <f t="shared" si="7"/>
        <v>0</v>
      </c>
      <c r="U57" s="67">
        <f t="shared" si="7"/>
        <v>0</v>
      </c>
      <c r="V57" s="67">
        <f t="shared" si="7"/>
        <v>0.31582482338849965</v>
      </c>
      <c r="W57" s="67">
        <f t="shared" si="7"/>
        <v>0.3857435383301116</v>
      </c>
      <c r="X57" s="67">
        <f t="shared" si="7"/>
        <v>0.23932706621759547</v>
      </c>
      <c r="AC57" t="s">
        <v>141</v>
      </c>
      <c r="AD57" s="51"/>
      <c r="AE57" s="51"/>
      <c r="AH57">
        <v>1210</v>
      </c>
      <c r="AI57">
        <v>1221</v>
      </c>
    </row>
    <row r="58" spans="1:35" x14ac:dyDescent="0.3">
      <c r="A58" t="s">
        <v>6</v>
      </c>
      <c r="B58" s="13">
        <v>3</v>
      </c>
      <c r="C58" s="33">
        <f t="shared" si="6"/>
        <v>0</v>
      </c>
      <c r="D58" s="19">
        <f t="shared" si="6"/>
        <v>8.3366860623266578E-2</v>
      </c>
      <c r="E58" s="19">
        <f t="shared" si="6"/>
        <v>0.75030174560939922</v>
      </c>
      <c r="F58" s="34">
        <f t="shared" si="6"/>
        <v>32.012874479334364</v>
      </c>
      <c r="G58" s="20">
        <f t="shared" si="6"/>
        <v>0.58356802436286603</v>
      </c>
      <c r="H58" s="17">
        <f>SUM(C58:G58)</f>
        <v>33.430111109929896</v>
      </c>
      <c r="I58" s="17">
        <f>F58/H58*100</f>
        <v>95.760598503740653</v>
      </c>
      <c r="J58" s="17">
        <f>SQRT(I58*(100-I58)/(L58-1))</f>
        <v>1.0074319140510797</v>
      </c>
      <c r="K58" s="18">
        <f>100-I58</f>
        <v>4.2394014962593474</v>
      </c>
      <c r="L58" s="1">
        <f>H47</f>
        <v>401</v>
      </c>
      <c r="M58">
        <v>3</v>
      </c>
      <c r="N58" s="1">
        <v>27358.19</v>
      </c>
      <c r="O58" s="17">
        <f>N58/N60*100</f>
        <v>33.430111109929896</v>
      </c>
      <c r="P58" s="52">
        <f>((O58*O58*(I58/100)*(K58/100))/(L58-1))</f>
        <v>0.11342454590692369</v>
      </c>
      <c r="S58" t="s">
        <v>30</v>
      </c>
      <c r="T58" s="57">
        <f t="shared" si="7"/>
        <v>100</v>
      </c>
      <c r="U58" s="57">
        <f t="shared" si="7"/>
        <v>100</v>
      </c>
      <c r="V58" s="57">
        <f t="shared" si="7"/>
        <v>97.639644998489601</v>
      </c>
      <c r="W58" s="57">
        <f t="shared" si="7"/>
        <v>98.12783963081813</v>
      </c>
      <c r="X58" s="57">
        <f t="shared" si="7"/>
        <v>82.546259436284203</v>
      </c>
      <c r="AC58" t="s">
        <v>142</v>
      </c>
      <c r="AD58" s="51"/>
      <c r="AE58" s="51"/>
      <c r="AH58">
        <v>1239</v>
      </c>
      <c r="AI58">
        <v>1250</v>
      </c>
    </row>
    <row r="59" spans="1:35" x14ac:dyDescent="0.3">
      <c r="A59" t="s">
        <v>7</v>
      </c>
      <c r="B59" s="13">
        <v>4</v>
      </c>
      <c r="C59" s="35">
        <f t="shared" si="6"/>
        <v>0</v>
      </c>
      <c r="D59" s="36">
        <f t="shared" si="6"/>
        <v>4.842577710201793E-3</v>
      </c>
      <c r="E59" s="21">
        <f t="shared" si="6"/>
        <v>0.74575696737107611</v>
      </c>
      <c r="F59" s="21">
        <f t="shared" si="6"/>
        <v>0.12106444275504483</v>
      </c>
      <c r="G59" s="37">
        <f t="shared" si="6"/>
        <v>2.978185291774103</v>
      </c>
      <c r="H59" s="17">
        <f>SUM(C59:G59)</f>
        <v>3.8498492796104258</v>
      </c>
      <c r="I59" s="17">
        <f>G59/H59*100</f>
        <v>77.358490566037744</v>
      </c>
      <c r="J59" s="17">
        <f>SQRT(I59*(100-I59)/(L59-1))</f>
        <v>1.4852392940667265</v>
      </c>
      <c r="K59" s="18">
        <f>100-I59</f>
        <v>22.641509433962256</v>
      </c>
      <c r="L59" s="1">
        <f>H48</f>
        <v>795</v>
      </c>
      <c r="M59">
        <v>4</v>
      </c>
      <c r="N59" s="1">
        <v>3150.6</v>
      </c>
      <c r="O59" s="17">
        <f>N59/N60*100</f>
        <v>3.8498492796104253</v>
      </c>
      <c r="P59" s="52">
        <f>((O59*O59*(I59/100)*(K59/100))/(L59-1))</f>
        <v>3.2694922770066704E-3</v>
      </c>
      <c r="S59" s="66" t="s">
        <v>39</v>
      </c>
      <c r="T59" s="67">
        <f t="shared" si="7"/>
        <v>0</v>
      </c>
      <c r="U59" s="67">
        <f t="shared" si="7"/>
        <v>0</v>
      </c>
      <c r="V59" s="67">
        <f t="shared" si="7"/>
        <v>0.39967488726034783</v>
      </c>
      <c r="W59" s="67">
        <f t="shared" si="7"/>
        <v>0.61677045973200717</v>
      </c>
      <c r="X59" s="67">
        <f t="shared" si="7"/>
        <v>5.7523293120253634</v>
      </c>
      <c r="AC59" t="s">
        <v>143</v>
      </c>
      <c r="AD59" s="51"/>
      <c r="AE59" s="51"/>
      <c r="AH59">
        <v>1268</v>
      </c>
      <c r="AI59">
        <v>1279</v>
      </c>
    </row>
    <row r="60" spans="1:35" x14ac:dyDescent="0.3">
      <c r="B60" t="s">
        <v>28</v>
      </c>
      <c r="C60" s="17">
        <f>SUM(C55:C59)</f>
        <v>0.41136664761659669</v>
      </c>
      <c r="D60" s="17">
        <f>SUM(D55:D59)</f>
        <v>0.95374734864466404</v>
      </c>
      <c r="E60" s="17">
        <f>SUM(E55:E59)</f>
        <v>62.682467574485052</v>
      </c>
      <c r="F60" s="17">
        <f>SUM(F55:F59)</f>
        <v>32.390665113116697</v>
      </c>
      <c r="G60" s="17">
        <f>SUM(G55:G59)</f>
        <v>3.561753316136969</v>
      </c>
      <c r="H60" s="1">
        <f>SUM(H54:H59)</f>
        <v>99.999999999999972</v>
      </c>
      <c r="I60" s="13" t="s">
        <v>24</v>
      </c>
      <c r="J60" s="12" t="s">
        <v>29</v>
      </c>
      <c r="N60" s="1">
        <f>SUM(N55:N59)</f>
        <v>81836.97</v>
      </c>
      <c r="O60" s="17">
        <f>SUM(O55:O59)</f>
        <v>99.999999999999986</v>
      </c>
      <c r="S60" s="15" t="s">
        <v>31</v>
      </c>
      <c r="T60" s="71">
        <f>I142</f>
        <v>100</v>
      </c>
      <c r="U60" s="71">
        <f>I143</f>
        <v>100</v>
      </c>
      <c r="V60" s="71">
        <f>I144</f>
        <v>99.30362116991644</v>
      </c>
      <c r="W60" s="71">
        <f>I145</f>
        <v>95.760598503740653</v>
      </c>
      <c r="X60" s="71">
        <f>I146</f>
        <v>77.484276729559753</v>
      </c>
      <c r="AC60" t="s">
        <v>144</v>
      </c>
      <c r="AD60" s="51"/>
      <c r="AE60" s="51"/>
      <c r="AH60">
        <v>1297</v>
      </c>
      <c r="AI60">
        <v>1308</v>
      </c>
    </row>
    <row r="61" spans="1:35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0</v>
      </c>
      <c r="D61" s="18">
        <f>SQRT(SUM((O55*O55*(D55/O55)*(1-D55/O55))/L55,(O56*O56*(D56/O56)*(1-D56/O56))/L56,(O57*O57*(D57/O57)*(1-D57/O57))/L57,(O58*O58*(D58/O58)*(1-D58/O58))/L58,(O59*O59*(D59/O59)*(1-D59/O59))/L59))</f>
        <v>8.3403373776246667E-2</v>
      </c>
      <c r="E61" s="18">
        <f>SQRT(SUM((O55*O55*(E55/O55)*(1-E55/O55))/L55,(O56*O56*(E56/O56)*(1-E56/O56))/L56,(O57*O57*(E57/O57)*(1-E57/O57))/L57,(O58*O58*(E58/O58)*(1-E58/O58))/L58,(O59*O59*(E59/O59)*(1-E59/O59))/L59))</f>
        <v>0.29314825994773902</v>
      </c>
      <c r="F61" s="18">
        <f>SQRT(SUM((O55*O55*(F55/O55)*(1-F55/O55))/L55,(O56*O56*(F56/O56)*(1-F56/O56))/L56,(O57*O57*(F57/O57)*(1-F57/O57))/L57,(O58*O58*(F58/O58)*(1-F58/O58))/L58,(O59*O59*(F59/O59)*(1-F59/O59))/L59))</f>
        <v>0.36822163306098354</v>
      </c>
      <c r="G61" s="18">
        <f>SQRT(SUM((O55*O55*(G55/O55)*(1-G55/O55))/L55,(O56*O56*(G56/O56)*(1-G56/O56))/L56,(O57*O57*(G57/O57)*(1-G57/O57))/L57,(O58*O58*(G58/O58)*(1-G58/O58))/L58,(O59*O59*(G59/O59)*(1-G59/O59))/L59))</f>
        <v>0.22597866691704835</v>
      </c>
      <c r="H61" s="1"/>
      <c r="I61" s="14">
        <f>(C55+D56+E57+F58+G59)/H60</f>
        <v>0.97454373190540866</v>
      </c>
      <c r="J61" s="53">
        <f>SQRT(SUM(P55:P59))/100</f>
        <v>3.7229316717568785E-3</v>
      </c>
      <c r="M61" s="1"/>
      <c r="N61" s="9"/>
      <c r="S61" s="75" t="s">
        <v>39</v>
      </c>
      <c r="T61" s="76">
        <f>J142</f>
        <v>0</v>
      </c>
      <c r="U61" s="76">
        <f>J143</f>
        <v>0</v>
      </c>
      <c r="V61" s="76">
        <f>J144</f>
        <v>0.31056016230667621</v>
      </c>
      <c r="W61" s="76">
        <f>J145</f>
        <v>1.0074319140510797</v>
      </c>
      <c r="X61" s="76">
        <f>J146</f>
        <v>1.4823115469539365</v>
      </c>
      <c r="AC61" t="s">
        <v>145</v>
      </c>
      <c r="AD61" s="51"/>
      <c r="AE61" s="51"/>
      <c r="AH61">
        <v>1326</v>
      </c>
      <c r="AI61">
        <v>1337</v>
      </c>
    </row>
    <row r="62" spans="1:35" x14ac:dyDescent="0.3">
      <c r="B62" s="1" t="s">
        <v>30</v>
      </c>
      <c r="C62" s="17">
        <f>C55/C60*100</f>
        <v>100</v>
      </c>
      <c r="D62" s="17">
        <f>D56/D60*100</f>
        <v>90.751278264750141</v>
      </c>
      <c r="E62" s="17">
        <f>E57/E60*100</f>
        <v>97.61327406072084</v>
      </c>
      <c r="F62" s="17">
        <f>F58/F60*100</f>
        <v>98.833643481963122</v>
      </c>
      <c r="G62" s="17">
        <f>G59/G60*100</f>
        <v>83.615709102622631</v>
      </c>
      <c r="H62" s="1"/>
      <c r="S62" s="66" t="s">
        <v>51</v>
      </c>
      <c r="T62" s="67">
        <f>N131*100</f>
        <v>100</v>
      </c>
      <c r="U62" s="67">
        <f>N132*100</f>
        <v>100</v>
      </c>
      <c r="V62" s="67">
        <f>N133*100</f>
        <v>90.025252525252526</v>
      </c>
      <c r="W62" s="67">
        <f>N134*100</f>
        <v>93.090909090909093</v>
      </c>
      <c r="X62" s="67">
        <f>N135*100</f>
        <v>86.821705426356587</v>
      </c>
      <c r="AC62" t="s">
        <v>146</v>
      </c>
      <c r="AD62" s="51"/>
      <c r="AE62" s="51"/>
      <c r="AH62">
        <v>1355</v>
      </c>
      <c r="AI62">
        <v>1366</v>
      </c>
    </row>
    <row r="63" spans="1:35" x14ac:dyDescent="0.3">
      <c r="B63" s="16" t="s">
        <v>39</v>
      </c>
      <c r="C63" s="18">
        <f>SQRT((C66+C67)/(C60*C60))</f>
        <v>0</v>
      </c>
      <c r="D63" s="18">
        <f>SQRT((D66+D67)/(D60*D60))</f>
        <v>7.9459222638273816</v>
      </c>
      <c r="E63" s="18">
        <f>SQRT((E66+E67)/(E60*E60))</f>
        <v>0.39862526020908834</v>
      </c>
      <c r="F63" s="18">
        <f>SQRT((F66+F67)/(F60*F60))</f>
        <v>0.47326005136989069</v>
      </c>
      <c r="G63" s="18">
        <f>SQRT((G66+G67)/(G60*G60))</f>
        <v>5.7730830177175454</v>
      </c>
      <c r="H63" s="1"/>
      <c r="R63" s="16" t="s">
        <v>61</v>
      </c>
      <c r="S63" t="s">
        <v>9</v>
      </c>
      <c r="T63" s="30">
        <f>N142</f>
        <v>347.09</v>
      </c>
      <c r="U63" s="30">
        <f>N143</f>
        <v>682.95</v>
      </c>
      <c r="V63" s="30">
        <f>N144</f>
        <v>50342.58</v>
      </c>
      <c r="W63" s="30">
        <f>N145</f>
        <v>27157.39</v>
      </c>
      <c r="X63" s="30">
        <f>N146</f>
        <v>3306.96</v>
      </c>
      <c r="Z63" t="s">
        <v>36</v>
      </c>
      <c r="AA63" s="1">
        <f>N147</f>
        <v>81836.970000000016</v>
      </c>
      <c r="AC63" t="s">
        <v>147</v>
      </c>
      <c r="AD63" s="51"/>
      <c r="AE63" s="51"/>
      <c r="AH63">
        <v>1384</v>
      </c>
      <c r="AI63">
        <v>1395</v>
      </c>
    </row>
    <row r="64" spans="1:35" ht="15.6" x14ac:dyDescent="0.35">
      <c r="B64" s="1" t="s">
        <v>37</v>
      </c>
      <c r="C64" s="18">
        <f>100-C62</f>
        <v>0</v>
      </c>
      <c r="D64" s="18">
        <f>100-D62</f>
        <v>9.248721735249859</v>
      </c>
      <c r="E64" s="18">
        <f>100-E62</f>
        <v>2.3867259392791595</v>
      </c>
      <c r="F64" s="18">
        <f>100-F62</f>
        <v>1.1663565180368778</v>
      </c>
      <c r="G64" s="18">
        <f>100-G62</f>
        <v>16.384290897377369</v>
      </c>
      <c r="R64" s="16" t="s">
        <v>318</v>
      </c>
      <c r="S64" t="s">
        <v>63</v>
      </c>
      <c r="T64" s="57">
        <f>$AA63*T56/100</f>
        <v>347.09</v>
      </c>
      <c r="U64" s="57">
        <f>$AA63*U56/100</f>
        <v>682.95000000000016</v>
      </c>
      <c r="V64" s="57">
        <f>$AA63*V56/100</f>
        <v>51200.518939960755</v>
      </c>
      <c r="W64" s="57">
        <f>$AA63*W56/100</f>
        <v>26502.24370559516</v>
      </c>
      <c r="X64" s="57">
        <f>$AA63*X56/100</f>
        <v>3104.1673544440791</v>
      </c>
      <c r="Z64" t="s">
        <v>36</v>
      </c>
      <c r="AA64" s="25">
        <f>SUM(T64:X64)</f>
        <v>81836.97</v>
      </c>
      <c r="AC64" t="s">
        <v>148</v>
      </c>
      <c r="AD64" s="51"/>
      <c r="AE64" s="51"/>
      <c r="AH64">
        <v>1413</v>
      </c>
      <c r="AI64">
        <v>1424</v>
      </c>
    </row>
    <row r="65" spans="1:51" ht="15.6" x14ac:dyDescent="0.35">
      <c r="B65" s="1" t="s">
        <v>25</v>
      </c>
      <c r="C65" s="1">
        <f>C49</f>
        <v>344</v>
      </c>
      <c r="D65" s="1">
        <f>D49</f>
        <v>50</v>
      </c>
      <c r="E65" s="1">
        <f>E49</f>
        <v>878</v>
      </c>
      <c r="F65" s="1">
        <f>F49</f>
        <v>412</v>
      </c>
      <c r="G65" s="1">
        <f>G49</f>
        <v>622</v>
      </c>
      <c r="R65" s="66"/>
      <c r="S65" s="66" t="s">
        <v>62</v>
      </c>
      <c r="T65" s="67">
        <f>$AA63*T57/100</f>
        <v>0</v>
      </c>
      <c r="U65" s="67">
        <f>$AA63*U57/100</f>
        <v>0</v>
      </c>
      <c r="V65" s="67">
        <f>$AA63*V57/100</f>
        <v>258.46146596899951</v>
      </c>
      <c r="W65" s="67">
        <f>$AA63*W57/100</f>
        <v>315.68082374015199</v>
      </c>
      <c r="X65" s="67">
        <f>$AA63*X57/100</f>
        <v>195.85801938237378</v>
      </c>
      <c r="AA65" s="1"/>
      <c r="AC65" t="s">
        <v>149</v>
      </c>
      <c r="AD65" s="51"/>
      <c r="AE65" s="51"/>
      <c r="AH65">
        <v>1442</v>
      </c>
      <c r="AI65">
        <v>1453</v>
      </c>
    </row>
    <row r="66" spans="1:51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0</v>
      </c>
      <c r="E66" s="18">
        <f>(O57*O57*(100-E62)*(100-E62)*(I57)*(100-I57))/((L57-1)*100)</f>
        <v>12.479899624493481</v>
      </c>
      <c r="F66" s="18">
        <f>(O58*O58*(100-F62)*(100-F62)*(I58)*(100-I58))/((L58-1)*100)</f>
        <v>15.430133752637223</v>
      </c>
      <c r="G66" s="18">
        <f>(O59*O59*(100-G62)*(100-G62)*(I59)*(100-I59))/((L59-1)*100)</f>
        <v>87.767881575335892</v>
      </c>
      <c r="R66" t="s">
        <v>93</v>
      </c>
      <c r="S66" t="s">
        <v>28</v>
      </c>
      <c r="T66" s="57">
        <f>C176</f>
        <v>0.41125662261730578</v>
      </c>
      <c r="U66" s="57">
        <f t="shared" ref="U66:X69" si="8">D176</f>
        <v>0.83078076291726899</v>
      </c>
      <c r="V66" s="57">
        <f t="shared" si="8"/>
        <v>63.208169778417812</v>
      </c>
      <c r="W66" s="57">
        <f t="shared" si="8"/>
        <v>32.086624742613225</v>
      </c>
      <c r="X66" s="57">
        <f t="shared" si="8"/>
        <v>3.4631680934343807</v>
      </c>
      <c r="Y66" s="13"/>
      <c r="Z66" s="74"/>
      <c r="AA66" s="12"/>
      <c r="AC66" t="s">
        <v>158</v>
      </c>
      <c r="AD66" s="51"/>
      <c r="AE66" s="51"/>
      <c r="AH66" s="78"/>
    </row>
    <row r="67" spans="1:51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57.43218129426743</v>
      </c>
      <c r="E67" s="18">
        <f>E62*E62*(SUM((H55*E55*(1-E44/H44))/(H44-1),(H56*E56*(1-E45/H45))/(H45-1), (H58*E58*(1-E47/H47))/(H47-1),(H59*E59*(1-E48/H48))/(H48-1)))</f>
        <v>611.86102159246013</v>
      </c>
      <c r="F67" s="18">
        <f>F62*F62*(SUM((H55*F55*(1-F44/H44))/(H44-1),(H56*F56*(1-F45/H45))/(H45-1), (H57*F57*(1-F46/H46))/(H46-1),(H59*F59*(1-F48/H48))/(H48-1)))</f>
        <v>219.55447910636704</v>
      </c>
      <c r="G67" s="18">
        <f>G62*G62*(SUM((H55*G55*(1-G44/H44))/(H44-1),(H56*G56*(1-G45/H45))/(H45-1), (H57*G57*(1-G46/H46))/(H46-1),(H58*G58*(1-G47/H47))/(H47-1)))</f>
        <v>335.04020030374204</v>
      </c>
      <c r="S67" s="66" t="s">
        <v>39</v>
      </c>
      <c r="T67" s="67">
        <f>C177</f>
        <v>0</v>
      </c>
      <c r="U67" s="67">
        <f t="shared" si="8"/>
        <v>8.552597495143659E-3</v>
      </c>
      <c r="V67" s="67">
        <f t="shared" si="8"/>
        <v>0.32368228605543192</v>
      </c>
      <c r="W67" s="67">
        <f t="shared" si="8"/>
        <v>0.36575896842491995</v>
      </c>
      <c r="X67" s="67">
        <f t="shared" si="8"/>
        <v>0.19158286064820626</v>
      </c>
      <c r="AC67" t="s">
        <v>159</v>
      </c>
      <c r="AD67" s="51"/>
      <c r="AE67" s="51"/>
      <c r="AI67" s="78"/>
    </row>
    <row r="68" spans="1:51" x14ac:dyDescent="0.3">
      <c r="S68" t="s">
        <v>30</v>
      </c>
      <c r="T68" s="57">
        <f>C178</f>
        <v>100</v>
      </c>
      <c r="U68" s="57">
        <f t="shared" si="8"/>
        <v>98.213540385467567</v>
      </c>
      <c r="V68" s="57">
        <f t="shared" si="8"/>
        <v>97.380671086721264</v>
      </c>
      <c r="W68" s="57">
        <f t="shared" si="8"/>
        <v>98.570689578721854</v>
      </c>
      <c r="X68" s="57">
        <f t="shared" si="8"/>
        <v>88.139376140452569</v>
      </c>
      <c r="AC68" t="s">
        <v>160</v>
      </c>
      <c r="AD68" s="51"/>
      <c r="AE68" s="51"/>
      <c r="AH68" s="2"/>
      <c r="AI68" s="2"/>
    </row>
    <row r="69" spans="1:51" x14ac:dyDescent="0.3">
      <c r="S69" s="66" t="s">
        <v>39</v>
      </c>
      <c r="T69" s="67">
        <f>C179</f>
        <v>0</v>
      </c>
      <c r="U69" s="67">
        <f t="shared" si="8"/>
        <v>1.0117105568374962</v>
      </c>
      <c r="V69" s="67">
        <f t="shared" si="8"/>
        <v>0.42899007072935269</v>
      </c>
      <c r="W69" s="67">
        <f t="shared" si="8"/>
        <v>0.55241247044778063</v>
      </c>
      <c r="X69" s="67">
        <f t="shared" si="8"/>
        <v>5.0605211634158058</v>
      </c>
      <c r="AC69" t="s">
        <v>161</v>
      </c>
      <c r="AD69" s="51"/>
      <c r="AE69" s="51"/>
    </row>
    <row r="70" spans="1:51" x14ac:dyDescent="0.3">
      <c r="A70" s="348" t="s">
        <v>378</v>
      </c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 t="s">
        <v>56</v>
      </c>
      <c r="M70" s="348"/>
      <c r="N70" s="348"/>
      <c r="O70" s="348"/>
      <c r="P70" s="348"/>
      <c r="S70" s="15" t="s">
        <v>31</v>
      </c>
      <c r="T70" s="71">
        <f>I171</f>
        <v>100</v>
      </c>
      <c r="U70" s="71">
        <f>I172</f>
        <v>100</v>
      </c>
      <c r="V70" s="71">
        <f>I173</f>
        <v>99.442896935933149</v>
      </c>
      <c r="W70" s="71">
        <f>I174</f>
        <v>96.009975062344125</v>
      </c>
      <c r="X70" s="71">
        <f>I175</f>
        <v>77.610062893081761</v>
      </c>
      <c r="AC70" t="s">
        <v>162</v>
      </c>
      <c r="AD70" s="51"/>
      <c r="AE70" s="51"/>
      <c r="AH70" s="2"/>
      <c r="AI70" s="2"/>
    </row>
    <row r="71" spans="1:51" x14ac:dyDescent="0.3">
      <c r="A71" t="s">
        <v>315</v>
      </c>
      <c r="B71" t="s">
        <v>21</v>
      </c>
      <c r="I71" s="1" t="s">
        <v>53</v>
      </c>
      <c r="O71" s="142"/>
      <c r="P71" s="142"/>
      <c r="S71" s="75" t="s">
        <v>39</v>
      </c>
      <c r="T71" s="76">
        <f>J171</f>
        <v>0</v>
      </c>
      <c r="U71" s="76">
        <f>J172</f>
        <v>0</v>
      </c>
      <c r="V71" s="76">
        <f>J173</f>
        <v>0.27796817739934171</v>
      </c>
      <c r="W71" s="76">
        <f>J174</f>
        <v>0.97862428281040492</v>
      </c>
      <c r="X71" s="76">
        <f>J175</f>
        <v>1.4793645357117016</v>
      </c>
      <c r="AC71" t="s">
        <v>163</v>
      </c>
      <c r="AD71" s="51"/>
      <c r="AE71" s="51"/>
    </row>
    <row r="72" spans="1:51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51</v>
      </c>
      <c r="O72" s="13"/>
      <c r="P72" s="13"/>
      <c r="S72" s="66" t="s">
        <v>51</v>
      </c>
      <c r="T72" s="67">
        <f>N160*100</f>
        <v>100</v>
      </c>
      <c r="U72" s="67">
        <f>N161*100</f>
        <v>96.969696969696969</v>
      </c>
      <c r="V72" s="67">
        <f>N162*100</f>
        <v>89.529780564263334</v>
      </c>
      <c r="W72" s="67">
        <f>N163*100</f>
        <v>94.710947109471093</v>
      </c>
      <c r="X72" s="67">
        <f>N164*100</f>
        <v>87.085391672547644</v>
      </c>
      <c r="AC72" t="s">
        <v>154</v>
      </c>
      <c r="AD72" s="51"/>
      <c r="AE72" s="51"/>
      <c r="AH72" s="2"/>
      <c r="AI72" s="2"/>
    </row>
    <row r="73" spans="1:51" x14ac:dyDescent="0.3">
      <c r="A73" t="s">
        <v>3</v>
      </c>
      <c r="B73" s="13">
        <v>0</v>
      </c>
      <c r="C73" s="26">
        <v>344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344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/>
      <c r="P73" s="1"/>
      <c r="R73" s="16" t="s">
        <v>61</v>
      </c>
      <c r="S73" t="s">
        <v>9</v>
      </c>
      <c r="T73" s="1">
        <f>N171</f>
        <v>336.56</v>
      </c>
      <c r="U73" s="1">
        <f>N172</f>
        <v>667.74</v>
      </c>
      <c r="V73" s="1">
        <f>N173</f>
        <v>50654.94</v>
      </c>
      <c r="W73" s="1">
        <f>N174</f>
        <v>26959.08</v>
      </c>
      <c r="X73" s="1">
        <f>N175</f>
        <v>3218.66</v>
      </c>
      <c r="Z73" t="s">
        <v>36</v>
      </c>
      <c r="AA73" s="1">
        <f>N176</f>
        <v>81836.98000000001</v>
      </c>
      <c r="AC73" t="s">
        <v>164</v>
      </c>
      <c r="AD73" s="51"/>
      <c r="AE73" s="51"/>
    </row>
    <row r="74" spans="1:51" ht="15.6" x14ac:dyDescent="0.35">
      <c r="A74" t="s">
        <v>4</v>
      </c>
      <c r="B74" s="13">
        <v>1</v>
      </c>
      <c r="C74" s="5">
        <v>0</v>
      </c>
      <c r="D74" s="27">
        <v>48</v>
      </c>
      <c r="E74" s="1">
        <v>0</v>
      </c>
      <c r="F74" s="1">
        <v>0</v>
      </c>
      <c r="G74" s="6">
        <v>0</v>
      </c>
      <c r="H74" s="1">
        <f>SUM(C74:G74)</f>
        <v>48</v>
      </c>
      <c r="I74" s="10">
        <f>D74/H74</f>
        <v>1</v>
      </c>
      <c r="J74" s="11">
        <f>1-I74</f>
        <v>0</v>
      </c>
      <c r="K74">
        <f>H74-D78</f>
        <v>-2</v>
      </c>
      <c r="N74" s="10">
        <f>2*(D79*I74)/(D79+I74)</f>
        <v>0.97959183673469385</v>
      </c>
      <c r="O74" s="1"/>
      <c r="P74" s="1"/>
      <c r="R74" s="16" t="s">
        <v>318</v>
      </c>
      <c r="S74" t="s">
        <v>63</v>
      </c>
      <c r="T74" s="57">
        <f>$AA73*T66/100</f>
        <v>336.56000000000006</v>
      </c>
      <c r="U74" s="57">
        <f>$AA73*U66/100</f>
        <v>679.88588679245299</v>
      </c>
      <c r="V74" s="57">
        <f>$AA73*V66/100</f>
        <v>51727.657259929831</v>
      </c>
      <c r="W74" s="57">
        <f>$AA73*W66/100</f>
        <v>26258.724673287441</v>
      </c>
      <c r="X74" s="57">
        <f>$AA73*X66/100</f>
        <v>2834.1521799902757</v>
      </c>
      <c r="Z74" t="s">
        <v>36</v>
      </c>
      <c r="AA74" s="25">
        <f>SUM(T74:X74)</f>
        <v>81836.98</v>
      </c>
      <c r="AC74" t="s">
        <v>165</v>
      </c>
      <c r="AD74" s="51"/>
      <c r="AE74" s="51"/>
      <c r="AH74" s="2"/>
      <c r="AI74" s="2"/>
    </row>
    <row r="75" spans="1:51" x14ac:dyDescent="0.3">
      <c r="A75" t="s">
        <v>5</v>
      </c>
      <c r="B75" s="13">
        <v>2</v>
      </c>
      <c r="C75" s="5">
        <v>0</v>
      </c>
      <c r="D75" s="1">
        <v>1</v>
      </c>
      <c r="E75" s="27">
        <v>712</v>
      </c>
      <c r="F75" s="1">
        <v>5</v>
      </c>
      <c r="G75" s="6">
        <v>0</v>
      </c>
      <c r="H75" s="1">
        <f>SUM(C75:G75)</f>
        <v>718</v>
      </c>
      <c r="I75" s="10">
        <f>E75/H75</f>
        <v>0.99164345403899723</v>
      </c>
      <c r="J75" s="11">
        <f>1-I75</f>
        <v>8.3565459610027704E-3</v>
      </c>
      <c r="K75">
        <f>H75-E78</f>
        <v>-154</v>
      </c>
      <c r="N75" s="10">
        <f>2*(E79*I75)/(E79+I75)</f>
        <v>0.89559748427672969</v>
      </c>
      <c r="O75" s="1"/>
      <c r="P75" s="1"/>
      <c r="R75" s="66"/>
      <c r="S75" s="66" t="s">
        <v>62</v>
      </c>
      <c r="T75" s="67">
        <f>$AA73*T67/100</f>
        <v>0</v>
      </c>
      <c r="U75" s="67">
        <f>$AA73*U67/100</f>
        <v>6.9991875015812184</v>
      </c>
      <c r="V75" s="67">
        <f>$AA73*V67/100</f>
        <v>264.89180770272668</v>
      </c>
      <c r="W75" s="67">
        <f>$AA73*W67/100</f>
        <v>299.32609383810808</v>
      </c>
      <c r="X75" s="67">
        <f>$AA73*X67/100</f>
        <v>156.78562735210045</v>
      </c>
      <c r="AA75" s="1"/>
      <c r="AC75" t="s">
        <v>166</v>
      </c>
      <c r="AD75" s="51"/>
      <c r="AE75" s="51"/>
    </row>
    <row r="76" spans="1:51" x14ac:dyDescent="0.3">
      <c r="A76" t="s">
        <v>6</v>
      </c>
      <c r="B76" s="13">
        <v>3</v>
      </c>
      <c r="C76" s="5">
        <v>0</v>
      </c>
      <c r="D76" s="1">
        <v>0</v>
      </c>
      <c r="E76" s="1">
        <v>9</v>
      </c>
      <c r="F76" s="27">
        <v>387</v>
      </c>
      <c r="G76" s="6">
        <v>5</v>
      </c>
      <c r="H76" s="1">
        <f>SUM(C76:G76)</f>
        <v>401</v>
      </c>
      <c r="I76" s="10">
        <f>F76/H76</f>
        <v>0.96508728179551118</v>
      </c>
      <c r="J76" s="11">
        <f>1-I76</f>
        <v>3.4912718204488824E-2</v>
      </c>
      <c r="K76">
        <f>H76-F78</f>
        <v>-18</v>
      </c>
      <c r="N76" s="10">
        <f>2*(F79*I76)/(F79+I76)</f>
        <v>0.94390243902439019</v>
      </c>
      <c r="O76" s="1"/>
      <c r="P76" s="1"/>
      <c r="R76" t="s">
        <v>94</v>
      </c>
      <c r="S76" t="s">
        <v>28</v>
      </c>
      <c r="T76" s="57">
        <f>C205</f>
        <v>0.40696765777129829</v>
      </c>
      <c r="U76" s="57">
        <f t="shared" ref="U76:X79" si="9">D205</f>
        <v>0.76261539756359142</v>
      </c>
      <c r="V76" s="57">
        <f t="shared" si="9"/>
        <v>63.023118654918065</v>
      </c>
      <c r="W76" s="57">
        <f t="shared" si="9"/>
        <v>32.148866804173458</v>
      </c>
      <c r="X76" s="57">
        <f t="shared" si="9"/>
        <v>3.65843148557361</v>
      </c>
      <c r="AC76" t="s">
        <v>167</v>
      </c>
      <c r="AD76" s="51"/>
      <c r="AE76" s="51"/>
      <c r="AH76" s="78"/>
      <c r="AI76" s="78"/>
    </row>
    <row r="77" spans="1:51" x14ac:dyDescent="0.3">
      <c r="A77" t="s">
        <v>7</v>
      </c>
      <c r="B77" s="13">
        <v>4</v>
      </c>
      <c r="C77" s="7">
        <v>0</v>
      </c>
      <c r="D77" s="8">
        <v>1</v>
      </c>
      <c r="E77" s="8">
        <v>151</v>
      </c>
      <c r="F77" s="8">
        <v>27</v>
      </c>
      <c r="G77" s="28">
        <v>616</v>
      </c>
      <c r="H77" s="1">
        <f>SUM(C77:G77)</f>
        <v>795</v>
      </c>
      <c r="I77" s="10">
        <f>G77/H77</f>
        <v>0.77484276729559753</v>
      </c>
      <c r="J77" s="11">
        <f>1-I77</f>
        <v>0.22515723270440247</v>
      </c>
      <c r="K77">
        <f>H77-G78</f>
        <v>174</v>
      </c>
      <c r="N77" s="10">
        <f>2*(G79*I77)/(G79+I77)</f>
        <v>0.87005649717514122</v>
      </c>
      <c r="O77" s="1"/>
      <c r="P77" s="1"/>
      <c r="S77" s="66" t="s">
        <v>39</v>
      </c>
      <c r="T77" s="67">
        <f>C206</f>
        <v>0</v>
      </c>
      <c r="U77" s="67">
        <f t="shared" si="9"/>
        <v>2.9412122575294533E-2</v>
      </c>
      <c r="V77" s="67">
        <f t="shared" si="9"/>
        <v>0.33634334256450654</v>
      </c>
      <c r="W77" s="67">
        <f t="shared" si="9"/>
        <v>0.37521479277235587</v>
      </c>
      <c r="X77" s="67">
        <f t="shared" si="9"/>
        <v>0.22579265203479931</v>
      </c>
      <c r="AC77" t="s">
        <v>168</v>
      </c>
      <c r="AD77" s="51"/>
      <c r="AE77" s="51"/>
    </row>
    <row r="78" spans="1:51" ht="15.6" x14ac:dyDescent="0.35">
      <c r="B78" s="1" t="s">
        <v>19</v>
      </c>
      <c r="C78" s="1">
        <f>SUM(C73:C77)</f>
        <v>344</v>
      </c>
      <c r="D78" s="1">
        <f>SUM(D73:D77)</f>
        <v>50</v>
      </c>
      <c r="E78" s="1">
        <f>SUM(E73:E77)</f>
        <v>872</v>
      </c>
      <c r="F78" s="1">
        <f>SUM(F73:F77)</f>
        <v>419</v>
      </c>
      <c r="G78" s="1">
        <f>SUM(G73:G77)</f>
        <v>621</v>
      </c>
      <c r="H78" s="1">
        <f>SUM(H72:H77)</f>
        <v>2306</v>
      </c>
      <c r="I78" s="13" t="s">
        <v>12</v>
      </c>
      <c r="N78" s="16"/>
      <c r="O78" s="1"/>
      <c r="P78" s="1"/>
      <c r="S78" s="70" t="s">
        <v>30</v>
      </c>
      <c r="T78" s="64">
        <f>C207</f>
        <v>100</v>
      </c>
      <c r="U78" s="64">
        <f t="shared" si="9"/>
        <v>97.383524401123893</v>
      </c>
      <c r="V78" s="64">
        <f t="shared" si="9"/>
        <v>97.350980034737717</v>
      </c>
      <c r="W78" s="64">
        <f t="shared" si="9"/>
        <v>98.448341553873036</v>
      </c>
      <c r="X78" s="64">
        <f t="shared" si="9"/>
        <v>84.130313095248454</v>
      </c>
      <c r="AC78" t="s">
        <v>169</v>
      </c>
      <c r="AD78" s="51"/>
      <c r="AE78" s="51"/>
      <c r="AH78" s="78"/>
      <c r="AI78" s="78"/>
    </row>
    <row r="79" spans="1:51" x14ac:dyDescent="0.3">
      <c r="A79" s="1" t="s">
        <v>316</v>
      </c>
      <c r="B79" s="1" t="s">
        <v>2</v>
      </c>
      <c r="C79" s="10">
        <f>C73/C78</f>
        <v>1</v>
      </c>
      <c r="D79" s="10">
        <f>D74/D78</f>
        <v>0.96</v>
      </c>
      <c r="E79" s="10">
        <f>E75/E78</f>
        <v>0.8165137614678899</v>
      </c>
      <c r="F79" s="10">
        <f>F76/F78</f>
        <v>0.92362768496420045</v>
      </c>
      <c r="G79" s="10">
        <f>G77/G78</f>
        <v>0.99194847020933974</v>
      </c>
      <c r="H79" s="10"/>
      <c r="I79" s="14">
        <f>(C73+D74+E75+F76+G77)/H78</f>
        <v>0.91370338248048566</v>
      </c>
      <c r="S79" s="66" t="s">
        <v>39</v>
      </c>
      <c r="T79" s="67">
        <f>C208</f>
        <v>0</v>
      </c>
      <c r="U79" s="67">
        <f t="shared" si="9"/>
        <v>1.5930693121278781</v>
      </c>
      <c r="V79" s="67">
        <f t="shared" si="9"/>
        <v>0.43495864529984768</v>
      </c>
      <c r="W79" s="67">
        <f t="shared" si="9"/>
        <v>0.55621075173164802</v>
      </c>
      <c r="X79" s="67">
        <f t="shared" si="9"/>
        <v>5.6283444057301422</v>
      </c>
      <c r="AC79" t="s">
        <v>170</v>
      </c>
      <c r="AD79" s="51"/>
      <c r="AE79" s="51"/>
    </row>
    <row r="80" spans="1:51" x14ac:dyDescent="0.3">
      <c r="B80" s="1" t="s">
        <v>14</v>
      </c>
      <c r="C80" s="11">
        <f>1-C79</f>
        <v>0</v>
      </c>
      <c r="D80" s="11">
        <f>1-D79</f>
        <v>4.0000000000000036E-2</v>
      </c>
      <c r="E80" s="11">
        <f>1-E79</f>
        <v>0.1834862385321101</v>
      </c>
      <c r="F80" s="11">
        <f>1-F79</f>
        <v>7.6372315035799554E-2</v>
      </c>
      <c r="G80" s="11">
        <f>1-G79</f>
        <v>8.0515297906602612E-3</v>
      </c>
      <c r="S80" s="70" t="s">
        <v>31</v>
      </c>
      <c r="T80" s="64">
        <f>I200</f>
        <v>100</v>
      </c>
      <c r="U80" s="64">
        <f>I201</f>
        <v>93.750000000000014</v>
      </c>
      <c r="V80" s="64">
        <f>I202</f>
        <v>99.30362116991644</v>
      </c>
      <c r="W80" s="64">
        <f>I203</f>
        <v>95.760598503740653</v>
      </c>
      <c r="X80" s="64">
        <f>I204</f>
        <v>77.610062893081761</v>
      </c>
      <c r="AC80" t="s">
        <v>171</v>
      </c>
      <c r="AD80" s="51"/>
      <c r="AE80" s="51"/>
      <c r="AH80" s="78"/>
      <c r="AI80" s="78"/>
      <c r="AJ80" s="348" t="s">
        <v>379</v>
      </c>
      <c r="AK80" s="348"/>
      <c r="AL80" s="348"/>
      <c r="AM80" s="348"/>
      <c r="AN80" s="348"/>
      <c r="AO80" s="348"/>
      <c r="AP80" s="348"/>
      <c r="AQ80" s="348"/>
      <c r="AR80" s="348"/>
      <c r="AS80" s="348"/>
      <c r="AT80" s="348"/>
      <c r="AU80" s="348" t="s">
        <v>351</v>
      </c>
      <c r="AV80" s="348"/>
      <c r="AW80" s="348"/>
      <c r="AX80" s="348"/>
      <c r="AY80" s="348"/>
    </row>
    <row r="81" spans="1:51" x14ac:dyDescent="0.3">
      <c r="C81" s="2"/>
      <c r="S81" s="66" t="s">
        <v>39</v>
      </c>
      <c r="T81" s="67">
        <f>J200</f>
        <v>0</v>
      </c>
      <c r="U81" s="67">
        <f>J201</f>
        <v>3.5308292679126967</v>
      </c>
      <c r="V81" s="67">
        <f>J202</f>
        <v>0.31056016230667621</v>
      </c>
      <c r="W81" s="67">
        <f>J203</f>
        <v>1.0074319140510797</v>
      </c>
      <c r="X81" s="67">
        <f>J204</f>
        <v>1.4793645357117016</v>
      </c>
      <c r="AC81" t="s">
        <v>172</v>
      </c>
      <c r="AD81" s="51"/>
      <c r="AE81" s="51"/>
      <c r="AJ81" t="s">
        <v>315</v>
      </c>
      <c r="AK81" t="s">
        <v>21</v>
      </c>
      <c r="AR81" s="1" t="s">
        <v>53</v>
      </c>
    </row>
    <row r="82" spans="1:51" ht="15.6" x14ac:dyDescent="0.35">
      <c r="A82" t="s">
        <v>317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51</v>
      </c>
      <c r="T82" s="65">
        <f>N189*100</f>
        <v>100</v>
      </c>
      <c r="U82" s="65">
        <f>N190*100</f>
        <v>92.783505154639172</v>
      </c>
      <c r="V82" s="65">
        <f>N191*100</f>
        <v>89.798488664987403</v>
      </c>
      <c r="W82" s="65">
        <f>N192*100</f>
        <v>93.658536585365866</v>
      </c>
      <c r="X82" s="65">
        <f>N193*100</f>
        <v>86.962649753347449</v>
      </c>
      <c r="Z82" s="46"/>
      <c r="AA82" s="46"/>
      <c r="AC82" t="s">
        <v>173</v>
      </c>
      <c r="AD82" s="51"/>
      <c r="AE82" s="51"/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51</v>
      </c>
    </row>
    <row r="83" spans="1:51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61</v>
      </c>
      <c r="S83" t="s">
        <v>9</v>
      </c>
      <c r="T83" s="30">
        <f>N200</f>
        <v>333.05</v>
      </c>
      <c r="U83" s="30">
        <f>N201</f>
        <v>648.29</v>
      </c>
      <c r="V83" s="30">
        <f>N202</f>
        <v>50562.05</v>
      </c>
      <c r="W83" s="30">
        <f>N203</f>
        <v>27048.1</v>
      </c>
      <c r="X83" s="30">
        <f>N204</f>
        <v>3245.48</v>
      </c>
      <c r="Z83" t="s">
        <v>36</v>
      </c>
      <c r="AA83" s="1">
        <f>N205</f>
        <v>81836.969999999987</v>
      </c>
      <c r="AC83" t="s">
        <v>174</v>
      </c>
      <c r="AD83" s="51"/>
      <c r="AE83" s="51"/>
      <c r="AJ83" t="s">
        <v>3</v>
      </c>
      <c r="AK83" s="13">
        <v>0</v>
      </c>
      <c r="AL83" s="26">
        <v>344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344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</row>
    <row r="84" spans="1:51" ht="15.6" x14ac:dyDescent="0.35">
      <c r="A84" t="s">
        <v>3</v>
      </c>
      <c r="B84" s="13">
        <v>0</v>
      </c>
      <c r="C84" s="29">
        <f>(C73/$L84)*$O84</f>
        <v>0.41488583949283558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0.41488583949283558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344</v>
      </c>
      <c r="M84">
        <v>0</v>
      </c>
      <c r="N84" s="1">
        <v>339.53</v>
      </c>
      <c r="O84" s="17">
        <f>N84/N89*100</f>
        <v>0.41488583949283558</v>
      </c>
      <c r="P84" s="52">
        <f>((O84*O84*(I84/100)*(K84/100))/(L84-1))</f>
        <v>0</v>
      </c>
      <c r="R84" s="16" t="s">
        <v>318</v>
      </c>
      <c r="S84" t="s">
        <v>63</v>
      </c>
      <c r="T84" s="57">
        <f>$AA83*T76/100</f>
        <v>333.05</v>
      </c>
      <c r="U84" s="57">
        <f>$AA83*U76/100</f>
        <v>624.10133411949698</v>
      </c>
      <c r="V84" s="57">
        <f>$AA83*V76/100</f>
        <v>51576.210706689693</v>
      </c>
      <c r="W84" s="57">
        <f>$AA83*W76/100</f>
        <v>26309.658481871389</v>
      </c>
      <c r="X84" s="57">
        <f>$AA83*X76/100</f>
        <v>2993.9494773194292</v>
      </c>
      <c r="Z84" t="s">
        <v>36</v>
      </c>
      <c r="AA84" s="25">
        <f>SUM(T84:X84)</f>
        <v>81836.97</v>
      </c>
      <c r="AC84" t="s">
        <v>175</v>
      </c>
      <c r="AD84" s="51"/>
      <c r="AE84" s="51"/>
      <c r="AH84" s="78"/>
      <c r="AI84" s="78"/>
      <c r="AJ84" t="s">
        <v>4</v>
      </c>
      <c r="AK84" s="13">
        <v>1</v>
      </c>
      <c r="AL84" s="5">
        <v>0</v>
      </c>
      <c r="AM84" s="27">
        <v>48</v>
      </c>
      <c r="AN84" s="1">
        <v>0</v>
      </c>
      <c r="AO84" s="1">
        <v>0</v>
      </c>
      <c r="AP84" s="6">
        <v>0</v>
      </c>
      <c r="AQ84" s="1">
        <f>SUM(AL84:AP84)</f>
        <v>48</v>
      </c>
      <c r="AR84" s="10">
        <f>AM84/AQ84</f>
        <v>1</v>
      </c>
      <c r="AS84" s="11">
        <f>1-AR84</f>
        <v>0</v>
      </c>
      <c r="AT84">
        <f>AQ84-AM88</f>
        <v>-2</v>
      </c>
      <c r="AW84" s="10">
        <f>2*(AM89*AR84)/(AM89+AR84)</f>
        <v>0.97959183673469385</v>
      </c>
    </row>
    <row r="85" spans="1:51" x14ac:dyDescent="0.3">
      <c r="A85" t="s">
        <v>4</v>
      </c>
      <c r="B85" s="13">
        <v>1</v>
      </c>
      <c r="C85" s="33">
        <f t="shared" ref="C85:G88" si="10">(C74/$L85)*$O85</f>
        <v>0</v>
      </c>
      <c r="D85" s="34">
        <f t="shared" si="10"/>
        <v>0.88732512946166009</v>
      </c>
      <c r="E85" s="19">
        <f t="shared" si="10"/>
        <v>0</v>
      </c>
      <c r="F85" s="18">
        <f t="shared" si="10"/>
        <v>0</v>
      </c>
      <c r="G85" s="20">
        <f t="shared" si="10"/>
        <v>0</v>
      </c>
      <c r="H85" s="17">
        <f>SUM(C85:G85)</f>
        <v>0.88732512946166009</v>
      </c>
      <c r="I85" s="17">
        <f>D85/H85*100</f>
        <v>100</v>
      </c>
      <c r="J85" s="17">
        <f>SQRT(I85*(100-I85)/(L85-1))</f>
        <v>0</v>
      </c>
      <c r="K85" s="18">
        <f>100-I85</f>
        <v>0</v>
      </c>
      <c r="L85" s="1">
        <f>H74</f>
        <v>48</v>
      </c>
      <c r="M85">
        <v>1</v>
      </c>
      <c r="N85" s="1">
        <v>726.16</v>
      </c>
      <c r="O85" s="17">
        <f>N85/N89*100</f>
        <v>0.88732512946166009</v>
      </c>
      <c r="P85" s="52">
        <f>((O85*O85*(I85/100)*(K85/100))/(L85-1))</f>
        <v>0</v>
      </c>
      <c r="R85" s="66"/>
      <c r="S85" s="66" t="s">
        <v>62</v>
      </c>
      <c r="T85" s="67">
        <f>$AA83*T77/100</f>
        <v>0</v>
      </c>
      <c r="U85" s="67">
        <f>$AA83*U77/100</f>
        <v>24.06998992830701</v>
      </c>
      <c r="V85" s="67">
        <f>$AA83*V77/100</f>
        <v>275.25320035151236</v>
      </c>
      <c r="W85" s="67">
        <f>$AA83*W77/100</f>
        <v>307.06441739667497</v>
      </c>
      <c r="X85" s="67">
        <f>$AA83*X77/100</f>
        <v>184.78186490792308</v>
      </c>
      <c r="AA85" s="1"/>
      <c r="AC85" t="s">
        <v>176</v>
      </c>
      <c r="AD85" s="51"/>
      <c r="AE85" s="51"/>
      <c r="AJ85" t="s">
        <v>5</v>
      </c>
      <c r="AK85" s="13">
        <v>2</v>
      </c>
      <c r="AL85" s="5">
        <v>0</v>
      </c>
      <c r="AM85" s="1">
        <v>0</v>
      </c>
      <c r="AN85" s="27">
        <v>713</v>
      </c>
      <c r="AO85" s="1">
        <v>5</v>
      </c>
      <c r="AP85" s="6">
        <v>0</v>
      </c>
      <c r="AQ85" s="1">
        <f>SUM(AL85:AP85)</f>
        <v>718</v>
      </c>
      <c r="AR85" s="10">
        <f>AN85/AQ85</f>
        <v>0.99303621169916434</v>
      </c>
      <c r="AS85" s="11">
        <f>1-AR85</f>
        <v>6.9637883008356605E-3</v>
      </c>
      <c r="AT85">
        <f>AQ85-AN88</f>
        <v>-151</v>
      </c>
      <c r="AW85" s="10">
        <f>2*(AN89*AR85)/(AN89+AR85)</f>
        <v>0.89855072463768115</v>
      </c>
    </row>
    <row r="86" spans="1:51" x14ac:dyDescent="0.3">
      <c r="A86" t="s">
        <v>5</v>
      </c>
      <c r="B86" s="13">
        <v>2</v>
      </c>
      <c r="C86" s="33">
        <f t="shared" si="10"/>
        <v>0</v>
      </c>
      <c r="D86" s="19">
        <f t="shared" si="10"/>
        <v>8.5925862800973793E-2</v>
      </c>
      <c r="E86" s="34">
        <f t="shared" si="10"/>
        <v>61.179214314293347</v>
      </c>
      <c r="F86" s="19">
        <f t="shared" si="10"/>
        <v>0.42962931400486898</v>
      </c>
      <c r="G86" s="20">
        <f t="shared" si="10"/>
        <v>0</v>
      </c>
      <c r="H86" s="17">
        <f>SUM(C86:G86)</f>
        <v>61.694769491099194</v>
      </c>
      <c r="I86" s="17">
        <f>E86/H86*100</f>
        <v>99.164345403899716</v>
      </c>
      <c r="J86" s="17">
        <f>SQRT(I86*(100-I86)/(L86-1))</f>
        <v>0.33996295845078778</v>
      </c>
      <c r="K86" s="18">
        <f>100-I86</f>
        <v>0.8356545961002837</v>
      </c>
      <c r="L86" s="1">
        <f>H75</f>
        <v>718</v>
      </c>
      <c r="M86">
        <v>2</v>
      </c>
      <c r="N86" s="1">
        <v>50489.13</v>
      </c>
      <c r="O86" s="17">
        <f>N86/N89*100</f>
        <v>61.694769491099187</v>
      </c>
      <c r="P86" s="52">
        <f>((O86*O86*(I86/100)*(K86/100))/(L86-1))</f>
        <v>4.3990600631308566E-2</v>
      </c>
      <c r="R86" t="s">
        <v>95</v>
      </c>
      <c r="S86" s="70" t="s">
        <v>28</v>
      </c>
      <c r="T86" s="64">
        <f>C234</f>
        <v>0.41613333644483275</v>
      </c>
      <c r="U86" s="64">
        <f t="shared" ref="U86:X89" si="11">D234</f>
        <v>0.88838284001991552</v>
      </c>
      <c r="V86" s="64">
        <f t="shared" si="11"/>
        <v>62.146799323073886</v>
      </c>
      <c r="W86" s="64">
        <f t="shared" si="11"/>
        <v>32.837513711877143</v>
      </c>
      <c r="X86" s="64">
        <f t="shared" si="11"/>
        <v>3.7111707885842145</v>
      </c>
      <c r="AA86" s="12"/>
      <c r="AC86" t="s">
        <v>177</v>
      </c>
      <c r="AD86" s="51"/>
      <c r="AE86" s="51"/>
      <c r="AH86" s="78"/>
      <c r="AI86" s="78"/>
      <c r="AJ86" t="s">
        <v>6</v>
      </c>
      <c r="AK86" s="13">
        <v>3</v>
      </c>
      <c r="AL86" s="5">
        <v>0</v>
      </c>
      <c r="AM86" s="1">
        <v>0</v>
      </c>
      <c r="AN86" s="1">
        <v>9</v>
      </c>
      <c r="AO86" s="27">
        <v>387</v>
      </c>
      <c r="AP86" s="6">
        <v>5</v>
      </c>
      <c r="AQ86" s="1">
        <f>SUM(AL86:AP86)</f>
        <v>401</v>
      </c>
      <c r="AR86" s="10">
        <f>AO86/AQ86</f>
        <v>0.96508728179551118</v>
      </c>
      <c r="AS86" s="11">
        <f>1-AR86</f>
        <v>3.4912718204488824E-2</v>
      </c>
      <c r="AT86">
        <f>AQ86-AO88</f>
        <v>-14</v>
      </c>
      <c r="AW86" s="10">
        <f>2*(AO89*AR86)/(AO89+AR86)</f>
        <v>0.94852941176470595</v>
      </c>
    </row>
    <row r="87" spans="1:51" x14ac:dyDescent="0.3">
      <c r="A87" t="s">
        <v>6</v>
      </c>
      <c r="B87" s="13">
        <v>3</v>
      </c>
      <c r="C87" s="33">
        <f t="shared" si="10"/>
        <v>0</v>
      </c>
      <c r="D87" s="19">
        <f t="shared" si="10"/>
        <v>0</v>
      </c>
      <c r="E87" s="19">
        <f t="shared" si="10"/>
        <v>0.74169382202620826</v>
      </c>
      <c r="F87" s="34">
        <f t="shared" si="10"/>
        <v>31.892834347126954</v>
      </c>
      <c r="G87" s="20">
        <f t="shared" si="10"/>
        <v>0.41205212334789348</v>
      </c>
      <c r="H87" s="17">
        <f>SUM(C87:G87)</f>
        <v>33.046580292501055</v>
      </c>
      <c r="I87" s="17">
        <f>F87/H87*100</f>
        <v>96.508728179551113</v>
      </c>
      <c r="J87" s="17">
        <f>SQRT(I87*(100-I87)/(L87-1))</f>
        <v>0.91779382641286622</v>
      </c>
      <c r="K87" s="18">
        <f>100-I87</f>
        <v>3.4912718204488868</v>
      </c>
      <c r="L87" s="1">
        <f>H76</f>
        <v>401</v>
      </c>
      <c r="M87">
        <v>3</v>
      </c>
      <c r="N87" s="1">
        <v>27044.32</v>
      </c>
      <c r="O87" s="17">
        <f>N87/N89*100</f>
        <v>33.046580292501055</v>
      </c>
      <c r="P87" s="52">
        <f>((O87*O87*(I87/100)*(K87/100))/(L87-1))</f>
        <v>9.1990570786214254E-2</v>
      </c>
      <c r="S87" s="66" t="s">
        <v>39</v>
      </c>
      <c r="T87" s="67">
        <f>C235</f>
        <v>3.677495402322894E-3</v>
      </c>
      <c r="U87" s="67">
        <f t="shared" si="11"/>
        <v>8.6649988329541693E-3</v>
      </c>
      <c r="V87" s="67">
        <f t="shared" si="11"/>
        <v>0.31741244688578213</v>
      </c>
      <c r="W87" s="67">
        <f t="shared" si="11"/>
        <v>0.37995155383502649</v>
      </c>
      <c r="X87" s="67">
        <f t="shared" si="11"/>
        <v>0.22620933215439182</v>
      </c>
      <c r="AC87" t="s">
        <v>178</v>
      </c>
      <c r="AD87" s="51"/>
      <c r="AE87" s="51"/>
      <c r="AJ87" t="s">
        <v>7</v>
      </c>
      <c r="AK87" s="13">
        <v>4</v>
      </c>
      <c r="AL87" s="7">
        <v>0</v>
      </c>
      <c r="AM87" s="8">
        <v>2</v>
      </c>
      <c r="AN87" s="8">
        <v>147</v>
      </c>
      <c r="AO87" s="8">
        <v>23</v>
      </c>
      <c r="AP87" s="28">
        <v>623</v>
      </c>
      <c r="AQ87" s="1">
        <f>SUM(AL87:AP87)</f>
        <v>795</v>
      </c>
      <c r="AR87" s="10">
        <f>AP87/AQ87</f>
        <v>0.78364779874213841</v>
      </c>
      <c r="AS87" s="11">
        <f>1-AR87</f>
        <v>0.21635220125786159</v>
      </c>
      <c r="AT87">
        <f>AQ87-AP88</f>
        <v>167</v>
      </c>
      <c r="AW87" s="10">
        <f>2*(AP89*AR87)/(AP89+AR87)</f>
        <v>0.87561489810260018</v>
      </c>
    </row>
    <row r="88" spans="1:51" ht="15.6" x14ac:dyDescent="0.35">
      <c r="A88" t="s">
        <v>7</v>
      </c>
      <c r="B88" s="13">
        <v>4</v>
      </c>
      <c r="C88" s="35">
        <f t="shared" si="10"/>
        <v>0</v>
      </c>
      <c r="D88" s="36">
        <f t="shared" si="10"/>
        <v>4.9766531414405729E-3</v>
      </c>
      <c r="E88" s="21">
        <f t="shared" si="10"/>
        <v>0.75147462435752665</v>
      </c>
      <c r="F88" s="21">
        <f t="shared" si="10"/>
        <v>0.13436963481889547</v>
      </c>
      <c r="G88" s="37">
        <f t="shared" si="10"/>
        <v>3.0656183351273936</v>
      </c>
      <c r="H88" s="17">
        <f>SUM(C88:G88)</f>
        <v>3.9564392474452563</v>
      </c>
      <c r="I88" s="17">
        <f>G88/H88*100</f>
        <v>77.484276729559753</v>
      </c>
      <c r="J88" s="17">
        <f>SQRT(I88*(100-I88)/(L88-1))</f>
        <v>1.4823115469539365</v>
      </c>
      <c r="K88" s="18">
        <f>100-I88</f>
        <v>22.515723270440247</v>
      </c>
      <c r="L88" s="1">
        <f>H77</f>
        <v>795</v>
      </c>
      <c r="M88">
        <v>4</v>
      </c>
      <c r="N88" s="1">
        <v>3237.83</v>
      </c>
      <c r="O88" s="17">
        <f>N88/N89*100</f>
        <v>3.9564392474452559</v>
      </c>
      <c r="P88" s="52">
        <f>((O88*O88*(I88/100)*(K88/100))/(L88-1))</f>
        <v>3.4394419674011975E-3</v>
      </c>
      <c r="S88" t="s">
        <v>30</v>
      </c>
      <c r="T88" s="57">
        <f>C236</f>
        <v>100</v>
      </c>
      <c r="U88" s="57">
        <f t="shared" si="11"/>
        <v>98.307417102387106</v>
      </c>
      <c r="V88" s="57">
        <f t="shared" si="11"/>
        <v>97.789684141256743</v>
      </c>
      <c r="W88" s="57">
        <f t="shared" si="11"/>
        <v>97.99423728651287</v>
      </c>
      <c r="X88" s="57">
        <f t="shared" si="11"/>
        <v>84.275726162906224</v>
      </c>
      <c r="AC88" t="s">
        <v>179</v>
      </c>
      <c r="AD88" s="51"/>
      <c r="AE88" s="51"/>
      <c r="AH88" s="78"/>
      <c r="AI88" s="78"/>
      <c r="AK88" s="1" t="s">
        <v>19</v>
      </c>
      <c r="AL88" s="1">
        <f>SUM(AL83:AL87)</f>
        <v>344</v>
      </c>
      <c r="AM88" s="1">
        <f>SUM(AM83:AM87)</f>
        <v>50</v>
      </c>
      <c r="AN88" s="1">
        <f>SUM(AN83:AN87)</f>
        <v>869</v>
      </c>
      <c r="AO88" s="1">
        <f>SUM(AO83:AO87)</f>
        <v>415</v>
      </c>
      <c r="AP88" s="1">
        <f>SUM(AP83:AP87)</f>
        <v>628</v>
      </c>
      <c r="AQ88" s="1">
        <f>SUM(AQ82:AQ87)</f>
        <v>2306</v>
      </c>
      <c r="AR88" s="13" t="s">
        <v>12</v>
      </c>
    </row>
    <row r="89" spans="1:51" x14ac:dyDescent="0.3">
      <c r="B89" t="s">
        <v>28</v>
      </c>
      <c r="C89" s="17">
        <f>SUM(C84:C88)</f>
        <v>0.41488583949283558</v>
      </c>
      <c r="D89" s="17">
        <f>SUM(D84:D88)</f>
        <v>0.97822764540407448</v>
      </c>
      <c r="E89" s="17">
        <f>SUM(E84:E88)</f>
        <v>62.672382760677081</v>
      </c>
      <c r="F89" s="17">
        <f>SUM(F84:F88)</f>
        <v>32.456833295950716</v>
      </c>
      <c r="G89" s="17">
        <f>SUM(G84:G88)</f>
        <v>3.4776704584752869</v>
      </c>
      <c r="H89" s="1">
        <f>SUM(H83:H88)</f>
        <v>100.00000000000001</v>
      </c>
      <c r="I89" s="13" t="s">
        <v>24</v>
      </c>
      <c r="J89" s="12" t="s">
        <v>29</v>
      </c>
      <c r="N89" s="1">
        <f>SUM(N84:N88)</f>
        <v>81836.97</v>
      </c>
      <c r="O89" s="17">
        <f>SUM(O84:O88)</f>
        <v>100</v>
      </c>
      <c r="S89" s="66" t="s">
        <v>39</v>
      </c>
      <c r="T89" s="67">
        <f>C237</f>
        <v>0</v>
      </c>
      <c r="U89" s="67">
        <f t="shared" si="11"/>
        <v>0.9594623696583755</v>
      </c>
      <c r="V89" s="67">
        <f t="shared" si="11"/>
        <v>0.38466255376217379</v>
      </c>
      <c r="W89" s="67">
        <f t="shared" si="11"/>
        <v>0.65579954636207483</v>
      </c>
      <c r="X89" s="67">
        <f t="shared" si="11"/>
        <v>5.5472122922362326</v>
      </c>
      <c r="AC89" t="s">
        <v>180</v>
      </c>
      <c r="AD89" s="51"/>
      <c r="AE89" s="51"/>
      <c r="AJ89" s="1" t="s">
        <v>316</v>
      </c>
      <c r="AK89" s="1" t="s">
        <v>2</v>
      </c>
      <c r="AL89" s="10">
        <f>AL83/AL88</f>
        <v>1</v>
      </c>
      <c r="AM89" s="10">
        <f>AM84/AM88</f>
        <v>0.96</v>
      </c>
      <c r="AN89" s="10">
        <f>AN85/AN88</f>
        <v>0.82048331415420028</v>
      </c>
      <c r="AO89" s="10">
        <f>AO86/AO88</f>
        <v>0.93253012048192774</v>
      </c>
      <c r="AP89" s="10">
        <f>AP87/AP88</f>
        <v>0.9920382165605095</v>
      </c>
      <c r="AQ89" s="10"/>
      <c r="AR89" s="14">
        <f>(AL83+AM84+AN85+AO86+AP87)/AQ88</f>
        <v>0.91717259323503908</v>
      </c>
    </row>
    <row r="90" spans="1:51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8.6009922320643459E-2</v>
      </c>
      <c r="E90" s="18">
        <f>SQRT(SUM((O84*O84*(E84/O84)*(1-E84/O84))/L84,(O85*O85*(E85/O85)*(1-E85/O85))/L85,(O86*O86*(E86/O86)*(1-E86/O86))/L86,(O87*O87*(E87/O87)*(1-E87/O87))/L87,(O88*O88*(E88/O88)*(1-E88/O88))/L88))</f>
        <v>0.32666540506429964</v>
      </c>
      <c r="F90" s="18">
        <f>SQRT(SUM((O84*O84*(F84/O84)*(1-F84/O84))/L84,(O85*O85*(F85/O85)*(1-F85/O85))/L85,(O86*O86*(F86/O86)*(1-F86/O86))/L86,(O87*O87*(F87/O87)*(1-F87/O87))/L87,(O88*O88*(F88/O88)*(1-F88/O88))/L88))</f>
        <v>0.35925806935240295</v>
      </c>
      <c r="G90" s="18">
        <f>SQRT(SUM((O84*O84*(G84/O84)*(1-G84/O84))/L84,(O85*O85*(G85/O85)*(1-G85/O85))/L85,(O86*O86*(G86/O86)*(1-G86/O86))/L86,(O87*O87*(G87/O87)*(1-G87/O87))/L87,(O88*O88*(G88/O88)*(1-G88/O88))/L88))</f>
        <v>0.19227349593135151</v>
      </c>
      <c r="H90" s="1"/>
      <c r="I90" s="14">
        <f>(C84+D85+E86+F87+G88)/H89</f>
        <v>0.97439877965502175</v>
      </c>
      <c r="J90" s="53">
        <f>SQRT(SUM(P84:P88))/100</f>
        <v>3.7339069804284632E-3</v>
      </c>
      <c r="M90" s="1"/>
      <c r="N90" s="9"/>
      <c r="S90" t="s">
        <v>31</v>
      </c>
      <c r="T90" s="57">
        <f>I229</f>
        <v>97.383720930232556</v>
      </c>
      <c r="U90" s="57">
        <f>I230</f>
        <v>100</v>
      </c>
      <c r="V90" s="57">
        <f>I231</f>
        <v>99.164345403899716</v>
      </c>
      <c r="W90" s="57">
        <f>I232</f>
        <v>96.259351620947626</v>
      </c>
      <c r="X90" s="57">
        <f>I233</f>
        <v>78.49056603773586</v>
      </c>
      <c r="AC90" t="s">
        <v>181</v>
      </c>
      <c r="AD90" s="51"/>
      <c r="AE90" s="51"/>
      <c r="AH90" s="78"/>
      <c r="AI90" s="78"/>
      <c r="AK90" s="1" t="s">
        <v>14</v>
      </c>
      <c r="AL90" s="11">
        <f>1-AL89</f>
        <v>0</v>
      </c>
      <c r="AM90" s="11">
        <f>1-AM89</f>
        <v>4.0000000000000036E-2</v>
      </c>
      <c r="AN90" s="11">
        <f>1-AN89</f>
        <v>0.17951668584579972</v>
      </c>
      <c r="AO90" s="11">
        <f>1-AO89</f>
        <v>6.7469879518072262E-2</v>
      </c>
      <c r="AP90" s="11">
        <f>1-AP89</f>
        <v>7.9617834394904996E-3</v>
      </c>
    </row>
    <row r="91" spans="1:51" x14ac:dyDescent="0.3">
      <c r="B91" s="1" t="s">
        <v>30</v>
      </c>
      <c r="C91" s="17">
        <f>C84/C89*100</f>
        <v>100</v>
      </c>
      <c r="D91" s="17">
        <f>D85/D89*100</f>
        <v>90.707427215996788</v>
      </c>
      <c r="E91" s="17">
        <f>E86/E89*100</f>
        <v>97.617501711901397</v>
      </c>
      <c r="F91" s="17">
        <f>F87/F89*100</f>
        <v>98.262310609044761</v>
      </c>
      <c r="G91" s="17">
        <f>G88/G89*100</f>
        <v>88.151490249925828</v>
      </c>
      <c r="H91" s="1"/>
      <c r="S91" s="66" t="s">
        <v>39</v>
      </c>
      <c r="T91" s="67">
        <f>J229</f>
        <v>0.86186283906999928</v>
      </c>
      <c r="U91" s="67">
        <f>J230</f>
        <v>0</v>
      </c>
      <c r="V91" s="67">
        <f>J231</f>
        <v>0.33996295845078778</v>
      </c>
      <c r="W91" s="67">
        <f>J232</f>
        <v>0.94877867230657409</v>
      </c>
      <c r="X91" s="67">
        <f>J233</f>
        <v>1.4581861541009959</v>
      </c>
      <c r="AC91" t="s">
        <v>182</v>
      </c>
      <c r="AD91" s="51"/>
      <c r="AE91" s="51"/>
      <c r="AL91" s="2"/>
    </row>
    <row r="92" spans="1:51" ht="15.6" x14ac:dyDescent="0.35">
      <c r="B92" s="16" t="s">
        <v>39</v>
      </c>
      <c r="C92" s="18">
        <f>SQRT((C95+C96)/(C89*C89))</f>
        <v>0</v>
      </c>
      <c r="D92" s="18">
        <f>SQRT((D95+D96)/(D89*D89))</f>
        <v>7.9809394979727744</v>
      </c>
      <c r="E92" s="18">
        <f>SQRT((E95+E96)/(E89*E89))</f>
        <v>0.39879797107708287</v>
      </c>
      <c r="F92" s="18">
        <f>SQRT((F95+F96)/(F89*F89))</f>
        <v>0.60726356341677112</v>
      </c>
      <c r="G92" s="18">
        <f>SQRT((G95+G96)/(G89*G89))</f>
        <v>5.058888526628059</v>
      </c>
      <c r="H92" s="1"/>
      <c r="S92" s="66" t="s">
        <v>51</v>
      </c>
      <c r="T92" s="67">
        <f>N218*100</f>
        <v>98.674521354933717</v>
      </c>
      <c r="U92" s="67">
        <f>N219*100</f>
        <v>96.969696969696969</v>
      </c>
      <c r="V92" s="67">
        <f>N220*100</f>
        <v>90.183660544648504</v>
      </c>
      <c r="W92" s="67">
        <f>N221*100</f>
        <v>93.124246079613997</v>
      </c>
      <c r="X92" s="67">
        <f>N222*100</f>
        <v>87.517531556802226</v>
      </c>
      <c r="AC92" t="s">
        <v>183</v>
      </c>
      <c r="AD92" s="51"/>
      <c r="AE92" s="51"/>
      <c r="AH92" s="78"/>
      <c r="AI92" s="78"/>
      <c r="AJ92" t="s">
        <v>317</v>
      </c>
      <c r="AK92" s="15" t="s">
        <v>23</v>
      </c>
      <c r="AW92" s="12" t="s">
        <v>17</v>
      </c>
      <c r="AX92" s="1" t="s">
        <v>27</v>
      </c>
      <c r="AY92" s="1" t="s">
        <v>33</v>
      </c>
    </row>
    <row r="93" spans="1:51" ht="15.6" x14ac:dyDescent="0.35">
      <c r="B93" s="1" t="s">
        <v>37</v>
      </c>
      <c r="C93" s="18">
        <f>100-C91</f>
        <v>0</v>
      </c>
      <c r="D93" s="18">
        <f>100-D91</f>
        <v>9.2925727840032124</v>
      </c>
      <c r="E93" s="18">
        <f>100-E91</f>
        <v>2.3824982880986028</v>
      </c>
      <c r="F93" s="18">
        <f>100-F91</f>
        <v>1.7376893909552393</v>
      </c>
      <c r="G93" s="18">
        <f>100-G91</f>
        <v>11.848509750074172</v>
      </c>
      <c r="R93" s="16" t="s">
        <v>61</v>
      </c>
      <c r="S93" t="s">
        <v>9</v>
      </c>
      <c r="T93" s="30">
        <f>N229</f>
        <v>349.7</v>
      </c>
      <c r="U93" s="30">
        <f>N230</f>
        <v>714.72</v>
      </c>
      <c r="V93" s="30">
        <f>N231</f>
        <v>50154.02</v>
      </c>
      <c r="W93" s="30">
        <f>N232</f>
        <v>27357.56</v>
      </c>
      <c r="X93" s="30">
        <f>N233</f>
        <v>3260.96</v>
      </c>
      <c r="Z93" t="s">
        <v>36</v>
      </c>
      <c r="AA93" s="1">
        <f>N234</f>
        <v>81836.960000000006</v>
      </c>
      <c r="AC93" t="s">
        <v>184</v>
      </c>
      <c r="AD93" s="51"/>
      <c r="AE93" s="51"/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</row>
    <row r="94" spans="1:51" ht="15.6" x14ac:dyDescent="0.35">
      <c r="B94" s="1" t="s">
        <v>25</v>
      </c>
      <c r="C94" s="1">
        <f>C78</f>
        <v>344</v>
      </c>
      <c r="D94" s="1">
        <f>D78</f>
        <v>50</v>
      </c>
      <c r="E94" s="1">
        <f>E78</f>
        <v>872</v>
      </c>
      <c r="F94" s="1">
        <f>F78</f>
        <v>419</v>
      </c>
      <c r="G94" s="1">
        <f>G78</f>
        <v>621</v>
      </c>
      <c r="R94" s="16" t="s">
        <v>318</v>
      </c>
      <c r="S94" t="s">
        <v>63</v>
      </c>
      <c r="T94" s="57">
        <f>$AA93*T86/100</f>
        <v>340.5508720930232</v>
      </c>
      <c r="U94" s="57">
        <f>$AA93*U86/100</f>
        <v>727.02550943396227</v>
      </c>
      <c r="V94" s="57">
        <f>$AA93*V86/100</f>
        <v>50859.051303304244</v>
      </c>
      <c r="W94" s="57">
        <f>$AA93*W86/100</f>
        <v>26873.222961383417</v>
      </c>
      <c r="X94" s="57">
        <f>$AA93*X86/100</f>
        <v>3037.1093537853485</v>
      </c>
      <c r="Z94" t="s">
        <v>36</v>
      </c>
      <c r="AA94" s="25">
        <f>SUM(T94:X94)</f>
        <v>81836.959999999992</v>
      </c>
      <c r="AC94" t="s">
        <v>185</v>
      </c>
      <c r="AD94" s="51"/>
      <c r="AE94" s="51"/>
      <c r="AH94" s="78"/>
      <c r="AI94" s="78"/>
      <c r="AJ94" t="s">
        <v>3</v>
      </c>
      <c r="AK94" s="13">
        <v>0</v>
      </c>
      <c r="AL94" s="29">
        <f>(AL83/$AU94)*$AX94</f>
        <v>0.40905712796342186</v>
      </c>
      <c r="AM94" s="31">
        <f t="shared" ref="AM94:AO95" si="12">(AM83/$AU94)*$AX94</f>
        <v>0</v>
      </c>
      <c r="AN94" s="31">
        <f t="shared" si="12"/>
        <v>0</v>
      </c>
      <c r="AO94" s="31">
        <f t="shared" si="12"/>
        <v>0</v>
      </c>
      <c r="AP94" s="32">
        <f>(AP83/$AU94)*$AX94</f>
        <v>0</v>
      </c>
      <c r="AQ94" s="17">
        <f>SUM(AL94:AP94)</f>
        <v>0.40905712796342186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344</v>
      </c>
      <c r="AV94">
        <v>0</v>
      </c>
      <c r="AW94" s="1">
        <v>334.76</v>
      </c>
      <c r="AX94" s="17">
        <f>AW94/AW99*100</f>
        <v>0.40905712796342186</v>
      </c>
      <c r="AY94" s="52">
        <f>((AX94*AX94*(AR94/100)*(AT94/100))/(AU94-1))</f>
        <v>0</v>
      </c>
    </row>
    <row r="95" spans="1:51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0</v>
      </c>
      <c r="E95" s="18">
        <f>(O86*O86*(100-E91)*(100-E91)*(I86)*(100-I86))/((L86-1)*100)</f>
        <v>24.970376246430543</v>
      </c>
      <c r="F95" s="18">
        <f>(O87*O87*(100-F91)*(100-F91)*(I87)*(100-I87))/((L87-1)*100)</f>
        <v>27.777145446988126</v>
      </c>
      <c r="G95" s="18">
        <f>(O88*O88*(100-G91)*(100-G91)*(I88)*(100-I88))/((L88-1)*100)</f>
        <v>48.285356991901921</v>
      </c>
      <c r="R95" s="66"/>
      <c r="S95" s="66" t="s">
        <v>62</v>
      </c>
      <c r="T95" s="67">
        <f>$AA93*T87/100</f>
        <v>3.0095504414008265</v>
      </c>
      <c r="U95" s="67">
        <f>$AA93*U87/100</f>
        <v>7.0911716289251707</v>
      </c>
      <c r="V95" s="67">
        <f>$AA93*V87/100</f>
        <v>259.76069719293878</v>
      </c>
      <c r="W95" s="67">
        <f>$AA93*W87/100</f>
        <v>310.94080113134913</v>
      </c>
      <c r="X95" s="67">
        <f>$AA93*X87/100</f>
        <v>185.1228406714568</v>
      </c>
      <c r="AA95" s="1"/>
      <c r="AC95" t="s">
        <v>186</v>
      </c>
      <c r="AD95" s="51"/>
      <c r="AE95" s="51"/>
      <c r="AJ95" t="s">
        <v>4</v>
      </c>
      <c r="AK95" s="13">
        <v>1</v>
      </c>
      <c r="AL95" s="33">
        <f t="shared" ref="AL95:AO98" si="13">(AL84/$AU95)*$AX95</f>
        <v>0</v>
      </c>
      <c r="AM95" s="34">
        <f>(AM84/$AU95)*$AX95</f>
        <v>0.73949454146523963</v>
      </c>
      <c r="AN95" s="19">
        <f t="shared" si="12"/>
        <v>0</v>
      </c>
      <c r="AO95" s="18">
        <f t="shared" si="12"/>
        <v>0</v>
      </c>
      <c r="AP95" s="20">
        <f>(AP84/$AU95)*$AX95</f>
        <v>0</v>
      </c>
      <c r="AQ95" s="17">
        <f>SUM(AL95:AP95)</f>
        <v>0.73949454146523963</v>
      </c>
      <c r="AR95" s="17">
        <f>AM95/AQ95*100</f>
        <v>100</v>
      </c>
      <c r="AS95" s="17">
        <f>SQRT(AR95*(100-AR95)/(AU95-1))</f>
        <v>0</v>
      </c>
      <c r="AT95" s="18">
        <f>100-AR95</f>
        <v>0</v>
      </c>
      <c r="AU95" s="1">
        <f>AQ84</f>
        <v>48</v>
      </c>
      <c r="AV95">
        <v>1</v>
      </c>
      <c r="AW95" s="1">
        <v>605.17999999999995</v>
      </c>
      <c r="AX95" s="17">
        <f>AW95/AW99*100</f>
        <v>0.73949454146523963</v>
      </c>
      <c r="AY95" s="52">
        <f>((AX95*AX95*(AR95/100)*(AT95/100))/(AU95-1))</f>
        <v>0</v>
      </c>
    </row>
    <row r="96" spans="1:51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60.951991680141873</v>
      </c>
      <c r="E96" s="18">
        <f>E91*E91*(SUM((H84*E84*(1-E73/H73))/(H73-1),(H85*E85*(1-E74/H74))/(H74-1), (H87*E87*(1-E76/H76))/(H76-1),(H88*E88*(1-E77/H77))/(H77-1)))</f>
        <v>599.71061884583173</v>
      </c>
      <c r="F96" s="18">
        <f>F91*F91*(SUM((H84*F84*(1-F73/H73))/(H73-1),(H85*F85*(1-F74/H74))/(H74-1), (H86*F86*(1-F75/H75))/(H75-1),(H88*F88*(1-F77/H77))/(H77-1)))</f>
        <v>360.70113005394552</v>
      </c>
      <c r="G96" s="18">
        <f>G91*G91*(SUM((H84*G84*(1-G73/H73))/(H73-1),(H85*G85*(1-G74/H74))/(H74-1), (H86*G86*(1-G75/H75))/(H75-1),(H87*G87*(1-G76/H76))/(H76-1)))</f>
        <v>261.23347076765953</v>
      </c>
      <c r="R96" t="s">
        <v>96</v>
      </c>
      <c r="S96" t="s">
        <v>28</v>
      </c>
      <c r="T96" s="57">
        <f>C263</f>
        <v>0.47091586775136318</v>
      </c>
      <c r="U96" s="57">
        <f t="shared" ref="U96:X99" si="14">D263</f>
        <v>0.74032467602217911</v>
      </c>
      <c r="V96" s="57">
        <f t="shared" si="14"/>
        <v>62.647118842159571</v>
      </c>
      <c r="W96" s="57">
        <f t="shared" si="14"/>
        <v>32.047727383157003</v>
      </c>
      <c r="X96" s="57">
        <f t="shared" si="14"/>
        <v>4.0939132309098802</v>
      </c>
      <c r="Y96" s="13"/>
      <c r="Z96" s="74"/>
      <c r="AA96" s="12"/>
      <c r="AC96" t="s">
        <v>187</v>
      </c>
      <c r="AD96" s="51"/>
      <c r="AE96" s="51"/>
      <c r="AH96" s="78"/>
      <c r="AI96" s="78"/>
      <c r="AJ96" t="s">
        <v>5</v>
      </c>
      <c r="AK96" s="13">
        <v>2</v>
      </c>
      <c r="AL96" s="33">
        <f t="shared" si="13"/>
        <v>0</v>
      </c>
      <c r="AM96" s="19">
        <f t="shared" si="13"/>
        <v>0</v>
      </c>
      <c r="AN96" s="34">
        <f t="shared" si="13"/>
        <v>61.276393341043622</v>
      </c>
      <c r="AO96" s="19">
        <f t="shared" si="13"/>
        <v>0.42970822819806181</v>
      </c>
      <c r="AP96" s="20">
        <f>(AP85/$AU96)*$AX96</f>
        <v>0</v>
      </c>
      <c r="AQ96" s="17">
        <f>SUM(AL96:AP96)</f>
        <v>61.706101569241682</v>
      </c>
      <c r="AR96" s="17">
        <f>AN96/AQ96*100</f>
        <v>99.30362116991644</v>
      </c>
      <c r="AS96" s="17">
        <f>SQRT(AR96*(100-AR96)/(AU96-1))</f>
        <v>0.31056016230667621</v>
      </c>
      <c r="AT96" s="18">
        <f>100-AR96</f>
        <v>0.69637883008356027</v>
      </c>
      <c r="AU96" s="1">
        <f>AQ85</f>
        <v>718</v>
      </c>
      <c r="AV96">
        <v>2</v>
      </c>
      <c r="AW96" s="1">
        <v>50498.41</v>
      </c>
      <c r="AX96" s="17">
        <f>AW96/AW99*100</f>
        <v>61.706101569241682</v>
      </c>
      <c r="AY96" s="52">
        <f>((AX96*AX96*(AR96/100)*(AT96/100))/(AU96-1))</f>
        <v>3.6723808107318241E-2</v>
      </c>
    </row>
    <row r="97" spans="1:51" x14ac:dyDescent="0.3">
      <c r="S97" s="66" t="s">
        <v>39</v>
      </c>
      <c r="T97" s="67">
        <f>C264</f>
        <v>8.3231619173689111E-2</v>
      </c>
      <c r="U97" s="67">
        <f t="shared" si="14"/>
        <v>5.3356498626952516E-3</v>
      </c>
      <c r="V97" s="67">
        <f t="shared" si="14"/>
        <v>0.32543656119990011</v>
      </c>
      <c r="W97" s="67">
        <f t="shared" si="14"/>
        <v>0.40819733736319086</v>
      </c>
      <c r="X97" s="67">
        <f t="shared" si="14"/>
        <v>0.25353826178623151</v>
      </c>
      <c r="AC97" t="s">
        <v>188</v>
      </c>
      <c r="AD97" s="51"/>
      <c r="AE97" s="51"/>
      <c r="AJ97" t="s">
        <v>6</v>
      </c>
      <c r="AK97" s="13">
        <v>3</v>
      </c>
      <c r="AL97" s="33">
        <f t="shared" si="13"/>
        <v>0</v>
      </c>
      <c r="AM97" s="19">
        <f t="shared" si="13"/>
        <v>0</v>
      </c>
      <c r="AN97" s="19">
        <f t="shared" si="13"/>
        <v>0.74535964723577164</v>
      </c>
      <c r="AO97" s="34">
        <f t="shared" si="13"/>
        <v>32.050464831138179</v>
      </c>
      <c r="AP97" s="20">
        <f>(AP86/$AU97)*$AX97</f>
        <v>0.41408869290876205</v>
      </c>
      <c r="AQ97" s="17">
        <f>SUM(AL97:AP97)</f>
        <v>33.209913171282714</v>
      </c>
      <c r="AR97" s="17">
        <f>AO97/AQ97*100</f>
        <v>96.508728179551113</v>
      </c>
      <c r="AS97" s="17">
        <f>SQRT(AR97*(100-AR97)/(AU97-1))</f>
        <v>0.91779382641286622</v>
      </c>
      <c r="AT97" s="18">
        <f>100-AR97</f>
        <v>3.4912718204488868</v>
      </c>
      <c r="AU97" s="1">
        <f>AQ86</f>
        <v>401</v>
      </c>
      <c r="AV97">
        <v>3</v>
      </c>
      <c r="AW97" s="1">
        <v>27177.99</v>
      </c>
      <c r="AX97" s="17">
        <f>AW97/AW99*100</f>
        <v>33.209913171282714</v>
      </c>
      <c r="AY97" s="52">
        <f>((AX97*AX97*(AR97/100)*(AT97/100))/(AU97-1))</f>
        <v>9.290214562331002E-2</v>
      </c>
    </row>
    <row r="98" spans="1:51" x14ac:dyDescent="0.3">
      <c r="S98" t="s">
        <v>30</v>
      </c>
      <c r="T98" s="57">
        <f>C265</f>
        <v>82.389996153973684</v>
      </c>
      <c r="U98" s="57">
        <f t="shared" si="14"/>
        <v>99.278828741040869</v>
      </c>
      <c r="V98" s="57">
        <f t="shared" si="14"/>
        <v>97.333715252678772</v>
      </c>
      <c r="W98" s="57">
        <f t="shared" si="14"/>
        <v>98.330700782033816</v>
      </c>
      <c r="X98" s="57">
        <f t="shared" si="14"/>
        <v>81.769161198436308</v>
      </c>
      <c r="AA98" s="54"/>
      <c r="AC98" t="s">
        <v>189</v>
      </c>
      <c r="AD98" s="51"/>
      <c r="AE98" s="51"/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3"/>
        <v>9.9004618617533173E-3</v>
      </c>
      <c r="AN98" s="21">
        <f t="shared" si="13"/>
        <v>0.72768394683886883</v>
      </c>
      <c r="AO98" s="21">
        <f t="shared" si="13"/>
        <v>0.11385531141016315</v>
      </c>
      <c r="AP98" s="37">
        <f>(AP87/$AU98)*$AX98</f>
        <v>3.0839938699361586</v>
      </c>
      <c r="AQ98" s="17">
        <f>SUM(AL98:AP98)</f>
        <v>3.9354335900469439</v>
      </c>
      <c r="AR98" s="17">
        <f>AP98/AQ98*100</f>
        <v>78.364779874213838</v>
      </c>
      <c r="AS98" s="17">
        <f>SQRT(AR98*(100-AR98)/(AU98-1))</f>
        <v>1.4612713412832194</v>
      </c>
      <c r="AT98" s="18">
        <f>100-AR98</f>
        <v>21.635220125786162</v>
      </c>
      <c r="AU98" s="1">
        <f>AQ87</f>
        <v>795</v>
      </c>
      <c r="AV98">
        <v>4</v>
      </c>
      <c r="AW98" s="1">
        <v>3220.64</v>
      </c>
      <c r="AX98" s="17">
        <f>AW98/AW99*100</f>
        <v>3.9354335900469439</v>
      </c>
      <c r="AY98" s="52">
        <f>((AX98*AX98*(AR98/100)*(AT98/100))/(AU98-1))</f>
        <v>3.3070968229745846E-3</v>
      </c>
    </row>
    <row r="99" spans="1:51" x14ac:dyDescent="0.3">
      <c r="A99" s="348" t="s">
        <v>378</v>
      </c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 t="s">
        <v>57</v>
      </c>
      <c r="M99" s="348"/>
      <c r="N99" s="348"/>
      <c r="O99" s="348"/>
      <c r="P99" s="348"/>
      <c r="S99" s="66" t="s">
        <v>39</v>
      </c>
      <c r="T99" s="67">
        <f>C266</f>
        <v>34.027462915639454</v>
      </c>
      <c r="U99" s="67">
        <f t="shared" si="14"/>
        <v>0.71597037911164241</v>
      </c>
      <c r="V99" s="67">
        <f t="shared" si="14"/>
        <v>0.43742667638506666</v>
      </c>
      <c r="W99" s="67">
        <f t="shared" si="14"/>
        <v>0.56379642351821113</v>
      </c>
      <c r="X99" s="67">
        <f t="shared" si="14"/>
        <v>5.6300072222458244</v>
      </c>
      <c r="AC99" t="s">
        <v>190</v>
      </c>
      <c r="AD99" s="51"/>
      <c r="AE99" s="51"/>
      <c r="AK99" t="s">
        <v>28</v>
      </c>
      <c r="AL99" s="17">
        <f t="shared" ref="AL99:AQ99" si="15">SUM(AL94:AL98)</f>
        <v>0.40905712796342186</v>
      </c>
      <c r="AM99" s="17">
        <f t="shared" si="15"/>
        <v>0.74939500332699294</v>
      </c>
      <c r="AN99" s="17">
        <f t="shared" si="15"/>
        <v>62.749436935118261</v>
      </c>
      <c r="AO99" s="17">
        <f t="shared" si="15"/>
        <v>32.5940283707464</v>
      </c>
      <c r="AP99" s="17">
        <f t="shared" si="15"/>
        <v>3.4980825628449206</v>
      </c>
      <c r="AQ99" s="18">
        <f t="shared" si="15"/>
        <v>100</v>
      </c>
      <c r="AR99" s="13" t="s">
        <v>24</v>
      </c>
      <c r="AS99" s="12" t="s">
        <v>29</v>
      </c>
      <c r="AW99" s="1">
        <f>SUM(AW94:AW98)</f>
        <v>81836.98000000001</v>
      </c>
      <c r="AX99" s="17">
        <f>SUM(AX94:AX98)</f>
        <v>100</v>
      </c>
    </row>
    <row r="100" spans="1:51" x14ac:dyDescent="0.3">
      <c r="A100" t="s">
        <v>315</v>
      </c>
      <c r="B100" t="s">
        <v>21</v>
      </c>
      <c r="I100" s="1" t="s">
        <v>53</v>
      </c>
      <c r="O100" s="142"/>
      <c r="P100" s="142"/>
      <c r="S100" t="s">
        <v>31</v>
      </c>
      <c r="T100" s="57">
        <f>I258</f>
        <v>86.627906976744185</v>
      </c>
      <c r="U100" s="57">
        <f>I259</f>
        <v>100</v>
      </c>
      <c r="V100" s="57">
        <f>I260</f>
        <v>99.442896935933149</v>
      </c>
      <c r="W100" s="57">
        <f>I261</f>
        <v>94.763092269326663</v>
      </c>
      <c r="X100" s="57">
        <f>I262</f>
        <v>78.867924528301899</v>
      </c>
      <c r="AC100" t="s">
        <v>191</v>
      </c>
      <c r="AD100" s="51"/>
      <c r="AE100" s="51"/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6.9918722825798073E-3</v>
      </c>
      <c r="AN100" s="18">
        <f>SQRT(SUM((AX94*AN94-AN94*AN94)/AU94,(AX95*AN95-AN95*AN95)/AU95,(AX96*AN96-AN96*AN96)/AU96,(AX97*AN97-AN97*AN97)/AU97,(AX98*AN98-AN98*AN98)/AU98))</f>
        <v>0.31615242841685165</v>
      </c>
      <c r="AO100" s="18">
        <f>SQRT(SUM((AX94*AO94-AO94*AO94)/AU94,(AX95*AO95-AO95*AO95)/AU95,(AX96*AO96-AO96*AO96)/AU96,(AX97*AO97-AO97*AO97)/AU97,(AX98*AO98-AO98*AO98)/AU98))</f>
        <v>0.36040315561269831</v>
      </c>
      <c r="AP100" s="18">
        <f>SQRT(SUM((AX94*AP94-AP94*AP94)/AU94,(AX95*AP95-AP95*AP95)/AU95,(AX96*AP96-AP96*AP96)/AU96,(AX97*AP97-AP97*AP97)/AU97,(AX98*AP98-AP98*AP98)/AU98))</f>
        <v>0.19279320908489853</v>
      </c>
      <c r="AQ100" s="1"/>
      <c r="AR100" s="56">
        <f>(AL94+AM95+AN96+AO97+AP98)/AQ99</f>
        <v>0.97559403711546622</v>
      </c>
      <c r="AS100" s="53">
        <f>SQRT(SUM(AY94:AY98))/100</f>
        <v>3.645998499089143E-3</v>
      </c>
      <c r="AV100" s="1"/>
      <c r="AW100" s="9"/>
    </row>
    <row r="101" spans="1:51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51</v>
      </c>
      <c r="O101" s="13"/>
      <c r="P101" s="13"/>
      <c r="S101" s="66" t="s">
        <v>39</v>
      </c>
      <c r="T101" s="67">
        <f>J258</f>
        <v>1.8377293240632018</v>
      </c>
      <c r="U101" s="67">
        <f>J259</f>
        <v>0</v>
      </c>
      <c r="V101" s="67">
        <f>J260</f>
        <v>0.27796817739934171</v>
      </c>
      <c r="W101" s="67">
        <f>J261</f>
        <v>1.1138509443455031</v>
      </c>
      <c r="X101" s="67">
        <f>J262</f>
        <v>1.4488086539128373</v>
      </c>
      <c r="AC101" t="s">
        <v>192</v>
      </c>
      <c r="AD101" s="51"/>
      <c r="AE101" s="51"/>
      <c r="AK101" s="1" t="s">
        <v>30</v>
      </c>
      <c r="AL101" s="17">
        <f>AL94/AL99*100</f>
        <v>100</v>
      </c>
      <c r="AM101" s="17">
        <f>AM95/AM99*100</f>
        <v>98.678872714950131</v>
      </c>
      <c r="AN101" s="17">
        <f>AN96/AN99*100</f>
        <v>97.652499104338204</v>
      </c>
      <c r="AO101" s="17">
        <f>AO97/AO99*100</f>
        <v>98.33232169578622</v>
      </c>
      <c r="AP101" s="17">
        <f>AP98/AP99*100</f>
        <v>88.162409392304568</v>
      </c>
      <c r="AQ101" s="1"/>
    </row>
    <row r="102" spans="1:51" x14ac:dyDescent="0.3">
      <c r="A102" t="s">
        <v>3</v>
      </c>
      <c r="B102" s="13">
        <v>0</v>
      </c>
      <c r="C102" s="26">
        <v>344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344</v>
      </c>
      <c r="I102" s="10">
        <f>C102/H102</f>
        <v>1</v>
      </c>
      <c r="J102" s="11">
        <f>1-I102</f>
        <v>0</v>
      </c>
      <c r="K102">
        <f>H102-C107</f>
        <v>0</v>
      </c>
      <c r="N102" s="10">
        <f>2*(C108*I102)/(C108+I102)</f>
        <v>1</v>
      </c>
      <c r="O102" s="1"/>
      <c r="P102" s="1"/>
      <c r="S102" s="66" t="s">
        <v>51</v>
      </c>
      <c r="T102" s="67">
        <f>N247*100</f>
        <v>92.690513219284597</v>
      </c>
      <c r="U102" s="67">
        <f>N248*100</f>
        <v>98.969072164948457</v>
      </c>
      <c r="V102" s="67">
        <f>N249*100</f>
        <v>90.094637223974772</v>
      </c>
      <c r="W102" s="67">
        <f>N250*100</f>
        <v>88.785046728971963</v>
      </c>
      <c r="X102" s="67">
        <f>N251*100</f>
        <v>87.631027253668762</v>
      </c>
      <c r="AC102" t="s">
        <v>193</v>
      </c>
      <c r="AD102" s="51"/>
      <c r="AE102" s="51"/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0.92125569640840632</v>
      </c>
      <c r="AN102" s="18">
        <f>SQRT((AN105+AN106)/(AN99*AN99))</f>
        <v>0.39845690455752458</v>
      </c>
      <c r="AO102" s="18">
        <f>SQRT((AO105+AO106)/(AO99*AO99))</f>
        <v>0.60295328303488727</v>
      </c>
      <c r="AP102" s="18">
        <f>SQRT((AP105+AP106)/(AP99*AP99))</f>
        <v>5.0351383233538822</v>
      </c>
      <c r="AQ102" s="1"/>
    </row>
    <row r="103" spans="1:51" x14ac:dyDescent="0.3">
      <c r="A103" t="s">
        <v>4</v>
      </c>
      <c r="B103" s="13">
        <v>1</v>
      </c>
      <c r="C103" s="5">
        <v>0</v>
      </c>
      <c r="D103" s="27">
        <v>48</v>
      </c>
      <c r="E103" s="1">
        <v>0</v>
      </c>
      <c r="F103" s="1">
        <v>0</v>
      </c>
      <c r="G103" s="6">
        <v>0</v>
      </c>
      <c r="H103" s="1">
        <f>SUM(C103:G103)</f>
        <v>48</v>
      </c>
      <c r="I103" s="10">
        <f>D103/H103</f>
        <v>1</v>
      </c>
      <c r="J103" s="11">
        <f>1-I103</f>
        <v>0</v>
      </c>
      <c r="K103">
        <f>H103-D107</f>
        <v>-2</v>
      </c>
      <c r="N103" s="10">
        <f>2*(D108*I103)/(D108+I103)</f>
        <v>0.97959183673469385</v>
      </c>
      <c r="O103" s="1"/>
      <c r="P103" s="1"/>
      <c r="R103" s="16" t="s">
        <v>61</v>
      </c>
      <c r="S103" t="s">
        <v>9</v>
      </c>
      <c r="T103" s="30">
        <f>N258</f>
        <v>366.53</v>
      </c>
      <c r="U103" s="30">
        <f>N259</f>
        <v>601.49</v>
      </c>
      <c r="V103" s="30">
        <f>N260</f>
        <v>50181.1</v>
      </c>
      <c r="W103" s="30">
        <f>N261</f>
        <v>27214.27</v>
      </c>
      <c r="X103" s="30">
        <f>N262</f>
        <v>3473.58</v>
      </c>
      <c r="Z103" t="s">
        <v>36</v>
      </c>
      <c r="AA103" s="1">
        <f>N263</f>
        <v>81836.97</v>
      </c>
      <c r="AC103" t="s">
        <v>194</v>
      </c>
      <c r="AD103" s="51"/>
      <c r="AE103" s="51"/>
      <c r="AK103" s="1" t="s">
        <v>37</v>
      </c>
      <c r="AL103" s="18">
        <f>100-AL101</f>
        <v>0</v>
      </c>
      <c r="AM103" s="18">
        <f>100-AM101</f>
        <v>1.3211272850498688</v>
      </c>
      <c r="AN103" s="18">
        <f>100-AN101</f>
        <v>2.3475008956617955</v>
      </c>
      <c r="AO103" s="18">
        <f>100-AO101</f>
        <v>1.6676783042137799</v>
      </c>
      <c r="AP103" s="18">
        <f>100-AP101</f>
        <v>11.837590607695432</v>
      </c>
    </row>
    <row r="104" spans="1:51" ht="15.6" x14ac:dyDescent="0.35">
      <c r="A104" t="s">
        <v>5</v>
      </c>
      <c r="B104" s="13">
        <v>2</v>
      </c>
      <c r="C104" s="5">
        <v>0</v>
      </c>
      <c r="D104" s="1">
        <v>0</v>
      </c>
      <c r="E104" s="27">
        <v>715</v>
      </c>
      <c r="F104" s="1">
        <v>3</v>
      </c>
      <c r="G104" s="6">
        <v>0</v>
      </c>
      <c r="H104" s="1">
        <f>SUM(C104:G104)</f>
        <v>718</v>
      </c>
      <c r="I104" s="10">
        <f>E104/H104</f>
        <v>0.99582172701949856</v>
      </c>
      <c r="J104" s="11">
        <f>1-I104</f>
        <v>4.1782729805014407E-3</v>
      </c>
      <c r="K104">
        <f>H104-E107</f>
        <v>-144</v>
      </c>
      <c r="N104" s="10">
        <f>2*(E108*I104)/(E108+I104)</f>
        <v>0.90506329113924044</v>
      </c>
      <c r="O104" s="1"/>
      <c r="P104" s="1"/>
      <c r="R104" s="16" t="s">
        <v>318</v>
      </c>
      <c r="S104" t="s">
        <v>63</v>
      </c>
      <c r="T104" s="57">
        <f>$AA103*T96/100</f>
        <v>385.38327741692279</v>
      </c>
      <c r="U104" s="57">
        <f>$AA103*U96/100</f>
        <v>605.85928301886793</v>
      </c>
      <c r="V104" s="57">
        <f>$AA103*V96/100</f>
        <v>51268.503852722475</v>
      </c>
      <c r="W104" s="57">
        <f>$AA103*W96/100</f>
        <v>26226.889044235981</v>
      </c>
      <c r="X104" s="57">
        <f>$AA103*X96/100</f>
        <v>3350.3345426057494</v>
      </c>
      <c r="Z104" t="s">
        <v>36</v>
      </c>
      <c r="AA104" s="25">
        <f>SUM(T104:X104)</f>
        <v>81836.97</v>
      </c>
      <c r="AC104" t="s">
        <v>195</v>
      </c>
      <c r="AD104" s="51"/>
      <c r="AE104" s="51"/>
      <c r="AH104" s="78"/>
      <c r="AI104" s="78"/>
      <c r="AK104" s="1" t="s">
        <v>25</v>
      </c>
      <c r="AL104" s="1">
        <f>AL88</f>
        <v>344</v>
      </c>
      <c r="AM104" s="1">
        <f>AM88</f>
        <v>50</v>
      </c>
      <c r="AN104" s="1">
        <f>AN88</f>
        <v>869</v>
      </c>
      <c r="AO104" s="1">
        <f>AO88</f>
        <v>415</v>
      </c>
      <c r="AP104" s="1">
        <f>AP88</f>
        <v>628</v>
      </c>
    </row>
    <row r="105" spans="1:51" x14ac:dyDescent="0.3">
      <c r="A105" t="s">
        <v>6</v>
      </c>
      <c r="B105" s="13">
        <v>3</v>
      </c>
      <c r="C105" s="5">
        <v>0</v>
      </c>
      <c r="D105" s="1">
        <v>0</v>
      </c>
      <c r="E105" s="1">
        <v>9</v>
      </c>
      <c r="F105" s="27">
        <v>385</v>
      </c>
      <c r="G105" s="6">
        <v>7</v>
      </c>
      <c r="H105" s="1">
        <f>SUM(C105:G105)</f>
        <v>401</v>
      </c>
      <c r="I105" s="10">
        <f>F105/H105</f>
        <v>0.96009975062344144</v>
      </c>
      <c r="J105" s="11">
        <f>1-I105</f>
        <v>3.9900249376558561E-2</v>
      </c>
      <c r="K105">
        <f>H105-F107</f>
        <v>-20</v>
      </c>
      <c r="N105" s="10">
        <f>2*(F108*I105)/(F108+I105)</f>
        <v>0.93673965936739667</v>
      </c>
      <c r="O105" s="1"/>
      <c r="P105" s="1"/>
      <c r="R105" s="66"/>
      <c r="S105" s="66" t="s">
        <v>62</v>
      </c>
      <c r="T105" s="67">
        <f>$AA103*T97/100</f>
        <v>68.1142352136862</v>
      </c>
      <c r="U105" s="67">
        <f>$AA103*U97/100</f>
        <v>4.3665341774389539</v>
      </c>
      <c r="V105" s="67">
        <f>$AA103*V97/100</f>
        <v>266.3274209581939</v>
      </c>
      <c r="W105" s="67">
        <f>$AA103*W97/100</f>
        <v>334.0563325187133</v>
      </c>
      <c r="X105" s="67">
        <f>$AA103*X97/100</f>
        <v>207.48803123651976</v>
      </c>
      <c r="AA105" s="1"/>
      <c r="AC105" t="s">
        <v>196</v>
      </c>
      <c r="AD105" s="51"/>
      <c r="AE105" s="51"/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0</v>
      </c>
      <c r="AN105" s="18">
        <f>(AX96*AX96*(100-AN101)*(100-AN101)*(AR96)*(100-AR96))/((AU96-1)*100)</f>
        <v>20.237610947969952</v>
      </c>
      <c r="AO105" s="18">
        <f>(AX97*AX97*(100-AO101)*(100-AO101)*(AR97)*(100-AR97))/((AU97-1)*100)</f>
        <v>25.837488835973911</v>
      </c>
      <c r="AP105" s="18">
        <f>(AX98*AX98*(100-AP101)*(100-AP101)*(AR98)*(100-AR98))/((AU98-1)*100)</f>
        <v>46.341868712775522</v>
      </c>
    </row>
    <row r="106" spans="1:51" x14ac:dyDescent="0.3">
      <c r="A106" t="s">
        <v>7</v>
      </c>
      <c r="B106" s="13">
        <v>4</v>
      </c>
      <c r="C106" s="7">
        <v>0</v>
      </c>
      <c r="D106" s="8">
        <v>2</v>
      </c>
      <c r="E106" s="8">
        <v>138</v>
      </c>
      <c r="F106" s="8">
        <v>33</v>
      </c>
      <c r="G106" s="28">
        <v>622</v>
      </c>
      <c r="H106" s="1">
        <f>SUM(C106:G106)</f>
        <v>795</v>
      </c>
      <c r="I106" s="10">
        <f>G106/H106</f>
        <v>0.78238993710691829</v>
      </c>
      <c r="J106" s="11">
        <f>1-I106</f>
        <v>0.21761006289308171</v>
      </c>
      <c r="K106">
        <f>H106-G107</f>
        <v>166</v>
      </c>
      <c r="N106" s="10">
        <f>2*(G108*I106)/(G108+I106)</f>
        <v>0.87359550561797761</v>
      </c>
      <c r="O106" s="1"/>
      <c r="P106" s="1"/>
      <c r="R106" t="s">
        <v>97</v>
      </c>
      <c r="S106" t="s">
        <v>28</v>
      </c>
      <c r="T106" s="57">
        <f>C292</f>
        <v>0.37486456196308726</v>
      </c>
      <c r="U106" s="57">
        <f t="shared" ref="U106:X109" si="16">D292</f>
        <v>0.68073412454170723</v>
      </c>
      <c r="V106" s="57">
        <f t="shared" si="16"/>
        <v>62.976173123115025</v>
      </c>
      <c r="W106" s="57">
        <f t="shared" si="16"/>
        <v>31.929658825730474</v>
      </c>
      <c r="X106" s="57">
        <f t="shared" si="16"/>
        <v>4.0385693646497041</v>
      </c>
      <c r="Y106" s="60"/>
      <c r="Z106" s="74"/>
      <c r="AA106" s="12"/>
      <c r="AC106" t="s">
        <v>197</v>
      </c>
      <c r="AD106" s="51"/>
      <c r="AE106" s="51"/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0.47663064140689582</v>
      </c>
      <c r="AN106" s="18">
        <f>AN101*AN101*(SUM((AQ94*AN94*(1-AN83/AQ83))/(AQ83-1),(AQ95*AN95*(1-AN84/AQ84))/(AQ84-1), (AQ97*AN97*(1-AN86/AQ86))/(AQ86-1),(AQ98*AN98*(1-AN87/AQ87))/(AQ87-1)))</f>
        <v>604.90971792806704</v>
      </c>
      <c r="AO106" s="18">
        <f>AO101*AO101*(SUM((AQ94*AO94*(1-AO83/AQ83))/(AQ83-1),(AQ95*AO95*(1-AO84/AQ84))/(AQ84-1), (AQ96*AO96*(1-AO85/AQ85))/(AQ85-1),(AQ98*AO98*(1-AO87/AQ87))/(AQ87-1)))</f>
        <v>360.39020137673555</v>
      </c>
      <c r="AP106" s="18">
        <f>AP101*AP101*(SUM((AQ94*AP94*(1-AP83/AQ83))/(AQ83-1),(AQ95*AP95*(1-AP84/AQ84))/(AQ84-1), (AQ96*AP96*(1-AP85/AQ85))/(AQ85-1),(AQ97*AP97*(1-AP86/AQ86))/(AQ86-1)))</f>
        <v>263.8875098440347</v>
      </c>
    </row>
    <row r="107" spans="1:51" ht="15.6" x14ac:dyDescent="0.35">
      <c r="B107" s="1" t="s">
        <v>19</v>
      </c>
      <c r="C107" s="1">
        <f>SUM(C102:C106)</f>
        <v>344</v>
      </c>
      <c r="D107" s="1">
        <f>SUM(D102:D106)</f>
        <v>50</v>
      </c>
      <c r="E107" s="1">
        <f>SUM(E102:E106)</f>
        <v>862</v>
      </c>
      <c r="F107" s="1">
        <f>SUM(F102:F106)</f>
        <v>421</v>
      </c>
      <c r="G107" s="1">
        <f>SUM(G102:G106)</f>
        <v>629</v>
      </c>
      <c r="H107" s="1">
        <f>SUM(H101:H106)</f>
        <v>2306</v>
      </c>
      <c r="I107" s="13" t="s">
        <v>12</v>
      </c>
      <c r="N107" s="16"/>
      <c r="O107" s="1"/>
      <c r="P107" s="1"/>
      <c r="S107" s="66" t="s">
        <v>39</v>
      </c>
      <c r="T107" s="67">
        <f>C293</f>
        <v>2.9129245406519706E-3</v>
      </c>
      <c r="U107" s="67">
        <f t="shared" si="16"/>
        <v>9.2400153150487951E-3</v>
      </c>
      <c r="V107" s="67">
        <f t="shared" si="16"/>
        <v>0.30294337816918765</v>
      </c>
      <c r="W107" s="67">
        <f t="shared" si="16"/>
        <v>0.37335967395421005</v>
      </c>
      <c r="X107" s="67">
        <f t="shared" si="16"/>
        <v>0.23725726781801901</v>
      </c>
      <c r="AC107" t="s">
        <v>198</v>
      </c>
      <c r="AD107" s="51"/>
      <c r="AE107" s="51"/>
    </row>
    <row r="108" spans="1:51" x14ac:dyDescent="0.3">
      <c r="A108" s="1" t="s">
        <v>316</v>
      </c>
      <c r="B108" s="1" t="s">
        <v>2</v>
      </c>
      <c r="C108" s="10">
        <f>C102/C107</f>
        <v>1</v>
      </c>
      <c r="D108" s="10">
        <f>D103/D107</f>
        <v>0.96</v>
      </c>
      <c r="E108" s="10">
        <f>E104/E107</f>
        <v>0.82946635730858465</v>
      </c>
      <c r="F108" s="10">
        <f>F105/F107</f>
        <v>0.91448931116389554</v>
      </c>
      <c r="G108" s="10">
        <f>G106/G107</f>
        <v>0.98887122416534179</v>
      </c>
      <c r="H108" s="10"/>
      <c r="I108" s="14">
        <f>(C102+D103+E104+F105+G106)/H107</f>
        <v>0.91673894189071992</v>
      </c>
      <c r="S108" t="s">
        <v>30</v>
      </c>
      <c r="T108" s="57">
        <f>C294</f>
        <v>100</v>
      </c>
      <c r="U108" s="57">
        <f t="shared" si="16"/>
        <v>97.644534378346435</v>
      </c>
      <c r="V108" s="57">
        <f t="shared" si="16"/>
        <v>97.675142247085901</v>
      </c>
      <c r="W108" s="57">
        <f t="shared" si="16"/>
        <v>98.511344047792477</v>
      </c>
      <c r="X108" s="57">
        <f t="shared" si="16"/>
        <v>83.773990026421387</v>
      </c>
      <c r="AC108" t="s">
        <v>199</v>
      </c>
      <c r="AD108" s="51"/>
      <c r="AE108" s="51"/>
      <c r="AH108" s="78"/>
      <c r="AI108" s="78"/>
      <c r="AJ108" s="118" t="s">
        <v>352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</row>
    <row r="109" spans="1:51" x14ac:dyDescent="0.3">
      <c r="B109" s="1" t="s">
        <v>14</v>
      </c>
      <c r="C109" s="11">
        <f>1-C108</f>
        <v>0</v>
      </c>
      <c r="D109" s="11">
        <f>1-D108</f>
        <v>4.0000000000000036E-2</v>
      </c>
      <c r="E109" s="11">
        <f>1-E108</f>
        <v>0.17053364269141535</v>
      </c>
      <c r="F109" s="11">
        <f>1-F108</f>
        <v>8.5510688836104465E-2</v>
      </c>
      <c r="G109" s="11">
        <f>1-G108</f>
        <v>1.1128775834658211E-2</v>
      </c>
      <c r="S109" s="66" t="s">
        <v>39</v>
      </c>
      <c r="T109" s="67">
        <f>C295</f>
        <v>0</v>
      </c>
      <c r="U109" s="67">
        <f t="shared" si="16"/>
        <v>1.3262225898123809</v>
      </c>
      <c r="V109" s="67">
        <f t="shared" si="16"/>
        <v>0.39261201732565754</v>
      </c>
      <c r="W109" s="67">
        <f t="shared" si="16"/>
        <v>0.55801367781014943</v>
      </c>
      <c r="X109" s="67">
        <f t="shared" si="16"/>
        <v>5.3524114425621887</v>
      </c>
      <c r="AC109" t="s">
        <v>200</v>
      </c>
      <c r="AD109" s="51"/>
      <c r="AE109" s="51"/>
      <c r="AJ109" s="106" t="s">
        <v>664</v>
      </c>
      <c r="AK109" s="107" t="s">
        <v>28</v>
      </c>
      <c r="AL109" s="108">
        <f t="shared" ref="AL109:AP112" si="17">AL99</f>
        <v>0.40905712796342186</v>
      </c>
      <c r="AM109" s="108">
        <f t="shared" si="17"/>
        <v>0.74939500332699294</v>
      </c>
      <c r="AN109" s="108">
        <f t="shared" si="17"/>
        <v>62.749436935118261</v>
      </c>
      <c r="AO109" s="108">
        <f t="shared" si="17"/>
        <v>32.5940283707464</v>
      </c>
      <c r="AP109" s="108">
        <f t="shared" si="17"/>
        <v>3.4980825628449206</v>
      </c>
      <c r="AQ109" s="107"/>
      <c r="AR109" s="228" t="s">
        <v>72</v>
      </c>
      <c r="AS109" s="229">
        <f>AR100</f>
        <v>0.97559403711546622</v>
      </c>
    </row>
    <row r="110" spans="1:51" x14ac:dyDescent="0.3">
      <c r="C110" s="2"/>
      <c r="S110" s="15" t="s">
        <v>31</v>
      </c>
      <c r="T110" s="71">
        <f>I287</f>
        <v>97.965116279069761</v>
      </c>
      <c r="U110" s="71">
        <f>I288</f>
        <v>100</v>
      </c>
      <c r="V110" s="71">
        <f>I289</f>
        <v>99.442896935933149</v>
      </c>
      <c r="W110" s="71">
        <f>I290</f>
        <v>95.760598503740653</v>
      </c>
      <c r="X110" s="71">
        <f>I291</f>
        <v>79.622641509433961</v>
      </c>
      <c r="AC110" t="s">
        <v>201</v>
      </c>
      <c r="AD110" s="51"/>
      <c r="AE110" s="51"/>
      <c r="AH110" s="78"/>
      <c r="AI110" s="78"/>
      <c r="AJ110" s="107"/>
      <c r="AK110" s="109" t="s">
        <v>39</v>
      </c>
      <c r="AL110" s="110">
        <f t="shared" si="17"/>
        <v>0</v>
      </c>
      <c r="AM110" s="110">
        <f t="shared" si="17"/>
        <v>6.9918722825798073E-3</v>
      </c>
      <c r="AN110" s="110">
        <f t="shared" si="17"/>
        <v>0.31615242841685165</v>
      </c>
      <c r="AO110" s="110">
        <f t="shared" si="17"/>
        <v>0.36040315561269831</v>
      </c>
      <c r="AP110" s="110">
        <f t="shared" si="17"/>
        <v>0.19279320908489853</v>
      </c>
      <c r="AQ110" s="107"/>
      <c r="AR110" s="228" t="s">
        <v>29</v>
      </c>
      <c r="AS110" s="230">
        <f>AS100</f>
        <v>3.645998499089143E-3</v>
      </c>
      <c r="AX110" s="103" t="s">
        <v>363</v>
      </c>
    </row>
    <row r="111" spans="1:51" ht="15.6" x14ac:dyDescent="0.35">
      <c r="A111" t="s">
        <v>317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0.76235713250356518</v>
      </c>
      <c r="U111" s="76">
        <f>J288</f>
        <v>0</v>
      </c>
      <c r="V111" s="76">
        <f>J289</f>
        <v>0.27796817739934171</v>
      </c>
      <c r="W111" s="76">
        <f>J290</f>
        <v>1.0074319140510797</v>
      </c>
      <c r="X111" s="76">
        <f>J291</f>
        <v>1.4294928333887418</v>
      </c>
      <c r="AC111" t="s">
        <v>155</v>
      </c>
      <c r="AD111" s="51"/>
      <c r="AE111" s="51"/>
      <c r="AJ111" s="107"/>
      <c r="AK111" s="107" t="s">
        <v>30</v>
      </c>
      <c r="AL111" s="108">
        <f t="shared" si="17"/>
        <v>100</v>
      </c>
      <c r="AM111" s="108">
        <f t="shared" si="17"/>
        <v>98.678872714950131</v>
      </c>
      <c r="AN111" s="108">
        <f t="shared" si="17"/>
        <v>97.652499104338204</v>
      </c>
      <c r="AO111" s="108">
        <f t="shared" si="17"/>
        <v>98.33232169578622</v>
      </c>
      <c r="AP111" s="108">
        <f t="shared" si="17"/>
        <v>88.162409392304568</v>
      </c>
      <c r="AQ111" s="107"/>
      <c r="AR111" s="107"/>
      <c r="AS111" s="107"/>
      <c r="AU111" s="103" t="s">
        <v>363</v>
      </c>
      <c r="AW111" s="101"/>
      <c r="AX111" s="1" t="s">
        <v>357</v>
      </c>
      <c r="AY111" s="96"/>
    </row>
    <row r="112" spans="1:51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51</v>
      </c>
      <c r="T112" s="67">
        <f>N276*100</f>
        <v>98.972099853157118</v>
      </c>
      <c r="U112" s="67">
        <f>N277*100</f>
        <v>96.969696969696969</v>
      </c>
      <c r="V112" s="67">
        <f>N278*100</f>
        <v>90.551680405833849</v>
      </c>
      <c r="W112" s="67">
        <f>N279*100</f>
        <v>93.772893772893767</v>
      </c>
      <c r="X112" s="67">
        <f>N280*100</f>
        <v>88.16155988857939</v>
      </c>
      <c r="AC112" t="s">
        <v>202</v>
      </c>
      <c r="AD112" s="51"/>
      <c r="AE112" s="51"/>
      <c r="AH112" s="78"/>
      <c r="AI112" s="78"/>
      <c r="AJ112" s="107"/>
      <c r="AK112" s="109" t="s">
        <v>39</v>
      </c>
      <c r="AL112" s="110">
        <f t="shared" si="17"/>
        <v>0</v>
      </c>
      <c r="AM112" s="110">
        <f t="shared" si="17"/>
        <v>0.92125569640840632</v>
      </c>
      <c r="AN112" s="110">
        <f t="shared" si="17"/>
        <v>0.39845690455752458</v>
      </c>
      <c r="AO112" s="110">
        <f t="shared" si="17"/>
        <v>0.60295328303488727</v>
      </c>
      <c r="AP112" s="110">
        <f t="shared" si="17"/>
        <v>5.0351383233538822</v>
      </c>
      <c r="AQ112" s="107"/>
      <c r="AR112" s="107"/>
      <c r="AS112" s="107"/>
      <c r="AU112" s="93"/>
      <c r="AV112" s="1" t="s">
        <v>357</v>
      </c>
      <c r="AW112" s="97"/>
      <c r="AX112" s="71" t="s">
        <v>358</v>
      </c>
      <c r="AY112" s="95"/>
    </row>
    <row r="113" spans="1:51" x14ac:dyDescent="0.3">
      <c r="A113" t="s">
        <v>3</v>
      </c>
      <c r="B113" s="13">
        <v>0</v>
      </c>
      <c r="C113" s="29">
        <f>(C102/$L113)*$O113</f>
        <v>0.40806740523262286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0.40806740523262286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344</v>
      </c>
      <c r="M113">
        <v>0</v>
      </c>
      <c r="N113" s="1">
        <v>333.95</v>
      </c>
      <c r="O113" s="17">
        <f>N113/N118*100</f>
        <v>0.40806740523262286</v>
      </c>
      <c r="P113" s="52">
        <f>((O113*O113*(I113/100)*(K113/100))/(L113-1))</f>
        <v>0</v>
      </c>
      <c r="R113" s="16" t="s">
        <v>61</v>
      </c>
      <c r="S113" t="s">
        <v>9</v>
      </c>
      <c r="T113" s="30">
        <f>N287</f>
        <v>313.14999999999998</v>
      </c>
      <c r="U113" s="30">
        <f>N288</f>
        <v>543.97</v>
      </c>
      <c r="V113" s="30">
        <f>N289</f>
        <v>50621.62</v>
      </c>
      <c r="W113" s="30">
        <f>N290</f>
        <v>26880.86</v>
      </c>
      <c r="X113" s="30">
        <f>N291</f>
        <v>3477.36</v>
      </c>
      <c r="Z113" t="s">
        <v>36</v>
      </c>
      <c r="AA113" s="1">
        <f>N292</f>
        <v>81836.960000000006</v>
      </c>
      <c r="AC113" t="s">
        <v>156</v>
      </c>
      <c r="AD113" s="51"/>
      <c r="AE113" s="51"/>
      <c r="AJ113" s="107"/>
      <c r="AK113" s="111" t="s">
        <v>31</v>
      </c>
      <c r="AL113" s="112">
        <f>AR94</f>
        <v>100</v>
      </c>
      <c r="AM113" s="112">
        <f>AR95</f>
        <v>100</v>
      </c>
      <c r="AN113" s="112">
        <f>AR96</f>
        <v>99.30362116991644</v>
      </c>
      <c r="AO113" s="112">
        <f>AR97</f>
        <v>96.508728179551113</v>
      </c>
      <c r="AP113" s="112">
        <f>AR98</f>
        <v>78.364779874213838</v>
      </c>
      <c r="AQ113" s="107"/>
      <c r="AR113" s="107"/>
      <c r="AS113" s="107"/>
      <c r="AU113" s="94"/>
      <c r="AV113" s="71" t="s">
        <v>360</v>
      </c>
      <c r="AW113" s="98"/>
      <c r="AX113" s="71" t="s">
        <v>359</v>
      </c>
      <c r="AY113" s="93"/>
    </row>
    <row r="114" spans="1:51" ht="15.6" x14ac:dyDescent="0.35">
      <c r="A114" t="s">
        <v>4</v>
      </c>
      <c r="B114" s="13">
        <v>1</v>
      </c>
      <c r="C114" s="33">
        <f t="shared" ref="C114:G117" si="18">(C103/$L114)*$O114</f>
        <v>0</v>
      </c>
      <c r="D114" s="34">
        <f t="shared" si="18"/>
        <v>0.69428279175047658</v>
      </c>
      <c r="E114" s="19">
        <f t="shared" si="18"/>
        <v>0</v>
      </c>
      <c r="F114" s="18">
        <f t="shared" si="18"/>
        <v>0</v>
      </c>
      <c r="G114" s="20">
        <f t="shared" si="18"/>
        <v>0</v>
      </c>
      <c r="H114" s="17">
        <f>SUM(C114:G114)</f>
        <v>0.69428279175047658</v>
      </c>
      <c r="I114" s="17">
        <f>D114/H114*100</f>
        <v>100</v>
      </c>
      <c r="J114" s="17">
        <f>SQRT(I114*(100-I114)/(L114-1))</f>
        <v>0</v>
      </c>
      <c r="K114" s="18">
        <f>100-I114</f>
        <v>0</v>
      </c>
      <c r="L114" s="1">
        <f>H103</f>
        <v>48</v>
      </c>
      <c r="M114">
        <v>1</v>
      </c>
      <c r="N114" s="1">
        <v>568.17999999999995</v>
      </c>
      <c r="O114" s="17">
        <f>N114/N118*100</f>
        <v>0.69428279175047658</v>
      </c>
      <c r="P114" s="52">
        <f>((O114*O114*(I114/100)*(K114/100))/(L114-1))</f>
        <v>0</v>
      </c>
      <c r="R114" s="16" t="s">
        <v>318</v>
      </c>
      <c r="S114" t="s">
        <v>63</v>
      </c>
      <c r="T114" s="57">
        <f>$AA113*T106/100</f>
        <v>306.77776162790695</v>
      </c>
      <c r="U114" s="57">
        <f>$AA113*U106/100</f>
        <v>557.09211320754719</v>
      </c>
      <c r="V114" s="57">
        <f>$AA113*V106/100</f>
        <v>51537.785608294398</v>
      </c>
      <c r="W114" s="57">
        <f>$AA113*W106/100</f>
        <v>26130.262121349522</v>
      </c>
      <c r="X114" s="57">
        <f>$AA113*X106/100</f>
        <v>3305.0423955206329</v>
      </c>
      <c r="Z114" t="s">
        <v>36</v>
      </c>
      <c r="AA114" s="25">
        <f>SUM(T114:X114)</f>
        <v>81836.960000000006</v>
      </c>
      <c r="AC114" t="s">
        <v>203</v>
      </c>
      <c r="AD114" s="51"/>
      <c r="AE114" s="51"/>
      <c r="AH114" s="78"/>
      <c r="AI114" s="78"/>
      <c r="AJ114" s="107"/>
      <c r="AK114" s="113" t="s">
        <v>39</v>
      </c>
      <c r="AL114" s="114">
        <f>AS94</f>
        <v>0</v>
      </c>
      <c r="AM114" s="114">
        <f>AS95</f>
        <v>0</v>
      </c>
      <c r="AN114" s="114">
        <f>AS96</f>
        <v>0.31056016230667621</v>
      </c>
      <c r="AO114" s="114">
        <f>AS97</f>
        <v>0.91779382641286622</v>
      </c>
      <c r="AP114" s="114">
        <f>AS98</f>
        <v>1.4612713412832194</v>
      </c>
      <c r="AQ114" s="107"/>
      <c r="AR114" s="107"/>
      <c r="AS114" s="107"/>
      <c r="AU114" s="95"/>
      <c r="AV114" s="1" t="s">
        <v>361</v>
      </c>
      <c r="AW114" s="99"/>
      <c r="AX114" s="1" t="s">
        <v>364</v>
      </c>
      <c r="AY114" s="99"/>
    </row>
    <row r="115" spans="1:51" x14ac:dyDescent="0.3">
      <c r="A115" t="s">
        <v>5</v>
      </c>
      <c r="B115" s="13">
        <v>2</v>
      </c>
      <c r="C115" s="33">
        <f t="shared" si="18"/>
        <v>0</v>
      </c>
      <c r="D115" s="19">
        <f t="shared" si="18"/>
        <v>0</v>
      </c>
      <c r="E115" s="34">
        <f t="shared" si="18"/>
        <v>61.705231234509483</v>
      </c>
      <c r="F115" s="19">
        <f t="shared" si="18"/>
        <v>0.25890306811682301</v>
      </c>
      <c r="G115" s="20">
        <f t="shared" si="18"/>
        <v>0</v>
      </c>
      <c r="H115" s="17">
        <f>SUM(C115:G115)</f>
        <v>61.964134302626306</v>
      </c>
      <c r="I115" s="17">
        <f>E115/H115*100</f>
        <v>99.582172701949872</v>
      </c>
      <c r="J115" s="17">
        <f>SQRT(I115*(100-I115)/(L115-1))</f>
        <v>0.24089602077015851</v>
      </c>
      <c r="K115" s="18">
        <f>100-I115</f>
        <v>0.41782729805012764</v>
      </c>
      <c r="L115" s="1">
        <f>H104</f>
        <v>718</v>
      </c>
      <c r="M115">
        <v>2</v>
      </c>
      <c r="N115" s="1">
        <v>50709.57</v>
      </c>
      <c r="O115" s="17">
        <f>N115/N118*100</f>
        <v>61.964134302626306</v>
      </c>
      <c r="P115" s="52">
        <f>((O115*O115*(I115/100)*(K115/100))/(L115-1))</f>
        <v>2.2281274317255344E-2</v>
      </c>
      <c r="R115" s="66"/>
      <c r="S115" s="66" t="s">
        <v>62</v>
      </c>
      <c r="T115" s="67">
        <f>$AA113*T107/100</f>
        <v>2.3838488911635372</v>
      </c>
      <c r="U115" s="67">
        <f>$AA113*U107/100</f>
        <v>7.5617476373703569</v>
      </c>
      <c r="V115" s="67">
        <f>$AA113*V107/100</f>
        <v>247.91965121496685</v>
      </c>
      <c r="W115" s="67">
        <f>$AA113*W107/100</f>
        <v>305.54620703003735</v>
      </c>
      <c r="X115" s="67">
        <f>$AA113*X107/100</f>
        <v>194.16413536132509</v>
      </c>
      <c r="AA115" s="1"/>
      <c r="AC115" t="s">
        <v>204</v>
      </c>
      <c r="AD115" s="51"/>
      <c r="AE115" s="51"/>
      <c r="AJ115" s="107"/>
      <c r="AK115" s="109" t="s">
        <v>51</v>
      </c>
      <c r="AL115" s="110">
        <f>AW83*100</f>
        <v>100</v>
      </c>
      <c r="AM115" s="110">
        <f>AW84*100</f>
        <v>97.959183673469383</v>
      </c>
      <c r="AN115" s="110">
        <f>AW85*100</f>
        <v>89.85507246376811</v>
      </c>
      <c r="AO115" s="110">
        <f>AW86*100</f>
        <v>94.852941176470594</v>
      </c>
      <c r="AP115" s="110">
        <f>AW87*100</f>
        <v>87.561489810260014</v>
      </c>
      <c r="AQ115" s="107"/>
      <c r="AR115" s="107"/>
      <c r="AS115" s="107"/>
      <c r="AU115" s="96"/>
      <c r="AV115" s="1" t="s">
        <v>362</v>
      </c>
      <c r="AW115" s="100"/>
      <c r="AX115" s="71" t="s">
        <v>365</v>
      </c>
      <c r="AY115" s="102"/>
    </row>
    <row r="116" spans="1:51" x14ac:dyDescent="0.3">
      <c r="A116" t="s">
        <v>6</v>
      </c>
      <c r="B116" s="13">
        <v>3</v>
      </c>
      <c r="C116" s="33">
        <f t="shared" si="18"/>
        <v>0</v>
      </c>
      <c r="D116" s="19">
        <f t="shared" si="18"/>
        <v>0</v>
      </c>
      <c r="E116" s="19">
        <f t="shared" si="18"/>
        <v>0.73742565002107219</v>
      </c>
      <c r="F116" s="34">
        <f t="shared" si="18"/>
        <v>31.545430584234754</v>
      </c>
      <c r="G116" s="20">
        <f t="shared" si="18"/>
        <v>0.57355328334972278</v>
      </c>
      <c r="H116" s="17">
        <f>SUM(C116:G116)</f>
        <v>32.856409517605549</v>
      </c>
      <c r="I116" s="17">
        <f>F116/H116*100</f>
        <v>96.009975062344139</v>
      </c>
      <c r="J116" s="17">
        <f>SQRT(I116*(100-I116)/(L116-1))</f>
        <v>0.97862428281040326</v>
      </c>
      <c r="K116" s="18">
        <f>100-I116</f>
        <v>3.9900249376558605</v>
      </c>
      <c r="L116" s="1">
        <f>H105</f>
        <v>401</v>
      </c>
      <c r="M116">
        <v>3</v>
      </c>
      <c r="N116" s="1">
        <v>26888.69</v>
      </c>
      <c r="O116" s="17">
        <f>N116/N118*100</f>
        <v>32.856409517605549</v>
      </c>
      <c r="P116" s="52">
        <f>((O116*O116*(I116/100)*(K116/100))/(L116-1))</f>
        <v>0.10338848735010635</v>
      </c>
      <c r="R116" t="s">
        <v>98</v>
      </c>
      <c r="S116" t="s">
        <v>28</v>
      </c>
      <c r="T116" s="57">
        <f>C321</f>
        <v>0.41356619307462056</v>
      </c>
      <c r="U116" s="57">
        <f t="shared" ref="U116:X119" si="19">D321</f>
        <v>0.95074324738991089</v>
      </c>
      <c r="V116" s="57">
        <f t="shared" si="19"/>
        <v>62.484211397986833</v>
      </c>
      <c r="W116" s="57">
        <f t="shared" si="19"/>
        <v>31.925106103593098</v>
      </c>
      <c r="X116" s="57">
        <f t="shared" si="19"/>
        <v>4.226373057955545</v>
      </c>
      <c r="Z116" s="74"/>
      <c r="AA116" s="12"/>
      <c r="AD116" s="51"/>
      <c r="AE116" s="51"/>
      <c r="AH116" s="78"/>
      <c r="AI116" s="78"/>
      <c r="AJ116" s="115" t="s">
        <v>356</v>
      </c>
      <c r="AK116" s="107" t="s">
        <v>9</v>
      </c>
      <c r="AL116" s="116">
        <f>AW94</f>
        <v>334.76</v>
      </c>
      <c r="AM116" s="116">
        <f>AW95</f>
        <v>605.17999999999995</v>
      </c>
      <c r="AN116" s="116">
        <f>AW96</f>
        <v>50498.41</v>
      </c>
      <c r="AO116" s="116">
        <f>AW97</f>
        <v>27177.99</v>
      </c>
      <c r="AP116" s="116">
        <f>AW98</f>
        <v>3220.64</v>
      </c>
      <c r="AQ116" s="107"/>
      <c r="AR116" s="115" t="s">
        <v>36</v>
      </c>
      <c r="AS116" s="136">
        <f>AW99</f>
        <v>81836.98000000001</v>
      </c>
      <c r="AW116" s="102"/>
      <c r="AX116" s="1" t="s">
        <v>362</v>
      </c>
      <c r="AY116" s="104"/>
    </row>
    <row r="117" spans="1:51" ht="15.6" x14ac:dyDescent="0.35">
      <c r="A117" t="s">
        <v>7</v>
      </c>
      <c r="B117" s="13">
        <v>4</v>
      </c>
      <c r="C117" s="35">
        <f t="shared" si="18"/>
        <v>0</v>
      </c>
      <c r="D117" s="36">
        <f t="shared" si="18"/>
        <v>1.0256870396943502E-2</v>
      </c>
      <c r="E117" s="21">
        <f t="shared" si="18"/>
        <v>0.7077240573891016</v>
      </c>
      <c r="F117" s="21">
        <f t="shared" si="18"/>
        <v>0.16923836154956778</v>
      </c>
      <c r="G117" s="37">
        <f t="shared" si="18"/>
        <v>3.1898866934494294</v>
      </c>
      <c r="H117" s="17">
        <f>SUM(C117:G117)</f>
        <v>4.0771059827850422</v>
      </c>
      <c r="I117" s="17">
        <f>G117/H117*100</f>
        <v>78.23899371069183</v>
      </c>
      <c r="J117" s="17">
        <f>SQRT(I117*(100-I117)/(L117-1))</f>
        <v>1.4643364201558484</v>
      </c>
      <c r="K117" s="18">
        <f>100-I117</f>
        <v>21.76100628930817</v>
      </c>
      <c r="L117" s="1">
        <f>H106</f>
        <v>795</v>
      </c>
      <c r="M117">
        <v>4</v>
      </c>
      <c r="N117" s="1">
        <v>3336.58</v>
      </c>
      <c r="O117" s="17">
        <f>N117/N118*100</f>
        <v>4.0771059827850422</v>
      </c>
      <c r="P117" s="52">
        <f>((O117*O117*(I117/100)*(K117/100))/(L117-1))</f>
        <v>3.5643942131276208E-3</v>
      </c>
      <c r="S117" s="66" t="s">
        <v>39</v>
      </c>
      <c r="T117" s="67">
        <f>C322</f>
        <v>0</v>
      </c>
      <c r="U117" s="67">
        <f t="shared" si="19"/>
        <v>1.0347770618928262E-2</v>
      </c>
      <c r="V117" s="67">
        <f t="shared" si="19"/>
        <v>0.32576561089515932</v>
      </c>
      <c r="W117" s="67">
        <f t="shared" si="19"/>
        <v>0.40715251450114393</v>
      </c>
      <c r="X117" s="67">
        <f t="shared" si="19"/>
        <v>0.28844937356354206</v>
      </c>
      <c r="AD117" s="51"/>
      <c r="AE117" s="51"/>
      <c r="AJ117" s="115" t="s">
        <v>355</v>
      </c>
      <c r="AK117" s="107" t="s">
        <v>63</v>
      </c>
      <c r="AL117" s="108">
        <f>$AS116*AL109/100</f>
        <v>334.76</v>
      </c>
      <c r="AM117" s="108">
        <f>$AS116*AM109/100</f>
        <v>613.28223899371062</v>
      </c>
      <c r="AN117" s="108">
        <f>$AS116*AN109/100</f>
        <v>51352.244154705346</v>
      </c>
      <c r="AO117" s="108">
        <f>$AS116*AO109/100</f>
        <v>26673.968478962062</v>
      </c>
      <c r="AP117" s="108">
        <f>$AS116*AP109/100</f>
        <v>2862.7251273388852</v>
      </c>
      <c r="AQ117" s="107"/>
      <c r="AR117" s="115" t="s">
        <v>36</v>
      </c>
      <c r="AS117" s="136">
        <f>SUM(AL117:AP117)</f>
        <v>81836.98</v>
      </c>
    </row>
    <row r="118" spans="1:51" x14ac:dyDescent="0.3">
      <c r="B118" t="s">
        <v>28</v>
      </c>
      <c r="C118" s="17">
        <f t="shared" ref="C118:H118" si="20">SUM(C113:C117)</f>
        <v>0.40806740523262286</v>
      </c>
      <c r="D118" s="17">
        <f t="shared" si="20"/>
        <v>0.70453966214742003</v>
      </c>
      <c r="E118" s="17">
        <f t="shared" si="20"/>
        <v>63.150380941919657</v>
      </c>
      <c r="F118" s="17">
        <f t="shared" si="20"/>
        <v>31.973572013901144</v>
      </c>
      <c r="G118" s="17">
        <f t="shared" si="20"/>
        <v>3.7634399767991522</v>
      </c>
      <c r="H118" s="18">
        <f t="shared" si="20"/>
        <v>100</v>
      </c>
      <c r="I118" s="13" t="s">
        <v>24</v>
      </c>
      <c r="J118" s="12" t="s">
        <v>29</v>
      </c>
      <c r="N118" s="1">
        <f>SUM(N113:N117)</f>
        <v>81836.97</v>
      </c>
      <c r="O118" s="17">
        <f>SUM(O113:O117)</f>
        <v>100</v>
      </c>
      <c r="S118" t="s">
        <v>30</v>
      </c>
      <c r="T118" s="57">
        <f>C323</f>
        <v>100</v>
      </c>
      <c r="U118" s="57">
        <f t="shared" si="19"/>
        <v>97.817728093699344</v>
      </c>
      <c r="V118" s="57">
        <f t="shared" si="19"/>
        <v>97.728888425141236</v>
      </c>
      <c r="W118" s="57">
        <f t="shared" si="19"/>
        <v>98.071867483256497</v>
      </c>
      <c r="X118" s="57">
        <f t="shared" si="19"/>
        <v>76.582383776240306</v>
      </c>
      <c r="AD118" s="51"/>
      <c r="AE118" s="51"/>
      <c r="AH118" s="78"/>
      <c r="AI118" s="78"/>
      <c r="AJ118" s="109"/>
      <c r="AK118" s="109" t="s">
        <v>354</v>
      </c>
      <c r="AL118" s="110">
        <f>$AS116*AL110/100</f>
        <v>0</v>
      </c>
      <c r="AM118" s="110">
        <f>$AS116*AM110/100</f>
        <v>5.7219371215203809</v>
      </c>
      <c r="AN118" s="110">
        <f>$AS116*AN110/100</f>
        <v>258.72959961301325</v>
      </c>
      <c r="AO118" s="110">
        <f>$AS116*AO110/100</f>
        <v>294.94305837813283</v>
      </c>
      <c r="AP118" s="110">
        <f>$AS116*AP110/100</f>
        <v>157.7761399601666</v>
      </c>
      <c r="AQ118" s="107"/>
      <c r="AR118" s="107"/>
      <c r="AS118" s="107"/>
    </row>
    <row r="119" spans="1:51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0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7.2435739701644927E-3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0.29037126501181976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0.35526441332009018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0.22301192826266664</v>
      </c>
      <c r="H119" s="1"/>
      <c r="I119" s="56">
        <f>(C113+D114+E115+F116+G117)/H118</f>
        <v>0.97542898709176751</v>
      </c>
      <c r="J119" s="53">
        <f>SQRT(SUM(P113:P117))/100</f>
        <v>3.5949152407322386E-3</v>
      </c>
      <c r="M119" s="1"/>
      <c r="N119" s="9"/>
      <c r="S119" s="66" t="s">
        <v>39</v>
      </c>
      <c r="T119" s="67">
        <f>C324</f>
        <v>0</v>
      </c>
      <c r="U119" s="67">
        <f t="shared" si="19"/>
        <v>1.0653061356412197</v>
      </c>
      <c r="V119" s="67">
        <f t="shared" si="19"/>
        <v>0.3983794808160287</v>
      </c>
      <c r="W119" s="67">
        <f t="shared" si="19"/>
        <v>0.63308705698803924</v>
      </c>
      <c r="X119" s="67">
        <f t="shared" si="19"/>
        <v>6.1070511156020437</v>
      </c>
      <c r="AD119" s="51"/>
      <c r="AE119" s="51"/>
      <c r="AJ119" s="115" t="s">
        <v>376</v>
      </c>
      <c r="AK119" s="122" t="s">
        <v>9</v>
      </c>
      <c r="AL119" s="135">
        <f>AVERAGE(AR195:AR214)</f>
        <v>339.03799999999995</v>
      </c>
      <c r="AM119" s="135">
        <f>AVERAGE(AS195:AS214)</f>
        <v>664.53300000000002</v>
      </c>
      <c r="AN119" s="135">
        <f>AVERAGE(AT195:AT214)</f>
        <v>50351.827000000005</v>
      </c>
      <c r="AO119" s="135">
        <f>AVERAGE(AU195:AU214)</f>
        <v>27170.882000000001</v>
      </c>
      <c r="AP119" s="135">
        <f>AVERAGE(AV195:AV214)</f>
        <v>3310.6880000000006</v>
      </c>
      <c r="AQ119" s="107"/>
      <c r="AR119" s="115" t="s">
        <v>36</v>
      </c>
      <c r="AS119" s="136">
        <f>SUM(AL119:AP119)</f>
        <v>81836.967999999993</v>
      </c>
    </row>
    <row r="120" spans="1:51" x14ac:dyDescent="0.3">
      <c r="B120" s="1" t="s">
        <v>30</v>
      </c>
      <c r="C120" s="17">
        <f>C113/C118*100</f>
        <v>100</v>
      </c>
      <c r="D120" s="17">
        <f>D114/D118*100</f>
        <v>98.54417416818228</v>
      </c>
      <c r="E120" s="17">
        <f>E115/E118*100</f>
        <v>97.711574046181454</v>
      </c>
      <c r="F120" s="17">
        <f>F116/F118*100</f>
        <v>98.660952146728405</v>
      </c>
      <c r="G120" s="17">
        <f>G117/G118*100</f>
        <v>84.759866322153059</v>
      </c>
      <c r="H120" s="1"/>
      <c r="S120" s="15" t="s">
        <v>31</v>
      </c>
      <c r="T120" s="71">
        <f>I316</f>
        <v>100</v>
      </c>
      <c r="U120" s="71">
        <f>I317</f>
        <v>100</v>
      </c>
      <c r="V120" s="71">
        <f>I318</f>
        <v>99.164345403899716</v>
      </c>
      <c r="W120" s="71">
        <f>I319</f>
        <v>95.012468827930178</v>
      </c>
      <c r="X120" s="71">
        <f>I320</f>
        <v>78.49056603773586</v>
      </c>
      <c r="AD120" s="51"/>
      <c r="AE120" s="51"/>
      <c r="AH120" s="78"/>
      <c r="AI120" s="78"/>
      <c r="AJ120" s="140"/>
      <c r="AK120" s="128" t="s">
        <v>368</v>
      </c>
      <c r="AL120" s="125">
        <f>_xlfn.STDEV.S(AR195:AR214)/SQRT($AK$108)</f>
        <v>3.6126429747703956</v>
      </c>
      <c r="AM120" s="125">
        <f>_xlfn.STDEV.S(AS195:AS214)/SQRT($AK$108)</f>
        <v>14.147084748976972</v>
      </c>
      <c r="AN120" s="125">
        <f>_xlfn.STDEV.S(AT195:AT214)/SQRT($AK$108)</f>
        <v>55.963777524301328</v>
      </c>
      <c r="AO120" s="125">
        <f>_xlfn.STDEV.S(AU195:AU214)/SQRT($AK$108)</f>
        <v>43.844491339757845</v>
      </c>
      <c r="AP120" s="125">
        <f>_xlfn.STDEV.S(AV195:AV214)/SQRT($AK$108)</f>
        <v>27.059171279176113</v>
      </c>
      <c r="AQ120" s="107"/>
      <c r="AR120" s="107"/>
      <c r="AS120" s="107"/>
    </row>
    <row r="121" spans="1:51" x14ac:dyDescent="0.3">
      <c r="B121" s="16" t="s">
        <v>39</v>
      </c>
      <c r="C121" s="18">
        <f>SQRT((C124+C125)/(C118*C118))</f>
        <v>0</v>
      </c>
      <c r="D121" s="18">
        <f>SQRT((D124+D125)/(D118*D118))</f>
        <v>1.0137986768329215</v>
      </c>
      <c r="E121" s="18">
        <f>SQRT((E124+E125)/(E118*E118))</f>
        <v>0.3897153947873756</v>
      </c>
      <c r="F121" s="18">
        <f>SQRT((F124+F125)/(F118*F118))</f>
        <v>0.48807486028027086</v>
      </c>
      <c r="G121" s="18">
        <f>SQRT((G124+G125)/(G118*G118))</f>
        <v>5.4152580360547828</v>
      </c>
      <c r="H121" s="1"/>
      <c r="S121" s="75" t="s">
        <v>39</v>
      </c>
      <c r="T121" s="76">
        <f>J316</f>
        <v>0</v>
      </c>
      <c r="U121" s="76">
        <f>J317</f>
        <v>0</v>
      </c>
      <c r="V121" s="76">
        <f>J318</f>
        <v>0.33996295845078778</v>
      </c>
      <c r="W121" s="76">
        <f>J319</f>
        <v>1.0884365507628524</v>
      </c>
      <c r="X121" s="76">
        <f>J320</f>
        <v>1.4581861541009959</v>
      </c>
      <c r="AD121" s="51"/>
      <c r="AE121" s="51"/>
      <c r="AJ121" s="119" t="s">
        <v>701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</row>
    <row r="122" spans="1:51" x14ac:dyDescent="0.3">
      <c r="B122" s="1" t="s">
        <v>37</v>
      </c>
      <c r="C122" s="18">
        <f>100-C120</f>
        <v>0</v>
      </c>
      <c r="D122" s="18">
        <f>100-D120</f>
        <v>1.4558258318177195</v>
      </c>
      <c r="E122" s="18">
        <f>100-E120</f>
        <v>2.2884259538185461</v>
      </c>
      <c r="F122" s="18">
        <f>100-F120</f>
        <v>1.3390478532715946</v>
      </c>
      <c r="G122" s="18">
        <f>100-G120</f>
        <v>15.240133677846941</v>
      </c>
      <c r="S122" s="66" t="s">
        <v>51</v>
      </c>
      <c r="T122" s="67">
        <f>N305*100</f>
        <v>100</v>
      </c>
      <c r="U122" s="67">
        <f>N306*100</f>
        <v>96.000000000000014</v>
      </c>
      <c r="V122" s="67">
        <f>N307*100</f>
        <v>90.70063694267516</v>
      </c>
      <c r="W122" s="67">
        <f>N308*100</f>
        <v>92.588092345078991</v>
      </c>
      <c r="X122" s="67">
        <f>N309*100</f>
        <v>87.211740041928721</v>
      </c>
      <c r="AD122" s="51"/>
      <c r="AE122" s="51"/>
      <c r="AH122" s="78"/>
      <c r="AI122" s="78"/>
      <c r="AJ122" s="115" t="s">
        <v>375</v>
      </c>
      <c r="AK122" s="122" t="s">
        <v>9</v>
      </c>
      <c r="AL122" s="135">
        <v>7.47</v>
      </c>
      <c r="AM122" s="135">
        <v>235.81</v>
      </c>
      <c r="AN122" s="135">
        <v>5126.05</v>
      </c>
      <c r="AO122" s="135">
        <v>659.28</v>
      </c>
      <c r="AP122" s="135">
        <v>129.07</v>
      </c>
      <c r="AQ122" s="107"/>
      <c r="AR122" s="115" t="s">
        <v>36</v>
      </c>
      <c r="AS122" s="136">
        <f>SUM(AL122:AP122)</f>
        <v>6157.6799999999994</v>
      </c>
      <c r="AU122">
        <v>1</v>
      </c>
      <c r="AV122">
        <v>68</v>
      </c>
    </row>
    <row r="123" spans="1:51" ht="15.6" x14ac:dyDescent="0.35">
      <c r="B123" s="1" t="s">
        <v>25</v>
      </c>
      <c r="C123" s="1">
        <f>C107</f>
        <v>344</v>
      </c>
      <c r="D123" s="1">
        <f>D107</f>
        <v>50</v>
      </c>
      <c r="E123" s="1">
        <f>E107</f>
        <v>862</v>
      </c>
      <c r="F123" s="1">
        <f>F107</f>
        <v>421</v>
      </c>
      <c r="G123" s="1">
        <f>G107</f>
        <v>629</v>
      </c>
      <c r="R123" s="16" t="s">
        <v>61</v>
      </c>
      <c r="S123" t="s">
        <v>9</v>
      </c>
      <c r="T123" s="30">
        <f>N316</f>
        <v>338.45</v>
      </c>
      <c r="U123" s="30">
        <f>N317</f>
        <v>761.08</v>
      </c>
      <c r="V123" s="30">
        <f>N318</f>
        <v>50394.97</v>
      </c>
      <c r="W123" s="30">
        <f>N319</f>
        <v>26967.81</v>
      </c>
      <c r="X123" s="30">
        <f>N320</f>
        <v>3374.65</v>
      </c>
      <c r="Z123" t="s">
        <v>36</v>
      </c>
      <c r="AA123" s="1">
        <f>N321</f>
        <v>81836.959999999992</v>
      </c>
      <c r="AD123" s="51"/>
      <c r="AE123" s="51"/>
      <c r="AJ123" s="107"/>
      <c r="AK123" s="107" t="s">
        <v>367</v>
      </c>
      <c r="AL123" s="108">
        <f>(AL122/$AS122)*100</f>
        <v>0.12131192267217523</v>
      </c>
      <c r="AM123" s="108">
        <f>(AM122/$AS122)*100</f>
        <v>3.8295267048628707</v>
      </c>
      <c r="AN123" s="108">
        <f>(AN122/$AS122)*100</f>
        <v>83.246449961673889</v>
      </c>
      <c r="AO123" s="108">
        <f>(AO122/$AS122)*100</f>
        <v>10.706629769653507</v>
      </c>
      <c r="AP123" s="108">
        <f>(AP122/$AS122)*100</f>
        <v>2.0960816411375713</v>
      </c>
      <c r="AQ123" s="107"/>
      <c r="AR123" s="107"/>
      <c r="AS123" s="107"/>
      <c r="AU123">
        <v>2</v>
      </c>
      <c r="AV123">
        <v>97</v>
      </c>
    </row>
    <row r="124" spans="1:51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0</v>
      </c>
      <c r="E124" s="18">
        <f>(O115*O115*(100-E120)*(100-E120)*(I115)*(100-I115))/((L115-1)*100)</f>
        <v>11.668465721489332</v>
      </c>
      <c r="F124" s="18">
        <f>(O116*O116*(100-F120)*(100-F120)*(I116)*(100-I116))/((L116-1)*100)</f>
        <v>18.538063970937625</v>
      </c>
      <c r="G124" s="18">
        <f>(O117*O117*(100-G120)*(100-G120)*(I117)*(100-I117))/((L117-1)*100)</f>
        <v>82.787216858558736</v>
      </c>
      <c r="R124" s="16" t="s">
        <v>318</v>
      </c>
      <c r="S124" t="s">
        <v>63</v>
      </c>
      <c r="T124" s="57">
        <f>$AA123*T116/100</f>
        <v>338.44999999999993</v>
      </c>
      <c r="U124" s="57">
        <f>$AA123*U116/100</f>
        <v>778.05937106918236</v>
      </c>
      <c r="V124" s="57">
        <f>$AA123*V116/100</f>
        <v>51135.179088085919</v>
      </c>
      <c r="W124" s="57">
        <f>$AA123*W116/100</f>
        <v>26126.536311955038</v>
      </c>
      <c r="X124" s="57">
        <f>$AA123*X116/100</f>
        <v>3458.735228889856</v>
      </c>
      <c r="Z124" t="s">
        <v>36</v>
      </c>
      <c r="AA124" s="25">
        <f>SUM(T124:X124)</f>
        <v>81836.959999999992</v>
      </c>
      <c r="AD124" s="51"/>
      <c r="AE124" s="51"/>
      <c r="AH124" s="78"/>
      <c r="AI124" s="78"/>
      <c r="AJ124" s="115" t="s">
        <v>376</v>
      </c>
      <c r="AK124" s="122" t="s">
        <v>9</v>
      </c>
      <c r="AL124" s="139">
        <f>AVERAGE(AR216:AR235)</f>
        <v>7.474499999999999</v>
      </c>
      <c r="AM124" s="135">
        <f>AVERAGE(AS216:AS235)</f>
        <v>245.84949999999995</v>
      </c>
      <c r="AN124" s="135">
        <f>AVERAGE(AT216:AT235)</f>
        <v>5110.1539999999995</v>
      </c>
      <c r="AO124" s="135">
        <f>AVERAGE(AU216:AU235)</f>
        <v>660.04500000000007</v>
      </c>
      <c r="AP124" s="135">
        <f>AVERAGE(AV216:AV235)</f>
        <v>134.155</v>
      </c>
      <c r="AQ124" s="107"/>
      <c r="AR124" s="115" t="s">
        <v>36</v>
      </c>
      <c r="AS124" s="136">
        <f>SUM(AL124:AP124)</f>
        <v>6157.677999999999</v>
      </c>
      <c r="AU124">
        <v>3</v>
      </c>
      <c r="AV124">
        <v>126</v>
      </c>
    </row>
    <row r="125" spans="1:51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0.51016931504730623</v>
      </c>
      <c r="E125" s="18">
        <f>E120*E120*(SUM((H113*E113*(1-E102/H102))/(H102-1),(H114*E114*(1-E103/H103))/(H103-1), (H116*E116*(1-E105/H105))/(H105-1),(H117*E117*(1-E106/H106))/(H106-1)))</f>
        <v>594.01688972366094</v>
      </c>
      <c r="F125" s="18">
        <f>F120*F120*(SUM((H113*F113*(1-F102/H102))/(H102-1),(H114*F114*(1-F103/H103))/(H103-1), (H115*F115*(1-F104/H104))/(H104-1),(H117*F117*(1-F106/H106))/(H106-1)))</f>
        <v>224.9934630750947</v>
      </c>
      <c r="G125" s="18">
        <f>G120*G120*(SUM((H113*G113*(1-G102/H102))/(H102-1),(H114*G114*(1-G103/H103))/(H103-1), (H115*G115*(1-G104/H104))/(H104-1),(H116*G116*(1-G105/H105))/(H105-1)))</f>
        <v>332.55712516325497</v>
      </c>
      <c r="R125" s="66"/>
      <c r="S125" s="66" t="s">
        <v>62</v>
      </c>
      <c r="T125" s="67">
        <f>$AA123*T117/100</f>
        <v>0</v>
      </c>
      <c r="U125" s="67">
        <f>$AA123*U117/100</f>
        <v>8.4683009023040725</v>
      </c>
      <c r="V125" s="67">
        <f>$AA123*V117/100</f>
        <v>266.59667268202719</v>
      </c>
      <c r="W125" s="67">
        <f>$AA123*W117/100</f>
        <v>333.20124043129528</v>
      </c>
      <c r="X125" s="67">
        <f>$AA123*X117/100</f>
        <v>236.05819846344647</v>
      </c>
      <c r="AA125" s="1"/>
      <c r="AD125" s="51"/>
      <c r="AE125" s="51"/>
      <c r="AJ125" s="107"/>
      <c r="AK125" s="128" t="s">
        <v>368</v>
      </c>
      <c r="AL125" s="125">
        <f>_xlfn.STDEV.S(AR216:AR235)/SQRT($AK$108)</f>
        <v>0.12533423735209617</v>
      </c>
      <c r="AM125" s="125">
        <f>_xlfn.STDEV.S(AS216:AS235)/SQRT($AK$108)</f>
        <v>6.8928251970704242</v>
      </c>
      <c r="AN125" s="125">
        <f>_xlfn.STDEV.S(AT216:AT235)/SQRT($AK$108)</f>
        <v>7.5793991013036131</v>
      </c>
      <c r="AO125" s="125">
        <f>_xlfn.STDEV.S(AU216:AU235)/SQRT($AK$108)</f>
        <v>2.1882803269859399</v>
      </c>
      <c r="AP125" s="125">
        <f>_xlfn.STDEV.S(AV216:AV235)/SQRT($AK$108)</f>
        <v>1.8629473676775843</v>
      </c>
      <c r="AQ125" s="107"/>
      <c r="AR125" s="107"/>
      <c r="AS125" s="141"/>
      <c r="AU125">
        <v>4</v>
      </c>
      <c r="AV125">
        <v>155</v>
      </c>
    </row>
    <row r="126" spans="1:51" x14ac:dyDescent="0.3">
      <c r="R126" t="s">
        <v>99</v>
      </c>
      <c r="S126" t="s">
        <v>28</v>
      </c>
      <c r="T126" s="57">
        <f>C350</f>
        <v>0.4403698938352395</v>
      </c>
      <c r="U126" s="57">
        <f t="shared" ref="U126:X129" si="21">D350</f>
        <v>0.803266070588326</v>
      </c>
      <c r="V126" s="57">
        <f t="shared" si="21"/>
        <v>62.347306615050975</v>
      </c>
      <c r="W126" s="57">
        <f t="shared" si="21"/>
        <v>32.677860294855151</v>
      </c>
      <c r="X126" s="57">
        <f t="shared" si="21"/>
        <v>3.7311971256702989</v>
      </c>
      <c r="Y126" s="13"/>
      <c r="Z126" s="74"/>
      <c r="AA126" s="12"/>
      <c r="AD126" s="51"/>
      <c r="AE126" s="51"/>
      <c r="AH126" s="78"/>
      <c r="AI126" s="78"/>
      <c r="AJ126" s="119" t="s">
        <v>665</v>
      </c>
      <c r="AK126" s="107"/>
      <c r="AL126" s="116"/>
      <c r="AM126" s="116"/>
      <c r="AN126" s="116"/>
      <c r="AO126" s="116"/>
      <c r="AP126" s="116"/>
      <c r="AQ126" s="107"/>
      <c r="AR126" s="107"/>
      <c r="AS126" s="141"/>
      <c r="AU126">
        <v>5</v>
      </c>
      <c r="AV126">
        <v>184</v>
      </c>
    </row>
    <row r="127" spans="1:51" x14ac:dyDescent="0.3">
      <c r="S127" s="66" t="s">
        <v>39</v>
      </c>
      <c r="T127" s="67">
        <f>C351</f>
        <v>4.3153162136781191E-3</v>
      </c>
      <c r="U127" s="67">
        <f t="shared" si="21"/>
        <v>1.868216837051824E-2</v>
      </c>
      <c r="V127" s="67">
        <f t="shared" si="21"/>
        <v>0.30624284605025259</v>
      </c>
      <c r="W127" s="67">
        <f t="shared" si="21"/>
        <v>0.37906616673497695</v>
      </c>
      <c r="X127" s="67">
        <f t="shared" si="21"/>
        <v>0.24033228580056973</v>
      </c>
      <c r="AD127" s="51"/>
      <c r="AE127" s="51"/>
      <c r="AJ127" s="115" t="s">
        <v>375</v>
      </c>
      <c r="AK127" s="122" t="s">
        <v>9</v>
      </c>
      <c r="AL127" s="135">
        <v>221.13</v>
      </c>
      <c r="AM127" s="135">
        <v>128.41</v>
      </c>
      <c r="AN127" s="135">
        <v>3914.98</v>
      </c>
      <c r="AO127" s="135">
        <v>13302.74</v>
      </c>
      <c r="AP127" s="135">
        <v>2352.77</v>
      </c>
      <c r="AQ127" s="107"/>
      <c r="AR127" s="115" t="s">
        <v>36</v>
      </c>
      <c r="AS127" s="136">
        <f>SUM(AL127:AP127)</f>
        <v>19920.030000000002</v>
      </c>
      <c r="AU127">
        <v>6</v>
      </c>
      <c r="AV127">
        <v>213</v>
      </c>
    </row>
    <row r="128" spans="1:51" x14ac:dyDescent="0.3">
      <c r="A128" s="348" t="s">
        <v>378</v>
      </c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 t="s">
        <v>59</v>
      </c>
      <c r="M128" s="348"/>
      <c r="N128" s="348"/>
      <c r="O128" s="348"/>
      <c r="P128" s="348"/>
      <c r="S128" t="s">
        <v>30</v>
      </c>
      <c r="T128" s="57">
        <f>C352</f>
        <v>100</v>
      </c>
      <c r="U128" s="57">
        <f t="shared" si="21"/>
        <v>98.147749533076208</v>
      </c>
      <c r="V128" s="57">
        <f t="shared" si="21"/>
        <v>97.798828888098356</v>
      </c>
      <c r="W128" s="57">
        <f t="shared" si="21"/>
        <v>98.115777893813956</v>
      </c>
      <c r="X128" s="57">
        <f t="shared" si="21"/>
        <v>82.14443790156426</v>
      </c>
      <c r="AD128" s="51"/>
      <c r="AE128" s="51"/>
      <c r="AH128" s="78"/>
      <c r="AI128" s="78"/>
      <c r="AJ128" s="107"/>
      <c r="AK128" s="107" t="s">
        <v>367</v>
      </c>
      <c r="AL128" s="108">
        <f>(AL127/$AS127)*100</f>
        <v>1.1100886896254671</v>
      </c>
      <c r="AM128" s="108">
        <f>(AM127/$AS127)*100</f>
        <v>0.64462754323161153</v>
      </c>
      <c r="AN128" s="108">
        <f>(AN127/$AS127)*100</f>
        <v>19.653484457603724</v>
      </c>
      <c r="AO128" s="108">
        <f>(AO127/$AS127)*100</f>
        <v>66.780722719795094</v>
      </c>
      <c r="AP128" s="108">
        <f>(AP127/$AS127)*100</f>
        <v>11.81107658974409</v>
      </c>
      <c r="AQ128" s="107"/>
      <c r="AR128" s="107"/>
      <c r="AS128" s="141"/>
      <c r="AU128">
        <v>7</v>
      </c>
      <c r="AV128">
        <v>242</v>
      </c>
    </row>
    <row r="129" spans="1:48" x14ac:dyDescent="0.3">
      <c r="A129" t="s">
        <v>315</v>
      </c>
      <c r="B129" t="s">
        <v>21</v>
      </c>
      <c r="I129" s="1" t="s">
        <v>53</v>
      </c>
      <c r="O129" s="142"/>
      <c r="P129" s="142"/>
      <c r="S129" s="66" t="s">
        <v>39</v>
      </c>
      <c r="T129" s="67">
        <f>C353</f>
        <v>0</v>
      </c>
      <c r="U129" s="67">
        <f t="shared" si="21"/>
        <v>1.1173514581403832</v>
      </c>
      <c r="V129" s="67">
        <f t="shared" si="21"/>
        <v>0.38249533890737059</v>
      </c>
      <c r="W129" s="67">
        <f t="shared" si="21"/>
        <v>0.60903652033329814</v>
      </c>
      <c r="X129" s="67">
        <f t="shared" si="21"/>
        <v>5.8464438214499568</v>
      </c>
      <c r="AD129" s="51"/>
      <c r="AE129" s="51"/>
      <c r="AJ129" s="115" t="s">
        <v>376</v>
      </c>
      <c r="AK129" s="122" t="s">
        <v>9</v>
      </c>
      <c r="AL129" s="135">
        <f>AVERAGE(AL195:AL214)</f>
        <v>222.73200000000003</v>
      </c>
      <c r="AM129" s="135">
        <f>AVERAGE(AM195:AM214)</f>
        <v>151.23850000000002</v>
      </c>
      <c r="AN129" s="135">
        <f>AVERAGE(AN195:AN214)</f>
        <v>3897.1965000000005</v>
      </c>
      <c r="AO129" s="135">
        <f>AVERAGE(AO195:AO214)</f>
        <v>13265.886000000002</v>
      </c>
      <c r="AP129" s="135">
        <f>AVERAGE(AP195:AP214)</f>
        <v>2382.9794999999999</v>
      </c>
      <c r="AQ129" s="107"/>
      <c r="AR129" s="115" t="s">
        <v>36</v>
      </c>
      <c r="AS129" s="136">
        <f>SUM(AL129:AP129)</f>
        <v>19920.032500000005</v>
      </c>
      <c r="AU129">
        <v>8</v>
      </c>
      <c r="AV129">
        <v>271</v>
      </c>
    </row>
    <row r="130" spans="1:48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51</v>
      </c>
      <c r="O130" s="13"/>
      <c r="P130" s="13"/>
      <c r="S130" s="15" t="s">
        <v>31</v>
      </c>
      <c r="T130" s="71">
        <f>I345</f>
        <v>96.802325581395351</v>
      </c>
      <c r="U130" s="71">
        <f>I346</f>
        <v>97.916666666666657</v>
      </c>
      <c r="V130" s="71">
        <f>I347</f>
        <v>99.30362116991644</v>
      </c>
      <c r="W130" s="71">
        <f>I348</f>
        <v>96.009975062344139</v>
      </c>
      <c r="X130" s="71">
        <f>I349</f>
        <v>77.735849056603783</v>
      </c>
      <c r="AD130" s="51"/>
      <c r="AE130" s="51"/>
      <c r="AH130" s="78"/>
      <c r="AI130" s="78"/>
      <c r="AJ130" s="107"/>
      <c r="AK130" s="128" t="s">
        <v>368</v>
      </c>
      <c r="AL130" s="125">
        <f>_xlfn.STDEV.S(AL195:AL214)/SQRT($AK$108)</f>
        <v>1.6063214923676097</v>
      </c>
      <c r="AM130" s="125">
        <f>_xlfn.STDEV.S(AM195:AM214)/SQRT($AK$108)</f>
        <v>4.8395872091804204</v>
      </c>
      <c r="AN130" s="125">
        <f>_xlfn.STDEV.S(AN195:AN214)/SQRT($AK$108)</f>
        <v>16.46514468865734</v>
      </c>
      <c r="AO130" s="125">
        <f>_xlfn.STDEV.S(AO195:AO214)/SQRT($AK$108)</f>
        <v>14.421071870521173</v>
      </c>
      <c r="AP130" s="125">
        <f>_xlfn.STDEV.S(AP195:AP214)/SQRT($AK$108)</f>
        <v>13.568411136765997</v>
      </c>
      <c r="AQ130" s="107"/>
      <c r="AR130" s="107"/>
      <c r="AS130" s="141"/>
      <c r="AU130">
        <v>9</v>
      </c>
      <c r="AV130">
        <v>300</v>
      </c>
    </row>
    <row r="131" spans="1:48" x14ac:dyDescent="0.3">
      <c r="A131" t="s">
        <v>3</v>
      </c>
      <c r="B131" s="13">
        <v>0</v>
      </c>
      <c r="C131" s="26">
        <v>344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344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/>
      <c r="P131" s="1"/>
      <c r="S131" s="75" t="s">
        <v>39</v>
      </c>
      <c r="T131" s="76">
        <f>J345</f>
        <v>0.94997670705380965</v>
      </c>
      <c r="U131" s="76">
        <f>J346</f>
        <v>2.0833333333333379</v>
      </c>
      <c r="V131" s="76">
        <f>J347</f>
        <v>0.31056016230667621</v>
      </c>
      <c r="W131" s="76">
        <f>J348</f>
        <v>0.97862428281040326</v>
      </c>
      <c r="X131" s="76">
        <f>J349</f>
        <v>1.4763981449816996</v>
      </c>
      <c r="AD131" s="51"/>
      <c r="AE131" s="51"/>
      <c r="AJ131" s="119" t="s">
        <v>702</v>
      </c>
      <c r="AK131" s="107"/>
      <c r="AL131" s="116"/>
      <c r="AM131" s="116"/>
      <c r="AN131" s="116"/>
      <c r="AO131" s="116"/>
      <c r="AP131" s="116"/>
      <c r="AQ131" s="107"/>
      <c r="AR131" s="107"/>
      <c r="AS131" s="141"/>
      <c r="AU131">
        <v>10</v>
      </c>
      <c r="AV131">
        <v>329</v>
      </c>
    </row>
    <row r="132" spans="1:48" x14ac:dyDescent="0.3">
      <c r="A132" t="s">
        <v>4</v>
      </c>
      <c r="B132" s="13">
        <v>1</v>
      </c>
      <c r="C132" s="5">
        <v>0</v>
      </c>
      <c r="D132" s="27">
        <v>48</v>
      </c>
      <c r="E132" s="1">
        <v>0</v>
      </c>
      <c r="F132" s="1">
        <v>0</v>
      </c>
      <c r="G132" s="6">
        <v>0</v>
      </c>
      <c r="H132" s="1">
        <f>SUM(C132:G132)</f>
        <v>48</v>
      </c>
      <c r="I132" s="10">
        <f>D132/H132</f>
        <v>1</v>
      </c>
      <c r="J132" s="11">
        <f>1-I132</f>
        <v>0</v>
      </c>
      <c r="K132">
        <f>H132-D136</f>
        <v>0</v>
      </c>
      <c r="N132" s="10">
        <f>2*(D137*I132)/(D137+I132)</f>
        <v>1</v>
      </c>
      <c r="O132" s="1"/>
      <c r="P132" s="1"/>
      <c r="S132" s="66" t="s">
        <v>51</v>
      </c>
      <c r="T132" s="67">
        <f>N334*100</f>
        <v>98.375184638109303</v>
      </c>
      <c r="U132" s="67">
        <f>N335*100</f>
        <v>95.918367346938766</v>
      </c>
      <c r="V132" s="67">
        <f>N336*100</f>
        <v>90.310322989233683</v>
      </c>
      <c r="W132" s="67">
        <f>N337*100</f>
        <v>91.99522102747909</v>
      </c>
      <c r="X132" s="67">
        <f>N338*100</f>
        <v>86.980999296270227</v>
      </c>
      <c r="AD132" s="51"/>
      <c r="AE132" s="51"/>
      <c r="AH132" s="78"/>
      <c r="AI132" s="78"/>
      <c r="AJ132" s="115" t="s">
        <v>375</v>
      </c>
      <c r="AK132" s="122" t="s">
        <v>9</v>
      </c>
      <c r="AL132" s="135">
        <v>1.58</v>
      </c>
      <c r="AM132" s="135">
        <v>14.47</v>
      </c>
      <c r="AN132" s="135">
        <v>1145.82</v>
      </c>
      <c r="AO132" s="135">
        <v>269.35000000000002</v>
      </c>
      <c r="AP132" s="135">
        <v>24.8</v>
      </c>
      <c r="AQ132" s="107"/>
      <c r="AR132" s="115" t="s">
        <v>36</v>
      </c>
      <c r="AS132" s="136">
        <f>SUM(AL132:AP132)</f>
        <v>1456.0199999999998</v>
      </c>
      <c r="AU132">
        <v>11</v>
      </c>
      <c r="AV132">
        <v>358</v>
      </c>
    </row>
    <row r="133" spans="1:48" x14ac:dyDescent="0.3">
      <c r="A133" t="s">
        <v>5</v>
      </c>
      <c r="B133" s="13">
        <v>2</v>
      </c>
      <c r="C133" s="5">
        <v>0</v>
      </c>
      <c r="D133" s="1">
        <v>0</v>
      </c>
      <c r="E133" s="27">
        <v>713</v>
      </c>
      <c r="F133" s="1">
        <v>5</v>
      </c>
      <c r="G133" s="6">
        <v>0</v>
      </c>
      <c r="H133" s="1">
        <f>SUM(C133:G133)</f>
        <v>718</v>
      </c>
      <c r="I133" s="10">
        <f>E133/H133</f>
        <v>0.99303621169916434</v>
      </c>
      <c r="J133" s="11">
        <f>1-I133</f>
        <v>6.9637883008356605E-3</v>
      </c>
      <c r="K133">
        <f>H133-E136</f>
        <v>-148</v>
      </c>
      <c r="N133" s="10">
        <f>2*(E137*I133)/(E137+I133)</f>
        <v>0.9002525252525253</v>
      </c>
      <c r="O133" s="1"/>
      <c r="P133" s="1"/>
      <c r="R133" s="16" t="s">
        <v>61</v>
      </c>
      <c r="S133" t="s">
        <v>9</v>
      </c>
      <c r="T133" s="30">
        <f>N345</f>
        <v>372.29</v>
      </c>
      <c r="U133" s="30">
        <f>N346</f>
        <v>658.92</v>
      </c>
      <c r="V133" s="30">
        <f>N347</f>
        <v>50249.97</v>
      </c>
      <c r="W133" s="30">
        <f>N348</f>
        <v>27329.119999999999</v>
      </c>
      <c r="X133" s="30">
        <f>N349</f>
        <v>3226.67</v>
      </c>
      <c r="Z133" t="s">
        <v>36</v>
      </c>
      <c r="AA133" s="1">
        <f>N350</f>
        <v>81836.97</v>
      </c>
      <c r="AD133" s="51"/>
      <c r="AE133" s="51"/>
      <c r="AJ133" s="107"/>
      <c r="AK133" s="107" t="s">
        <v>367</v>
      </c>
      <c r="AL133" s="108">
        <f>(AL132/$AS132)*100</f>
        <v>0.10851499292592137</v>
      </c>
      <c r="AM133" s="108">
        <f>(AM132/$AS132)*100</f>
        <v>0.99380503015068489</v>
      </c>
      <c r="AN133" s="108">
        <f>(AN132/$AS132)*100</f>
        <v>78.695347591379246</v>
      </c>
      <c r="AO133" s="108">
        <f>(AO132/$AS132)*100</f>
        <v>18.499059078858814</v>
      </c>
      <c r="AP133" s="108">
        <f>(AP132/$AS132)*100</f>
        <v>1.7032733066853483</v>
      </c>
      <c r="AQ133" s="107"/>
      <c r="AR133" s="107"/>
      <c r="AS133" s="141"/>
      <c r="AU133">
        <v>12</v>
      </c>
      <c r="AV133">
        <v>387</v>
      </c>
    </row>
    <row r="134" spans="1:48" ht="15.6" x14ac:dyDescent="0.35">
      <c r="A134" t="s">
        <v>6</v>
      </c>
      <c r="B134" s="13">
        <v>3</v>
      </c>
      <c r="C134" s="5">
        <v>0</v>
      </c>
      <c r="D134" s="1">
        <v>0</v>
      </c>
      <c r="E134" s="1">
        <v>9</v>
      </c>
      <c r="F134" s="27">
        <v>384</v>
      </c>
      <c r="G134" s="6">
        <v>8</v>
      </c>
      <c r="H134" s="1">
        <f>SUM(C134:G134)</f>
        <v>401</v>
      </c>
      <c r="I134" s="10">
        <f>F134/H134</f>
        <v>0.95760598503740646</v>
      </c>
      <c r="J134" s="11">
        <f>1-I134</f>
        <v>4.239401496259354E-2</v>
      </c>
      <c r="K134">
        <f>H134-F136</f>
        <v>-23</v>
      </c>
      <c r="N134" s="10">
        <f>2*(F137*I134)/(F137+I134)</f>
        <v>0.93090909090909091</v>
      </c>
      <c r="O134" s="1"/>
      <c r="P134" s="1"/>
      <c r="R134" s="16" t="s">
        <v>318</v>
      </c>
      <c r="S134" t="s">
        <v>63</v>
      </c>
      <c r="T134" s="57">
        <f>$AA133*T126/100</f>
        <v>360.38537790697677</v>
      </c>
      <c r="U134" s="57">
        <f>$AA133*U126/100</f>
        <v>657.36861320754713</v>
      </c>
      <c r="V134" s="57">
        <f>$AA133*V126/100</f>
        <v>51023.146610367279</v>
      </c>
      <c r="W134" s="57">
        <f>$AA133*W126/100</f>
        <v>26742.57072614252</v>
      </c>
      <c r="X134" s="57">
        <f>$AA133*X126/100</f>
        <v>3053.4986723756651</v>
      </c>
      <c r="Z134" t="s">
        <v>36</v>
      </c>
      <c r="AA134" s="25">
        <f>SUM(T134:X134)</f>
        <v>81836.969999999972</v>
      </c>
      <c r="AD134" s="51"/>
      <c r="AE134" s="51"/>
      <c r="AH134" s="78"/>
      <c r="AI134" s="78"/>
      <c r="AJ134" s="115" t="s">
        <v>376</v>
      </c>
      <c r="AK134" s="122" t="s">
        <v>9</v>
      </c>
      <c r="AL134" s="139">
        <f>AVERAGE(AL216:AL235)</f>
        <v>1.5664999999999996</v>
      </c>
      <c r="AM134" s="135">
        <f>AVERAGE(AM216:AM235)</f>
        <v>16.178000000000001</v>
      </c>
      <c r="AN134" s="135">
        <f>AVERAGE(AN216:AN235)</f>
        <v>1143.71</v>
      </c>
      <c r="AO134" s="135">
        <f>AVERAGE(AO216:AO235)</f>
        <v>269.20099999999996</v>
      </c>
      <c r="AP134" s="135">
        <f>AVERAGE(AP216:AP235)</f>
        <v>25.368000000000002</v>
      </c>
      <c r="AQ134" s="107"/>
      <c r="AR134" s="115" t="s">
        <v>36</v>
      </c>
      <c r="AS134" s="136">
        <f>SUM(AL134:AP134)</f>
        <v>1456.0235</v>
      </c>
      <c r="AU134">
        <v>13</v>
      </c>
      <c r="AV134">
        <v>416</v>
      </c>
    </row>
    <row r="135" spans="1:48" x14ac:dyDescent="0.3">
      <c r="A135" t="s">
        <v>7</v>
      </c>
      <c r="B135" s="13">
        <v>4</v>
      </c>
      <c r="C135" s="7">
        <v>0</v>
      </c>
      <c r="D135" s="8">
        <v>0</v>
      </c>
      <c r="E135" s="8">
        <v>144</v>
      </c>
      <c r="F135" s="8">
        <v>35</v>
      </c>
      <c r="G135" s="28">
        <v>616</v>
      </c>
      <c r="H135" s="1">
        <f>SUM(C135:G135)</f>
        <v>795</v>
      </c>
      <c r="I135" s="10">
        <f>G135/H135</f>
        <v>0.77484276729559753</v>
      </c>
      <c r="J135" s="11">
        <f>1-I135</f>
        <v>0.22515723270440247</v>
      </c>
      <c r="K135">
        <f>H135-G136</f>
        <v>171</v>
      </c>
      <c r="N135" s="10">
        <f>2*(G137*I135)/(G137+I135)</f>
        <v>0.86821705426356588</v>
      </c>
      <c r="O135" s="1"/>
      <c r="P135" s="1"/>
      <c r="R135" s="66"/>
      <c r="S135" s="66" t="s">
        <v>62</v>
      </c>
      <c r="T135" s="67">
        <f>$AA133*T127/100</f>
        <v>3.531524035192898</v>
      </c>
      <c r="U135" s="67">
        <f>$AA133*U127/100</f>
        <v>15.288920524730502</v>
      </c>
      <c r="V135" s="67">
        <f>$AA133*V127/100</f>
        <v>250.6198660492914</v>
      </c>
      <c r="W135" s="67">
        <f>$AA133*W127/100</f>
        <v>310.21626515105311</v>
      </c>
      <c r="X135" s="67">
        <f>$AA133*X127/100</f>
        <v>196.6806606309265</v>
      </c>
      <c r="AA135" s="1"/>
      <c r="AD135" s="51"/>
      <c r="AE135" s="51"/>
      <c r="AJ135" s="107"/>
      <c r="AK135" s="128" t="s">
        <v>368</v>
      </c>
      <c r="AL135" s="125">
        <f>_xlfn.STDEV.S(AL216:AL235)/SQRT($AK$108)</f>
        <v>1.35E-2</v>
      </c>
      <c r="AM135" s="125">
        <f>_xlfn.STDEV.S(AM216:AM235)/SQRT($AK$108)</f>
        <v>0.46249187759581167</v>
      </c>
      <c r="AN135" s="125">
        <f>_xlfn.STDEV.S(AN216:AN235)/SQRT($AK$108)</f>
        <v>0.76152513176899539</v>
      </c>
      <c r="AO135" s="125">
        <f>_xlfn.STDEV.S(AO216:AO235)/SQRT($AK$108)</f>
        <v>0.57018921143959367</v>
      </c>
      <c r="AP135" s="125">
        <f>_xlfn.STDEV.S(AP216:AP235)/SQRT($AK$108)</f>
        <v>0.34319520300904705</v>
      </c>
      <c r="AQ135" s="107"/>
      <c r="AR135" s="107"/>
      <c r="AS135" s="107"/>
      <c r="AU135">
        <v>14</v>
      </c>
      <c r="AV135">
        <v>445</v>
      </c>
    </row>
    <row r="136" spans="1:48" ht="15.6" x14ac:dyDescent="0.35">
      <c r="B136" s="1" t="s">
        <v>19</v>
      </c>
      <c r="C136" s="1">
        <f>SUM(C131:C135)</f>
        <v>344</v>
      </c>
      <c r="D136" s="1">
        <f>SUM(D131:D135)</f>
        <v>48</v>
      </c>
      <c r="E136" s="1">
        <f>SUM(E131:E135)</f>
        <v>866</v>
      </c>
      <c r="F136" s="1">
        <f>SUM(F131:F135)</f>
        <v>424</v>
      </c>
      <c r="G136" s="1">
        <f>SUM(G131:G135)</f>
        <v>624</v>
      </c>
      <c r="H136" s="1">
        <f>SUM(H130:H135)</f>
        <v>2306</v>
      </c>
      <c r="I136" s="13" t="s">
        <v>12</v>
      </c>
      <c r="N136" s="16"/>
      <c r="O136" s="1"/>
      <c r="P136" s="1"/>
      <c r="R136" t="s">
        <v>100</v>
      </c>
      <c r="S136" t="s">
        <v>28</v>
      </c>
      <c r="T136" s="57">
        <f>C379</f>
        <v>0.38803982943647952</v>
      </c>
      <c r="U136" s="57">
        <f t="shared" ref="U136:X139" si="22">D379</f>
        <v>0.84998269730449416</v>
      </c>
      <c r="V136" s="57">
        <f t="shared" si="22"/>
        <v>62.309434687825572</v>
      </c>
      <c r="W136" s="57">
        <f t="shared" si="22"/>
        <v>32.801833984295982</v>
      </c>
      <c r="X136" s="57">
        <f t="shared" si="22"/>
        <v>3.6507088011374633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</row>
    <row r="137" spans="1:48" x14ac:dyDescent="0.3">
      <c r="A137" s="1" t="s">
        <v>316</v>
      </c>
      <c r="B137" s="1" t="s">
        <v>2</v>
      </c>
      <c r="C137" s="10">
        <f>C131/C136</f>
        <v>1</v>
      </c>
      <c r="D137" s="10">
        <f>D132/D136</f>
        <v>1</v>
      </c>
      <c r="E137" s="10">
        <f>E133/E136</f>
        <v>0.82332563510392609</v>
      </c>
      <c r="F137" s="10">
        <f>F134/F136</f>
        <v>0.90566037735849059</v>
      </c>
      <c r="G137" s="10">
        <f>G135/G136</f>
        <v>0.98717948717948723</v>
      </c>
      <c r="H137" s="10"/>
      <c r="I137" s="14">
        <f>(C131+D132+E133+F134+G135)/H136</f>
        <v>0.91283607979184733</v>
      </c>
      <c r="S137" s="66" t="s">
        <v>39</v>
      </c>
      <c r="T137" s="67">
        <f>C380</f>
        <v>0</v>
      </c>
      <c r="U137" s="67">
        <f t="shared" si="22"/>
        <v>1.7895364035207046E-2</v>
      </c>
      <c r="V137" s="67">
        <f t="shared" si="22"/>
        <v>0.31640608192911257</v>
      </c>
      <c r="W137" s="67">
        <f t="shared" si="22"/>
        <v>0.34173397605008726</v>
      </c>
      <c r="X137" s="67">
        <f t="shared" si="22"/>
        <v>0.15571103633783115</v>
      </c>
      <c r="AD137" s="51"/>
      <c r="AE137" s="51"/>
      <c r="AU137">
        <v>16</v>
      </c>
      <c r="AV137">
        <v>503</v>
      </c>
    </row>
    <row r="138" spans="1:48" x14ac:dyDescent="0.3">
      <c r="B138" s="1" t="s">
        <v>14</v>
      </c>
      <c r="C138" s="11">
        <f>1-C137</f>
        <v>0</v>
      </c>
      <c r="D138" s="11">
        <f>1-D137</f>
        <v>0</v>
      </c>
      <c r="E138" s="11">
        <f>1-E137</f>
        <v>0.17667436489607391</v>
      </c>
      <c r="F138" s="11">
        <f>1-F137</f>
        <v>9.4339622641509413E-2</v>
      </c>
      <c r="G138" s="11">
        <f>1-G137</f>
        <v>1.2820512820512775E-2</v>
      </c>
      <c r="S138" t="s">
        <v>30</v>
      </c>
      <c r="T138" s="57">
        <f>C381</f>
        <v>100</v>
      </c>
      <c r="U138" s="57">
        <f t="shared" si="22"/>
        <v>100</v>
      </c>
      <c r="V138" s="57">
        <f t="shared" si="22"/>
        <v>97.587084312556271</v>
      </c>
      <c r="W138" s="57">
        <f t="shared" si="22"/>
        <v>98.239068466529531</v>
      </c>
      <c r="X138" s="57">
        <f t="shared" si="22"/>
        <v>93.192669717271627</v>
      </c>
      <c r="AA138" s="54"/>
      <c r="AD138" s="51"/>
      <c r="AE138" s="51"/>
      <c r="AH138" s="78"/>
      <c r="AI138" s="78"/>
      <c r="AU138">
        <v>17</v>
      </c>
      <c r="AV138">
        <v>532</v>
      </c>
    </row>
    <row r="139" spans="1:48" x14ac:dyDescent="0.3">
      <c r="C139" s="2"/>
      <c r="S139" s="66" t="s">
        <v>39</v>
      </c>
      <c r="T139" s="67">
        <f>C382</f>
        <v>0</v>
      </c>
      <c r="U139" s="67">
        <f t="shared" si="22"/>
        <v>0</v>
      </c>
      <c r="V139" s="67">
        <f t="shared" si="22"/>
        <v>0.40349382998907768</v>
      </c>
      <c r="W139" s="67">
        <f t="shared" si="22"/>
        <v>0.59541044706073365</v>
      </c>
      <c r="X139" s="67">
        <f t="shared" si="22"/>
        <v>3.8308748722091286</v>
      </c>
      <c r="AD139" s="51"/>
      <c r="AE139" s="51"/>
      <c r="AU139">
        <v>18</v>
      </c>
      <c r="AV139">
        <v>561</v>
      </c>
    </row>
    <row r="140" spans="1:48" ht="15.6" x14ac:dyDescent="0.35">
      <c r="A140" t="s">
        <v>317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97.916666666666657</v>
      </c>
      <c r="V140" s="57">
        <f>I376</f>
        <v>99.30362116991644</v>
      </c>
      <c r="W140" s="57">
        <f>I377</f>
        <v>97.007481296758115</v>
      </c>
      <c r="X140" s="57">
        <f>I378</f>
        <v>79.245283018867923</v>
      </c>
      <c r="AD140" s="51"/>
      <c r="AE140" s="51"/>
      <c r="AH140" s="78"/>
      <c r="AI140" s="78"/>
      <c r="AU140">
        <v>19</v>
      </c>
      <c r="AV140">
        <v>590</v>
      </c>
    </row>
    <row r="141" spans="1:48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2.0833333333333379</v>
      </c>
      <c r="V141" s="67">
        <f>J376</f>
        <v>0.31056016230667621</v>
      </c>
      <c r="W141" s="67">
        <f>J377</f>
        <v>0.85190478067524655</v>
      </c>
      <c r="X141" s="67">
        <f>J378</f>
        <v>1.4392454559775532</v>
      </c>
      <c r="AD141" s="51"/>
      <c r="AE141" s="51"/>
    </row>
    <row r="142" spans="1:48" x14ac:dyDescent="0.3">
      <c r="A142" t="s">
        <v>3</v>
      </c>
      <c r="B142" s="13">
        <v>0</v>
      </c>
      <c r="C142" s="29">
        <f>(C131/$L142)*$O142</f>
        <v>0.42412371816796235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0.42412371816796235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344</v>
      </c>
      <c r="M142">
        <v>0</v>
      </c>
      <c r="N142" s="1">
        <v>347.09</v>
      </c>
      <c r="O142" s="17">
        <f>N142/N147*100</f>
        <v>0.42412371816796235</v>
      </c>
      <c r="P142" s="52">
        <f>((O142*O142*(I142/100)*(K142/100))/(L142-1))</f>
        <v>0</v>
      </c>
      <c r="S142" s="66" t="s">
        <v>51</v>
      </c>
      <c r="T142" s="67">
        <f>N363*100</f>
        <v>100</v>
      </c>
      <c r="U142" s="67">
        <f>N364*100</f>
        <v>98.947368421052644</v>
      </c>
      <c r="V142" s="67">
        <f>N365*100</f>
        <v>90.367553865652724</v>
      </c>
      <c r="W142" s="67">
        <f>N366*100</f>
        <v>94.532199270959893</v>
      </c>
      <c r="X142" s="67">
        <f>N367*100</f>
        <v>88.235294117647058</v>
      </c>
      <c r="AD142" s="51"/>
      <c r="AE142" s="51"/>
      <c r="AH142" s="78"/>
      <c r="AI142" s="78"/>
    </row>
    <row r="143" spans="1:48" x14ac:dyDescent="0.3">
      <c r="A143" t="s">
        <v>4</v>
      </c>
      <c r="B143" s="13">
        <v>1</v>
      </c>
      <c r="C143" s="33">
        <f t="shared" ref="C143:G146" si="23">(C132/$L143)*$O143</f>
        <v>0</v>
      </c>
      <c r="D143" s="34">
        <f t="shared" si="23"/>
        <v>0.83452503190184091</v>
      </c>
      <c r="E143" s="19">
        <f t="shared" si="23"/>
        <v>0</v>
      </c>
      <c r="F143" s="18">
        <f t="shared" si="23"/>
        <v>0</v>
      </c>
      <c r="G143" s="20">
        <f t="shared" si="23"/>
        <v>0</v>
      </c>
      <c r="H143" s="17">
        <f>SUM(C143:G143)</f>
        <v>0.83452503190184091</v>
      </c>
      <c r="I143" s="17">
        <f>D143/H143*100</f>
        <v>100</v>
      </c>
      <c r="J143" s="17">
        <f>SQRT(I143*(100-I143)/(L143-1))</f>
        <v>0</v>
      </c>
      <c r="K143" s="18">
        <f>100-I143</f>
        <v>0</v>
      </c>
      <c r="L143" s="1">
        <f>H132</f>
        <v>48</v>
      </c>
      <c r="M143">
        <v>1</v>
      </c>
      <c r="N143" s="1">
        <v>682.95</v>
      </c>
      <c r="O143" s="17">
        <f>N143/N147*100</f>
        <v>0.83452503190184091</v>
      </c>
      <c r="P143" s="52">
        <f>((O143*O143*(I143/100)*(K143/100))/(L143-1))</f>
        <v>0</v>
      </c>
      <c r="R143" s="16" t="s">
        <v>61</v>
      </c>
      <c r="S143" t="s">
        <v>9</v>
      </c>
      <c r="T143" s="30">
        <f>N374</f>
        <v>317.56</v>
      </c>
      <c r="U143" s="30">
        <f>N375</f>
        <v>710.4</v>
      </c>
      <c r="V143" s="30">
        <f>N376</f>
        <v>50110.71</v>
      </c>
      <c r="W143" s="30">
        <f>N377</f>
        <v>27184.83</v>
      </c>
      <c r="X143" s="30">
        <f>N378</f>
        <v>3513.46</v>
      </c>
      <c r="Z143" t="s">
        <v>36</v>
      </c>
      <c r="AA143" s="1">
        <f>N379</f>
        <v>81836.960000000006</v>
      </c>
      <c r="AD143" s="51"/>
      <c r="AE143" s="51"/>
    </row>
    <row r="144" spans="1:48" ht="15.6" x14ac:dyDescent="0.35">
      <c r="A144" t="s">
        <v>5</v>
      </c>
      <c r="B144" s="13">
        <v>2</v>
      </c>
      <c r="C144" s="33">
        <f t="shared" si="23"/>
        <v>0</v>
      </c>
      <c r="D144" s="19">
        <f t="shared" si="23"/>
        <v>0</v>
      </c>
      <c r="E144" s="34">
        <f t="shared" si="23"/>
        <v>61.087311676326856</v>
      </c>
      <c r="F144" s="19">
        <f t="shared" si="23"/>
        <v>0.42838226981996391</v>
      </c>
      <c r="G144" s="20">
        <f t="shared" si="23"/>
        <v>0</v>
      </c>
      <c r="H144" s="17">
        <f>SUM(C144:G144)</f>
        <v>61.515693946146818</v>
      </c>
      <c r="I144" s="17">
        <f>E144/H144*100</f>
        <v>99.30362116991644</v>
      </c>
      <c r="J144" s="17">
        <f>SQRT(I144*(100-I144)/(L144-1))</f>
        <v>0.31056016230667621</v>
      </c>
      <c r="K144" s="18">
        <f>100-I144</f>
        <v>0.69637883008356027</v>
      </c>
      <c r="L144" s="1">
        <f>H133</f>
        <v>718</v>
      </c>
      <c r="M144">
        <v>2</v>
      </c>
      <c r="N144" s="1">
        <v>50342.58</v>
      </c>
      <c r="O144" s="17">
        <f>N144/N147*100</f>
        <v>61.515693946146818</v>
      </c>
      <c r="P144" s="52">
        <f>((O144*O144*(I144/100)*(K144/100))/(L144-1))</f>
        <v>3.6497519153562467E-2</v>
      </c>
      <c r="R144" s="16" t="s">
        <v>318</v>
      </c>
      <c r="S144" t="s">
        <v>63</v>
      </c>
      <c r="T144" s="57">
        <f>$AA143*T136/100</f>
        <v>317.56</v>
      </c>
      <c r="U144" s="57">
        <f>$AA143*U136/100</f>
        <v>695.6</v>
      </c>
      <c r="V144" s="57">
        <f>$AA143*V136/100</f>
        <v>50992.147141701942</v>
      </c>
      <c r="W144" s="57">
        <f>$AA143*W136/100</f>
        <v>26844.023756994713</v>
      </c>
      <c r="X144" s="57">
        <f>$AA143*X136/100</f>
        <v>2987.6291013033456</v>
      </c>
      <c r="Z144" t="s">
        <v>36</v>
      </c>
      <c r="AA144" s="25">
        <f>SUM(T144:X144)</f>
        <v>81836.960000000006</v>
      </c>
      <c r="AD144" s="51"/>
      <c r="AE144" s="51"/>
      <c r="AH144" s="78"/>
      <c r="AI144" s="78"/>
    </row>
    <row r="145" spans="1:35" x14ac:dyDescent="0.3">
      <c r="A145" t="s">
        <v>6</v>
      </c>
      <c r="B145" s="13">
        <v>3</v>
      </c>
      <c r="C145" s="33">
        <f t="shared" si="23"/>
        <v>0</v>
      </c>
      <c r="D145" s="19">
        <f t="shared" si="23"/>
        <v>0</v>
      </c>
      <c r="E145" s="19">
        <f t="shared" si="23"/>
        <v>0.74479478076565875</v>
      </c>
      <c r="F145" s="34">
        <f t="shared" si="23"/>
        <v>31.777910646001441</v>
      </c>
      <c r="G145" s="20">
        <f t="shared" si="23"/>
        <v>0.66203980512503002</v>
      </c>
      <c r="H145" s="17">
        <f>SUM(C145:G145)</f>
        <v>33.18474523189213</v>
      </c>
      <c r="I145" s="17">
        <f>F145/H145*100</f>
        <v>95.760598503740653</v>
      </c>
      <c r="J145" s="17">
        <f>SQRT(I145*(100-I145)/(L145-1))</f>
        <v>1.0074319140510797</v>
      </c>
      <c r="K145" s="18">
        <f>100-I145</f>
        <v>4.2394014962593474</v>
      </c>
      <c r="L145" s="1">
        <f>H134</f>
        <v>401</v>
      </c>
      <c r="M145">
        <v>3</v>
      </c>
      <c r="N145" s="1">
        <v>27157.39</v>
      </c>
      <c r="O145" s="17">
        <f>N145/N147*100</f>
        <v>33.18474523189213</v>
      </c>
      <c r="P145" s="52">
        <f>((O145*O145*(I145/100)*(K145/100))/(L145-1))</f>
        <v>0.11176565941034677</v>
      </c>
      <c r="R145" s="66"/>
      <c r="S145" s="66" t="s">
        <v>62</v>
      </c>
      <c r="T145" s="67">
        <f>$AA143*T137/100</f>
        <v>0</v>
      </c>
      <c r="U145" s="67">
        <f>$AA143*U137/100</f>
        <v>14.645021907346777</v>
      </c>
      <c r="V145" s="67">
        <f>$AA143*V137/100</f>
        <v>258.9371187058951</v>
      </c>
      <c r="W145" s="67">
        <f>$AA143*W137/100</f>
        <v>279.66469728651953</v>
      </c>
      <c r="X145" s="67">
        <f>$AA143*X137/100</f>
        <v>127.42917852337636</v>
      </c>
      <c r="AA145" s="1"/>
      <c r="AD145" s="51"/>
      <c r="AE145" s="51"/>
    </row>
    <row r="146" spans="1:35" x14ac:dyDescent="0.3">
      <c r="A146" t="s">
        <v>7</v>
      </c>
      <c r="B146" s="13">
        <v>4</v>
      </c>
      <c r="C146" s="35">
        <f t="shared" si="23"/>
        <v>0</v>
      </c>
      <c r="D146" s="36">
        <f t="shared" si="23"/>
        <v>0</v>
      </c>
      <c r="E146" s="21">
        <f t="shared" si="23"/>
        <v>0.73193879038029719</v>
      </c>
      <c r="F146" s="21">
        <f t="shared" si="23"/>
        <v>0.17790178932854445</v>
      </c>
      <c r="G146" s="37">
        <f t="shared" si="23"/>
        <v>3.1310714921823828</v>
      </c>
      <c r="H146" s="17">
        <f>SUM(C146:G146)</f>
        <v>4.0409120718912241</v>
      </c>
      <c r="I146" s="17">
        <f>G146/H146*100</f>
        <v>77.484276729559753</v>
      </c>
      <c r="J146" s="17">
        <f>SQRT(I146*(100-I146)/(L146-1))</f>
        <v>1.4823115469539365</v>
      </c>
      <c r="K146" s="18">
        <f>100-I146</f>
        <v>22.515723270440247</v>
      </c>
      <c r="L146" s="1">
        <f>H135</f>
        <v>795</v>
      </c>
      <c r="M146">
        <v>4</v>
      </c>
      <c r="N146" s="1">
        <v>3306.96</v>
      </c>
      <c r="O146" s="17">
        <f>N146/N147*100</f>
        <v>4.0409120718912241</v>
      </c>
      <c r="P146" s="52">
        <f>((O146*O146*(I146/100)*(K146/100))/(L146-1))</f>
        <v>3.5878789692154233E-3</v>
      </c>
      <c r="R146" t="s">
        <v>101</v>
      </c>
      <c r="S146" t="s">
        <v>28</v>
      </c>
      <c r="T146" s="57">
        <f>C408</f>
        <v>0.40465818810251658</v>
      </c>
      <c r="U146" s="57">
        <f t="shared" ref="U146:X149" si="24">D408</f>
        <v>0.94343249272026541</v>
      </c>
      <c r="V146" s="57">
        <f t="shared" si="24"/>
        <v>62.10403826722569</v>
      </c>
      <c r="W146" s="57">
        <f t="shared" si="24"/>
        <v>33.230126692745728</v>
      </c>
      <c r="X146" s="57">
        <f t="shared" si="24"/>
        <v>3.3177443592058067</v>
      </c>
      <c r="Y146" s="60"/>
      <c r="Z146" s="74"/>
      <c r="AA146" s="12"/>
      <c r="AD146" s="51"/>
      <c r="AE146" s="51"/>
      <c r="AH146" s="78"/>
      <c r="AI146" s="78"/>
    </row>
    <row r="147" spans="1:35" x14ac:dyDescent="0.3">
      <c r="B147" t="s">
        <v>28</v>
      </c>
      <c r="C147" s="17">
        <f t="shared" ref="C147:H147" si="25">SUM(C142:C146)</f>
        <v>0.42412371816796235</v>
      </c>
      <c r="D147" s="17">
        <f t="shared" si="25"/>
        <v>0.83452503190184091</v>
      </c>
      <c r="E147" s="17">
        <f t="shared" si="25"/>
        <v>62.564045247472812</v>
      </c>
      <c r="F147" s="17">
        <f t="shared" si="25"/>
        <v>32.384194705149952</v>
      </c>
      <c r="G147" s="17">
        <f t="shared" si="25"/>
        <v>3.793111297307413</v>
      </c>
      <c r="H147" s="18">
        <f t="shared" si="25"/>
        <v>99.999999999999972</v>
      </c>
      <c r="I147" s="13" t="s">
        <v>24</v>
      </c>
      <c r="J147" s="12" t="s">
        <v>29</v>
      </c>
      <c r="N147" s="1">
        <f>SUM(N142:N146)</f>
        <v>81836.970000000016</v>
      </c>
      <c r="O147" s="17">
        <f>SUM(O142:O146)</f>
        <v>99.999999999999972</v>
      </c>
      <c r="S147" s="66" t="s">
        <v>39</v>
      </c>
      <c r="T147" s="67">
        <f>C409</f>
        <v>0</v>
      </c>
      <c r="U147" s="67">
        <f t="shared" si="24"/>
        <v>8.4404118816837018E-3</v>
      </c>
      <c r="V147" s="67">
        <f t="shared" si="24"/>
        <v>0.33888905449668721</v>
      </c>
      <c r="W147" s="67">
        <f t="shared" si="24"/>
        <v>0.37318343551139926</v>
      </c>
      <c r="X147" s="67">
        <f t="shared" si="24"/>
        <v>0.17632717444803256</v>
      </c>
      <c r="AD147" s="51"/>
      <c r="AE147" s="51"/>
    </row>
    <row r="148" spans="1:35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0.31582482338849965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0.3857435383301116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0.23932706621759547</v>
      </c>
      <c r="H148" s="1"/>
      <c r="I148" s="56">
        <f>(C142+D143+E144+F145+G146)/H147</f>
        <v>0.97254942564580515</v>
      </c>
      <c r="J148" s="53">
        <f>SQRT(SUM(P142:P146))/100</f>
        <v>3.8968071229292921E-3</v>
      </c>
      <c r="M148" s="1"/>
      <c r="N148" s="9"/>
      <c r="S148" t="s">
        <v>30</v>
      </c>
      <c r="T148" s="57">
        <f>C410</f>
        <v>100</v>
      </c>
      <c r="U148" s="57">
        <f t="shared" si="24"/>
        <v>98.447489981563564</v>
      </c>
      <c r="V148" s="57">
        <f t="shared" si="24"/>
        <v>97.639758555004121</v>
      </c>
      <c r="W148" s="57">
        <f t="shared" si="24"/>
        <v>97.689201706347617</v>
      </c>
      <c r="X148" s="57">
        <f t="shared" si="24"/>
        <v>89.912956260998257</v>
      </c>
      <c r="AD148" s="51"/>
      <c r="AE148" s="51"/>
      <c r="AH148" s="78"/>
      <c r="AI148" s="78"/>
    </row>
    <row r="149" spans="1:35" x14ac:dyDescent="0.3">
      <c r="B149" s="1" t="s">
        <v>30</v>
      </c>
      <c r="C149" s="17">
        <f>C142/C147*100</f>
        <v>100</v>
      </c>
      <c r="D149" s="17">
        <f>D143/D147*100</f>
        <v>100</v>
      </c>
      <c r="E149" s="17">
        <f>E144/E147*100</f>
        <v>97.639644998489601</v>
      </c>
      <c r="F149" s="17">
        <f>F145/F147*100</f>
        <v>98.12783963081813</v>
      </c>
      <c r="G149" s="17">
        <f>G146/G147*100</f>
        <v>82.546259436284203</v>
      </c>
      <c r="H149" s="1"/>
      <c r="S149" s="66" t="s">
        <v>39</v>
      </c>
      <c r="T149" s="67">
        <f>C411</f>
        <v>0</v>
      </c>
      <c r="U149" s="67">
        <f t="shared" si="24"/>
        <v>0.88131420767475355</v>
      </c>
      <c r="V149" s="67">
        <f t="shared" si="24"/>
        <v>0.40857234935257569</v>
      </c>
      <c r="W149" s="67">
        <f t="shared" si="24"/>
        <v>0.69708842435453799</v>
      </c>
      <c r="X149" s="67">
        <f t="shared" si="24"/>
        <v>4.8507532184161075</v>
      </c>
      <c r="AD149" s="51"/>
      <c r="AE149" s="51"/>
    </row>
    <row r="150" spans="1:35" x14ac:dyDescent="0.3">
      <c r="B150" s="16" t="s">
        <v>39</v>
      </c>
      <c r="C150" s="18">
        <f>SQRT((C153+C154)/(C147*C147))</f>
        <v>0</v>
      </c>
      <c r="D150" s="18">
        <f>SQRT((D153+D154)/(D147*D147))</f>
        <v>0</v>
      </c>
      <c r="E150" s="18">
        <f>SQRT((E153+E154)/(E147*E147))</f>
        <v>0.39967488726034783</v>
      </c>
      <c r="F150" s="18">
        <f>SQRT((F153+F154)/(F147*F147))</f>
        <v>0.61677045973200717</v>
      </c>
      <c r="G150" s="18">
        <f>SQRT((G153+G154)/(G147*G147))</f>
        <v>5.7523293120253634</v>
      </c>
      <c r="H150" s="1"/>
      <c r="S150" s="15" t="s">
        <v>31</v>
      </c>
      <c r="T150" s="71">
        <f>I403</f>
        <v>100</v>
      </c>
      <c r="U150" s="71">
        <f>I404</f>
        <v>100</v>
      </c>
      <c r="V150" s="71">
        <f>I405</f>
        <v>99.025069637883007</v>
      </c>
      <c r="W150" s="71">
        <f>I406</f>
        <v>96.758104738154614</v>
      </c>
      <c r="X150" s="71">
        <f>I407</f>
        <v>76.855345911949684</v>
      </c>
      <c r="AD150" s="51"/>
      <c r="AE150" s="51"/>
      <c r="AH150" s="78"/>
      <c r="AI150" s="78"/>
    </row>
    <row r="151" spans="1:35" x14ac:dyDescent="0.3">
      <c r="B151" s="1" t="s">
        <v>37</v>
      </c>
      <c r="C151" s="18">
        <f>100-C149</f>
        <v>0</v>
      </c>
      <c r="D151" s="18">
        <f>100-D149</f>
        <v>0</v>
      </c>
      <c r="E151" s="18">
        <f>100-E149</f>
        <v>2.3603550015103991</v>
      </c>
      <c r="F151" s="18">
        <f>100-F149</f>
        <v>1.87216036918187</v>
      </c>
      <c r="G151" s="18">
        <f>100-G149</f>
        <v>17.453740563715797</v>
      </c>
      <c r="S151" s="75" t="s">
        <v>39</v>
      </c>
      <c r="T151" s="76">
        <f>J403</f>
        <v>0</v>
      </c>
      <c r="U151" s="76">
        <f>J404</f>
        <v>0</v>
      </c>
      <c r="V151" s="76">
        <f>J405</f>
        <v>0.36694400630981422</v>
      </c>
      <c r="W151" s="76">
        <f>J406</f>
        <v>0.88555016980372581</v>
      </c>
      <c r="X151" s="76">
        <f>J407</f>
        <v>1.496759890971517</v>
      </c>
      <c r="AD151" s="51"/>
      <c r="AE151" s="51"/>
    </row>
    <row r="152" spans="1:35" ht="15.6" x14ac:dyDescent="0.35">
      <c r="B152" s="1" t="s">
        <v>25</v>
      </c>
      <c r="C152" s="1">
        <f>C136</f>
        <v>344</v>
      </c>
      <c r="D152" s="1">
        <f>D136</f>
        <v>48</v>
      </c>
      <c r="E152" s="1">
        <f>E136</f>
        <v>866</v>
      </c>
      <c r="F152" s="1">
        <f>F136</f>
        <v>424</v>
      </c>
      <c r="G152" s="1">
        <f>G136</f>
        <v>624</v>
      </c>
      <c r="S152" s="66" t="s">
        <v>51</v>
      </c>
      <c r="T152" s="67">
        <f>N392*100</f>
        <v>100</v>
      </c>
      <c r="U152" s="67">
        <f>N393*100</f>
        <v>96.969696969696969</v>
      </c>
      <c r="V152" s="67">
        <f>N394*100</f>
        <v>89.772727272727266</v>
      </c>
      <c r="W152" s="67">
        <f>N395*100</f>
        <v>93.381468110710003</v>
      </c>
      <c r="X152" s="67">
        <f>N396*100</f>
        <v>86.666666666666671</v>
      </c>
      <c r="AD152" s="51"/>
      <c r="AE152" s="51"/>
      <c r="AH152" s="78"/>
      <c r="AI152" s="78"/>
    </row>
    <row r="153" spans="1:35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0</v>
      </c>
      <c r="E153" s="18">
        <f>(O144*O144*(100-E149)*(100-E149)*(I144)*(100-I144))/((L144-1)*100)</f>
        <v>20.333774278060808</v>
      </c>
      <c r="F153" s="18">
        <f>(O145*O145*(100-F149)*(100-F149)*(I145)*(100-I145))/((L145-1)*100)</f>
        <v>39.173689804648738</v>
      </c>
      <c r="G153" s="18">
        <f>(O146*O146*(100-G149)*(100-G149)*(I146)*(100-I146))/((L146-1)*100)</f>
        <v>109.29865481015884</v>
      </c>
      <c r="R153" s="16" t="s">
        <v>61</v>
      </c>
      <c r="S153" t="s">
        <v>9</v>
      </c>
      <c r="T153" s="30">
        <f>N403</f>
        <v>331.16</v>
      </c>
      <c r="U153" s="30">
        <f>N404</f>
        <v>760.09</v>
      </c>
      <c r="V153" s="30">
        <f>N405</f>
        <v>50113.06</v>
      </c>
      <c r="W153" s="30">
        <f>N406</f>
        <v>27456.22</v>
      </c>
      <c r="X153" s="30">
        <f>N407</f>
        <v>3176.44</v>
      </c>
      <c r="Z153" t="s">
        <v>36</v>
      </c>
      <c r="AA153" s="1">
        <f>N408</f>
        <v>81836.97</v>
      </c>
      <c r="AD153" s="51"/>
      <c r="AE153" s="51"/>
    </row>
    <row r="154" spans="1:35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0</v>
      </c>
      <c r="E154" s="18">
        <f>E149*E149*(SUM((H142*E142*(1-E131/H131))/(H131-1),(H143*E143*(1-E132/H132))/(H132-1), (H145*E145*(1-E134/H134))/(H134-1),(H146*E146*(1-E135/H135))/(H135-1)))</f>
        <v>604.93014011813182</v>
      </c>
      <c r="F154" s="18">
        <f>F149*F149*(SUM((H142*F142*(1-F131/H131))/(H131-1),(H143*F143*(1-F132/H132))/(H132-1), (H144*F144*(1-F133/H133))/(H133-1),(H146*F146*(1-F135/H135))/(H135-1)))</f>
        <v>359.77159263555768</v>
      </c>
      <c r="G154" s="18">
        <f>G149*G149*(SUM((H142*G142*(1-G131/H131))/(H131-1),(H143*G143*(1-G132/H132))/(H132-1), (H144*G144*(1-G133/H133))/(H133-1),(H145*G145*(1-G134/H134))/(H134-1)))</f>
        <v>366.77993785040638</v>
      </c>
      <c r="R154" s="16" t="s">
        <v>318</v>
      </c>
      <c r="S154" t="s">
        <v>63</v>
      </c>
      <c r="T154" s="57">
        <f>$AA153*T146/100</f>
        <v>331.16000000000008</v>
      </c>
      <c r="U154" s="57">
        <f>$AA153*U146/100</f>
        <v>772.0765660377358</v>
      </c>
      <c r="V154" s="57">
        <f>$AA153*V146/100</f>
        <v>50824.063165538006</v>
      </c>
      <c r="W154" s="57">
        <f>$AA153*W146/100</f>
        <v>27194.528812504312</v>
      </c>
      <c r="X154" s="57">
        <f>$AA153*X146/100</f>
        <v>2715.1414559199479</v>
      </c>
      <c r="Z154" t="s">
        <v>36</v>
      </c>
      <c r="AA154" s="25">
        <f>SUM(T154:X154)</f>
        <v>81836.97</v>
      </c>
      <c r="AD154" s="51"/>
      <c r="AE154" s="51"/>
      <c r="AH154" s="78"/>
      <c r="AI154" s="78"/>
    </row>
    <row r="155" spans="1:35" x14ac:dyDescent="0.3">
      <c r="R155" s="66"/>
      <c r="S155" s="66" t="s">
        <v>62</v>
      </c>
      <c r="T155" s="67">
        <f>$AA153*T147/100</f>
        <v>0</v>
      </c>
      <c r="U155" s="67">
        <f>$AA153*U147/100</f>
        <v>6.9073773394899263</v>
      </c>
      <c r="V155" s="67">
        <f>$AA153*V147/100</f>
        <v>277.33653386173756</v>
      </c>
      <c r="W155" s="67">
        <f>$AA153*W147/100</f>
        <v>305.40201616443318</v>
      </c>
      <c r="X155" s="67">
        <f>$AA153*X147/100</f>
        <v>144.30081685488406</v>
      </c>
      <c r="AA155" s="1"/>
      <c r="AD155" s="51"/>
      <c r="AE155" s="51"/>
    </row>
    <row r="156" spans="1:35" x14ac:dyDescent="0.3">
      <c r="R156" t="s">
        <v>102</v>
      </c>
      <c r="S156" t="s">
        <v>28</v>
      </c>
      <c r="T156" s="57">
        <f>C437</f>
        <v>0.4433692987411435</v>
      </c>
      <c r="U156" s="57">
        <f t="shared" ref="U156:X159" si="26">D437</f>
        <v>0.81690530998290811</v>
      </c>
      <c r="V156" s="57">
        <f t="shared" si="26"/>
        <v>62.670336895226981</v>
      </c>
      <c r="W156" s="57">
        <f t="shared" si="26"/>
        <v>31.682314343535456</v>
      </c>
      <c r="X156" s="57">
        <f t="shared" si="26"/>
        <v>4.3870741525135069</v>
      </c>
      <c r="Z156" s="74"/>
      <c r="AA156" s="12"/>
      <c r="AD156" s="51"/>
      <c r="AE156" s="51"/>
      <c r="AH156" s="78"/>
      <c r="AI156" s="78"/>
    </row>
    <row r="157" spans="1:35" x14ac:dyDescent="0.3">
      <c r="A157" s="348" t="s">
        <v>378</v>
      </c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 t="s">
        <v>78</v>
      </c>
      <c r="M157" s="348"/>
      <c r="N157" s="348"/>
      <c r="O157" s="348"/>
      <c r="P157" s="348"/>
      <c r="S157" s="66" t="s">
        <v>39</v>
      </c>
      <c r="T157" s="67">
        <f>C438</f>
        <v>0</v>
      </c>
      <c r="U157" s="67">
        <f t="shared" si="26"/>
        <v>7.2838235255196304E-3</v>
      </c>
      <c r="V157" s="67">
        <f t="shared" si="26"/>
        <v>0.32710722506951556</v>
      </c>
      <c r="W157" s="67">
        <f t="shared" si="26"/>
        <v>0.4444545987738317</v>
      </c>
      <c r="X157" s="67">
        <f t="shared" si="26"/>
        <v>0.31910404648100621</v>
      </c>
      <c r="AD157" s="51"/>
      <c r="AE157" s="51"/>
    </row>
    <row r="158" spans="1:35" x14ac:dyDescent="0.3">
      <c r="A158" t="s">
        <v>315</v>
      </c>
      <c r="B158" t="s">
        <v>21</v>
      </c>
      <c r="I158" s="1" t="s">
        <v>53</v>
      </c>
      <c r="O158" s="142"/>
      <c r="P158" s="142"/>
      <c r="S158" t="s">
        <v>30</v>
      </c>
      <c r="T158" s="57">
        <f>C439</f>
        <v>100</v>
      </c>
      <c r="U158" s="57">
        <f t="shared" si="26"/>
        <v>98.737446865300882</v>
      </c>
      <c r="V158" s="57">
        <f t="shared" si="26"/>
        <v>97.475211949467507</v>
      </c>
      <c r="W158" s="57">
        <f t="shared" si="26"/>
        <v>98.065897008633712</v>
      </c>
      <c r="X158" s="57">
        <f t="shared" si="26"/>
        <v>71.822021234847426</v>
      </c>
      <c r="AD158" s="51"/>
      <c r="AE158" s="51"/>
      <c r="AH158" s="78"/>
      <c r="AI158" s="78"/>
    </row>
    <row r="159" spans="1:35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51</v>
      </c>
      <c r="O159" s="13"/>
      <c r="P159" s="13"/>
      <c r="S159" s="66" t="s">
        <v>39</v>
      </c>
      <c r="T159" s="67">
        <f>C440</f>
        <v>0</v>
      </c>
      <c r="U159" s="67">
        <f t="shared" si="26"/>
        <v>0.88093304697879526</v>
      </c>
      <c r="V159" s="67">
        <f t="shared" si="26"/>
        <v>0.4004781791410898</v>
      </c>
      <c r="W159" s="67">
        <f t="shared" si="26"/>
        <v>0.69440301728623632</v>
      </c>
      <c r="X159" s="67">
        <f t="shared" si="26"/>
        <v>6.471761071806581</v>
      </c>
      <c r="AD159" s="51"/>
      <c r="AE159" s="51"/>
    </row>
    <row r="160" spans="1:35" x14ac:dyDescent="0.3">
      <c r="A160" t="s">
        <v>3</v>
      </c>
      <c r="B160" s="13">
        <v>0</v>
      </c>
      <c r="C160" s="26">
        <v>344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344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/>
      <c r="P160" s="1"/>
      <c r="S160" s="15" t="s">
        <v>31</v>
      </c>
      <c r="T160" s="71">
        <f>I432</f>
        <v>100</v>
      </c>
      <c r="U160" s="71">
        <f>I433</f>
        <v>100</v>
      </c>
      <c r="V160" s="71">
        <f>I434</f>
        <v>99.164345403899716</v>
      </c>
      <c r="W160" s="71">
        <f>I435</f>
        <v>94.014962593516202</v>
      </c>
      <c r="X160" s="71">
        <f>I436</f>
        <v>76.855345911949684</v>
      </c>
      <c r="AD160" s="51"/>
      <c r="AE160" s="51"/>
      <c r="AH160" s="78"/>
      <c r="AI160" s="78"/>
    </row>
    <row r="161" spans="1:35" x14ac:dyDescent="0.3">
      <c r="A161" t="s">
        <v>4</v>
      </c>
      <c r="B161" s="13">
        <v>1</v>
      </c>
      <c r="C161" s="5">
        <v>0</v>
      </c>
      <c r="D161" s="27">
        <v>48</v>
      </c>
      <c r="E161" s="1">
        <v>0</v>
      </c>
      <c r="F161" s="1">
        <v>0</v>
      </c>
      <c r="G161" s="6">
        <v>0</v>
      </c>
      <c r="H161" s="1">
        <f>SUM(C161:G161)</f>
        <v>48</v>
      </c>
      <c r="I161" s="10">
        <f>D161/H161</f>
        <v>1</v>
      </c>
      <c r="J161" s="11">
        <f>1-I161</f>
        <v>0</v>
      </c>
      <c r="K161">
        <f>H161-D165</f>
        <v>-3</v>
      </c>
      <c r="N161" s="10">
        <f>2*(D166*I161)/(D166+I161)</f>
        <v>0.96969696969696972</v>
      </c>
      <c r="O161" s="1"/>
      <c r="P161" s="1"/>
      <c r="S161" s="75" t="s">
        <v>39</v>
      </c>
      <c r="T161" s="76">
        <f>J432</f>
        <v>0</v>
      </c>
      <c r="U161" s="76">
        <f>J433</f>
        <v>0</v>
      </c>
      <c r="V161" s="76">
        <f>J434</f>
        <v>0.33996295845078778</v>
      </c>
      <c r="W161" s="76">
        <f>J435</f>
        <v>1.186047077365997</v>
      </c>
      <c r="X161" s="76">
        <f>J436</f>
        <v>1.496759890971517</v>
      </c>
      <c r="AD161" s="51"/>
      <c r="AE161" s="51"/>
    </row>
    <row r="162" spans="1:35" x14ac:dyDescent="0.3">
      <c r="A162" t="s">
        <v>5</v>
      </c>
      <c r="B162" s="13">
        <v>2</v>
      </c>
      <c r="C162" s="5">
        <v>0</v>
      </c>
      <c r="D162" s="1">
        <v>0</v>
      </c>
      <c r="E162" s="27">
        <v>714</v>
      </c>
      <c r="F162" s="1">
        <v>4</v>
      </c>
      <c r="G162" s="6">
        <v>0</v>
      </c>
      <c r="H162" s="1">
        <f>SUM(C162:G162)</f>
        <v>718</v>
      </c>
      <c r="I162" s="10">
        <f>E162/H162</f>
        <v>0.99442896935933145</v>
      </c>
      <c r="J162" s="11">
        <f>1-I162</f>
        <v>5.5710306406685506E-3</v>
      </c>
      <c r="K162">
        <f>H162-E165</f>
        <v>-159</v>
      </c>
      <c r="N162" s="10">
        <f>2*(E166*I162)/(E166+I162)</f>
        <v>0.89529780564263328</v>
      </c>
      <c r="O162" s="1"/>
      <c r="P162" s="1"/>
      <c r="S162" s="66" t="s">
        <v>51</v>
      </c>
      <c r="T162" s="67">
        <f>N421*100</f>
        <v>100</v>
      </c>
      <c r="U162" s="67">
        <f>N422*100</f>
        <v>97.959183673469383</v>
      </c>
      <c r="V162" s="67">
        <f>N423*100</f>
        <v>88.8888888888889</v>
      </c>
      <c r="W162" s="67">
        <f>N424*100</f>
        <v>93.897882938978825</v>
      </c>
      <c r="X162" s="67">
        <f>N425*100</f>
        <v>85.995777621393387</v>
      </c>
      <c r="AD162" s="51"/>
      <c r="AE162" s="51"/>
      <c r="AH162" s="78"/>
      <c r="AI162" s="78"/>
    </row>
    <row r="163" spans="1:35" x14ac:dyDescent="0.3">
      <c r="A163" t="s">
        <v>6</v>
      </c>
      <c r="B163" s="13">
        <v>3</v>
      </c>
      <c r="C163" s="5">
        <v>0</v>
      </c>
      <c r="D163" s="1">
        <v>0</v>
      </c>
      <c r="E163" s="1">
        <v>11</v>
      </c>
      <c r="F163" s="27">
        <v>385</v>
      </c>
      <c r="G163" s="6">
        <v>5</v>
      </c>
      <c r="H163" s="1">
        <f>SUM(C163:G163)</f>
        <v>401</v>
      </c>
      <c r="I163" s="10">
        <f>F163/H163</f>
        <v>0.96009975062344144</v>
      </c>
      <c r="J163" s="11">
        <f>1-I163</f>
        <v>3.9900249376558561E-2</v>
      </c>
      <c r="K163">
        <f>H163-F165</f>
        <v>-11</v>
      </c>
      <c r="N163" s="10">
        <f>2*(F166*I163)/(F166+I163)</f>
        <v>0.94710947109471089</v>
      </c>
      <c r="O163" s="1"/>
      <c r="P163" s="1"/>
      <c r="R163" s="16" t="s">
        <v>61</v>
      </c>
      <c r="S163" t="s">
        <v>9</v>
      </c>
      <c r="T163" s="30">
        <f>N432</f>
        <v>362.84</v>
      </c>
      <c r="U163" s="30">
        <f>N433</f>
        <v>660.09</v>
      </c>
      <c r="V163" s="30">
        <f>N434</f>
        <v>50413.89</v>
      </c>
      <c r="W163" s="30">
        <f>N435</f>
        <v>27045.03</v>
      </c>
      <c r="X163" s="30">
        <f>N436</f>
        <v>3355.12</v>
      </c>
      <c r="Z163" t="s">
        <v>36</v>
      </c>
      <c r="AA163" s="1">
        <f>N437</f>
        <v>81836.97</v>
      </c>
      <c r="AD163" s="51"/>
      <c r="AE163" s="51"/>
    </row>
    <row r="164" spans="1:35" ht="15.6" x14ac:dyDescent="0.35">
      <c r="A164" t="s">
        <v>7</v>
      </c>
      <c r="B164" s="13">
        <v>4</v>
      </c>
      <c r="C164" s="7">
        <v>0</v>
      </c>
      <c r="D164" s="8">
        <v>3</v>
      </c>
      <c r="E164" s="8">
        <v>152</v>
      </c>
      <c r="F164" s="8">
        <v>23</v>
      </c>
      <c r="G164" s="28">
        <v>617</v>
      </c>
      <c r="H164" s="1">
        <f>SUM(C164:G164)</f>
        <v>795</v>
      </c>
      <c r="I164" s="10">
        <f>G164/H164</f>
        <v>0.77610062893081766</v>
      </c>
      <c r="J164" s="11">
        <f>1-I164</f>
        <v>0.22389937106918234</v>
      </c>
      <c r="K164">
        <f>H164-G165</f>
        <v>173</v>
      </c>
      <c r="N164" s="10">
        <f>2*(G166*I164)/(G166+I164)</f>
        <v>0.87085391672547641</v>
      </c>
      <c r="O164" s="1"/>
      <c r="P164" s="1"/>
      <c r="R164" s="16" t="s">
        <v>318</v>
      </c>
      <c r="S164" t="s">
        <v>63</v>
      </c>
      <c r="T164" s="57">
        <f>$AA163*T156/100</f>
        <v>362.84</v>
      </c>
      <c r="U164" s="57">
        <f>$AA163*U156/100</f>
        <v>668.53055345911957</v>
      </c>
      <c r="V164" s="57">
        <f>$AA163*V156/100</f>
        <v>51287.504803845834</v>
      </c>
      <c r="W164" s="57">
        <f>$AA163*W156/100</f>
        <v>25927.846084624809</v>
      </c>
      <c r="X164" s="57">
        <f>$AA163*X156/100</f>
        <v>3590.2485580702328</v>
      </c>
      <c r="Z164" t="s">
        <v>36</v>
      </c>
      <c r="AA164" s="25">
        <f>SUM(T164:X164)</f>
        <v>81836.97</v>
      </c>
      <c r="AD164" s="51"/>
      <c r="AE164" s="51"/>
      <c r="AH164" s="78"/>
      <c r="AI164" s="78"/>
    </row>
    <row r="165" spans="1:35" ht="15.6" x14ac:dyDescent="0.35">
      <c r="B165" s="1" t="s">
        <v>19</v>
      </c>
      <c r="C165" s="1">
        <f>SUM(C160:C164)</f>
        <v>344</v>
      </c>
      <c r="D165" s="1">
        <f>SUM(D160:D164)</f>
        <v>51</v>
      </c>
      <c r="E165" s="1">
        <f>SUM(E160:E164)</f>
        <v>877</v>
      </c>
      <c r="F165" s="1">
        <f>SUM(F160:F164)</f>
        <v>412</v>
      </c>
      <c r="G165" s="1">
        <f>SUM(G160:G164)</f>
        <v>622</v>
      </c>
      <c r="H165" s="1">
        <f>SUM(H159:H164)</f>
        <v>2306</v>
      </c>
      <c r="I165" s="13" t="s">
        <v>12</v>
      </c>
      <c r="N165" s="16"/>
      <c r="O165" s="1"/>
      <c r="P165" s="1"/>
      <c r="R165" s="66"/>
      <c r="S165" s="66" t="s">
        <v>62</v>
      </c>
      <c r="T165" s="67">
        <f>$AA163*T157/100</f>
        <v>0</v>
      </c>
      <c r="U165" s="67">
        <f>$AA163*U157/100</f>
        <v>5.960860473432442</v>
      </c>
      <c r="V165" s="67">
        <f>$AA163*V157/100</f>
        <v>267.69464164797193</v>
      </c>
      <c r="W165" s="67">
        <f>$AA163*W157/100</f>
        <v>363.72817666216099</v>
      </c>
      <c r="X165" s="67">
        <f>$AA163*X157/100</f>
        <v>261.14508278744711</v>
      </c>
      <c r="AA165" s="1"/>
      <c r="AD165" s="51"/>
      <c r="AE165" s="51"/>
    </row>
    <row r="166" spans="1:35" x14ac:dyDescent="0.3">
      <c r="A166" s="1" t="s">
        <v>316</v>
      </c>
      <c r="B166" s="1" t="s">
        <v>2</v>
      </c>
      <c r="C166" s="10">
        <f>C160/C165</f>
        <v>1</v>
      </c>
      <c r="D166" s="10">
        <f>D161/D165</f>
        <v>0.94117647058823528</v>
      </c>
      <c r="E166" s="10">
        <f>E162/E165</f>
        <v>0.81413911060433297</v>
      </c>
      <c r="F166" s="10">
        <f>F163/F165</f>
        <v>0.93446601941747576</v>
      </c>
      <c r="G166" s="10">
        <f>G164/G165</f>
        <v>0.99196141479099675</v>
      </c>
      <c r="H166" s="10"/>
      <c r="I166" s="14">
        <f>(C160+D161+E162+F163+G164)/H165</f>
        <v>0.91413703382480482</v>
      </c>
      <c r="R166" t="s">
        <v>103</v>
      </c>
      <c r="S166" t="s">
        <v>28</v>
      </c>
      <c r="T166" s="57">
        <f>C466</f>
        <v>0.4262132904252553</v>
      </c>
      <c r="U166" s="57">
        <f t="shared" ref="U166:X169" si="27">D466</f>
        <v>0.67223043961413365</v>
      </c>
      <c r="V166" s="57">
        <f t="shared" si="27"/>
        <v>63.1119206438783</v>
      </c>
      <c r="W166" s="57">
        <f t="shared" si="27"/>
        <v>32.18948491008458</v>
      </c>
      <c r="X166" s="57">
        <f t="shared" si="27"/>
        <v>3.600150715997728</v>
      </c>
      <c r="Z166" s="74"/>
      <c r="AA166" s="12"/>
      <c r="AD166" s="51"/>
      <c r="AE166" s="51"/>
      <c r="AH166" s="78"/>
      <c r="AI166" s="78"/>
    </row>
    <row r="167" spans="1:35" x14ac:dyDescent="0.3">
      <c r="B167" s="1" t="s">
        <v>14</v>
      </c>
      <c r="C167" s="11">
        <f>1-C166</f>
        <v>0</v>
      </c>
      <c r="D167" s="11">
        <f>1-D166</f>
        <v>5.8823529411764719E-2</v>
      </c>
      <c r="E167" s="11">
        <f>1-E166</f>
        <v>0.18586088939566703</v>
      </c>
      <c r="F167" s="11">
        <f>1-F166</f>
        <v>6.5533980582524243E-2</v>
      </c>
      <c r="G167" s="11">
        <f>1-G166</f>
        <v>8.0385852090032461E-3</v>
      </c>
      <c r="S167" s="66" t="s">
        <v>39</v>
      </c>
      <c r="T167" s="67">
        <f>C467</f>
        <v>0</v>
      </c>
      <c r="U167" s="67">
        <f t="shared" si="27"/>
        <v>7.035640503453921E-3</v>
      </c>
      <c r="V167" s="67">
        <f t="shared" si="27"/>
        <v>0.31535277121257121</v>
      </c>
      <c r="W167" s="67">
        <f t="shared" si="27"/>
        <v>0.34800508505176153</v>
      </c>
      <c r="X167" s="67">
        <f t="shared" si="27"/>
        <v>0.20993546850459274</v>
      </c>
      <c r="AD167" s="51"/>
      <c r="AE167" s="51"/>
    </row>
    <row r="168" spans="1:35" x14ac:dyDescent="0.3">
      <c r="C168" s="2"/>
      <c r="S168" t="s">
        <v>30</v>
      </c>
      <c r="T168" s="57">
        <f>C468</f>
        <v>100</v>
      </c>
      <c r="U168" s="57">
        <f t="shared" si="27"/>
        <v>98.518002623493871</v>
      </c>
      <c r="V168" s="57">
        <f t="shared" si="27"/>
        <v>97.605987897291129</v>
      </c>
      <c r="W168" s="57">
        <f t="shared" si="27"/>
        <v>98.69427542412798</v>
      </c>
      <c r="X168" s="57">
        <f t="shared" si="27"/>
        <v>86.199148856949719</v>
      </c>
      <c r="AD168" s="51"/>
      <c r="AE168" s="51"/>
      <c r="AH168" s="78"/>
      <c r="AI168" s="78"/>
    </row>
    <row r="169" spans="1:35" ht="15.6" x14ac:dyDescent="0.35">
      <c r="A169" t="s">
        <v>317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27"/>
        <v>1.0317497628399539</v>
      </c>
      <c r="V169" s="67">
        <f t="shared" si="27"/>
        <v>0.39359714521150946</v>
      </c>
      <c r="W169" s="67">
        <f t="shared" si="27"/>
        <v>0.54585940936904997</v>
      </c>
      <c r="X169" s="67">
        <f t="shared" si="27"/>
        <v>5.3219522843212372</v>
      </c>
      <c r="AD169" s="51"/>
      <c r="AE169" s="51"/>
    </row>
    <row r="170" spans="1:35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100</v>
      </c>
      <c r="V170" s="71">
        <f>I463</f>
        <v>99.30362116991644</v>
      </c>
      <c r="W170" s="71">
        <f>I464</f>
        <v>96.508728179551113</v>
      </c>
      <c r="X170" s="71">
        <f>I465</f>
        <v>78.364779874213838</v>
      </c>
      <c r="AD170" s="51"/>
      <c r="AE170" s="51"/>
      <c r="AH170" s="78"/>
      <c r="AI170" s="78"/>
    </row>
    <row r="171" spans="1:35" x14ac:dyDescent="0.3">
      <c r="A171" t="s">
        <v>3</v>
      </c>
      <c r="B171" s="13">
        <v>0</v>
      </c>
      <c r="C171" s="29">
        <f>(C160/$L171)*$O171</f>
        <v>0.41125662261730578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0.41125662261730578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344</v>
      </c>
      <c r="M171">
        <v>0</v>
      </c>
      <c r="N171" s="1">
        <v>336.56</v>
      </c>
      <c r="O171" s="17">
        <f>N171/N176*100</f>
        <v>0.41125662261730578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0</v>
      </c>
      <c r="V171" s="76">
        <f>J463</f>
        <v>0.31056016230667621</v>
      </c>
      <c r="W171" s="76">
        <f>J464</f>
        <v>0.91779382641286622</v>
      </c>
      <c r="X171" s="76">
        <f>J465</f>
        <v>1.4612713412832194</v>
      </c>
      <c r="AD171" s="51"/>
      <c r="AE171" s="51"/>
    </row>
    <row r="172" spans="1:35" x14ac:dyDescent="0.3">
      <c r="A172" t="s">
        <v>4</v>
      </c>
      <c r="B172" s="13">
        <v>1</v>
      </c>
      <c r="C172" s="33">
        <f t="shared" ref="C172:G175" si="28">(C161/$L172)*$O172</f>
        <v>0</v>
      </c>
      <c r="D172" s="34">
        <f t="shared" si="28"/>
        <v>0.81593920010244758</v>
      </c>
      <c r="E172" s="19">
        <f t="shared" si="28"/>
        <v>0</v>
      </c>
      <c r="F172" s="18">
        <f t="shared" si="28"/>
        <v>0</v>
      </c>
      <c r="G172" s="20">
        <f t="shared" si="28"/>
        <v>0</v>
      </c>
      <c r="H172" s="17">
        <f>SUM(C172:G172)</f>
        <v>0.81593920010244758</v>
      </c>
      <c r="I172" s="17">
        <f>D172/H172*100</f>
        <v>100</v>
      </c>
      <c r="J172" s="17">
        <f>SQRT(I172*(100-I172)/(L172-1))</f>
        <v>0</v>
      </c>
      <c r="K172" s="18">
        <f>100-I172</f>
        <v>0</v>
      </c>
      <c r="L172" s="1">
        <f>H161</f>
        <v>48</v>
      </c>
      <c r="M172">
        <v>1</v>
      </c>
      <c r="N172" s="1">
        <v>667.74</v>
      </c>
      <c r="O172" s="17">
        <f>N172/N176*100</f>
        <v>0.81593920010244758</v>
      </c>
      <c r="P172" s="52">
        <f>((O172*O172*(I172/100)*(K172/100))/(L172-1))</f>
        <v>0</v>
      </c>
      <c r="S172" s="66" t="s">
        <v>51</v>
      </c>
      <c r="T172" s="67">
        <f>N450*100</f>
        <v>100</v>
      </c>
      <c r="U172" s="67">
        <f>N451*100</f>
        <v>97.959183673469383</v>
      </c>
      <c r="V172" s="67">
        <f>N452*100</f>
        <v>89.404388714733543</v>
      </c>
      <c r="W172" s="67">
        <f>N453*100</f>
        <v>95.91078066914497</v>
      </c>
      <c r="X172" s="67">
        <f>N454*100</f>
        <v>87.5</v>
      </c>
      <c r="AD172" s="51"/>
      <c r="AE172" s="51"/>
      <c r="AH172" s="78"/>
      <c r="AI172" s="78"/>
    </row>
    <row r="173" spans="1:35" x14ac:dyDescent="0.3">
      <c r="A173" t="s">
        <v>5</v>
      </c>
      <c r="B173" s="13">
        <v>2</v>
      </c>
      <c r="C173" s="33">
        <f t="shared" si="28"/>
        <v>0</v>
      </c>
      <c r="D173" s="19">
        <f t="shared" si="28"/>
        <v>0</v>
      </c>
      <c r="E173" s="34">
        <f t="shared" si="28"/>
        <v>61.552539911857409</v>
      </c>
      <c r="F173" s="19">
        <f t="shared" si="28"/>
        <v>0.34483215636894909</v>
      </c>
      <c r="G173" s="20">
        <f t="shared" si="28"/>
        <v>0</v>
      </c>
      <c r="H173" s="17">
        <f>SUM(C173:G173)</f>
        <v>61.89737206822636</v>
      </c>
      <c r="I173" s="17">
        <f>E173/H173*100</f>
        <v>99.442896935933149</v>
      </c>
      <c r="J173" s="17">
        <f>SQRT(I173*(100-I173)/(L173-1))</f>
        <v>0.27796817739934171</v>
      </c>
      <c r="K173" s="18">
        <f>100-I173</f>
        <v>0.55710306406685106</v>
      </c>
      <c r="L173" s="1">
        <f>H162</f>
        <v>718</v>
      </c>
      <c r="M173">
        <v>2</v>
      </c>
      <c r="N173" s="1">
        <v>50654.94</v>
      </c>
      <c r="O173" s="17">
        <f>N173/N176*100</f>
        <v>61.89737206822636</v>
      </c>
      <c r="P173" s="52">
        <f>((O173*O173*(I173/100)*(K173/100))/(L173-1))</f>
        <v>2.9602921991341069E-2</v>
      </c>
      <c r="R173" s="16" t="s">
        <v>61</v>
      </c>
      <c r="S173" t="s">
        <v>9</v>
      </c>
      <c r="T173" s="1">
        <f>N461</f>
        <v>348.8</v>
      </c>
      <c r="U173" s="1">
        <f>N462</f>
        <v>541.98</v>
      </c>
      <c r="V173" s="1">
        <f>N463</f>
        <v>50765.919999999998</v>
      </c>
      <c r="W173" s="1">
        <f>N464</f>
        <v>26939.46</v>
      </c>
      <c r="X173" s="1">
        <f>N465</f>
        <v>3240.8</v>
      </c>
      <c r="Z173" t="s">
        <v>36</v>
      </c>
      <c r="AA173" s="1">
        <f>N466</f>
        <v>81836.960000000006</v>
      </c>
      <c r="AD173" s="51"/>
      <c r="AE173" s="51"/>
    </row>
    <row r="174" spans="1:35" ht="15.6" x14ac:dyDescent="0.35">
      <c r="A174" t="s">
        <v>6</v>
      </c>
      <c r="B174" s="13">
        <v>3</v>
      </c>
      <c r="C174" s="33">
        <f t="shared" si="28"/>
        <v>0</v>
      </c>
      <c r="D174" s="19">
        <f t="shared" si="28"/>
        <v>0</v>
      </c>
      <c r="E174" s="19">
        <f t="shared" si="28"/>
        <v>0.90365735060944696</v>
      </c>
      <c r="F174" s="34">
        <f t="shared" si="28"/>
        <v>31.628007271330645</v>
      </c>
      <c r="G174" s="20">
        <f t="shared" si="28"/>
        <v>0.41075334118611229</v>
      </c>
      <c r="H174" s="17">
        <f>SUM(C174:G174)</f>
        <v>32.942417963126211</v>
      </c>
      <c r="I174" s="17">
        <f>F174/H174*100</f>
        <v>96.009975062344125</v>
      </c>
      <c r="J174" s="17">
        <f>SQRT(I174*(100-I174)/(L174-1))</f>
        <v>0.97862428281040492</v>
      </c>
      <c r="K174" s="18">
        <f>100-I174</f>
        <v>3.9900249376558747</v>
      </c>
      <c r="L174" s="1">
        <f>H163</f>
        <v>401</v>
      </c>
      <c r="M174">
        <v>3</v>
      </c>
      <c r="N174" s="1">
        <v>26959.08</v>
      </c>
      <c r="O174" s="17">
        <f>N174/N176*100</f>
        <v>32.942417963126204</v>
      </c>
      <c r="P174" s="52">
        <f>((O174*O174*(I174/100)*(K174/100))/(L174-1))</f>
        <v>0.10393047729406209</v>
      </c>
      <c r="R174" s="16" t="s">
        <v>318</v>
      </c>
      <c r="S174" t="s">
        <v>63</v>
      </c>
      <c r="T174" s="57">
        <f>$AA173*T166/100</f>
        <v>348.8</v>
      </c>
      <c r="U174" s="57">
        <f>$AA173*U166/100</f>
        <v>550.13295597484273</v>
      </c>
      <c r="V174" s="57">
        <f>$AA173*V166/100</f>
        <v>51648.87725256243</v>
      </c>
      <c r="W174" s="57">
        <f>$AA173*W166/100</f>
        <v>26342.895890071955</v>
      </c>
      <c r="X174" s="57">
        <f>$AA173*X166/100</f>
        <v>2946.2539013907744</v>
      </c>
      <c r="Z174" t="s">
        <v>36</v>
      </c>
      <c r="AA174" s="25">
        <f>SUM(T174:X174)</f>
        <v>81836.960000000006</v>
      </c>
      <c r="AD174" s="51"/>
      <c r="AE174" s="51"/>
      <c r="AH174" s="78"/>
      <c r="AI174" s="78"/>
    </row>
    <row r="175" spans="1:35" x14ac:dyDescent="0.3">
      <c r="A175" t="s">
        <v>7</v>
      </c>
      <c r="B175" s="13">
        <v>4</v>
      </c>
      <c r="C175" s="35">
        <f t="shared" si="28"/>
        <v>0</v>
      </c>
      <c r="D175" s="36">
        <f t="shared" si="28"/>
        <v>1.48415628148214E-2</v>
      </c>
      <c r="E175" s="21">
        <f t="shared" si="28"/>
        <v>0.75197251595095105</v>
      </c>
      <c r="F175" s="21">
        <f t="shared" si="28"/>
        <v>0.11378531491363074</v>
      </c>
      <c r="G175" s="37">
        <f t="shared" si="28"/>
        <v>3.0524147522482683</v>
      </c>
      <c r="H175" s="17">
        <f>SUM(C175:G175)</f>
        <v>3.9330141459276717</v>
      </c>
      <c r="I175" s="17">
        <f>G175/H175*100</f>
        <v>77.610062893081761</v>
      </c>
      <c r="J175" s="17">
        <f>SQRT(I175*(100-I175)/(L175-1))</f>
        <v>1.4793645357117016</v>
      </c>
      <c r="K175" s="18">
        <f>100-I175</f>
        <v>22.389937106918239</v>
      </c>
      <c r="L175" s="1">
        <f>H164</f>
        <v>795</v>
      </c>
      <c r="M175">
        <v>4</v>
      </c>
      <c r="N175" s="1">
        <v>3218.66</v>
      </c>
      <c r="O175" s="17">
        <f>N175/N176*100</f>
        <v>3.9330141459276713</v>
      </c>
      <c r="P175" s="52">
        <f>((O175*O175*(I175/100)*(K175/100))/(L175-1))</f>
        <v>3.3853332242920536E-3</v>
      </c>
      <c r="R175" s="66"/>
      <c r="S175" s="66" t="s">
        <v>62</v>
      </c>
      <c r="T175" s="67">
        <f>$AA173*T167/100</f>
        <v>0</v>
      </c>
      <c r="U175" s="67">
        <f>$AA173*U167/100</f>
        <v>5.7577543045553838</v>
      </c>
      <c r="V175" s="67">
        <f>$AA173*V167/100</f>
        <v>258.07512123612344</v>
      </c>
      <c r="W175" s="67">
        <f>$AA173*W167/100</f>
        <v>284.79678225177611</v>
      </c>
      <c r="X175" s="67">
        <f>$AA173*X167/100</f>
        <v>171.80480538591618</v>
      </c>
      <c r="AA175" s="1"/>
      <c r="AD175" s="51"/>
      <c r="AE175" s="51"/>
    </row>
    <row r="176" spans="1:35" x14ac:dyDescent="0.3">
      <c r="B176" t="s">
        <v>28</v>
      </c>
      <c r="C176" s="17">
        <f t="shared" ref="C176:H176" si="29">SUM(C171:C175)</f>
        <v>0.41125662261730578</v>
      </c>
      <c r="D176" s="17">
        <f t="shared" si="29"/>
        <v>0.83078076291726899</v>
      </c>
      <c r="E176" s="17">
        <f t="shared" si="29"/>
        <v>63.208169778417812</v>
      </c>
      <c r="F176" s="17">
        <f t="shared" si="29"/>
        <v>32.086624742613225</v>
      </c>
      <c r="G176" s="17">
        <f t="shared" si="29"/>
        <v>3.4631680934343807</v>
      </c>
      <c r="H176" s="18">
        <f t="shared" si="29"/>
        <v>100</v>
      </c>
      <c r="I176" s="13" t="s">
        <v>24</v>
      </c>
      <c r="J176" s="12" t="s">
        <v>29</v>
      </c>
      <c r="N176" s="1">
        <f>SUM(N171:N175)</f>
        <v>81836.98000000001</v>
      </c>
      <c r="O176" s="17">
        <f>SUM(O171:O175)</f>
        <v>99.999999999999986</v>
      </c>
      <c r="R176" t="s">
        <v>104</v>
      </c>
      <c r="S176" t="s">
        <v>28</v>
      </c>
      <c r="T176" s="57">
        <f>C495</f>
        <v>0.41554568796963037</v>
      </c>
      <c r="U176" s="57">
        <f t="shared" ref="U176:X179" si="30">D495</f>
        <v>0.78276075658054201</v>
      </c>
      <c r="V176" s="57">
        <f t="shared" si="30"/>
        <v>62.486212538583615</v>
      </c>
      <c r="W176" s="57">
        <f t="shared" si="30"/>
        <v>32.555193976871152</v>
      </c>
      <c r="X176" s="57">
        <f t="shared" si="30"/>
        <v>3.7602870399950574</v>
      </c>
      <c r="AD176" s="51"/>
      <c r="AE176" s="51"/>
      <c r="AH176" s="78"/>
      <c r="AI176" s="78"/>
    </row>
    <row r="177" spans="1:41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8.552597495143659E-3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0.32368228605543192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0.36575896842491995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0.19158286064820626</v>
      </c>
      <c r="H177" s="1"/>
      <c r="I177" s="14">
        <f>(C171+D172+E173+F174+G175)/H176</f>
        <v>0.97460157758156074</v>
      </c>
      <c r="J177" s="53">
        <f>SQRT(SUM(P171:P175))/100</f>
        <v>3.7002531333639216E-3</v>
      </c>
      <c r="M177" s="1"/>
      <c r="N177" s="9"/>
      <c r="S177" s="66" t="s">
        <v>39</v>
      </c>
      <c r="T177" s="67">
        <f>C496</f>
        <v>0</v>
      </c>
      <c r="U177" s="67">
        <f t="shared" si="30"/>
        <v>4.9917706560088978E-3</v>
      </c>
      <c r="V177" s="67">
        <f t="shared" si="30"/>
        <v>0.34804667162625968</v>
      </c>
      <c r="W177" s="67">
        <f t="shared" si="30"/>
        <v>0.41276722019632217</v>
      </c>
      <c r="X177" s="67">
        <f t="shared" si="30"/>
        <v>0.24115455960939125</v>
      </c>
      <c r="AD177" s="51"/>
      <c r="AE177" s="51"/>
    </row>
    <row r="178" spans="1:41" x14ac:dyDescent="0.3">
      <c r="B178" s="1" t="s">
        <v>30</v>
      </c>
      <c r="C178" s="17">
        <f>C171/C176*100</f>
        <v>100</v>
      </c>
      <c r="D178" s="17">
        <f>D172/D176*100</f>
        <v>98.213540385467567</v>
      </c>
      <c r="E178" s="17">
        <f>E173/E176*100</f>
        <v>97.380671086721264</v>
      </c>
      <c r="F178" s="17">
        <f>F174/F176*100</f>
        <v>98.570689578721854</v>
      </c>
      <c r="G178" s="17">
        <f>G175/G176*100</f>
        <v>88.139376140452569</v>
      </c>
      <c r="H178" s="1"/>
      <c r="S178" s="70" t="s">
        <v>30</v>
      </c>
      <c r="T178" s="64">
        <f>C497</f>
        <v>100</v>
      </c>
      <c r="U178" s="64">
        <f t="shared" si="30"/>
        <v>99.361885089754736</v>
      </c>
      <c r="V178" s="64">
        <f t="shared" si="30"/>
        <v>97.330073042554687</v>
      </c>
      <c r="W178" s="64">
        <f t="shared" si="30"/>
        <v>98.042146449751499</v>
      </c>
      <c r="X178" s="64">
        <f t="shared" si="30"/>
        <v>82.223808330971053</v>
      </c>
      <c r="AD178" s="51"/>
      <c r="AE178" s="51"/>
      <c r="AH178" s="78"/>
      <c r="AI178" s="78"/>
    </row>
    <row r="179" spans="1:41" x14ac:dyDescent="0.3">
      <c r="B179" s="16" t="s">
        <v>39</v>
      </c>
      <c r="C179" s="18">
        <f>SQRT((C182+C183)/(C176*C176))</f>
        <v>0</v>
      </c>
      <c r="D179" s="18">
        <f>SQRT((D182+D183)/(D176*D176))</f>
        <v>1.0117105568374962</v>
      </c>
      <c r="E179" s="18">
        <f>SQRT((E182+E183)/(E176*E176))</f>
        <v>0.42899007072935269</v>
      </c>
      <c r="F179" s="18">
        <f>SQRT((F182+F183)/(F176*F176))</f>
        <v>0.55241247044778063</v>
      </c>
      <c r="G179" s="18">
        <f>SQRT((G182+G183)/(G176*G176))</f>
        <v>5.0605211634158058</v>
      </c>
      <c r="H179" s="1"/>
      <c r="S179" s="66" t="s">
        <v>39</v>
      </c>
      <c r="T179" s="67">
        <f>C498</f>
        <v>0</v>
      </c>
      <c r="U179" s="67">
        <f t="shared" si="30"/>
        <v>0.63404300385847912</v>
      </c>
      <c r="V179" s="67">
        <f t="shared" si="30"/>
        <v>0.44381748624656597</v>
      </c>
      <c r="W179" s="67">
        <f t="shared" si="30"/>
        <v>0.66751570643967018</v>
      </c>
      <c r="X179" s="67">
        <f t="shared" si="30"/>
        <v>5.8212786841155078</v>
      </c>
      <c r="AD179" s="51"/>
      <c r="AE179" s="51"/>
    </row>
    <row r="180" spans="1:41" x14ac:dyDescent="0.3">
      <c r="B180" s="1" t="s">
        <v>37</v>
      </c>
      <c r="C180" s="18">
        <f>100-C178</f>
        <v>0</v>
      </c>
      <c r="D180" s="18">
        <f>100-D178</f>
        <v>1.7864596145324327</v>
      </c>
      <c r="E180" s="18">
        <f>100-E178</f>
        <v>2.6193289132787356</v>
      </c>
      <c r="F180" s="18">
        <f>100-F178</f>
        <v>1.4293104212781458</v>
      </c>
      <c r="G180" s="18">
        <f>100-G178</f>
        <v>11.860623859547431</v>
      </c>
      <c r="S180" s="70" t="s">
        <v>31</v>
      </c>
      <c r="T180" s="64">
        <f>I490</f>
        <v>100</v>
      </c>
      <c r="U180" s="64">
        <f>I491</f>
        <v>100</v>
      </c>
      <c r="V180" s="64">
        <f>I492</f>
        <v>99.164345403899716</v>
      </c>
      <c r="W180" s="64">
        <f>I493</f>
        <v>95.261845386533665</v>
      </c>
      <c r="X180" s="64">
        <f>I494</f>
        <v>77.861635220125777</v>
      </c>
      <c r="AD180" s="51"/>
      <c r="AE180" s="51"/>
      <c r="AH180" s="78"/>
      <c r="AI180" s="78"/>
    </row>
    <row r="181" spans="1:41" ht="15.6" x14ac:dyDescent="0.35">
      <c r="B181" s="1" t="s">
        <v>25</v>
      </c>
      <c r="C181" s="1">
        <f>C165</f>
        <v>344</v>
      </c>
      <c r="D181" s="1">
        <f>D165</f>
        <v>51</v>
      </c>
      <c r="E181" s="1">
        <f>E165</f>
        <v>877</v>
      </c>
      <c r="F181" s="1">
        <f>F165</f>
        <v>412</v>
      </c>
      <c r="G181" s="1">
        <f>G165</f>
        <v>622</v>
      </c>
      <c r="S181" s="66" t="s">
        <v>39</v>
      </c>
      <c r="T181" s="67">
        <f>J490</f>
        <v>0</v>
      </c>
      <c r="U181" s="67">
        <f>J491</f>
        <v>0</v>
      </c>
      <c r="V181" s="67">
        <f>J492</f>
        <v>0.33996295845078778</v>
      </c>
      <c r="W181" s="67">
        <f>J493</f>
        <v>1.0622680360972003</v>
      </c>
      <c r="X181" s="67">
        <f>J494</f>
        <v>1.4734122577149593</v>
      </c>
      <c r="AD181" s="51"/>
      <c r="AE181" s="51"/>
      <c r="AN181" s="2"/>
      <c r="AO181" s="2"/>
    </row>
    <row r="182" spans="1:41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0</v>
      </c>
      <c r="E182" s="18">
        <f>(O173*O173*(100-E178)*(100-E178)*(I173)*(100-I173))/((L173-1)*100)</f>
        <v>20.310221253927498</v>
      </c>
      <c r="F182" s="18">
        <f>(O174*O174*(100-F178)*(100-F178)*(I174)*(100-I174))/((L174-1)*100)</f>
        <v>21.232251125683963</v>
      </c>
      <c r="G182" s="18">
        <f>(O175*O175*(100-G178)*(100-G178)*(I175)*(100-I175))/((L175-1)*100)</f>
        <v>47.622971449979481</v>
      </c>
      <c r="S182" s="68" t="s">
        <v>51</v>
      </c>
      <c r="T182" s="65">
        <f>N479*100</f>
        <v>100</v>
      </c>
      <c r="U182" s="65">
        <f>N480*100</f>
        <v>98.969072164948457</v>
      </c>
      <c r="V182" s="65">
        <f>N481*100</f>
        <v>89.50345694531741</v>
      </c>
      <c r="W182" s="65">
        <f>N482*100</f>
        <v>93.85749385749385</v>
      </c>
      <c r="X182" s="65">
        <f>N483*100</f>
        <v>87.060478199718702</v>
      </c>
      <c r="AD182" s="51"/>
      <c r="AE182" s="51"/>
      <c r="AH182" s="78"/>
      <c r="AI182" s="78"/>
    </row>
    <row r="183" spans="1:41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0.70645650244006519</v>
      </c>
      <c r="E183" s="18">
        <f>E178*E178*(SUM((H171*E171*(1-E160/H160))/(H160-1),(H172*E172*(1-E161/H161))/(H161-1), (H174*E174*(1-E163/H163))/(H163-1),(H175*E175*(1-E164/H164))/(H164-1)))</f>
        <v>714.94973005769054</v>
      </c>
      <c r="F183" s="18">
        <f>F178*F178*(SUM((H171*F171*(1-F160/H160))/(H160-1),(H172*F172*(1-F161/H161))/(H161-1), (H173*F173*(1-F162/H162))/(H162-1),(H175*F175*(1-F164/H164))/(H164-1)))</f>
        <v>292.94520459998694</v>
      </c>
      <c r="G183" s="18">
        <f>G178*G178*(SUM((H171*G171*(1-G160/H160))/(H160-1),(H172*G172*(1-G161/H161))/(H161-1), (H173*G173*(1-G162/H162))/(H162-1),(H174*G174*(1-G163/H163))/(H163-1)))</f>
        <v>259.51791553627044</v>
      </c>
      <c r="R183" s="16" t="s">
        <v>61</v>
      </c>
      <c r="S183" t="s">
        <v>9</v>
      </c>
      <c r="T183" s="1">
        <f>N490</f>
        <v>340.07</v>
      </c>
      <c r="U183" s="1">
        <f>N491</f>
        <v>636.5</v>
      </c>
      <c r="V183" s="1">
        <f>N492</f>
        <v>50190.93</v>
      </c>
      <c r="W183" s="1">
        <f>N493</f>
        <v>27419.759999999998</v>
      </c>
      <c r="X183" s="1">
        <f>N494</f>
        <v>3249.71</v>
      </c>
      <c r="Z183" t="s">
        <v>36</v>
      </c>
      <c r="AA183" s="1">
        <f>N495</f>
        <v>81836.97</v>
      </c>
      <c r="AD183" s="51"/>
      <c r="AE183" s="51"/>
      <c r="AN183" s="78"/>
      <c r="AO183" s="78"/>
    </row>
    <row r="184" spans="1:41" ht="15.6" x14ac:dyDescent="0.35">
      <c r="R184" s="16" t="s">
        <v>318</v>
      </c>
      <c r="S184" t="s">
        <v>63</v>
      </c>
      <c r="T184" s="57">
        <f>$AA183*T176/100</f>
        <v>340.07</v>
      </c>
      <c r="U184" s="57">
        <f>$AA183*U176/100</f>
        <v>640.58768553459117</v>
      </c>
      <c r="V184" s="57">
        <f>$AA183*V176/100</f>
        <v>51136.82300933692</v>
      </c>
      <c r="W184" s="57">
        <f>$AA183*W176/100</f>
        <v>26642.18432829385</v>
      </c>
      <c r="X184" s="57">
        <f>$AA183*X176/100</f>
        <v>3077.3049768346432</v>
      </c>
      <c r="Z184" t="s">
        <v>36</v>
      </c>
      <c r="AA184" s="25">
        <f>SUM(T184:X184)</f>
        <v>81836.97</v>
      </c>
      <c r="AD184" s="51"/>
      <c r="AE184" s="51"/>
      <c r="AH184" s="78"/>
      <c r="AI184" s="78"/>
    </row>
    <row r="185" spans="1:41" x14ac:dyDescent="0.3">
      <c r="R185" s="66"/>
      <c r="S185" s="66" t="s">
        <v>62</v>
      </c>
      <c r="T185" s="67">
        <f>$AA183*T177/100</f>
        <v>0</v>
      </c>
      <c r="U185" s="67">
        <f>$AA183*U177/100</f>
        <v>4.0851138542268055</v>
      </c>
      <c r="V185" s="67">
        <f>$AA183*V177/100</f>
        <v>284.83085024478066</v>
      </c>
      <c r="W185" s="67">
        <f>$AA183*W177/100</f>
        <v>337.79618616189816</v>
      </c>
      <c r="X185" s="67">
        <f>$AA183*X177/100</f>
        <v>197.35358460116964</v>
      </c>
      <c r="AA185" s="1"/>
      <c r="AD185" s="51"/>
      <c r="AE185" s="51"/>
      <c r="AN185" s="78"/>
      <c r="AO185" s="78"/>
    </row>
    <row r="186" spans="1:41" x14ac:dyDescent="0.3">
      <c r="A186" s="348" t="s">
        <v>378</v>
      </c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 t="s">
        <v>79</v>
      </c>
      <c r="M186" s="348"/>
      <c r="N186" s="348"/>
      <c r="O186" s="348"/>
      <c r="P186" s="348"/>
      <c r="R186" t="s">
        <v>105</v>
      </c>
      <c r="S186" s="70" t="s">
        <v>28</v>
      </c>
      <c r="T186" s="64">
        <f>C524</f>
        <v>0.37858195385288579</v>
      </c>
      <c r="U186" s="64">
        <f t="shared" ref="U186:X189" si="31">D524</f>
        <v>0.8700254486557909</v>
      </c>
      <c r="V186" s="64">
        <f t="shared" si="31"/>
        <v>62.841552626842287</v>
      </c>
      <c r="W186" s="64">
        <f t="shared" si="31"/>
        <v>32.502050770105015</v>
      </c>
      <c r="X186" s="64">
        <f t="shared" si="31"/>
        <v>3.4077892005440193</v>
      </c>
      <c r="AA186" s="12"/>
      <c r="AD186" s="51"/>
      <c r="AE186" s="51"/>
    </row>
    <row r="187" spans="1:41" x14ac:dyDescent="0.3">
      <c r="A187" t="s">
        <v>315</v>
      </c>
      <c r="B187" t="s">
        <v>21</v>
      </c>
      <c r="I187" s="1" t="s">
        <v>53</v>
      </c>
      <c r="O187" s="142"/>
      <c r="P187" s="142"/>
      <c r="S187" s="66" t="s">
        <v>39</v>
      </c>
      <c r="T187" s="67">
        <f>C525</f>
        <v>0</v>
      </c>
      <c r="U187" s="67">
        <f t="shared" si="31"/>
        <v>4.9121256081387614E-3</v>
      </c>
      <c r="V187" s="67">
        <f t="shared" si="31"/>
        <v>0.31435978766410483</v>
      </c>
      <c r="W187" s="67">
        <f t="shared" si="31"/>
        <v>0.34999119007438095</v>
      </c>
      <c r="X187" s="67">
        <f t="shared" si="31"/>
        <v>0.17409635774032317</v>
      </c>
      <c r="AD187" s="51"/>
      <c r="AE187" s="51"/>
      <c r="AN187" s="78"/>
      <c r="AO187" s="78"/>
    </row>
    <row r="188" spans="1:41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51</v>
      </c>
      <c r="O188" s="13"/>
      <c r="P188" s="13"/>
      <c r="S188" t="s">
        <v>30</v>
      </c>
      <c r="T188" s="57">
        <f>C526</f>
        <v>100</v>
      </c>
      <c r="U188" s="57">
        <f t="shared" si="31"/>
        <v>99.435048949374703</v>
      </c>
      <c r="V188" s="57">
        <f t="shared" si="31"/>
        <v>97.604360527805639</v>
      </c>
      <c r="W188" s="57">
        <f t="shared" si="31"/>
        <v>98.489091891519166</v>
      </c>
      <c r="X188" s="57">
        <f t="shared" si="31"/>
        <v>90.290984341897712</v>
      </c>
      <c r="AD188" s="51"/>
      <c r="AE188" s="51"/>
    </row>
    <row r="189" spans="1:41" x14ac:dyDescent="0.3">
      <c r="A189" t="s">
        <v>3</v>
      </c>
      <c r="B189" s="13">
        <v>0</v>
      </c>
      <c r="C189" s="26">
        <v>344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344</v>
      </c>
      <c r="I189" s="10">
        <f>C189/H189</f>
        <v>1</v>
      </c>
      <c r="J189" s="11">
        <f>1-I189</f>
        <v>0</v>
      </c>
      <c r="K189">
        <f>H189-C194</f>
        <v>0</v>
      </c>
      <c r="N189" s="10">
        <f>2*(C195*I189)/(C195+I189)</f>
        <v>1</v>
      </c>
      <c r="O189" s="1"/>
      <c r="P189" s="1"/>
      <c r="S189" s="66" t="s">
        <v>39</v>
      </c>
      <c r="T189" s="67">
        <f>C527</f>
        <v>0</v>
      </c>
      <c r="U189" s="67">
        <f t="shared" si="31"/>
        <v>0.56175935372926666</v>
      </c>
      <c r="V189" s="67">
        <f t="shared" si="31"/>
        <v>0.41504847997709043</v>
      </c>
      <c r="W189" s="67">
        <f t="shared" si="31"/>
        <v>0.54438538546715087</v>
      </c>
      <c r="X189" s="67">
        <f t="shared" si="31"/>
        <v>4.6563021661157533</v>
      </c>
      <c r="AD189" s="51"/>
      <c r="AE189" s="51"/>
      <c r="AN189" s="78"/>
      <c r="AO189" s="78"/>
    </row>
    <row r="190" spans="1:41" x14ac:dyDescent="0.3">
      <c r="A190" t="s">
        <v>4</v>
      </c>
      <c r="B190" s="13">
        <v>1</v>
      </c>
      <c r="C190" s="5">
        <v>0</v>
      </c>
      <c r="D190" s="27">
        <v>45</v>
      </c>
      <c r="E190" s="1">
        <v>3</v>
      </c>
      <c r="F190" s="1">
        <v>0</v>
      </c>
      <c r="G190" s="6">
        <v>0</v>
      </c>
      <c r="H190" s="1">
        <f>SUM(C190:G190)</f>
        <v>48</v>
      </c>
      <c r="I190" s="10">
        <f>D190/H190</f>
        <v>0.9375</v>
      </c>
      <c r="J190" s="11">
        <f>1-I190</f>
        <v>6.25E-2</v>
      </c>
      <c r="K190">
        <f>H190-D194</f>
        <v>-1</v>
      </c>
      <c r="N190" s="10">
        <f>2*(D195*I190)/(D195+I190)</f>
        <v>0.92783505154639179</v>
      </c>
      <c r="O190" s="1"/>
      <c r="P190" s="1"/>
      <c r="S190" t="s">
        <v>31</v>
      </c>
      <c r="T190" s="57">
        <f>I519</f>
        <v>100</v>
      </c>
      <c r="U190" s="57">
        <f>I520</f>
        <v>100</v>
      </c>
      <c r="V190" s="57">
        <f>I521</f>
        <v>99.442896935933149</v>
      </c>
      <c r="W190" s="57">
        <f>I522</f>
        <v>96.508728179551113</v>
      </c>
      <c r="X190" s="57">
        <f>I523</f>
        <v>78.742138364779862</v>
      </c>
      <c r="AD190" s="51"/>
      <c r="AE190" s="51"/>
    </row>
    <row r="191" spans="1:41" x14ac:dyDescent="0.3">
      <c r="A191" t="s">
        <v>5</v>
      </c>
      <c r="B191" s="13">
        <v>2</v>
      </c>
      <c r="C191" s="5">
        <v>0</v>
      </c>
      <c r="D191" s="1">
        <v>0</v>
      </c>
      <c r="E191" s="27">
        <v>713</v>
      </c>
      <c r="F191" s="1">
        <v>4</v>
      </c>
      <c r="G191" s="6">
        <v>1</v>
      </c>
      <c r="H191" s="1">
        <f>SUM(C191:G191)</f>
        <v>718</v>
      </c>
      <c r="I191" s="10">
        <f>E191/H191</f>
        <v>0.99303621169916434</v>
      </c>
      <c r="J191" s="11">
        <f>1-I191</f>
        <v>6.9637883008356605E-3</v>
      </c>
      <c r="K191">
        <f>H191-E194</f>
        <v>-152</v>
      </c>
      <c r="N191" s="10">
        <f>2*(E195*I191)/(E195+I191)</f>
        <v>0.89798488664987408</v>
      </c>
      <c r="O191" s="1"/>
      <c r="P191" s="1"/>
      <c r="S191" s="66" t="s">
        <v>39</v>
      </c>
      <c r="T191" s="67">
        <f>J519</f>
        <v>0</v>
      </c>
      <c r="U191" s="67">
        <f>J520</f>
        <v>0</v>
      </c>
      <c r="V191" s="67">
        <f>J521</f>
        <v>0.27796817739934171</v>
      </c>
      <c r="W191" s="67">
        <f>J522</f>
        <v>0.91779382641286622</v>
      </c>
      <c r="X191" s="67">
        <f>J523</f>
        <v>1.4519549412465904</v>
      </c>
      <c r="AD191" s="51"/>
      <c r="AE191" s="51"/>
      <c r="AN191" s="78"/>
      <c r="AO191" s="78"/>
    </row>
    <row r="192" spans="1:41" x14ac:dyDescent="0.3">
      <c r="A192" t="s">
        <v>6</v>
      </c>
      <c r="B192" s="13">
        <v>3</v>
      </c>
      <c r="C192" s="5">
        <v>0</v>
      </c>
      <c r="D192" s="1">
        <v>0</v>
      </c>
      <c r="E192" s="1">
        <v>11</v>
      </c>
      <c r="F192" s="27">
        <v>384</v>
      </c>
      <c r="G192" s="6">
        <v>6</v>
      </c>
      <c r="H192" s="1">
        <f>SUM(C192:G192)</f>
        <v>401</v>
      </c>
      <c r="I192" s="10">
        <f>F192/H192</f>
        <v>0.95760598503740646</v>
      </c>
      <c r="J192" s="11">
        <f>1-I192</f>
        <v>4.239401496259354E-2</v>
      </c>
      <c r="K192">
        <f>H192-F194</f>
        <v>-18</v>
      </c>
      <c r="N192" s="10">
        <f>2*(F195*I192)/(F195+I192)</f>
        <v>0.93658536585365859</v>
      </c>
      <c r="O192" s="1"/>
      <c r="P192" s="1"/>
      <c r="S192" s="66" t="s">
        <v>51</v>
      </c>
      <c r="T192" s="67">
        <f>N508*100</f>
        <v>100</v>
      </c>
      <c r="U192" s="67">
        <f>N509*100</f>
        <v>98.969072164948457</v>
      </c>
      <c r="V192" s="67">
        <f>N510*100</f>
        <v>90.379746835443029</v>
      </c>
      <c r="W192" s="67">
        <f>N511*100</f>
        <v>94.160583941605836</v>
      </c>
      <c r="X192" s="67">
        <f>N512*100</f>
        <v>87.859649122807028</v>
      </c>
      <c r="AD192" s="51"/>
      <c r="AE192" s="51"/>
    </row>
    <row r="193" spans="1:48" x14ac:dyDescent="0.3">
      <c r="A193" t="s">
        <v>7</v>
      </c>
      <c r="B193" s="13">
        <v>4</v>
      </c>
      <c r="C193" s="7">
        <v>0</v>
      </c>
      <c r="D193" s="8">
        <v>4</v>
      </c>
      <c r="E193" s="8">
        <v>143</v>
      </c>
      <c r="F193" s="8">
        <v>31</v>
      </c>
      <c r="G193" s="28">
        <v>617</v>
      </c>
      <c r="H193" s="1">
        <f>SUM(C193:G193)</f>
        <v>795</v>
      </c>
      <c r="I193" s="10">
        <f>G193/H193</f>
        <v>0.77610062893081766</v>
      </c>
      <c r="J193" s="11">
        <f>1-I193</f>
        <v>0.22389937106918234</v>
      </c>
      <c r="K193">
        <f>H193-G194</f>
        <v>171</v>
      </c>
      <c r="N193" s="10">
        <f>2*(G195*I193)/(G195+I193)</f>
        <v>0.86962649753347443</v>
      </c>
      <c r="O193" s="1"/>
      <c r="P193" s="1"/>
      <c r="R193" s="16" t="s">
        <v>61</v>
      </c>
      <c r="S193" t="s">
        <v>9</v>
      </c>
      <c r="T193" s="1">
        <f>N519</f>
        <v>309.82</v>
      </c>
      <c r="U193" s="1">
        <f>N520</f>
        <v>707.98</v>
      </c>
      <c r="V193" s="1">
        <f>N521</f>
        <v>50476.81</v>
      </c>
      <c r="W193" s="1">
        <f>N522</f>
        <v>27144.5</v>
      </c>
      <c r="X193" s="1">
        <f>N523</f>
        <v>3197.86</v>
      </c>
      <c r="Z193" t="s">
        <v>36</v>
      </c>
      <c r="AA193" s="1">
        <f>N524</f>
        <v>81836.97</v>
      </c>
      <c r="AD193" s="51"/>
      <c r="AE193" s="51"/>
      <c r="AL193" s="131">
        <v>0</v>
      </c>
      <c r="AM193" s="132">
        <v>1</v>
      </c>
      <c r="AN193" s="132">
        <v>2</v>
      </c>
      <c r="AO193" s="132">
        <v>3</v>
      </c>
      <c r="AP193" s="133">
        <v>4</v>
      </c>
    </row>
    <row r="194" spans="1:48" ht="15.6" x14ac:dyDescent="0.35">
      <c r="B194" s="1" t="s">
        <v>19</v>
      </c>
      <c r="C194" s="1">
        <f>SUM(C189:C193)</f>
        <v>344</v>
      </c>
      <c r="D194" s="1">
        <f>SUM(D189:D193)</f>
        <v>49</v>
      </c>
      <c r="E194" s="1">
        <f>SUM(E189:E193)</f>
        <v>870</v>
      </c>
      <c r="F194" s="1">
        <f>SUM(F189:F193)</f>
        <v>419</v>
      </c>
      <c r="G194" s="1">
        <f>SUM(G189:G193)</f>
        <v>624</v>
      </c>
      <c r="H194" s="1">
        <f>SUM(H188:H193)</f>
        <v>2306</v>
      </c>
      <c r="I194" s="13" t="s">
        <v>12</v>
      </c>
      <c r="N194" s="16"/>
      <c r="O194" s="1"/>
      <c r="P194" s="1"/>
      <c r="R194" s="16" t="s">
        <v>318</v>
      </c>
      <c r="S194" t="s">
        <v>63</v>
      </c>
      <c r="T194" s="57">
        <f>$AA193*T186/100</f>
        <v>309.82</v>
      </c>
      <c r="U194" s="57">
        <f>$AA193*U186/100</f>
        <v>712.00246540880505</v>
      </c>
      <c r="V194" s="57">
        <f>$AA193*V186/100</f>
        <v>51427.622570763138</v>
      </c>
      <c r="W194" s="57">
        <f>$AA193*W186/100</f>
        <v>26598.693538115611</v>
      </c>
      <c r="X194" s="57">
        <f>$AA193*X186/100</f>
        <v>2788.8314257124493</v>
      </c>
      <c r="Z194" t="s">
        <v>36</v>
      </c>
      <c r="AA194" s="25">
        <f>SUM(T194:X194)</f>
        <v>81836.97</v>
      </c>
      <c r="AD194" s="51"/>
      <c r="AE194" s="51"/>
      <c r="AJ194" t="s">
        <v>2</v>
      </c>
      <c r="AQ194" t="s">
        <v>633</v>
      </c>
    </row>
    <row r="195" spans="1:48" x14ac:dyDescent="0.3">
      <c r="A195" s="1" t="s">
        <v>316</v>
      </c>
      <c r="B195" s="1" t="s">
        <v>2</v>
      </c>
      <c r="C195" s="10">
        <f>C189/C194</f>
        <v>1</v>
      </c>
      <c r="D195" s="10">
        <f>D190/D194</f>
        <v>0.91836734693877553</v>
      </c>
      <c r="E195" s="10">
        <f>E191/E194</f>
        <v>0.81954022988505748</v>
      </c>
      <c r="F195" s="10">
        <f>F192/F194</f>
        <v>0.91646778042959431</v>
      </c>
      <c r="G195" s="10">
        <f>G193/G194</f>
        <v>0.98878205128205132</v>
      </c>
      <c r="H195" s="10"/>
      <c r="I195" s="14">
        <f>(C189+D190+E191+F192+G193)/H194</f>
        <v>0.91196877710320901</v>
      </c>
      <c r="R195" s="66"/>
      <c r="S195" s="66" t="s">
        <v>62</v>
      </c>
      <c r="T195" s="67">
        <f>$AA193*T187/100</f>
        <v>0</v>
      </c>
      <c r="U195" s="67">
        <f>$AA193*U187/100</f>
        <v>4.0199347602948361</v>
      </c>
      <c r="V195" s="67">
        <f>$AA193*V187/100</f>
        <v>257.26252512273715</v>
      </c>
      <c r="W195" s="67">
        <f>$AA193*W187/100</f>
        <v>286.4221852238141</v>
      </c>
      <c r="X195" s="67">
        <f>$AA193*X187/100</f>
        <v>142.47518405504096</v>
      </c>
      <c r="AA195" s="1"/>
      <c r="AD195" s="51"/>
      <c r="AE195" s="51"/>
      <c r="AJ195" t="s">
        <v>633</v>
      </c>
      <c r="AK195">
        <v>0</v>
      </c>
      <c r="AL195" s="1">
        <v>217.22</v>
      </c>
      <c r="AM195" s="1">
        <v>153.88</v>
      </c>
      <c r="AN195">
        <v>3932.79</v>
      </c>
      <c r="AO195">
        <v>13247.89</v>
      </c>
      <c r="AP195" s="1">
        <v>2368.2600000000002</v>
      </c>
      <c r="AR195" s="1">
        <v>328.55</v>
      </c>
      <c r="AS195" s="1">
        <v>653.07000000000005</v>
      </c>
      <c r="AT195" s="1">
        <v>50416.58</v>
      </c>
      <c r="AU195" s="1">
        <v>27160.43</v>
      </c>
      <c r="AV195" s="1">
        <v>3278.34</v>
      </c>
    </row>
    <row r="196" spans="1:48" x14ac:dyDescent="0.3">
      <c r="B196" s="1" t="s">
        <v>14</v>
      </c>
      <c r="C196" s="11">
        <f>1-C195</f>
        <v>0</v>
      </c>
      <c r="D196" s="11">
        <f>1-D195</f>
        <v>8.1632653061224469E-2</v>
      </c>
      <c r="E196" s="11">
        <f>1-E195</f>
        <v>0.18045977011494252</v>
      </c>
      <c r="F196" s="11">
        <f>1-F195</f>
        <v>8.3532219570405686E-2</v>
      </c>
      <c r="G196" s="11">
        <f>1-G195</f>
        <v>1.1217948717948678E-2</v>
      </c>
      <c r="R196" t="s">
        <v>106</v>
      </c>
      <c r="S196" t="s">
        <v>28</v>
      </c>
      <c r="T196" s="57">
        <f>C553</f>
        <v>0.40850730421715281</v>
      </c>
      <c r="U196" s="57">
        <f t="shared" ref="U196:X199" si="32">D553</f>
        <v>0.80165475611346693</v>
      </c>
      <c r="V196" s="57">
        <f t="shared" si="32"/>
        <v>62.209872747712836</v>
      </c>
      <c r="W196" s="57">
        <f t="shared" si="32"/>
        <v>32.880798312374814</v>
      </c>
      <c r="X196" s="57">
        <f t="shared" si="32"/>
        <v>3.6991668795817447</v>
      </c>
      <c r="Y196" s="13"/>
      <c r="Z196" s="74"/>
      <c r="AA196" s="12"/>
      <c r="AD196" s="51"/>
      <c r="AE196" s="51"/>
      <c r="AJ196" t="s">
        <v>633</v>
      </c>
      <c r="AK196">
        <v>1</v>
      </c>
      <c r="AL196" s="1">
        <v>227</v>
      </c>
      <c r="AM196" s="1">
        <v>157.96</v>
      </c>
      <c r="AN196">
        <v>3930.61</v>
      </c>
      <c r="AO196">
        <v>13302.87</v>
      </c>
      <c r="AP196" s="1">
        <v>2301.59</v>
      </c>
      <c r="AR196" s="1">
        <v>336.65</v>
      </c>
      <c r="AS196" s="1">
        <v>708.33</v>
      </c>
      <c r="AT196" s="1">
        <v>50283.199999999997</v>
      </c>
      <c r="AU196" s="1">
        <v>27358.19</v>
      </c>
      <c r="AV196" s="1">
        <v>3150.6</v>
      </c>
    </row>
    <row r="197" spans="1:48" x14ac:dyDescent="0.3">
      <c r="C197" s="2"/>
      <c r="S197" s="66" t="s">
        <v>39</v>
      </c>
      <c r="T197" s="67">
        <f>C554</f>
        <v>0</v>
      </c>
      <c r="U197" s="67">
        <f t="shared" si="32"/>
        <v>7.1538699988983471E-3</v>
      </c>
      <c r="V197" s="67">
        <f t="shared" si="32"/>
        <v>0.31793388562129232</v>
      </c>
      <c r="W197" s="67">
        <f t="shared" si="32"/>
        <v>0.38039164058559211</v>
      </c>
      <c r="X197" s="67">
        <f t="shared" si="32"/>
        <v>0.22689849276512339</v>
      </c>
      <c r="AD197" s="51"/>
      <c r="AE197" s="51"/>
      <c r="AJ197" t="s">
        <v>633</v>
      </c>
      <c r="AK197">
        <v>2</v>
      </c>
      <c r="AL197" s="1">
        <v>222.75</v>
      </c>
      <c r="AM197" s="1">
        <v>168.62</v>
      </c>
      <c r="AN197">
        <v>3918.02</v>
      </c>
      <c r="AO197">
        <v>13277.74</v>
      </c>
      <c r="AP197" s="1">
        <v>2332.9</v>
      </c>
      <c r="AR197" s="1">
        <v>339.53</v>
      </c>
      <c r="AS197" s="1">
        <v>726.16</v>
      </c>
      <c r="AT197" s="1">
        <v>50489.13</v>
      </c>
      <c r="AU197" s="1">
        <v>27044.32</v>
      </c>
      <c r="AV197" s="1">
        <v>3237.83</v>
      </c>
    </row>
    <row r="198" spans="1:48" ht="15.6" x14ac:dyDescent="0.35">
      <c r="A198" t="s">
        <v>317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32"/>
        <v>98.736382479843343</v>
      </c>
      <c r="V198" s="57">
        <f t="shared" si="32"/>
        <v>97.721728998795285</v>
      </c>
      <c r="W198" s="57">
        <f t="shared" si="32"/>
        <v>97.979840318017366</v>
      </c>
      <c r="X198" s="57">
        <f t="shared" si="32"/>
        <v>84.206226992346529</v>
      </c>
      <c r="AD198" s="51"/>
      <c r="AE198" s="51"/>
      <c r="AJ198" t="s">
        <v>633</v>
      </c>
      <c r="AK198">
        <v>3</v>
      </c>
      <c r="AL198" s="1">
        <v>218.62</v>
      </c>
      <c r="AM198" s="1">
        <v>143.36000000000001</v>
      </c>
      <c r="AN198">
        <v>4019.93</v>
      </c>
      <c r="AO198">
        <v>13148.98</v>
      </c>
      <c r="AP198" s="1">
        <v>2389.14</v>
      </c>
      <c r="AR198" s="1">
        <v>333.95</v>
      </c>
      <c r="AS198" s="1">
        <v>568.17999999999995</v>
      </c>
      <c r="AT198" s="1">
        <v>50709.57</v>
      </c>
      <c r="AU198" s="1">
        <v>26888.69</v>
      </c>
      <c r="AV198" s="1">
        <v>3336.58</v>
      </c>
    </row>
    <row r="199" spans="1:48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32"/>
        <v>0.88166620620622038</v>
      </c>
      <c r="V199" s="67">
        <f t="shared" si="32"/>
        <v>0.3854402618465681</v>
      </c>
      <c r="W199" s="67">
        <f t="shared" si="32"/>
        <v>0.65600218501629881</v>
      </c>
      <c r="X199" s="67">
        <f t="shared" si="32"/>
        <v>5.6043129137635006</v>
      </c>
      <c r="AD199" s="51"/>
      <c r="AE199" s="51"/>
      <c r="AJ199" t="s">
        <v>633</v>
      </c>
      <c r="AK199">
        <v>4</v>
      </c>
      <c r="AL199" s="1">
        <v>223.54</v>
      </c>
      <c r="AM199" s="1">
        <v>146.02000000000001</v>
      </c>
      <c r="AN199">
        <v>3890.17</v>
      </c>
      <c r="AO199">
        <v>13267.23</v>
      </c>
      <c r="AP199" s="1">
        <v>2393.0700000000002</v>
      </c>
      <c r="AR199" s="1">
        <v>347.09</v>
      </c>
      <c r="AS199" s="1">
        <v>682.95</v>
      </c>
      <c r="AT199" s="1">
        <v>50342.58</v>
      </c>
      <c r="AU199" s="1">
        <v>27157.39</v>
      </c>
      <c r="AV199" s="1">
        <v>3306.96</v>
      </c>
    </row>
    <row r="200" spans="1:48" x14ac:dyDescent="0.3">
      <c r="A200" t="s">
        <v>3</v>
      </c>
      <c r="B200" s="13">
        <v>0</v>
      </c>
      <c r="C200" s="29">
        <f>(C189/$L200)*$O200</f>
        <v>0.40696765777129829</v>
      </c>
      <c r="D200" s="31">
        <f>(D189/$L200)*$O200</f>
        <v>0</v>
      </c>
      <c r="E200" s="31">
        <f>(E189/$L200)*$O200</f>
        <v>0</v>
      </c>
      <c r="F200" s="31">
        <f>(F189/$L200)*$O200</f>
        <v>0</v>
      </c>
      <c r="G200" s="32">
        <f>(G189/$L200)*$O200</f>
        <v>0</v>
      </c>
      <c r="H200" s="17">
        <f>SUM(C200:G200)</f>
        <v>0.40696765777129829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344</v>
      </c>
      <c r="M200">
        <v>0</v>
      </c>
      <c r="N200" s="1">
        <v>333.05</v>
      </c>
      <c r="O200" s="17">
        <f>N200/N205*100</f>
        <v>0.40696765777129829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100</v>
      </c>
      <c r="V200" s="57">
        <f>I550</f>
        <v>99.164345403899716</v>
      </c>
      <c r="W200" s="57">
        <f>I551</f>
        <v>96.259351620947626</v>
      </c>
      <c r="X200" s="57">
        <f>I552</f>
        <v>77.358490566037744</v>
      </c>
      <c r="AD200" s="51"/>
      <c r="AE200" s="51"/>
      <c r="AJ200" t="s">
        <v>633</v>
      </c>
      <c r="AK200">
        <v>5</v>
      </c>
      <c r="AL200" s="1">
        <v>221.3</v>
      </c>
      <c r="AM200" s="1">
        <v>172.74</v>
      </c>
      <c r="AN200">
        <v>3964.78</v>
      </c>
      <c r="AO200">
        <v>13220.62</v>
      </c>
      <c r="AP200" s="1">
        <v>2340.59</v>
      </c>
      <c r="AR200" s="1">
        <v>336.56</v>
      </c>
      <c r="AS200" s="1">
        <v>667.74</v>
      </c>
      <c r="AT200" s="1">
        <v>50654.94</v>
      </c>
      <c r="AU200" s="1">
        <v>26959.08</v>
      </c>
      <c r="AV200" s="1">
        <v>3218.66</v>
      </c>
    </row>
    <row r="201" spans="1:48" x14ac:dyDescent="0.3">
      <c r="A201" t="s">
        <v>4</v>
      </c>
      <c r="B201" s="13">
        <v>1</v>
      </c>
      <c r="C201" s="33">
        <f t="shared" ref="C201:G204" si="33">(C190/$L201)*$O201</f>
        <v>0</v>
      </c>
      <c r="D201" s="34">
        <f t="shared" si="33"/>
        <v>0.74266175177306804</v>
      </c>
      <c r="E201" s="19">
        <f t="shared" si="33"/>
        <v>4.9510783451537865E-2</v>
      </c>
      <c r="F201" s="18">
        <f t="shared" si="33"/>
        <v>0</v>
      </c>
      <c r="G201" s="20">
        <f t="shared" si="33"/>
        <v>0</v>
      </c>
      <c r="H201" s="17">
        <f>SUM(C201:G201)</f>
        <v>0.79217253522460584</v>
      </c>
      <c r="I201" s="17">
        <f>D201/H201*100</f>
        <v>93.750000000000014</v>
      </c>
      <c r="J201" s="17">
        <f>SQRT(I201*(100-I201)/(L201-1))</f>
        <v>3.5308292679126967</v>
      </c>
      <c r="K201" s="18">
        <f>100-I201</f>
        <v>6.2499999999999858</v>
      </c>
      <c r="L201" s="1">
        <f>H190</f>
        <v>48</v>
      </c>
      <c r="M201">
        <v>1</v>
      </c>
      <c r="N201" s="1">
        <v>648.29</v>
      </c>
      <c r="O201" s="17">
        <f>N201/N205*100</f>
        <v>0.79217253522460584</v>
      </c>
      <c r="P201" s="52">
        <f>((O201*O201*(I201/100)*(K201/100))/(L201-1))</f>
        <v>7.8233542914417148E-4</v>
      </c>
      <c r="S201" s="66" t="s">
        <v>39</v>
      </c>
      <c r="T201" s="67">
        <f>J548</f>
        <v>0</v>
      </c>
      <c r="U201" s="67">
        <f>J549</f>
        <v>0</v>
      </c>
      <c r="V201" s="67">
        <f>J550</f>
        <v>0.33996295845078778</v>
      </c>
      <c r="W201" s="67">
        <f>J551</f>
        <v>0.94877867230657409</v>
      </c>
      <c r="X201" s="67">
        <f>J552</f>
        <v>1.4852392940667265</v>
      </c>
      <c r="AD201" s="51"/>
      <c r="AE201" s="51"/>
      <c r="AJ201" t="s">
        <v>633</v>
      </c>
      <c r="AK201">
        <v>6</v>
      </c>
      <c r="AL201" s="1">
        <v>219.33</v>
      </c>
      <c r="AM201" s="1">
        <v>140.52000000000001</v>
      </c>
      <c r="AN201">
        <v>3971.16</v>
      </c>
      <c r="AO201">
        <v>13243.77</v>
      </c>
      <c r="AP201" s="1">
        <v>2345.25</v>
      </c>
      <c r="AR201" s="1">
        <v>333.05</v>
      </c>
      <c r="AS201" s="1">
        <v>648.29</v>
      </c>
      <c r="AT201" s="1">
        <v>50562.05</v>
      </c>
      <c r="AU201" s="1">
        <v>27048.1</v>
      </c>
      <c r="AV201" s="1">
        <v>3245.48</v>
      </c>
    </row>
    <row r="202" spans="1:48" x14ac:dyDescent="0.3">
      <c r="A202" t="s">
        <v>5</v>
      </c>
      <c r="B202" s="13">
        <v>2</v>
      </c>
      <c r="C202" s="33">
        <f t="shared" si="33"/>
        <v>0</v>
      </c>
      <c r="D202" s="19">
        <f t="shared" si="33"/>
        <v>0</v>
      </c>
      <c r="E202" s="34">
        <f t="shared" si="33"/>
        <v>61.353623659018346</v>
      </c>
      <c r="F202" s="19">
        <f t="shared" si="33"/>
        <v>0.34419985222450683</v>
      </c>
      <c r="G202" s="20">
        <f t="shared" si="33"/>
        <v>8.6049963056126708E-2</v>
      </c>
      <c r="H202" s="17">
        <f>SUM(C202:G202)</f>
        <v>61.783873474298979</v>
      </c>
      <c r="I202" s="17">
        <f>E202/H202*100</f>
        <v>99.30362116991644</v>
      </c>
      <c r="J202" s="17">
        <f>SQRT(I202*(100-I202)/(L202-1))</f>
        <v>0.31056016230667621</v>
      </c>
      <c r="K202" s="18">
        <f>100-I202</f>
        <v>0.69637883008356027</v>
      </c>
      <c r="L202" s="1">
        <f>H191</f>
        <v>718</v>
      </c>
      <c r="M202">
        <v>2</v>
      </c>
      <c r="N202" s="1">
        <v>50562.05</v>
      </c>
      <c r="O202" s="17">
        <f>N202/N205*100</f>
        <v>61.783873474298979</v>
      </c>
      <c r="P202" s="52">
        <f>((O202*O202*(I202/100)*(K202/100))/(L202-1))</f>
        <v>3.6816436884365353E-2</v>
      </c>
      <c r="S202" s="66" t="s">
        <v>51</v>
      </c>
      <c r="T202" s="67">
        <f>N537*100</f>
        <v>100</v>
      </c>
      <c r="U202" s="67">
        <f>N538*100</f>
        <v>97.959183673469383</v>
      </c>
      <c r="V202" s="67">
        <f>N539*100</f>
        <v>89.78562421185373</v>
      </c>
      <c r="W202" s="67">
        <f>N540*100</f>
        <v>93.803159173754551</v>
      </c>
      <c r="X202" s="67">
        <f>N541*100</f>
        <v>86.803105151729014</v>
      </c>
      <c r="AD202" s="51"/>
      <c r="AE202" s="51"/>
      <c r="AJ202" t="s">
        <v>633</v>
      </c>
      <c r="AK202">
        <v>7</v>
      </c>
      <c r="AL202" s="1">
        <v>223.23</v>
      </c>
      <c r="AM202" s="1">
        <v>157.37</v>
      </c>
      <c r="AN202">
        <v>3820.77</v>
      </c>
      <c r="AO202">
        <v>13363.15</v>
      </c>
      <c r="AP202" s="1">
        <v>2355.5100000000002</v>
      </c>
      <c r="AR202" s="1">
        <v>349.7</v>
      </c>
      <c r="AS202" s="1">
        <v>714.72</v>
      </c>
      <c r="AT202" s="1">
        <v>50154.02</v>
      </c>
      <c r="AU202" s="1">
        <v>27357.56</v>
      </c>
      <c r="AV202" s="1">
        <v>3260.96</v>
      </c>
    </row>
    <row r="203" spans="1:48" x14ac:dyDescent="0.3">
      <c r="A203" t="s">
        <v>6</v>
      </c>
      <c r="B203" s="13">
        <v>3</v>
      </c>
      <c r="C203" s="33">
        <f t="shared" si="33"/>
        <v>0</v>
      </c>
      <c r="D203" s="19">
        <f t="shared" si="33"/>
        <v>0</v>
      </c>
      <c r="E203" s="19">
        <f t="shared" si="33"/>
        <v>0.90664137543696965</v>
      </c>
      <c r="F203" s="34">
        <f t="shared" si="33"/>
        <v>31.650026197072396</v>
      </c>
      <c r="G203" s="20">
        <f t="shared" si="33"/>
        <v>0.49453165932925619</v>
      </c>
      <c r="H203" s="17">
        <f>SUM(C203:G203)</f>
        <v>33.051199231838623</v>
      </c>
      <c r="I203" s="17">
        <f>F203/H203*100</f>
        <v>95.760598503740653</v>
      </c>
      <c r="J203" s="17">
        <f>SQRT(I203*(100-I203)/(L203-1))</f>
        <v>1.0074319140510797</v>
      </c>
      <c r="K203" s="18">
        <f>100-I203</f>
        <v>4.2394014962593474</v>
      </c>
      <c r="L203" s="1">
        <f>H192</f>
        <v>401</v>
      </c>
      <c r="M203">
        <v>3</v>
      </c>
      <c r="N203" s="1">
        <v>27048.1</v>
      </c>
      <c r="O203" s="17">
        <f>N203/N205*100</f>
        <v>33.051199231838623</v>
      </c>
      <c r="P203" s="52">
        <f>((O203*O203*(I203/100)*(K203/100))/(L203-1))</f>
        <v>0.1108679081424561</v>
      </c>
      <c r="R203" s="16" t="s">
        <v>61</v>
      </c>
      <c r="S203" t="s">
        <v>9</v>
      </c>
      <c r="T203" s="1">
        <f>N548</f>
        <v>334.31</v>
      </c>
      <c r="U203" s="1">
        <f>N549</f>
        <v>647.76</v>
      </c>
      <c r="V203" s="1">
        <f>N550</f>
        <v>50170.04</v>
      </c>
      <c r="W203" s="1">
        <f>N551</f>
        <v>27389.599999999999</v>
      </c>
      <c r="X203" s="1">
        <f>N552</f>
        <v>3295.26</v>
      </c>
      <c r="Z203" t="s">
        <v>36</v>
      </c>
      <c r="AA203" s="1">
        <f>N553</f>
        <v>81836.969999999987</v>
      </c>
      <c r="AD203" s="51"/>
      <c r="AE203" s="51"/>
      <c r="AJ203" t="s">
        <v>633</v>
      </c>
      <c r="AK203">
        <v>8</v>
      </c>
      <c r="AL203" s="1">
        <v>227.08</v>
      </c>
      <c r="AM203" s="1">
        <v>129.27000000000001</v>
      </c>
      <c r="AN203">
        <v>3835.25</v>
      </c>
      <c r="AO203">
        <v>13282.73</v>
      </c>
      <c r="AP203" s="1">
        <v>2445.71</v>
      </c>
      <c r="AR203" s="1">
        <v>366.53</v>
      </c>
      <c r="AS203" s="1">
        <v>601.49</v>
      </c>
      <c r="AT203" s="1">
        <v>50181.1</v>
      </c>
      <c r="AU203" s="1">
        <v>27214.27</v>
      </c>
      <c r="AV203" s="1">
        <v>3473.58</v>
      </c>
    </row>
    <row r="204" spans="1:48" ht="15.6" x14ac:dyDescent="0.35">
      <c r="A204" t="s">
        <v>7</v>
      </c>
      <c r="B204" s="13">
        <v>4</v>
      </c>
      <c r="C204" s="35">
        <f t="shared" si="33"/>
        <v>0</v>
      </c>
      <c r="D204" s="36">
        <f t="shared" si="33"/>
        <v>1.9953645790523351E-2</v>
      </c>
      <c r="E204" s="21">
        <f t="shared" si="33"/>
        <v>0.71334283701120982</v>
      </c>
      <c r="F204" s="21">
        <f t="shared" si="33"/>
        <v>0.15464075487655596</v>
      </c>
      <c r="G204" s="37">
        <f t="shared" si="33"/>
        <v>3.0778498631882272</v>
      </c>
      <c r="H204" s="17">
        <f>SUM(C204:G204)</f>
        <v>3.9657871008665162</v>
      </c>
      <c r="I204" s="17">
        <f>G204/H204*100</f>
        <v>77.610062893081761</v>
      </c>
      <c r="J204" s="17">
        <f>SQRT(I204*(100-I204)/(L204-1))</f>
        <v>1.4793645357117016</v>
      </c>
      <c r="K204" s="18">
        <f>100-I204</f>
        <v>22.389937106918239</v>
      </c>
      <c r="L204" s="1">
        <f>H193</f>
        <v>795</v>
      </c>
      <c r="M204">
        <v>4</v>
      </c>
      <c r="N204" s="1">
        <v>3245.48</v>
      </c>
      <c r="O204" s="17">
        <f>N204/N205*100</f>
        <v>3.9657871008665162</v>
      </c>
      <c r="P204" s="52">
        <f>((O204*O204*(I204/100)*(K204/100))/(L204-1))</f>
        <v>3.4419867827554847E-3</v>
      </c>
      <c r="R204" s="16" t="s">
        <v>318</v>
      </c>
      <c r="S204" t="s">
        <v>63</v>
      </c>
      <c r="T204" s="57">
        <f>$AA203*T196/100</f>
        <v>334.31</v>
      </c>
      <c r="U204" s="57">
        <f>$AA203*U196/100</f>
        <v>656.04996226415096</v>
      </c>
      <c r="V204" s="57">
        <f>$AA203*V196/100</f>
        <v>50910.674897583922</v>
      </c>
      <c r="W204" s="57">
        <f>$AA203*W196/100</f>
        <v>26908.649050658682</v>
      </c>
      <c r="X204" s="57">
        <f>$AA203*X196/100</f>
        <v>3027.2860894932483</v>
      </c>
      <c r="Z204" t="s">
        <v>36</v>
      </c>
      <c r="AA204" s="25">
        <f>SUM(T204:X204)</f>
        <v>81836.97</v>
      </c>
      <c r="AD204" s="51"/>
      <c r="AE204" s="51"/>
      <c r="AJ204" t="s">
        <v>633</v>
      </c>
      <c r="AK204">
        <v>9</v>
      </c>
      <c r="AL204" s="1">
        <v>210.31</v>
      </c>
      <c r="AM204" s="1">
        <v>103.73</v>
      </c>
      <c r="AN204">
        <v>3929.55</v>
      </c>
      <c r="AO204">
        <v>13189.44</v>
      </c>
      <c r="AP204" s="1">
        <v>2487</v>
      </c>
      <c r="AR204" s="1">
        <v>313.14999999999998</v>
      </c>
      <c r="AS204" s="1">
        <v>543.97</v>
      </c>
      <c r="AT204" s="1">
        <v>50621.62</v>
      </c>
      <c r="AU204" s="1">
        <v>26880.86</v>
      </c>
      <c r="AV204" s="1">
        <v>3477.36</v>
      </c>
    </row>
    <row r="205" spans="1:48" x14ac:dyDescent="0.3">
      <c r="B205" t="s">
        <v>28</v>
      </c>
      <c r="C205" s="17">
        <f t="shared" ref="C205:H205" si="34">SUM(C200:C204)</f>
        <v>0.40696765777129829</v>
      </c>
      <c r="D205" s="17">
        <f t="shared" si="34"/>
        <v>0.76261539756359142</v>
      </c>
      <c r="E205" s="17">
        <f t="shared" si="34"/>
        <v>63.023118654918065</v>
      </c>
      <c r="F205" s="17">
        <f t="shared" si="34"/>
        <v>32.148866804173458</v>
      </c>
      <c r="G205" s="17">
        <f t="shared" si="34"/>
        <v>3.65843148557361</v>
      </c>
      <c r="H205" s="18">
        <f t="shared" si="34"/>
        <v>100.00000000000003</v>
      </c>
      <c r="I205" s="13" t="s">
        <v>24</v>
      </c>
      <c r="J205" s="12" t="s">
        <v>29</v>
      </c>
      <c r="N205" s="1">
        <f>SUM(N200:N204)</f>
        <v>81836.969999999987</v>
      </c>
      <c r="O205" s="17">
        <f>SUM(O200:O204)</f>
        <v>100.00000000000003</v>
      </c>
      <c r="R205" s="66"/>
      <c r="S205" s="66" t="s">
        <v>62</v>
      </c>
      <c r="T205" s="67">
        <f>$AA203*T197/100</f>
        <v>0</v>
      </c>
      <c r="U205" s="67">
        <f>$AA203*U197/100</f>
        <v>5.8545104448374401</v>
      </c>
      <c r="V205" s="67">
        <f>$AA203*V197/100</f>
        <v>260.18745859573124</v>
      </c>
      <c r="W205" s="67">
        <f>$AA203*W197/100</f>
        <v>311.30099278853879</v>
      </c>
      <c r="X205" s="67">
        <f>$AA203*X197/100</f>
        <v>185.68685145464616</v>
      </c>
      <c r="AA205" s="1"/>
      <c r="AD205" s="51"/>
      <c r="AE205" s="51"/>
      <c r="AJ205" t="s">
        <v>633</v>
      </c>
      <c r="AK205">
        <v>10</v>
      </c>
      <c r="AL205" s="1">
        <v>222.26</v>
      </c>
      <c r="AM205" s="1">
        <v>188.3</v>
      </c>
      <c r="AN205">
        <v>3876.39</v>
      </c>
      <c r="AO205">
        <v>13200.46</v>
      </c>
      <c r="AP205" s="1">
        <v>2432.62</v>
      </c>
      <c r="AR205" s="1">
        <v>338.45</v>
      </c>
      <c r="AS205" s="1">
        <v>761.08</v>
      </c>
      <c r="AT205" s="1">
        <v>50394.97</v>
      </c>
      <c r="AU205" s="1">
        <v>26967.81</v>
      </c>
      <c r="AV205" s="1">
        <v>3374.65</v>
      </c>
    </row>
    <row r="206" spans="1:48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0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2.9412122575294533E-2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0.33634334256450654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0.37521479277235587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0.22579265203479931</v>
      </c>
      <c r="H206" s="1"/>
      <c r="I206" s="14">
        <f>(C200+D201+E202+F203+G204)/H205</f>
        <v>0.97231129128823313</v>
      </c>
      <c r="J206" s="53">
        <f>SQRT(SUM(P200:P204))/100</f>
        <v>3.8975462439683906E-3</v>
      </c>
      <c r="M206" s="1"/>
      <c r="N206" s="9"/>
      <c r="R206" t="s">
        <v>107</v>
      </c>
      <c r="S206" t="s">
        <v>28</v>
      </c>
      <c r="T206" s="57">
        <f>C582</f>
        <v>0.41631551119255755</v>
      </c>
      <c r="U206" s="57">
        <f t="shared" ref="U206:X209" si="35">D582</f>
        <v>0.84984217006202245</v>
      </c>
      <c r="V206" s="57">
        <f t="shared" si="35"/>
        <v>61.732682616919377</v>
      </c>
      <c r="W206" s="57">
        <f t="shared" si="35"/>
        <v>33.0935425588643</v>
      </c>
      <c r="X206" s="57">
        <f>G582</f>
        <v>3.9076171429617381</v>
      </c>
      <c r="Y206" s="60"/>
      <c r="Z206" s="74"/>
      <c r="AA206" s="12"/>
      <c r="AD206" s="51"/>
      <c r="AE206" s="51"/>
      <c r="AJ206" t="s">
        <v>633</v>
      </c>
      <c r="AK206">
        <v>11</v>
      </c>
      <c r="AL206" s="1">
        <v>239.44</v>
      </c>
      <c r="AM206" s="1">
        <v>147.69</v>
      </c>
      <c r="AN206">
        <v>3834.32</v>
      </c>
      <c r="AO206">
        <v>13340.51</v>
      </c>
      <c r="AP206" s="1">
        <v>2358.09</v>
      </c>
      <c r="AR206" s="1">
        <v>372.29</v>
      </c>
      <c r="AS206" s="1">
        <v>658.92</v>
      </c>
      <c r="AT206" s="1">
        <v>50249.97</v>
      </c>
      <c r="AU206" s="1">
        <v>27329.119999999999</v>
      </c>
      <c r="AV206" s="1">
        <v>3226.67</v>
      </c>
    </row>
    <row r="207" spans="1:48" x14ac:dyDescent="0.3">
      <c r="B207" s="1" t="s">
        <v>30</v>
      </c>
      <c r="C207" s="17">
        <f>C200/C205*100</f>
        <v>100</v>
      </c>
      <c r="D207" s="17">
        <f>D201/D205*100</f>
        <v>97.383524401123893</v>
      </c>
      <c r="E207" s="17">
        <f>E202/E205*100</f>
        <v>97.350980034737717</v>
      </c>
      <c r="F207" s="17">
        <f>F203/F205*100</f>
        <v>98.448341553873036</v>
      </c>
      <c r="G207" s="17">
        <f>G204/G205*100</f>
        <v>84.130313095248454</v>
      </c>
      <c r="H207" s="1"/>
      <c r="S207" s="66" t="s">
        <v>39</v>
      </c>
      <c r="T207" s="67">
        <f>C583</f>
        <v>0</v>
      </c>
      <c r="U207" s="67">
        <f t="shared" si="35"/>
        <v>5.5259070590153109E-3</v>
      </c>
      <c r="V207" s="67">
        <f t="shared" si="35"/>
        <v>0.32800883457282609</v>
      </c>
      <c r="W207" s="67">
        <f t="shared" si="35"/>
        <v>0.37190308956353291</v>
      </c>
      <c r="X207" s="67">
        <f t="shared" si="35"/>
        <v>0.19642766807576939</v>
      </c>
      <c r="AD207" s="51"/>
      <c r="AE207" s="51"/>
      <c r="AJ207" t="s">
        <v>633</v>
      </c>
      <c r="AK207">
        <v>12</v>
      </c>
      <c r="AL207" s="1">
        <v>214.2</v>
      </c>
      <c r="AM207" s="1">
        <v>157.93</v>
      </c>
      <c r="AN207">
        <v>3840.36</v>
      </c>
      <c r="AO207">
        <v>13250.23</v>
      </c>
      <c r="AP207" s="1">
        <v>2457.3200000000002</v>
      </c>
      <c r="AR207" s="1">
        <v>317.56</v>
      </c>
      <c r="AS207" s="1">
        <v>710.4</v>
      </c>
      <c r="AT207" s="1">
        <v>50110.71</v>
      </c>
      <c r="AU207" s="1">
        <v>27184.83</v>
      </c>
      <c r="AV207" s="1">
        <v>3513.46</v>
      </c>
    </row>
    <row r="208" spans="1:48" x14ac:dyDescent="0.3">
      <c r="B208" s="16" t="s">
        <v>39</v>
      </c>
      <c r="C208" s="18">
        <f>SQRT((C211+C212)/(C205*C205))</f>
        <v>0</v>
      </c>
      <c r="D208" s="18">
        <f>SQRT((D211+D212)/(D205*D205))</f>
        <v>1.5930693121278781</v>
      </c>
      <c r="E208" s="18">
        <f>SQRT((E211+E212)/(E205*E205))</f>
        <v>0.43495864529984768</v>
      </c>
      <c r="F208" s="18">
        <f>SQRT((F211+F212)/(F205*F205))</f>
        <v>0.55621075173164802</v>
      </c>
      <c r="G208" s="18">
        <f>SQRT((G211+G212)/(G205*G205))</f>
        <v>5.6283444057301422</v>
      </c>
      <c r="H208" s="1"/>
      <c r="S208" t="s">
        <v>30</v>
      </c>
      <c r="T208" s="57">
        <f>C584</f>
        <v>100</v>
      </c>
      <c r="U208" s="57">
        <f t="shared" si="35"/>
        <v>99.349363217173746</v>
      </c>
      <c r="V208" s="57">
        <f t="shared" si="35"/>
        <v>97.62407007498652</v>
      </c>
      <c r="W208" s="57">
        <f t="shared" si="35"/>
        <v>97.897298829659391</v>
      </c>
      <c r="X208" s="57">
        <f t="shared" si="35"/>
        <v>89.288235857647223</v>
      </c>
      <c r="AD208" s="51"/>
      <c r="AE208" s="51"/>
      <c r="AJ208" t="s">
        <v>633</v>
      </c>
      <c r="AK208">
        <v>13</v>
      </c>
      <c r="AL208" s="1">
        <v>219.49</v>
      </c>
      <c r="AM208" s="1">
        <v>172.28</v>
      </c>
      <c r="AN208">
        <v>3814.25</v>
      </c>
      <c r="AO208">
        <v>13393.32</v>
      </c>
      <c r="AP208" s="1">
        <v>2320.69</v>
      </c>
      <c r="AR208" s="1">
        <v>331.16</v>
      </c>
      <c r="AS208" s="1">
        <v>760.09</v>
      </c>
      <c r="AT208" s="1">
        <v>50113.06</v>
      </c>
      <c r="AU208" s="1">
        <v>27456.22</v>
      </c>
      <c r="AV208" s="1">
        <v>3176.44</v>
      </c>
    </row>
    <row r="209" spans="1:48" x14ac:dyDescent="0.3">
      <c r="B209" s="1" t="s">
        <v>37</v>
      </c>
      <c r="C209" s="18">
        <f>100-C207</f>
        <v>0</v>
      </c>
      <c r="D209" s="18">
        <f>100-D207</f>
        <v>2.6164755988761073</v>
      </c>
      <c r="E209" s="18">
        <f>100-E207</f>
        <v>2.6490199652622834</v>
      </c>
      <c r="F209" s="18">
        <f>100-F207</f>
        <v>1.5516584461269645</v>
      </c>
      <c r="G209" s="18">
        <f>100-G207</f>
        <v>15.869686904751546</v>
      </c>
      <c r="S209" s="66" t="s">
        <v>39</v>
      </c>
      <c r="T209" s="67">
        <f>C585</f>
        <v>0</v>
      </c>
      <c r="U209" s="67">
        <f t="shared" si="35"/>
        <v>0.64640350059457974</v>
      </c>
      <c r="V209" s="67">
        <f t="shared" si="35"/>
        <v>0.4113127700046087</v>
      </c>
      <c r="W209" s="67">
        <f t="shared" si="35"/>
        <v>0.64853159275504157</v>
      </c>
      <c r="X209" s="67">
        <f t="shared" si="35"/>
        <v>4.5942082806347289</v>
      </c>
      <c r="AD209" s="51"/>
      <c r="AE209" s="51"/>
      <c r="AJ209" t="s">
        <v>633</v>
      </c>
      <c r="AK209">
        <v>14</v>
      </c>
      <c r="AL209" s="1">
        <v>238.75</v>
      </c>
      <c r="AM209" s="1">
        <v>158.55000000000001</v>
      </c>
      <c r="AN209">
        <v>3948.54</v>
      </c>
      <c r="AO209">
        <v>13168.66</v>
      </c>
      <c r="AP209" s="1">
        <v>2405.5300000000002</v>
      </c>
      <c r="AR209" s="1">
        <v>362.84</v>
      </c>
      <c r="AS209" s="1">
        <v>660.09</v>
      </c>
      <c r="AT209" s="1">
        <v>50413.89</v>
      </c>
      <c r="AU209" s="1">
        <v>27045.03</v>
      </c>
      <c r="AV209" s="1">
        <v>3355.12</v>
      </c>
    </row>
    <row r="210" spans="1:48" ht="15.6" x14ac:dyDescent="0.35">
      <c r="B210" s="1" t="s">
        <v>25</v>
      </c>
      <c r="C210" s="1">
        <f>C194</f>
        <v>344</v>
      </c>
      <c r="D210" s="1">
        <f>D194</f>
        <v>49</v>
      </c>
      <c r="E210" s="1">
        <f>E194</f>
        <v>870</v>
      </c>
      <c r="F210" s="1">
        <f>F194</f>
        <v>419</v>
      </c>
      <c r="G210" s="1">
        <f>G194</f>
        <v>624</v>
      </c>
      <c r="S210" s="15" t="s">
        <v>31</v>
      </c>
      <c r="T210" s="71">
        <f>I577</f>
        <v>100</v>
      </c>
      <c r="U210" s="71">
        <f>I578</f>
        <v>100</v>
      </c>
      <c r="V210" s="71">
        <f>I579</f>
        <v>99.164345403899716</v>
      </c>
      <c r="W210" s="71">
        <f>I580</f>
        <v>96.508728179551113</v>
      </c>
      <c r="X210" s="71">
        <f>I581</f>
        <v>79.371069182389945</v>
      </c>
      <c r="AD210" s="51"/>
      <c r="AE210" s="51"/>
      <c r="AJ210" t="s">
        <v>633</v>
      </c>
      <c r="AK210">
        <v>15</v>
      </c>
      <c r="AL210" s="1">
        <v>224.33</v>
      </c>
      <c r="AM210" s="1">
        <v>103.33</v>
      </c>
      <c r="AN210">
        <v>4024.81</v>
      </c>
      <c r="AO210">
        <v>13217.56</v>
      </c>
      <c r="AP210" s="1">
        <v>2350</v>
      </c>
      <c r="AR210" s="1">
        <v>348.8</v>
      </c>
      <c r="AS210" s="1">
        <v>541.98</v>
      </c>
      <c r="AT210" s="1">
        <v>50765.919999999998</v>
      </c>
      <c r="AU210" s="1">
        <v>26939.46</v>
      </c>
      <c r="AV210" s="1">
        <v>3240.8</v>
      </c>
    </row>
    <row r="211" spans="1:48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0.5355824974864658</v>
      </c>
      <c r="E211" s="18">
        <f>(O202*O202*(100-E207)*(100-E207)*(I202)*(100-I202))/((L202-1)*100)</f>
        <v>25.835223203002055</v>
      </c>
      <c r="F211" s="18">
        <f>(O203*O203*(100-F207)*(100-F207)*(I203)*(100-I203))/((L203-1)*100)</f>
        <v>26.693044645205116</v>
      </c>
      <c r="G211" s="18">
        <f>(O204*O204*(100-G207)*(100-G207)*(I204)*(100-I204))/((L204-1)*100)</f>
        <v>86.685391604668538</v>
      </c>
      <c r="S211" s="75" t="s">
        <v>39</v>
      </c>
      <c r="T211" s="76">
        <f>J577</f>
        <v>0</v>
      </c>
      <c r="U211" s="76">
        <f>J578</f>
        <v>0</v>
      </c>
      <c r="V211" s="76">
        <f>J579</f>
        <v>0.33996295845078778</v>
      </c>
      <c r="W211" s="76">
        <f>J580</f>
        <v>0.91779382641286622</v>
      </c>
      <c r="X211" s="76">
        <f>J581</f>
        <v>1.4360158180103375</v>
      </c>
      <c r="AD211" s="51"/>
      <c r="AE211" s="51"/>
      <c r="AJ211" t="s">
        <v>633</v>
      </c>
      <c r="AK211">
        <v>16</v>
      </c>
      <c r="AL211" s="1">
        <v>222.79</v>
      </c>
      <c r="AM211" s="1">
        <v>132.6</v>
      </c>
      <c r="AN211">
        <v>3901.88</v>
      </c>
      <c r="AO211">
        <v>13317.41</v>
      </c>
      <c r="AP211" s="1">
        <v>2345.36</v>
      </c>
      <c r="AR211" s="1">
        <v>340.07</v>
      </c>
      <c r="AS211" s="1">
        <v>636.5</v>
      </c>
      <c r="AT211" s="1">
        <v>50190.93</v>
      </c>
      <c r="AU211" s="1">
        <v>27419.759999999998</v>
      </c>
      <c r="AV211" s="1">
        <v>3249.71</v>
      </c>
    </row>
    <row r="212" spans="1:48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0.94039753663669601</v>
      </c>
      <c r="E212" s="18">
        <f>E207*E207*(SUM((H200*E200*(1-E189/H189))/(H189-1),(H201*E201*(1-E190/H190))/(H190-1), (H203*E203*(1-E192/H192))/(H192-1),(H204*E204*(1-E193/H193))/(H193-1)))</f>
        <v>725.60720894405131</v>
      </c>
      <c r="F212" s="18">
        <f>F207*F207*(SUM((H200*F200*(1-F189/H189))/(H189-1),(H201*F201*(1-F190/H190))/(H190-1), (H202*F202*(1-F191/H191))/(H191-1),(H204*F204*(1-F193/H193))/(H193-1)))</f>
        <v>293.0566202624961</v>
      </c>
      <c r="G212" s="18">
        <f>G207*G207*(SUM((H200*G200*(1-G189/H189))/(H189-1),(H201*G201*(1-G190/H190))/(H190-1), (H202*G202*(1-G191/H191))/(H191-1),(H203*G203*(1-G192/H192))/(H192-1)))</f>
        <v>337.30028126576724</v>
      </c>
      <c r="S212" s="66" t="s">
        <v>51</v>
      </c>
      <c r="T212" s="67">
        <f>N566*100</f>
        <v>100</v>
      </c>
      <c r="U212" s="67">
        <f>N567*100</f>
        <v>98.969072164948457</v>
      </c>
      <c r="V212" s="67">
        <f>N568*100</f>
        <v>90.816326530612244</v>
      </c>
      <c r="W212" s="67">
        <f>N569*100</f>
        <v>93.478260869565204</v>
      </c>
      <c r="X212" s="67">
        <f>N570*100</f>
        <v>88.190076869322155</v>
      </c>
      <c r="AD212" s="51"/>
      <c r="AE212" s="51"/>
      <c r="AJ212" t="s">
        <v>633</v>
      </c>
      <c r="AK212">
        <v>17</v>
      </c>
      <c r="AL212" s="1">
        <v>214.27</v>
      </c>
      <c r="AM212" s="1">
        <v>169.23</v>
      </c>
      <c r="AN212">
        <v>3916.38</v>
      </c>
      <c r="AO212">
        <v>13295.81</v>
      </c>
      <c r="AP212" s="1">
        <v>2324.33</v>
      </c>
      <c r="AR212" s="1">
        <v>309.82</v>
      </c>
      <c r="AS212" s="1">
        <v>707.98</v>
      </c>
      <c r="AT212" s="1">
        <v>50476.81</v>
      </c>
      <c r="AU212" s="1">
        <v>27144.5</v>
      </c>
      <c r="AV212" s="1">
        <v>3197.86</v>
      </c>
    </row>
    <row r="213" spans="1:48" x14ac:dyDescent="0.3">
      <c r="R213" s="16" t="s">
        <v>61</v>
      </c>
      <c r="S213" t="s">
        <v>9</v>
      </c>
      <c r="T213" s="1">
        <f>N577</f>
        <v>340.7</v>
      </c>
      <c r="U213" s="1">
        <f>N578</f>
        <v>690.96</v>
      </c>
      <c r="V213" s="1">
        <f>N579</f>
        <v>49735.45</v>
      </c>
      <c r="W213" s="1">
        <f>N580</f>
        <v>27472.42</v>
      </c>
      <c r="X213" s="1">
        <f>N581</f>
        <v>3597.44</v>
      </c>
      <c r="Z213" t="s">
        <v>36</v>
      </c>
      <c r="AA213" s="1">
        <f>N582</f>
        <v>81836.97</v>
      </c>
      <c r="AD213" s="51"/>
      <c r="AE213" s="51"/>
      <c r="AJ213" t="s">
        <v>633</v>
      </c>
      <c r="AK213">
        <v>18</v>
      </c>
      <c r="AL213" s="1">
        <v>220.59</v>
      </c>
      <c r="AM213" s="1">
        <v>156.83000000000001</v>
      </c>
      <c r="AN213">
        <v>3842.77</v>
      </c>
      <c r="AO213">
        <v>13326.85</v>
      </c>
      <c r="AP213" s="1">
        <v>2372.9899999999998</v>
      </c>
      <c r="AR213" s="1">
        <v>334.31</v>
      </c>
      <c r="AS213" s="1">
        <v>647.76</v>
      </c>
      <c r="AT213" s="1">
        <v>50170.04</v>
      </c>
      <c r="AU213" s="1">
        <v>27389.599999999999</v>
      </c>
      <c r="AV213" s="1">
        <v>3295.26</v>
      </c>
    </row>
    <row r="214" spans="1:48" ht="15.6" x14ac:dyDescent="0.35">
      <c r="R214" s="16" t="s">
        <v>318</v>
      </c>
      <c r="S214" t="s">
        <v>63</v>
      </c>
      <c r="T214" s="57">
        <f>$AA213*T206/100</f>
        <v>340.7</v>
      </c>
      <c r="U214" s="57">
        <f>$AA213*U206/100</f>
        <v>695.48508176100631</v>
      </c>
      <c r="V214" s="57">
        <f>$AA213*V206/100</f>
        <v>50520.156953403522</v>
      </c>
      <c r="W214" s="57">
        <f>$AA213*W206/100</f>
        <v>27082.752495835008</v>
      </c>
      <c r="X214" s="57">
        <f>$AA213*X206/100</f>
        <v>3197.8754690004548</v>
      </c>
      <c r="Z214" t="s">
        <v>36</v>
      </c>
      <c r="AA214" s="25">
        <f>SUM(T214:X214)</f>
        <v>81836.969999999987</v>
      </c>
      <c r="AD214" s="51"/>
      <c r="AE214" s="51"/>
      <c r="AJ214" t="s">
        <v>633</v>
      </c>
      <c r="AK214">
        <v>19</v>
      </c>
      <c r="AL214" s="1">
        <v>228.14</v>
      </c>
      <c r="AM214" s="1">
        <v>164.56</v>
      </c>
      <c r="AN214">
        <v>3731.2</v>
      </c>
      <c r="AO214">
        <v>13262.49</v>
      </c>
      <c r="AP214" s="1">
        <v>2533.64</v>
      </c>
      <c r="AR214" s="1">
        <v>340.7</v>
      </c>
      <c r="AS214" s="1">
        <v>690.96</v>
      </c>
      <c r="AT214" s="1">
        <v>49735.45</v>
      </c>
      <c r="AU214" s="1">
        <v>27472.42</v>
      </c>
      <c r="AV214" s="1">
        <v>3597.44</v>
      </c>
    </row>
    <row r="215" spans="1:48" x14ac:dyDescent="0.3">
      <c r="A215" s="348" t="s">
        <v>378</v>
      </c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 t="s">
        <v>80</v>
      </c>
      <c r="M215" s="348"/>
      <c r="N215" s="348"/>
      <c r="O215" s="348"/>
      <c r="P215" s="348"/>
      <c r="R215" s="66"/>
      <c r="S215" s="66" t="s">
        <v>62</v>
      </c>
      <c r="T215" s="67">
        <f>$AA213*T207/100</f>
        <v>0</v>
      </c>
      <c r="U215" s="67">
        <f>$AA213*U207/100</f>
        <v>4.5222349021142421</v>
      </c>
      <c r="V215" s="67">
        <f>$AA213*V207/100</f>
        <v>268.43249154671332</v>
      </c>
      <c r="W215" s="67">
        <f>$AA213*W207/100</f>
        <v>304.3542198351816</v>
      </c>
      <c r="X215" s="67">
        <f>$AA213*X207/100</f>
        <v>160.75045179486696</v>
      </c>
      <c r="AA215" s="1"/>
      <c r="AD215" s="51"/>
      <c r="AE215" s="51"/>
      <c r="AQ215" t="s">
        <v>644</v>
      </c>
    </row>
    <row r="216" spans="1:48" x14ac:dyDescent="0.3">
      <c r="A216" t="s">
        <v>315</v>
      </c>
      <c r="B216" t="s">
        <v>21</v>
      </c>
      <c r="I216" s="1" t="s">
        <v>53</v>
      </c>
      <c r="O216" s="142"/>
      <c r="P216" s="142"/>
      <c r="AJ216" t="s">
        <v>644</v>
      </c>
      <c r="AK216">
        <v>0</v>
      </c>
      <c r="AL216" s="1">
        <v>1.58</v>
      </c>
      <c r="AM216" s="1">
        <v>15.56</v>
      </c>
      <c r="AN216">
        <v>1144.0999999999999</v>
      </c>
      <c r="AO216">
        <v>270</v>
      </c>
      <c r="AP216" s="1">
        <v>24.78</v>
      </c>
      <c r="AR216" s="1">
        <v>7.74</v>
      </c>
      <c r="AS216" s="1">
        <v>246.16</v>
      </c>
      <c r="AT216">
        <v>5106.07</v>
      </c>
      <c r="AU216">
        <v>663.87</v>
      </c>
      <c r="AV216" s="1">
        <v>133.84</v>
      </c>
    </row>
    <row r="217" spans="1:48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51</v>
      </c>
      <c r="O217" s="13"/>
      <c r="P217" s="13"/>
      <c r="AJ217" t="s">
        <v>644</v>
      </c>
      <c r="AK217">
        <v>1</v>
      </c>
      <c r="AL217" s="1">
        <v>1.58</v>
      </c>
      <c r="AM217" s="1">
        <v>18.47</v>
      </c>
      <c r="AN217">
        <v>1143.94</v>
      </c>
      <c r="AO217">
        <v>267.82</v>
      </c>
      <c r="AP217" s="1">
        <v>24.21</v>
      </c>
      <c r="AR217" s="1">
        <v>6.75</v>
      </c>
      <c r="AS217" s="1">
        <v>221.23</v>
      </c>
      <c r="AT217">
        <v>5150.4399999999996</v>
      </c>
      <c r="AU217">
        <v>655.95</v>
      </c>
      <c r="AV217" s="1">
        <v>123.31</v>
      </c>
    </row>
    <row r="218" spans="1:48" x14ac:dyDescent="0.3">
      <c r="A218" t="s">
        <v>3</v>
      </c>
      <c r="B218" s="13">
        <v>0</v>
      </c>
      <c r="C218" s="26">
        <v>335</v>
      </c>
      <c r="D218" s="3">
        <v>0</v>
      </c>
      <c r="E218" s="3">
        <v>0</v>
      </c>
      <c r="F218" s="3">
        <v>9</v>
      </c>
      <c r="G218" s="4">
        <v>0</v>
      </c>
      <c r="H218" s="1">
        <f>SUM(C218:G218)</f>
        <v>344</v>
      </c>
      <c r="I218" s="10">
        <f>C218/H218</f>
        <v>0.97383720930232553</v>
      </c>
      <c r="J218" s="11">
        <f>1-I218</f>
        <v>2.6162790697674465E-2</v>
      </c>
      <c r="K218">
        <f>H218-C223</f>
        <v>9</v>
      </c>
      <c r="N218" s="10">
        <f>2*(C224*I218)/(C224+I218)</f>
        <v>0.9867452135493372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644</v>
      </c>
      <c r="AK218">
        <v>2</v>
      </c>
      <c r="AL218" s="1">
        <v>1.58</v>
      </c>
      <c r="AM218" s="1">
        <v>20.76</v>
      </c>
      <c r="AN218">
        <v>1142.17</v>
      </c>
      <c r="AO218">
        <v>265.23</v>
      </c>
      <c r="AP218" s="1">
        <v>26.29</v>
      </c>
      <c r="AR218" s="1">
        <v>7.56</v>
      </c>
      <c r="AS218" s="1">
        <v>306.27999999999997</v>
      </c>
      <c r="AT218">
        <v>5054.13</v>
      </c>
      <c r="AU218">
        <v>642.9</v>
      </c>
      <c r="AV218" s="1">
        <v>146.80000000000001</v>
      </c>
    </row>
    <row r="219" spans="1:48" x14ac:dyDescent="0.3">
      <c r="A219" t="s">
        <v>4</v>
      </c>
      <c r="B219" s="13">
        <v>1</v>
      </c>
      <c r="C219" s="5">
        <v>0</v>
      </c>
      <c r="D219" s="27">
        <v>48</v>
      </c>
      <c r="E219" s="1">
        <v>0</v>
      </c>
      <c r="F219" s="1">
        <v>0</v>
      </c>
      <c r="G219" s="6">
        <v>0</v>
      </c>
      <c r="H219" s="1">
        <f>SUM(C219:G219)</f>
        <v>48</v>
      </c>
      <c r="I219" s="10">
        <f>D219/H219</f>
        <v>1</v>
      </c>
      <c r="J219" s="11">
        <f>1-I219</f>
        <v>0</v>
      </c>
      <c r="K219">
        <f>H219-D223</f>
        <v>-3</v>
      </c>
      <c r="N219" s="10">
        <f>2*(D224*I219)/(D224+I219)</f>
        <v>0.96969696969696972</v>
      </c>
      <c r="O219" s="1"/>
      <c r="P219" s="1"/>
      <c r="R219" t="s">
        <v>348</v>
      </c>
      <c r="S219" t="s">
        <v>28</v>
      </c>
      <c r="T219" s="57">
        <f>AVERAGE(T16,T26,T36,T46,T56,T66,T76,T86,T96,T106,T116,T126,T136,T146,T156,T166,T176,T186,T196,T206)</f>
        <v>0.41376088641850306</v>
      </c>
      <c r="U219" s="57">
        <f>AVERAGE(U16,U26,U36,U46,U56,U66,U76,U86,U96,U106,U116,U126,U136,U146,U156,U166,U176,U186,U196,U206)</f>
        <v>0.8268964443100385</v>
      </c>
      <c r="V219" s="57">
        <f>AVERAGE(V16,V26,V36,V46,V56,V66,V76,V86,V96,V106,V116,V126,V136,V146,V156,V166,V176,V186,V196,V206)</f>
        <v>62.605180825217836</v>
      </c>
      <c r="W219" s="57">
        <f>AVERAGE(W16,W26,W36,W46,W56,W66,W76,W86,W96,W106,W116,W126,W136,W146,W156,W166,W176,W186,W196,W206)</f>
        <v>32.403642584168402</v>
      </c>
      <c r="X219" s="57">
        <f>AVERAGE(X16,X26,X36,X46,X56,X66,X76,X86,X96,X106,X116,X126,X136,X146,X156,X166,X176,X186,X196,X206)</f>
        <v>3.7505192598852291</v>
      </c>
      <c r="AJ219" t="s">
        <v>644</v>
      </c>
      <c r="AK219">
        <v>3</v>
      </c>
      <c r="AL219" s="1">
        <v>1.58</v>
      </c>
      <c r="AM219" s="1">
        <v>16.59</v>
      </c>
      <c r="AN219">
        <v>1145.3399999999999</v>
      </c>
      <c r="AO219">
        <v>264.77</v>
      </c>
      <c r="AP219" s="1">
        <v>27.75</v>
      </c>
      <c r="AR219" s="1">
        <v>7.65</v>
      </c>
      <c r="AS219" s="1">
        <v>261.01</v>
      </c>
      <c r="AT219">
        <v>5102.6499999999996</v>
      </c>
      <c r="AU219">
        <v>644.07000000000005</v>
      </c>
      <c r="AV219" s="1">
        <v>142.30000000000001</v>
      </c>
    </row>
    <row r="220" spans="1:48" x14ac:dyDescent="0.3">
      <c r="A220" t="s">
        <v>5</v>
      </c>
      <c r="B220" s="13">
        <v>2</v>
      </c>
      <c r="C220" s="5">
        <v>0</v>
      </c>
      <c r="D220" s="1">
        <v>0</v>
      </c>
      <c r="E220" s="27">
        <v>712</v>
      </c>
      <c r="F220" s="1">
        <v>6</v>
      </c>
      <c r="G220" s="6">
        <v>0</v>
      </c>
      <c r="H220" s="1">
        <f>SUM(C220:G220)</f>
        <v>718</v>
      </c>
      <c r="I220" s="10">
        <f>E220/H220</f>
        <v>0.99164345403899723</v>
      </c>
      <c r="J220" s="11">
        <f>1-I220</f>
        <v>8.3565459610027704E-3</v>
      </c>
      <c r="K220">
        <f>H220-E223</f>
        <v>-143</v>
      </c>
      <c r="N220" s="10">
        <f>2*(E224*I220)/(E224+I220)</f>
        <v>0.90183660544648503</v>
      </c>
      <c r="O220" s="1"/>
      <c r="P220" s="1"/>
      <c r="S220" s="66" t="s">
        <v>39</v>
      </c>
      <c r="T220" s="67">
        <f t="shared" ref="T220:X228" si="36">AVERAGE(T17,T27,T37,T47,T57,T67,T77,T87,T97,T107,T117,T127,T137,T147,T157,T167,T177,T187,T197,T207)</f>
        <v>4.706867766517105E-3</v>
      </c>
      <c r="U220" s="67">
        <f t="shared" si="36"/>
        <v>1.7068149128043168E-2</v>
      </c>
      <c r="V220" s="67">
        <f t="shared" si="36"/>
        <v>0.31980308805587659</v>
      </c>
      <c r="W220" s="67">
        <f t="shared" si="36"/>
        <v>0.37866919261921012</v>
      </c>
      <c r="X220" s="67">
        <f t="shared" si="36"/>
        <v>0.22413301186445392</v>
      </c>
      <c r="AC220" t="s">
        <v>118</v>
      </c>
      <c r="AD220" t="s">
        <v>157</v>
      </c>
      <c r="AE220" t="s">
        <v>119</v>
      </c>
      <c r="AJ220" t="s">
        <v>644</v>
      </c>
      <c r="AK220">
        <v>4</v>
      </c>
      <c r="AL220" s="1">
        <v>1.58</v>
      </c>
      <c r="AM220" s="1">
        <v>13.69</v>
      </c>
      <c r="AN220">
        <v>1147.8699999999999</v>
      </c>
      <c r="AO220">
        <v>267.14</v>
      </c>
      <c r="AP220" s="1">
        <v>25.74</v>
      </c>
      <c r="AR220" s="1">
        <v>8.01</v>
      </c>
      <c r="AS220" s="1">
        <v>202.87</v>
      </c>
      <c r="AT220">
        <v>5148.37</v>
      </c>
      <c r="AU220">
        <v>662.7</v>
      </c>
      <c r="AV220" s="1">
        <v>135.72999999999999</v>
      </c>
    </row>
    <row r="221" spans="1:48" x14ac:dyDescent="0.3">
      <c r="A221" t="s">
        <v>6</v>
      </c>
      <c r="B221" s="13">
        <v>3</v>
      </c>
      <c r="C221" s="5">
        <v>0</v>
      </c>
      <c r="D221" s="1">
        <v>0</v>
      </c>
      <c r="E221" s="1">
        <v>8</v>
      </c>
      <c r="F221" s="27">
        <v>386</v>
      </c>
      <c r="G221" s="6">
        <v>7</v>
      </c>
      <c r="H221" s="1">
        <f>SUM(C221:G221)</f>
        <v>401</v>
      </c>
      <c r="I221" s="10">
        <f>F221/H221</f>
        <v>0.96259351620947631</v>
      </c>
      <c r="J221" s="11">
        <f>1-I221</f>
        <v>3.7406483790523692E-2</v>
      </c>
      <c r="K221">
        <f>H221-F223</f>
        <v>-27</v>
      </c>
      <c r="N221" s="10">
        <f>2*(F224*I221)/(F224+I221)</f>
        <v>0.93124246079613993</v>
      </c>
      <c r="O221" s="1"/>
      <c r="P221" s="1"/>
      <c r="S221" t="s">
        <v>30</v>
      </c>
      <c r="T221" s="57">
        <f t="shared" si="36"/>
        <v>99.119499807698688</v>
      </c>
      <c r="U221" s="57">
        <f t="shared" si="36"/>
        <v>97.816064187066928</v>
      </c>
      <c r="V221" s="57">
        <f t="shared" si="36"/>
        <v>97.587213919068617</v>
      </c>
      <c r="W221" s="57">
        <f t="shared" si="36"/>
        <v>98.261356405011142</v>
      </c>
      <c r="X221" s="57">
        <f t="shared" si="36"/>
        <v>84.471013125687421</v>
      </c>
      <c r="AB221">
        <v>0</v>
      </c>
      <c r="AC221">
        <v>31</v>
      </c>
      <c r="AD221">
        <v>26</v>
      </c>
      <c r="AE221">
        <v>15</v>
      </c>
      <c r="AJ221" t="s">
        <v>644</v>
      </c>
      <c r="AK221">
        <v>5</v>
      </c>
      <c r="AL221" s="1">
        <v>1.58</v>
      </c>
      <c r="AM221" s="1">
        <v>16.87</v>
      </c>
      <c r="AN221">
        <v>1144.0999999999999</v>
      </c>
      <c r="AO221">
        <v>267.64</v>
      </c>
      <c r="AP221" s="1">
        <v>25.83</v>
      </c>
      <c r="AR221" s="1">
        <v>7.29</v>
      </c>
      <c r="AS221" s="1">
        <v>291.7</v>
      </c>
      <c r="AT221">
        <v>5064.4799999999996</v>
      </c>
      <c r="AU221">
        <v>659.19</v>
      </c>
      <c r="AV221" s="1">
        <v>135.01</v>
      </c>
    </row>
    <row r="222" spans="1:48" x14ac:dyDescent="0.3">
      <c r="A222" t="s">
        <v>7</v>
      </c>
      <c r="B222" s="13">
        <v>4</v>
      </c>
      <c r="C222" s="7">
        <v>0</v>
      </c>
      <c r="D222" s="8">
        <v>3</v>
      </c>
      <c r="E222" s="8">
        <v>141</v>
      </c>
      <c r="F222" s="8">
        <v>27</v>
      </c>
      <c r="G222" s="28">
        <v>624</v>
      </c>
      <c r="H222" s="1">
        <f>SUM(C222:G222)</f>
        <v>795</v>
      </c>
      <c r="I222" s="10">
        <f>G222/H222</f>
        <v>0.78490566037735854</v>
      </c>
      <c r="J222" s="11">
        <f>1-I222</f>
        <v>0.21509433962264146</v>
      </c>
      <c r="K222">
        <f>H222-G223</f>
        <v>164</v>
      </c>
      <c r="N222" s="10">
        <f>2*(G224*I222)/(G224+I222)</f>
        <v>0.87517531556802231</v>
      </c>
      <c r="O222" s="1"/>
      <c r="P222" s="1"/>
      <c r="S222" s="66" t="s">
        <v>39</v>
      </c>
      <c r="T222" s="67">
        <f t="shared" si="36"/>
        <v>1.7013731457819727</v>
      </c>
      <c r="U222" s="67">
        <f t="shared" si="36"/>
        <v>1.5785550027700972</v>
      </c>
      <c r="V222" s="67">
        <f t="shared" si="36"/>
        <v>0.40630962166341095</v>
      </c>
      <c r="W222" s="67">
        <f t="shared" si="36"/>
        <v>0.59905732451010629</v>
      </c>
      <c r="X222" s="67">
        <f t="shared" si="36"/>
        <v>5.4059606431395686</v>
      </c>
      <c r="AB222">
        <v>1</v>
      </c>
      <c r="AC222">
        <v>60</v>
      </c>
      <c r="AD222">
        <v>55</v>
      </c>
      <c r="AE222">
        <v>44</v>
      </c>
      <c r="AJ222" t="s">
        <v>644</v>
      </c>
      <c r="AK222">
        <v>6</v>
      </c>
      <c r="AL222" s="1">
        <v>1.58</v>
      </c>
      <c r="AM222" s="1">
        <v>15.24</v>
      </c>
      <c r="AN222">
        <v>1147.78</v>
      </c>
      <c r="AO222">
        <v>266.76</v>
      </c>
      <c r="AP222" s="1">
        <v>24.66</v>
      </c>
      <c r="AR222" s="1">
        <v>7.56</v>
      </c>
      <c r="AS222" s="1">
        <v>261.82</v>
      </c>
      <c r="AT222">
        <v>5096.4399999999996</v>
      </c>
      <c r="AU222">
        <v>656.13</v>
      </c>
      <c r="AV222" s="1">
        <v>135.72999999999999</v>
      </c>
    </row>
    <row r="223" spans="1:48" ht="15.6" x14ac:dyDescent="0.35">
      <c r="B223" s="1" t="s">
        <v>19</v>
      </c>
      <c r="C223" s="1">
        <f>SUM(C218:C222)</f>
        <v>335</v>
      </c>
      <c r="D223" s="1">
        <f>SUM(D218:D222)</f>
        <v>51</v>
      </c>
      <c r="E223" s="1">
        <f>SUM(E218:E222)</f>
        <v>861</v>
      </c>
      <c r="F223" s="1">
        <f>SUM(F218:F222)</f>
        <v>428</v>
      </c>
      <c r="G223" s="1">
        <f>SUM(G218:G222)</f>
        <v>631</v>
      </c>
      <c r="H223" s="1">
        <f>SUM(H217:H222)</f>
        <v>2306</v>
      </c>
      <c r="I223" s="13" t="s">
        <v>12</v>
      </c>
      <c r="N223" s="16"/>
      <c r="O223" s="1"/>
      <c r="P223" s="1"/>
      <c r="S223" s="15" t="s">
        <v>31</v>
      </c>
      <c r="T223" s="71">
        <f t="shared" si="36"/>
        <v>98.938953488372093</v>
      </c>
      <c r="U223" s="71">
        <f t="shared" si="36"/>
        <v>99.479166666666671</v>
      </c>
      <c r="V223" s="71">
        <f t="shared" si="36"/>
        <v>99.296657381615574</v>
      </c>
      <c r="W223" s="71">
        <f t="shared" si="36"/>
        <v>95.897755610972567</v>
      </c>
      <c r="X223" s="71">
        <f t="shared" si="36"/>
        <v>78.050314465408789</v>
      </c>
      <c r="AB223">
        <v>2</v>
      </c>
      <c r="AC223">
        <v>89</v>
      </c>
      <c r="AD223">
        <v>84</v>
      </c>
      <c r="AE223">
        <v>73</v>
      </c>
      <c r="AJ223" t="s">
        <v>644</v>
      </c>
      <c r="AK223">
        <v>7</v>
      </c>
      <c r="AL223" s="1">
        <v>1.58</v>
      </c>
      <c r="AM223" s="1">
        <v>15.63</v>
      </c>
      <c r="AN223">
        <v>1144.02</v>
      </c>
      <c r="AO223">
        <v>269.56</v>
      </c>
      <c r="AP223" s="1">
        <v>25.23</v>
      </c>
      <c r="AR223" s="1">
        <v>7.47</v>
      </c>
      <c r="AS223" s="1">
        <v>262.89999999999998</v>
      </c>
      <c r="AT223">
        <v>5096.3500000000004</v>
      </c>
      <c r="AU223">
        <v>663.51</v>
      </c>
      <c r="AV223" s="1">
        <v>127.45</v>
      </c>
    </row>
    <row r="224" spans="1:48" x14ac:dyDescent="0.3">
      <c r="A224" s="1" t="s">
        <v>316</v>
      </c>
      <c r="B224" s="1" t="s">
        <v>2</v>
      </c>
      <c r="C224" s="10">
        <f>C218/C223</f>
        <v>1</v>
      </c>
      <c r="D224" s="10">
        <f>D219/D223</f>
        <v>0.94117647058823528</v>
      </c>
      <c r="E224" s="10">
        <f>E220/E223</f>
        <v>0.82694541231126595</v>
      </c>
      <c r="F224" s="10">
        <f>F221/F223</f>
        <v>0.90186915887850472</v>
      </c>
      <c r="G224" s="10">
        <f>G222/G223</f>
        <v>0.9889064976228209</v>
      </c>
      <c r="H224" s="10"/>
      <c r="I224" s="14">
        <f>(C218+D219+E220+F221+G222)/H223</f>
        <v>0.91283607979184733</v>
      </c>
      <c r="S224" s="75" t="s">
        <v>39</v>
      </c>
      <c r="T224" s="76">
        <f t="shared" si="36"/>
        <v>0.2205963001345288</v>
      </c>
      <c r="U224" s="76">
        <f t="shared" si="36"/>
        <v>0.38487479672896863</v>
      </c>
      <c r="V224" s="76">
        <f t="shared" si="36"/>
        <v>0.31018552202215355</v>
      </c>
      <c r="W224" s="76">
        <f t="shared" si="36"/>
        <v>0.98788394655700207</v>
      </c>
      <c r="X224" s="76">
        <f t="shared" si="36"/>
        <v>1.4684949002174135</v>
      </c>
      <c r="AB224">
        <v>3</v>
      </c>
      <c r="AC224">
        <v>118</v>
      </c>
      <c r="AD224">
        <v>113</v>
      </c>
      <c r="AE224">
        <v>102</v>
      </c>
      <c r="AJ224" t="s">
        <v>644</v>
      </c>
      <c r="AK224">
        <v>8</v>
      </c>
      <c r="AL224" s="1">
        <v>1.58</v>
      </c>
      <c r="AM224" s="1">
        <v>14.45</v>
      </c>
      <c r="AN224">
        <v>1143.42</v>
      </c>
      <c r="AO224">
        <v>267.89</v>
      </c>
      <c r="AP224" s="1">
        <v>28.69</v>
      </c>
      <c r="AR224" s="1">
        <v>6.66</v>
      </c>
      <c r="AS224" s="1">
        <v>234.91</v>
      </c>
      <c r="AT224">
        <v>5116.6899999999996</v>
      </c>
      <c r="AU224">
        <v>648.66</v>
      </c>
      <c r="AV224" s="1">
        <v>150.76</v>
      </c>
    </row>
    <row r="225" spans="1:48" x14ac:dyDescent="0.3">
      <c r="B225" s="1" t="s">
        <v>14</v>
      </c>
      <c r="C225" s="11">
        <f>1-C224</f>
        <v>0</v>
      </c>
      <c r="D225" s="11">
        <f>1-D224</f>
        <v>5.8823529411764719E-2</v>
      </c>
      <c r="E225" s="11">
        <f>1-E224</f>
        <v>0.17305458768873405</v>
      </c>
      <c r="F225" s="11">
        <f>1-F224</f>
        <v>9.8130841121495282E-2</v>
      </c>
      <c r="G225" s="11">
        <f>1-G224</f>
        <v>1.1093502377179099E-2</v>
      </c>
      <c r="S225" s="66" t="s">
        <v>51</v>
      </c>
      <c r="T225" s="67">
        <f t="shared" si="36"/>
        <v>99.435615953274237</v>
      </c>
      <c r="U225" s="67">
        <f t="shared" si="36"/>
        <v>97.510446222626214</v>
      </c>
      <c r="V225" s="67">
        <f t="shared" si="36"/>
        <v>89.984498788903764</v>
      </c>
      <c r="W225" s="67">
        <f t="shared" si="36"/>
        <v>93.540278479465798</v>
      </c>
      <c r="X225" s="67">
        <f t="shared" si="36"/>
        <v>87.229692402786085</v>
      </c>
      <c r="AB225">
        <v>4</v>
      </c>
      <c r="AC225">
        <v>147</v>
      </c>
      <c r="AD225">
        <v>142</v>
      </c>
      <c r="AE225">
        <v>131</v>
      </c>
      <c r="AJ225" t="s">
        <v>644</v>
      </c>
      <c r="AK225">
        <v>9</v>
      </c>
      <c r="AL225" s="1">
        <v>1.58</v>
      </c>
      <c r="AM225" s="1">
        <v>14.56</v>
      </c>
      <c r="AN225">
        <v>1147.52</v>
      </c>
      <c r="AO225">
        <v>268.32</v>
      </c>
      <c r="AP225" s="1">
        <v>24.05</v>
      </c>
      <c r="AR225" s="1">
        <v>7.65</v>
      </c>
      <c r="AS225" s="1">
        <v>242.02</v>
      </c>
      <c r="AT225">
        <v>5115.97</v>
      </c>
      <c r="AU225">
        <v>668.19</v>
      </c>
      <c r="AV225" s="1">
        <v>123.85</v>
      </c>
    </row>
    <row r="226" spans="1:48" x14ac:dyDescent="0.3">
      <c r="C226" s="2"/>
      <c r="R226" s="16" t="s">
        <v>61</v>
      </c>
      <c r="S226" t="s">
        <v>9</v>
      </c>
      <c r="T226" s="1">
        <f t="shared" si="36"/>
        <v>339.03799999999995</v>
      </c>
      <c r="U226" s="1">
        <f t="shared" si="36"/>
        <v>664.53300000000002</v>
      </c>
      <c r="V226" s="1">
        <f t="shared" si="36"/>
        <v>50351.827000000005</v>
      </c>
      <c r="W226" s="1">
        <f t="shared" si="36"/>
        <v>27170.882000000001</v>
      </c>
      <c r="X226" s="1">
        <f t="shared" si="36"/>
        <v>3310.6880000000006</v>
      </c>
      <c r="AB226">
        <v>5</v>
      </c>
      <c r="AC226">
        <v>176</v>
      </c>
      <c r="AD226">
        <v>171</v>
      </c>
      <c r="AE226">
        <v>160</v>
      </c>
      <c r="AJ226" t="s">
        <v>644</v>
      </c>
      <c r="AK226">
        <v>10</v>
      </c>
      <c r="AL226" s="1">
        <v>1.58</v>
      </c>
      <c r="AM226" s="1">
        <v>14.41</v>
      </c>
      <c r="AN226">
        <v>1146.23</v>
      </c>
      <c r="AO226">
        <v>268.27999999999997</v>
      </c>
      <c r="AP226" s="1">
        <v>25.52</v>
      </c>
      <c r="AR226" s="1">
        <v>7.38</v>
      </c>
      <c r="AS226" s="1">
        <v>235.63</v>
      </c>
      <c r="AT226">
        <v>5116.78</v>
      </c>
      <c r="AU226">
        <v>659.55</v>
      </c>
      <c r="AV226" s="1">
        <v>138.34</v>
      </c>
    </row>
    <row r="227" spans="1:48" ht="15.6" x14ac:dyDescent="0.35">
      <c r="A227" t="s">
        <v>317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318</v>
      </c>
      <c r="S227" t="s">
        <v>63</v>
      </c>
      <c r="T227" s="57">
        <f>AVERAGE(T24,T34,T44,T54,T64,T74,T84,T94,T104,T114,T124,T134,T144,T154,T164,T174,T184,T194,T204,T214)</f>
        <v>338.60936445224149</v>
      </c>
      <c r="U227" s="57">
        <f t="shared" si="36"/>
        <v>676.70697900461005</v>
      </c>
      <c r="V227" s="57">
        <f t="shared" si="36"/>
        <v>51234.181801277417</v>
      </c>
      <c r="W227" s="57">
        <f t="shared" si="36"/>
        <v>26518.158612528245</v>
      </c>
      <c r="X227" s="57">
        <f t="shared" si="36"/>
        <v>3069.3112427374745</v>
      </c>
      <c r="AB227">
        <v>6</v>
      </c>
      <c r="AC227">
        <v>205</v>
      </c>
      <c r="AD227">
        <v>200</v>
      </c>
      <c r="AE227">
        <v>189</v>
      </c>
      <c r="AJ227" t="s">
        <v>644</v>
      </c>
      <c r="AK227">
        <v>11</v>
      </c>
      <c r="AL227" s="1">
        <v>1.58</v>
      </c>
      <c r="AM227" s="1">
        <v>17.989999999999998</v>
      </c>
      <c r="AN227">
        <v>1138.3900000000001</v>
      </c>
      <c r="AO227">
        <v>273.42</v>
      </c>
      <c r="AP227" s="1">
        <v>24.65</v>
      </c>
      <c r="AR227" s="1">
        <v>7.38</v>
      </c>
      <c r="AS227" s="1">
        <v>282.07</v>
      </c>
      <c r="AT227">
        <v>5061.0600000000004</v>
      </c>
      <c r="AU227">
        <v>679.98</v>
      </c>
      <c r="AV227" s="1">
        <v>127.18</v>
      </c>
    </row>
    <row r="228" spans="1:48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62</v>
      </c>
      <c r="T228" s="67">
        <f>AVERAGE(T25,T35,T45,T55,T65,T75,T85,T95,T105,T115,T125,T135,T145,T155,T165,T175,T185,T195,T205,T215)</f>
        <v>3.8519579290721735</v>
      </c>
      <c r="U228" s="67">
        <f t="shared" si="36"/>
        <v>13.968055858315992</v>
      </c>
      <c r="V228" s="67">
        <f t="shared" si="36"/>
        <v>261.71715096037133</v>
      </c>
      <c r="W228" s="67">
        <f t="shared" si="36"/>
        <v>309.89138614080588</v>
      </c>
      <c r="X228" s="67">
        <f t="shared" si="36"/>
        <v>183.42366104971154</v>
      </c>
      <c r="AB228">
        <v>7</v>
      </c>
      <c r="AC228">
        <v>234</v>
      </c>
      <c r="AD228">
        <v>229</v>
      </c>
      <c r="AE228">
        <v>218</v>
      </c>
      <c r="AJ228" t="s">
        <v>644</v>
      </c>
      <c r="AK228">
        <v>12</v>
      </c>
      <c r="AL228" s="1">
        <v>1.58</v>
      </c>
      <c r="AM228" s="1">
        <v>20.85</v>
      </c>
      <c r="AN228">
        <v>1136.19</v>
      </c>
      <c r="AO228">
        <v>270.33</v>
      </c>
      <c r="AP228" s="1">
        <v>27.07</v>
      </c>
      <c r="AR228" s="1">
        <v>7.65</v>
      </c>
      <c r="AS228" s="1">
        <v>299.62</v>
      </c>
      <c r="AT228">
        <v>5049</v>
      </c>
      <c r="AU228">
        <v>655.68</v>
      </c>
      <c r="AV228" s="1">
        <v>145.72</v>
      </c>
    </row>
    <row r="229" spans="1:48" x14ac:dyDescent="0.3">
      <c r="A229" t="s">
        <v>3</v>
      </c>
      <c r="B229" s="13">
        <v>0</v>
      </c>
      <c r="C229" s="29">
        <f>(C218/$L229)*$O229</f>
        <v>0.41613333644483275</v>
      </c>
      <c r="D229" s="31">
        <f>(D218/$L229)*$O229</f>
        <v>0</v>
      </c>
      <c r="E229" s="31">
        <f>(E218/$L229)*$O229</f>
        <v>0</v>
      </c>
      <c r="F229" s="31">
        <f>(F218/$L229)*$O229</f>
        <v>1.1179701576129837E-2</v>
      </c>
      <c r="G229" s="32">
        <f>(G218/$L229)*$O229</f>
        <v>0</v>
      </c>
      <c r="H229" s="17">
        <f>SUM(C229:G229)</f>
        <v>0.4273130380209626</v>
      </c>
      <c r="I229" s="17">
        <f>C229/H229*100</f>
        <v>97.383720930232556</v>
      </c>
      <c r="J229" s="17">
        <f>SQRT(I229*(100-I229)/(L229-1))</f>
        <v>0.86186283906999928</v>
      </c>
      <c r="K229" s="18">
        <f>100-I229</f>
        <v>2.6162790697674438</v>
      </c>
      <c r="L229" s="1">
        <f>H218</f>
        <v>344</v>
      </c>
      <c r="M229">
        <v>0</v>
      </c>
      <c r="N229" s="1">
        <v>349.7</v>
      </c>
      <c r="O229" s="17">
        <f>N229/N234*100</f>
        <v>0.4273130380209626</v>
      </c>
      <c r="P229" s="52">
        <f>((O229*O229*(I229/100)*(K229/100))/(L229-1))</f>
        <v>1.3563400925167543E-5</v>
      </c>
      <c r="AB229">
        <v>8</v>
      </c>
      <c r="AC229">
        <v>263</v>
      </c>
      <c r="AD229">
        <v>258</v>
      </c>
      <c r="AE229">
        <v>247</v>
      </c>
      <c r="AJ229" t="s">
        <v>644</v>
      </c>
      <c r="AK229">
        <v>13</v>
      </c>
      <c r="AL229" s="1">
        <v>1.58</v>
      </c>
      <c r="AM229" s="1">
        <v>17.649999999999999</v>
      </c>
      <c r="AN229">
        <v>1140.3499999999999</v>
      </c>
      <c r="AO229">
        <v>271.70999999999998</v>
      </c>
      <c r="AP229" s="1">
        <v>24.73</v>
      </c>
      <c r="AR229" s="1">
        <v>7.92</v>
      </c>
      <c r="AS229" s="1">
        <v>229.87</v>
      </c>
      <c r="AT229">
        <v>5110.93</v>
      </c>
      <c r="AU229">
        <v>666.39</v>
      </c>
      <c r="AV229" s="1">
        <v>142.57</v>
      </c>
    </row>
    <row r="230" spans="1:48" x14ac:dyDescent="0.3">
      <c r="A230" t="s">
        <v>4</v>
      </c>
      <c r="B230" s="13">
        <v>1</v>
      </c>
      <c r="C230" s="33">
        <f t="shared" ref="C230:G233" si="37">(C219/$L230)*$O230</f>
        <v>0</v>
      </c>
      <c r="D230" s="34">
        <f t="shared" si="37"/>
        <v>0.87334622400441075</v>
      </c>
      <c r="E230" s="19">
        <f t="shared" si="37"/>
        <v>0</v>
      </c>
      <c r="F230" s="18">
        <f t="shared" si="37"/>
        <v>0</v>
      </c>
      <c r="G230" s="20">
        <f t="shared" si="37"/>
        <v>0</v>
      </c>
      <c r="H230" s="17">
        <f>SUM(C230:G230)</f>
        <v>0.87334622400441075</v>
      </c>
      <c r="I230" s="17">
        <f>D230/H230*100</f>
        <v>100</v>
      </c>
      <c r="J230" s="17">
        <f>SQRT(I230*(100-I230)/(L230-1))</f>
        <v>0</v>
      </c>
      <c r="K230" s="18">
        <f>100-I230</f>
        <v>0</v>
      </c>
      <c r="L230" s="1">
        <f>H219</f>
        <v>48</v>
      </c>
      <c r="M230">
        <v>1</v>
      </c>
      <c r="N230" s="1">
        <v>714.72</v>
      </c>
      <c r="O230" s="17">
        <f>N230/N234*100</f>
        <v>0.87334622400441075</v>
      </c>
      <c r="P230" s="52">
        <f>((O230*O230*(I230/100)*(K230/100))/(L230-1))</f>
        <v>0</v>
      </c>
      <c r="S230" t="s">
        <v>64</v>
      </c>
      <c r="T230" s="1" t="s">
        <v>639</v>
      </c>
      <c r="U230" s="1" t="s">
        <v>640</v>
      </c>
      <c r="V230" s="1" t="s">
        <v>641</v>
      </c>
      <c r="W230" s="1" t="s">
        <v>642</v>
      </c>
      <c r="X230" s="1" t="s">
        <v>643</v>
      </c>
      <c r="AB230">
        <v>9</v>
      </c>
      <c r="AC230">
        <v>292</v>
      </c>
      <c r="AD230">
        <v>287</v>
      </c>
      <c r="AE230">
        <v>276</v>
      </c>
      <c r="AJ230" t="s">
        <v>644</v>
      </c>
      <c r="AK230">
        <v>14</v>
      </c>
      <c r="AL230" s="1">
        <v>1.58</v>
      </c>
      <c r="AM230" s="1">
        <v>15.7</v>
      </c>
      <c r="AN230">
        <v>1143.97</v>
      </c>
      <c r="AO230">
        <v>271.82</v>
      </c>
      <c r="AP230" s="1">
        <v>22.95</v>
      </c>
      <c r="AR230" s="1">
        <v>8.5500000000000007</v>
      </c>
      <c r="AS230" s="1">
        <v>219.79</v>
      </c>
      <c r="AT230">
        <v>5143.87</v>
      </c>
      <c r="AU230">
        <v>657.21</v>
      </c>
      <c r="AV230" s="1">
        <v>128.26</v>
      </c>
    </row>
    <row r="231" spans="1:48" x14ac:dyDescent="0.3">
      <c r="A231" t="s">
        <v>5</v>
      </c>
      <c r="B231" s="13">
        <v>2</v>
      </c>
      <c r="C231" s="33">
        <f t="shared" si="37"/>
        <v>0</v>
      </c>
      <c r="D231" s="19">
        <f t="shared" si="37"/>
        <v>0</v>
      </c>
      <c r="E231" s="34">
        <f t="shared" si="37"/>
        <v>60.773158761934631</v>
      </c>
      <c r="F231" s="19">
        <f t="shared" si="37"/>
        <v>0.51213336035338175</v>
      </c>
      <c r="G231" s="20">
        <f t="shared" si="37"/>
        <v>0</v>
      </c>
      <c r="H231" s="17">
        <f>SUM(C231:G231)</f>
        <v>61.285292122288013</v>
      </c>
      <c r="I231" s="17">
        <f>E231/H231*100</f>
        <v>99.164345403899716</v>
      </c>
      <c r="J231" s="17">
        <f>SQRT(I231*(100-I231)/(L231-1))</f>
        <v>0.33996295845078778</v>
      </c>
      <c r="K231" s="18">
        <f>100-I231</f>
        <v>0.8356545961002837</v>
      </c>
      <c r="L231" s="1">
        <f>H220</f>
        <v>718</v>
      </c>
      <c r="M231">
        <v>2</v>
      </c>
      <c r="N231" s="1">
        <v>50154.02</v>
      </c>
      <c r="O231" s="17">
        <f>N231/N234*100</f>
        <v>61.285292122288013</v>
      </c>
      <c r="P231" s="52">
        <f>((O231*O231*(I231/100)*(K231/100))/(L231-1))</f>
        <v>4.3408594164629472E-2</v>
      </c>
      <c r="T231" s="57">
        <f>T24</f>
        <v>328.55</v>
      </c>
      <c r="U231" s="57">
        <f>U24</f>
        <v>673.68849056603779</v>
      </c>
      <c r="V231" s="57">
        <f>V24</f>
        <v>51340.743292802057</v>
      </c>
      <c r="W231" s="57">
        <f>W24</f>
        <v>26416.059911921984</v>
      </c>
      <c r="X231" s="57">
        <f>X24</f>
        <v>3077.9283047099239</v>
      </c>
      <c r="AB231">
        <v>10</v>
      </c>
      <c r="AC231">
        <v>321</v>
      </c>
      <c r="AD231">
        <v>316</v>
      </c>
      <c r="AE231">
        <v>305</v>
      </c>
      <c r="AJ231" t="s">
        <v>644</v>
      </c>
      <c r="AK231">
        <v>15</v>
      </c>
      <c r="AL231" s="1">
        <v>1.58</v>
      </c>
      <c r="AM231" s="1">
        <v>14.69</v>
      </c>
      <c r="AN231">
        <v>1148.73</v>
      </c>
      <c r="AO231">
        <v>266.76</v>
      </c>
      <c r="AP231" s="1">
        <v>24.26</v>
      </c>
      <c r="AR231" s="1">
        <v>7.92</v>
      </c>
      <c r="AS231" s="1">
        <v>215.02</v>
      </c>
      <c r="AT231">
        <v>5154.49</v>
      </c>
      <c r="AU231">
        <v>653.61</v>
      </c>
      <c r="AV231" s="1">
        <v>126.64</v>
      </c>
    </row>
    <row r="232" spans="1:48" x14ac:dyDescent="0.3">
      <c r="A232" t="s">
        <v>6</v>
      </c>
      <c r="B232" s="13">
        <v>3</v>
      </c>
      <c r="C232" s="33">
        <f t="shared" si="37"/>
        <v>0</v>
      </c>
      <c r="D232" s="19">
        <f t="shared" si="37"/>
        <v>0</v>
      </c>
      <c r="E232" s="19">
        <f t="shared" si="37"/>
        <v>0.66691960841053033</v>
      </c>
      <c r="F232" s="34">
        <f t="shared" si="37"/>
        <v>32.178871105808085</v>
      </c>
      <c r="G232" s="20">
        <f t="shared" si="37"/>
        <v>0.58355465735921397</v>
      </c>
      <c r="H232" s="17">
        <f>SUM(C232:G232)</f>
        <v>33.429345371577831</v>
      </c>
      <c r="I232" s="17">
        <f>F232/H232*100</f>
        <v>96.259351620947626</v>
      </c>
      <c r="J232" s="17">
        <f>SQRT(I232*(100-I232)/(L232-1))</f>
        <v>0.94877867230657409</v>
      </c>
      <c r="K232" s="18">
        <f>100-I232</f>
        <v>3.7406483790523737</v>
      </c>
      <c r="L232" s="1">
        <f>H221</f>
        <v>401</v>
      </c>
      <c r="M232">
        <v>3</v>
      </c>
      <c r="N232" s="1">
        <v>27357.56</v>
      </c>
      <c r="O232" s="17">
        <f>N232/N234*100</f>
        <v>33.429345371577831</v>
      </c>
      <c r="P232" s="52">
        <f>((O232*O232*(I232/100)*(K232/100))/(L232-1))</f>
        <v>0.10059712554833662</v>
      </c>
      <c r="T232" s="57">
        <f>T34</f>
        <v>336.64999999999992</v>
      </c>
      <c r="U232" s="57">
        <f>U34</f>
        <v>780.51793158612918</v>
      </c>
      <c r="V232" s="57">
        <f>V34</f>
        <v>51297.432184191057</v>
      </c>
      <c r="W232" s="57">
        <f>W34</f>
        <v>26507.538891421776</v>
      </c>
      <c r="X232" s="57">
        <f>X34</f>
        <v>2914.8309928010167</v>
      </c>
      <c r="AB232">
        <v>11</v>
      </c>
      <c r="AC232">
        <v>350</v>
      </c>
      <c r="AD232">
        <v>345</v>
      </c>
      <c r="AE232">
        <v>334</v>
      </c>
      <c r="AJ232" t="s">
        <v>644</v>
      </c>
      <c r="AK232">
        <v>16</v>
      </c>
      <c r="AL232" s="1">
        <v>1.58</v>
      </c>
      <c r="AM232" s="1">
        <v>16.2</v>
      </c>
      <c r="AN232">
        <v>1140.56</v>
      </c>
      <c r="AO232">
        <v>273.57</v>
      </c>
      <c r="AP232" s="1">
        <v>24.12</v>
      </c>
      <c r="AR232" s="1">
        <v>7.56</v>
      </c>
      <c r="AS232" s="1">
        <v>255.07</v>
      </c>
      <c r="AT232">
        <v>5090.95</v>
      </c>
      <c r="AU232">
        <v>677.19</v>
      </c>
      <c r="AV232" s="1">
        <v>126.91</v>
      </c>
    </row>
    <row r="233" spans="1:48" x14ac:dyDescent="0.3">
      <c r="A233" t="s">
        <v>7</v>
      </c>
      <c r="B233" s="13">
        <v>4</v>
      </c>
      <c r="C233" s="35">
        <f t="shared" si="37"/>
        <v>0</v>
      </c>
      <c r="D233" s="36">
        <f t="shared" si="37"/>
        <v>1.5036616015504808E-2</v>
      </c>
      <c r="E233" s="21">
        <f t="shared" si="37"/>
        <v>0.70672095272872593</v>
      </c>
      <c r="F233" s="21">
        <f t="shared" si="37"/>
        <v>0.13532954413954326</v>
      </c>
      <c r="G233" s="37">
        <f t="shared" si="37"/>
        <v>3.1276161312250004</v>
      </c>
      <c r="H233" s="17">
        <f>SUM(C233:G233)</f>
        <v>3.9847032441087742</v>
      </c>
      <c r="I233" s="17">
        <f>G233/H233*100</f>
        <v>78.49056603773586</v>
      </c>
      <c r="J233" s="17">
        <f>SQRT(I233*(100-I233)/(L233-1))</f>
        <v>1.4581861541009959</v>
      </c>
      <c r="K233" s="18">
        <f>100-I233</f>
        <v>21.50943396226414</v>
      </c>
      <c r="L233" s="1">
        <f>H222</f>
        <v>795</v>
      </c>
      <c r="M233">
        <v>4</v>
      </c>
      <c r="N233" s="1">
        <v>3260.96</v>
      </c>
      <c r="O233" s="17">
        <f>N233/N234*100</f>
        <v>3.9847032441087742</v>
      </c>
      <c r="P233" s="52">
        <f>((O233*O233*(I233/100)*(K233/100))/(L233-1))</f>
        <v>3.3761202520407479E-3</v>
      </c>
      <c r="T233" s="57">
        <f>T44</f>
        <v>339.53</v>
      </c>
      <c r="U233" s="57">
        <f>U44</f>
        <v>800.55186470103888</v>
      </c>
      <c r="V233" s="57">
        <f>V44</f>
        <v>51289.179078140471</v>
      </c>
      <c r="W233" s="57">
        <f>W44</f>
        <v>26561.688927357198</v>
      </c>
      <c r="X233" s="57">
        <f>X44</f>
        <v>2846.020129801283</v>
      </c>
      <c r="AB233">
        <v>12</v>
      </c>
      <c r="AC233">
        <v>379</v>
      </c>
      <c r="AD233">
        <v>374</v>
      </c>
      <c r="AE233">
        <v>363</v>
      </c>
      <c r="AJ233" t="s">
        <v>644</v>
      </c>
      <c r="AK233">
        <v>17</v>
      </c>
      <c r="AL233" s="1">
        <v>1.31</v>
      </c>
      <c r="AM233" s="1">
        <v>15.56</v>
      </c>
      <c r="AN233">
        <v>1143.93</v>
      </c>
      <c r="AO233">
        <v>269.99</v>
      </c>
      <c r="AP233" s="1">
        <v>25.23</v>
      </c>
      <c r="AR233" s="1">
        <v>5.85</v>
      </c>
      <c r="AS233" s="1">
        <v>219.61</v>
      </c>
      <c r="AT233">
        <v>5150.8</v>
      </c>
      <c r="AU233">
        <v>650.64</v>
      </c>
      <c r="AV233" s="1">
        <v>130.78</v>
      </c>
    </row>
    <row r="234" spans="1:48" x14ac:dyDescent="0.3">
      <c r="B234" t="s">
        <v>28</v>
      </c>
      <c r="C234" s="17">
        <f>SUM(C229:C233)</f>
        <v>0.41613333644483275</v>
      </c>
      <c r="D234" s="17">
        <f>SUM(D229:D233)</f>
        <v>0.88838284001991552</v>
      </c>
      <c r="E234" s="17">
        <f>SUM(E229:E233)</f>
        <v>62.146799323073886</v>
      </c>
      <c r="F234" s="17">
        <f>SUM(F229:F233)</f>
        <v>32.837513711877143</v>
      </c>
      <c r="G234" s="17">
        <f>SUM(G229:G233)</f>
        <v>3.7111707885842145</v>
      </c>
      <c r="H234" s="1">
        <f>SUM(H228:H233)</f>
        <v>100</v>
      </c>
      <c r="I234" s="13" t="s">
        <v>24</v>
      </c>
      <c r="J234" s="12" t="s">
        <v>29</v>
      </c>
      <c r="N234" s="1">
        <f>SUM(N229:N233)</f>
        <v>81836.960000000006</v>
      </c>
      <c r="O234" s="17">
        <f>SUM(O229:O233)</f>
        <v>100</v>
      </c>
      <c r="T234" s="57">
        <f>T54</f>
        <v>333.95</v>
      </c>
      <c r="U234" s="57">
        <f>U54</f>
        <v>576.57391194968545</v>
      </c>
      <c r="V234" s="57">
        <f>V54</f>
        <v>51680.35830632451</v>
      </c>
      <c r="W234" s="57">
        <f>W54</f>
        <v>26166.202536944678</v>
      </c>
      <c r="X234" s="57">
        <f>X54</f>
        <v>3079.8852447811291</v>
      </c>
      <c r="AB234">
        <v>13</v>
      </c>
      <c r="AC234">
        <v>408</v>
      </c>
      <c r="AD234">
        <v>403</v>
      </c>
      <c r="AE234">
        <v>392</v>
      </c>
      <c r="AJ234" t="s">
        <v>644</v>
      </c>
      <c r="AK234">
        <v>18</v>
      </c>
      <c r="AL234" s="1">
        <v>1.58</v>
      </c>
      <c r="AM234" s="1">
        <v>13.61</v>
      </c>
      <c r="AN234">
        <v>1146.47</v>
      </c>
      <c r="AO234">
        <v>270.81</v>
      </c>
      <c r="AP234" s="1">
        <v>23.56</v>
      </c>
      <c r="AR234" s="1">
        <v>7.65</v>
      </c>
      <c r="AS234" s="1">
        <v>210.79</v>
      </c>
      <c r="AT234">
        <v>5148.1000000000004</v>
      </c>
      <c r="AU234">
        <v>667.11</v>
      </c>
      <c r="AV234" s="1">
        <v>124.03</v>
      </c>
    </row>
    <row r="235" spans="1:48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3.677495402322894E-3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8.6649988329541693E-3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0.31741244688578213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0.37995155383502649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0.22620933215439182</v>
      </c>
      <c r="H235" s="1"/>
      <c r="I235" s="14">
        <f>(C229+D230+E231+F232+G233)/H234</f>
        <v>0.97369125559416958</v>
      </c>
      <c r="J235" s="53">
        <f>SQRT(SUM(P229:P233))/100</f>
        <v>3.8392109002493209E-3</v>
      </c>
      <c r="M235" s="1"/>
      <c r="N235" s="9"/>
      <c r="T235" s="57">
        <f>T64</f>
        <v>347.09</v>
      </c>
      <c r="U235" s="57">
        <f>U64</f>
        <v>682.95000000000016</v>
      </c>
      <c r="V235" s="57">
        <f>V64</f>
        <v>51200.518939960755</v>
      </c>
      <c r="W235" s="57">
        <f>W64</f>
        <v>26502.24370559516</v>
      </c>
      <c r="X235" s="57">
        <f>X64</f>
        <v>3104.1673544440791</v>
      </c>
      <c r="AB235">
        <v>14</v>
      </c>
      <c r="AC235">
        <v>437</v>
      </c>
      <c r="AD235">
        <v>432</v>
      </c>
      <c r="AE235">
        <v>421</v>
      </c>
      <c r="AJ235" t="s">
        <v>644</v>
      </c>
      <c r="AK235">
        <v>19</v>
      </c>
      <c r="AL235" s="1">
        <v>1.58</v>
      </c>
      <c r="AM235" s="1">
        <v>15.08</v>
      </c>
      <c r="AN235">
        <v>1139.1199999999999</v>
      </c>
      <c r="AO235">
        <v>272.2</v>
      </c>
      <c r="AP235" s="1">
        <v>28.04</v>
      </c>
      <c r="AR235" s="1">
        <v>7.29</v>
      </c>
      <c r="AS235" s="1">
        <v>218.62</v>
      </c>
      <c r="AT235">
        <v>5125.51</v>
      </c>
      <c r="AU235">
        <v>668.37</v>
      </c>
      <c r="AV235" s="1">
        <v>137.88999999999999</v>
      </c>
    </row>
    <row r="236" spans="1:48" x14ac:dyDescent="0.3">
      <c r="B236" s="1" t="s">
        <v>30</v>
      </c>
      <c r="C236" s="17">
        <f>C229/C234*100</f>
        <v>100</v>
      </c>
      <c r="D236" s="17">
        <f>D230/D234*100</f>
        <v>98.307417102387106</v>
      </c>
      <c r="E236" s="17">
        <f>E231/E234*100</f>
        <v>97.789684141256743</v>
      </c>
      <c r="F236" s="17">
        <f>F232/F234*100</f>
        <v>97.99423728651287</v>
      </c>
      <c r="G236" s="17">
        <f>G233/G234*100</f>
        <v>84.275726162906224</v>
      </c>
      <c r="H236" s="1"/>
      <c r="T236" s="57">
        <f>T74</f>
        <v>336.56000000000006</v>
      </c>
      <c r="U236" s="57">
        <f>U74</f>
        <v>679.88588679245299</v>
      </c>
      <c r="V236" s="57">
        <f>V74</f>
        <v>51727.657259929831</v>
      </c>
      <c r="W236" s="57">
        <f>W74</f>
        <v>26258.724673287441</v>
      </c>
      <c r="X236" s="57">
        <f>X74</f>
        <v>2834.1521799902757</v>
      </c>
      <c r="AB236">
        <v>15</v>
      </c>
      <c r="AC236">
        <v>466</v>
      </c>
      <c r="AD236">
        <v>461</v>
      </c>
      <c r="AE236">
        <v>450</v>
      </c>
    </row>
    <row r="237" spans="1:48" x14ac:dyDescent="0.3">
      <c r="B237" s="16" t="s">
        <v>39</v>
      </c>
      <c r="C237" s="18">
        <f>SQRT((C240+C241)/(C234*C234))</f>
        <v>0</v>
      </c>
      <c r="D237" s="18">
        <f>SQRT((D240+D241)/(D234*D234))</f>
        <v>0.9594623696583755</v>
      </c>
      <c r="E237" s="18">
        <f>SQRT((E240+E241)/(E234*E234))</f>
        <v>0.38466255376217379</v>
      </c>
      <c r="F237" s="18">
        <f>SQRT((F240+F241)/(F234*F234))</f>
        <v>0.65579954636207483</v>
      </c>
      <c r="G237" s="18">
        <f>SQRT((G240+G241)/(G234*G234))</f>
        <v>5.5472122922362326</v>
      </c>
      <c r="H237" s="1"/>
      <c r="T237" s="57">
        <f>T84</f>
        <v>333.05</v>
      </c>
      <c r="U237" s="57">
        <f>U84</f>
        <v>624.10133411949698</v>
      </c>
      <c r="V237" s="57">
        <f>V84</f>
        <v>51576.210706689693</v>
      </c>
      <c r="W237" s="57">
        <f>W84</f>
        <v>26309.658481871389</v>
      </c>
      <c r="X237" s="57">
        <f>X84</f>
        <v>2993.9494773194292</v>
      </c>
      <c r="AB237">
        <v>16</v>
      </c>
      <c r="AC237">
        <v>495</v>
      </c>
      <c r="AD237">
        <v>490</v>
      </c>
      <c r="AE237">
        <v>479</v>
      </c>
      <c r="AN237" s="78"/>
      <c r="AO237" s="78"/>
    </row>
    <row r="238" spans="1:48" x14ac:dyDescent="0.3">
      <c r="B238" s="1" t="s">
        <v>37</v>
      </c>
      <c r="C238" s="18">
        <f>100-C236</f>
        <v>0</v>
      </c>
      <c r="D238" s="18">
        <f>100-D236</f>
        <v>1.692582897612894</v>
      </c>
      <c r="E238" s="18">
        <f>100-E236</f>
        <v>2.2103158587432574</v>
      </c>
      <c r="F238" s="18">
        <f>100-F236</f>
        <v>2.0057627134871296</v>
      </c>
      <c r="G238" s="18">
        <f>100-G236</f>
        <v>15.724273837093776</v>
      </c>
      <c r="T238" s="57">
        <f>T94</f>
        <v>340.5508720930232</v>
      </c>
      <c r="U238" s="57">
        <f>U94</f>
        <v>727.02550943396227</v>
      </c>
      <c r="V238" s="57">
        <f>V94</f>
        <v>50859.051303304244</v>
      </c>
      <c r="W238" s="57">
        <f>W94</f>
        <v>26873.222961383417</v>
      </c>
      <c r="X238" s="57">
        <f>X94</f>
        <v>3037.1093537853485</v>
      </c>
      <c r="AB238">
        <v>17</v>
      </c>
      <c r="AC238">
        <v>524</v>
      </c>
      <c r="AD238">
        <v>519</v>
      </c>
      <c r="AE238">
        <v>508</v>
      </c>
    </row>
    <row r="239" spans="1:48" ht="15.6" x14ac:dyDescent="0.35">
      <c r="B239" s="1" t="s">
        <v>25</v>
      </c>
      <c r="C239" s="1">
        <f>C223</f>
        <v>335</v>
      </c>
      <c r="D239" s="1">
        <f>D223</f>
        <v>51</v>
      </c>
      <c r="E239" s="1">
        <f>E223</f>
        <v>861</v>
      </c>
      <c r="F239" s="1">
        <f>F223</f>
        <v>428</v>
      </c>
      <c r="G239" s="1">
        <f>G223</f>
        <v>631</v>
      </c>
      <c r="T239" s="57">
        <f>T104</f>
        <v>385.38327741692279</v>
      </c>
      <c r="U239" s="57">
        <f>U104</f>
        <v>605.85928301886793</v>
      </c>
      <c r="V239" s="57">
        <f>V104</f>
        <v>51268.503852722475</v>
      </c>
      <c r="W239" s="57">
        <f>W104</f>
        <v>26226.889044235981</v>
      </c>
      <c r="X239" s="57">
        <f>X104</f>
        <v>3350.3345426057494</v>
      </c>
      <c r="AB239">
        <v>18</v>
      </c>
      <c r="AC239">
        <v>553</v>
      </c>
      <c r="AD239">
        <v>548</v>
      </c>
      <c r="AE239">
        <v>537</v>
      </c>
      <c r="AN239" s="78"/>
      <c r="AO239" s="78"/>
    </row>
    <row r="240" spans="1:48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0</v>
      </c>
      <c r="E240" s="18">
        <f>(O231*O231*(100-E236)*(100-E236)*(I231)*(100-I231))/((L231-1)*100)</f>
        <v>21.207252163947839</v>
      </c>
      <c r="F240" s="18">
        <f>(O232*O232*(100-F236)*(100-F236)*(I232)*(100-I232))/((L232-1)*100)</f>
        <v>40.47106925585382</v>
      </c>
      <c r="G240" s="18">
        <f>(O233*O233*(100-G236)*(100-G236)*(I233)*(100-I233))/((L233-1)*100)</f>
        <v>83.475514394070814</v>
      </c>
      <c r="T240" s="57">
        <f>T114</f>
        <v>306.77776162790695</v>
      </c>
      <c r="U240" s="57">
        <f>U114</f>
        <v>557.09211320754719</v>
      </c>
      <c r="V240" s="57">
        <f>V114</f>
        <v>51537.785608294398</v>
      </c>
      <c r="W240" s="57">
        <f>W114</f>
        <v>26130.262121349522</v>
      </c>
      <c r="X240" s="57">
        <f>X114</f>
        <v>3305.0423955206329</v>
      </c>
      <c r="AB240">
        <v>19</v>
      </c>
      <c r="AC240">
        <v>582</v>
      </c>
      <c r="AD240">
        <v>577</v>
      </c>
      <c r="AE240">
        <v>566</v>
      </c>
    </row>
    <row r="241" spans="1:41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0.72653445469288247</v>
      </c>
      <c r="E241" s="18">
        <f>E236*E236*(SUM((H229*E229*(1-E218/H218))/(H218-1),(H230*E230*(1-E219/H219))/(H219-1), (H232*E232*(1-E221/H221))/(H221-1),(H233*E233*(1-E222/H222))/(H222-1)))</f>
        <v>550.26790300938819</v>
      </c>
      <c r="F241" s="18">
        <f>F236*F236*(SUM((H229*F229*(1-F218/H218))/(H218-1),(H230*F230*(1-F219/H219))/(H219-1), (H231*F231*(1-F220/H220))/(H220-1),(H233*F233*(1-F222/H222))/(H222-1)))</f>
        <v>423.27768725994878</v>
      </c>
      <c r="G241" s="18">
        <f>G236*G236*(SUM((H229*G229*(1-G218/H218))/(H218-1),(H230*G230*(1-G219/H219))/(H219-1), (H231*G231*(1-G220/H220))/(H220-1),(H232*G232*(1-G221/H221))/(H221-1)))</f>
        <v>340.33473511056195</v>
      </c>
      <c r="T241" s="57">
        <f>T124</f>
        <v>338.44999999999993</v>
      </c>
      <c r="U241" s="57">
        <f>U124</f>
        <v>778.05937106918236</v>
      </c>
      <c r="V241" s="57">
        <f>V124</f>
        <v>51135.179088085919</v>
      </c>
      <c r="W241" s="57">
        <f>W124</f>
        <v>26126.536311955038</v>
      </c>
      <c r="X241" s="57">
        <f>X124</f>
        <v>3458.735228889856</v>
      </c>
      <c r="AB241">
        <v>20</v>
      </c>
      <c r="AC241">
        <v>611</v>
      </c>
      <c r="AD241">
        <v>606</v>
      </c>
      <c r="AE241">
        <v>595</v>
      </c>
      <c r="AN241" s="78"/>
      <c r="AO241" s="78"/>
    </row>
    <row r="242" spans="1:41" x14ac:dyDescent="0.3">
      <c r="T242" s="57">
        <f>T134</f>
        <v>360.38537790697677</v>
      </c>
      <c r="U242" s="57">
        <f>U134</f>
        <v>657.36861320754713</v>
      </c>
      <c r="V242" s="57">
        <f>V134</f>
        <v>51023.146610367279</v>
      </c>
      <c r="W242" s="57">
        <f>W134</f>
        <v>26742.57072614252</v>
      </c>
      <c r="X242" s="57">
        <f>X134</f>
        <v>3053.4986723756651</v>
      </c>
      <c r="AB242">
        <v>21</v>
      </c>
      <c r="AC242">
        <v>640</v>
      </c>
      <c r="AD242">
        <v>635</v>
      </c>
      <c r="AE242">
        <v>624</v>
      </c>
    </row>
    <row r="243" spans="1:41" x14ac:dyDescent="0.3">
      <c r="T243" s="57">
        <f>T144</f>
        <v>317.56</v>
      </c>
      <c r="U243" s="57">
        <f>U144</f>
        <v>695.6</v>
      </c>
      <c r="V243" s="57">
        <f>V144</f>
        <v>50992.147141701942</v>
      </c>
      <c r="W243" s="57">
        <f>W144</f>
        <v>26844.023756994713</v>
      </c>
      <c r="X243" s="57">
        <f>X144</f>
        <v>2987.6291013033456</v>
      </c>
      <c r="AB243">
        <v>22</v>
      </c>
      <c r="AC243">
        <v>669</v>
      </c>
      <c r="AD243">
        <v>664</v>
      </c>
      <c r="AE243">
        <v>653</v>
      </c>
      <c r="AN243" s="78"/>
      <c r="AO243" s="78"/>
    </row>
    <row r="244" spans="1:41" x14ac:dyDescent="0.3">
      <c r="A244" s="348" t="s">
        <v>378</v>
      </c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 t="s">
        <v>81</v>
      </c>
      <c r="M244" s="348"/>
      <c r="N244" s="348"/>
      <c r="O244" s="348"/>
      <c r="P244" s="348"/>
      <c r="T244" s="57">
        <f>T154</f>
        <v>331.16000000000008</v>
      </c>
      <c r="U244" s="57">
        <f>U154</f>
        <v>772.0765660377358</v>
      </c>
      <c r="V244" s="57">
        <f>V154</f>
        <v>50824.063165538006</v>
      </c>
      <c r="W244" s="57">
        <f>W154</f>
        <v>27194.528812504312</v>
      </c>
      <c r="X244" s="57">
        <f>X154</f>
        <v>2715.1414559199479</v>
      </c>
      <c r="AB244">
        <v>23</v>
      </c>
      <c r="AC244">
        <v>698</v>
      </c>
      <c r="AD244">
        <v>693</v>
      </c>
      <c r="AE244">
        <v>682</v>
      </c>
    </row>
    <row r="245" spans="1:41" x14ac:dyDescent="0.3">
      <c r="A245" t="s">
        <v>315</v>
      </c>
      <c r="B245" t="s">
        <v>21</v>
      </c>
      <c r="I245" s="1" t="s">
        <v>53</v>
      </c>
      <c r="O245" s="142"/>
      <c r="P245" s="142"/>
      <c r="T245" s="57">
        <f>T164</f>
        <v>362.84</v>
      </c>
      <c r="U245" s="57">
        <f>U164</f>
        <v>668.53055345911957</v>
      </c>
      <c r="V245" s="57">
        <f>V164</f>
        <v>51287.504803845834</v>
      </c>
      <c r="W245" s="57">
        <f>W164</f>
        <v>25927.846084624809</v>
      </c>
      <c r="X245" s="57">
        <f>X164</f>
        <v>3590.2485580702328</v>
      </c>
      <c r="AB245">
        <v>24</v>
      </c>
      <c r="AC245">
        <v>727</v>
      </c>
      <c r="AD245">
        <v>722</v>
      </c>
      <c r="AE245">
        <v>711</v>
      </c>
      <c r="AN245" s="78"/>
      <c r="AO245" s="78"/>
    </row>
    <row r="246" spans="1:41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51</v>
      </c>
      <c r="O246" s="13"/>
      <c r="P246" s="13"/>
      <c r="T246" s="57">
        <f>T174</f>
        <v>348.8</v>
      </c>
      <c r="U246" s="57">
        <f>U174</f>
        <v>550.13295597484273</v>
      </c>
      <c r="V246" s="57">
        <f>V174</f>
        <v>51648.87725256243</v>
      </c>
      <c r="W246" s="57">
        <f>W174</f>
        <v>26342.895890071955</v>
      </c>
      <c r="X246" s="57">
        <f>X174</f>
        <v>2946.2539013907744</v>
      </c>
      <c r="AB246">
        <v>25</v>
      </c>
      <c r="AC246">
        <v>756</v>
      </c>
      <c r="AD246">
        <v>751</v>
      </c>
      <c r="AE246">
        <v>740</v>
      </c>
    </row>
    <row r="247" spans="1:41" x14ac:dyDescent="0.3">
      <c r="A247" t="s">
        <v>3</v>
      </c>
      <c r="B247" s="13">
        <v>0</v>
      </c>
      <c r="C247" s="26">
        <v>298</v>
      </c>
      <c r="D247" s="3">
        <v>0</v>
      </c>
      <c r="E247" s="3">
        <v>0</v>
      </c>
      <c r="F247" s="3">
        <v>46</v>
      </c>
      <c r="G247" s="4">
        <v>0</v>
      </c>
      <c r="H247" s="1">
        <f>SUM(C247:G247)</f>
        <v>344</v>
      </c>
      <c r="I247" s="10">
        <f>C247/H247</f>
        <v>0.86627906976744184</v>
      </c>
      <c r="J247" s="11">
        <f>1-I247</f>
        <v>0.13372093023255816</v>
      </c>
      <c r="K247">
        <f>H247-C252</f>
        <v>45</v>
      </c>
      <c r="N247" s="10">
        <f>2*(C253*I247)/(C253+I247)</f>
        <v>0.92690513219284598</v>
      </c>
      <c r="O247" s="1"/>
      <c r="P247" s="1"/>
      <c r="T247" s="57">
        <f>T184</f>
        <v>340.07</v>
      </c>
      <c r="U247" s="57">
        <f>U184</f>
        <v>640.58768553459117</v>
      </c>
      <c r="V247" s="57">
        <f>V184</f>
        <v>51136.82300933692</v>
      </c>
      <c r="W247" s="57">
        <f>W184</f>
        <v>26642.18432829385</v>
      </c>
      <c r="X247" s="57">
        <f>X184</f>
        <v>3077.3049768346432</v>
      </c>
      <c r="AB247">
        <v>26</v>
      </c>
      <c r="AC247">
        <v>785</v>
      </c>
      <c r="AD247">
        <v>780</v>
      </c>
      <c r="AE247">
        <v>769</v>
      </c>
      <c r="AN247" s="78"/>
      <c r="AO247" s="78"/>
    </row>
    <row r="248" spans="1:41" x14ac:dyDescent="0.3">
      <c r="A248" t="s">
        <v>4</v>
      </c>
      <c r="B248" s="13">
        <v>1</v>
      </c>
      <c r="C248" s="5">
        <v>0</v>
      </c>
      <c r="D248" s="27">
        <v>48</v>
      </c>
      <c r="E248" s="1">
        <v>0</v>
      </c>
      <c r="F248" s="1">
        <v>0</v>
      </c>
      <c r="G248" s="6">
        <v>0</v>
      </c>
      <c r="H248" s="1">
        <f>SUM(C248:G248)</f>
        <v>48</v>
      </c>
      <c r="I248" s="10">
        <f>D248/H248</f>
        <v>1</v>
      </c>
      <c r="J248" s="11">
        <f>1-I248</f>
        <v>0</v>
      </c>
      <c r="K248">
        <f>H248-D252</f>
        <v>-1</v>
      </c>
      <c r="N248" s="10">
        <f>2*(D253*I248)/(D253+I248)</f>
        <v>0.98969072164948457</v>
      </c>
      <c r="O248" s="1"/>
      <c r="P248" s="1"/>
      <c r="T248" s="57">
        <f>T194</f>
        <v>309.82</v>
      </c>
      <c r="U248" s="57">
        <f>U194</f>
        <v>712.00246540880505</v>
      </c>
      <c r="V248" s="57">
        <f>V194</f>
        <v>51427.622570763138</v>
      </c>
      <c r="W248" s="57">
        <f>W194</f>
        <v>26598.693538115611</v>
      </c>
      <c r="X248" s="57">
        <f>X194</f>
        <v>2788.8314257124493</v>
      </c>
      <c r="AB248">
        <v>27</v>
      </c>
      <c r="AC248">
        <v>814</v>
      </c>
      <c r="AD248">
        <v>809</v>
      </c>
      <c r="AE248">
        <v>798</v>
      </c>
    </row>
    <row r="249" spans="1:41" x14ac:dyDescent="0.3">
      <c r="A249" t="s">
        <v>5</v>
      </c>
      <c r="B249" s="13">
        <v>2</v>
      </c>
      <c r="C249" s="5">
        <v>0</v>
      </c>
      <c r="D249" s="1">
        <v>0</v>
      </c>
      <c r="E249" s="27">
        <v>714</v>
      </c>
      <c r="F249" s="1">
        <v>4</v>
      </c>
      <c r="G249" s="6">
        <v>0</v>
      </c>
      <c r="H249" s="1">
        <f>SUM(C249:G249)</f>
        <v>718</v>
      </c>
      <c r="I249" s="10">
        <f>E249/H249</f>
        <v>0.99442896935933145</v>
      </c>
      <c r="J249" s="11">
        <f>1-I249</f>
        <v>5.5710306406685506E-3</v>
      </c>
      <c r="K249">
        <f>H249-E252</f>
        <v>-149</v>
      </c>
      <c r="N249" s="10">
        <f>2*(E253*I249)/(E253+I249)</f>
        <v>0.90094637223974772</v>
      </c>
      <c r="O249" s="1"/>
      <c r="P249" s="1"/>
      <c r="T249" s="57">
        <f>T204</f>
        <v>334.31</v>
      </c>
      <c r="U249" s="57">
        <f>U204</f>
        <v>656.04996226415096</v>
      </c>
      <c r="V249" s="57">
        <f>V204</f>
        <v>50910.674897583922</v>
      </c>
      <c r="W249" s="57">
        <f>W204</f>
        <v>26908.649050658682</v>
      </c>
      <c r="X249" s="57">
        <f>X204</f>
        <v>3027.2860894932483</v>
      </c>
      <c r="AB249">
        <v>28</v>
      </c>
      <c r="AC249">
        <v>843</v>
      </c>
      <c r="AD249">
        <v>838</v>
      </c>
      <c r="AE249">
        <v>827</v>
      </c>
      <c r="AN249" s="78"/>
      <c r="AO249" s="78"/>
    </row>
    <row r="250" spans="1:41" x14ac:dyDescent="0.3">
      <c r="A250" t="s">
        <v>6</v>
      </c>
      <c r="B250" s="13">
        <v>3</v>
      </c>
      <c r="C250" s="5">
        <v>1</v>
      </c>
      <c r="D250" s="1">
        <v>0</v>
      </c>
      <c r="E250" s="1">
        <v>11</v>
      </c>
      <c r="F250" s="27">
        <v>380</v>
      </c>
      <c r="G250" s="6">
        <v>9</v>
      </c>
      <c r="H250" s="1">
        <f>SUM(C250:G250)</f>
        <v>401</v>
      </c>
      <c r="I250" s="10">
        <f>F250/H250</f>
        <v>0.94763092269326688</v>
      </c>
      <c r="J250" s="11">
        <f>1-I250</f>
        <v>5.2369077306733125E-2</v>
      </c>
      <c r="K250">
        <f>H250-F252</f>
        <v>-54</v>
      </c>
      <c r="N250" s="10">
        <f>2*(F253*I250)/(F253+I250)</f>
        <v>0.88785046728971961</v>
      </c>
      <c r="O250" s="1"/>
      <c r="P250" s="1"/>
      <c r="T250" s="57">
        <f>T214</f>
        <v>340.7</v>
      </c>
      <c r="U250" s="57">
        <f>U214</f>
        <v>695.48508176100631</v>
      </c>
      <c r="V250" s="57">
        <f>V214</f>
        <v>50520.156953403522</v>
      </c>
      <c r="W250" s="57">
        <f>W214</f>
        <v>27082.752495835008</v>
      </c>
      <c r="X250" s="57">
        <f>X214</f>
        <v>3197.8754690004548</v>
      </c>
      <c r="AB250">
        <v>29</v>
      </c>
      <c r="AC250">
        <v>872</v>
      </c>
      <c r="AD250">
        <v>867</v>
      </c>
      <c r="AE250">
        <v>856</v>
      </c>
    </row>
    <row r="251" spans="1:41" x14ac:dyDescent="0.3">
      <c r="A251" t="s">
        <v>7</v>
      </c>
      <c r="B251" s="13">
        <v>4</v>
      </c>
      <c r="C251" s="7">
        <v>0</v>
      </c>
      <c r="D251" s="8">
        <v>1</v>
      </c>
      <c r="E251" s="8">
        <v>142</v>
      </c>
      <c r="F251" s="8">
        <v>25</v>
      </c>
      <c r="G251" s="28">
        <v>627</v>
      </c>
      <c r="H251" s="1">
        <f>SUM(C251:G251)</f>
        <v>795</v>
      </c>
      <c r="I251" s="10">
        <f>G251/H251</f>
        <v>0.78867924528301891</v>
      </c>
      <c r="J251" s="11">
        <f>1-I251</f>
        <v>0.21132075471698109</v>
      </c>
      <c r="K251">
        <f>H251-G252</f>
        <v>159</v>
      </c>
      <c r="N251" s="10">
        <f>2*(G253*I251)/(G253+I251)</f>
        <v>0.87631027253668758</v>
      </c>
      <c r="O251" s="1"/>
      <c r="P251" s="1"/>
      <c r="AN251" s="78"/>
      <c r="AO251" s="78"/>
    </row>
    <row r="252" spans="1:41" ht="15.6" x14ac:dyDescent="0.35">
      <c r="B252" s="1" t="s">
        <v>19</v>
      </c>
      <c r="C252" s="1">
        <f>SUM(C247:C251)</f>
        <v>299</v>
      </c>
      <c r="D252" s="1">
        <f>SUM(D247:D251)</f>
        <v>49</v>
      </c>
      <c r="E252" s="1">
        <f>SUM(E247:E251)</f>
        <v>867</v>
      </c>
      <c r="F252" s="1">
        <f>SUM(F247:F251)</f>
        <v>455</v>
      </c>
      <c r="G252" s="1">
        <f>SUM(G247:G251)</f>
        <v>636</v>
      </c>
      <c r="H252" s="1">
        <f>SUM(H246:H251)</f>
        <v>2306</v>
      </c>
      <c r="I252" s="13" t="s">
        <v>12</v>
      </c>
      <c r="N252" s="16"/>
      <c r="O252" s="1"/>
      <c r="P252" s="1"/>
    </row>
    <row r="253" spans="1:41" x14ac:dyDescent="0.3">
      <c r="A253" s="1" t="s">
        <v>316</v>
      </c>
      <c r="B253" s="1" t="s">
        <v>2</v>
      </c>
      <c r="C253" s="10">
        <f>C247/C252</f>
        <v>0.99665551839464883</v>
      </c>
      <c r="D253" s="10">
        <f>D248/D252</f>
        <v>0.97959183673469385</v>
      </c>
      <c r="E253" s="10">
        <f>E249/E252</f>
        <v>0.82352941176470584</v>
      </c>
      <c r="F253" s="10">
        <f>F250/F252</f>
        <v>0.8351648351648352</v>
      </c>
      <c r="G253" s="10">
        <f>G251/G252</f>
        <v>0.98584905660377353</v>
      </c>
      <c r="H253" s="10"/>
      <c r="I253" s="14">
        <f>(C247+D248+E249+F250+G251)/H252</f>
        <v>0.896357328707719</v>
      </c>
      <c r="AN253" s="78"/>
      <c r="AO253" s="78"/>
    </row>
    <row r="254" spans="1:41" x14ac:dyDescent="0.3">
      <c r="B254" s="1" t="s">
        <v>14</v>
      </c>
      <c r="C254" s="11">
        <f>1-C253</f>
        <v>3.3444816053511683E-3</v>
      </c>
      <c r="D254" s="11">
        <f>1-D253</f>
        <v>2.0408163265306145E-2</v>
      </c>
      <c r="E254" s="11">
        <f>1-E253</f>
        <v>0.17647058823529416</v>
      </c>
      <c r="F254" s="11">
        <f>1-F253</f>
        <v>0.1648351648351648</v>
      </c>
      <c r="G254" s="11">
        <f>1-G253</f>
        <v>1.4150943396226467E-2</v>
      </c>
    </row>
    <row r="255" spans="1:41" x14ac:dyDescent="0.3">
      <c r="C255" s="2"/>
      <c r="AN255" s="78"/>
      <c r="AO255" s="78"/>
    </row>
    <row r="256" spans="1:41" ht="15.6" x14ac:dyDescent="0.35">
      <c r="A256" t="s">
        <v>317</v>
      </c>
      <c r="B256" s="15" t="s">
        <v>23</v>
      </c>
      <c r="N256" s="12" t="s">
        <v>17</v>
      </c>
      <c r="O256" s="1" t="s">
        <v>27</v>
      </c>
      <c r="P256" s="1" t="s">
        <v>33</v>
      </c>
    </row>
    <row r="257" spans="1:41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</row>
    <row r="258" spans="1:41" x14ac:dyDescent="0.3">
      <c r="A258" t="s">
        <v>3</v>
      </c>
      <c r="B258" s="13">
        <v>0</v>
      </c>
      <c r="C258" s="29">
        <f>(C247/$L258)*$O258</f>
        <v>0.38798756532879997</v>
      </c>
      <c r="D258" s="31">
        <f>(D247/$L258)*$O258</f>
        <v>0</v>
      </c>
      <c r="E258" s="31">
        <f>(E247/$L258)*$O258</f>
        <v>0</v>
      </c>
      <c r="F258" s="31">
        <f>(F247/$L258)*$O258</f>
        <v>5.9890698003774487E-2</v>
      </c>
      <c r="G258" s="32">
        <f>(G247/$L258)*$O258</f>
        <v>0</v>
      </c>
      <c r="H258" s="17">
        <f>SUM(C258:G258)</f>
        <v>0.44787826333257447</v>
      </c>
      <c r="I258" s="17">
        <f>C258/H258*100</f>
        <v>86.627906976744185</v>
      </c>
      <c r="J258" s="17">
        <f>SQRT(I258*(100-I258)/(L258-1))</f>
        <v>1.8377293240632018</v>
      </c>
      <c r="K258" s="18">
        <f>100-I258</f>
        <v>13.372093023255815</v>
      </c>
      <c r="L258" s="1">
        <f>H247</f>
        <v>344</v>
      </c>
      <c r="M258">
        <v>0</v>
      </c>
      <c r="N258" s="1">
        <v>366.53</v>
      </c>
      <c r="O258" s="17">
        <f>N258/N263*100</f>
        <v>0.44787826333257447</v>
      </c>
      <c r="P258" s="52">
        <f>((O258*O258*(I258/100)*(K258/100))/(L258-1))</f>
        <v>6.7745907009699385E-5</v>
      </c>
    </row>
    <row r="259" spans="1:41" x14ac:dyDescent="0.3">
      <c r="A259" t="s">
        <v>4</v>
      </c>
      <c r="B259" s="13">
        <v>1</v>
      </c>
      <c r="C259" s="33">
        <f t="shared" ref="C259:G262" si="38">(C248/$L259)*$O259</f>
        <v>0</v>
      </c>
      <c r="D259" s="34">
        <f t="shared" si="38"/>
        <v>0.73498566723572489</v>
      </c>
      <c r="E259" s="19">
        <f t="shared" si="38"/>
        <v>0</v>
      </c>
      <c r="F259" s="18">
        <f t="shared" si="38"/>
        <v>0</v>
      </c>
      <c r="G259" s="20">
        <f t="shared" si="38"/>
        <v>0</v>
      </c>
      <c r="H259" s="17">
        <f>SUM(C259:G259)</f>
        <v>0.73498566723572489</v>
      </c>
      <c r="I259" s="17">
        <f>D259/H259*100</f>
        <v>100</v>
      </c>
      <c r="J259" s="17">
        <f>SQRT(I259*(100-I259)/(L259-1))</f>
        <v>0</v>
      </c>
      <c r="K259" s="18">
        <f>100-I259</f>
        <v>0</v>
      </c>
      <c r="L259" s="1">
        <f>H248</f>
        <v>48</v>
      </c>
      <c r="M259">
        <v>1</v>
      </c>
      <c r="N259" s="1">
        <v>601.49</v>
      </c>
      <c r="O259" s="17">
        <f>N259/N263*100</f>
        <v>0.73498566723572489</v>
      </c>
      <c r="P259" s="52">
        <f>((O259*O259*(I259/100)*(K259/100))/(L259-1))</f>
        <v>0</v>
      </c>
      <c r="AN259" s="78"/>
      <c r="AO259" s="78"/>
    </row>
    <row r="260" spans="1:41" x14ac:dyDescent="0.3">
      <c r="A260" t="s">
        <v>5</v>
      </c>
      <c r="B260" s="13">
        <v>2</v>
      </c>
      <c r="C260" s="33">
        <f t="shared" si="38"/>
        <v>0</v>
      </c>
      <c r="D260" s="19">
        <f t="shared" si="38"/>
        <v>0</v>
      </c>
      <c r="E260" s="34">
        <f t="shared" si="38"/>
        <v>60.976768267834871</v>
      </c>
      <c r="F260" s="19">
        <f t="shared" si="38"/>
        <v>0.34160654491784243</v>
      </c>
      <c r="G260" s="20">
        <f t="shared" si="38"/>
        <v>0</v>
      </c>
      <c r="H260" s="17">
        <f>SUM(C260:G260)</f>
        <v>61.318374812752715</v>
      </c>
      <c r="I260" s="17">
        <f>E260/H260*100</f>
        <v>99.442896935933149</v>
      </c>
      <c r="J260" s="17">
        <f>SQRT(I260*(100-I260)/(L260-1))</f>
        <v>0.27796817739934171</v>
      </c>
      <c r="K260" s="18">
        <f>100-I260</f>
        <v>0.55710306406685106</v>
      </c>
      <c r="L260" s="1">
        <f>H249</f>
        <v>718</v>
      </c>
      <c r="M260">
        <v>2</v>
      </c>
      <c r="N260" s="1">
        <v>50181.1</v>
      </c>
      <c r="O260" s="17">
        <f>N260/N263*100</f>
        <v>61.318374812752715</v>
      </c>
      <c r="P260" s="52">
        <f>((O260*O260*(I260/100)*(K260/100))/(L260-1))</f>
        <v>2.9051691950112903E-2</v>
      </c>
    </row>
    <row r="261" spans="1:41" x14ac:dyDescent="0.3">
      <c r="A261" t="s">
        <v>6</v>
      </c>
      <c r="B261" s="13">
        <v>3</v>
      </c>
      <c r="C261" s="33">
        <f t="shared" si="38"/>
        <v>8.292830242256323E-2</v>
      </c>
      <c r="D261" s="19">
        <f t="shared" si="38"/>
        <v>0</v>
      </c>
      <c r="E261" s="19">
        <f t="shared" si="38"/>
        <v>0.91221132664819549</v>
      </c>
      <c r="F261" s="34">
        <f t="shared" si="38"/>
        <v>31.512754920574029</v>
      </c>
      <c r="G261" s="20">
        <f t="shared" si="38"/>
        <v>0.74635472180306905</v>
      </c>
      <c r="H261" s="17">
        <f>SUM(C261:G261)</f>
        <v>33.254249271447861</v>
      </c>
      <c r="I261" s="17">
        <f>F261/H261*100</f>
        <v>94.763092269326663</v>
      </c>
      <c r="J261" s="17">
        <f>SQRT(I261*(100-I261)/(L261-1))</f>
        <v>1.1138509443455031</v>
      </c>
      <c r="K261" s="18">
        <f>100-I261</f>
        <v>5.2369077306733374</v>
      </c>
      <c r="L261" s="1">
        <f>H250</f>
        <v>401</v>
      </c>
      <c r="M261">
        <v>3</v>
      </c>
      <c r="N261" s="1">
        <v>27214.27</v>
      </c>
      <c r="O261" s="17">
        <f>N261/N263*100</f>
        <v>33.254249271447854</v>
      </c>
      <c r="P261" s="52">
        <f>((O261*O261*(I261/100)*(K261/100))/(L261-1))</f>
        <v>0.13719821168662824</v>
      </c>
      <c r="AN261" s="78"/>
      <c r="AO261" s="78"/>
    </row>
    <row r="262" spans="1:41" x14ac:dyDescent="0.3">
      <c r="A262" t="s">
        <v>7</v>
      </c>
      <c r="B262" s="13">
        <v>4</v>
      </c>
      <c r="C262" s="35">
        <f t="shared" si="38"/>
        <v>0</v>
      </c>
      <c r="D262" s="36">
        <f t="shared" si="38"/>
        <v>5.3390087864542439E-3</v>
      </c>
      <c r="E262" s="21">
        <f t="shared" si="38"/>
        <v>0.75813924767650265</v>
      </c>
      <c r="F262" s="21">
        <f t="shared" si="38"/>
        <v>0.13347521966135611</v>
      </c>
      <c r="G262" s="37">
        <f t="shared" si="38"/>
        <v>3.3475585091068116</v>
      </c>
      <c r="H262" s="17">
        <f>SUM(C262:G262)</f>
        <v>4.2445119852311244</v>
      </c>
      <c r="I262" s="17">
        <f>G262/H262*100</f>
        <v>78.867924528301899</v>
      </c>
      <c r="J262" s="17">
        <f>SQRT(I262*(100-I262)/(L262-1))</f>
        <v>1.4488086539128373</v>
      </c>
      <c r="K262" s="18">
        <f>100-I262</f>
        <v>21.132075471698101</v>
      </c>
      <c r="L262" s="1">
        <f>H251</f>
        <v>795</v>
      </c>
      <c r="M262">
        <v>4</v>
      </c>
      <c r="N262" s="1">
        <v>3473.58</v>
      </c>
      <c r="O262" s="17">
        <f>N262/N263*100</f>
        <v>4.2445119852311244</v>
      </c>
      <c r="P262" s="52">
        <f>((O262*O262*(I262/100)*(K262/100))/(L262-1))</f>
        <v>3.7816174323335979E-3</v>
      </c>
    </row>
    <row r="263" spans="1:41" x14ac:dyDescent="0.3">
      <c r="B263" t="s">
        <v>28</v>
      </c>
      <c r="C263" s="17">
        <f>SUM(C258:C262)</f>
        <v>0.47091586775136318</v>
      </c>
      <c r="D263" s="17">
        <f>SUM(D258:D262)</f>
        <v>0.74032467602217911</v>
      </c>
      <c r="E263" s="17">
        <f>SUM(E258:E262)</f>
        <v>62.647118842159571</v>
      </c>
      <c r="F263" s="17">
        <f>SUM(F258:F262)</f>
        <v>32.047727383157003</v>
      </c>
      <c r="G263" s="17">
        <f>SUM(G258:G262)</f>
        <v>4.0939132309098802</v>
      </c>
      <c r="H263" s="1">
        <f>SUM(H257:H262)</f>
        <v>100</v>
      </c>
      <c r="I263" s="13" t="s">
        <v>24</v>
      </c>
      <c r="J263" s="12" t="s">
        <v>29</v>
      </c>
      <c r="N263" s="1">
        <f>SUM(N258:N262)</f>
        <v>81836.97</v>
      </c>
      <c r="O263" s="17">
        <f>SUM(O258:O262)</f>
        <v>100</v>
      </c>
      <c r="AM263" s="78"/>
      <c r="AN263" s="78"/>
      <c r="AO263" s="78"/>
    </row>
    <row r="264" spans="1:41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8.3231619173689111E-2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5.3356498626952516E-3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0.32543656119990011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0.40819733736319086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0.25353826178623151</v>
      </c>
      <c r="H264" s="1"/>
      <c r="I264" s="56">
        <f>(C258+D259+E260+F261+G262)/H263</f>
        <v>0.96960054930080242</v>
      </c>
      <c r="J264" s="53">
        <f>SQRT(SUM(P258:P262))/100</f>
        <v>4.1243092388433293E-3</v>
      </c>
      <c r="M264" s="1"/>
      <c r="N264" s="9"/>
    </row>
    <row r="265" spans="1:41" x14ac:dyDescent="0.3">
      <c r="B265" s="1" t="s">
        <v>30</v>
      </c>
      <c r="C265" s="17">
        <f>C258/C263*100</f>
        <v>82.389996153973684</v>
      </c>
      <c r="D265" s="17">
        <f>D259/D263*100</f>
        <v>99.278828741040869</v>
      </c>
      <c r="E265" s="17">
        <f>E260/E263*100</f>
        <v>97.333715252678772</v>
      </c>
      <c r="F265" s="17">
        <f>F261/F263*100</f>
        <v>98.330700782033816</v>
      </c>
      <c r="G265" s="17">
        <f>G262/G263*100</f>
        <v>81.769161198436308</v>
      </c>
      <c r="H265" s="1"/>
      <c r="AM265" s="78"/>
      <c r="AN265" s="78"/>
      <c r="AO265" s="78"/>
    </row>
    <row r="266" spans="1:41" x14ac:dyDescent="0.3">
      <c r="B266" s="16" t="s">
        <v>39</v>
      </c>
      <c r="C266" s="18">
        <f>SQRT((C269+C270)/(C263*C263))</f>
        <v>34.027462915639454</v>
      </c>
      <c r="D266" s="18">
        <f>SQRT((D269+D270)/(D263*D263))</f>
        <v>0.71597037911164241</v>
      </c>
      <c r="E266" s="18">
        <f>SQRT((E269+E270)/(E263*E263))</f>
        <v>0.43742667638506666</v>
      </c>
      <c r="F266" s="18">
        <f>SQRT((F269+F270)/(F263*F263))</f>
        <v>0.56379642351821113</v>
      </c>
      <c r="G266" s="18">
        <f>SQRT((G269+G270)/(G263*G263))</f>
        <v>5.6300072222458244</v>
      </c>
      <c r="H266" s="1"/>
    </row>
    <row r="267" spans="1:41" x14ac:dyDescent="0.3">
      <c r="B267" s="1" t="s">
        <v>37</v>
      </c>
      <c r="C267" s="18">
        <f>100-C265</f>
        <v>17.610003846026316</v>
      </c>
      <c r="D267" s="18">
        <f>100-D265</f>
        <v>0.72117125895913148</v>
      </c>
      <c r="E267" s="18">
        <f>100-E265</f>
        <v>2.6662847473212281</v>
      </c>
      <c r="F267" s="18">
        <f>100-F265</f>
        <v>1.6692992179661843</v>
      </c>
      <c r="G267" s="18">
        <f>100-G265</f>
        <v>18.230838801563692</v>
      </c>
      <c r="AM267" s="78"/>
      <c r="AN267" s="78"/>
      <c r="AO267" s="78"/>
    </row>
    <row r="268" spans="1:41" ht="15.6" x14ac:dyDescent="0.35">
      <c r="B268" s="1" t="s">
        <v>25</v>
      </c>
      <c r="C268" s="1">
        <f>C252</f>
        <v>299</v>
      </c>
      <c r="D268" s="1">
        <f>D252</f>
        <v>49</v>
      </c>
      <c r="E268" s="1">
        <f>E252</f>
        <v>867</v>
      </c>
      <c r="F268" s="1">
        <f>F252</f>
        <v>455</v>
      </c>
      <c r="G268" s="1">
        <f>G252</f>
        <v>636</v>
      </c>
    </row>
    <row r="269" spans="1:41" x14ac:dyDescent="0.3">
      <c r="B269" s="1" t="s">
        <v>34</v>
      </c>
      <c r="C269" s="18">
        <f>(O258*O258*(100-C265)*(100-C265)*(I258)*(100-I258))/(L258-1)</f>
        <v>210.08834665844097</v>
      </c>
      <c r="D269" s="18">
        <f>(O259*O259*(100-D265)*(100-D265)*(I259)*(100-I259))/((L259-1)*100)</f>
        <v>0</v>
      </c>
      <c r="E269" s="18">
        <f>(O260*O260*(100-E265)*(100-E265)*(I260)*(100-I260))/((L260-1)*100)</f>
        <v>20.653063817698239</v>
      </c>
      <c r="F269" s="18">
        <f>(O261*O261*(100-F265)*(100-F265)*(I261)*(100-I261))/((L261-1)*100)</f>
        <v>38.231103217057196</v>
      </c>
      <c r="G269" s="18">
        <f>(O262*O262*(100-G265)*(100-G265)*(I262)*(100-I262))/((L262-1)*100)</f>
        <v>125.6871542729081</v>
      </c>
      <c r="AM269" s="78"/>
      <c r="AN269" s="78"/>
      <c r="AO269" s="78"/>
    </row>
    <row r="270" spans="1:41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46.682544055099719</v>
      </c>
      <c r="D270" s="18">
        <f>D265*D265*(SUM((H258*D258*(1-D247/H247))/(H247-1),(H260*D260*(1-D249/H249))/(H249-1), (H261*D261*(1-D250/H250))/(H250-1),(H262*D262*(1-D251/H251))/(H251-1)))</f>
        <v>0.28095357384892777</v>
      </c>
      <c r="E270" s="18">
        <f>E265*E265*(SUM((H258*E258*(1-E247/H247))/(H247-1),(H259*E259*(1-E248/H248))/(H248-1), (H261*E261*(1-E250/H250))/(H250-1),(H262*E262*(1-E251/H251))/(H251-1)))</f>
        <v>730.2998982959964</v>
      </c>
      <c r="F270" s="18">
        <f>F265*F265*(SUM((H258*F258*(1-F247/H247))/(H247-1),(H259*F259*(1-F248/H248))/(H248-1), (H260*F260*(1-F249/H249))/(H249-1),(H262*F262*(1-F251/H251))/(H251-1)))</f>
        <v>288.2357614315718</v>
      </c>
      <c r="G270" s="18">
        <f>G265*G265*(SUM((H258*G258*(1-G247/H247))/(H247-1),(H259*G259*(1-G248/H248))/(H248-1), (H260*G260*(1-G249/H249))/(H249-1),(H261*G261*(1-G250/H250))/(H250-1)))</f>
        <v>405.55823200223477</v>
      </c>
    </row>
    <row r="271" spans="1:41" x14ac:dyDescent="0.3">
      <c r="AM271" s="78"/>
      <c r="AN271" s="78"/>
      <c r="AO271" s="78"/>
    </row>
    <row r="272" spans="1:41" x14ac:dyDescent="0.3">
      <c r="T272" s="2"/>
    </row>
    <row r="273" spans="1:41" x14ac:dyDescent="0.3">
      <c r="A273" s="348" t="s">
        <v>378</v>
      </c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 t="s">
        <v>82</v>
      </c>
      <c r="M273" s="348"/>
      <c r="N273" s="348"/>
      <c r="O273" s="348"/>
      <c r="P273" s="348"/>
      <c r="AM273" s="78"/>
      <c r="AN273" s="78"/>
      <c r="AO273" s="78"/>
    </row>
    <row r="274" spans="1:41" ht="15" thickBot="1" x14ac:dyDescent="0.35">
      <c r="A274" t="s">
        <v>315</v>
      </c>
      <c r="B274" t="s">
        <v>21</v>
      </c>
      <c r="I274" s="1" t="s">
        <v>53</v>
      </c>
      <c r="O274" s="142"/>
      <c r="P274" s="142"/>
      <c r="R274" s="59" t="s">
        <v>73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72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51</v>
      </c>
      <c r="O275" s="13"/>
      <c r="P275" s="13"/>
      <c r="S275" t="s">
        <v>28</v>
      </c>
      <c r="T275" s="57">
        <f t="shared" ref="T275:X276" si="39">AVERAGE(T16,T26,T36,T46,T56)</f>
        <v>0.41198250619493848</v>
      </c>
      <c r="U275" s="57">
        <f t="shared" si="39"/>
        <v>0.8588495392248493</v>
      </c>
      <c r="V275" s="57">
        <f t="shared" si="39"/>
        <v>62.760933549083951</v>
      </c>
      <c r="W275" s="57">
        <f t="shared" si="39"/>
        <v>32.296829653698275</v>
      </c>
      <c r="X275" s="57">
        <f t="shared" si="39"/>
        <v>3.6714047517979784</v>
      </c>
      <c r="Z275" s="14">
        <f>AVERAGE(AE16,AE17,AE18,AE19,AE20)</f>
        <v>0.97373263771215401</v>
      </c>
      <c r="AA275" s="72">
        <f>AVERAGE(AF16,AF17,AF18,AF19,AF20)</f>
        <v>3.7852076271075014E-3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337</v>
      </c>
      <c r="D276" s="3">
        <v>0</v>
      </c>
      <c r="E276" s="3">
        <v>0</v>
      </c>
      <c r="F276" s="3">
        <v>7</v>
      </c>
      <c r="G276" s="4">
        <v>0</v>
      </c>
      <c r="H276" s="1">
        <f>SUM(C276:G276)</f>
        <v>344</v>
      </c>
      <c r="I276" s="10">
        <f>C276/H276</f>
        <v>0.97965116279069764</v>
      </c>
      <c r="J276" s="11">
        <f>1-I276</f>
        <v>2.0348837209302362E-2</v>
      </c>
      <c r="K276">
        <f>H276-C281</f>
        <v>7</v>
      </c>
      <c r="N276" s="10">
        <f>2*(C282*I276)/(C282+I276)</f>
        <v>0.98972099853157125</v>
      </c>
      <c r="O276" s="1"/>
      <c r="P276" s="1"/>
      <c r="S276" t="s">
        <v>39</v>
      </c>
      <c r="T276" s="57">
        <f t="shared" si="39"/>
        <v>0</v>
      </c>
      <c r="U276" s="57">
        <f t="shared" si="39"/>
        <v>3.7577749244470979E-2</v>
      </c>
      <c r="V276" s="57">
        <f t="shared" si="39"/>
        <v>0.31042619542098848</v>
      </c>
      <c r="W276" s="57">
        <f t="shared" si="39"/>
        <v>0.37245052179829374</v>
      </c>
      <c r="X276" s="57">
        <f t="shared" si="39"/>
        <v>0.22396867990424987</v>
      </c>
    </row>
    <row r="277" spans="1:41" x14ac:dyDescent="0.3">
      <c r="A277" t="s">
        <v>4</v>
      </c>
      <c r="B277" s="13">
        <v>1</v>
      </c>
      <c r="C277" s="5">
        <v>0</v>
      </c>
      <c r="D277" s="27">
        <v>48</v>
      </c>
      <c r="E277" s="1">
        <v>0</v>
      </c>
      <c r="F277" s="1">
        <v>0</v>
      </c>
      <c r="G277" s="6">
        <v>0</v>
      </c>
      <c r="H277" s="1">
        <f>SUM(C277:G277)</f>
        <v>48</v>
      </c>
      <c r="I277" s="10">
        <f>D277/H277</f>
        <v>1</v>
      </c>
      <c r="J277" s="11">
        <f>1-I277</f>
        <v>0</v>
      </c>
      <c r="K277">
        <f>H277-D281</f>
        <v>-3</v>
      </c>
      <c r="N277" s="10">
        <f>2*(D282*I277)/(D282+I277)</f>
        <v>0.96969696969696972</v>
      </c>
      <c r="O277" s="1"/>
      <c r="P277" s="1"/>
      <c r="S277" s="66" t="s">
        <v>60</v>
      </c>
      <c r="T277" s="67">
        <f>1.96*T276</f>
        <v>0</v>
      </c>
      <c r="U277" s="67">
        <f>1.96*U276</f>
        <v>7.3652388519163114E-2</v>
      </c>
      <c r="V277" s="67">
        <f>1.96*V276</f>
        <v>0.60843534302513747</v>
      </c>
      <c r="W277" s="67">
        <f>1.96*W276</f>
        <v>0.73000302272465567</v>
      </c>
      <c r="X277" s="67">
        <f>1.96*X276</f>
        <v>0.43897861261232973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0</v>
      </c>
      <c r="E278" s="27">
        <v>714</v>
      </c>
      <c r="F278" s="1">
        <v>4</v>
      </c>
      <c r="G278" s="6">
        <v>0</v>
      </c>
      <c r="H278" s="1">
        <f>SUM(C278:G278)</f>
        <v>718</v>
      </c>
      <c r="I278" s="10">
        <f>E278/H278</f>
        <v>0.99442896935933145</v>
      </c>
      <c r="J278" s="11">
        <f>1-I278</f>
        <v>5.5710306406685506E-3</v>
      </c>
      <c r="K278">
        <f>H278-E281</f>
        <v>-141</v>
      </c>
      <c r="N278" s="10">
        <f>2*(E282*I278)/(E282+I278)</f>
        <v>0.90551680405833856</v>
      </c>
      <c r="O278" s="1"/>
      <c r="P278" s="1"/>
      <c r="S278" t="s">
        <v>30</v>
      </c>
      <c r="T278" s="57">
        <f t="shared" ref="T278:X279" si="40">AVERAGE(T18,T28,T38,T48,T58)</f>
        <v>100</v>
      </c>
      <c r="U278" s="57">
        <f t="shared" si="40"/>
        <v>95.388468379938473</v>
      </c>
      <c r="V278" s="57">
        <f t="shared" si="40"/>
        <v>97.619618589438261</v>
      </c>
      <c r="W278" s="57">
        <f t="shared" si="40"/>
        <v>98.417469875926514</v>
      </c>
      <c r="X278" s="57">
        <f t="shared" si="40"/>
        <v>84.293764523909886</v>
      </c>
    </row>
    <row r="279" spans="1:41" x14ac:dyDescent="0.3">
      <c r="A279" t="s">
        <v>6</v>
      </c>
      <c r="B279" s="13">
        <v>3</v>
      </c>
      <c r="C279" s="5">
        <v>0</v>
      </c>
      <c r="D279" s="1">
        <v>0</v>
      </c>
      <c r="E279" s="1">
        <v>9</v>
      </c>
      <c r="F279" s="27">
        <v>384</v>
      </c>
      <c r="G279" s="6">
        <v>8</v>
      </c>
      <c r="H279" s="1">
        <f>SUM(C279:G279)</f>
        <v>401</v>
      </c>
      <c r="I279" s="10">
        <f>F279/H279</f>
        <v>0.95760598503740646</v>
      </c>
      <c r="J279" s="11">
        <f>1-I279</f>
        <v>4.239401496259354E-2</v>
      </c>
      <c r="K279">
        <f>H279-F281</f>
        <v>-17</v>
      </c>
      <c r="N279" s="10">
        <f>2*(F282*I279)/(F282+I279)</f>
        <v>0.93772893772893773</v>
      </c>
      <c r="O279" s="1"/>
      <c r="P279" s="1"/>
      <c r="S279" t="s">
        <v>39</v>
      </c>
      <c r="T279" s="57">
        <f t="shared" si="40"/>
        <v>0</v>
      </c>
      <c r="U279" s="57">
        <f t="shared" si="40"/>
        <v>3.6528276344381028</v>
      </c>
      <c r="V279" s="57">
        <f t="shared" si="40"/>
        <v>0.40098142965472727</v>
      </c>
      <c r="W279" s="57">
        <f t="shared" si="40"/>
        <v>0.56071877505244083</v>
      </c>
      <c r="X279" s="57">
        <f t="shared" si="40"/>
        <v>5.5591555816333305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3</v>
      </c>
      <c r="E280" s="8">
        <v>136</v>
      </c>
      <c r="F280" s="8">
        <v>23</v>
      </c>
      <c r="G280" s="28">
        <v>633</v>
      </c>
      <c r="H280" s="1">
        <f>SUM(C280:G280)</f>
        <v>795</v>
      </c>
      <c r="I280" s="10">
        <f>G280/H280</f>
        <v>0.79622641509433967</v>
      </c>
      <c r="J280" s="11">
        <f>1-I280</f>
        <v>0.20377358490566033</v>
      </c>
      <c r="K280">
        <f>H280-G281</f>
        <v>154</v>
      </c>
      <c r="N280" s="10">
        <f>2*(G282*I280)/(G282+I280)</f>
        <v>0.88161559888579388</v>
      </c>
      <c r="O280" s="1"/>
      <c r="P280" s="1"/>
      <c r="S280" s="66" t="s">
        <v>60</v>
      </c>
      <c r="T280" s="67">
        <f>1.96*T279</f>
        <v>0</v>
      </c>
      <c r="U280" s="67">
        <f>1.96*U279</f>
        <v>7.1595421634986813</v>
      </c>
      <c r="V280" s="67">
        <f>1.96*V279</f>
        <v>0.7859236021232654</v>
      </c>
      <c r="W280" s="67">
        <f>1.96*W279</f>
        <v>1.0990087991027839</v>
      </c>
      <c r="X280" s="67">
        <f>1.96*X279</f>
        <v>10.895944940001327</v>
      </c>
    </row>
    <row r="281" spans="1:41" ht="15.6" x14ac:dyDescent="0.35">
      <c r="B281" s="1" t="s">
        <v>19</v>
      </c>
      <c r="C281" s="1">
        <f>SUM(C276:C280)</f>
        <v>337</v>
      </c>
      <c r="D281" s="1">
        <f>SUM(D276:D280)</f>
        <v>51</v>
      </c>
      <c r="E281" s="1">
        <f>SUM(E276:E280)</f>
        <v>859</v>
      </c>
      <c r="F281" s="1">
        <f>SUM(F276:F280)</f>
        <v>418</v>
      </c>
      <c r="G281" s="1">
        <f>SUM(G276:G280)</f>
        <v>641</v>
      </c>
      <c r="H281" s="1">
        <f>SUM(H275:H280)</f>
        <v>2306</v>
      </c>
      <c r="I281" s="13" t="s">
        <v>12</v>
      </c>
      <c r="N281" s="16"/>
      <c r="O281" s="1"/>
      <c r="P281" s="1"/>
      <c r="S281" t="s">
        <v>31</v>
      </c>
      <c r="T281" s="57">
        <f t="shared" ref="T281:X282" si="41">AVERAGE(T20,T30,T40,T50,T60)</f>
        <v>100</v>
      </c>
      <c r="U281" s="57">
        <f t="shared" si="41"/>
        <v>100</v>
      </c>
      <c r="V281" s="57">
        <f t="shared" si="41"/>
        <v>99.387186629526454</v>
      </c>
      <c r="W281" s="57">
        <f t="shared" si="41"/>
        <v>95.910224438902745</v>
      </c>
      <c r="X281" s="57">
        <f t="shared" si="41"/>
        <v>77.584905660377359</v>
      </c>
      <c r="AM281" s="78"/>
      <c r="AN281" s="78"/>
      <c r="AO281" s="78"/>
    </row>
    <row r="282" spans="1:41" x14ac:dyDescent="0.3">
      <c r="A282" s="1" t="s">
        <v>316</v>
      </c>
      <c r="B282" s="1" t="s">
        <v>2</v>
      </c>
      <c r="C282" s="10">
        <f>C276/C281</f>
        <v>1</v>
      </c>
      <c r="D282" s="10">
        <f>D277/D281</f>
        <v>0.94117647058823528</v>
      </c>
      <c r="E282" s="10">
        <f>E278/E281</f>
        <v>0.83119906868451687</v>
      </c>
      <c r="F282" s="10">
        <f>F279/F281</f>
        <v>0.91866028708133973</v>
      </c>
      <c r="G282" s="10">
        <f>G280/G281</f>
        <v>0.98751950078003126</v>
      </c>
      <c r="H282" s="10"/>
      <c r="I282" s="14">
        <f>(C276+D277+E278+F279+G280)/H281</f>
        <v>0.91760624457935824</v>
      </c>
      <c r="S282" t="s">
        <v>39</v>
      </c>
      <c r="T282" s="57">
        <f t="shared" si="41"/>
        <v>0</v>
      </c>
      <c r="U282" s="57">
        <f t="shared" si="41"/>
        <v>0</v>
      </c>
      <c r="V282" s="57">
        <f t="shared" si="41"/>
        <v>0.28857506492089147</v>
      </c>
      <c r="W282" s="57">
        <f t="shared" si="41"/>
        <v>0.98931403090296155</v>
      </c>
      <c r="X282" s="57">
        <f t="shared" si="41"/>
        <v>1.4798876204394349</v>
      </c>
    </row>
    <row r="283" spans="1:41" x14ac:dyDescent="0.3">
      <c r="B283" s="1" t="s">
        <v>14</v>
      </c>
      <c r="C283" s="11">
        <f>1-C282</f>
        <v>0</v>
      </c>
      <c r="D283" s="11">
        <f>1-D282</f>
        <v>5.8823529411764719E-2</v>
      </c>
      <c r="E283" s="11">
        <f>1-E282</f>
        <v>0.16880093131548313</v>
      </c>
      <c r="F283" s="11">
        <f>1-F282</f>
        <v>8.1339712918660267E-2</v>
      </c>
      <c r="G283" s="11">
        <f>1-G282</f>
        <v>1.2480499219968744E-2</v>
      </c>
      <c r="S283" s="66" t="s">
        <v>60</v>
      </c>
      <c r="T283" s="67">
        <f>1.96*T282</f>
        <v>0</v>
      </c>
      <c r="U283" s="67">
        <f>1.96*U282</f>
        <v>0</v>
      </c>
      <c r="V283" s="67">
        <f>1.96*V282</f>
        <v>0.56560712724494722</v>
      </c>
      <c r="W283" s="67">
        <f>1.96*W282</f>
        <v>1.9390555005698047</v>
      </c>
      <c r="X283" s="67">
        <f>1.96*X282</f>
        <v>2.9005797360612924</v>
      </c>
      <c r="AM283" s="78"/>
      <c r="AN283" s="78"/>
      <c r="AO283" s="78"/>
    </row>
    <row r="284" spans="1:41" x14ac:dyDescent="0.3">
      <c r="C284" s="2"/>
      <c r="S284" t="s">
        <v>51</v>
      </c>
      <c r="T284" s="57">
        <f>AVERAGE(T22,T32,T42,T52,T62)</f>
        <v>100</v>
      </c>
      <c r="U284" s="57">
        <f>AVERAGE(U22,U32,U42,U52,U62)</f>
        <v>97.785411194180639</v>
      </c>
      <c r="V284" s="57">
        <f>AVERAGE(V22,V32,V42,V52,V62)</f>
        <v>89.920411035445909</v>
      </c>
      <c r="W284" s="57">
        <f>AVERAGE(W22,W32,W42,W52,W62)</f>
        <v>93.829751421645554</v>
      </c>
      <c r="X284" s="57">
        <f>AVERAGE(X22,X32,X42,X52,X62)</f>
        <v>86.946380168658621</v>
      </c>
    </row>
    <row r="285" spans="1:41" ht="15.6" x14ac:dyDescent="0.35">
      <c r="A285" t="s">
        <v>317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</v>
      </c>
      <c r="U285" s="57">
        <f>_xlfn.STDEV.S(U22,U32,U42,U52,U62)</f>
        <v>1.7663647115454872</v>
      </c>
      <c r="V285" s="57">
        <f>_xlfn.STDEV.S(V22,V32,V42,V52,V62)</f>
        <v>0.38332470435506505</v>
      </c>
      <c r="W285" s="57">
        <f>_xlfn.STDEV.S(W22,W32,W42,W52,W62)</f>
        <v>0.58702964566842353</v>
      </c>
      <c r="X285" s="57">
        <f>_xlfn.STDEV.S(X22,X32,X42,X52,X62)</f>
        <v>0.25105298737467091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60</v>
      </c>
      <c r="T286" s="67">
        <f>1.96*T285</f>
        <v>0</v>
      </c>
      <c r="U286" s="67">
        <f>1.96*U285</f>
        <v>3.462074834629155</v>
      </c>
      <c r="V286" s="67">
        <f>1.96*V285</f>
        <v>0.75131642053592751</v>
      </c>
      <c r="W286" s="67">
        <f>1.96*W285</f>
        <v>1.1505781055101101</v>
      </c>
      <c r="X286" s="67">
        <f>1.96*X285</f>
        <v>0.49206385525435498</v>
      </c>
    </row>
    <row r="287" spans="1:41" x14ac:dyDescent="0.3">
      <c r="A287" t="s">
        <v>3</v>
      </c>
      <c r="B287" s="13">
        <v>0</v>
      </c>
      <c r="C287" s="29">
        <f>(C276/$L287)*$O287</f>
        <v>0.37486456196308726</v>
      </c>
      <c r="D287" s="31">
        <f>(D276/$L287)*$O287</f>
        <v>0</v>
      </c>
      <c r="E287" s="31">
        <f>(E276/$L287)*$O287</f>
        <v>0</v>
      </c>
      <c r="F287" s="31">
        <f>(F276/$L287)*$O287</f>
        <v>7.7865042544261465E-3</v>
      </c>
      <c r="G287" s="32">
        <f>(G276/$L287)*$O287</f>
        <v>0</v>
      </c>
      <c r="H287" s="17">
        <f>SUM(C287:G287)</f>
        <v>0.38265106621751344</v>
      </c>
      <c r="I287" s="17">
        <f>C287/H287*100</f>
        <v>97.965116279069761</v>
      </c>
      <c r="J287" s="17">
        <f>SQRT(I287*(100-I287)/(L287-1))</f>
        <v>0.76235713250356518</v>
      </c>
      <c r="K287" s="18">
        <f>100-I287</f>
        <v>2.0348837209302388</v>
      </c>
      <c r="L287" s="1">
        <f>H276</f>
        <v>344</v>
      </c>
      <c r="M287">
        <v>0</v>
      </c>
      <c r="N287" s="1">
        <v>313.14999999999998</v>
      </c>
      <c r="O287" s="17">
        <f>N287/N292*100</f>
        <v>0.38265106621751344</v>
      </c>
      <c r="P287" s="52">
        <f>((O287*O287*(I287/100)*(K287/100))/(L287-1))</f>
        <v>8.5098673660617538E-6</v>
      </c>
      <c r="R287" s="16" t="s">
        <v>70</v>
      </c>
      <c r="S287" t="s">
        <v>9</v>
      </c>
      <c r="T287" s="57">
        <f>AVERAGE(T23,T33,T43,T53,T63)</f>
        <v>337.154</v>
      </c>
      <c r="U287" s="57">
        <f>AVERAGE(U23,U33,U43,U53,U63)</f>
        <v>667.73799999999994</v>
      </c>
      <c r="V287" s="57">
        <f>AVERAGE(V23,V33,V43,V53,V63)</f>
        <v>50448.212</v>
      </c>
      <c r="W287" s="57">
        <f>AVERAGE(W23,W33,W43,W53,W63)</f>
        <v>27121.804000000004</v>
      </c>
      <c r="X287" s="57">
        <f>AVERAGE(X23,X33,X43,X53,X63)</f>
        <v>3262.0620000000004</v>
      </c>
      <c r="Z287" t="s">
        <v>36</v>
      </c>
      <c r="AA287" s="57">
        <f>AVERAGE(AA23,AA33,AA43,AA53,AA63)</f>
        <v>81836.97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42">(C277/$L288)*$O288</f>
        <v>0</v>
      </c>
      <c r="D288" s="34">
        <f t="shared" si="42"/>
        <v>0.66469966626326293</v>
      </c>
      <c r="E288" s="19">
        <f t="shared" si="42"/>
        <v>0</v>
      </c>
      <c r="F288" s="18">
        <f t="shared" si="42"/>
        <v>0</v>
      </c>
      <c r="G288" s="20">
        <f t="shared" si="42"/>
        <v>0</v>
      </c>
      <c r="H288" s="17">
        <f>SUM(C288:G288)</f>
        <v>0.66469966626326293</v>
      </c>
      <c r="I288" s="17">
        <f>D288/H288*100</f>
        <v>100</v>
      </c>
      <c r="J288" s="17">
        <f>SQRT(I288*(100-I288)/(L288-1))</f>
        <v>0</v>
      </c>
      <c r="K288" s="18">
        <f>100-I288</f>
        <v>0</v>
      </c>
      <c r="L288" s="1">
        <f>H277</f>
        <v>48</v>
      </c>
      <c r="M288">
        <v>1</v>
      </c>
      <c r="N288" s="1">
        <v>543.97</v>
      </c>
      <c r="O288" s="17">
        <f>N288/N292*100</f>
        <v>0.66469966626326293</v>
      </c>
      <c r="P288" s="52">
        <f>((O288*O288*(I288/100)*(K288/100))/(L288-1))</f>
        <v>0</v>
      </c>
      <c r="S288" t="s">
        <v>29</v>
      </c>
      <c r="T288" s="57">
        <f>_xlfn.STDEV.S(T23,T33,T43,T53,T63)</f>
        <v>6.872370769974494</v>
      </c>
      <c r="U288" s="57">
        <f>_xlfn.STDEV.S(U23,U33,U43,U53,U63)</f>
        <v>62.087017725125129</v>
      </c>
      <c r="V288" s="57">
        <f>_xlfn.STDEV.S(V23,V33,V43,V53,V63)</f>
        <v>165.35563936558086</v>
      </c>
      <c r="W288" s="57">
        <f>_xlfn.STDEV.S(W23,W33,W43,W53,W63)</f>
        <v>172.46925778236539</v>
      </c>
      <c r="X288" s="57">
        <f>_xlfn.STDEV.S(X23,X33,X43,X53,X63)</f>
        <v>72.188474287797533</v>
      </c>
      <c r="Z288" t="s">
        <v>29</v>
      </c>
      <c r="AA288" s="57">
        <f>_xlfn.STDEV.S(AA23,AA33,AA43,AA53,AA63)</f>
        <v>7.2759576141834259E-12</v>
      </c>
    </row>
    <row r="289" spans="1:41" x14ac:dyDescent="0.3">
      <c r="A289" t="s">
        <v>5</v>
      </c>
      <c r="B289" s="13">
        <v>2</v>
      </c>
      <c r="C289" s="33">
        <f t="shared" si="42"/>
        <v>0</v>
      </c>
      <c r="D289" s="19">
        <f t="shared" si="42"/>
        <v>0</v>
      </c>
      <c r="E289" s="34">
        <f t="shared" si="42"/>
        <v>61.512066679773682</v>
      </c>
      <c r="F289" s="19">
        <f t="shared" si="42"/>
        <v>0.34460541557296182</v>
      </c>
      <c r="G289" s="20">
        <f t="shared" si="42"/>
        <v>0</v>
      </c>
      <c r="H289" s="17">
        <f>SUM(C289:G289)</f>
        <v>61.856672095346646</v>
      </c>
      <c r="I289" s="17">
        <f>E289/H289*100</f>
        <v>99.442896935933149</v>
      </c>
      <c r="J289" s="17">
        <f>SQRT(I289*(100-I289)/(L289-1))</f>
        <v>0.27796817739934171</v>
      </c>
      <c r="K289" s="18">
        <f>100-I289</f>
        <v>0.55710306406685106</v>
      </c>
      <c r="L289" s="1">
        <f>H278</f>
        <v>718</v>
      </c>
      <c r="M289">
        <v>2</v>
      </c>
      <c r="N289" s="1">
        <v>50621.62</v>
      </c>
      <c r="O289" s="17">
        <f>N289/N292*100</f>
        <v>61.856672095346646</v>
      </c>
      <c r="P289" s="52">
        <f>((O289*O289*(I289/100)*(K289/100))/(L289-1))</f>
        <v>2.9564004603814642E-2</v>
      </c>
      <c r="S289" t="s">
        <v>60</v>
      </c>
      <c r="T289" s="57">
        <f>1.96*T288</f>
        <v>13.469846709150008</v>
      </c>
      <c r="U289" s="57">
        <f>1.96*U288</f>
        <v>121.69055474124525</v>
      </c>
      <c r="V289" s="57">
        <f>1.96*V288</f>
        <v>324.09705315653849</v>
      </c>
      <c r="W289" s="57">
        <f>1.96*W288</f>
        <v>338.03974525343614</v>
      </c>
      <c r="X289" s="57">
        <f>1.96*X288</f>
        <v>141.48940960408316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42"/>
        <v>0</v>
      </c>
      <c r="D290" s="19">
        <f t="shared" si="42"/>
        <v>0</v>
      </c>
      <c r="E290" s="19">
        <f t="shared" si="42"/>
        <v>0.73721100138519569</v>
      </c>
      <c r="F290" s="34">
        <f t="shared" si="42"/>
        <v>31.454336059101681</v>
      </c>
      <c r="G290" s="20">
        <f t="shared" si="42"/>
        <v>0.65529866789795166</v>
      </c>
      <c r="H290" s="17">
        <f>SUM(C290:G290)</f>
        <v>32.846845728384828</v>
      </c>
      <c r="I290" s="17">
        <f>F290/H290*100</f>
        <v>95.760598503740653</v>
      </c>
      <c r="J290" s="17">
        <f>SQRT(I290*(100-I290)/(L290-1))</f>
        <v>1.0074319140510797</v>
      </c>
      <c r="K290" s="18">
        <f>100-I290</f>
        <v>4.2394014962593474</v>
      </c>
      <c r="L290" s="1">
        <f>H279</f>
        <v>401</v>
      </c>
      <c r="M290">
        <v>3</v>
      </c>
      <c r="N290" s="1">
        <v>26880.86</v>
      </c>
      <c r="O290" s="17">
        <f>N290/N292*100</f>
        <v>32.846845728384828</v>
      </c>
      <c r="P290" s="52">
        <f>((O290*O290*(I290/100)*(K290/100))/(L290-1))</f>
        <v>0.10950116775795155</v>
      </c>
      <c r="R290" s="16" t="s">
        <v>69</v>
      </c>
      <c r="S290" t="s">
        <v>9</v>
      </c>
      <c r="T290" s="57">
        <f>AVERAGE(T24,T34,T44,T54,T64)</f>
        <v>337.15399999999994</v>
      </c>
      <c r="U290" s="57">
        <f>AVERAGE(U24,U34,U44,U54,U64)</f>
        <v>702.85643976057827</v>
      </c>
      <c r="V290" s="57">
        <f>AVERAGE(V24,V34,V44,V54,V64)</f>
        <v>51361.646360283768</v>
      </c>
      <c r="W290" s="57">
        <f>AVERAGE(W24,W34,W44,W54,W64)</f>
        <v>26430.746794648159</v>
      </c>
      <c r="X290" s="57">
        <f>AVERAGE(X24,X34,X44,X54,X64)</f>
        <v>3004.5664053074861</v>
      </c>
      <c r="Z290" t="s">
        <v>36</v>
      </c>
      <c r="AA290" s="24">
        <f>SUM(T290:X290)</f>
        <v>81836.969999999987</v>
      </c>
    </row>
    <row r="291" spans="1:41" x14ac:dyDescent="0.3">
      <c r="A291" t="s">
        <v>7</v>
      </c>
      <c r="B291" s="13">
        <v>4</v>
      </c>
      <c r="C291" s="35">
        <f t="shared" si="42"/>
        <v>0</v>
      </c>
      <c r="D291" s="36">
        <f t="shared" si="42"/>
        <v>1.6034458278444325E-2</v>
      </c>
      <c r="E291" s="21">
        <f t="shared" si="42"/>
        <v>0.72689544195614275</v>
      </c>
      <c r="F291" s="21">
        <f t="shared" si="42"/>
        <v>0.12293084680140649</v>
      </c>
      <c r="G291" s="37">
        <f t="shared" si="42"/>
        <v>3.3832706967517527</v>
      </c>
      <c r="H291" s="17">
        <f>SUM(C291:G291)</f>
        <v>4.2491314437877463</v>
      </c>
      <c r="I291" s="17">
        <f>G291/H291*100</f>
        <v>79.622641509433961</v>
      </c>
      <c r="J291" s="17">
        <f>SQRT(I291*(100-I291)/(L291-1))</f>
        <v>1.4294928333887418</v>
      </c>
      <c r="K291" s="18">
        <f>100-I291</f>
        <v>20.377358490566039</v>
      </c>
      <c r="L291" s="1">
        <f>H280</f>
        <v>795</v>
      </c>
      <c r="M291">
        <v>4</v>
      </c>
      <c r="N291" s="1">
        <v>3477.36</v>
      </c>
      <c r="O291" s="17">
        <f>N291/N292*100</f>
        <v>4.2491314437877463</v>
      </c>
      <c r="P291" s="52">
        <f>((O291*O291*(I291/100)*(K291/100))/(L291-1))</f>
        <v>3.6894726611013343E-3</v>
      </c>
      <c r="S291" t="s">
        <v>29</v>
      </c>
      <c r="T291" s="57">
        <f>_xlfn.STDEV.S(T24,T34,T44,T54,T64)</f>
        <v>6.8723707699744949</v>
      </c>
      <c r="U291" s="57">
        <f>_xlfn.STDEV.S(U24,U34,U44,U54,U64)</f>
        <v>90.512451907642742</v>
      </c>
      <c r="V291" s="57">
        <f>_xlfn.STDEV.S(V24,V34,V44,V54,V64)</f>
        <v>185.3046516899079</v>
      </c>
      <c r="W291" s="57">
        <f>_xlfn.STDEV.S(W24,W34,W44,W54,W64)</f>
        <v>156.80724260086131</v>
      </c>
      <c r="X291" s="57">
        <f>_xlfn.STDEV.S(X24,X34,X44,X54,X64)</f>
        <v>116.36645851263916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0.37486456196308726</v>
      </c>
      <c r="D292" s="17">
        <f>SUM(D287:D291)</f>
        <v>0.68073412454170723</v>
      </c>
      <c r="E292" s="17">
        <f>SUM(E287:E291)</f>
        <v>62.976173123115025</v>
      </c>
      <c r="F292" s="17">
        <f>SUM(F287:F291)</f>
        <v>31.929658825730474</v>
      </c>
      <c r="G292" s="17">
        <f>SUM(G287:G291)</f>
        <v>4.0385693646497041</v>
      </c>
      <c r="H292" s="1">
        <f>SUM(H286:H291)</f>
        <v>100</v>
      </c>
      <c r="I292" s="13" t="s">
        <v>24</v>
      </c>
      <c r="J292" s="12" t="s">
        <v>29</v>
      </c>
      <c r="N292" s="1">
        <f>SUM(N287:N291)</f>
        <v>81836.960000000006</v>
      </c>
      <c r="O292" s="17">
        <f>SUM(O287:O291)</f>
        <v>100</v>
      </c>
      <c r="S292" s="66" t="s">
        <v>60</v>
      </c>
      <c r="T292" s="67">
        <f>1.96*T291</f>
        <v>13.46984670915001</v>
      </c>
      <c r="U292" s="67">
        <f>1.96*U291</f>
        <v>177.40440573897976</v>
      </c>
      <c r="V292" s="67">
        <f>1.96*V291</f>
        <v>363.19711731221946</v>
      </c>
      <c r="W292" s="67">
        <f>1.96*W291</f>
        <v>307.34219549768818</v>
      </c>
      <c r="X292" s="67">
        <f>1.96*X291</f>
        <v>228.07825868477275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2.9129245406519706E-3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9.2400153150487951E-3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0.30294337816918765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0.37335967395421005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0.23725726781801901</v>
      </c>
      <c r="H293" s="1"/>
      <c r="I293" s="56">
        <f>(C287+D288+E289+F290+G291)/H292</f>
        <v>0.97389237663853467</v>
      </c>
      <c r="J293" s="53">
        <f>SQRT(SUM(P287:P291))/100</f>
        <v>3.7784011815877039E-3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100</v>
      </c>
      <c r="D294" s="17">
        <f>D288/D292*100</f>
        <v>97.644534378346435</v>
      </c>
      <c r="E294" s="17">
        <f>E289/E292*100</f>
        <v>97.675142247085901</v>
      </c>
      <c r="F294" s="17">
        <f>F290/F292*100</f>
        <v>98.511344047792477</v>
      </c>
      <c r="G294" s="17">
        <f>G291/G292*100</f>
        <v>83.773990026421387</v>
      </c>
      <c r="H294" s="1"/>
    </row>
    <row r="295" spans="1:41" x14ac:dyDescent="0.3">
      <c r="B295" s="16" t="s">
        <v>39</v>
      </c>
      <c r="C295" s="18">
        <f>SQRT((C298+C299)/(C292*C292))</f>
        <v>0</v>
      </c>
      <c r="D295" s="18">
        <f>SQRT((D298+D299)/(D292*D292))</f>
        <v>1.3262225898123809</v>
      </c>
      <c r="E295" s="18">
        <f>SQRT((E298+E299)/(E292*E292))</f>
        <v>0.39261201732565754</v>
      </c>
      <c r="F295" s="18">
        <f>SQRT((F298+F299)/(F292*F292))</f>
        <v>0.55801367781014943</v>
      </c>
      <c r="G295" s="18">
        <f>SQRT((G298+G299)/(G292*G292))</f>
        <v>5.3524114425621887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0</v>
      </c>
      <c r="D296" s="18">
        <f>100-D294</f>
        <v>2.3554656216535648</v>
      </c>
      <c r="E296" s="18">
        <f>100-E294</f>
        <v>2.3248577529140988</v>
      </c>
      <c r="F296" s="18">
        <f>100-F294</f>
        <v>1.4886559522075231</v>
      </c>
      <c r="G296" s="18">
        <f>100-G294</f>
        <v>16.226009973578613</v>
      </c>
    </row>
    <row r="297" spans="1:41" ht="15.6" x14ac:dyDescent="0.35">
      <c r="B297" s="1" t="s">
        <v>25</v>
      </c>
      <c r="C297" s="1">
        <f>C281</f>
        <v>337</v>
      </c>
      <c r="D297" s="1">
        <f>D281</f>
        <v>51</v>
      </c>
      <c r="E297" s="1">
        <f>E281</f>
        <v>859</v>
      </c>
      <c r="F297" s="1">
        <f>F281</f>
        <v>418</v>
      </c>
      <c r="G297" s="1">
        <f>G281</f>
        <v>641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0</v>
      </c>
      <c r="E298" s="18">
        <f>(O289*O289*(100-E294)*(100-E294)*(I289)*(100-I289))/((L289-1)*100)</f>
        <v>15.979236790491401</v>
      </c>
      <c r="F298" s="18">
        <f>(O290*O290*(100-F294)*(100-F294)*(I290)*(100-I290))/((L290-1)*100)</f>
        <v>24.266515943705684</v>
      </c>
      <c r="G298" s="18">
        <f>(O291*O291*(100-G294)*(100-G294)*(I291)*(100-I291))/((L291-1)*100)</f>
        <v>97.137690517724678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0.815056820399088</v>
      </c>
      <c r="E299" s="18">
        <f>E294*E294*(SUM((H287*E287*(1-E276/H276))/(H276-1),(H288*E288*(1-E277/H277))/(H277-1), (H290*E290*(1-E279/H279))/(H279-1),(H291*E291*(1-E280/H280))/(H280-1)))</f>
        <v>595.35639561094195</v>
      </c>
      <c r="F299" s="18">
        <f>F294*F294*(SUM((H287*F287*(1-F276/H276))/(H276-1),(H288*F288*(1-F277/H277))/(H277-1), (H289*F289*(1-F278/H278))/(H278-1),(H291*F291*(1-F280/H280))/(H280-1)))</f>
        <v>293.18561357847102</v>
      </c>
      <c r="G299" s="18">
        <f>G294*G294*(SUM((H287*G287*(1-G276/H276))/(H276-1),(H288*G288*(1-G277/H277))/(H277-1), (H289*G289*(1-G278/H278))/(H278-1),(H290*G290*(1-G279/H279))/(H279-1)))</f>
        <v>370.11743497547593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48" t="s">
        <v>378</v>
      </c>
      <c r="B302" s="348"/>
      <c r="C302" s="348"/>
      <c r="D302" s="348"/>
      <c r="E302" s="348"/>
      <c r="F302" s="348"/>
      <c r="G302" s="348"/>
      <c r="H302" s="348"/>
      <c r="I302" s="348"/>
      <c r="J302" s="348"/>
      <c r="K302" s="348"/>
      <c r="L302" s="348" t="s">
        <v>83</v>
      </c>
      <c r="M302" s="348"/>
      <c r="N302" s="348"/>
      <c r="O302" s="348"/>
      <c r="P302" s="348"/>
    </row>
    <row r="303" spans="1:41" x14ac:dyDescent="0.3">
      <c r="A303" t="s">
        <v>315</v>
      </c>
      <c r="B303" t="s">
        <v>21</v>
      </c>
      <c r="I303" s="1" t="s">
        <v>53</v>
      </c>
      <c r="O303" s="142"/>
      <c r="P303" s="142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51</v>
      </c>
      <c r="O304" s="13"/>
      <c r="P304" s="13"/>
    </row>
    <row r="305" spans="1:41" x14ac:dyDescent="0.3">
      <c r="A305" t="s">
        <v>3</v>
      </c>
      <c r="B305" s="13">
        <v>0</v>
      </c>
      <c r="C305" s="26">
        <v>344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344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48</v>
      </c>
      <c r="E306" s="1">
        <v>0</v>
      </c>
      <c r="F306" s="1">
        <v>0</v>
      </c>
      <c r="G306" s="6">
        <v>0</v>
      </c>
      <c r="H306" s="1">
        <f>SUM(C306:G306)</f>
        <v>48</v>
      </c>
      <c r="I306" s="10">
        <f>D306/H306</f>
        <v>1</v>
      </c>
      <c r="J306" s="11">
        <f>1-I306</f>
        <v>0</v>
      </c>
      <c r="K306">
        <f>H306-D310</f>
        <v>-4</v>
      </c>
      <c r="N306" s="10">
        <f>2*(D311*I306)/(D311+I306)</f>
        <v>0.96000000000000008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0</v>
      </c>
      <c r="E307" s="27">
        <v>712</v>
      </c>
      <c r="F307" s="1">
        <v>5</v>
      </c>
      <c r="G307" s="6">
        <v>1</v>
      </c>
      <c r="H307" s="1">
        <f>SUM(C307:G307)</f>
        <v>718</v>
      </c>
      <c r="I307" s="10">
        <f>E307/H307</f>
        <v>0.99164345403899723</v>
      </c>
      <c r="J307" s="11">
        <f>1-I307</f>
        <v>8.3565459610027704E-3</v>
      </c>
      <c r="K307">
        <f>H307-E310</f>
        <v>-134</v>
      </c>
      <c r="N307" s="10">
        <f>2*(E311*I307)/(E311+I307)</f>
        <v>0.90700636942675161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0</v>
      </c>
      <c r="D308" s="1">
        <v>0</v>
      </c>
      <c r="E308" s="1">
        <v>9</v>
      </c>
      <c r="F308" s="27">
        <v>381</v>
      </c>
      <c r="G308" s="6">
        <v>11</v>
      </c>
      <c r="H308" s="1">
        <f>SUM(C308:G308)</f>
        <v>401</v>
      </c>
      <c r="I308" s="10">
        <f>F308/H308</f>
        <v>0.95012468827930174</v>
      </c>
      <c r="J308" s="11">
        <f>1-I308</f>
        <v>4.9875311720698257E-2</v>
      </c>
      <c r="K308">
        <f>H308-F310</f>
        <v>-21</v>
      </c>
      <c r="N308" s="10">
        <f>2*(F311*I308)/(F311+I308)</f>
        <v>0.92588092345078987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4</v>
      </c>
      <c r="E309" s="8">
        <v>131</v>
      </c>
      <c r="F309" s="8">
        <v>36</v>
      </c>
      <c r="G309" s="28">
        <v>624</v>
      </c>
      <c r="H309" s="1">
        <f>SUM(C309:G309)</f>
        <v>795</v>
      </c>
      <c r="I309" s="10">
        <f>G309/H309</f>
        <v>0.78490566037735854</v>
      </c>
      <c r="J309" s="11">
        <f>1-I309</f>
        <v>0.21509433962264146</v>
      </c>
      <c r="K309">
        <f>H309-G310</f>
        <v>159</v>
      </c>
      <c r="N309" s="10">
        <f>2*(G311*I309)/(G311+I309)</f>
        <v>0.8721174004192872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344</v>
      </c>
      <c r="D310" s="1">
        <f>SUM(D305:D309)</f>
        <v>52</v>
      </c>
      <c r="E310" s="1">
        <f>SUM(E305:E309)</f>
        <v>852</v>
      </c>
      <c r="F310" s="1">
        <f>SUM(F305:F309)</f>
        <v>422</v>
      </c>
      <c r="G310" s="1">
        <f>SUM(G305:G309)</f>
        <v>636</v>
      </c>
      <c r="H310" s="1">
        <f>SUM(H304:H309)</f>
        <v>2306</v>
      </c>
      <c r="I310" s="13" t="s">
        <v>12</v>
      </c>
      <c r="N310" s="16" t="s">
        <v>36</v>
      </c>
      <c r="O310" s="1"/>
      <c r="P310" s="1"/>
    </row>
    <row r="311" spans="1:41" x14ac:dyDescent="0.3">
      <c r="A311" s="1" t="s">
        <v>316</v>
      </c>
      <c r="B311" s="1" t="s">
        <v>2</v>
      </c>
      <c r="C311" s="10">
        <f>C305/C310</f>
        <v>1</v>
      </c>
      <c r="D311" s="10">
        <f>D306/D310</f>
        <v>0.92307692307692313</v>
      </c>
      <c r="E311" s="10">
        <f>E307/E310</f>
        <v>0.83568075117370888</v>
      </c>
      <c r="F311" s="10">
        <f>F308/F310</f>
        <v>0.90284360189573465</v>
      </c>
      <c r="G311" s="10">
        <f>G309/G310</f>
        <v>0.98113207547169812</v>
      </c>
      <c r="H311" s="10"/>
      <c r="I311" s="14">
        <f>(C305+D306+E307+F308+G309)/H310</f>
        <v>0.91457068516912399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0</v>
      </c>
      <c r="D312" s="11">
        <f>1-D311</f>
        <v>7.6923076923076872E-2</v>
      </c>
      <c r="E312" s="11">
        <f>1-E311</f>
        <v>0.16431924882629112</v>
      </c>
      <c r="F312" s="11">
        <f>1-F311</f>
        <v>9.7156398104265351E-2</v>
      </c>
      <c r="G312" s="11">
        <f>1-G311</f>
        <v>1.8867924528301883E-2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317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0.41356619307462056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0.41356619307462056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344</v>
      </c>
      <c r="M316">
        <v>0</v>
      </c>
      <c r="N316" s="1">
        <v>338.45</v>
      </c>
      <c r="O316" s="17">
        <f>N316/N321*100</f>
        <v>0.41356619307462056</v>
      </c>
      <c r="P316" s="52">
        <f>((O316*O316*(I316/100)*(K316/100))/(L316-1))</f>
        <v>0</v>
      </c>
    </row>
    <row r="317" spans="1:41" x14ac:dyDescent="0.3">
      <c r="A317" t="s">
        <v>4</v>
      </c>
      <c r="B317" s="13">
        <v>1</v>
      </c>
      <c r="C317" s="33">
        <f t="shared" ref="C317:G320" si="43">(C306/$L317)*$O317</f>
        <v>0</v>
      </c>
      <c r="D317" s="34">
        <f t="shared" si="43"/>
        <v>0.92999544460107031</v>
      </c>
      <c r="E317" s="19">
        <f t="shared" si="43"/>
        <v>0</v>
      </c>
      <c r="F317" s="18">
        <f t="shared" si="43"/>
        <v>0</v>
      </c>
      <c r="G317" s="20">
        <f t="shared" si="43"/>
        <v>0</v>
      </c>
      <c r="H317" s="17">
        <f>SUM(C317:G317)</f>
        <v>0.92999544460107031</v>
      </c>
      <c r="I317" s="17">
        <f>D317/H317*100</f>
        <v>100</v>
      </c>
      <c r="J317" s="17">
        <f>SQRT(I317*(100-I317)/(L317-1))</f>
        <v>0</v>
      </c>
      <c r="K317" s="18">
        <f>100-I317</f>
        <v>0</v>
      </c>
      <c r="L317" s="1">
        <f>H306</f>
        <v>48</v>
      </c>
      <c r="M317">
        <v>1</v>
      </c>
      <c r="N317" s="1">
        <v>761.08</v>
      </c>
      <c r="O317" s="17">
        <f>N317/N321*100</f>
        <v>0.92999544460107031</v>
      </c>
      <c r="P317" s="52">
        <f>((O317*O317*(I317/100)*(K317/100))/(L317-1))</f>
        <v>0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43"/>
        <v>0</v>
      </c>
      <c r="D318" s="19">
        <f t="shared" si="43"/>
        <v>0</v>
      </c>
      <c r="E318" s="34">
        <f t="shared" si="43"/>
        <v>61.065125240467935</v>
      </c>
      <c r="F318" s="19">
        <f t="shared" si="43"/>
        <v>0.42882812668867931</v>
      </c>
      <c r="G318" s="20">
        <f t="shared" si="43"/>
        <v>8.5765625337735865E-2</v>
      </c>
      <c r="H318" s="17">
        <f>SUM(C318:G318)</f>
        <v>61.57971899249435</v>
      </c>
      <c r="I318" s="17">
        <f>E318/H318*100</f>
        <v>99.164345403899716</v>
      </c>
      <c r="J318" s="17">
        <f>SQRT(I318*(100-I318)/(L318-1))</f>
        <v>0.33996295845078778</v>
      </c>
      <c r="K318" s="18">
        <f>100-I318</f>
        <v>0.8356545961002837</v>
      </c>
      <c r="L318" s="1">
        <f>H307</f>
        <v>718</v>
      </c>
      <c r="M318">
        <v>2</v>
      </c>
      <c r="N318" s="1">
        <v>50394.97</v>
      </c>
      <c r="O318" s="17">
        <f>N318/N321*100</f>
        <v>61.57971899249435</v>
      </c>
      <c r="P318" s="52">
        <f>((O318*O318*(I318/100)*(K318/100))/(L318-1))</f>
        <v>4.3826683285154155E-2</v>
      </c>
    </row>
    <row r="319" spans="1:41" x14ac:dyDescent="0.3">
      <c r="A319" t="s">
        <v>6</v>
      </c>
      <c r="B319" s="13">
        <v>3</v>
      </c>
      <c r="C319" s="33">
        <f t="shared" si="43"/>
        <v>0</v>
      </c>
      <c r="D319" s="19">
        <f t="shared" si="43"/>
        <v>0</v>
      </c>
      <c r="E319" s="19">
        <f t="shared" si="43"/>
        <v>0.73959561618436653</v>
      </c>
      <c r="F319" s="34">
        <f t="shared" si="43"/>
        <v>31.309547751804853</v>
      </c>
      <c r="G319" s="20">
        <f t="shared" si="43"/>
        <v>0.90395019755867023</v>
      </c>
      <c r="H319" s="17">
        <f>SUM(C319:G319)</f>
        <v>32.953093565547888</v>
      </c>
      <c r="I319" s="17">
        <f>F319/H319*100</f>
        <v>95.012468827930178</v>
      </c>
      <c r="J319" s="17">
        <f>SQRT(I319*(100-I319)/(L319-1))</f>
        <v>1.0884365507628524</v>
      </c>
      <c r="K319" s="18">
        <f>100-I319</f>
        <v>4.9875311720698221</v>
      </c>
      <c r="L319" s="1">
        <f>H308</f>
        <v>401</v>
      </c>
      <c r="M319">
        <v>3</v>
      </c>
      <c r="N319" s="1">
        <v>26967.81</v>
      </c>
      <c r="O319" s="17">
        <f>N319/N321*100</f>
        <v>32.953093565547888</v>
      </c>
      <c r="P319" s="52">
        <f>((O319*O319*(I319/100)*(K319/100))/(L319-1))</f>
        <v>0.12864669034416637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43"/>
        <v>0</v>
      </c>
      <c r="D320" s="36">
        <f t="shared" si="43"/>
        <v>2.0747802788840631E-2</v>
      </c>
      <c r="E320" s="21">
        <f t="shared" si="43"/>
        <v>0.67949054133453057</v>
      </c>
      <c r="F320" s="21">
        <f t="shared" si="43"/>
        <v>0.18673022509956566</v>
      </c>
      <c r="G320" s="37">
        <f t="shared" si="43"/>
        <v>3.2366572350591385</v>
      </c>
      <c r="H320" s="17">
        <f>SUM(C320:G320)</f>
        <v>4.1236258042820753</v>
      </c>
      <c r="I320" s="17">
        <f>G320/H320*100</f>
        <v>78.49056603773586</v>
      </c>
      <c r="J320" s="17">
        <f>SQRT(I320*(100-I320)/(L320-1))</f>
        <v>1.4581861541009959</v>
      </c>
      <c r="K320" s="18">
        <f>100-I320</f>
        <v>21.50943396226414</v>
      </c>
      <c r="L320" s="1">
        <f>H309</f>
        <v>795</v>
      </c>
      <c r="M320">
        <v>4</v>
      </c>
      <c r="N320" s="1">
        <v>3374.65</v>
      </c>
      <c r="O320" s="17">
        <f>N320/N321*100</f>
        <v>4.1236258042820753</v>
      </c>
      <c r="P320" s="52">
        <f>((O320*O320*(I320/100)*(K320/100))/(L320-1))</f>
        <v>3.615633799553489E-3</v>
      </c>
    </row>
    <row r="321" spans="1:41" x14ac:dyDescent="0.3">
      <c r="B321" t="s">
        <v>28</v>
      </c>
      <c r="C321" s="17">
        <f t="shared" ref="C321:H321" si="44">SUM(C316:C320)</f>
        <v>0.41356619307462056</v>
      </c>
      <c r="D321" s="17">
        <f t="shared" si="44"/>
        <v>0.95074324738991089</v>
      </c>
      <c r="E321" s="17">
        <f t="shared" si="44"/>
        <v>62.484211397986833</v>
      </c>
      <c r="F321" s="17">
        <f t="shared" si="44"/>
        <v>31.925106103593098</v>
      </c>
      <c r="G321" s="17">
        <f t="shared" si="44"/>
        <v>4.226373057955545</v>
      </c>
      <c r="H321" s="18">
        <f t="shared" si="44"/>
        <v>100</v>
      </c>
      <c r="I321" s="13" t="s">
        <v>24</v>
      </c>
      <c r="J321" s="12" t="s">
        <v>29</v>
      </c>
      <c r="N321" s="1">
        <f>SUM(N316:N320)</f>
        <v>81836.959999999992</v>
      </c>
      <c r="O321" s="17">
        <f>SUM(O316:O320)</f>
        <v>100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1.0347770618928262E-2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0.32576561089515932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0.40715251450114393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0.28844937356354206</v>
      </c>
      <c r="H322" s="1"/>
      <c r="I322" s="14">
        <f>(C316+D317+E318+F319+G320)/H321</f>
        <v>0.9695489186500762</v>
      </c>
      <c r="J322" s="53">
        <f>SQRT(SUM(P316:P320))/100</f>
        <v>4.19629607426447E-3</v>
      </c>
      <c r="M322" s="1"/>
      <c r="N322" s="9"/>
    </row>
    <row r="323" spans="1:41" x14ac:dyDescent="0.3">
      <c r="B323" s="1" t="s">
        <v>30</v>
      </c>
      <c r="C323" s="17">
        <f>C316/C321*100</f>
        <v>100</v>
      </c>
      <c r="D323" s="17">
        <f>D317/D321*100</f>
        <v>97.817728093699344</v>
      </c>
      <c r="E323" s="17">
        <f>E318/E321*100</f>
        <v>97.728888425141236</v>
      </c>
      <c r="F323" s="17">
        <f>F319/F321*100</f>
        <v>98.071867483256497</v>
      </c>
      <c r="G323" s="17">
        <f>G320/G321*100</f>
        <v>76.582383776240306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0</v>
      </c>
      <c r="D324" s="18">
        <f>SQRT((D327+D328)/(D321*D321))</f>
        <v>1.0653061356412197</v>
      </c>
      <c r="E324" s="18">
        <f>SQRT((E327+E328)/(E321*E321))</f>
        <v>0.3983794808160287</v>
      </c>
      <c r="F324" s="18">
        <f>SQRT((F327+F328)/(F321*F321))</f>
        <v>0.63308705698803924</v>
      </c>
      <c r="G324" s="18">
        <f>SQRT((G327+G328)/(G321*G321))</f>
        <v>6.1070511156020437</v>
      </c>
      <c r="H324" s="1"/>
    </row>
    <row r="325" spans="1:41" x14ac:dyDescent="0.3">
      <c r="B325" s="1" t="s">
        <v>37</v>
      </c>
      <c r="C325" s="18">
        <f>100-C323</f>
        <v>0</v>
      </c>
      <c r="D325" s="18">
        <f>100-D323</f>
        <v>2.1822719063006559</v>
      </c>
      <c r="E325" s="18">
        <f>100-E323</f>
        <v>2.2711115748587645</v>
      </c>
      <c r="F325" s="18">
        <f>100-F323</f>
        <v>1.9281325167435028</v>
      </c>
      <c r="G325" s="18">
        <f>100-G323</f>
        <v>23.417616223759694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344</v>
      </c>
      <c r="D326" s="1">
        <f>D310</f>
        <v>52</v>
      </c>
      <c r="E326" s="1">
        <f>E310</f>
        <v>852</v>
      </c>
      <c r="F326" s="1">
        <f>F310</f>
        <v>422</v>
      </c>
      <c r="G326" s="1">
        <f>G310</f>
        <v>636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0</v>
      </c>
      <c r="E327" s="18">
        <f>(O318*O318*(100-E323)*(100-E323)*(I318)*(100-I318))/((L318-1)*100)</f>
        <v>22.605574399460625</v>
      </c>
      <c r="F327" s="18">
        <f>(O319*O319*(100-F323)*(100-F323)*(I319)*(100-I319))/((L319-1)*100)</f>
        <v>47.826915773225409</v>
      </c>
      <c r="G327" s="18">
        <f>(O320*O320*(100-G323)*(100-G323)*(I320)*(100-I320))/((L320-1)*100)</f>
        <v>198.27584358253438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1.0258299057321063</v>
      </c>
      <c r="E328" s="18">
        <f>E323*E323*(SUM((H316*E316*(1-E305/H305))/(H305-1),(H317*E317*(1-E306/H306))/(H306-1), (H319*E319*(1-E308/H308))/(H308-1),(H320*E320*(1-E309/H309))/(H309-1)))</f>
        <v>597.02738219759158</v>
      </c>
      <c r="F328" s="18">
        <f>F323*F323*(SUM((H316*F316*(1-F305/H305))/(H305-1),(H317*F317*(1-F306/H306))/(H306-1), (H318*F318*(1-F307/H307))/(H307-1),(H320*F320*(1-F309/H309))/(H309-1)))</f>
        <v>360.67262081008744</v>
      </c>
      <c r="G328" s="18">
        <f>G323*G323*(SUM((H316*G316*(1-G305/H305))/(H305-1),(H317*G317*(1-G306/H306))/(H306-1), (H318*G318*(1-G307/H307))/(H307-1),(H319*G319*(1-G308/H308))/(H308-1)))</f>
        <v>467.91516740536827</v>
      </c>
    </row>
    <row r="329" spans="1:41" x14ac:dyDescent="0.3">
      <c r="AM329" s="78"/>
    </row>
    <row r="331" spans="1:41" x14ac:dyDescent="0.3">
      <c r="A331" s="348" t="s">
        <v>378</v>
      </c>
      <c r="B331" s="348"/>
      <c r="C331" s="348"/>
      <c r="D331" s="348"/>
      <c r="E331" s="348"/>
      <c r="F331" s="348"/>
      <c r="G331" s="348"/>
      <c r="H331" s="348"/>
      <c r="I331" s="348"/>
      <c r="J331" s="348"/>
      <c r="K331" s="348"/>
      <c r="L331" s="348" t="s">
        <v>84</v>
      </c>
      <c r="M331" s="348"/>
      <c r="N331" s="348"/>
      <c r="O331" s="348"/>
      <c r="P331" s="348"/>
      <c r="AM331" s="78"/>
    </row>
    <row r="332" spans="1:41" x14ac:dyDescent="0.3">
      <c r="A332" t="s">
        <v>315</v>
      </c>
      <c r="B332" t="s">
        <v>21</v>
      </c>
      <c r="I332" s="1" t="s">
        <v>53</v>
      </c>
      <c r="O332" s="142"/>
      <c r="P332" s="142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51</v>
      </c>
      <c r="O333" s="13"/>
      <c r="P333" s="13"/>
      <c r="AM333" s="78"/>
    </row>
    <row r="334" spans="1:41" x14ac:dyDescent="0.3">
      <c r="A334" t="s">
        <v>3</v>
      </c>
      <c r="B334" s="13">
        <v>0</v>
      </c>
      <c r="C334" s="26">
        <v>333</v>
      </c>
      <c r="D334" s="3">
        <v>0</v>
      </c>
      <c r="E334" s="3">
        <v>0</v>
      </c>
      <c r="F334" s="3">
        <v>11</v>
      </c>
      <c r="G334" s="4">
        <v>0</v>
      </c>
      <c r="H334" s="1">
        <f>SUM(C334:G334)</f>
        <v>344</v>
      </c>
      <c r="I334" s="10">
        <f>C334/H334</f>
        <v>0.96802325581395354</v>
      </c>
      <c r="J334" s="11">
        <f>1-I334</f>
        <v>3.1976744186046457E-2</v>
      </c>
      <c r="K334">
        <f>H334-C339</f>
        <v>11</v>
      </c>
      <c r="N334" s="10">
        <f>2*(C340*I334)/(C340+I334)</f>
        <v>0.98375184638109303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47</v>
      </c>
      <c r="E335" s="1">
        <v>1</v>
      </c>
      <c r="F335" s="1">
        <v>0</v>
      </c>
      <c r="G335" s="6">
        <v>0</v>
      </c>
      <c r="H335" s="1">
        <f>SUM(C335:G335)</f>
        <v>48</v>
      </c>
      <c r="I335" s="10">
        <f>D335/H335</f>
        <v>0.97916666666666663</v>
      </c>
      <c r="J335" s="11">
        <f>1-I335</f>
        <v>2.083333333333337E-2</v>
      </c>
      <c r="K335">
        <f>H335-D339</f>
        <v>-2</v>
      </c>
      <c r="N335" s="10">
        <f>2*(D340*I335)/(D340+I335)</f>
        <v>0.95918367346938771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0</v>
      </c>
      <c r="E336" s="27">
        <v>713</v>
      </c>
      <c r="F336" s="1">
        <v>5</v>
      </c>
      <c r="G336" s="6">
        <v>0</v>
      </c>
      <c r="H336" s="1">
        <f>SUM(C336:G336)</f>
        <v>718</v>
      </c>
      <c r="I336" s="10">
        <f>E336/H336</f>
        <v>0.99303621169916434</v>
      </c>
      <c r="J336" s="11">
        <f>1-I336</f>
        <v>6.9637883008356605E-3</v>
      </c>
      <c r="K336">
        <f>H336-E339</f>
        <v>-143</v>
      </c>
      <c r="N336" s="10">
        <f>2*(E340*I336)/(E340+I336)</f>
        <v>0.90310322989233682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0</v>
      </c>
      <c r="E337" s="1">
        <v>8</v>
      </c>
      <c r="F337" s="27">
        <v>385</v>
      </c>
      <c r="G337" s="6">
        <v>8</v>
      </c>
      <c r="H337" s="1">
        <f>SUM(C337:G337)</f>
        <v>401</v>
      </c>
      <c r="I337" s="10">
        <f>F337/H337</f>
        <v>0.96009975062344144</v>
      </c>
      <c r="J337" s="11">
        <f>1-I337</f>
        <v>3.9900249376558561E-2</v>
      </c>
      <c r="K337">
        <f>H337-F339</f>
        <v>-35</v>
      </c>
      <c r="N337" s="10">
        <f>2*(F340*I337)/(F340+I337)</f>
        <v>0.9199522102747909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3</v>
      </c>
      <c r="E338" s="8">
        <v>139</v>
      </c>
      <c r="F338" s="8">
        <v>35</v>
      </c>
      <c r="G338" s="28">
        <v>618</v>
      </c>
      <c r="H338" s="1">
        <f>SUM(C338:G338)</f>
        <v>795</v>
      </c>
      <c r="I338" s="10">
        <f>G338/H338</f>
        <v>0.77735849056603779</v>
      </c>
      <c r="J338" s="11">
        <f>1-I338</f>
        <v>0.22264150943396221</v>
      </c>
      <c r="K338">
        <f>H338-G339</f>
        <v>169</v>
      </c>
      <c r="N338" s="10">
        <f>2*(G340*I338)/(G340+I338)</f>
        <v>0.86980999296270234</v>
      </c>
      <c r="O338" s="1"/>
      <c r="P338" s="1"/>
    </row>
    <row r="339" spans="1:40" ht="15.6" x14ac:dyDescent="0.35">
      <c r="B339" s="1" t="s">
        <v>19</v>
      </c>
      <c r="C339" s="1">
        <f>SUM(C334:C338)</f>
        <v>333</v>
      </c>
      <c r="D339" s="1">
        <f>SUM(D334:D338)</f>
        <v>50</v>
      </c>
      <c r="E339" s="1">
        <f>SUM(E334:E338)</f>
        <v>861</v>
      </c>
      <c r="F339" s="1">
        <f>SUM(F334:F338)</f>
        <v>436</v>
      </c>
      <c r="G339" s="1">
        <f>SUM(G334:G338)</f>
        <v>626</v>
      </c>
      <c r="H339" s="1">
        <f>SUM(H333:H338)</f>
        <v>2306</v>
      </c>
      <c r="I339" s="13" t="s">
        <v>12</v>
      </c>
      <c r="N339" s="16"/>
      <c r="O339" s="1"/>
      <c r="P339" s="1"/>
      <c r="AM339" s="78"/>
    </row>
    <row r="340" spans="1:40" x14ac:dyDescent="0.3">
      <c r="A340" s="1" t="s">
        <v>316</v>
      </c>
      <c r="B340" s="1" t="s">
        <v>2</v>
      </c>
      <c r="C340" s="10">
        <f>C334/C339</f>
        <v>1</v>
      </c>
      <c r="D340" s="10">
        <f>D335/D339</f>
        <v>0.94</v>
      </c>
      <c r="E340" s="10">
        <f>E336/E339</f>
        <v>0.82810685249709637</v>
      </c>
      <c r="F340" s="10">
        <f>F337/F339</f>
        <v>0.8830275229357798</v>
      </c>
      <c r="G340" s="10">
        <f>G338/G339</f>
        <v>0.98722044728434499</v>
      </c>
      <c r="H340" s="10"/>
      <c r="I340" s="14">
        <f>(C334+D335+E336+F337+G338)/H339</f>
        <v>0.90893321769297486</v>
      </c>
    </row>
    <row r="341" spans="1:40" x14ac:dyDescent="0.3">
      <c r="B341" s="1" t="s">
        <v>14</v>
      </c>
      <c r="C341" s="11">
        <f>1-C340</f>
        <v>0</v>
      </c>
      <c r="D341" s="11">
        <f>1-D340</f>
        <v>6.0000000000000053E-2</v>
      </c>
      <c r="E341" s="11">
        <f>1-E340</f>
        <v>0.17189314750290363</v>
      </c>
      <c r="F341" s="11">
        <f>1-F340</f>
        <v>0.1169724770642202</v>
      </c>
      <c r="G341" s="11">
        <f>1-G340</f>
        <v>1.2779552715655007E-2</v>
      </c>
      <c r="AM341" s="78"/>
      <c r="AN341" s="78"/>
    </row>
    <row r="342" spans="1:40" x14ac:dyDescent="0.3">
      <c r="C342" s="2"/>
    </row>
    <row r="343" spans="1:40" ht="15.6" x14ac:dyDescent="0.35">
      <c r="A343" t="s">
        <v>317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0.4403698938352395</v>
      </c>
      <c r="D345" s="31">
        <f>(D334/$L345)*$O345</f>
        <v>0</v>
      </c>
      <c r="E345" s="31">
        <f>(E334/$L345)*$O345</f>
        <v>0</v>
      </c>
      <c r="F345" s="31">
        <f>(F334/$L345)*$O345</f>
        <v>1.4546753249812716E-2</v>
      </c>
      <c r="G345" s="32">
        <f>(G334/$L345)*$O345</f>
        <v>0</v>
      </c>
      <c r="H345" s="17">
        <f>SUM(C345:G345)</f>
        <v>0.45491664708505219</v>
      </c>
      <c r="I345" s="17">
        <f>C345/H345*100</f>
        <v>96.802325581395351</v>
      </c>
      <c r="J345" s="17">
        <f>SQRT(I345*(100-I345)/(L345-1))</f>
        <v>0.94997670705380965</v>
      </c>
      <c r="K345" s="18">
        <f>100-I345</f>
        <v>3.1976744186046488</v>
      </c>
      <c r="L345" s="1">
        <f>H334</f>
        <v>344</v>
      </c>
      <c r="M345">
        <v>0</v>
      </c>
      <c r="N345" s="1">
        <v>372.29</v>
      </c>
      <c r="O345" s="17">
        <f>N345/N350*100</f>
        <v>0.45491664708505219</v>
      </c>
      <c r="P345" s="52">
        <f>((O345*O345*(I345/100)*(K345/100))/(L345-1))</f>
        <v>1.8676245435182058E-5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45">(C335/$L346)*$O346</f>
        <v>0</v>
      </c>
      <c r="D346" s="34">
        <f t="shared" si="45"/>
        <v>0.7883875710452134</v>
      </c>
      <c r="E346" s="19">
        <f t="shared" si="45"/>
        <v>1.6774203639259858E-2</v>
      </c>
      <c r="F346" s="18">
        <f t="shared" si="45"/>
        <v>0</v>
      </c>
      <c r="G346" s="20">
        <f t="shared" si="45"/>
        <v>0</v>
      </c>
      <c r="H346" s="17">
        <f>SUM(C346:G346)</f>
        <v>0.80516177468447325</v>
      </c>
      <c r="I346" s="17">
        <f>D346/H346*100</f>
        <v>97.916666666666657</v>
      </c>
      <c r="J346" s="17">
        <f>SQRT(I346*(100-I346)/(L346-1))</f>
        <v>2.0833333333333379</v>
      </c>
      <c r="K346" s="18">
        <f>100-I346</f>
        <v>2.0833333333333428</v>
      </c>
      <c r="L346" s="1">
        <f>H335</f>
        <v>48</v>
      </c>
      <c r="M346">
        <v>1</v>
      </c>
      <c r="N346" s="1">
        <v>658.92</v>
      </c>
      <c r="O346" s="17">
        <f>N346/N350*100</f>
        <v>0.80516177468447325</v>
      </c>
      <c r="P346" s="52">
        <f>((O346*O346*(I346/100)*(K346/100))/(L346-1))</f>
        <v>2.8137390773135999E-4</v>
      </c>
    </row>
    <row r="347" spans="1:40" x14ac:dyDescent="0.3">
      <c r="A347" t="s">
        <v>5</v>
      </c>
      <c r="B347" s="13">
        <v>2</v>
      </c>
      <c r="C347" s="33">
        <f t="shared" si="45"/>
        <v>0</v>
      </c>
      <c r="D347" s="19">
        <f t="shared" si="45"/>
        <v>0</v>
      </c>
      <c r="E347" s="34">
        <f t="shared" si="45"/>
        <v>60.974935712791726</v>
      </c>
      <c r="F347" s="19">
        <f t="shared" si="45"/>
        <v>0.42759421958479471</v>
      </c>
      <c r="G347" s="20">
        <f t="shared" si="45"/>
        <v>0</v>
      </c>
      <c r="H347" s="17">
        <f>SUM(C347:G347)</f>
        <v>61.402529932376524</v>
      </c>
      <c r="I347" s="17">
        <f>E347/H347*100</f>
        <v>99.30362116991644</v>
      </c>
      <c r="J347" s="17">
        <f>SQRT(I347*(100-I347)/(L347-1))</f>
        <v>0.31056016230667621</v>
      </c>
      <c r="K347" s="18">
        <f>100-I347</f>
        <v>0.69637883008356027</v>
      </c>
      <c r="L347" s="1">
        <f>H336</f>
        <v>718</v>
      </c>
      <c r="M347">
        <v>2</v>
      </c>
      <c r="N347" s="1">
        <v>50249.97</v>
      </c>
      <c r="O347" s="17">
        <f>N347/N350*100</f>
        <v>61.402529932376524</v>
      </c>
      <c r="P347" s="52">
        <f>((O347*O347*(I347/100)*(K347/100))/(L347-1))</f>
        <v>3.6363361297550932E-2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45"/>
        <v>0</v>
      </c>
      <c r="D348" s="19">
        <f t="shared" si="45"/>
        <v>0</v>
      </c>
      <c r="E348" s="19">
        <f t="shared" si="45"/>
        <v>0.66622621978910956</v>
      </c>
      <c r="F348" s="34">
        <f t="shared" si="45"/>
        <v>32.062136827350898</v>
      </c>
      <c r="G348" s="20">
        <f t="shared" si="45"/>
        <v>0.66622621978910956</v>
      </c>
      <c r="H348" s="17">
        <f>SUM(C348:G348)</f>
        <v>33.394589266929117</v>
      </c>
      <c r="I348" s="17">
        <f>F348/H348*100</f>
        <v>96.009975062344139</v>
      </c>
      <c r="J348" s="17">
        <f>SQRT(I348*(100-I348)/(L348-1))</f>
        <v>0.97862428281040326</v>
      </c>
      <c r="K348" s="18">
        <f>100-I348</f>
        <v>3.9900249376558605</v>
      </c>
      <c r="L348" s="1">
        <f>H337</f>
        <v>401</v>
      </c>
      <c r="M348">
        <v>3</v>
      </c>
      <c r="N348" s="1">
        <v>27329.119999999999</v>
      </c>
      <c r="O348" s="17">
        <f>N348/N350*100</f>
        <v>33.394589266929117</v>
      </c>
      <c r="P348" s="52">
        <f>((O348*O348*(I348/100)*(K348/100))/(L348-1))</f>
        <v>0.10680318108423589</v>
      </c>
    </row>
    <row r="349" spans="1:40" x14ac:dyDescent="0.3">
      <c r="A349" t="s">
        <v>7</v>
      </c>
      <c r="B349" s="13">
        <v>4</v>
      </c>
      <c r="C349" s="35">
        <f t="shared" si="45"/>
        <v>0</v>
      </c>
      <c r="D349" s="36">
        <f t="shared" si="45"/>
        <v>1.4878499543112569E-2</v>
      </c>
      <c r="E349" s="21">
        <f t="shared" si="45"/>
        <v>0.68937047883088232</v>
      </c>
      <c r="F349" s="21">
        <f t="shared" si="45"/>
        <v>0.17358249466964662</v>
      </c>
      <c r="G349" s="37">
        <f t="shared" si="45"/>
        <v>3.0649709058811894</v>
      </c>
      <c r="H349" s="17">
        <f>SUM(C349:G349)</f>
        <v>3.942802378924831</v>
      </c>
      <c r="I349" s="17">
        <f>G349/H349*100</f>
        <v>77.735849056603783</v>
      </c>
      <c r="J349" s="17">
        <f>SQRT(I349*(100-I349)/(L349-1))</f>
        <v>1.4763981449816996</v>
      </c>
      <c r="K349" s="18">
        <f>100-I349</f>
        <v>22.264150943396217</v>
      </c>
      <c r="L349" s="1">
        <f>H338</f>
        <v>795</v>
      </c>
      <c r="M349">
        <v>4</v>
      </c>
      <c r="N349" s="1">
        <v>3226.67</v>
      </c>
      <c r="O349" s="17">
        <f>N349/N350*100</f>
        <v>3.9428023789248305</v>
      </c>
      <c r="P349" s="52">
        <f>((O349*O349*(I349/100)*(K349/100))/(L349-1))</f>
        <v>3.3885742130297073E-3</v>
      </c>
      <c r="AM349" s="78"/>
      <c r="AN349" s="78"/>
    </row>
    <row r="350" spans="1:40" x14ac:dyDescent="0.3">
      <c r="B350" t="s">
        <v>28</v>
      </c>
      <c r="C350" s="17">
        <f t="shared" ref="C350:H350" si="46">SUM(C345:C349)</f>
        <v>0.4403698938352395</v>
      </c>
      <c r="D350" s="17">
        <f t="shared" si="46"/>
        <v>0.803266070588326</v>
      </c>
      <c r="E350" s="17">
        <f t="shared" si="46"/>
        <v>62.347306615050975</v>
      </c>
      <c r="F350" s="17">
        <f t="shared" si="46"/>
        <v>32.677860294855151</v>
      </c>
      <c r="G350" s="17">
        <f t="shared" si="46"/>
        <v>3.7311971256702989</v>
      </c>
      <c r="H350" s="18">
        <f t="shared" si="46"/>
        <v>100</v>
      </c>
      <c r="I350" s="13" t="s">
        <v>24</v>
      </c>
      <c r="J350" s="12" t="s">
        <v>29</v>
      </c>
      <c r="N350" s="1">
        <f>SUM(N345:N349)</f>
        <v>81836.97</v>
      </c>
      <c r="O350" s="17">
        <f>SUM(O345:O349)</f>
        <v>100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4.3153162136781191E-3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1.868216837051824E-2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0.30624284605025259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0.37906616673497695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0.24033228580056973</v>
      </c>
      <c r="H351" s="1"/>
      <c r="I351" s="14">
        <f>(C345+D346+E347+F348+G349)/H350</f>
        <v>0.97330800910904258</v>
      </c>
      <c r="J351" s="53">
        <f>SQRT(SUM(P345:P349))/100</f>
        <v>3.8321686647117071E-3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98.147749533076208</v>
      </c>
      <c r="E352" s="17">
        <f>E347/E350*100</f>
        <v>97.798828888098356</v>
      </c>
      <c r="F352" s="17">
        <f>F348/F350*100</f>
        <v>98.115777893813956</v>
      </c>
      <c r="G352" s="17">
        <f>G349/G350*100</f>
        <v>82.14443790156426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1.1173514581403832</v>
      </c>
      <c r="E353" s="18">
        <f>SQRT((E356+E357)/(E350*E350))</f>
        <v>0.38249533890737059</v>
      </c>
      <c r="F353" s="18">
        <f>SQRT((F356+F357)/(F350*F350))</f>
        <v>0.60903652033329814</v>
      </c>
      <c r="G353" s="18">
        <f>SQRT((G356+G357)/(G350*G350))</f>
        <v>5.8464438214499568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1.8522504669237918</v>
      </c>
      <c r="E354" s="18">
        <f>100-E352</f>
        <v>2.2011711119016439</v>
      </c>
      <c r="F354" s="18">
        <f>100-F352</f>
        <v>1.8842221061860442</v>
      </c>
      <c r="G354" s="18">
        <f>100-G352</f>
        <v>17.85556209843574</v>
      </c>
    </row>
    <row r="355" spans="1:40" ht="15.6" x14ac:dyDescent="0.35">
      <c r="B355" s="1" t="s">
        <v>25</v>
      </c>
      <c r="C355" s="1">
        <f>C339</f>
        <v>333</v>
      </c>
      <c r="D355" s="1">
        <f>D339</f>
        <v>50</v>
      </c>
      <c r="E355" s="1">
        <f>E339</f>
        <v>861</v>
      </c>
      <c r="F355" s="1">
        <f>F339</f>
        <v>436</v>
      </c>
      <c r="G355" s="1">
        <f>G339</f>
        <v>626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9.6534654814575932E-2</v>
      </c>
      <c r="E356" s="18">
        <f>(O347*O347*(100-E352)*(100-E352)*(I347)*(100-I347))/((L347-1)*100)</f>
        <v>17.618609503948587</v>
      </c>
      <c r="F356" s="18">
        <f>(O348*O348*(100-F352)*(100-F352)*(I348)*(100-I348))/((L348-1)*100)</f>
        <v>37.918258035393208</v>
      </c>
      <c r="G356" s="18">
        <f>(O349*O349*(100-G352)*(100-G352)*(I349)*(100-I349))/((L349-1)*100)</f>
        <v>108.03489507480414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0.7090263709841832</v>
      </c>
      <c r="E357" s="18">
        <f>E352*E352*(SUM((H345*E345*(1-E334/H334))/(H334-1),(H346*E346*(1-E335/H335))/(H335-1), (H348*E348*(1-E337/H337))/(H337-1),(H349*E349*(1-E338/H338))/(H338-1)))</f>
        <v>551.08723056292422</v>
      </c>
      <c r="F357" s="18">
        <f>F352*F352*(SUM((H345*F345*(1-F334/H334))/(H334-1),(H346*F346*(1-F335/H335))/(H335-1), (H347*F347*(1-F336/H336))/(H336-1),(H349*F349*(1-F338/H338))/(H338-1)))</f>
        <v>358.1717569774828</v>
      </c>
      <c r="G357" s="18">
        <f>G352*G352*(SUM((H345*G345*(1-G334/H334))/(H334-1),(H346*G346*(1-G335/H335))/(H335-1), (H347*G347*(1-G336/H336))/(H336-1),(H348*G348*(1-G337/H337))/(H337-1)))</f>
        <v>367.82592659745768</v>
      </c>
      <c r="AM357" s="78"/>
      <c r="AN357" s="78"/>
    </row>
    <row r="359" spans="1:40" x14ac:dyDescent="0.3">
      <c r="AM359" s="78"/>
      <c r="AN359" s="78"/>
    </row>
    <row r="360" spans="1:40" x14ac:dyDescent="0.3">
      <c r="A360" s="348" t="s">
        <v>378</v>
      </c>
      <c r="B360" s="348"/>
      <c r="C360" s="348"/>
      <c r="D360" s="348"/>
      <c r="E360" s="348"/>
      <c r="F360" s="348"/>
      <c r="G360" s="348"/>
      <c r="H360" s="348"/>
      <c r="I360" s="348"/>
      <c r="J360" s="348"/>
      <c r="K360" s="348"/>
      <c r="L360" s="348" t="s">
        <v>85</v>
      </c>
      <c r="M360" s="348"/>
      <c r="N360" s="348"/>
      <c r="O360" s="348"/>
      <c r="P360" s="348"/>
    </row>
    <row r="361" spans="1:40" x14ac:dyDescent="0.3">
      <c r="A361" t="s">
        <v>15</v>
      </c>
      <c r="B361" t="s">
        <v>21</v>
      </c>
      <c r="I361" s="1" t="s">
        <v>53</v>
      </c>
      <c r="O361" s="142"/>
      <c r="P361" s="142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51</v>
      </c>
      <c r="O362" s="13"/>
      <c r="P362" s="13"/>
    </row>
    <row r="363" spans="1:40" x14ac:dyDescent="0.3">
      <c r="A363" t="s">
        <v>3</v>
      </c>
      <c r="B363" s="13">
        <v>0</v>
      </c>
      <c r="C363" s="26">
        <v>344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344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47</v>
      </c>
      <c r="E364" s="1">
        <v>1</v>
      </c>
      <c r="F364" s="1">
        <v>0</v>
      </c>
      <c r="G364" s="6">
        <v>0</v>
      </c>
      <c r="H364" s="1">
        <f>SUM(C364:G364)</f>
        <v>48</v>
      </c>
      <c r="I364" s="10">
        <f>D364/H364</f>
        <v>0.97916666666666663</v>
      </c>
      <c r="J364" s="11">
        <f>1-I364</f>
        <v>2.083333333333337E-2</v>
      </c>
      <c r="K364">
        <f>H364-D368</f>
        <v>1</v>
      </c>
      <c r="N364" s="10">
        <f>2*(D369*I364)/(D369+I364)</f>
        <v>0.98947368421052639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0</v>
      </c>
      <c r="E365" s="27">
        <v>713</v>
      </c>
      <c r="F365" s="1">
        <v>5</v>
      </c>
      <c r="G365" s="6">
        <v>0</v>
      </c>
      <c r="H365" s="1">
        <f>SUM(C365:G365)</f>
        <v>718</v>
      </c>
      <c r="I365" s="10">
        <f>E365/H365</f>
        <v>0.99303621169916434</v>
      </c>
      <c r="J365" s="11">
        <f>1-I365</f>
        <v>6.9637883008356605E-3</v>
      </c>
      <c r="K365">
        <f>H365-E368</f>
        <v>-142</v>
      </c>
      <c r="N365" s="10">
        <f>2*(E369*I365)/(E369+I365)</f>
        <v>0.90367553865652717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0</v>
      </c>
      <c r="E366" s="1">
        <v>9</v>
      </c>
      <c r="F366" s="27">
        <v>389</v>
      </c>
      <c r="G366" s="6">
        <v>3</v>
      </c>
      <c r="H366" s="1">
        <f>SUM(C366:G366)</f>
        <v>401</v>
      </c>
      <c r="I366" s="10">
        <f>F366/H366</f>
        <v>0.97007481296758102</v>
      </c>
      <c r="J366" s="11">
        <f>1-I366</f>
        <v>2.9925187032418976E-2</v>
      </c>
      <c r="K366">
        <f>H366-F368</f>
        <v>-21</v>
      </c>
      <c r="N366" s="10">
        <f>2*(F369*I366)/(F369+I366)</f>
        <v>0.94532199270959894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0</v>
      </c>
      <c r="E367" s="8">
        <v>137</v>
      </c>
      <c r="F367" s="8">
        <v>28</v>
      </c>
      <c r="G367" s="28">
        <v>630</v>
      </c>
      <c r="H367" s="1">
        <f>SUM(C367:G367)</f>
        <v>795</v>
      </c>
      <c r="I367" s="10">
        <f>G367/H367</f>
        <v>0.79245283018867929</v>
      </c>
      <c r="J367" s="11">
        <f>1-I367</f>
        <v>0.20754716981132071</v>
      </c>
      <c r="K367">
        <f>H367-G368</f>
        <v>162</v>
      </c>
      <c r="N367" s="10">
        <f>2*(G369*I367)/(G369+I367)</f>
        <v>0.88235294117647056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344</v>
      </c>
      <c r="D368" s="1">
        <f>SUM(D363:D367)</f>
        <v>47</v>
      </c>
      <c r="E368" s="1">
        <f>SUM(E363:E367)</f>
        <v>860</v>
      </c>
      <c r="F368" s="1">
        <f>SUM(F363:F367)</f>
        <v>422</v>
      </c>
      <c r="G368" s="1">
        <f>SUM(G363:G367)</f>
        <v>633</v>
      </c>
      <c r="H368" s="1">
        <f>SUM(H362:H367)</f>
        <v>2306</v>
      </c>
      <c r="I368" s="13" t="s">
        <v>12</v>
      </c>
      <c r="N368" s="16"/>
      <c r="O368" s="1"/>
      <c r="P368" s="1"/>
    </row>
    <row r="369" spans="1:40" x14ac:dyDescent="0.3">
      <c r="A369" s="1" t="s">
        <v>52</v>
      </c>
      <c r="B369" s="1" t="s">
        <v>2</v>
      </c>
      <c r="C369" s="10">
        <f>C363/C368</f>
        <v>1</v>
      </c>
      <c r="D369" s="10">
        <f>D364/D368</f>
        <v>1</v>
      </c>
      <c r="E369" s="10">
        <f>E365/E368</f>
        <v>0.82906976744186045</v>
      </c>
      <c r="F369" s="10">
        <f>F366/F368</f>
        <v>0.9218009478672986</v>
      </c>
      <c r="G369" s="10">
        <f>G367/G368</f>
        <v>0.99526066350710896</v>
      </c>
      <c r="H369" s="10"/>
      <c r="I369" s="14">
        <f>(C363+D364+E365+F366+G367)/H368</f>
        <v>0.92064180398959239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0</v>
      </c>
      <c r="E370" s="11">
        <f>1-E369</f>
        <v>0.17093023255813955</v>
      </c>
      <c r="F370" s="11">
        <f>1-F369</f>
        <v>7.8199052132701397E-2</v>
      </c>
      <c r="G370" s="11">
        <f>1-G369</f>
        <v>4.7393364928910442E-3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0.38803982943647952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0.38803982943647952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344</v>
      </c>
      <c r="M374">
        <v>0</v>
      </c>
      <c r="N374" s="1">
        <v>317.56</v>
      </c>
      <c r="O374" s="17">
        <f>N374/N379*100</f>
        <v>0.38803982943647952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47">(C364/$L375)*$O375</f>
        <v>0</v>
      </c>
      <c r="D375" s="34">
        <f t="shared" si="47"/>
        <v>0.84998269730449416</v>
      </c>
      <c r="E375" s="19">
        <f t="shared" si="47"/>
        <v>1.8084738240521151E-2</v>
      </c>
      <c r="F375" s="18">
        <f t="shared" si="47"/>
        <v>0</v>
      </c>
      <c r="G375" s="20">
        <f t="shared" si="47"/>
        <v>0</v>
      </c>
      <c r="H375" s="17">
        <f>SUM(C375:G375)</f>
        <v>0.86806743554501531</v>
      </c>
      <c r="I375" s="17">
        <f>D375/H375*100</f>
        <v>97.916666666666657</v>
      </c>
      <c r="J375" s="17">
        <f>SQRT(I375*(100-I375)/(L375-1))</f>
        <v>2.0833333333333379</v>
      </c>
      <c r="K375" s="18">
        <f>100-I375</f>
        <v>2.0833333333333428</v>
      </c>
      <c r="L375" s="1">
        <f>H364</f>
        <v>48</v>
      </c>
      <c r="M375">
        <v>1</v>
      </c>
      <c r="N375" s="1">
        <v>710.4</v>
      </c>
      <c r="O375" s="17">
        <f>N375/N379*100</f>
        <v>0.86806743554501531</v>
      </c>
      <c r="P375" s="52">
        <f>((O375*O375*(I375/100)*(K375/100))/(L375-1))</f>
        <v>3.2705775722816955E-4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47"/>
        <v>0</v>
      </c>
      <c r="D376" s="19">
        <f t="shared" si="47"/>
        <v>0</v>
      </c>
      <c r="E376" s="34">
        <f t="shared" si="47"/>
        <v>60.805960563485527</v>
      </c>
      <c r="F376" s="19">
        <f t="shared" si="47"/>
        <v>0.42640926061350298</v>
      </c>
      <c r="G376" s="20">
        <f t="shared" si="47"/>
        <v>0</v>
      </c>
      <c r="H376" s="17">
        <f>SUM(C376:G376)</f>
        <v>61.232369824099031</v>
      </c>
      <c r="I376" s="17">
        <f>E376/H376*100</f>
        <v>99.30362116991644</v>
      </c>
      <c r="J376" s="17">
        <f>SQRT(I376*(100-I376)/(L376-1))</f>
        <v>0.31056016230667621</v>
      </c>
      <c r="K376" s="18">
        <f>100-I376</f>
        <v>0.69637883008356027</v>
      </c>
      <c r="L376" s="1">
        <f>H365</f>
        <v>718</v>
      </c>
      <c r="M376">
        <v>2</v>
      </c>
      <c r="N376" s="1">
        <v>50110.71</v>
      </c>
      <c r="O376" s="17">
        <f>N376/N379*100</f>
        <v>61.232369824099031</v>
      </c>
      <c r="P376" s="52">
        <f>((O376*O376*(I376/100)*(K376/100))/(L376-1))</f>
        <v>3.6162098584057875E-2</v>
      </c>
    </row>
    <row r="377" spans="1:40" x14ac:dyDescent="0.3">
      <c r="A377" t="s">
        <v>6</v>
      </c>
      <c r="B377" s="13">
        <v>3</v>
      </c>
      <c r="C377" s="33">
        <f t="shared" si="47"/>
        <v>0</v>
      </c>
      <c r="D377" s="19">
        <f t="shared" si="47"/>
        <v>0</v>
      </c>
      <c r="E377" s="19">
        <f t="shared" si="47"/>
        <v>0.74554741726218232</v>
      </c>
      <c r="F377" s="34">
        <f t="shared" si="47"/>
        <v>32.224216146109882</v>
      </c>
      <c r="G377" s="20">
        <f t="shared" si="47"/>
        <v>0.24851580575406076</v>
      </c>
      <c r="H377" s="17">
        <f>SUM(C377:G377)</f>
        <v>33.218279369126122</v>
      </c>
      <c r="I377" s="17">
        <f>F377/H377*100</f>
        <v>97.007481296758115</v>
      </c>
      <c r="J377" s="17">
        <f>SQRT(I377*(100-I377)/(L377-1))</f>
        <v>0.85190478067524655</v>
      </c>
      <c r="K377" s="18">
        <f>100-I377</f>
        <v>2.9925187032418847</v>
      </c>
      <c r="L377" s="1">
        <f>H366</f>
        <v>401</v>
      </c>
      <c r="M377">
        <v>3</v>
      </c>
      <c r="N377" s="1">
        <v>27184.83</v>
      </c>
      <c r="O377" s="17">
        <f>N377/N379*100</f>
        <v>33.218279369126122</v>
      </c>
      <c r="P377" s="52">
        <f>((O377*O377*(I377/100)*(K377/100))/(L377-1))</f>
        <v>8.0082270403434852E-2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47"/>
        <v>0</v>
      </c>
      <c r="D378" s="36">
        <f t="shared" si="47"/>
        <v>0</v>
      </c>
      <c r="E378" s="21">
        <f t="shared" si="47"/>
        <v>0.73984196883734299</v>
      </c>
      <c r="F378" s="21">
        <f t="shared" si="47"/>
        <v>0.15120857757259565</v>
      </c>
      <c r="G378" s="37">
        <f t="shared" si="47"/>
        <v>3.4021929953834027</v>
      </c>
      <c r="H378" s="17">
        <f>SUM(C378:G378)</f>
        <v>4.2932435417933412</v>
      </c>
      <c r="I378" s="17">
        <f>G378/H378*100</f>
        <v>79.245283018867923</v>
      </c>
      <c r="J378" s="17">
        <f>SQRT(I378*(100-I378)/(L378-1))</f>
        <v>1.4392454559775532</v>
      </c>
      <c r="K378" s="18">
        <f>100-I378</f>
        <v>20.754716981132077</v>
      </c>
      <c r="L378" s="1">
        <f>H367</f>
        <v>795</v>
      </c>
      <c r="M378">
        <v>4</v>
      </c>
      <c r="N378" s="1">
        <v>3513.46</v>
      </c>
      <c r="O378" s="17">
        <f>N378/N379*100</f>
        <v>4.2932435417933412</v>
      </c>
      <c r="P378" s="52">
        <f>((O378*O378*(I378/100)*(K378/100))/(L378-1))</f>
        <v>3.8180427298846937E-3</v>
      </c>
    </row>
    <row r="379" spans="1:40" x14ac:dyDescent="0.3">
      <c r="B379" t="s">
        <v>28</v>
      </c>
      <c r="C379" s="17">
        <f t="shared" ref="C379:H379" si="48">SUM(C374:C378)</f>
        <v>0.38803982943647952</v>
      </c>
      <c r="D379" s="17">
        <f t="shared" si="48"/>
        <v>0.84998269730449416</v>
      </c>
      <c r="E379" s="17">
        <f t="shared" si="48"/>
        <v>62.309434687825572</v>
      </c>
      <c r="F379" s="17">
        <f t="shared" si="48"/>
        <v>32.801833984295982</v>
      </c>
      <c r="G379" s="17">
        <f t="shared" si="48"/>
        <v>3.6507088011374633</v>
      </c>
      <c r="H379" s="18">
        <f t="shared" si="48"/>
        <v>100</v>
      </c>
      <c r="I379" s="13" t="s">
        <v>24</v>
      </c>
      <c r="J379" s="12" t="s">
        <v>29</v>
      </c>
      <c r="N379" s="1">
        <f>SUM(N374:N378)</f>
        <v>81836.960000000006</v>
      </c>
      <c r="O379" s="17">
        <f>SUM(O374:O378)</f>
        <v>100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1.7895364035207046E-2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0.31640608192911257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0.34173397605008726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0.15571103633783115</v>
      </c>
      <c r="H380" s="1"/>
      <c r="I380" s="14">
        <f>(C374+D375+E376+F377+G378)/H379</f>
        <v>0.97670392231719783</v>
      </c>
      <c r="J380" s="53">
        <f>SQRT(SUM(P374:P378))/100</f>
        <v>3.4697185689131272E-3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100</v>
      </c>
      <c r="E381" s="17">
        <f>E376/E379*100</f>
        <v>97.587084312556271</v>
      </c>
      <c r="F381" s="17">
        <f>F377/F379*100</f>
        <v>98.239068466529531</v>
      </c>
      <c r="G381" s="17">
        <f>G378/G379*100</f>
        <v>93.192669717271627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0</v>
      </c>
      <c r="E382" s="18">
        <f>SQRT((E385+E386)/(E379*E379))</f>
        <v>0.40349382998907768</v>
      </c>
      <c r="F382" s="18">
        <f>SQRT((F385+F386)/(F379*F379))</f>
        <v>0.59541044706073365</v>
      </c>
      <c r="G382" s="18">
        <f>SQRT((G385+G386)/(G379*G379))</f>
        <v>3.8308748722091286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0</v>
      </c>
      <c r="E383" s="18">
        <f>100-E381</f>
        <v>2.4129156874437285</v>
      </c>
      <c r="F383" s="18">
        <f>100-F381</f>
        <v>1.7609315334704689</v>
      </c>
      <c r="G383" s="18">
        <f>100-G381</f>
        <v>6.8073302827283726</v>
      </c>
      <c r="AM383" s="78"/>
      <c r="AN383" s="78"/>
    </row>
    <row r="384" spans="1:40" ht="15.6" x14ac:dyDescent="0.35">
      <c r="B384" s="1" t="s">
        <v>25</v>
      </c>
      <c r="C384" s="1">
        <f>C368</f>
        <v>344</v>
      </c>
      <c r="D384" s="1">
        <f>D368</f>
        <v>47</v>
      </c>
      <c r="E384" s="1">
        <f>E368</f>
        <v>860</v>
      </c>
      <c r="F384" s="1">
        <f>F368</f>
        <v>422</v>
      </c>
      <c r="G384" s="1">
        <f>G368</f>
        <v>633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0</v>
      </c>
      <c r="E385" s="18">
        <f>(O376*O376*(100-E381)*(100-E381)*(I376)*(100-I376))/((L376-1)*100)</f>
        <v>21.054160036458367</v>
      </c>
      <c r="F385" s="18">
        <f>(O377*O377*(100-F381)*(100-F381)*(I377)*(100-I377))/((L377-1)*100)</f>
        <v>24.832549988319602</v>
      </c>
      <c r="G385" s="18">
        <f>(O378*O378*(100-G381)*(100-G381)*(I378)*(100-I378))/((L378-1)*100)</f>
        <v>17.692712870936482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0</v>
      </c>
      <c r="E386" s="18">
        <f>E381*E381*(SUM((H374*E374*(1-E363/H363))/(H363-1),(H375*E375*(1-E364/H364))/(H364-1), (H377*E377*(1-E366/H366))/(H366-1),(H378*E378*(1-E367/H367))/(H367-1)))</f>
        <v>611.03947674895289</v>
      </c>
      <c r="F386" s="18">
        <f>F381*F381*(SUM((H374*F374*(1-F363/H363))/(H363-1),(H375*F375*(1-F364/H364))/(H364-1), (H376*F376*(1-F365/H365))/(H365-1),(H378*F378*(1-F367/H367))/(H367-1)))</f>
        <v>356.61001444058661</v>
      </c>
      <c r="G386" s="18">
        <f>G381*G381*(SUM((H374*G374*(1-G363/H363))/(H363-1),(H375*G375*(1-G364/H364))/(H364-1), (H376*G376*(1-G365/H365))/(H365-1),(H377*G377*(1-G366/H366))/(H366-1)))</f>
        <v>177.89894117451257</v>
      </c>
    </row>
    <row r="387" spans="1:40" x14ac:dyDescent="0.3">
      <c r="AM387" s="78"/>
      <c r="AN387" s="78"/>
    </row>
    <row r="389" spans="1:40" x14ac:dyDescent="0.3">
      <c r="A389" s="348" t="s">
        <v>378</v>
      </c>
      <c r="B389" s="348"/>
      <c r="C389" s="348"/>
      <c r="D389" s="348"/>
      <c r="E389" s="348"/>
      <c r="F389" s="348"/>
      <c r="G389" s="348"/>
      <c r="H389" s="348"/>
      <c r="I389" s="348"/>
      <c r="J389" s="348"/>
      <c r="K389" s="348"/>
      <c r="L389" s="348" t="s">
        <v>86</v>
      </c>
      <c r="M389" s="348"/>
      <c r="N389" s="348"/>
      <c r="O389" s="348"/>
      <c r="P389" s="348"/>
      <c r="AM389" s="78"/>
      <c r="AN389" s="78"/>
    </row>
    <row r="390" spans="1:40" x14ac:dyDescent="0.3">
      <c r="A390" t="s">
        <v>15</v>
      </c>
      <c r="B390" t="s">
        <v>21</v>
      </c>
      <c r="I390" s="1" t="s">
        <v>53</v>
      </c>
      <c r="O390" s="142"/>
      <c r="P390" s="142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51</v>
      </c>
      <c r="O391" s="13"/>
      <c r="P391" s="13"/>
      <c r="AM391" s="78"/>
      <c r="AN391" s="78"/>
    </row>
    <row r="392" spans="1:40" x14ac:dyDescent="0.3">
      <c r="A392" t="s">
        <v>3</v>
      </c>
      <c r="B392" s="13">
        <v>0</v>
      </c>
      <c r="C392" s="26">
        <v>344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344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48</v>
      </c>
      <c r="E393" s="1">
        <v>0</v>
      </c>
      <c r="F393" s="1">
        <v>0</v>
      </c>
      <c r="G393" s="6">
        <v>0</v>
      </c>
      <c r="H393" s="1">
        <f>SUM(C393:G393)</f>
        <v>48</v>
      </c>
      <c r="I393" s="10">
        <f>D393/H393</f>
        <v>1</v>
      </c>
      <c r="J393" s="11">
        <f>1-I393</f>
        <v>0</v>
      </c>
      <c r="K393">
        <f>H393-D397</f>
        <v>-3</v>
      </c>
      <c r="N393" s="10">
        <f>2*(D398*I393)/(D398+I393)</f>
        <v>0.96969696969696972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0</v>
      </c>
      <c r="E394" s="27">
        <v>711</v>
      </c>
      <c r="F394" s="1">
        <v>7</v>
      </c>
      <c r="G394" s="6">
        <v>0</v>
      </c>
      <c r="H394" s="1">
        <f>SUM(C394:G394)</f>
        <v>718</v>
      </c>
      <c r="I394" s="10">
        <f>E394/H394</f>
        <v>0.99025069637883012</v>
      </c>
      <c r="J394" s="11">
        <f>1-I394</f>
        <v>9.7493036211698803E-3</v>
      </c>
      <c r="K394">
        <f>H394-E397</f>
        <v>-148</v>
      </c>
      <c r="N394" s="10">
        <f>2*(E398*I394)/(E398+I394)</f>
        <v>0.8977272727272726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0</v>
      </c>
      <c r="E395" s="1">
        <v>9</v>
      </c>
      <c r="F395" s="27">
        <v>388</v>
      </c>
      <c r="G395" s="6">
        <v>4</v>
      </c>
      <c r="H395" s="1">
        <f>SUM(C395:G395)</f>
        <v>401</v>
      </c>
      <c r="I395" s="10">
        <f>F395/H395</f>
        <v>0.96758104738154616</v>
      </c>
      <c r="J395" s="11">
        <f>1-I395</f>
        <v>3.2418952618453845E-2</v>
      </c>
      <c r="K395">
        <f>H395-F397</f>
        <v>-29</v>
      </c>
      <c r="N395" s="10">
        <f>2*(F398*I395)/(F398+I395)</f>
        <v>0.93381468110709998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3</v>
      </c>
      <c r="E396" s="8">
        <v>146</v>
      </c>
      <c r="F396" s="8">
        <v>35</v>
      </c>
      <c r="G396" s="28">
        <v>611</v>
      </c>
      <c r="H396" s="1">
        <f>SUM(C396:G396)</f>
        <v>795</v>
      </c>
      <c r="I396" s="10">
        <f>G396/H396</f>
        <v>0.76855345911949691</v>
      </c>
      <c r="J396" s="11">
        <f>1-I396</f>
        <v>0.23144654088050309</v>
      </c>
      <c r="K396">
        <f>H396-G397</f>
        <v>180</v>
      </c>
      <c r="N396" s="10">
        <f>2*(G398*I396)/(G398+I396)</f>
        <v>0.8666666666666667</v>
      </c>
      <c r="O396" s="1"/>
      <c r="P396" s="1"/>
    </row>
    <row r="397" spans="1:40" ht="15.6" x14ac:dyDescent="0.35">
      <c r="B397" s="1" t="s">
        <v>19</v>
      </c>
      <c r="C397" s="1">
        <f>SUM(C392:C396)</f>
        <v>344</v>
      </c>
      <c r="D397" s="1">
        <f>SUM(D392:D396)</f>
        <v>51</v>
      </c>
      <c r="E397" s="1">
        <f>SUM(E392:E396)</f>
        <v>866</v>
      </c>
      <c r="F397" s="1">
        <f>SUM(F392:F396)</f>
        <v>430</v>
      </c>
      <c r="G397" s="1">
        <f>SUM(G392:G396)</f>
        <v>615</v>
      </c>
      <c r="H397" s="1">
        <f>SUM(H391:H396)</f>
        <v>2306</v>
      </c>
      <c r="I397" s="13" t="s">
        <v>12</v>
      </c>
      <c r="N397" s="16"/>
      <c r="O397" s="1"/>
      <c r="P397" s="1"/>
      <c r="AM397" s="78"/>
      <c r="AN397" s="78"/>
    </row>
    <row r="398" spans="1:40" x14ac:dyDescent="0.3">
      <c r="A398" s="1" t="s">
        <v>52</v>
      </c>
      <c r="B398" s="1" t="s">
        <v>2</v>
      </c>
      <c r="C398" s="10">
        <f>C392/C397</f>
        <v>1</v>
      </c>
      <c r="D398" s="10">
        <f>D393/D397</f>
        <v>0.94117647058823528</v>
      </c>
      <c r="E398" s="10">
        <f>E394/E397</f>
        <v>0.82101616628175522</v>
      </c>
      <c r="F398" s="10">
        <f>F395/F397</f>
        <v>0.9023255813953488</v>
      </c>
      <c r="G398" s="10">
        <f>G396/G397</f>
        <v>0.99349593495934962</v>
      </c>
      <c r="H398" s="10"/>
      <c r="I398" s="14">
        <f>(C392+D393+E394+F395+G396)/H397</f>
        <v>0.91153512575888984</v>
      </c>
    </row>
    <row r="399" spans="1:40" x14ac:dyDescent="0.3">
      <c r="B399" s="1" t="s">
        <v>14</v>
      </c>
      <c r="C399" s="11">
        <f>1-C398</f>
        <v>0</v>
      </c>
      <c r="D399" s="11">
        <f>1-D398</f>
        <v>5.8823529411764719E-2</v>
      </c>
      <c r="E399" s="11">
        <f>1-E398</f>
        <v>0.17898383371824478</v>
      </c>
      <c r="F399" s="11">
        <f>1-F398</f>
        <v>9.7674418604651203E-2</v>
      </c>
      <c r="G399" s="11">
        <f>1-G398</f>
        <v>6.5040650406503753E-3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0.40465818810251658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0.40465818810251658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344</v>
      </c>
      <c r="M403">
        <v>0</v>
      </c>
      <c r="N403" s="1">
        <v>331.16</v>
      </c>
      <c r="O403" s="17">
        <f>N403/N408*100</f>
        <v>0.40465818810251658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49">(C393/$L404)*$O404</f>
        <v>0</v>
      </c>
      <c r="D404" s="34">
        <f t="shared" si="49"/>
        <v>0.92878560875359872</v>
      </c>
      <c r="E404" s="19">
        <f t="shared" si="49"/>
        <v>0</v>
      </c>
      <c r="F404" s="18">
        <f t="shared" si="49"/>
        <v>0</v>
      </c>
      <c r="G404" s="20">
        <f t="shared" si="49"/>
        <v>0</v>
      </c>
      <c r="H404" s="17">
        <f>SUM(C404:G404)</f>
        <v>0.92878560875359872</v>
      </c>
      <c r="I404" s="17">
        <f>D404/H404*100</f>
        <v>100</v>
      </c>
      <c r="J404" s="17">
        <f>SQRT(I404*(100-I404)/(L404-1))</f>
        <v>0</v>
      </c>
      <c r="K404" s="18">
        <f>100-I404</f>
        <v>0</v>
      </c>
      <c r="L404" s="1">
        <f>H393</f>
        <v>48</v>
      </c>
      <c r="M404">
        <v>1</v>
      </c>
      <c r="N404" s="1">
        <v>760.09</v>
      </c>
      <c r="O404" s="17">
        <f>N404/N408*100</f>
        <v>0.92878560875359872</v>
      </c>
      <c r="P404" s="52">
        <f>((O404*O404*(I404/100)*(K404/100))/(L404-1))</f>
        <v>0</v>
      </c>
    </row>
    <row r="405" spans="1:40" x14ac:dyDescent="0.3">
      <c r="A405" t="s">
        <v>5</v>
      </c>
      <c r="B405" s="13">
        <v>2</v>
      </c>
      <c r="C405" s="33">
        <f t="shared" si="49"/>
        <v>0</v>
      </c>
      <c r="D405" s="19">
        <f t="shared" si="49"/>
        <v>0</v>
      </c>
      <c r="E405" s="34">
        <f t="shared" si="49"/>
        <v>60.638233017026529</v>
      </c>
      <c r="F405" s="19">
        <f t="shared" si="49"/>
        <v>0.59700088765005022</v>
      </c>
      <c r="G405" s="20">
        <f t="shared" si="49"/>
        <v>0</v>
      </c>
      <c r="H405" s="17">
        <f>SUM(C405:G405)</f>
        <v>61.235233904676576</v>
      </c>
      <c r="I405" s="17">
        <f>E405/H405*100</f>
        <v>99.025069637883007</v>
      </c>
      <c r="J405" s="17">
        <f>SQRT(I405*(100-I405)/(L405-1))</f>
        <v>0.36694400630981422</v>
      </c>
      <c r="K405" s="18">
        <f>100-I405</f>
        <v>0.97493036211699291</v>
      </c>
      <c r="L405" s="1">
        <f>H394</f>
        <v>718</v>
      </c>
      <c r="M405">
        <v>2</v>
      </c>
      <c r="N405" s="1">
        <v>50113.06</v>
      </c>
      <c r="O405" s="17">
        <f>N405/N408*100</f>
        <v>61.235233904676576</v>
      </c>
      <c r="P405" s="52">
        <f>((O405*O405*(I405/100)*(K405/100))/(L405-1))</f>
        <v>5.0489649841974155E-2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49"/>
        <v>0</v>
      </c>
      <c r="D406" s="19">
        <f t="shared" si="49"/>
        <v>0</v>
      </c>
      <c r="E406" s="19">
        <f t="shared" si="49"/>
        <v>0.75299023048804403</v>
      </c>
      <c r="F406" s="34">
        <f t="shared" si="49"/>
        <v>32.462245492151233</v>
      </c>
      <c r="G406" s="20">
        <f t="shared" si="49"/>
        <v>0.33466232466135293</v>
      </c>
      <c r="H406" s="17">
        <f>SUM(C406:G406)</f>
        <v>33.54989804730063</v>
      </c>
      <c r="I406" s="17">
        <f>F406/H406*100</f>
        <v>96.758104738154614</v>
      </c>
      <c r="J406" s="17">
        <f>SQRT(I406*(100-I406)/(L406-1))</f>
        <v>0.88555016980372581</v>
      </c>
      <c r="K406" s="18">
        <f>100-I406</f>
        <v>3.2418952618453858</v>
      </c>
      <c r="L406" s="1">
        <f>H395</f>
        <v>401</v>
      </c>
      <c r="M406">
        <v>3</v>
      </c>
      <c r="N406" s="1">
        <v>27456.22</v>
      </c>
      <c r="O406" s="17">
        <f>N406/N408*100</f>
        <v>33.54989804730063</v>
      </c>
      <c r="P406" s="52">
        <f>((O406*O406*(I406/100)*(K406/100))/(L406-1))</f>
        <v>8.8269110638563186E-2</v>
      </c>
    </row>
    <row r="407" spans="1:40" x14ac:dyDescent="0.3">
      <c r="A407" t="s">
        <v>7</v>
      </c>
      <c r="B407" s="13">
        <v>4</v>
      </c>
      <c r="C407" s="35">
        <f t="shared" si="49"/>
        <v>0</v>
      </c>
      <c r="D407" s="36">
        <f t="shared" si="49"/>
        <v>1.4646883966666713E-2</v>
      </c>
      <c r="E407" s="21">
        <f t="shared" si="49"/>
        <v>0.71281501971111327</v>
      </c>
      <c r="F407" s="21">
        <f t="shared" si="49"/>
        <v>0.17088031294444497</v>
      </c>
      <c r="G407" s="37">
        <f t="shared" si="49"/>
        <v>2.983082034544454</v>
      </c>
      <c r="H407" s="17">
        <f>SUM(C407:G407)</f>
        <v>3.881424251166679</v>
      </c>
      <c r="I407" s="17">
        <f>G407/H407*100</f>
        <v>76.855345911949684</v>
      </c>
      <c r="J407" s="17">
        <f>SQRT(I407*(100-I407)/(L407-1))</f>
        <v>1.496759890971517</v>
      </c>
      <c r="K407" s="18">
        <f>100-I407</f>
        <v>23.144654088050316</v>
      </c>
      <c r="L407" s="1">
        <f>H396</f>
        <v>795</v>
      </c>
      <c r="M407">
        <v>4</v>
      </c>
      <c r="N407" s="1">
        <v>3176.44</v>
      </c>
      <c r="O407" s="17">
        <f>N407/N408*100</f>
        <v>3.881424251166679</v>
      </c>
      <c r="P407" s="52">
        <f>((O407*O407*(I407/100)*(K407/100))/(L407-1))</f>
        <v>3.3750989008546621E-3</v>
      </c>
      <c r="AM407" s="78"/>
      <c r="AN407" s="78"/>
    </row>
    <row r="408" spans="1:40" x14ac:dyDescent="0.3">
      <c r="B408" t="s">
        <v>28</v>
      </c>
      <c r="C408" s="17">
        <f t="shared" ref="C408:H408" si="50">SUM(C403:C407)</f>
        <v>0.40465818810251658</v>
      </c>
      <c r="D408" s="17">
        <f t="shared" si="50"/>
        <v>0.94343249272026541</v>
      </c>
      <c r="E408" s="17">
        <f t="shared" si="50"/>
        <v>62.10403826722569</v>
      </c>
      <c r="F408" s="17">
        <f t="shared" si="50"/>
        <v>33.230126692745728</v>
      </c>
      <c r="G408" s="17">
        <f t="shared" si="50"/>
        <v>3.3177443592058067</v>
      </c>
      <c r="H408" s="18">
        <f t="shared" si="50"/>
        <v>100</v>
      </c>
      <c r="I408" s="13" t="s">
        <v>24</v>
      </c>
      <c r="J408" s="12" t="s">
        <v>29</v>
      </c>
      <c r="N408" s="1">
        <f>SUM(N403:N407)</f>
        <v>81836.97</v>
      </c>
      <c r="O408" s="17">
        <f>SUM(O403:O407)</f>
        <v>100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8.4404118816837018E-3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0.33888905449668721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0.37318343551139926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0.17632717444803256</v>
      </c>
      <c r="H409" s="1"/>
      <c r="I409" s="56">
        <f>(C403+D404+E405+F406+G407)/H408</f>
        <v>0.97417004340578328</v>
      </c>
      <c r="J409" s="53">
        <f>SQRT(SUM(P403:P407))/100</f>
        <v>3.7700644474782125E-3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98.447489981563564</v>
      </c>
      <c r="E410" s="17">
        <f>E405/E408*100</f>
        <v>97.639758555004121</v>
      </c>
      <c r="F410" s="17">
        <f>F406/F408*100</f>
        <v>97.689201706347617</v>
      </c>
      <c r="G410" s="17">
        <f>G407/G408*100</f>
        <v>89.912956260998257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0.88131420767475355</v>
      </c>
      <c r="E411" s="18">
        <f>SQRT((E414+E415)/(E408*E408))</f>
        <v>0.40857234935257569</v>
      </c>
      <c r="F411" s="18">
        <f>SQRT((F414+F415)/(F408*F408))</f>
        <v>0.69708842435453799</v>
      </c>
      <c r="G411" s="18">
        <f>SQRT((G414+G415)/(G408*G408))</f>
        <v>4.8507532184161075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1.5525100184364362</v>
      </c>
      <c r="E412" s="18">
        <f>100-E410</f>
        <v>2.3602414449958786</v>
      </c>
      <c r="F412" s="18">
        <f>100-F410</f>
        <v>2.3107982936523825</v>
      </c>
      <c r="G412" s="18">
        <f>100-G410</f>
        <v>10.087043739001743</v>
      </c>
    </row>
    <row r="413" spans="1:40" ht="15.6" x14ac:dyDescent="0.35">
      <c r="B413" s="1" t="s">
        <v>25</v>
      </c>
      <c r="C413" s="1">
        <f>C397</f>
        <v>344</v>
      </c>
      <c r="D413" s="1">
        <f>D397</f>
        <v>51</v>
      </c>
      <c r="E413" s="1">
        <f>E397</f>
        <v>866</v>
      </c>
      <c r="F413" s="1">
        <f>F397</f>
        <v>430</v>
      </c>
      <c r="G413" s="1">
        <f>G397</f>
        <v>615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0</v>
      </c>
      <c r="E414" s="18">
        <f>(O405*O405*(100-E410)*(100-E410)*(I405)*(100-I405))/((L405-1)*100)</f>
        <v>28.126469573715461</v>
      </c>
      <c r="F414" s="18">
        <f>(O406*O406*(100-F410)*(100-F410)*(I406)*(100-I406))/((L406-1)*100)</f>
        <v>47.133840430868219</v>
      </c>
      <c r="G414" s="18">
        <f>(O407*O407*(100-G410)*(100-G410)*(I407)*(100-I407))/((L407-1)*100)</f>
        <v>34.341108645860643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0.69132649623806341</v>
      </c>
      <c r="E415" s="18">
        <f>E410*E410*(SUM((H403*E403*(1-E392/H392))/(H392-1),(H404*E404*(1-E393/H393))/(H393-1), (H406*E406*(1-E395/H395))/(H395-1),(H407*E407*(1-E396/H396))/(H396-1)))</f>
        <v>615.71304201117312</v>
      </c>
      <c r="F415" s="18">
        <f>F410*F410*(SUM((H403*F403*(1-F392/H392))/(H392-1),(H404*F404*(1-F393/H393))/(H393-1), (H405*F405*(1-F394/H394))/(H394-1),(H407*F407*(1-F396/H396))/(H396-1)))</f>
        <v>489.45265234407856</v>
      </c>
      <c r="G415" s="18">
        <f>G410*G410*(SUM((H403*G403*(1-G392/H392))/(H392-1),(H404*G404*(1-G393/H393))/(H393-1), (H405*G405*(1-G394/H394))/(H394-1),(H406*G406*(1-G395/H395))/(H395-1)))</f>
        <v>224.66153677021003</v>
      </c>
      <c r="AM415" s="78"/>
      <c r="AN415" s="78"/>
    </row>
    <row r="417" spans="1:40" x14ac:dyDescent="0.3">
      <c r="AM417" s="78"/>
      <c r="AN417" s="78"/>
    </row>
    <row r="418" spans="1:40" x14ac:dyDescent="0.3">
      <c r="A418" s="348" t="s">
        <v>378</v>
      </c>
      <c r="B418" s="348"/>
      <c r="C418" s="348"/>
      <c r="D418" s="348"/>
      <c r="E418" s="348"/>
      <c r="F418" s="348"/>
      <c r="G418" s="348"/>
      <c r="H418" s="348"/>
      <c r="I418" s="348"/>
      <c r="J418" s="348"/>
      <c r="K418" s="348"/>
      <c r="L418" s="348" t="s">
        <v>87</v>
      </c>
      <c r="M418" s="348"/>
      <c r="N418" s="348"/>
      <c r="O418" s="348"/>
      <c r="P418" s="348"/>
    </row>
    <row r="419" spans="1:40" x14ac:dyDescent="0.3">
      <c r="A419" t="s">
        <v>15</v>
      </c>
      <c r="B419" t="s">
        <v>21</v>
      </c>
      <c r="I419" s="1" t="s">
        <v>53</v>
      </c>
      <c r="O419" s="142"/>
      <c r="P419" s="142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51</v>
      </c>
      <c r="O420" s="13"/>
      <c r="P420" s="13"/>
    </row>
    <row r="421" spans="1:40" x14ac:dyDescent="0.3">
      <c r="A421" t="s">
        <v>3</v>
      </c>
      <c r="B421" s="13">
        <v>0</v>
      </c>
      <c r="C421" s="26">
        <v>344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344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48</v>
      </c>
      <c r="E422" s="1">
        <v>0</v>
      </c>
      <c r="F422" s="1">
        <v>0</v>
      </c>
      <c r="G422" s="6">
        <v>0</v>
      </c>
      <c r="H422" s="1">
        <f>SUM(C422:G422)</f>
        <v>48</v>
      </c>
      <c r="I422" s="10">
        <f>D422/H422</f>
        <v>1</v>
      </c>
      <c r="J422" s="11">
        <f>1-I422</f>
        <v>0</v>
      </c>
      <c r="K422">
        <f>H422-D426</f>
        <v>-2</v>
      </c>
      <c r="N422" s="10">
        <f>2*(D427*I422)/(D427+I422)</f>
        <v>0.97959183673469385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0</v>
      </c>
      <c r="E423" s="27">
        <v>712</v>
      </c>
      <c r="F423" s="1">
        <v>6</v>
      </c>
      <c r="G423" s="6">
        <v>0</v>
      </c>
      <c r="H423" s="1">
        <f>SUM(C423:G423)</f>
        <v>718</v>
      </c>
      <c r="I423" s="10">
        <f>E423/H423</f>
        <v>0.99164345403899723</v>
      </c>
      <c r="J423" s="11">
        <f>1-I423</f>
        <v>8.3565459610027704E-3</v>
      </c>
      <c r="K423">
        <f>H423-E426</f>
        <v>-166</v>
      </c>
      <c r="N423" s="10">
        <f>2*(E427*I423)/(E427+I423)</f>
        <v>0.88888888888888895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0</v>
      </c>
      <c r="E424" s="1">
        <v>9</v>
      </c>
      <c r="F424" s="27">
        <v>377</v>
      </c>
      <c r="G424" s="6">
        <v>15</v>
      </c>
      <c r="H424" s="1">
        <f>SUM(C424:G424)</f>
        <v>401</v>
      </c>
      <c r="I424" s="10">
        <f>F424/H424</f>
        <v>0.94014962593516205</v>
      </c>
      <c r="J424" s="11">
        <f>1-I424</f>
        <v>5.9850374064837952E-2</v>
      </c>
      <c r="K424">
        <f>H424-F426</f>
        <v>-1</v>
      </c>
      <c r="N424" s="10">
        <f>2*(F427*I424)/(F427+I424)</f>
        <v>0.93897882938978827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2</v>
      </c>
      <c r="E425" s="8">
        <v>163</v>
      </c>
      <c r="F425" s="8">
        <v>19</v>
      </c>
      <c r="G425" s="28">
        <v>611</v>
      </c>
      <c r="H425" s="1">
        <f>SUM(C425:G425)</f>
        <v>795</v>
      </c>
      <c r="I425" s="10">
        <f>G425/H425</f>
        <v>0.76855345911949691</v>
      </c>
      <c r="J425" s="11">
        <f>1-I425</f>
        <v>0.23144654088050309</v>
      </c>
      <c r="K425">
        <f>H425-G426</f>
        <v>169</v>
      </c>
      <c r="N425" s="10">
        <f>2*(G427*I425)/(G427+I425)</f>
        <v>0.85995777621393388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344</v>
      </c>
      <c r="D426" s="1">
        <f>SUM(D421:D425)</f>
        <v>50</v>
      </c>
      <c r="E426" s="1">
        <f>SUM(E421:E425)</f>
        <v>884</v>
      </c>
      <c r="F426" s="1">
        <f>SUM(F421:F425)</f>
        <v>402</v>
      </c>
      <c r="G426" s="1">
        <f>SUM(G421:G425)</f>
        <v>626</v>
      </c>
      <c r="H426" s="1">
        <f>SUM(H420:H425)</f>
        <v>2306</v>
      </c>
      <c r="I426" s="13" t="s">
        <v>12</v>
      </c>
      <c r="N426" s="16"/>
      <c r="O426" s="1"/>
      <c r="P426" s="1"/>
    </row>
    <row r="427" spans="1:40" x14ac:dyDescent="0.3">
      <c r="A427" s="1" t="s">
        <v>52</v>
      </c>
      <c r="B427" s="1" t="s">
        <v>2</v>
      </c>
      <c r="C427" s="10">
        <f>C421/C426</f>
        <v>1</v>
      </c>
      <c r="D427" s="10">
        <f>D422/D426</f>
        <v>0.96</v>
      </c>
      <c r="E427" s="10">
        <f>E423/E426</f>
        <v>0.80542986425339369</v>
      </c>
      <c r="F427" s="10">
        <f>F424/F426</f>
        <v>0.93781094527363185</v>
      </c>
      <c r="G427" s="10">
        <f>G425/G426</f>
        <v>0.97603833865814693</v>
      </c>
      <c r="H427" s="10"/>
      <c r="I427" s="14">
        <f>(C421+D422+E423+F424+G425)/H426</f>
        <v>0.90719861231569821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4.0000000000000036E-2</v>
      </c>
      <c r="E428" s="11">
        <f>1-E427</f>
        <v>0.19457013574660631</v>
      </c>
      <c r="F428" s="11">
        <f>1-F427</f>
        <v>6.2189054726368154E-2</v>
      </c>
      <c r="G428" s="11">
        <f>1-G427</f>
        <v>2.3961661341853069E-2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0.4433692987411435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0.4433692987411435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344</v>
      </c>
      <c r="M432">
        <v>0</v>
      </c>
      <c r="N432" s="1">
        <v>362.84</v>
      </c>
      <c r="O432" s="17">
        <f>N432/N437*100</f>
        <v>0.4433692987411435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51">(C422/$L433)*$O433</f>
        <v>0</v>
      </c>
      <c r="D433" s="34">
        <f t="shared" si="51"/>
        <v>0.80659144638419533</v>
      </c>
      <c r="E433" s="19">
        <f t="shared" si="51"/>
        <v>0</v>
      </c>
      <c r="F433" s="18">
        <f t="shared" si="51"/>
        <v>0</v>
      </c>
      <c r="G433" s="20">
        <f t="shared" si="51"/>
        <v>0</v>
      </c>
      <c r="H433" s="17">
        <f>SUM(C433:G433)</f>
        <v>0.80659144638419533</v>
      </c>
      <c r="I433" s="17">
        <f>D433/H433*100</f>
        <v>100</v>
      </c>
      <c r="J433" s="17">
        <f>SQRT(I433*(100-I433)/(L433-1))</f>
        <v>0</v>
      </c>
      <c r="K433" s="18">
        <f>100-I433</f>
        <v>0</v>
      </c>
      <c r="L433" s="1">
        <f>H422</f>
        <v>48</v>
      </c>
      <c r="M433">
        <v>1</v>
      </c>
      <c r="N433" s="1">
        <v>660.09</v>
      </c>
      <c r="O433" s="17">
        <f>N433/N437*100</f>
        <v>0.80659144638419533</v>
      </c>
      <c r="P433" s="52">
        <f>((O433*O433*(I433/100)*(K433/100))/(L433-1))</f>
        <v>0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51"/>
        <v>0</v>
      </c>
      <c r="D434" s="19">
        <f t="shared" si="51"/>
        <v>0</v>
      </c>
      <c r="E434" s="34">
        <f t="shared" si="51"/>
        <v>61.088043718067837</v>
      </c>
      <c r="F434" s="19">
        <f t="shared" si="51"/>
        <v>0.51478688526461658</v>
      </c>
      <c r="G434" s="20">
        <f t="shared" si="51"/>
        <v>0</v>
      </c>
      <c r="H434" s="17">
        <f>SUM(C434:G434)</f>
        <v>61.602830603332457</v>
      </c>
      <c r="I434" s="17">
        <f>E434/H434*100</f>
        <v>99.164345403899716</v>
      </c>
      <c r="J434" s="17">
        <f>SQRT(I434*(100-I434)/(L434-1))</f>
        <v>0.33996295845078778</v>
      </c>
      <c r="K434" s="18">
        <f>100-I434</f>
        <v>0.8356545961002837</v>
      </c>
      <c r="L434" s="1">
        <f>H423</f>
        <v>718</v>
      </c>
      <c r="M434">
        <v>2</v>
      </c>
      <c r="N434" s="1">
        <v>50413.89</v>
      </c>
      <c r="O434" s="17">
        <f>N434/N437*100</f>
        <v>61.60283060333245</v>
      </c>
      <c r="P434" s="52">
        <f>((O434*O434*(I434/100)*(K434/100))/(L434-1))</f>
        <v>4.3859586823616535E-2</v>
      </c>
    </row>
    <row r="435" spans="1:40" x14ac:dyDescent="0.3">
      <c r="A435" t="s">
        <v>6</v>
      </c>
      <c r="B435" s="13">
        <v>3</v>
      </c>
      <c r="C435" s="33">
        <f t="shared" si="51"/>
        <v>0</v>
      </c>
      <c r="D435" s="19">
        <f t="shared" si="51"/>
        <v>0</v>
      </c>
      <c r="E435" s="19">
        <f t="shared" si="51"/>
        <v>0.74171329386405205</v>
      </c>
      <c r="F435" s="34">
        <f t="shared" si="51"/>
        <v>31.06954575408307</v>
      </c>
      <c r="G435" s="20">
        <f t="shared" si="51"/>
        <v>1.2361888231067535</v>
      </c>
      <c r="H435" s="17">
        <f>SUM(C435:G435)</f>
        <v>33.047447871053876</v>
      </c>
      <c r="I435" s="17">
        <f>F435/H435*100</f>
        <v>94.014962593516202</v>
      </c>
      <c r="J435" s="17">
        <f>SQRT(I435*(100-I435)/(L435-1))</f>
        <v>1.186047077365997</v>
      </c>
      <c r="K435" s="18">
        <f>100-I435</f>
        <v>5.9850374064837979</v>
      </c>
      <c r="L435" s="1">
        <f>H424</f>
        <v>401</v>
      </c>
      <c r="M435">
        <v>3</v>
      </c>
      <c r="N435" s="1">
        <v>27045.03</v>
      </c>
      <c r="O435" s="17">
        <f>N435/N437*100</f>
        <v>33.047447871053876</v>
      </c>
      <c r="P435" s="52">
        <f>((O435*O435*(I435/100)*(K435/100))/(L435-1))</f>
        <v>0.1536313008008057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51"/>
        <v>0</v>
      </c>
      <c r="D436" s="36">
        <f t="shared" si="51"/>
        <v>1.0313863598712777E-2</v>
      </c>
      <c r="E436" s="21">
        <f t="shared" si="51"/>
        <v>0.84057988329509137</v>
      </c>
      <c r="F436" s="21">
        <f t="shared" si="51"/>
        <v>9.7981704187771385E-2</v>
      </c>
      <c r="G436" s="37">
        <f t="shared" si="51"/>
        <v>3.1508853294067536</v>
      </c>
      <c r="H436" s="17">
        <f>SUM(C436:G436)</f>
        <v>4.0997607804883289</v>
      </c>
      <c r="I436" s="17">
        <f>G436/H436*100</f>
        <v>76.855345911949684</v>
      </c>
      <c r="J436" s="17">
        <f>SQRT(I436*(100-I436)/(L436-1))</f>
        <v>1.496759890971517</v>
      </c>
      <c r="K436" s="18">
        <f>100-I436</f>
        <v>23.144654088050316</v>
      </c>
      <c r="L436" s="1">
        <f>H425</f>
        <v>795</v>
      </c>
      <c r="M436">
        <v>4</v>
      </c>
      <c r="N436" s="1">
        <v>3355.12</v>
      </c>
      <c r="O436" s="17">
        <f>N436/N437*100</f>
        <v>4.0997607804883289</v>
      </c>
      <c r="P436" s="52">
        <f>((O436*O436*(I436/100)*(K436/100))/(L436-1))</f>
        <v>3.7654883353238685E-3</v>
      </c>
    </row>
    <row r="437" spans="1:40" x14ac:dyDescent="0.3">
      <c r="B437" t="s">
        <v>28</v>
      </c>
      <c r="C437" s="17">
        <f t="shared" ref="C437:H437" si="52">SUM(C432:C436)</f>
        <v>0.4433692987411435</v>
      </c>
      <c r="D437" s="17">
        <f t="shared" si="52"/>
        <v>0.81690530998290811</v>
      </c>
      <c r="E437" s="17">
        <f t="shared" si="52"/>
        <v>62.670336895226981</v>
      </c>
      <c r="F437" s="17">
        <f t="shared" si="52"/>
        <v>31.682314343535456</v>
      </c>
      <c r="G437" s="17">
        <f t="shared" si="52"/>
        <v>4.3870741525135069</v>
      </c>
      <c r="H437" s="18">
        <f t="shared" si="52"/>
        <v>100</v>
      </c>
      <c r="I437" s="13" t="s">
        <v>24</v>
      </c>
      <c r="J437" s="12" t="s">
        <v>29</v>
      </c>
      <c r="N437" s="1">
        <f>SUM(N432:N436)</f>
        <v>81836.97</v>
      </c>
      <c r="O437" s="17">
        <f>SUM(O432:O436)</f>
        <v>99.999999999999986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7.2838235255196304E-3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0.32710722506951556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0.4444545987738317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0.31910404648100621</v>
      </c>
      <c r="H438" s="1"/>
      <c r="I438" s="56">
        <f>(C432+D433+E434+F435+G436)/H437</f>
        <v>0.96558435546682986</v>
      </c>
      <c r="J438" s="53">
        <f>SQRT(SUM(P432:P436))/100</f>
        <v>4.4861606743377587E-3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98.737446865300882</v>
      </c>
      <c r="E439" s="17">
        <f>E434/E437*100</f>
        <v>97.475211949467507</v>
      </c>
      <c r="F439" s="17">
        <f>F435/F437*100</f>
        <v>98.065897008633712</v>
      </c>
      <c r="G439" s="17">
        <f>G436/G437*100</f>
        <v>71.822021234847426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0.88093304697879526</v>
      </c>
      <c r="E440" s="18">
        <f>SQRT((E443+E444)/(E437*E437))</f>
        <v>0.4004781791410898</v>
      </c>
      <c r="F440" s="18">
        <f>SQRT((F443+F444)/(F437*F437))</f>
        <v>0.69440301728623632</v>
      </c>
      <c r="G440" s="18">
        <f>SQRT((G443+G444)/(G437*G437))</f>
        <v>6.471761071806581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1.2625531346991181</v>
      </c>
      <c r="E441" s="18">
        <f>100-E439</f>
        <v>2.5247880505324929</v>
      </c>
      <c r="F441" s="18">
        <f>100-F439</f>
        <v>1.9341029913662879</v>
      </c>
      <c r="G441" s="18">
        <f>100-G439</f>
        <v>28.177978765152574</v>
      </c>
      <c r="AM441" s="78"/>
      <c r="AN441" s="78"/>
    </row>
    <row r="442" spans="1:40" ht="15.6" x14ac:dyDescent="0.35">
      <c r="B442" s="1" t="s">
        <v>25</v>
      </c>
      <c r="C442" s="1">
        <f>C426</f>
        <v>344</v>
      </c>
      <c r="D442" s="1">
        <f>D426</f>
        <v>50</v>
      </c>
      <c r="E442" s="1">
        <f>E426</f>
        <v>884</v>
      </c>
      <c r="F442" s="1">
        <f>F426</f>
        <v>402</v>
      </c>
      <c r="G442" s="1">
        <f>G426</f>
        <v>626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0</v>
      </c>
      <c r="E443" s="18">
        <f>(O434*O434*(100-E439)*(100-E439)*(I434)*(100-I434))/((L434-1)*100)</f>
        <v>27.958533533144053</v>
      </c>
      <c r="F443" s="18">
        <f>(O435*O435*(100-F439)*(100-F439)*(I435)*(100-I435))/((L435-1)*100)</f>
        <v>57.469696156191603</v>
      </c>
      <c r="G443" s="18">
        <f>(O436*O436*(100-G439)*(100-G439)*(I436)*(100-I436))/((L436-1)*100)</f>
        <v>298.97920421529926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0.51788012310051479</v>
      </c>
      <c r="E444" s="18">
        <f>E439*E439*(SUM((H432*E432*(1-E421/H421))/(H421-1),(H433*E433*(1-E422/H422))/(H422-1), (H435*E435*(1-E424/H424))/(H424-1),(H436*E436*(1-E425/H425))/(H425-1)))</f>
        <v>601.95621084686888</v>
      </c>
      <c r="F444" s="18">
        <f>F439*F439*(SUM((H432*F432*(1-F421/H421))/(H421-1),(H433*F433*(1-F422/H422))/(H422-1), (H434*F434*(1-F423/H423))/(H423-1),(H436*F436*(1-F425/H425))/(H425-1)))</f>
        <v>426.54326962017075</v>
      </c>
      <c r="G444" s="18">
        <f>G439*G439*(SUM((H432*G432*(1-G421/H421))/(H421-1),(H433*G433*(1-G422/H422))/(H422-1), (H434*G434*(1-G423/H423))/(H423-1),(H435*G435*(1-G424/H424))/(H424-1)))</f>
        <v>507.13189512232827</v>
      </c>
    </row>
    <row r="445" spans="1:40" x14ac:dyDescent="0.3">
      <c r="AM445" s="78"/>
      <c r="AN445" s="78"/>
    </row>
    <row r="447" spans="1:40" x14ac:dyDescent="0.3">
      <c r="A447" s="348" t="s">
        <v>378</v>
      </c>
      <c r="B447" s="348"/>
      <c r="C447" s="348"/>
      <c r="D447" s="348"/>
      <c r="E447" s="348"/>
      <c r="F447" s="348"/>
      <c r="G447" s="348"/>
      <c r="H447" s="348"/>
      <c r="I447" s="348"/>
      <c r="J447" s="348"/>
      <c r="K447" s="348"/>
      <c r="L447" s="348" t="s">
        <v>88</v>
      </c>
      <c r="M447" s="348"/>
      <c r="N447" s="348"/>
      <c r="O447" s="348"/>
      <c r="P447" s="348"/>
      <c r="AM447" s="78"/>
      <c r="AN447" s="78"/>
    </row>
    <row r="448" spans="1:40" x14ac:dyDescent="0.3">
      <c r="A448" t="s">
        <v>15</v>
      </c>
      <c r="B448" t="s">
        <v>21</v>
      </c>
      <c r="I448" s="1" t="s">
        <v>53</v>
      </c>
      <c r="O448" s="142"/>
      <c r="P448" s="142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51</v>
      </c>
      <c r="O449" s="13"/>
      <c r="P449" s="13"/>
      <c r="AM449" s="78"/>
      <c r="AN449" s="78"/>
    </row>
    <row r="450" spans="1:40" x14ac:dyDescent="0.3">
      <c r="A450" t="s">
        <v>3</v>
      </c>
      <c r="B450" s="13">
        <v>0</v>
      </c>
      <c r="C450" s="26">
        <v>344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344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48</v>
      </c>
      <c r="E451" s="1">
        <v>0</v>
      </c>
      <c r="F451" s="1">
        <v>0</v>
      </c>
      <c r="G451" s="6">
        <v>0</v>
      </c>
      <c r="H451" s="1">
        <f>SUM(C451:G451)</f>
        <v>48</v>
      </c>
      <c r="I451" s="10">
        <f>D451/H451</f>
        <v>1</v>
      </c>
      <c r="J451" s="11">
        <f>1-I451</f>
        <v>0</v>
      </c>
      <c r="K451">
        <f>H451-D455</f>
        <v>-2</v>
      </c>
      <c r="N451" s="10">
        <f>2*(D456*I451)/(D456+I451)</f>
        <v>0.97959183673469385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0</v>
      </c>
      <c r="E452" s="27">
        <v>713</v>
      </c>
      <c r="F452" s="1">
        <v>4</v>
      </c>
      <c r="G452" s="6">
        <v>1</v>
      </c>
      <c r="H452" s="1">
        <f>SUM(C452:G452)</f>
        <v>718</v>
      </c>
      <c r="I452" s="10">
        <f>E452/H452</f>
        <v>0.99303621169916434</v>
      </c>
      <c r="J452" s="11">
        <f>1-I452</f>
        <v>6.9637883008356605E-3</v>
      </c>
      <c r="K452">
        <f>H452-E455</f>
        <v>-159</v>
      </c>
      <c r="N452" s="10">
        <f>2*(E456*I452)/(E456+I452)</f>
        <v>0.8940438871473354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0</v>
      </c>
      <c r="E453" s="1">
        <v>9</v>
      </c>
      <c r="F453" s="27">
        <v>387</v>
      </c>
      <c r="G453" s="6">
        <v>5</v>
      </c>
      <c r="H453" s="1">
        <f>SUM(C453:G453)</f>
        <v>401</v>
      </c>
      <c r="I453" s="10">
        <f>F453/H453</f>
        <v>0.96508728179551118</v>
      </c>
      <c r="J453" s="11">
        <f>1-I453</f>
        <v>3.4912718204488824E-2</v>
      </c>
      <c r="K453">
        <f>H453-F455</f>
        <v>-5</v>
      </c>
      <c r="N453" s="10">
        <f>2*(F456*I453)/(F456+I453)</f>
        <v>0.95910780669144968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2</v>
      </c>
      <c r="E454" s="8">
        <v>155</v>
      </c>
      <c r="F454" s="8">
        <v>15</v>
      </c>
      <c r="G454" s="28">
        <v>623</v>
      </c>
      <c r="H454" s="1">
        <f>SUM(C454:G454)</f>
        <v>795</v>
      </c>
      <c r="I454" s="10">
        <f>G454/H454</f>
        <v>0.78364779874213841</v>
      </c>
      <c r="J454" s="11">
        <f>1-I454</f>
        <v>0.21635220125786159</v>
      </c>
      <c r="K454">
        <f>H454-G455</f>
        <v>166</v>
      </c>
      <c r="N454" s="10">
        <f>2*(G456*I454)/(G456+I454)</f>
        <v>0.875</v>
      </c>
      <c r="O454" s="1"/>
      <c r="P454" s="1"/>
    </row>
    <row r="455" spans="1:40" ht="15.6" x14ac:dyDescent="0.35">
      <c r="B455" s="1" t="s">
        <v>19</v>
      </c>
      <c r="C455" s="1">
        <f>SUM(C450:C454)</f>
        <v>344</v>
      </c>
      <c r="D455" s="1">
        <f>SUM(D450:D454)</f>
        <v>50</v>
      </c>
      <c r="E455" s="1">
        <f>SUM(E450:E454)</f>
        <v>877</v>
      </c>
      <c r="F455" s="1">
        <f>SUM(F450:F454)</f>
        <v>406</v>
      </c>
      <c r="G455" s="1">
        <f>SUM(G450:G454)</f>
        <v>629</v>
      </c>
      <c r="H455" s="1">
        <f>SUM(H449:H454)</f>
        <v>2306</v>
      </c>
      <c r="I455" s="13" t="s">
        <v>12</v>
      </c>
      <c r="N455" s="16"/>
      <c r="O455" s="1"/>
      <c r="P455" s="1"/>
      <c r="AM455" s="78"/>
      <c r="AN455" s="78"/>
    </row>
    <row r="456" spans="1:40" x14ac:dyDescent="0.3">
      <c r="A456" s="1" t="s">
        <v>52</v>
      </c>
      <c r="B456" s="1" t="s">
        <v>2</v>
      </c>
      <c r="C456" s="10">
        <f>C450/C455</f>
        <v>1</v>
      </c>
      <c r="D456" s="10">
        <f>D451/D455</f>
        <v>0.96</v>
      </c>
      <c r="E456" s="10">
        <f>E452/E455</f>
        <v>0.81299885974914476</v>
      </c>
      <c r="F456" s="10">
        <f>F453/F455</f>
        <v>0.95320197044334976</v>
      </c>
      <c r="G456" s="10">
        <f>G454/G455</f>
        <v>0.99046104928457868</v>
      </c>
      <c r="H456" s="10"/>
      <c r="I456" s="14">
        <f>(C450+D451+E452+F453+G454)/H455</f>
        <v>0.91717259323503908</v>
      </c>
    </row>
    <row r="457" spans="1:40" x14ac:dyDescent="0.3">
      <c r="B457" s="1" t="s">
        <v>14</v>
      </c>
      <c r="C457" s="11">
        <f>1-C456</f>
        <v>0</v>
      </c>
      <c r="D457" s="11">
        <f>1-D456</f>
        <v>4.0000000000000036E-2</v>
      </c>
      <c r="E457" s="11">
        <f>1-E456</f>
        <v>0.18700114025085524</v>
      </c>
      <c r="F457" s="11">
        <f>1-F456</f>
        <v>4.6798029556650245E-2</v>
      </c>
      <c r="G457" s="11">
        <f>1-G456</f>
        <v>9.5389507154213238E-3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0.4262132904252553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0.4262132904252553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344</v>
      </c>
      <c r="M461">
        <v>0</v>
      </c>
      <c r="N461" s="1">
        <v>348.8</v>
      </c>
      <c r="O461" s="17">
        <f>N461/N466*100</f>
        <v>0.4262132904252553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53">(C451/$L462)*$O462</f>
        <v>0</v>
      </c>
      <c r="D462" s="34">
        <f t="shared" si="53"/>
        <v>0.66226800213497661</v>
      </c>
      <c r="E462" s="19">
        <f t="shared" si="53"/>
        <v>0</v>
      </c>
      <c r="F462" s="18">
        <f t="shared" si="53"/>
        <v>0</v>
      </c>
      <c r="G462" s="20">
        <f t="shared" si="53"/>
        <v>0</v>
      </c>
      <c r="H462" s="17">
        <f>SUM(C462:G462)</f>
        <v>0.66226800213497661</v>
      </c>
      <c r="I462" s="17">
        <f>D462/H462*100</f>
        <v>100</v>
      </c>
      <c r="J462" s="17">
        <f>SQRT(I462*(100-I462)/(L462-1))</f>
        <v>0</v>
      </c>
      <c r="K462" s="18">
        <f>100-I462</f>
        <v>0</v>
      </c>
      <c r="L462" s="1">
        <f>H451</f>
        <v>48</v>
      </c>
      <c r="M462">
        <v>1</v>
      </c>
      <c r="N462" s="1">
        <v>541.98</v>
      </c>
      <c r="O462" s="17">
        <f>N462/N466*100</f>
        <v>0.66226800213497661</v>
      </c>
      <c r="P462" s="52">
        <f>((O462*O462*(I462/100)*(K462/100))/(L462-1))</f>
        <v>0</v>
      </c>
    </row>
    <row r="463" spans="1:40" x14ac:dyDescent="0.3">
      <c r="A463" t="s">
        <v>5</v>
      </c>
      <c r="B463" s="13">
        <v>2</v>
      </c>
      <c r="C463" s="33">
        <f t="shared" si="53"/>
        <v>0</v>
      </c>
      <c r="D463" s="19">
        <f t="shared" si="53"/>
        <v>0</v>
      </c>
      <c r="E463" s="34">
        <f t="shared" si="53"/>
        <v>61.601013625411838</v>
      </c>
      <c r="F463" s="19">
        <f t="shared" si="53"/>
        <v>0.34558773422390932</v>
      </c>
      <c r="G463" s="20">
        <f t="shared" si="53"/>
        <v>8.6396933555977329E-2</v>
      </c>
      <c r="H463" s="17">
        <f>SUM(C463:G463)</f>
        <v>62.032998293191724</v>
      </c>
      <c r="I463" s="17">
        <f>E463/H463*100</f>
        <v>99.30362116991644</v>
      </c>
      <c r="J463" s="17">
        <f>SQRT(I463*(100-I463)/(L463-1))</f>
        <v>0.31056016230667621</v>
      </c>
      <c r="K463" s="18">
        <f>100-I463</f>
        <v>0.69637883008356027</v>
      </c>
      <c r="L463" s="1">
        <f>H452</f>
        <v>718</v>
      </c>
      <c r="M463">
        <v>2</v>
      </c>
      <c r="N463" s="1">
        <v>50765.919999999998</v>
      </c>
      <c r="O463" s="17">
        <f>N463/N466*100</f>
        <v>62.032998293191724</v>
      </c>
      <c r="P463" s="52">
        <f>((O463*O463*(I463/100)*(K463/100))/(L463-1))</f>
        <v>3.7113937804571284E-2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53"/>
        <v>0</v>
      </c>
      <c r="D464" s="19">
        <f t="shared" si="53"/>
        <v>0</v>
      </c>
      <c r="E464" s="19">
        <f t="shared" si="53"/>
        <v>0.73881811383179041</v>
      </c>
      <c r="F464" s="34">
        <f t="shared" si="53"/>
        <v>31.769178894766988</v>
      </c>
      <c r="G464" s="20">
        <f t="shared" si="53"/>
        <v>0.41045450768432801</v>
      </c>
      <c r="H464" s="17">
        <f>SUM(C464:G464)</f>
        <v>32.918451516283106</v>
      </c>
      <c r="I464" s="17">
        <f>F464/H464*100</f>
        <v>96.508728179551113</v>
      </c>
      <c r="J464" s="17">
        <f>SQRT(I464*(100-I464)/(L464-1))</f>
        <v>0.91779382641286622</v>
      </c>
      <c r="K464" s="18">
        <f>100-I464</f>
        <v>3.4912718204488868</v>
      </c>
      <c r="L464" s="1">
        <f>H453</f>
        <v>401</v>
      </c>
      <c r="M464">
        <v>3</v>
      </c>
      <c r="N464" s="1">
        <v>26939.46</v>
      </c>
      <c r="O464" s="17">
        <f>N464/N466*100</f>
        <v>32.918451516283106</v>
      </c>
      <c r="P464" s="52">
        <f>((O464*O464*(I464/100)*(K464/100))/(L464-1))</f>
        <v>9.1278618779508727E-2</v>
      </c>
    </row>
    <row r="465" spans="1:40" x14ac:dyDescent="0.3">
      <c r="A465" t="s">
        <v>7</v>
      </c>
      <c r="B465" s="13">
        <v>4</v>
      </c>
      <c r="C465" s="35">
        <f t="shared" si="53"/>
        <v>0</v>
      </c>
      <c r="D465" s="36">
        <f t="shared" si="53"/>
        <v>9.9624374791570536E-3</v>
      </c>
      <c r="E465" s="21">
        <f t="shared" si="53"/>
        <v>0.77208890463467184</v>
      </c>
      <c r="F465" s="21">
        <f t="shared" si="53"/>
        <v>7.471828109367791E-2</v>
      </c>
      <c r="G465" s="37">
        <f t="shared" si="53"/>
        <v>3.1032992747574228</v>
      </c>
      <c r="H465" s="17">
        <f>SUM(C465:G465)</f>
        <v>3.9600688979649297</v>
      </c>
      <c r="I465" s="17">
        <f>G465/H465*100</f>
        <v>78.364779874213838</v>
      </c>
      <c r="J465" s="17">
        <f>SQRT(I465*(100-I465)/(L465-1))</f>
        <v>1.4612713412832194</v>
      </c>
      <c r="K465" s="18">
        <f>100-I465</f>
        <v>21.635220125786162</v>
      </c>
      <c r="L465" s="1">
        <f>H454</f>
        <v>795</v>
      </c>
      <c r="M465">
        <v>4</v>
      </c>
      <c r="N465" s="1">
        <v>3240.8</v>
      </c>
      <c r="O465" s="17">
        <f>N465/N466*100</f>
        <v>3.9600688979649292</v>
      </c>
      <c r="P465" s="52">
        <f>((O465*O465*(I465/100)*(K465/100))/(L465-1))</f>
        <v>3.3486304160378409E-3</v>
      </c>
      <c r="AM465" s="78"/>
      <c r="AN465" s="78"/>
    </row>
    <row r="466" spans="1:40" x14ac:dyDescent="0.3">
      <c r="B466" t="s">
        <v>28</v>
      </c>
      <c r="C466" s="17">
        <f t="shared" ref="C466:H466" si="54">SUM(C461:C465)</f>
        <v>0.4262132904252553</v>
      </c>
      <c r="D466" s="17">
        <f t="shared" si="54"/>
        <v>0.67223043961413365</v>
      </c>
      <c r="E466" s="17">
        <f t="shared" si="54"/>
        <v>63.1119206438783</v>
      </c>
      <c r="F466" s="17">
        <f t="shared" si="54"/>
        <v>32.18948491008458</v>
      </c>
      <c r="G466" s="17">
        <f t="shared" si="54"/>
        <v>3.600150715997728</v>
      </c>
      <c r="H466" s="18">
        <f t="shared" si="54"/>
        <v>100</v>
      </c>
      <c r="I466" s="13" t="s">
        <v>24</v>
      </c>
      <c r="J466" s="12" t="s">
        <v>29</v>
      </c>
      <c r="N466" s="1">
        <f>SUM(N461:N465)</f>
        <v>81836.960000000006</v>
      </c>
      <c r="O466" s="17">
        <f>SUM(O461:O465)</f>
        <v>100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7.035640503453921E-3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0.31535277121257121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0.34800508505176153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0.20993546850459274</v>
      </c>
      <c r="H467" s="1"/>
      <c r="I467" s="14">
        <f>(C461+D462+E463+F464+G465)/H466</f>
        <v>0.97561973087496467</v>
      </c>
      <c r="J467" s="53">
        <f>SQRT(SUM(P461:P465))/100</f>
        <v>3.6296168806103741E-3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98.518002623493871</v>
      </c>
      <c r="E468" s="17">
        <f>E463/E466*100</f>
        <v>97.605987897291129</v>
      </c>
      <c r="F468" s="17">
        <f>F464/F466*100</f>
        <v>98.69427542412798</v>
      </c>
      <c r="G468" s="17">
        <f>G465/G466*100</f>
        <v>86.199148856949719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1.0317497628399539</v>
      </c>
      <c r="E469" s="18">
        <f>SQRT((E472+E473)/(E466*E466))</f>
        <v>0.39359714521150946</v>
      </c>
      <c r="F469" s="18">
        <f>SQRT((F472+F473)/(F466*F466))</f>
        <v>0.54585940936904997</v>
      </c>
      <c r="G469" s="18">
        <f>SQRT((G472+G473)/(G466*G466))</f>
        <v>5.3219522843212372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1.4819973765061292</v>
      </c>
      <c r="E470" s="18">
        <f>100-E468</f>
        <v>2.3940121027088708</v>
      </c>
      <c r="F470" s="18">
        <f>100-F468</f>
        <v>1.30572457587202</v>
      </c>
      <c r="G470" s="18">
        <f>100-G468</f>
        <v>13.800851143050281</v>
      </c>
    </row>
    <row r="471" spans="1:40" ht="15.6" x14ac:dyDescent="0.35">
      <c r="B471" s="1" t="s">
        <v>25</v>
      </c>
      <c r="C471" s="1">
        <f>C455</f>
        <v>344</v>
      </c>
      <c r="D471" s="1">
        <f>D455</f>
        <v>50</v>
      </c>
      <c r="E471" s="1">
        <f>E455</f>
        <v>877</v>
      </c>
      <c r="F471" s="1">
        <f>F455</f>
        <v>406</v>
      </c>
      <c r="G471" s="1">
        <f>G455</f>
        <v>629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0</v>
      </c>
      <c r="E472" s="18">
        <f>(O463*O463*(100-E468)*(100-E468)*(I463)*(100-I463))/((L463-1)*100)</f>
        <v>21.271088712269059</v>
      </c>
      <c r="F472" s="18">
        <f>(O464*O464*(100-F468)*(100-F468)*(I464)*(100-I464))/((L464-1)*100)</f>
        <v>15.562243859250346</v>
      </c>
      <c r="G472" s="18">
        <f>(O465*O465*(100-G468)*(100-G468)*(I465)*(100-I465))/((L465-1)*100)</f>
        <v>63.779184336892463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0.48104433396402496</v>
      </c>
      <c r="E473" s="18">
        <f>E468*E468*(SUM((H461*E461*(1-E450/H450))/(H450-1),(H462*E462*(1-E451/H451))/(H451-1), (H464*E464*(1-E453/H453))/(H453-1),(H465*E465*(1-E454/H454))/(H454-1)))</f>
        <v>595.78788647717113</v>
      </c>
      <c r="F473" s="18">
        <f>F468*F468*(SUM((H461*F461*(1-F450/H450))/(H450-1),(H462*F462*(1-F451/H451))/(H451-1), (H463*F463*(1-F452/H452))/(H452-1),(H465*F465*(1-F454/H454))/(H454-1)))</f>
        <v>293.17545039452375</v>
      </c>
      <c r="G473" s="18">
        <f>G468*G468*(SUM((H461*G461*(1-G450/H450))/(H450-1),(H462*G462*(1-G451/H451))/(H451-1), (H463*G463*(1-G452/H452))/(H452-1),(H464*G464*(1-G453/H453))/(H453-1)))</f>
        <v>303.3199138188902</v>
      </c>
      <c r="AM473" s="78"/>
      <c r="AN473" s="78"/>
    </row>
    <row r="475" spans="1:40" x14ac:dyDescent="0.3">
      <c r="AM475" s="78"/>
      <c r="AN475" s="78"/>
    </row>
    <row r="476" spans="1:40" x14ac:dyDescent="0.3">
      <c r="A476" s="348" t="s">
        <v>378</v>
      </c>
      <c r="B476" s="348"/>
      <c r="C476" s="348"/>
      <c r="D476" s="348"/>
      <c r="E476" s="348"/>
      <c r="F476" s="348"/>
      <c r="G476" s="348"/>
      <c r="H476" s="348"/>
      <c r="I476" s="348"/>
      <c r="J476" s="348"/>
      <c r="K476" s="348"/>
      <c r="L476" s="348" t="s">
        <v>89</v>
      </c>
      <c r="M476" s="348"/>
      <c r="N476" s="348"/>
      <c r="O476" s="348"/>
      <c r="P476" s="348"/>
    </row>
    <row r="477" spans="1:40" x14ac:dyDescent="0.3">
      <c r="A477" t="s">
        <v>15</v>
      </c>
      <c r="B477" t="s">
        <v>21</v>
      </c>
      <c r="I477" s="1" t="s">
        <v>53</v>
      </c>
      <c r="O477" s="142"/>
      <c r="P477" s="142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51</v>
      </c>
      <c r="O478" s="13"/>
      <c r="P478" s="13"/>
    </row>
    <row r="479" spans="1:40" x14ac:dyDescent="0.3">
      <c r="A479" t="s">
        <v>3</v>
      </c>
      <c r="B479" s="13">
        <v>0</v>
      </c>
      <c r="C479" s="26">
        <v>344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344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48</v>
      </c>
      <c r="E480" s="1">
        <v>0</v>
      </c>
      <c r="F480" s="1">
        <v>0</v>
      </c>
      <c r="G480" s="6">
        <v>0</v>
      </c>
      <c r="H480" s="1">
        <f>SUM(C480:G480)</f>
        <v>48</v>
      </c>
      <c r="I480" s="10">
        <f>D480/H480</f>
        <v>1</v>
      </c>
      <c r="J480" s="11">
        <f>1-I480</f>
        <v>0</v>
      </c>
      <c r="K480">
        <f>H480-D484</f>
        <v>-1</v>
      </c>
      <c r="N480" s="10">
        <f>2*(D485*I480)/(D485+I480)</f>
        <v>0.98969072164948457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0</v>
      </c>
      <c r="E481" s="27">
        <v>712</v>
      </c>
      <c r="F481" s="1">
        <v>6</v>
      </c>
      <c r="G481" s="6">
        <v>0</v>
      </c>
      <c r="H481" s="1">
        <f>SUM(C481:G481)</f>
        <v>718</v>
      </c>
      <c r="I481" s="10">
        <f>E481/H481</f>
        <v>0.99164345403899723</v>
      </c>
      <c r="J481" s="11">
        <f>1-I481</f>
        <v>8.3565459610027704E-3</v>
      </c>
      <c r="K481">
        <f>H481-E484</f>
        <v>-155</v>
      </c>
      <c r="N481" s="10">
        <f>2*(E485*I481)/(E485+I481)</f>
        <v>0.89503456945317406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0</v>
      </c>
      <c r="E482" s="1">
        <v>11</v>
      </c>
      <c r="F482" s="27">
        <v>382</v>
      </c>
      <c r="G482" s="6">
        <v>8</v>
      </c>
      <c r="H482" s="1">
        <f>SUM(C482:G482)</f>
        <v>401</v>
      </c>
      <c r="I482" s="10">
        <f>F482/H482</f>
        <v>0.95261845386533661</v>
      </c>
      <c r="J482" s="11">
        <f>1-I482</f>
        <v>4.7381546134663388E-2</v>
      </c>
      <c r="K482">
        <f>H482-F484</f>
        <v>-12</v>
      </c>
      <c r="N482" s="10">
        <f>2*(F485*I482)/(F485+I482)</f>
        <v>0.93857493857493857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1</v>
      </c>
      <c r="E483" s="8">
        <v>150</v>
      </c>
      <c r="F483" s="8">
        <v>25</v>
      </c>
      <c r="G483" s="28">
        <v>619</v>
      </c>
      <c r="H483" s="1">
        <f>SUM(C483:G483)</f>
        <v>795</v>
      </c>
      <c r="I483" s="10">
        <f>G483/H483</f>
        <v>0.77861635220125791</v>
      </c>
      <c r="J483" s="11">
        <f>1-I483</f>
        <v>0.22138364779874209</v>
      </c>
      <c r="K483">
        <f>H483-G484</f>
        <v>168</v>
      </c>
      <c r="N483" s="10">
        <f>2*(G485*I483)/(G485+I483)</f>
        <v>0.87060478199718705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344</v>
      </c>
      <c r="D484" s="1">
        <f>SUM(D479:D483)</f>
        <v>49</v>
      </c>
      <c r="E484" s="1">
        <f>SUM(E479:E483)</f>
        <v>873</v>
      </c>
      <c r="F484" s="1">
        <f>SUM(F479:F483)</f>
        <v>413</v>
      </c>
      <c r="G484" s="1">
        <f>SUM(G479:G483)</f>
        <v>627</v>
      </c>
      <c r="H484" s="1">
        <f>SUM(H478:H483)</f>
        <v>2306</v>
      </c>
      <c r="I484" s="13" t="s">
        <v>12</v>
      </c>
      <c r="N484" s="16"/>
      <c r="O484" s="1"/>
      <c r="P484" s="1"/>
    </row>
    <row r="485" spans="1:40" x14ac:dyDescent="0.3">
      <c r="A485" s="1" t="s">
        <v>52</v>
      </c>
      <c r="B485" s="1" t="s">
        <v>2</v>
      </c>
      <c r="C485" s="10">
        <f>C479/C484</f>
        <v>1</v>
      </c>
      <c r="D485" s="10">
        <f>D480/D484</f>
        <v>0.97959183673469385</v>
      </c>
      <c r="E485" s="10">
        <f>E481/E484</f>
        <v>0.81557846506300113</v>
      </c>
      <c r="F485" s="10">
        <f>F482/F484</f>
        <v>0.92493946731234866</v>
      </c>
      <c r="G485" s="10">
        <f>G483/G484</f>
        <v>0.98724082934609247</v>
      </c>
      <c r="H485" s="10"/>
      <c r="I485" s="14">
        <f>(C479+D480+E481+F482+G483)/H484</f>
        <v>0.91283607979184733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2.0408163265306145E-2</v>
      </c>
      <c r="E486" s="11">
        <f>1-E485</f>
        <v>0.18442153493699887</v>
      </c>
      <c r="F486" s="11">
        <f>1-F485</f>
        <v>7.5060532687651338E-2</v>
      </c>
      <c r="G486" s="11">
        <f>1-G485</f>
        <v>1.2759170653907526E-2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0.41554568796963037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0.41554568796963037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344</v>
      </c>
      <c r="M490">
        <v>0</v>
      </c>
      <c r="N490" s="1">
        <v>340.07</v>
      </c>
      <c r="O490" s="17">
        <f>N490/N495*100</f>
        <v>0.41554568796963037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55">(C480/$L491)*$O491</f>
        <v>0</v>
      </c>
      <c r="D491" s="34">
        <f t="shared" si="55"/>
        <v>0.77776584348125299</v>
      </c>
      <c r="E491" s="19">
        <f t="shared" si="55"/>
        <v>0</v>
      </c>
      <c r="F491" s="18">
        <f t="shared" si="55"/>
        <v>0</v>
      </c>
      <c r="G491" s="20">
        <f t="shared" si="55"/>
        <v>0</v>
      </c>
      <c r="H491" s="17">
        <f>SUM(C491:G491)</f>
        <v>0.77776584348125299</v>
      </c>
      <c r="I491" s="17">
        <f>D491/H491*100</f>
        <v>100</v>
      </c>
      <c r="J491" s="17">
        <f>SQRT(I491*(100-I491)/(L491-1))</f>
        <v>0</v>
      </c>
      <c r="K491" s="18">
        <f>100-I491</f>
        <v>0</v>
      </c>
      <c r="L491" s="1">
        <f>H480</f>
        <v>48</v>
      </c>
      <c r="M491">
        <v>1</v>
      </c>
      <c r="N491" s="1">
        <v>636.5</v>
      </c>
      <c r="O491" s="17">
        <f>N491/N495*100</f>
        <v>0.77776584348125299</v>
      </c>
      <c r="P491" s="52">
        <f>((O491*O491*(I491/100)*(K491/100))/(L491-1))</f>
        <v>0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55"/>
        <v>0</v>
      </c>
      <c r="D492" s="19">
        <f t="shared" si="55"/>
        <v>0</v>
      </c>
      <c r="E492" s="34">
        <f t="shared" si="55"/>
        <v>60.817876305329399</v>
      </c>
      <c r="F492" s="19">
        <f t="shared" si="55"/>
        <v>0.51251019358423655</v>
      </c>
      <c r="G492" s="20">
        <f t="shared" si="55"/>
        <v>0</v>
      </c>
      <c r="H492" s="17">
        <f>SUM(C492:G492)</f>
        <v>61.330386498913633</v>
      </c>
      <c r="I492" s="17">
        <f>E492/H492*100</f>
        <v>99.164345403899716</v>
      </c>
      <c r="J492" s="17">
        <f>SQRT(I492*(100-I492)/(L492-1))</f>
        <v>0.33996295845078778</v>
      </c>
      <c r="K492" s="18">
        <f>100-I492</f>
        <v>0.8356545961002837</v>
      </c>
      <c r="L492" s="1">
        <f>H481</f>
        <v>718</v>
      </c>
      <c r="M492">
        <v>2</v>
      </c>
      <c r="N492" s="1">
        <v>50190.93</v>
      </c>
      <c r="O492" s="17">
        <f>N492/N495*100</f>
        <v>61.330386498913633</v>
      </c>
      <c r="P492" s="52">
        <f>((O492*O492*(I492/100)*(K492/100))/(L492-1))</f>
        <v>4.3472498687066534E-2</v>
      </c>
    </row>
    <row r="493" spans="1:40" x14ac:dyDescent="0.3">
      <c r="A493" t="s">
        <v>6</v>
      </c>
      <c r="B493" s="13">
        <v>3</v>
      </c>
      <c r="C493" s="33">
        <f t="shared" si="55"/>
        <v>0</v>
      </c>
      <c r="D493" s="19">
        <f t="shared" si="55"/>
        <v>0</v>
      </c>
      <c r="E493" s="19">
        <f t="shared" si="55"/>
        <v>0.91909926836086819</v>
      </c>
      <c r="F493" s="34">
        <f t="shared" si="55"/>
        <v>31.917810955804693</v>
      </c>
      <c r="G493" s="20">
        <f t="shared" si="55"/>
        <v>0.66843583153517683</v>
      </c>
      <c r="H493" s="17">
        <f>SUM(C493:G493)</f>
        <v>33.505346055700741</v>
      </c>
      <c r="I493" s="17">
        <f>F493/H493*100</f>
        <v>95.261845386533665</v>
      </c>
      <c r="J493" s="17">
        <f>SQRT(I493*(100-I493)/(L493-1))</f>
        <v>1.0622680360972003</v>
      </c>
      <c r="K493" s="18">
        <f>100-I493</f>
        <v>4.7381546134663353</v>
      </c>
      <c r="L493" s="1">
        <f>H482</f>
        <v>401</v>
      </c>
      <c r="M493">
        <v>3</v>
      </c>
      <c r="N493" s="1">
        <v>27419.759999999998</v>
      </c>
      <c r="O493" s="17">
        <f>N493/N495*100</f>
        <v>33.505346055700741</v>
      </c>
      <c r="P493" s="52">
        <f>((O493*O493*(I493/100)*(K493/100))/(L493-1))</f>
        <v>0.12667661301046626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55"/>
        <v>0</v>
      </c>
      <c r="D494" s="36">
        <f t="shared" si="55"/>
        <v>4.9949130992889825E-3</v>
      </c>
      <c r="E494" s="21">
        <f t="shared" si="55"/>
        <v>0.74923696489334746</v>
      </c>
      <c r="F494" s="21">
        <f t="shared" si="55"/>
        <v>0.12487282748222457</v>
      </c>
      <c r="G494" s="37">
        <f t="shared" si="55"/>
        <v>3.0918512084598806</v>
      </c>
      <c r="H494" s="17">
        <f>SUM(C494:G494)</f>
        <v>3.9709559139347417</v>
      </c>
      <c r="I494" s="17">
        <f>G494/H494*100</f>
        <v>77.861635220125777</v>
      </c>
      <c r="J494" s="17">
        <f>SQRT(I494*(100-I494)/(L494-1))</f>
        <v>1.4734122577149593</v>
      </c>
      <c r="K494" s="18">
        <f>100-I494</f>
        <v>22.138364779874223</v>
      </c>
      <c r="L494" s="1">
        <f>H483</f>
        <v>795</v>
      </c>
      <c r="M494">
        <v>4</v>
      </c>
      <c r="N494" s="1">
        <v>3249.71</v>
      </c>
      <c r="O494" s="17">
        <f>N494/N495*100</f>
        <v>3.9709559139347412</v>
      </c>
      <c r="P494" s="52">
        <f>((O494*O494*(I494/100)*(K494/100))/(L494-1))</f>
        <v>3.4232505616942281E-3</v>
      </c>
    </row>
    <row r="495" spans="1:40" x14ac:dyDescent="0.3">
      <c r="B495" t="s">
        <v>28</v>
      </c>
      <c r="C495" s="17">
        <f t="shared" ref="C495:H495" si="56">SUM(C490:C494)</f>
        <v>0.41554568796963037</v>
      </c>
      <c r="D495" s="17">
        <f t="shared" si="56"/>
        <v>0.78276075658054201</v>
      </c>
      <c r="E495" s="17">
        <f t="shared" si="56"/>
        <v>62.486212538583615</v>
      </c>
      <c r="F495" s="17">
        <f t="shared" si="56"/>
        <v>32.555193976871152</v>
      </c>
      <c r="G495" s="17">
        <f t="shared" si="56"/>
        <v>3.7602870399950574</v>
      </c>
      <c r="H495" s="18">
        <f t="shared" si="56"/>
        <v>100</v>
      </c>
      <c r="I495" s="13" t="s">
        <v>24</v>
      </c>
      <c r="J495" s="12" t="s">
        <v>29</v>
      </c>
      <c r="N495" s="1">
        <f>SUM(N490:N494)</f>
        <v>81836.97</v>
      </c>
      <c r="O495" s="17">
        <f>SUM(O490:O494)</f>
        <v>100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4.9917706560088978E-3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0.34804667162625968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0.41276722019632217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0.24115455960939125</v>
      </c>
      <c r="H496" s="1"/>
      <c r="I496" s="14">
        <f>(C490+D491+E492+F493+G494)/H495</f>
        <v>0.97020850001044867</v>
      </c>
      <c r="J496" s="53">
        <f>SQRT(SUM(P490:P494))/100</f>
        <v>4.1662016544956994E-3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99.361885089754736</v>
      </c>
      <c r="E497" s="17">
        <f>E492/E495*100</f>
        <v>97.330073042554687</v>
      </c>
      <c r="F497" s="17">
        <f>F493/F495*100</f>
        <v>98.042146449751499</v>
      </c>
      <c r="G497" s="17">
        <f>G494/G495*100</f>
        <v>82.223808330971053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0.63404300385847912</v>
      </c>
      <c r="E498" s="18">
        <f>SQRT((E501+E502)/(E495*E495))</f>
        <v>0.44381748624656597</v>
      </c>
      <c r="F498" s="18">
        <f>SQRT((F501+F502)/(F495*F495))</f>
        <v>0.66751570643967018</v>
      </c>
      <c r="G498" s="18">
        <f>SQRT((G501+G502)/(G495*G495))</f>
        <v>5.8212786841155078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0.6381149102452639</v>
      </c>
      <c r="E499" s="18">
        <f>100-E497</f>
        <v>2.6699269574453126</v>
      </c>
      <c r="F499" s="18">
        <f>100-F497</f>
        <v>1.9578535502485011</v>
      </c>
      <c r="G499" s="18">
        <f>100-G497</f>
        <v>17.776191669028947</v>
      </c>
      <c r="AM499" s="78"/>
      <c r="AN499" s="78"/>
    </row>
    <row r="500" spans="1:40" ht="15.6" x14ac:dyDescent="0.35">
      <c r="B500" s="1" t="s">
        <v>25</v>
      </c>
      <c r="C500" s="1">
        <f>C484</f>
        <v>344</v>
      </c>
      <c r="D500" s="1">
        <f>D484</f>
        <v>49</v>
      </c>
      <c r="E500" s="1">
        <f>E484</f>
        <v>873</v>
      </c>
      <c r="F500" s="1">
        <f>F484</f>
        <v>413</v>
      </c>
      <c r="G500" s="1">
        <f>G484</f>
        <v>627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0</v>
      </c>
      <c r="E501" s="18">
        <f>(O492*O492*(100-E497)*(100-E497)*(I492)*(100-I492))/((L492-1)*100)</f>
        <v>30.989413979394669</v>
      </c>
      <c r="F501" s="18">
        <f>(O493*O493*(100-F497)*(100-F497)*(I493)*(100-I493))/((L493-1)*100)</f>
        <v>48.557559263208681</v>
      </c>
      <c r="G501" s="18">
        <f>(O494*O494*(100-G497)*(100-G497)*(I494)*(100-I494))/((L494-1)*100)</f>
        <v>108.17231813786293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0.24631764195831823</v>
      </c>
      <c r="E502" s="18">
        <f>E497*E497*(SUM((H490*E490*(1-E479/H479))/(H479-1),(H491*E491*(1-E480/H480))/(H480-1), (H493*E493*(1-E482/H482))/(H482-1),(H494*E494*(1-E483/H483))/(H483-1)))</f>
        <v>738.10068764303242</v>
      </c>
      <c r="F502" s="18">
        <f>F497*F497*(SUM((H490*F490*(1-F479/H479))/(H479-1),(H491*F491*(1-F480/H480))/(H480-1), (H492*F492*(1-F481/H481))/(H481-1),(H494*F494*(1-F483/H483))/(H483-1)))</f>
        <v>423.68329162204134</v>
      </c>
      <c r="G502" s="18">
        <f>G497*G497*(SUM((H490*G490*(1-G479/H479))/(H479-1),(H491*G491*(1-G480/H480))/(H480-1), (H492*G492*(1-G481/H481))/(H481-1),(H493*G493*(1-G482/H482))/(H482-1)))</f>
        <v>370.98571948253129</v>
      </c>
    </row>
    <row r="503" spans="1:40" x14ac:dyDescent="0.3">
      <c r="AM503" s="78"/>
      <c r="AN503" s="78"/>
    </row>
    <row r="505" spans="1:40" x14ac:dyDescent="0.3">
      <c r="A505" s="348" t="s">
        <v>378</v>
      </c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 t="s">
        <v>90</v>
      </c>
      <c r="M505" s="348"/>
      <c r="N505" s="348"/>
      <c r="O505" s="348"/>
      <c r="P505" s="348"/>
      <c r="AM505" s="78"/>
      <c r="AN505" s="78"/>
    </row>
    <row r="506" spans="1:40" x14ac:dyDescent="0.3">
      <c r="A506" t="s">
        <v>15</v>
      </c>
      <c r="B506" t="s">
        <v>21</v>
      </c>
      <c r="I506" s="1" t="s">
        <v>53</v>
      </c>
      <c r="O506" s="142"/>
      <c r="P506" s="142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51</v>
      </c>
      <c r="O507" s="13"/>
      <c r="P507" s="13"/>
      <c r="AM507" s="78"/>
      <c r="AN507" s="78"/>
    </row>
    <row r="508" spans="1:40" x14ac:dyDescent="0.3">
      <c r="A508" t="s">
        <v>3</v>
      </c>
      <c r="B508" s="13">
        <v>0</v>
      </c>
      <c r="C508" s="26">
        <v>344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344</v>
      </c>
      <c r="I508" s="10">
        <f>C508/H508</f>
        <v>1</v>
      </c>
      <c r="J508" s="11">
        <f>1-I508</f>
        <v>0</v>
      </c>
      <c r="K508">
        <f>H508-C513</f>
        <v>0</v>
      </c>
      <c r="N508" s="10">
        <f>2*(C514*I508)/(C514+I508)</f>
        <v>1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48</v>
      </c>
      <c r="E509" s="1">
        <v>0</v>
      </c>
      <c r="F509" s="1">
        <v>0</v>
      </c>
      <c r="G509" s="6">
        <v>0</v>
      </c>
      <c r="H509" s="1">
        <f>SUM(C509:G509)</f>
        <v>48</v>
      </c>
      <c r="I509" s="10">
        <f>D509/H509</f>
        <v>1</v>
      </c>
      <c r="J509" s="11">
        <f>1-I509</f>
        <v>0</v>
      </c>
      <c r="K509">
        <f>H509-D513</f>
        <v>-1</v>
      </c>
      <c r="N509" s="10">
        <f>2*(D514*I509)/(D514+I509)</f>
        <v>0.98969072164948457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0</v>
      </c>
      <c r="E510" s="27">
        <v>714</v>
      </c>
      <c r="F510" s="1">
        <v>4</v>
      </c>
      <c r="G510" s="6">
        <v>0</v>
      </c>
      <c r="H510" s="1">
        <f>SUM(C510:G510)</f>
        <v>718</v>
      </c>
      <c r="I510" s="10">
        <f>E510/H510</f>
        <v>0.99442896935933145</v>
      </c>
      <c r="J510" s="11">
        <f>1-I510</f>
        <v>5.5710306406685506E-3</v>
      </c>
      <c r="K510">
        <f>H510-E513</f>
        <v>-144</v>
      </c>
      <c r="N510" s="10">
        <f>2*(E514*I510)/(E514+I510)</f>
        <v>0.90379746835443031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0</v>
      </c>
      <c r="E511" s="1">
        <v>10</v>
      </c>
      <c r="F511" s="27">
        <v>387</v>
      </c>
      <c r="G511" s="6">
        <v>4</v>
      </c>
      <c r="H511" s="1">
        <f>SUM(C511:G511)</f>
        <v>401</v>
      </c>
      <c r="I511" s="10">
        <f>F511/H511</f>
        <v>0.96508728179551118</v>
      </c>
      <c r="J511" s="11">
        <f>1-I511</f>
        <v>3.4912718204488824E-2</v>
      </c>
      <c r="K511">
        <f>H511-F513</f>
        <v>-20</v>
      </c>
      <c r="N511" s="10">
        <f>2*(F514*I511)/(F514+I511)</f>
        <v>0.94160583941605835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1</v>
      </c>
      <c r="E512" s="8">
        <v>138</v>
      </c>
      <c r="F512" s="8">
        <v>30</v>
      </c>
      <c r="G512" s="28">
        <v>626</v>
      </c>
      <c r="H512" s="1">
        <f>SUM(C512:G512)</f>
        <v>795</v>
      </c>
      <c r="I512" s="10">
        <f>G512/H512</f>
        <v>0.78742138364779879</v>
      </c>
      <c r="J512" s="11">
        <f>1-I512</f>
        <v>0.21257861635220121</v>
      </c>
      <c r="K512">
        <f>H512-G513</f>
        <v>165</v>
      </c>
      <c r="N512" s="10">
        <f>2*(G514*I512)/(G514+I512)</f>
        <v>0.87859649122807026</v>
      </c>
      <c r="O512" s="1"/>
      <c r="P512" s="1"/>
    </row>
    <row r="513" spans="1:40" ht="15.6" x14ac:dyDescent="0.35">
      <c r="B513" s="1" t="s">
        <v>19</v>
      </c>
      <c r="C513" s="1">
        <f>SUM(C508:C512)</f>
        <v>344</v>
      </c>
      <c r="D513" s="1">
        <f>SUM(D508:D512)</f>
        <v>49</v>
      </c>
      <c r="E513" s="1">
        <f>SUM(E508:E512)</f>
        <v>862</v>
      </c>
      <c r="F513" s="1">
        <f>SUM(F508:F512)</f>
        <v>421</v>
      </c>
      <c r="G513" s="1">
        <f>SUM(G508:G512)</f>
        <v>630</v>
      </c>
      <c r="H513" s="1">
        <f>SUM(H507:H512)</f>
        <v>2306</v>
      </c>
      <c r="I513" s="13" t="s">
        <v>12</v>
      </c>
      <c r="N513" s="16"/>
      <c r="O513" s="1"/>
      <c r="P513" s="1"/>
      <c r="AM513" s="78"/>
      <c r="AN513" s="78"/>
    </row>
    <row r="514" spans="1:40" x14ac:dyDescent="0.3">
      <c r="A514" s="1" t="s">
        <v>52</v>
      </c>
      <c r="B514" s="1" t="s">
        <v>2</v>
      </c>
      <c r="C514" s="10">
        <f>C508/C513</f>
        <v>1</v>
      </c>
      <c r="D514" s="10">
        <f>D509/D513</f>
        <v>0.97959183673469385</v>
      </c>
      <c r="E514" s="10">
        <f>E510/E513</f>
        <v>0.82830626450116007</v>
      </c>
      <c r="F514" s="10">
        <f>F511/F513</f>
        <v>0.91923990498812347</v>
      </c>
      <c r="G514" s="10">
        <f>G512/G513</f>
        <v>0.99365079365079367</v>
      </c>
      <c r="H514" s="10"/>
      <c r="I514" s="14">
        <f>(C508+D509+E510+F511+G512)/H513</f>
        <v>0.91890719861231573</v>
      </c>
    </row>
    <row r="515" spans="1:40" x14ac:dyDescent="0.3">
      <c r="B515" s="1" t="s">
        <v>14</v>
      </c>
      <c r="C515" s="11">
        <f>1-C514</f>
        <v>0</v>
      </c>
      <c r="D515" s="11">
        <f>1-D514</f>
        <v>2.0408163265306145E-2</v>
      </c>
      <c r="E515" s="11">
        <f>1-E514</f>
        <v>0.17169373549883993</v>
      </c>
      <c r="F515" s="11">
        <f>1-F514</f>
        <v>8.0760095011876532E-2</v>
      </c>
      <c r="G515" s="11">
        <f>1-G514</f>
        <v>6.3492063492063266E-3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0.37858195385288579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0.37858195385288579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344</v>
      </c>
      <c r="M519">
        <v>0</v>
      </c>
      <c r="N519" s="1">
        <v>309.82</v>
      </c>
      <c r="O519" s="17">
        <f>N519/N524*100</f>
        <v>0.37858195385288579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57">(C509/$L520)*$O520</f>
        <v>0</v>
      </c>
      <c r="D520" s="34">
        <f t="shared" si="57"/>
        <v>0.86511023074290261</v>
      </c>
      <c r="E520" s="19">
        <f t="shared" si="57"/>
        <v>0</v>
      </c>
      <c r="F520" s="18">
        <f t="shared" si="57"/>
        <v>0</v>
      </c>
      <c r="G520" s="20">
        <f t="shared" si="57"/>
        <v>0</v>
      </c>
      <c r="H520" s="17">
        <f>SUM(C520:G520)</f>
        <v>0.86511023074290261</v>
      </c>
      <c r="I520" s="17">
        <f>D520/H520*100</f>
        <v>100</v>
      </c>
      <c r="J520" s="17">
        <f>SQRT(I520*(100-I520)/(L520-1))</f>
        <v>0</v>
      </c>
      <c r="K520" s="18">
        <f>100-I520</f>
        <v>0</v>
      </c>
      <c r="L520" s="1">
        <f>H509</f>
        <v>48</v>
      </c>
      <c r="M520">
        <v>1</v>
      </c>
      <c r="N520" s="1">
        <v>707.98</v>
      </c>
      <c r="O520" s="17">
        <f>N520/N524*100</f>
        <v>0.86511023074290261</v>
      </c>
      <c r="P520" s="52">
        <f>((O520*O520*(I520/100)*(K520/100))/(L520-1))</f>
        <v>0</v>
      </c>
    </row>
    <row r="521" spans="1:40" x14ac:dyDescent="0.3">
      <c r="A521" t="s">
        <v>5</v>
      </c>
      <c r="B521" s="13">
        <v>2</v>
      </c>
      <c r="C521" s="33">
        <f t="shared" si="57"/>
        <v>0</v>
      </c>
      <c r="D521" s="19">
        <f t="shared" si="57"/>
        <v>0</v>
      </c>
      <c r="E521" s="34">
        <f t="shared" si="57"/>
        <v>61.336095587173858</v>
      </c>
      <c r="F521" s="19">
        <f t="shared" si="57"/>
        <v>0.34361958312142216</v>
      </c>
      <c r="G521" s="20">
        <f t="shared" si="57"/>
        <v>0</v>
      </c>
      <c r="H521" s="17">
        <f>SUM(C521:G521)</f>
        <v>61.679715170295282</v>
      </c>
      <c r="I521" s="17">
        <f>E521/H521*100</f>
        <v>99.442896935933149</v>
      </c>
      <c r="J521" s="17">
        <f>SQRT(I521*(100-I521)/(L521-1))</f>
        <v>0.27796817739934171</v>
      </c>
      <c r="K521" s="18">
        <f>100-I521</f>
        <v>0.55710306406685106</v>
      </c>
      <c r="L521" s="1">
        <f>H510</f>
        <v>718</v>
      </c>
      <c r="M521">
        <v>2</v>
      </c>
      <c r="N521" s="1">
        <v>50476.81</v>
      </c>
      <c r="O521" s="17">
        <f>N521/N524*100</f>
        <v>61.679715170295282</v>
      </c>
      <c r="P521" s="52">
        <f>((O521*O521*(I521/100)*(K521/100))/(L521-1))</f>
        <v>2.9395095670795443E-2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57"/>
        <v>0</v>
      </c>
      <c r="D522" s="19">
        <f t="shared" si="57"/>
        <v>0</v>
      </c>
      <c r="E522" s="19">
        <f t="shared" si="57"/>
        <v>0.82715696768984348</v>
      </c>
      <c r="F522" s="34">
        <f t="shared" si="57"/>
        <v>32.010974649596939</v>
      </c>
      <c r="G522" s="20">
        <f t="shared" si="57"/>
        <v>0.33086278707593736</v>
      </c>
      <c r="H522" s="17">
        <f>SUM(C522:G522)</f>
        <v>33.168994404362721</v>
      </c>
      <c r="I522" s="17">
        <f>F522/H522*100</f>
        <v>96.508728179551113</v>
      </c>
      <c r="J522" s="17">
        <f>SQRT(I522*(100-I522)/(L522-1))</f>
        <v>0.91779382641286622</v>
      </c>
      <c r="K522" s="18">
        <f>100-I522</f>
        <v>3.4912718204488868</v>
      </c>
      <c r="L522" s="1">
        <f>H511</f>
        <v>401</v>
      </c>
      <c r="M522">
        <v>3</v>
      </c>
      <c r="N522" s="1">
        <v>27144.5</v>
      </c>
      <c r="O522" s="17">
        <f>N522/N524*100</f>
        <v>33.168994404362721</v>
      </c>
      <c r="P522" s="52">
        <f>((O522*O522*(I522/100)*(K522/100))/(L522-1))</f>
        <v>9.2673352533849909E-2</v>
      </c>
    </row>
    <row r="523" spans="1:40" x14ac:dyDescent="0.3">
      <c r="A523" t="s">
        <v>7</v>
      </c>
      <c r="B523" s="13">
        <v>4</v>
      </c>
      <c r="C523" s="35">
        <f t="shared" si="57"/>
        <v>0</v>
      </c>
      <c r="D523" s="36">
        <f t="shared" si="57"/>
        <v>4.9152179128883087E-3</v>
      </c>
      <c r="E523" s="21">
        <f t="shared" si="57"/>
        <v>0.67830007197858666</v>
      </c>
      <c r="F523" s="21">
        <f t="shared" si="57"/>
        <v>0.14745653738664927</v>
      </c>
      <c r="G523" s="37">
        <f t="shared" si="57"/>
        <v>3.0769264134680818</v>
      </c>
      <c r="H523" s="17">
        <f>SUM(C523:G523)</f>
        <v>3.9075982407462062</v>
      </c>
      <c r="I523" s="17">
        <f>G523/H523*100</f>
        <v>78.742138364779862</v>
      </c>
      <c r="J523" s="17">
        <f>SQRT(I523*(100-I523)/(L523-1))</f>
        <v>1.4519549412465904</v>
      </c>
      <c r="K523" s="18">
        <f>100-I523</f>
        <v>21.257861635220138</v>
      </c>
      <c r="L523" s="1">
        <f>H512</f>
        <v>795</v>
      </c>
      <c r="M523">
        <v>4</v>
      </c>
      <c r="N523" s="1">
        <v>3197.86</v>
      </c>
      <c r="O523" s="17">
        <f>N523/N524*100</f>
        <v>3.9075982407462058</v>
      </c>
      <c r="P523" s="52">
        <f>((O523*O523*(I523/100)*(K523/100))/(L523-1))</f>
        <v>3.2190378920350848E-3</v>
      </c>
      <c r="AM523" s="78"/>
      <c r="AN523" s="78"/>
    </row>
    <row r="524" spans="1:40" x14ac:dyDescent="0.3">
      <c r="B524" t="s">
        <v>28</v>
      </c>
      <c r="C524" s="17">
        <f>SUM(C519:C523)</f>
        <v>0.37858195385288579</v>
      </c>
      <c r="D524" s="17">
        <f>SUM(D519:D523)</f>
        <v>0.8700254486557909</v>
      </c>
      <c r="E524" s="17">
        <f>SUM(E519:E523)</f>
        <v>62.841552626842287</v>
      </c>
      <c r="F524" s="17">
        <f>SUM(F519:F523)</f>
        <v>32.502050770105015</v>
      </c>
      <c r="G524" s="17">
        <f>SUM(G519:G523)</f>
        <v>3.4077892005440193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81836.97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0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4.9121256081387614E-3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0.31435978766410483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0.34999119007438095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0.17409635774032317</v>
      </c>
      <c r="H525" s="1"/>
      <c r="I525" s="14">
        <f>(C519+D520+E521+F522+G523)/H524</f>
        <v>0.97667688834834665</v>
      </c>
      <c r="J525" s="53">
        <f>SQRT(SUM(P519:P523))/100</f>
        <v>3.5395972383405493E-3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99.435048949374703</v>
      </c>
      <c r="E526" s="17">
        <f>E521/E524*100</f>
        <v>97.604360527805639</v>
      </c>
      <c r="F526" s="17">
        <f>F522/F524*100</f>
        <v>98.489091891519166</v>
      </c>
      <c r="G526" s="17">
        <f>G523/G524*100</f>
        <v>90.290984341897712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0.56175935372926666</v>
      </c>
      <c r="E527" s="18">
        <f>SQRT((E530+E531)/(E524*E524))</f>
        <v>0.41504847997709043</v>
      </c>
      <c r="F527" s="18">
        <f>SQRT((F530+F531)/(F524*F524))</f>
        <v>0.54438538546715087</v>
      </c>
      <c r="G527" s="18">
        <f>SQRT((G530+G531)/(G524*G524))</f>
        <v>4.6563021661157533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0.5649510506252966</v>
      </c>
      <c r="E528" s="18">
        <f>100-E526</f>
        <v>2.395639472194361</v>
      </c>
      <c r="F528" s="18">
        <f>100-F526</f>
        <v>1.5109081084808338</v>
      </c>
      <c r="G528" s="18">
        <f>100-G526</f>
        <v>9.7090156581022882</v>
      </c>
    </row>
    <row r="529" spans="1:40" ht="15.6" x14ac:dyDescent="0.35">
      <c r="B529" s="1" t="s">
        <v>25</v>
      </c>
      <c r="C529" s="1">
        <f>C513</f>
        <v>344</v>
      </c>
      <c r="D529" s="1">
        <f>D513</f>
        <v>49</v>
      </c>
      <c r="E529" s="1">
        <f>E513</f>
        <v>862</v>
      </c>
      <c r="F529" s="1">
        <f>F513</f>
        <v>421</v>
      </c>
      <c r="G529" s="1">
        <f>G513</f>
        <v>630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0</v>
      </c>
      <c r="E530" s="18">
        <f>(O521*O521*(100-E526)*(100-E526)*(I521)*(100-I521))/((L521-1)*100)</f>
        <v>16.87010549543853</v>
      </c>
      <c r="F530" s="18">
        <f>(O522*O522*(100-F526)*(100-F526)*(I522)*(100-I522))/((L522-1)*100)</f>
        <v>21.155874305782948</v>
      </c>
      <c r="G530" s="18">
        <f>(O523*O523*(100-G526)*(100-G526)*(I523)*(100-I523))/((L523-1)*100)</f>
        <v>30.344255876573833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0.23887161028084902</v>
      </c>
      <c r="E531" s="18">
        <f>E526*E526*(SUM((H519*E519*(1-E508/H508))/(H508-1),(H520*E520*(1-E509/H509))/(H509-1), (H522*E522*(1-E511/H511))/(H511-1),(H523*E523*(1-E512/H512))/(H512-1)))</f>
        <v>663.41579294922235</v>
      </c>
      <c r="F531" s="18">
        <f>F526*F526*(SUM((H519*F519*(1-F508/H508))/(H508-1),(H520*F520*(1-F509/H509))/(H509-1), (H521*F521*(1-F510/H510))/(H510-1),(H523*F523*(1-F512/H512))/(H512-1)))</f>
        <v>291.90907299380206</v>
      </c>
      <c r="G531" s="18">
        <f>G526*G526*(SUM((H519*G519*(1-G508/H508))/(H508-1),(H520*G520*(1-G509/H509))/(H509-1), (H521*G521*(1-G510/H510))/(H510-1),(H522*G522*(1-G511/H511))/(H511-1)))</f>
        <v>221.43952796644032</v>
      </c>
      <c r="AM531" s="78"/>
      <c r="AN531" s="78"/>
    </row>
    <row r="533" spans="1:40" x14ac:dyDescent="0.3">
      <c r="AM533" s="78"/>
      <c r="AN533" s="78"/>
    </row>
    <row r="534" spans="1:40" x14ac:dyDescent="0.3">
      <c r="A534" s="348" t="s">
        <v>378</v>
      </c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 t="s">
        <v>91</v>
      </c>
      <c r="M534" s="348"/>
      <c r="N534" s="348"/>
      <c r="O534" s="348"/>
      <c r="P534" s="348"/>
    </row>
    <row r="535" spans="1:40" x14ac:dyDescent="0.3">
      <c r="A535" t="s">
        <v>15</v>
      </c>
      <c r="B535" t="s">
        <v>21</v>
      </c>
      <c r="I535" s="1" t="s">
        <v>53</v>
      </c>
      <c r="O535" s="142"/>
      <c r="P535" s="142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51</v>
      </c>
      <c r="O536" s="13"/>
      <c r="P536" s="13"/>
    </row>
    <row r="537" spans="1:40" x14ac:dyDescent="0.3">
      <c r="A537" t="s">
        <v>3</v>
      </c>
      <c r="B537" s="13">
        <v>0</v>
      </c>
      <c r="C537" s="26">
        <v>344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344</v>
      </c>
      <c r="I537" s="10">
        <f>C537/H537</f>
        <v>1</v>
      </c>
      <c r="J537" s="11">
        <f>1-I537</f>
        <v>0</v>
      </c>
      <c r="K537">
        <f>H537-C542</f>
        <v>0</v>
      </c>
      <c r="N537" s="10">
        <f>2*(C543*I537)/(C543+I537)</f>
        <v>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48</v>
      </c>
      <c r="E538" s="1">
        <v>0</v>
      </c>
      <c r="F538" s="1">
        <v>0</v>
      </c>
      <c r="G538" s="6">
        <v>0</v>
      </c>
      <c r="H538" s="1">
        <f>SUM(C538:G538)</f>
        <v>48</v>
      </c>
      <c r="I538" s="10">
        <f>D538/H538</f>
        <v>1</v>
      </c>
      <c r="J538" s="11">
        <f>1-I538</f>
        <v>0</v>
      </c>
      <c r="K538">
        <f>H538-D542</f>
        <v>-2</v>
      </c>
      <c r="N538" s="10">
        <f>2*(D543*I538)/(D543+I538)</f>
        <v>0.97959183673469385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0</v>
      </c>
      <c r="E539" s="27">
        <v>712</v>
      </c>
      <c r="F539" s="1">
        <v>6</v>
      </c>
      <c r="G539" s="6">
        <v>0</v>
      </c>
      <c r="H539" s="1">
        <f>SUM(C539:G539)</f>
        <v>718</v>
      </c>
      <c r="I539" s="10">
        <f>E539/H539</f>
        <v>0.99164345403899723</v>
      </c>
      <c r="J539" s="11">
        <f>1-I539</f>
        <v>8.3565459610027704E-3</v>
      </c>
      <c r="K539">
        <f>H539-E542</f>
        <v>-150</v>
      </c>
      <c r="N539" s="10">
        <f>2*(E543*I539)/(E543+I539)</f>
        <v>0.89785624211853732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0</v>
      </c>
      <c r="E540" s="1">
        <v>8</v>
      </c>
      <c r="F540" s="27">
        <v>386</v>
      </c>
      <c r="G540" s="6">
        <v>7</v>
      </c>
      <c r="H540" s="1">
        <f>SUM(C540:G540)</f>
        <v>401</v>
      </c>
      <c r="I540" s="10">
        <f>F540/H540</f>
        <v>0.96259351620947631</v>
      </c>
      <c r="J540" s="11">
        <f>1-I540</f>
        <v>3.7406483790523692E-2</v>
      </c>
      <c r="K540">
        <f>H540-F542</f>
        <v>-21</v>
      </c>
      <c r="N540" s="10">
        <f>2*(F543*I540)/(F543+I540)</f>
        <v>0.93803159173754558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2</v>
      </c>
      <c r="E541" s="8">
        <v>148</v>
      </c>
      <c r="F541" s="8">
        <v>30</v>
      </c>
      <c r="G541" s="28">
        <v>615</v>
      </c>
      <c r="H541" s="1">
        <f>SUM(C541:G541)</f>
        <v>795</v>
      </c>
      <c r="I541" s="10">
        <f>G541/H541</f>
        <v>0.77358490566037741</v>
      </c>
      <c r="J541" s="11">
        <f>1-I541</f>
        <v>0.22641509433962259</v>
      </c>
      <c r="K541">
        <f>H541-G542</f>
        <v>173</v>
      </c>
      <c r="N541" s="10">
        <f>2*(G543*I541)/(G543+I541)</f>
        <v>0.8680310515172901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344</v>
      </c>
      <c r="D542" s="1">
        <f>SUM(D537:D541)</f>
        <v>50</v>
      </c>
      <c r="E542" s="1">
        <f>SUM(E537:E541)</f>
        <v>868</v>
      </c>
      <c r="F542" s="1">
        <f>SUM(F537:F541)</f>
        <v>422</v>
      </c>
      <c r="G542" s="1">
        <f>SUM(G537:G541)</f>
        <v>622</v>
      </c>
      <c r="H542" s="1">
        <f>SUM(H536:H541)</f>
        <v>2306</v>
      </c>
      <c r="I542" s="13" t="s">
        <v>12</v>
      </c>
      <c r="N542" s="16"/>
      <c r="O542" s="1"/>
      <c r="P542" s="1"/>
    </row>
    <row r="543" spans="1:40" x14ac:dyDescent="0.3">
      <c r="A543" s="1" t="s">
        <v>52</v>
      </c>
      <c r="B543" s="1" t="s">
        <v>2</v>
      </c>
      <c r="C543" s="10">
        <f>C537/C542</f>
        <v>1</v>
      </c>
      <c r="D543" s="10">
        <f>D538/D542</f>
        <v>0.96</v>
      </c>
      <c r="E543" s="10">
        <f>E539/E542</f>
        <v>0.82027649769585254</v>
      </c>
      <c r="F543" s="10">
        <f>F540/F542</f>
        <v>0.91469194312796209</v>
      </c>
      <c r="G543" s="10">
        <f>G541/G542</f>
        <v>0.9887459807073955</v>
      </c>
      <c r="H543" s="10"/>
      <c r="I543" s="14">
        <f>(C537+D538+E539+F540+G541)/H542</f>
        <v>0.91283607979184733</v>
      </c>
    </row>
    <row r="544" spans="1:40" x14ac:dyDescent="0.3">
      <c r="B544" s="1" t="s">
        <v>14</v>
      </c>
      <c r="C544" s="11">
        <f>1-C543</f>
        <v>0</v>
      </c>
      <c r="D544" s="11">
        <f>1-D543</f>
        <v>4.0000000000000036E-2</v>
      </c>
      <c r="E544" s="11">
        <f>1-E543</f>
        <v>0.17972350230414746</v>
      </c>
      <c r="F544" s="11">
        <f>1-F543</f>
        <v>8.5308056872037907E-2</v>
      </c>
      <c r="G544" s="11">
        <f>1-G543</f>
        <v>1.12540192926045E-2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0.40850730421715281</v>
      </c>
      <c r="D548" s="31">
        <f>(D537/$L548)*$O548</f>
        <v>0</v>
      </c>
      <c r="E548" s="31">
        <f>(E537/$L548)*$O548</f>
        <v>0</v>
      </c>
      <c r="F548" s="31">
        <f>(F537/$L548)*$O548</f>
        <v>0</v>
      </c>
      <c r="G548" s="32">
        <f>(G537/$L548)*$O548</f>
        <v>0</v>
      </c>
      <c r="H548" s="17">
        <f>SUM(C548:G548)</f>
        <v>0.40850730421715281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344</v>
      </c>
      <c r="M548">
        <v>0</v>
      </c>
      <c r="N548" s="1">
        <v>334.31</v>
      </c>
      <c r="O548" s="17">
        <f>N548/N553*100</f>
        <v>0.40850730421715281</v>
      </c>
      <c r="P548" s="52">
        <f>((O548*O548*(I548/100)*(K548/100))/(L548-1))</f>
        <v>0</v>
      </c>
    </row>
    <row r="549" spans="1:16" x14ac:dyDescent="0.3">
      <c r="A549" t="s">
        <v>4</v>
      </c>
      <c r="B549" s="13">
        <v>1</v>
      </c>
      <c r="C549" s="33">
        <f t="shared" ref="C549:G552" si="58">(C538/$L549)*$O549</f>
        <v>0</v>
      </c>
      <c r="D549" s="34">
        <f t="shared" si="58"/>
        <v>0.79152490616404803</v>
      </c>
      <c r="E549" s="19">
        <f t="shared" si="58"/>
        <v>0</v>
      </c>
      <c r="F549" s="18">
        <f t="shared" si="58"/>
        <v>0</v>
      </c>
      <c r="G549" s="20">
        <f t="shared" si="58"/>
        <v>0</v>
      </c>
      <c r="H549" s="17">
        <f>SUM(C549:G549)</f>
        <v>0.79152490616404803</v>
      </c>
      <c r="I549" s="17">
        <f>D549/H549*100</f>
        <v>100</v>
      </c>
      <c r="J549" s="17">
        <f>SQRT(I549*(100-I549)/(L549-1))</f>
        <v>0</v>
      </c>
      <c r="K549" s="18">
        <f>100-I549</f>
        <v>0</v>
      </c>
      <c r="L549" s="1">
        <f>H538</f>
        <v>48</v>
      </c>
      <c r="M549">
        <v>1</v>
      </c>
      <c r="N549" s="1">
        <v>647.76</v>
      </c>
      <c r="O549" s="17">
        <f>N549/N553*100</f>
        <v>0.79152490616404803</v>
      </c>
      <c r="P549" s="52">
        <f>((O549*O549*(I549/100)*(K549/100))/(L549-1))</f>
        <v>0</v>
      </c>
    </row>
    <row r="550" spans="1:16" x14ac:dyDescent="0.3">
      <c r="A550" t="s">
        <v>5</v>
      </c>
      <c r="B550" s="13">
        <v>2</v>
      </c>
      <c r="C550" s="33">
        <f t="shared" si="58"/>
        <v>0</v>
      </c>
      <c r="D550" s="19">
        <f t="shared" si="58"/>
        <v>0</v>
      </c>
      <c r="E550" s="34">
        <f t="shared" si="58"/>
        <v>60.792563257015338</v>
      </c>
      <c r="F550" s="19">
        <f t="shared" si="58"/>
        <v>0.51229688137934271</v>
      </c>
      <c r="G550" s="20">
        <f t="shared" si="58"/>
        <v>0</v>
      </c>
      <c r="H550" s="17">
        <f>SUM(C550:G550)</f>
        <v>61.30486013839468</v>
      </c>
      <c r="I550" s="17">
        <f>E550/H550*100</f>
        <v>99.164345403899716</v>
      </c>
      <c r="J550" s="17">
        <f>SQRT(I550*(100-I550)/(L550-1))</f>
        <v>0.33996295845078778</v>
      </c>
      <c r="K550" s="18">
        <f>100-I550</f>
        <v>0.8356545961002837</v>
      </c>
      <c r="L550" s="1">
        <f>H539</f>
        <v>718</v>
      </c>
      <c r="M550">
        <v>2</v>
      </c>
      <c r="N550" s="1">
        <v>50170.04</v>
      </c>
      <c r="O550" s="17">
        <f>N550/N553*100</f>
        <v>61.30486013839468</v>
      </c>
      <c r="P550" s="52">
        <f>((O550*O550*(I550/100)*(K550/100))/(L550-1))</f>
        <v>4.3436318783299246E-2</v>
      </c>
    </row>
    <row r="551" spans="1:16" x14ac:dyDescent="0.3">
      <c r="A551" t="s">
        <v>6</v>
      </c>
      <c r="B551" s="13">
        <v>3</v>
      </c>
      <c r="C551" s="33">
        <f t="shared" si="58"/>
        <v>0</v>
      </c>
      <c r="D551" s="19">
        <f t="shared" si="58"/>
        <v>0</v>
      </c>
      <c r="E551" s="19">
        <f t="shared" si="58"/>
        <v>0.66770059444050145</v>
      </c>
      <c r="F551" s="34">
        <f t="shared" si="58"/>
        <v>32.216553681754192</v>
      </c>
      <c r="G551" s="20">
        <f t="shared" si="58"/>
        <v>0.58423802013543868</v>
      </c>
      <c r="H551" s="17">
        <f>SUM(C551:G551)</f>
        <v>33.468492296330133</v>
      </c>
      <c r="I551" s="17">
        <f>F551/H551*100</f>
        <v>96.259351620947626</v>
      </c>
      <c r="J551" s="17">
        <f>SQRT(I551*(100-I551)/(L551-1))</f>
        <v>0.94877867230657409</v>
      </c>
      <c r="K551" s="18">
        <f>100-I551</f>
        <v>3.7406483790523737</v>
      </c>
      <c r="L551" s="1">
        <f>H540</f>
        <v>401</v>
      </c>
      <c r="M551">
        <v>3</v>
      </c>
      <c r="N551" s="1">
        <v>27389.599999999999</v>
      </c>
      <c r="O551" s="17">
        <f>N551/N553*100</f>
        <v>33.468492296330133</v>
      </c>
      <c r="P551" s="52">
        <f>((O551*O551*(I551/100)*(K551/100))/(L551-1))</f>
        <v>0.10083286895686698</v>
      </c>
    </row>
    <row r="552" spans="1:16" x14ac:dyDescent="0.3">
      <c r="A552" t="s">
        <v>7</v>
      </c>
      <c r="B552" s="13">
        <v>4</v>
      </c>
      <c r="C552" s="35">
        <f t="shared" si="58"/>
        <v>0</v>
      </c>
      <c r="D552" s="36">
        <f t="shared" si="58"/>
        <v>1.012984994941888E-2</v>
      </c>
      <c r="E552" s="21">
        <f t="shared" si="58"/>
        <v>0.74960889625699711</v>
      </c>
      <c r="F552" s="21">
        <f t="shared" si="58"/>
        <v>0.15194774924128321</v>
      </c>
      <c r="G552" s="37">
        <f t="shared" si="58"/>
        <v>3.114928859446306</v>
      </c>
      <c r="H552" s="17">
        <f>SUM(C552:G552)</f>
        <v>4.0266153548940053</v>
      </c>
      <c r="I552" s="17">
        <f>G552/H552*100</f>
        <v>77.358490566037744</v>
      </c>
      <c r="J552" s="17">
        <f>SQRT(I552*(100-I552)/(L552-1))</f>
        <v>1.4852392940667265</v>
      </c>
      <c r="K552" s="18">
        <f>100-I552</f>
        <v>22.641509433962256</v>
      </c>
      <c r="L552" s="1">
        <f>H541</f>
        <v>795</v>
      </c>
      <c r="M552">
        <v>4</v>
      </c>
      <c r="N552" s="1">
        <v>3295.26</v>
      </c>
      <c r="O552" s="17">
        <f>N552/N553*100</f>
        <v>4.0266153548940053</v>
      </c>
      <c r="P552" s="52">
        <f>((O552*O552*(I552/100)*(K552/100))/(L552-1))</f>
        <v>3.5766228909792203E-3</v>
      </c>
    </row>
    <row r="553" spans="1:16" x14ac:dyDescent="0.3">
      <c r="B553" t="s">
        <v>28</v>
      </c>
      <c r="C553" s="17">
        <f>SUM(C548:C552)</f>
        <v>0.40850730421715281</v>
      </c>
      <c r="D553" s="17">
        <f>SUM(D548:D552)</f>
        <v>0.80165475611346693</v>
      </c>
      <c r="E553" s="17">
        <f>SUM(E548:E552)</f>
        <v>62.209872747712836</v>
      </c>
      <c r="F553" s="17">
        <f>SUM(F548:F552)</f>
        <v>32.880798312374814</v>
      </c>
      <c r="G553" s="17">
        <f>SUM(G548:G552)</f>
        <v>3.6991668795817447</v>
      </c>
      <c r="H553" s="1">
        <f>SUM(H547:H552)</f>
        <v>100.00000000000003</v>
      </c>
      <c r="I553" s="13" t="s">
        <v>24</v>
      </c>
      <c r="J553" s="12" t="s">
        <v>29</v>
      </c>
      <c r="N553" s="1">
        <f>SUM(N548:N552)</f>
        <v>81836.969999999987</v>
      </c>
      <c r="O553" s="17">
        <f>SUM(O548:O552)</f>
        <v>100.00000000000003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0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7.1538699988983471E-3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0.31793388562129232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0.38039164058559211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0.22689849276512339</v>
      </c>
      <c r="H554" s="1"/>
      <c r="I554" s="56">
        <f>(C548+D549+E550+F551+G552)/H553</f>
        <v>0.97324078008597015</v>
      </c>
      <c r="J554" s="53">
        <f>SQRT(SUM(P548:P552))/100</f>
        <v>3.8450723092179353E-3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98.736382479843343</v>
      </c>
      <c r="E555" s="17">
        <f>E550/E553*100</f>
        <v>97.721728998795285</v>
      </c>
      <c r="F555" s="17">
        <f>F551/F553*100</f>
        <v>97.979840318017366</v>
      </c>
      <c r="G555" s="17">
        <f>G552/G553*100</f>
        <v>84.206226992346529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0.88166620620622038</v>
      </c>
      <c r="E556" s="18">
        <f>SQRT((E559+E560)/(E553*E553))</f>
        <v>0.3854402618465681</v>
      </c>
      <c r="F556" s="18">
        <f>SQRT((F559+F560)/(F553*F553))</f>
        <v>0.65600218501629881</v>
      </c>
      <c r="G556" s="18">
        <f>SQRT((G559+G560)/(G553*G553))</f>
        <v>5.6043129137635006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1.2636175201566573</v>
      </c>
      <c r="E557" s="18">
        <f>100-E555</f>
        <v>2.2782710012047147</v>
      </c>
      <c r="F557" s="18">
        <f>100-F555</f>
        <v>2.0201596819826335</v>
      </c>
      <c r="G557" s="18">
        <f>100-G555</f>
        <v>15.793773007653471</v>
      </c>
    </row>
    <row r="558" spans="1:16" ht="15.6" x14ac:dyDescent="0.35">
      <c r="B558" s="1" t="s">
        <v>25</v>
      </c>
      <c r="C558" s="1">
        <f>C542</f>
        <v>344</v>
      </c>
      <c r="D558" s="1">
        <f>D542</f>
        <v>50</v>
      </c>
      <c r="E558" s="1">
        <f>E542</f>
        <v>868</v>
      </c>
      <c r="F558" s="1">
        <f>F542</f>
        <v>422</v>
      </c>
      <c r="G558" s="1">
        <f>G542</f>
        <v>622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0</v>
      </c>
      <c r="E559" s="18">
        <f>(O550*O550*(100-E555)*(100-E555)*(I550)*(100-I550))/((L550-1)*100)</f>
        <v>22.54570272898475</v>
      </c>
      <c r="F559" s="18">
        <f>(O551*O551*(100-F555)*(100-F555)*(I551)*(100-I551))/((L551-1)*100)</f>
        <v>41.150348988008616</v>
      </c>
      <c r="G559" s="18">
        <f>(O552*O552*(100-G555)*(100-G555)*(I552)*(100-I552))/((L552-1)*100)</f>
        <v>89.216449452271021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0.4995548005212474</v>
      </c>
      <c r="E560" s="18">
        <f>E555*E555*(SUM((H548*E548*(1-E537/H537))/(H537-1),(H549*E549*(1-E538/H538))/(H538-1), (H551*E551*(1-E540/H540))/(H540-1),(H552*E552*(1-E541/H541))/(H541-1)))</f>
        <v>552.40787574612659</v>
      </c>
      <c r="F560" s="18">
        <f>F555*F555*(SUM((H548*F548*(1-F537/H537))/(H537-1),(H549*F549*(1-F538/H538))/(H538-1), (H550*F550*(1-F539/H539))/(H539-1),(H552*F552*(1-F541/H541))/(H541-1)))</f>
        <v>424.10918173672059</v>
      </c>
      <c r="G560" s="18">
        <f>G555*G555*(SUM((H548*G548*(1-G537/H537))/(H537-1),(H549*G549*(1-G538/H538))/(H538-1), (H550*G550*(1-G539/H539))/(H539-1),(H551*G551*(1-G540/H540))/(H540-1)))</f>
        <v>340.5698822663324</v>
      </c>
    </row>
    <row r="563" spans="1:16" x14ac:dyDescent="0.3">
      <c r="A563" s="348" t="s">
        <v>378</v>
      </c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 t="s">
        <v>92</v>
      </c>
      <c r="M563" s="348"/>
      <c r="N563" s="348"/>
      <c r="O563" s="348"/>
      <c r="P563" s="348"/>
    </row>
    <row r="564" spans="1:16" x14ac:dyDescent="0.3">
      <c r="A564" t="s">
        <v>15</v>
      </c>
      <c r="B564" t="s">
        <v>21</v>
      </c>
      <c r="I564" s="1" t="s">
        <v>53</v>
      </c>
      <c r="O564" s="142"/>
      <c r="P564" s="142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51</v>
      </c>
      <c r="O565" s="13"/>
      <c r="P565" s="13"/>
    </row>
    <row r="566" spans="1:16" x14ac:dyDescent="0.3">
      <c r="A566" t="s">
        <v>3</v>
      </c>
      <c r="B566" s="13">
        <v>0</v>
      </c>
      <c r="C566" s="26">
        <v>344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344</v>
      </c>
      <c r="I566" s="10">
        <f>C566/H566</f>
        <v>1</v>
      </c>
      <c r="J566" s="11">
        <f>1-I566</f>
        <v>0</v>
      </c>
      <c r="K566">
        <f>H566-C571</f>
        <v>0</v>
      </c>
      <c r="N566" s="10">
        <f>2*(C572*I566)/(C572+I566)</f>
        <v>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48</v>
      </c>
      <c r="E567" s="1">
        <v>0</v>
      </c>
      <c r="F567" s="1">
        <v>0</v>
      </c>
      <c r="G567" s="6">
        <v>0</v>
      </c>
      <c r="H567" s="1">
        <f>SUM(C567:G567)</f>
        <v>48</v>
      </c>
      <c r="I567" s="10">
        <f>D567/H567</f>
        <v>1</v>
      </c>
      <c r="J567" s="11">
        <f>1-I567</f>
        <v>0</v>
      </c>
      <c r="K567">
        <f>H567-D571</f>
        <v>-1</v>
      </c>
      <c r="N567" s="10">
        <f>2*(D572*I567)/(D572+I567)</f>
        <v>0.98969072164948457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0</v>
      </c>
      <c r="E568" s="27">
        <v>712</v>
      </c>
      <c r="F568" s="1">
        <v>6</v>
      </c>
      <c r="G568" s="6">
        <v>0</v>
      </c>
      <c r="H568" s="1">
        <f>SUM(C568:G568)</f>
        <v>718</v>
      </c>
      <c r="I568" s="10">
        <f>E568/H568</f>
        <v>0.99164345403899723</v>
      </c>
      <c r="J568" s="11">
        <f>1-I568</f>
        <v>8.3565459610027704E-3</v>
      </c>
      <c r="K568">
        <f>H568-E571</f>
        <v>-132</v>
      </c>
      <c r="N568" s="10">
        <f>2*(E572*I568)/(E572+I568)</f>
        <v>0.90816326530612246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0</v>
      </c>
      <c r="E569" s="1">
        <v>9</v>
      </c>
      <c r="F569" s="27">
        <v>387</v>
      </c>
      <c r="G569" s="6">
        <v>5</v>
      </c>
      <c r="H569" s="1">
        <f>SUM(C569:G569)</f>
        <v>401</v>
      </c>
      <c r="I569" s="10">
        <f>F569/H569</f>
        <v>0.96508728179551118</v>
      </c>
      <c r="J569" s="11">
        <f>1-I569</f>
        <v>3.4912718204488824E-2</v>
      </c>
      <c r="K569">
        <f>H569-F571</f>
        <v>-26</v>
      </c>
      <c r="N569" s="10">
        <f>2*(F572*I569)/(F572+I569)</f>
        <v>0.93478260869565211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1</v>
      </c>
      <c r="E570" s="8">
        <v>129</v>
      </c>
      <c r="F570" s="8">
        <v>34</v>
      </c>
      <c r="G570" s="28">
        <v>631</v>
      </c>
      <c r="H570" s="1">
        <f>SUM(C570:G570)</f>
        <v>795</v>
      </c>
      <c r="I570" s="10">
        <f>G570/H570</f>
        <v>0.79371069182389942</v>
      </c>
      <c r="J570" s="11">
        <f>1-I570</f>
        <v>0.20628930817610058</v>
      </c>
      <c r="K570">
        <f>H570-G571</f>
        <v>159</v>
      </c>
      <c r="N570" s="10">
        <f>2*(G572*I570)/(G572+I570)</f>
        <v>0.88190076869322154</v>
      </c>
      <c r="O570" s="1"/>
      <c r="P570" s="1"/>
    </row>
    <row r="571" spans="1:16" ht="15.6" x14ac:dyDescent="0.35">
      <c r="B571" s="1" t="s">
        <v>19</v>
      </c>
      <c r="C571" s="1">
        <f>SUM(C566:C570)</f>
        <v>344</v>
      </c>
      <c r="D571" s="1">
        <f>SUM(D566:D570)</f>
        <v>49</v>
      </c>
      <c r="E571" s="1">
        <f>SUM(E566:E570)</f>
        <v>850</v>
      </c>
      <c r="F571" s="1">
        <f>SUM(F566:F570)</f>
        <v>427</v>
      </c>
      <c r="G571" s="1">
        <f>SUM(G566:G570)</f>
        <v>636</v>
      </c>
      <c r="H571" s="1">
        <f>SUM(H565:H570)</f>
        <v>2306</v>
      </c>
      <c r="I571" s="13" t="s">
        <v>12</v>
      </c>
      <c r="N571" s="16"/>
      <c r="O571" s="1"/>
      <c r="P571" s="1"/>
    </row>
    <row r="572" spans="1:16" x14ac:dyDescent="0.3">
      <c r="A572" s="1" t="s">
        <v>52</v>
      </c>
      <c r="B572" s="1" t="s">
        <v>2</v>
      </c>
      <c r="C572" s="10">
        <f>C566/C571</f>
        <v>1</v>
      </c>
      <c r="D572" s="10">
        <f>D567/D571</f>
        <v>0.97959183673469385</v>
      </c>
      <c r="E572" s="10">
        <f>E568/E571</f>
        <v>0.83764705882352941</v>
      </c>
      <c r="F572" s="10">
        <f>F569/F571</f>
        <v>0.90632318501170961</v>
      </c>
      <c r="G572" s="10">
        <f>G570/G571</f>
        <v>0.99213836477987416</v>
      </c>
      <c r="H572" s="10"/>
      <c r="I572" s="14">
        <f>(C566+D567+E568+F569+G570)/H571</f>
        <v>0.92020815264527323</v>
      </c>
    </row>
    <row r="573" spans="1:16" x14ac:dyDescent="0.3">
      <c r="B573" s="1" t="s">
        <v>14</v>
      </c>
      <c r="C573" s="11">
        <f>1-C572</f>
        <v>0</v>
      </c>
      <c r="D573" s="11">
        <f>1-D572</f>
        <v>2.0408163265306145E-2</v>
      </c>
      <c r="E573" s="11">
        <f>1-E572</f>
        <v>0.16235294117647059</v>
      </c>
      <c r="F573" s="11">
        <f>1-F572</f>
        <v>9.3676814988290391E-2</v>
      </c>
      <c r="G573" s="11">
        <f>1-G572</f>
        <v>7.8616352201258399E-3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0.41631551119255755</v>
      </c>
      <c r="D577" s="31">
        <f>(D566/$L577)*$O577</f>
        <v>0</v>
      </c>
      <c r="E577" s="31">
        <f>(E566/$L577)*$O577</f>
        <v>0</v>
      </c>
      <c r="F577" s="31">
        <f>(F566/$L577)*$O577</f>
        <v>0</v>
      </c>
      <c r="G577" s="32">
        <f>(G566/$L577)*$O577</f>
        <v>0</v>
      </c>
      <c r="H577" s="17">
        <f>SUM(C577:G577)</f>
        <v>0.41631551119255755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344</v>
      </c>
      <c r="M577">
        <v>0</v>
      </c>
      <c r="N577" s="1">
        <v>340.7</v>
      </c>
      <c r="O577" s="17">
        <f>N577/N582*100</f>
        <v>0.41631551119255755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ref="C578:G581" si="59">(C567/$L578)*$O578</f>
        <v>0</v>
      </c>
      <c r="D578" s="34">
        <f t="shared" si="59"/>
        <v>0.84431278430763013</v>
      </c>
      <c r="E578" s="19">
        <f t="shared" si="59"/>
        <v>0</v>
      </c>
      <c r="F578" s="18">
        <f t="shared" si="59"/>
        <v>0</v>
      </c>
      <c r="G578" s="20">
        <f t="shared" si="59"/>
        <v>0</v>
      </c>
      <c r="H578" s="17">
        <f>SUM(C578:G578)</f>
        <v>0.84431278430763013</v>
      </c>
      <c r="I578" s="17">
        <f>D578/H578*100</f>
        <v>100</v>
      </c>
      <c r="J578" s="17">
        <f>SQRT(I578*(100-I578)/(L578-1))</f>
        <v>0</v>
      </c>
      <c r="K578" s="18">
        <f>100-I578</f>
        <v>0</v>
      </c>
      <c r="L578" s="1">
        <f>H567</f>
        <v>48</v>
      </c>
      <c r="M578">
        <v>1</v>
      </c>
      <c r="N578" s="1">
        <v>690.96</v>
      </c>
      <c r="O578" s="17">
        <f>N578/N582*100</f>
        <v>0.84431278430763013</v>
      </c>
      <c r="P578" s="52">
        <f>((O578*O578*(I578/100)*(K578/100))/(L578-1))</f>
        <v>0</v>
      </c>
    </row>
    <row r="579" spans="1:16" x14ac:dyDescent="0.3">
      <c r="A579" t="s">
        <v>5</v>
      </c>
      <c r="B579" s="13">
        <v>2</v>
      </c>
      <c r="C579" s="33">
        <f t="shared" si="59"/>
        <v>0</v>
      </c>
      <c r="D579" s="19">
        <f t="shared" si="59"/>
        <v>0</v>
      </c>
      <c r="E579" s="34">
        <f t="shared" si="59"/>
        <v>60.2659573371104</v>
      </c>
      <c r="F579" s="19">
        <f t="shared" si="59"/>
        <v>0.50785919104306521</v>
      </c>
      <c r="G579" s="20">
        <f t="shared" si="59"/>
        <v>0</v>
      </c>
      <c r="H579" s="17">
        <f>SUM(C579:G579)</f>
        <v>60.773816528153468</v>
      </c>
      <c r="I579" s="17">
        <f>E579/H579*100</f>
        <v>99.164345403899716</v>
      </c>
      <c r="J579" s="17">
        <f>SQRT(I579*(100-I579)/(L579-1))</f>
        <v>0.33996295845078778</v>
      </c>
      <c r="K579" s="18">
        <f>100-I579</f>
        <v>0.8356545961002837</v>
      </c>
      <c r="L579" s="1">
        <f>H568</f>
        <v>718</v>
      </c>
      <c r="M579">
        <v>2</v>
      </c>
      <c r="N579" s="1">
        <v>49735.45</v>
      </c>
      <c r="O579" s="17">
        <f>N579/N582*100</f>
        <v>60.773816528153468</v>
      </c>
      <c r="P579" s="52">
        <f>((O579*O579*(I579/100)*(K579/100))/(L579-1))</f>
        <v>4.2687057657825593E-2</v>
      </c>
    </row>
    <row r="580" spans="1:16" x14ac:dyDescent="0.3">
      <c r="A580" t="s">
        <v>6</v>
      </c>
      <c r="B580" s="13">
        <v>3</v>
      </c>
      <c r="C580" s="33">
        <f t="shared" si="59"/>
        <v>0</v>
      </c>
      <c r="D580" s="19">
        <f t="shared" si="59"/>
        <v>0</v>
      </c>
      <c r="E580" s="19">
        <f t="shared" si="59"/>
        <v>0.75343451749236967</v>
      </c>
      <c r="F580" s="34">
        <f t="shared" si="59"/>
        <v>32.397684252171892</v>
      </c>
      <c r="G580" s="20">
        <f t="shared" si="59"/>
        <v>0.41857473194020539</v>
      </c>
      <c r="H580" s="17">
        <f>SUM(C580:G580)</f>
        <v>33.569693501604469</v>
      </c>
      <c r="I580" s="17">
        <f>F580/H580*100</f>
        <v>96.508728179551113</v>
      </c>
      <c r="J580" s="17">
        <f>SQRT(I580*(100-I580)/(L580-1))</f>
        <v>0.91779382641286622</v>
      </c>
      <c r="K580" s="18">
        <f>100-I580</f>
        <v>3.4912718204488868</v>
      </c>
      <c r="L580" s="1">
        <f>H569</f>
        <v>401</v>
      </c>
      <c r="M580">
        <v>3</v>
      </c>
      <c r="N580" s="1">
        <v>27472.42</v>
      </c>
      <c r="O580" s="17">
        <f>N580/N582*100</f>
        <v>33.569693501604469</v>
      </c>
      <c r="P580" s="52">
        <f>((O580*O580*(I580/100)*(K580/100))/(L580-1))</f>
        <v>9.4925964009354061E-2</v>
      </c>
    </row>
    <row r="581" spans="1:16" x14ac:dyDescent="0.3">
      <c r="A581" t="s">
        <v>7</v>
      </c>
      <c r="B581" s="13">
        <v>4</v>
      </c>
      <c r="C581" s="35">
        <f t="shared" si="59"/>
        <v>0</v>
      </c>
      <c r="D581" s="36">
        <f t="shared" si="59"/>
        <v>5.529385754392286E-3</v>
      </c>
      <c r="E581" s="21">
        <f t="shared" si="59"/>
        <v>0.71329076231660493</v>
      </c>
      <c r="F581" s="21">
        <f t="shared" si="59"/>
        <v>0.18799911564933772</v>
      </c>
      <c r="G581" s="37">
        <f t="shared" si="59"/>
        <v>3.4890424110215328</v>
      </c>
      <c r="H581" s="17">
        <f>SUM(C581:G581)</f>
        <v>4.3958616747418677</v>
      </c>
      <c r="I581" s="17">
        <f>G581/H581*100</f>
        <v>79.371069182389945</v>
      </c>
      <c r="J581" s="17">
        <f>SQRT(I581*(100-I581)/(L581-1))</f>
        <v>1.4360158180103375</v>
      </c>
      <c r="K581" s="18">
        <f>100-I581</f>
        <v>20.628930817610055</v>
      </c>
      <c r="L581" s="1">
        <f>H570</f>
        <v>795</v>
      </c>
      <c r="M581">
        <v>4</v>
      </c>
      <c r="N581" s="1">
        <v>3597.44</v>
      </c>
      <c r="O581" s="17">
        <f>N581/N582*100</f>
        <v>4.3958616747418677</v>
      </c>
      <c r="P581" s="52">
        <f>((O581*O581*(I581/100)*(K581/100))/(L581-1))</f>
        <v>3.9847995846997077E-3</v>
      </c>
    </row>
    <row r="582" spans="1:16" x14ac:dyDescent="0.3">
      <c r="B582" t="s">
        <v>28</v>
      </c>
      <c r="C582" s="17">
        <f t="shared" ref="C582:H582" si="60">SUM(C577:C581)</f>
        <v>0.41631551119255755</v>
      </c>
      <c r="D582" s="17">
        <f t="shared" si="60"/>
        <v>0.84984217006202245</v>
      </c>
      <c r="E582" s="17">
        <f t="shared" si="60"/>
        <v>61.732682616919377</v>
      </c>
      <c r="F582" s="17">
        <f t="shared" si="60"/>
        <v>33.0935425588643</v>
      </c>
      <c r="G582" s="17">
        <f t="shared" si="60"/>
        <v>3.9076171429617381</v>
      </c>
      <c r="H582" s="18">
        <f t="shared" si="60"/>
        <v>100</v>
      </c>
      <c r="I582" s="13" t="s">
        <v>24</v>
      </c>
      <c r="J582" s="12" t="s">
        <v>29</v>
      </c>
      <c r="N582" s="1">
        <f>SUM(N577:N581)</f>
        <v>81836.97</v>
      </c>
      <c r="O582" s="17">
        <f>SUM(O577:O581)</f>
        <v>100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0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5.5259070590153109E-3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0.32800883457282609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0.37190308956353291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0.19642766807576939</v>
      </c>
      <c r="H583" s="1"/>
      <c r="I583" s="56">
        <f>(C577+D578+E579+F580+G581)/H582</f>
        <v>0.97413312295804022</v>
      </c>
      <c r="J583" s="53">
        <f>SQRT(SUM(P577:P581))/100</f>
        <v>3.7629485945449665E-3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99.349363217173746</v>
      </c>
      <c r="E584" s="17">
        <f>E579/E582*100</f>
        <v>97.62407007498652</v>
      </c>
      <c r="F584" s="17">
        <f>F580/F582*100</f>
        <v>97.897298829659391</v>
      </c>
      <c r="G584" s="17">
        <f>G581/G582*100</f>
        <v>89.288235857647223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0.64640350059457974</v>
      </c>
      <c r="E585" s="18">
        <f>SQRT((E588+E589)/(E582*E582))</f>
        <v>0.4113127700046087</v>
      </c>
      <c r="F585" s="18">
        <f>SQRT((F588+F589)/(F582*F582))</f>
        <v>0.64853159275504157</v>
      </c>
      <c r="G585" s="18">
        <f>SQRT((G588+G589)/(G582*G582))</f>
        <v>4.5942082806347289</v>
      </c>
      <c r="H585" s="1"/>
    </row>
    <row r="586" spans="1:16" x14ac:dyDescent="0.3">
      <c r="B586" s="1" t="s">
        <v>37</v>
      </c>
      <c r="C586" s="18">
        <f>100-C584</f>
        <v>0</v>
      </c>
      <c r="D586" s="18">
        <f>100-D584</f>
        <v>0.65063678282625403</v>
      </c>
      <c r="E586" s="18">
        <f>100-E584</f>
        <v>2.3759299250134802</v>
      </c>
      <c r="F586" s="18">
        <f>100-F584</f>
        <v>2.1027011703406089</v>
      </c>
      <c r="G586" s="18">
        <f>100-G584</f>
        <v>10.711764142352777</v>
      </c>
    </row>
    <row r="587" spans="1:16" ht="15.6" x14ac:dyDescent="0.35">
      <c r="B587" s="1" t="s">
        <v>25</v>
      </c>
      <c r="C587" s="1">
        <f>C571</f>
        <v>344</v>
      </c>
      <c r="D587" s="1">
        <f>D571</f>
        <v>49</v>
      </c>
      <c r="E587" s="1">
        <f>E571</f>
        <v>850</v>
      </c>
      <c r="F587" s="1">
        <f>F571</f>
        <v>427</v>
      </c>
      <c r="G587" s="1">
        <f>G571</f>
        <v>636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0</v>
      </c>
      <c r="E588" s="18">
        <f>(O579*O579*(100-E584)*(100-E584)*(I579)*(100-I579))/((L579-1)*100)</f>
        <v>24.097027638792763</v>
      </c>
      <c r="F588" s="18">
        <f>(O580*O580*(100-F584)*(100-F584)*(I580)*(100-I580))/((L580-1)*100)</f>
        <v>41.970112092542621</v>
      </c>
      <c r="G588" s="18">
        <f>(O581*O581*(100-G584)*(100-G584)*(I581)*(100-I581))/((L581-1)*100)</f>
        <v>45.722343976940877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0.30177548339113464</v>
      </c>
      <c r="E589" s="18">
        <f>E584*E584*(SUM((H577*E577*(1-E566/H566))/(H566-1),(H578*E578*(1-E567/H567))/(H567-1), (H580*E580*(1-E569/H569))/(H569-1),(H581*E581*(1-E570/H570))/(H570-1)))</f>
        <v>620.62823252165424</v>
      </c>
      <c r="F589" s="18">
        <f>F584*F584*(SUM((H577*F577*(1-F566/H566))/(H566-1),(H578*F578*(1-F567/H567))/(H567-1), (H579*F579*(1-F568/H568))/(H568-1),(H581*F581*(1-F570/H570))/(H570-1)))</f>
        <v>418.65625437398114</v>
      </c>
      <c r="G589" s="18">
        <f>G584*G584*(SUM((H577*G577*(1-G566/H566))/(H566-1),(H578*G578*(1-G567/H567))/(H567-1), (H579*G579*(1-G568/H568))/(H568-1),(H580*G580*(1-G569/H569))/(H569-1)))</f>
        <v>276.56657440012702</v>
      </c>
    </row>
    <row r="592" spans="1:16" x14ac:dyDescent="0.3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48"/>
      <c r="B998" s="348"/>
      <c r="C998" s="348"/>
      <c r="D998" s="348"/>
      <c r="E998" s="348"/>
      <c r="F998" s="348"/>
      <c r="G998" s="348"/>
      <c r="H998" s="348"/>
      <c r="I998" s="348"/>
      <c r="J998" s="348"/>
      <c r="K998" s="348"/>
      <c r="L998" s="348"/>
      <c r="M998" s="348"/>
      <c r="N998" s="348"/>
      <c r="O998" s="348"/>
      <c r="P998" s="348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48"/>
      <c r="B1027" s="348"/>
      <c r="C1027" s="348"/>
      <c r="D1027" s="348"/>
      <c r="E1027" s="348"/>
      <c r="F1027" s="348"/>
      <c r="G1027" s="348"/>
      <c r="H1027" s="348"/>
      <c r="I1027" s="348"/>
      <c r="J1027" s="348"/>
      <c r="K1027" s="348"/>
      <c r="L1027" s="348"/>
      <c r="M1027" s="348"/>
      <c r="N1027" s="348"/>
      <c r="O1027" s="348"/>
      <c r="P1027" s="348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48"/>
      <c r="B1056" s="348"/>
      <c r="C1056" s="348"/>
      <c r="D1056" s="348"/>
      <c r="E1056" s="348"/>
      <c r="F1056" s="348"/>
      <c r="G1056" s="348"/>
      <c r="H1056" s="348"/>
      <c r="I1056" s="348"/>
      <c r="J1056" s="348"/>
      <c r="K1056" s="348"/>
      <c r="L1056" s="348"/>
      <c r="M1056" s="348"/>
      <c r="N1056" s="348"/>
      <c r="O1056" s="348"/>
      <c r="P1056" s="348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48"/>
      <c r="B1085" s="348"/>
      <c r="C1085" s="348"/>
      <c r="D1085" s="348"/>
      <c r="E1085" s="348"/>
      <c r="F1085" s="348"/>
      <c r="G1085" s="348"/>
      <c r="H1085" s="348"/>
      <c r="I1085" s="348"/>
      <c r="J1085" s="348"/>
      <c r="K1085" s="348"/>
      <c r="L1085" s="348"/>
      <c r="M1085" s="348"/>
      <c r="N1085" s="348"/>
      <c r="O1085" s="348"/>
      <c r="P1085" s="348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48"/>
      <c r="B1114" s="348"/>
      <c r="C1114" s="348"/>
      <c r="D1114" s="348"/>
      <c r="E1114" s="348"/>
      <c r="F1114" s="348"/>
      <c r="G1114" s="348"/>
      <c r="H1114" s="348"/>
      <c r="I1114" s="348"/>
      <c r="J1114" s="348"/>
      <c r="K1114" s="348"/>
      <c r="L1114" s="348"/>
      <c r="M1114" s="348"/>
      <c r="N1114" s="348"/>
      <c r="O1114" s="348"/>
      <c r="P1114" s="348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48"/>
      <c r="B1143" s="348"/>
      <c r="C1143" s="348"/>
      <c r="D1143" s="348"/>
      <c r="E1143" s="348"/>
      <c r="F1143" s="348"/>
      <c r="G1143" s="348"/>
      <c r="H1143" s="348"/>
      <c r="I1143" s="348"/>
      <c r="J1143" s="348"/>
      <c r="K1143" s="348"/>
      <c r="L1143" s="348"/>
      <c r="M1143" s="348"/>
      <c r="N1143" s="348"/>
      <c r="O1143" s="348"/>
      <c r="P1143" s="348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48"/>
      <c r="B1172" s="348"/>
      <c r="C1172" s="348"/>
      <c r="D1172" s="348"/>
      <c r="E1172" s="348"/>
      <c r="F1172" s="348"/>
      <c r="G1172" s="348"/>
      <c r="H1172" s="348"/>
      <c r="I1172" s="348"/>
      <c r="J1172" s="348"/>
      <c r="K1172" s="348"/>
      <c r="L1172" s="348"/>
      <c r="M1172" s="348"/>
      <c r="N1172" s="348"/>
      <c r="O1172" s="348"/>
      <c r="P1172" s="348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48"/>
      <c r="B1201" s="348"/>
      <c r="C1201" s="348"/>
      <c r="D1201" s="348"/>
      <c r="E1201" s="348"/>
      <c r="F1201" s="348"/>
      <c r="G1201" s="348"/>
      <c r="H1201" s="348"/>
      <c r="I1201" s="348"/>
      <c r="J1201" s="348"/>
      <c r="K1201" s="348"/>
      <c r="L1201" s="348"/>
      <c r="M1201" s="348"/>
      <c r="N1201" s="348"/>
      <c r="O1201" s="348"/>
      <c r="P1201" s="348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48"/>
      <c r="B1230" s="348"/>
      <c r="C1230" s="348"/>
      <c r="D1230" s="348"/>
      <c r="E1230" s="348"/>
      <c r="F1230" s="348"/>
      <c r="G1230" s="348"/>
      <c r="H1230" s="348"/>
      <c r="I1230" s="348"/>
      <c r="J1230" s="348"/>
      <c r="K1230" s="348"/>
      <c r="L1230" s="348"/>
      <c r="M1230" s="348"/>
      <c r="N1230" s="348"/>
      <c r="O1230" s="348"/>
      <c r="P1230" s="348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48"/>
      <c r="B1259" s="348"/>
      <c r="C1259" s="348"/>
      <c r="D1259" s="348"/>
      <c r="E1259" s="348"/>
      <c r="F1259" s="348"/>
      <c r="G1259" s="348"/>
      <c r="H1259" s="348"/>
      <c r="I1259" s="348"/>
      <c r="J1259" s="348"/>
      <c r="K1259" s="348"/>
      <c r="L1259" s="348"/>
      <c r="M1259" s="348"/>
      <c r="N1259" s="348"/>
      <c r="O1259" s="348"/>
      <c r="P1259" s="348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48"/>
      <c r="B1288" s="348"/>
      <c r="C1288" s="348"/>
      <c r="D1288" s="348"/>
      <c r="E1288" s="348"/>
      <c r="F1288" s="348"/>
      <c r="G1288" s="348"/>
      <c r="H1288" s="348"/>
      <c r="I1288" s="348"/>
      <c r="J1288" s="348"/>
      <c r="K1288" s="348"/>
      <c r="L1288" s="348"/>
      <c r="M1288" s="348"/>
      <c r="N1288" s="348"/>
      <c r="O1288" s="348"/>
      <c r="P1288" s="348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48"/>
      <c r="B1317" s="348"/>
      <c r="C1317" s="348"/>
      <c r="D1317" s="348"/>
      <c r="E1317" s="348"/>
      <c r="F1317" s="348"/>
      <c r="G1317" s="348"/>
      <c r="H1317" s="348"/>
      <c r="I1317" s="348"/>
      <c r="J1317" s="348"/>
      <c r="K1317" s="348"/>
      <c r="L1317" s="348"/>
      <c r="M1317" s="348"/>
      <c r="N1317" s="348"/>
      <c r="O1317" s="348"/>
      <c r="P1317" s="348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48"/>
      <c r="B1346" s="348"/>
      <c r="C1346" s="348"/>
      <c r="D1346" s="348"/>
      <c r="E1346" s="348"/>
      <c r="F1346" s="348"/>
      <c r="G1346" s="348"/>
      <c r="H1346" s="348"/>
      <c r="I1346" s="348"/>
      <c r="J1346" s="348"/>
      <c r="K1346" s="348"/>
      <c r="L1346" s="348"/>
      <c r="M1346" s="348"/>
      <c r="N1346" s="348"/>
      <c r="O1346" s="348"/>
      <c r="P1346" s="348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48"/>
      <c r="B1375" s="348"/>
      <c r="C1375" s="348"/>
      <c r="D1375" s="348"/>
      <c r="E1375" s="348"/>
      <c r="F1375" s="348"/>
      <c r="G1375" s="348"/>
      <c r="H1375" s="348"/>
      <c r="I1375" s="348"/>
      <c r="J1375" s="348"/>
      <c r="K1375" s="348"/>
      <c r="L1375" s="348"/>
      <c r="M1375" s="348"/>
      <c r="N1375" s="348"/>
      <c r="O1375" s="348"/>
      <c r="P1375" s="348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48"/>
      <c r="B1404" s="348"/>
      <c r="C1404" s="348"/>
      <c r="D1404" s="348"/>
      <c r="E1404" s="348"/>
      <c r="F1404" s="348"/>
      <c r="G1404" s="348"/>
      <c r="H1404" s="348"/>
      <c r="I1404" s="348"/>
      <c r="J1404" s="348"/>
      <c r="K1404" s="348"/>
      <c r="L1404" s="348"/>
      <c r="M1404" s="348"/>
      <c r="N1404" s="348"/>
      <c r="O1404" s="348"/>
      <c r="P1404" s="348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48"/>
      <c r="B1433" s="348"/>
      <c r="C1433" s="348"/>
      <c r="D1433" s="348"/>
      <c r="E1433" s="348"/>
      <c r="F1433" s="348"/>
      <c r="G1433" s="348"/>
      <c r="H1433" s="348"/>
      <c r="I1433" s="348"/>
      <c r="J1433" s="348"/>
      <c r="K1433" s="348"/>
      <c r="L1433" s="348"/>
      <c r="M1433" s="348"/>
      <c r="N1433" s="348"/>
      <c r="O1433" s="348"/>
      <c r="P1433" s="348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02"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B6C64-A610-4C4F-B830-1E3E8582CEE9}">
  <dimension ref="A1:BE1459"/>
  <sheetViews>
    <sheetView topLeftCell="AC91" zoomScale="80" zoomScaleNormal="80" workbookViewId="0">
      <selection activeCell="AL100" sqref="AL100:AP100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</cols>
  <sheetData>
    <row r="1" spans="1:57" x14ac:dyDescent="0.3">
      <c r="A1" s="12"/>
      <c r="B1" s="12" t="s">
        <v>10</v>
      </c>
      <c r="C1" s="12"/>
      <c r="D1" s="12"/>
      <c r="E1" s="12"/>
      <c r="F1" s="12"/>
    </row>
    <row r="2" spans="1:57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AG2" s="51" t="s">
        <v>122</v>
      </c>
      <c r="AH2" s="51" t="s">
        <v>126</v>
      </c>
    </row>
    <row r="3" spans="1:57" x14ac:dyDescent="0.3">
      <c r="A3" s="12" t="s">
        <v>3</v>
      </c>
      <c r="B3" s="103">
        <v>51.51</v>
      </c>
      <c r="C3" s="22">
        <f>B3/$B$8</f>
        <v>7.4793088427472038E-2</v>
      </c>
      <c r="D3" s="85">
        <v>0.01</v>
      </c>
      <c r="E3" s="86">
        <f>D3-C3</f>
        <v>-6.4793088427472043E-2</v>
      </c>
      <c r="F3" s="12"/>
      <c r="G3" t="s">
        <v>46</v>
      </c>
      <c r="AG3" s="51" t="s">
        <v>123</v>
      </c>
      <c r="AH3" s="51" t="s">
        <v>129</v>
      </c>
    </row>
    <row r="4" spans="1:57" x14ac:dyDescent="0.3">
      <c r="A4" s="12" t="s">
        <v>4</v>
      </c>
      <c r="B4" s="103">
        <v>20.98</v>
      </c>
      <c r="C4" s="22">
        <f>B4/$B$8</f>
        <v>3.0463191520255551E-2</v>
      </c>
      <c r="D4" s="85">
        <v>0.01</v>
      </c>
      <c r="E4" s="86">
        <f>D4-C4</f>
        <v>-2.0463191520255553E-2</v>
      </c>
      <c r="F4" s="12"/>
      <c r="G4" t="s">
        <v>635</v>
      </c>
      <c r="AG4" s="51" t="s">
        <v>124</v>
      </c>
      <c r="AH4" s="51" t="s">
        <v>127</v>
      </c>
    </row>
    <row r="5" spans="1:57" x14ac:dyDescent="0.3">
      <c r="A5" s="12" t="s">
        <v>5</v>
      </c>
      <c r="B5" s="103">
        <v>234.23</v>
      </c>
      <c r="C5" s="22">
        <f>B5/$B$8</f>
        <v>0.34010454479454039</v>
      </c>
      <c r="D5" s="85">
        <v>0.42</v>
      </c>
      <c r="E5" s="86">
        <f>D5-C5</f>
        <v>7.9895455205459598E-2</v>
      </c>
      <c r="F5" s="12" t="s">
        <v>45</v>
      </c>
      <c r="AG5" s="51" t="s">
        <v>125</v>
      </c>
      <c r="AH5" s="51" t="s">
        <v>128</v>
      </c>
    </row>
    <row r="6" spans="1:57" x14ac:dyDescent="0.3">
      <c r="A6" s="12" t="s">
        <v>6</v>
      </c>
      <c r="B6" s="103">
        <v>206.92</v>
      </c>
      <c r="C6" s="22">
        <f>B6/$B$8</f>
        <v>0.30045012342093796</v>
      </c>
      <c r="D6" s="85">
        <v>0.35</v>
      </c>
      <c r="E6" s="86">
        <f>D6-C6</f>
        <v>4.9549876579062013E-2</v>
      </c>
      <c r="F6" s="12" t="s">
        <v>45</v>
      </c>
      <c r="I6" s="12"/>
      <c r="J6" s="12" t="s">
        <v>50</v>
      </c>
      <c r="K6" s="12"/>
      <c r="AG6" s="51" t="s">
        <v>150</v>
      </c>
      <c r="AH6" s="51" t="s">
        <v>152</v>
      </c>
    </row>
    <row r="7" spans="1:57" x14ac:dyDescent="0.3">
      <c r="A7" s="12" t="s">
        <v>7</v>
      </c>
      <c r="B7" s="103">
        <v>175.06</v>
      </c>
      <c r="C7" s="22">
        <f>B7/$B$8</f>
        <v>0.25418905183679397</v>
      </c>
      <c r="D7" s="85">
        <v>0.21</v>
      </c>
      <c r="E7" s="86">
        <f>D7-C7</f>
        <v>-4.4189051836793974E-2</v>
      </c>
      <c r="F7" s="12"/>
      <c r="I7" s="12"/>
      <c r="J7" s="12">
        <v>8608</v>
      </c>
      <c r="K7" s="12"/>
      <c r="AG7" s="51" t="s">
        <v>151</v>
      </c>
      <c r="AH7" s="51" t="s">
        <v>153</v>
      </c>
    </row>
    <row r="8" spans="1:57" x14ac:dyDescent="0.3">
      <c r="A8" s="12"/>
      <c r="B8" s="103">
        <f>SUM(B3:B7)</f>
        <v>688.7</v>
      </c>
      <c r="C8" s="61">
        <f>SUM(C3:C7)</f>
        <v>0.99999999999999989</v>
      </c>
      <c r="D8" s="12"/>
      <c r="E8" s="12" t="s">
        <v>16</v>
      </c>
      <c r="F8" s="134">
        <v>95733.119999999995</v>
      </c>
      <c r="I8" s="12" t="s">
        <v>55</v>
      </c>
      <c r="J8" s="12" t="s">
        <v>50</v>
      </c>
      <c r="K8" s="12" t="s">
        <v>54</v>
      </c>
      <c r="AG8" s="51" t="s">
        <v>205</v>
      </c>
      <c r="AH8" s="51" t="s">
        <v>210</v>
      </c>
    </row>
    <row r="9" spans="1:57" x14ac:dyDescent="0.3">
      <c r="A9" s="12"/>
      <c r="B9" s="87">
        <f>B8/0.36</f>
        <v>1913.0555555555557</v>
      </c>
      <c r="C9" s="12" t="s">
        <v>44</v>
      </c>
      <c r="D9" s="12"/>
      <c r="E9" s="12" t="s">
        <v>47</v>
      </c>
      <c r="F9" s="88">
        <f>B8/F8</f>
        <v>7.1939575352814164E-3</v>
      </c>
      <c r="G9" s="46"/>
      <c r="I9" s="12">
        <v>2836</v>
      </c>
      <c r="J9" s="12">
        <v>8525</v>
      </c>
      <c r="K9" s="89">
        <f>(J7-J9)/J7</f>
        <v>9.6421933085501857E-3</v>
      </c>
      <c r="AG9" s="51" t="s">
        <v>206</v>
      </c>
      <c r="AH9" s="51" t="s">
        <v>211</v>
      </c>
    </row>
    <row r="10" spans="1:57" x14ac:dyDescent="0.3">
      <c r="A10" s="129" t="s">
        <v>636</v>
      </c>
      <c r="B10" s="130">
        <v>24756</v>
      </c>
      <c r="F10" s="46"/>
      <c r="I10" s="89">
        <f>I9/(I9+J9)</f>
        <v>0.24962591321186514</v>
      </c>
      <c r="J10" s="89">
        <f>J9/(J9+I9)</f>
        <v>0.75037408678813489</v>
      </c>
      <c r="K10" s="12"/>
      <c r="AG10" s="51" t="s">
        <v>207</v>
      </c>
      <c r="AH10" s="51" t="s">
        <v>212</v>
      </c>
    </row>
    <row r="11" spans="1:57" x14ac:dyDescent="0.3">
      <c r="B11" s="18"/>
      <c r="F11" s="46"/>
      <c r="I11" s="45"/>
      <c r="J11" s="45"/>
      <c r="AG11" s="51" t="s">
        <v>208</v>
      </c>
      <c r="AH11" s="51" t="s">
        <v>213</v>
      </c>
    </row>
    <row r="12" spans="1:57" x14ac:dyDescent="0.3">
      <c r="A12" s="348" t="s">
        <v>380</v>
      </c>
      <c r="B12" s="348"/>
      <c r="C12" s="348"/>
      <c r="D12" s="348"/>
      <c r="E12" s="348"/>
      <c r="F12" s="348"/>
      <c r="G12" s="348"/>
      <c r="H12" s="348"/>
      <c r="I12" s="348"/>
      <c r="J12" s="348"/>
      <c r="K12" s="348"/>
      <c r="L12" s="348" t="s">
        <v>48</v>
      </c>
      <c r="M12" s="348"/>
      <c r="N12" s="348"/>
      <c r="O12" s="348"/>
      <c r="P12" s="348"/>
      <c r="R12" s="47" t="s">
        <v>380</v>
      </c>
      <c r="S12" s="47" t="s">
        <v>633</v>
      </c>
      <c r="T12" s="47"/>
      <c r="U12" s="47"/>
      <c r="V12" s="47"/>
      <c r="W12" s="47"/>
      <c r="X12" s="47"/>
      <c r="Y12" s="47"/>
      <c r="Z12" s="47"/>
      <c r="AA12" s="47"/>
      <c r="AB12" s="47" t="s">
        <v>58</v>
      </c>
      <c r="AC12" s="47"/>
      <c r="AD12" s="47"/>
      <c r="AE12" s="47"/>
      <c r="AF12" s="47"/>
      <c r="AG12" s="51" t="s">
        <v>209</v>
      </c>
      <c r="AH12" s="51" t="s">
        <v>214</v>
      </c>
      <c r="AW12" s="66"/>
      <c r="AX12" s="77" t="s">
        <v>323</v>
      </c>
      <c r="AY12" s="77" t="s">
        <v>326</v>
      </c>
      <c r="AZ12" s="77" t="s">
        <v>324</v>
      </c>
      <c r="BA12" s="77" t="s">
        <v>325</v>
      </c>
      <c r="BB12" s="77" t="s">
        <v>327</v>
      </c>
      <c r="BC12" s="77" t="s">
        <v>328</v>
      </c>
      <c r="BD12" s="77" t="s">
        <v>349</v>
      </c>
      <c r="BE12" s="13"/>
    </row>
    <row r="13" spans="1:57" x14ac:dyDescent="0.3">
      <c r="A13" t="s">
        <v>315</v>
      </c>
      <c r="B13" t="s">
        <v>21</v>
      </c>
      <c r="I13" s="1" t="s">
        <v>53</v>
      </c>
      <c r="AG13" s="51" t="s">
        <v>319</v>
      </c>
      <c r="AH13" s="51" t="s">
        <v>321</v>
      </c>
      <c r="AW13" s="51" t="s">
        <v>126</v>
      </c>
      <c r="AX13" s="80">
        <f>MIN($AE$16:$AE$20)</f>
        <v>0.98603671438757656</v>
      </c>
      <c r="AY13" s="80">
        <f>_xlfn.QUARTILE.EXC($AE$16:$AE$20,1)</f>
        <v>0.98612581623964402</v>
      </c>
      <c r="AZ13" s="80">
        <f>MEDIAN($AE$16:$AE$20)</f>
        <v>0.98653178937043462</v>
      </c>
      <c r="BA13" s="80">
        <f>AVERAGE($AE$16:$AE$20)</f>
        <v>0.98708300719057329</v>
      </c>
      <c r="BB13" s="80">
        <f>_xlfn.QUARTILE.EXC(AE16:AE20,3)</f>
        <v>0.98831580705157152</v>
      </c>
      <c r="BC13" s="80">
        <f>MAX(AE16:AE20)</f>
        <v>0.98858749798255374</v>
      </c>
      <c r="BD13" s="80">
        <f>(BB13-AY13)/AZ13</f>
        <v>2.2198887410663829E-3</v>
      </c>
      <c r="BE13" s="80"/>
    </row>
    <row r="14" spans="1:57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51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320</v>
      </c>
      <c r="AH14" s="51" t="s">
        <v>322</v>
      </c>
      <c r="AW14" s="51" t="s">
        <v>129</v>
      </c>
      <c r="AX14" s="80">
        <f>MIN($AE$16:$AE$25)</f>
        <v>0.98420867805845458</v>
      </c>
      <c r="AY14" s="80">
        <f>_xlfn.QUARTILE.EXC($AE$16:$AE$25,1)</f>
        <v>0.98596099555780059</v>
      </c>
      <c r="AZ14" s="80">
        <f>MEDIAN($AE$16:$AE$25)</f>
        <v>0.9871060016225327</v>
      </c>
      <c r="BA14" s="80">
        <f>AVERAGE($AE$16:$AE$25)</f>
        <v>0.98710480039129855</v>
      </c>
      <c r="BB14" s="80">
        <f>_xlfn.QUARTILE.EXC($AE$16:$AE$25,3)</f>
        <v>0.98861394229130695</v>
      </c>
      <c r="BC14" s="80">
        <f>MAX($AE$16:$AE$25)</f>
        <v>0.98931696174099326</v>
      </c>
      <c r="BD14" s="80">
        <f t="shared" ref="BD14:BD23" si="0">(BB14-AY14)/AZ14</f>
        <v>2.687600651951904E-3</v>
      </c>
      <c r="BE14" s="80"/>
    </row>
    <row r="15" spans="1:57" x14ac:dyDescent="0.3">
      <c r="A15" t="s">
        <v>3</v>
      </c>
      <c r="B15" s="13">
        <v>0</v>
      </c>
      <c r="C15" s="26">
        <v>353</v>
      </c>
      <c r="D15" s="3">
        <v>0</v>
      </c>
      <c r="E15" s="3">
        <v>0</v>
      </c>
      <c r="F15" s="3">
        <v>98</v>
      </c>
      <c r="G15" s="4">
        <v>0</v>
      </c>
      <c r="H15" s="1">
        <f>SUM(C15:G15)</f>
        <v>451</v>
      </c>
      <c r="I15" s="10">
        <f>C15/H15</f>
        <v>0.78270509977827052</v>
      </c>
      <c r="J15" s="11">
        <f>1-I15</f>
        <v>0.21729490022172948</v>
      </c>
      <c r="K15">
        <f>H15-C20</f>
        <v>98</v>
      </c>
      <c r="N15" s="10">
        <f>2*(C21*I15)/(C21+I15)</f>
        <v>0.87810945273631846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72</v>
      </c>
      <c r="AF15" s="12" t="s">
        <v>29</v>
      </c>
      <c r="AH15" t="s">
        <v>120</v>
      </c>
      <c r="AI15" t="s">
        <v>121</v>
      </c>
      <c r="AW15" s="51" t="s">
        <v>127</v>
      </c>
      <c r="AX15" s="80">
        <f>MIN($AE$16:$AE$35)</f>
        <v>0.98306230612410073</v>
      </c>
      <c r="AY15" s="80">
        <f>_xlfn.QUARTILE.EXC($AE$16:$AE$35,1)</f>
        <v>0.98541250125725033</v>
      </c>
      <c r="AZ15" s="126">
        <f>MEDIAN($AE$16:$AE$35)</f>
        <v>0.98633122954143437</v>
      </c>
      <c r="BA15" s="126">
        <f>AVERAGE($AE$16:$AE$35)</f>
        <v>0.98649658928172346</v>
      </c>
      <c r="BB15" s="80">
        <f>_xlfn.QUARTILE.EXC($AE$16:$AE$35,3)</f>
        <v>0.98795314055909966</v>
      </c>
      <c r="BC15" s="80">
        <f>MAX($AE$16:$AE$35)</f>
        <v>0.9899826474209461</v>
      </c>
      <c r="BD15" s="80">
        <f t="shared" si="0"/>
        <v>2.5758479765773308E-3</v>
      </c>
      <c r="BE15" s="80"/>
    </row>
    <row r="16" spans="1:57" x14ac:dyDescent="0.3">
      <c r="A16" t="s">
        <v>4</v>
      </c>
      <c r="B16" s="13">
        <v>1</v>
      </c>
      <c r="C16" s="5">
        <v>0</v>
      </c>
      <c r="D16" s="27">
        <v>56</v>
      </c>
      <c r="E16" s="1">
        <v>1</v>
      </c>
      <c r="F16" s="1">
        <v>0</v>
      </c>
      <c r="G16" s="6">
        <v>0</v>
      </c>
      <c r="H16" s="1">
        <f>SUM(C16:G16)</f>
        <v>57</v>
      </c>
      <c r="I16" s="10">
        <f>D16/H16</f>
        <v>0.98245614035087714</v>
      </c>
      <c r="J16" s="11">
        <f>1-I16</f>
        <v>1.7543859649122862E-2</v>
      </c>
      <c r="K16">
        <f>H16-D20</f>
        <v>-6</v>
      </c>
      <c r="N16" s="10">
        <f>2*(D21*I16)/(D21+I16)</f>
        <v>0.93333333333333335</v>
      </c>
      <c r="R16" t="s">
        <v>65</v>
      </c>
      <c r="S16" t="s">
        <v>28</v>
      </c>
      <c r="T16" s="57">
        <f t="shared" ref="T16:X19" si="1">C31</f>
        <v>0.19863364332820918</v>
      </c>
      <c r="U16" s="57">
        <f t="shared" si="1"/>
        <v>1.1841077041566828</v>
      </c>
      <c r="V16" s="57">
        <f t="shared" si="1"/>
        <v>60.486169552662666</v>
      </c>
      <c r="W16" s="57">
        <f t="shared" si="1"/>
        <v>32.108738318418737</v>
      </c>
      <c r="X16" s="57">
        <f t="shared" si="1"/>
        <v>6.0223507814337074</v>
      </c>
      <c r="AC16" t="s">
        <v>65</v>
      </c>
      <c r="AD16" s="51">
        <f>I21</f>
        <v>0.93617771509167846</v>
      </c>
      <c r="AE16" s="55">
        <f>I32</f>
        <v>0.98621491809171147</v>
      </c>
      <c r="AF16" s="55">
        <f>J32</f>
        <v>2.3445975967334074E-3</v>
      </c>
      <c r="AH16">
        <v>21</v>
      </c>
      <c r="AI16">
        <v>32</v>
      </c>
      <c r="AW16" s="51" t="s">
        <v>128</v>
      </c>
      <c r="AX16" s="80">
        <f>MIN($AE$16:$AE$45)</f>
        <v>0.98306230612410073</v>
      </c>
      <c r="AY16" s="80">
        <f>_xlfn.QUARTILE.EXC($AE$16:$AE$45,1)</f>
        <v>0.98541250125725033</v>
      </c>
      <c r="AZ16" s="80">
        <f>MEDIAN($AE$16:$AE$45)</f>
        <v>0.98633122954143437</v>
      </c>
      <c r="BA16" s="80">
        <f>AVERAGE($AE$16:$AE$45)</f>
        <v>0.98649658928172346</v>
      </c>
      <c r="BB16" s="80">
        <f>_xlfn.QUARTILE.EXC($AE$16:$AE$45,3)</f>
        <v>0.98795314055909966</v>
      </c>
      <c r="BC16" s="80">
        <f>MAX($AE$16:$AE$45)</f>
        <v>0.9899826474209461</v>
      </c>
      <c r="BD16" s="80">
        <f t="shared" si="0"/>
        <v>2.5758479765773308E-3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0</v>
      </c>
      <c r="E17" s="27">
        <v>736</v>
      </c>
      <c r="F17" s="1">
        <v>1</v>
      </c>
      <c r="G17" s="6">
        <v>0</v>
      </c>
      <c r="H17" s="1">
        <f>SUM(C17:G17)</f>
        <v>737</v>
      </c>
      <c r="I17" s="10">
        <f>E17/H17</f>
        <v>0.99864314789687925</v>
      </c>
      <c r="J17" s="11">
        <f>1-I17</f>
        <v>1.3568521031207537E-3</v>
      </c>
      <c r="K17">
        <f>H17-E20</f>
        <v>-19</v>
      </c>
      <c r="N17" s="10">
        <f>2*(E21*I17)/(E21+I17)</f>
        <v>0.98593436034829207</v>
      </c>
      <c r="S17" s="66" t="s">
        <v>39</v>
      </c>
      <c r="T17" s="67">
        <f t="shared" si="1"/>
        <v>4.9282215412899547E-3</v>
      </c>
      <c r="U17" s="67">
        <f t="shared" si="1"/>
        <v>2.5357271920212913E-2</v>
      </c>
      <c r="V17" s="67">
        <f t="shared" si="1"/>
        <v>0.15178425879039739</v>
      </c>
      <c r="W17" s="67">
        <f t="shared" si="1"/>
        <v>0.23202860960924238</v>
      </c>
      <c r="X17" s="67">
        <f t="shared" si="1"/>
        <v>0.18114160989255973</v>
      </c>
      <c r="AC17" t="s">
        <v>66</v>
      </c>
      <c r="AD17" s="51">
        <f>I50</f>
        <v>0.94640338504936528</v>
      </c>
      <c r="AE17" s="55">
        <f>I61</f>
        <v>0.98804411612058929</v>
      </c>
      <c r="AF17" s="55">
        <f>J61</f>
        <v>2.0772857942562809E-3</v>
      </c>
      <c r="AH17">
        <v>50</v>
      </c>
      <c r="AI17">
        <v>61</v>
      </c>
      <c r="AW17" s="51" t="s">
        <v>152</v>
      </c>
      <c r="AX17" s="80">
        <f>MIN($AE$16:$AE$55)</f>
        <v>0.98306230612410073</v>
      </c>
      <c r="AY17" s="80">
        <f>_xlfn.QUARTILE.EXC($AE$16:$AE$55,1)</f>
        <v>0.98541250125725033</v>
      </c>
      <c r="AZ17" s="80">
        <f>MEDIAN($AE$16:$AE$55)</f>
        <v>0.98633122954143437</v>
      </c>
      <c r="BA17" s="80">
        <f>AVERAGE($AE$16:$AE$55)</f>
        <v>0.98649658928172346</v>
      </c>
      <c r="BB17" s="80">
        <f>_xlfn.QUARTILE.EXC($AE$16:$AE$55,3)</f>
        <v>0.98795314055909966</v>
      </c>
      <c r="BC17" s="80">
        <f>MAX($AE$16:$AE$55)</f>
        <v>0.9899826474209461</v>
      </c>
      <c r="BD17" s="80">
        <f t="shared" si="0"/>
        <v>2.5758479765773308E-3</v>
      </c>
      <c r="BE17" s="80"/>
    </row>
    <row r="18" spans="1:57" x14ac:dyDescent="0.3">
      <c r="A18" t="s">
        <v>6</v>
      </c>
      <c r="B18" s="13">
        <v>3</v>
      </c>
      <c r="C18" s="5">
        <v>0</v>
      </c>
      <c r="D18" s="1">
        <v>0</v>
      </c>
      <c r="E18" s="1">
        <v>5</v>
      </c>
      <c r="F18" s="27">
        <v>567</v>
      </c>
      <c r="G18" s="6">
        <v>10</v>
      </c>
      <c r="H18" s="1">
        <f>SUM(C18:G18)</f>
        <v>582</v>
      </c>
      <c r="I18" s="10">
        <f>F18/H18</f>
        <v>0.97422680412371132</v>
      </c>
      <c r="J18" s="11">
        <f>1-I18</f>
        <v>2.5773195876288679E-2</v>
      </c>
      <c r="K18">
        <f>H18-F20</f>
        <v>-129</v>
      </c>
      <c r="N18" s="10">
        <f>2*(F21*I18)/(F21+I18)</f>
        <v>0.87703016241299314</v>
      </c>
      <c r="S18" s="70" t="s">
        <v>30</v>
      </c>
      <c r="T18" s="64">
        <f t="shared" si="1"/>
        <v>100</v>
      </c>
      <c r="U18" s="64">
        <f t="shared" si="1"/>
        <v>96.575226215373107</v>
      </c>
      <c r="V18" s="64">
        <f t="shared" si="1"/>
        <v>99.369827631773134</v>
      </c>
      <c r="W18" s="64">
        <f t="shared" si="1"/>
        <v>98.761997200583181</v>
      </c>
      <c r="X18" s="64">
        <f t="shared" si="1"/>
        <v>90.713244802010323</v>
      </c>
      <c r="AC18" t="s">
        <v>67</v>
      </c>
      <c r="AD18" s="51">
        <f>I79</f>
        <v>0.95310296191819466</v>
      </c>
      <c r="AE18" s="55">
        <f>I90</f>
        <v>0.98603671438757656</v>
      </c>
      <c r="AF18" s="55">
        <f>J90</f>
        <v>2.2890292318215018E-3</v>
      </c>
      <c r="AH18">
        <v>79</v>
      </c>
      <c r="AI18">
        <v>90</v>
      </c>
      <c r="AW18" s="51" t="s">
        <v>153</v>
      </c>
      <c r="AX18" s="80">
        <f>MIN($AE$16:$AE$65)</f>
        <v>0.98306230612410073</v>
      </c>
      <c r="AY18" s="80">
        <f>_xlfn.QUARTILE.EXC($AE$16:$AE$65,1)</f>
        <v>0.98541250125725033</v>
      </c>
      <c r="AZ18" s="80">
        <f>MEDIAN($AE$16:$AE$65)</f>
        <v>0.98633122954143437</v>
      </c>
      <c r="BA18" s="80">
        <f>AVERAGE($AE$16:$AE$65)</f>
        <v>0.98649658928172346</v>
      </c>
      <c r="BB18" s="80">
        <f>_xlfn.QUARTILE.EXC($AE$16:$AE$65,3)</f>
        <v>0.98795314055909966</v>
      </c>
      <c r="BC18" s="80">
        <f>MAX($AE$16:$AE$65)</f>
        <v>0.9899826474209461</v>
      </c>
      <c r="BD18" s="80">
        <f t="shared" si="0"/>
        <v>2.5758479765773308E-3</v>
      </c>
      <c r="BE18" s="80"/>
    </row>
    <row r="19" spans="1:57" x14ac:dyDescent="0.3">
      <c r="A19" t="s">
        <v>7</v>
      </c>
      <c r="B19" s="13">
        <v>4</v>
      </c>
      <c r="C19" s="7">
        <v>0</v>
      </c>
      <c r="D19" s="8">
        <v>7</v>
      </c>
      <c r="E19" s="8">
        <v>14</v>
      </c>
      <c r="F19" s="8">
        <v>45</v>
      </c>
      <c r="G19" s="28">
        <v>943</v>
      </c>
      <c r="H19" s="1">
        <f>SUM(C19:G19)</f>
        <v>1009</v>
      </c>
      <c r="I19" s="10">
        <f>G19/H19</f>
        <v>0.93458870168483643</v>
      </c>
      <c r="J19" s="11">
        <f>1-I19</f>
        <v>6.5411298315163569E-2</v>
      </c>
      <c r="K19">
        <f>H19-G20</f>
        <v>56</v>
      </c>
      <c r="N19" s="10">
        <f>2*(G21*I19)/(G21+I19)</f>
        <v>0.96126401630988767</v>
      </c>
      <c r="S19" s="66" t="s">
        <v>39</v>
      </c>
      <c r="T19" s="67">
        <f t="shared" si="1"/>
        <v>0</v>
      </c>
      <c r="U19" s="67">
        <f t="shared" si="1"/>
        <v>1.3792424645327441</v>
      </c>
      <c r="V19" s="67">
        <f t="shared" si="1"/>
        <v>0.21064232939423172</v>
      </c>
      <c r="W19" s="67">
        <f t="shared" si="1"/>
        <v>0.28947872943435249</v>
      </c>
      <c r="X19" s="67">
        <f t="shared" si="1"/>
        <v>2.734911905349612</v>
      </c>
      <c r="AC19" t="s">
        <v>68</v>
      </c>
      <c r="AD19" s="51">
        <f>I108</f>
        <v>0.96156558533145275</v>
      </c>
      <c r="AE19" s="73">
        <f>I119</f>
        <v>0.98858749798255374</v>
      </c>
      <c r="AF19" s="73">
        <f>J119</f>
        <v>2.0884288012051606E-3</v>
      </c>
      <c r="AH19">
        <v>108</v>
      </c>
      <c r="AI19">
        <v>119</v>
      </c>
      <c r="AW19" s="51" t="s">
        <v>210</v>
      </c>
      <c r="AX19" s="80">
        <f>MIN($AE$16:$AE$75)</f>
        <v>0.98306230612410073</v>
      </c>
      <c r="AY19" s="80">
        <f>_xlfn.QUARTILE.EXC($AE$16:$AE$75,1)</f>
        <v>0.98541250125725033</v>
      </c>
      <c r="AZ19" s="80">
        <f>MEDIAN($AE$16:$AE$75)</f>
        <v>0.98633122954143437</v>
      </c>
      <c r="BA19" s="80">
        <f>AVERAGE($AE$16:$AE$75)</f>
        <v>0.98649658928172346</v>
      </c>
      <c r="BB19" s="80">
        <f>_xlfn.QUARTILE.EXC($AE$16:$AE$75,3)</f>
        <v>0.98795314055909966</v>
      </c>
      <c r="BC19" s="80">
        <f>MAX($AE$16:$AE$75)</f>
        <v>0.9899826474209461</v>
      </c>
      <c r="BD19" s="80">
        <f t="shared" si="0"/>
        <v>2.5758479765773308E-3</v>
      </c>
      <c r="BE19" s="80"/>
    </row>
    <row r="20" spans="1:57" ht="15.6" x14ac:dyDescent="0.35">
      <c r="B20" s="1" t="s">
        <v>19</v>
      </c>
      <c r="C20" s="1">
        <f>SUM(C15:C19)</f>
        <v>353</v>
      </c>
      <c r="D20" s="1">
        <f>SUM(D15:D19)</f>
        <v>63</v>
      </c>
      <c r="E20" s="1">
        <f>SUM(E15:E19)</f>
        <v>756</v>
      </c>
      <c r="F20" s="1">
        <f>SUM(F15:F19)</f>
        <v>711</v>
      </c>
      <c r="G20" s="1">
        <f>SUM(G15:G19)</f>
        <v>953</v>
      </c>
      <c r="H20" s="1">
        <f>SUM(H14:H19)</f>
        <v>2836</v>
      </c>
      <c r="I20" s="13" t="s">
        <v>12</v>
      </c>
      <c r="N20" s="16"/>
      <c r="S20" s="70" t="s">
        <v>31</v>
      </c>
      <c r="T20" s="64">
        <f>I26</f>
        <v>78.270509977827047</v>
      </c>
      <c r="U20" s="64">
        <f>I27</f>
        <v>98.245614035087726</v>
      </c>
      <c r="V20" s="64">
        <f>I28</f>
        <v>99.864314789687924</v>
      </c>
      <c r="W20" s="64">
        <f>I29</f>
        <v>97.422680412371136</v>
      </c>
      <c r="X20" s="64">
        <f>I30</f>
        <v>93.458870168483642</v>
      </c>
      <c r="AC20" t="s">
        <v>71</v>
      </c>
      <c r="AD20" s="51">
        <f>I137</f>
        <v>0.92665726375176305</v>
      </c>
      <c r="AE20" s="73">
        <f>I148</f>
        <v>0.98653178937043462</v>
      </c>
      <c r="AF20" s="73">
        <f>J148</f>
        <v>2.1129453960271631E-3</v>
      </c>
      <c r="AH20">
        <v>137</v>
      </c>
      <c r="AI20">
        <v>148</v>
      </c>
      <c r="AW20" s="51" t="s">
        <v>211</v>
      </c>
      <c r="AX20" s="80">
        <f>MIN($AE$16:$AE$85)</f>
        <v>0.98306230612410073</v>
      </c>
      <c r="AY20" s="80">
        <f>_xlfn.QUARTILE.EXC($AE$16:$AE$85,1)</f>
        <v>0.98541250125725033</v>
      </c>
      <c r="AZ20" s="80">
        <f>MEDIAN($AE$16:$AE$85)</f>
        <v>0.98633122954143437</v>
      </c>
      <c r="BA20" s="80">
        <f>AVERAGE($AE$16:$AE$85)</f>
        <v>0.98649658928172346</v>
      </c>
      <c r="BB20" s="80">
        <f>_xlfn.QUARTILE.EXC($AE$16:$AE$85,3)</f>
        <v>0.98795314055909966</v>
      </c>
      <c r="BC20" s="80">
        <f>MAX($AE$16:$AE$85)</f>
        <v>0.9899826474209461</v>
      </c>
      <c r="BD20" s="80">
        <f t="shared" si="0"/>
        <v>2.5758479765773308E-3</v>
      </c>
      <c r="BE20" s="80"/>
    </row>
    <row r="21" spans="1:57" x14ac:dyDescent="0.3">
      <c r="A21" s="1" t="s">
        <v>316</v>
      </c>
      <c r="B21" s="1" t="s">
        <v>2</v>
      </c>
      <c r="C21" s="10">
        <f>C15/C20</f>
        <v>1</v>
      </c>
      <c r="D21" s="10">
        <f>D16/D20</f>
        <v>0.88888888888888884</v>
      </c>
      <c r="E21" s="10">
        <f>E17/E20</f>
        <v>0.97354497354497349</v>
      </c>
      <c r="F21" s="10">
        <f>F18/F20</f>
        <v>0.79746835443037978</v>
      </c>
      <c r="G21" s="10">
        <f>G19/G20</f>
        <v>0.98950682056663164</v>
      </c>
      <c r="H21" s="10"/>
      <c r="I21" s="14">
        <f>(C15+D16+E17+F18+G19)/H20</f>
        <v>0.93617771509167846</v>
      </c>
      <c r="S21" s="66" t="s">
        <v>39</v>
      </c>
      <c r="T21" s="67">
        <f>J26</f>
        <v>1.9440954855342434</v>
      </c>
      <c r="U21" s="67">
        <f>J27</f>
        <v>1.7543859649122773</v>
      </c>
      <c r="V21" s="67">
        <f>J28</f>
        <v>0.13568521031207589</v>
      </c>
      <c r="W21" s="67">
        <f>J29</f>
        <v>0.65739456332296642</v>
      </c>
      <c r="X21" s="67">
        <f>J30</f>
        <v>0.77876492296262712</v>
      </c>
      <c r="AC21" t="s">
        <v>93</v>
      </c>
      <c r="AD21" s="51">
        <f>I166</f>
        <v>0.93794076163610718</v>
      </c>
      <c r="AE21" s="55">
        <f>I177</f>
        <v>0.98768021387463079</v>
      </c>
      <c r="AF21" s="55">
        <f>J177</f>
        <v>2.1387810086668738E-3</v>
      </c>
      <c r="AH21">
        <v>166</v>
      </c>
      <c r="AI21">
        <v>177</v>
      </c>
      <c r="AW21" s="51" t="s">
        <v>212</v>
      </c>
      <c r="AX21" s="80">
        <f>MIN($AE$16:$AE$95)</f>
        <v>0.98306230612410073</v>
      </c>
      <c r="AY21" s="80">
        <f>_xlfn.QUARTILE.EXC($AE$16:$AE$95,1)</f>
        <v>0.98541250125725033</v>
      </c>
      <c r="AZ21" s="80">
        <f>MEDIAN($AE$16:$AE$95)</f>
        <v>0.98633122954143437</v>
      </c>
      <c r="BA21" s="80">
        <f>AVERAGE($AE$16:$AE$95)</f>
        <v>0.98649658928172346</v>
      </c>
      <c r="BB21" s="80">
        <f>_xlfn.QUARTILE.EXC($AE$16:$AE$95,3)</f>
        <v>0.98795314055909966</v>
      </c>
      <c r="BC21" s="80">
        <f>MAX($AE$16:$AE$95)</f>
        <v>0.9899826474209461</v>
      </c>
      <c r="BD21" s="80">
        <f t="shared" si="0"/>
        <v>2.5758479765773308E-3</v>
      </c>
      <c r="BE21" s="80"/>
    </row>
    <row r="22" spans="1:57" x14ac:dyDescent="0.3">
      <c r="B22" s="1" t="s">
        <v>14</v>
      </c>
      <c r="C22" s="11">
        <f>1-C21</f>
        <v>0</v>
      </c>
      <c r="D22" s="11">
        <f>1-D21</f>
        <v>0.11111111111111116</v>
      </c>
      <c r="E22" s="11">
        <f>1-E21</f>
        <v>2.6455026455026509E-2</v>
      </c>
      <c r="F22" s="11">
        <f>1-F21</f>
        <v>0.20253164556962022</v>
      </c>
      <c r="G22" s="11">
        <f>1-G21</f>
        <v>1.049317943336836E-2</v>
      </c>
      <c r="S22" s="68" t="s">
        <v>51</v>
      </c>
      <c r="T22" s="65">
        <f>N15*100</f>
        <v>87.810945273631845</v>
      </c>
      <c r="U22" s="65">
        <f>N16*100</f>
        <v>93.333333333333329</v>
      </c>
      <c r="V22" s="65">
        <f>N17*100</f>
        <v>98.59343603482921</v>
      </c>
      <c r="W22" s="65">
        <f>N18*100</f>
        <v>87.703016241299309</v>
      </c>
      <c r="X22" s="65">
        <f>N19*100</f>
        <v>96.126401630988767</v>
      </c>
      <c r="Y22" s="46"/>
      <c r="Z22" s="46"/>
      <c r="AA22" s="46"/>
      <c r="AC22" t="s">
        <v>94</v>
      </c>
      <c r="AD22" s="51">
        <f>I195</f>
        <v>0.96050775740479544</v>
      </c>
      <c r="AE22" s="55">
        <f>I206</f>
        <v>0.98420867805845458</v>
      </c>
      <c r="AF22" s="55">
        <f>J206</f>
        <v>2.6367812200460412E-3</v>
      </c>
      <c r="AH22">
        <v>195</v>
      </c>
      <c r="AI22">
        <v>206</v>
      </c>
      <c r="AW22" s="51" t="s">
        <v>213</v>
      </c>
      <c r="AX22" s="80">
        <f>MIN($AE$16:$AE$105)</f>
        <v>0.98306230612410073</v>
      </c>
      <c r="AY22" s="80">
        <f>_xlfn.QUARTILE.EXC($AE$16:$AE$105,1)</f>
        <v>0.98541250125725033</v>
      </c>
      <c r="AZ22" s="80">
        <f>MEDIAN($AE$16:$AE$105)</f>
        <v>0.98633122954143437</v>
      </c>
      <c r="BA22" s="80">
        <f>AVERAGE($AE$16:$AE$105)</f>
        <v>0.98649658928172346</v>
      </c>
      <c r="BB22" s="80">
        <f>_xlfn.QUARTILE.EXC($AE$16:$AE$105,3)</f>
        <v>0.98795314055909966</v>
      </c>
      <c r="BC22" s="80">
        <f>MAX($AE$16:$AE$105)</f>
        <v>0.9899826474209461</v>
      </c>
      <c r="BD22" s="80">
        <f t="shared" si="0"/>
        <v>2.5758479765773308E-3</v>
      </c>
      <c r="BE22" s="80"/>
    </row>
    <row r="23" spans="1:57" x14ac:dyDescent="0.3">
      <c r="C23" s="2"/>
      <c r="R23" s="16" t="s">
        <v>61</v>
      </c>
      <c r="S23" t="s">
        <v>9</v>
      </c>
      <c r="T23" s="30">
        <f>N26</f>
        <v>242.95</v>
      </c>
      <c r="U23" s="30">
        <f>N27</f>
        <v>1114.31</v>
      </c>
      <c r="V23" s="30">
        <f>N28</f>
        <v>57618.58</v>
      </c>
      <c r="W23" s="30">
        <f>N29</f>
        <v>31161.279999999999</v>
      </c>
      <c r="X23" s="30">
        <f>N30</f>
        <v>5596.01</v>
      </c>
      <c r="Z23" t="s">
        <v>36</v>
      </c>
      <c r="AA23" s="1">
        <f>N31</f>
        <v>95733.12999999999</v>
      </c>
      <c r="AC23" t="s">
        <v>95</v>
      </c>
      <c r="AD23" s="51">
        <f>I224</f>
        <v>0.96227080394922426</v>
      </c>
      <c r="AE23" s="55">
        <f>I235</f>
        <v>0.98931696174099326</v>
      </c>
      <c r="AF23" s="55">
        <f>J235</f>
        <v>2.0078262407818431E-3</v>
      </c>
      <c r="AH23">
        <v>224</v>
      </c>
      <c r="AI23">
        <v>235</v>
      </c>
      <c r="AW23" s="51" t="s">
        <v>214</v>
      </c>
      <c r="AX23" s="80">
        <f>MIN($AE$16:$AE$115)</f>
        <v>0.98306230612410073</v>
      </c>
      <c r="AY23" s="80">
        <f>_xlfn.QUARTILE.EXC($AE$16:$AE$115,1)</f>
        <v>0.98541250125725033</v>
      </c>
      <c r="AZ23" s="126">
        <f>MEDIAN($AE$16:$AE$115)</f>
        <v>0.98633122954143437</v>
      </c>
      <c r="BA23" s="126">
        <f>AVERAGE($AE$16:$AE$115)</f>
        <v>0.98649658928172346</v>
      </c>
      <c r="BB23" s="80">
        <f>_xlfn.QUARTILE.EXC($AE$16:$AE$115,3)</f>
        <v>0.98795314055909966</v>
      </c>
      <c r="BC23" s="80">
        <f>MAX($AE$16:$AE$115)</f>
        <v>0.9899826474209461</v>
      </c>
      <c r="BD23" s="80">
        <f t="shared" si="0"/>
        <v>2.5758479765773308E-3</v>
      </c>
      <c r="BE23" s="80"/>
    </row>
    <row r="24" spans="1:57" ht="15.6" x14ac:dyDescent="0.35">
      <c r="A24" t="s">
        <v>317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318</v>
      </c>
      <c r="S24" t="s">
        <v>63</v>
      </c>
      <c r="T24" s="57">
        <f>$AA23*T16/100</f>
        <v>190.15820399113079</v>
      </c>
      <c r="U24" s="57">
        <f>$AA23*U16/100</f>
        <v>1133.5833677603323</v>
      </c>
      <c r="V24" s="57">
        <f>$AA23*V16/100</f>
        <v>57905.303329870963</v>
      </c>
      <c r="W24" s="57">
        <f>$AA23*W16/100</f>
        <v>30738.700195731617</v>
      </c>
      <c r="X24" s="57">
        <f>$AA23*X16/100</f>
        <v>5765.3849026459466</v>
      </c>
      <c r="Z24" t="s">
        <v>36</v>
      </c>
      <c r="AA24" s="25">
        <f>SUM(T24:X24)</f>
        <v>95733.13</v>
      </c>
      <c r="AC24" t="s">
        <v>96</v>
      </c>
      <c r="AD24" s="51">
        <f>I253</f>
        <v>0.9485190409026798</v>
      </c>
      <c r="AE24" s="55">
        <f>I264</f>
        <v>0.98869327521756678</v>
      </c>
      <c r="AF24" s="55">
        <f>J264</f>
        <v>2.0677086460190951E-3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62</v>
      </c>
      <c r="T25" s="67">
        <f>$AA23*T17/100</f>
        <v>4.7179407348111155</v>
      </c>
      <c r="U25" s="67">
        <f>$AA23*U17/100</f>
        <v>24.275310091830921</v>
      </c>
      <c r="V25" s="67">
        <f>$AA23*V17/100</f>
        <v>145.30782178734754</v>
      </c>
      <c r="W25" s="67">
        <f>$AA23*W17/100</f>
        <v>222.12825047440847</v>
      </c>
      <c r="X25" s="67">
        <f>$AA23*X17/100</f>
        <v>173.41253288253705</v>
      </c>
      <c r="AA25" s="1"/>
      <c r="AC25" t="s">
        <v>97</v>
      </c>
      <c r="AD25" s="51">
        <f>I282</f>
        <v>0.94428772919605075</v>
      </c>
      <c r="AE25" s="55">
        <f>I293</f>
        <v>0.98573383906847278</v>
      </c>
      <c r="AF25" s="55">
        <f>J293</f>
        <v>2.343449513027705E-3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0.19863364332820918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5.5144750838992916E-2</v>
      </c>
      <c r="G26" s="32">
        <f t="shared" si="2"/>
        <v>0</v>
      </c>
      <c r="H26" s="17">
        <f>SUM(C26:G26)</f>
        <v>0.2537783941672021</v>
      </c>
      <c r="I26" s="17">
        <f>C26/H26*100</f>
        <v>78.270509977827047</v>
      </c>
      <c r="J26" s="17">
        <f>SQRT(I26*(100-I26)/(L26-1))</f>
        <v>1.9440954855342434</v>
      </c>
      <c r="K26" s="18">
        <f>100-I26</f>
        <v>21.729490022172953</v>
      </c>
      <c r="L26" s="1">
        <f>H15</f>
        <v>451</v>
      </c>
      <c r="M26">
        <v>0</v>
      </c>
      <c r="N26" s="1">
        <v>242.95</v>
      </c>
      <c r="O26" s="17">
        <f>N26/N31*100</f>
        <v>0.2537783941672021</v>
      </c>
      <c r="P26" s="52">
        <f>((O26*O26*(I26/100)*(K26/100))/(L26-1))</f>
        <v>2.4341339487945527E-5</v>
      </c>
      <c r="R26" t="s">
        <v>66</v>
      </c>
      <c r="S26" s="70" t="s">
        <v>28</v>
      </c>
      <c r="T26" s="64">
        <f t="shared" ref="T26:X29" si="3">C60</f>
        <v>0.22578335029326838</v>
      </c>
      <c r="U26" s="64">
        <f t="shared" si="3"/>
        <v>1.5293204619619818</v>
      </c>
      <c r="V26" s="64">
        <f t="shared" si="3"/>
        <v>60.393879507278903</v>
      </c>
      <c r="W26" s="64">
        <f t="shared" si="3"/>
        <v>32.082298785196109</v>
      </c>
      <c r="X26" s="64">
        <f t="shared" si="3"/>
        <v>5.7687178952697487</v>
      </c>
      <c r="Y26" s="13"/>
      <c r="Z26" s="74"/>
      <c r="AA26" s="12"/>
      <c r="AC26" t="s">
        <v>98</v>
      </c>
      <c r="AD26" s="51">
        <f>I311</f>
        <v>0.95169252468265164</v>
      </c>
      <c r="AE26" s="55">
        <f>I322</f>
        <v>0.9899826474209461</v>
      </c>
      <c r="AF26" s="55">
        <f>J322</f>
        <v>1.922866044848207E-3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1.1435546939229773</v>
      </c>
      <c r="E27" s="19">
        <f t="shared" si="2"/>
        <v>2.0420619534338883E-2</v>
      </c>
      <c r="F27" s="18">
        <f t="shared" si="2"/>
        <v>0</v>
      </c>
      <c r="G27" s="20">
        <f t="shared" si="2"/>
        <v>0</v>
      </c>
      <c r="H27" s="17">
        <f>SUM(C27:G27)</f>
        <v>1.1639753134573161</v>
      </c>
      <c r="I27" s="17">
        <f>D27/H27*100</f>
        <v>98.245614035087726</v>
      </c>
      <c r="J27" s="17">
        <f>SQRT(I27*(100-I27)/(L27-1))</f>
        <v>1.7543859649122773</v>
      </c>
      <c r="K27" s="18">
        <f>100-I27</f>
        <v>1.7543859649122737</v>
      </c>
      <c r="L27" s="1">
        <f>H16</f>
        <v>57</v>
      </c>
      <c r="M27">
        <v>1</v>
      </c>
      <c r="N27" s="1">
        <v>1114.31</v>
      </c>
      <c r="O27" s="17">
        <f>N27/N31*100</f>
        <v>1.1639753134573163</v>
      </c>
      <c r="P27" s="52">
        <f>((O27*O27*(I27/100)*(K27/100))/(L27-1))</f>
        <v>4.1700170216622112E-4</v>
      </c>
      <c r="S27" s="66" t="s">
        <v>39</v>
      </c>
      <c r="T27" s="67">
        <f t="shared" si="3"/>
        <v>4.2444819025122538E-3</v>
      </c>
      <c r="U27" s="67">
        <f t="shared" si="3"/>
        <v>3.2486348967615909E-2</v>
      </c>
      <c r="V27" s="67">
        <f t="shared" si="3"/>
        <v>0.13252604125823852</v>
      </c>
      <c r="W27" s="67">
        <f t="shared" si="3"/>
        <v>0.20278752784999843</v>
      </c>
      <c r="X27" s="67">
        <f t="shared" si="3"/>
        <v>0.16357111542398964</v>
      </c>
      <c r="AC27" t="s">
        <v>99</v>
      </c>
      <c r="AD27" s="51">
        <f>I340</f>
        <v>0.95980253878702393</v>
      </c>
      <c r="AE27" s="55">
        <f>I351</f>
        <v>0.98635916151551428</v>
      </c>
      <c r="AF27" s="55">
        <f>J351</f>
        <v>2.3541803845585751E-3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0</v>
      </c>
      <c r="E28" s="34">
        <f t="shared" si="2"/>
        <v>60.105002425542935</v>
      </c>
      <c r="F28" s="19">
        <f t="shared" si="2"/>
        <v>8.166440546948768E-2</v>
      </c>
      <c r="G28" s="20">
        <f t="shared" si="2"/>
        <v>0</v>
      </c>
      <c r="H28" s="17">
        <f>SUM(C28:G28)</f>
        <v>60.186666831012424</v>
      </c>
      <c r="I28" s="17">
        <f>E28/H28*100</f>
        <v>99.864314789687924</v>
      </c>
      <c r="J28" s="17">
        <f>SQRT(I28*(100-I28)/(L28-1))</f>
        <v>0.13568521031207589</v>
      </c>
      <c r="K28" s="18">
        <f>100-I28</f>
        <v>0.13568521031207581</v>
      </c>
      <c r="L28" s="1">
        <f>H17</f>
        <v>737</v>
      </c>
      <c r="M28">
        <v>2</v>
      </c>
      <c r="N28" s="1">
        <v>57618.58</v>
      </c>
      <c r="O28" s="17">
        <f>N28/N31*100</f>
        <v>60.186666831012424</v>
      </c>
      <c r="P28" s="52">
        <f>((O28*O28*(I28/100)*(K28/100))/(L28-1))</f>
        <v>6.6690751206848814E-3</v>
      </c>
      <c r="S28" t="s">
        <v>30</v>
      </c>
      <c r="T28" s="57">
        <f t="shared" si="3"/>
        <v>100</v>
      </c>
      <c r="U28" s="57">
        <f t="shared" si="3"/>
        <v>95.518066461164366</v>
      </c>
      <c r="V28" s="57">
        <f t="shared" si="3"/>
        <v>99.377722329832366</v>
      </c>
      <c r="W28" s="57">
        <f t="shared" si="3"/>
        <v>99.046122238710538</v>
      </c>
      <c r="X28" s="57">
        <f t="shared" si="3"/>
        <v>92.282484087824585</v>
      </c>
      <c r="AC28" t="s">
        <v>100</v>
      </c>
      <c r="AD28" s="51">
        <f>I369</f>
        <v>0.95592383638928069</v>
      </c>
      <c r="AE28" s="55">
        <f>I380</f>
        <v>0.98631181904159615</v>
      </c>
      <c r="AF28" s="55">
        <f>J380</f>
        <v>2.2949226862599022E-3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0</v>
      </c>
      <c r="E29" s="19">
        <f t="shared" si="2"/>
        <v>0.27964048711798323</v>
      </c>
      <c r="F29" s="34">
        <f t="shared" si="2"/>
        <v>31.711231239179295</v>
      </c>
      <c r="G29" s="20">
        <f t="shared" si="2"/>
        <v>0.55928097423596645</v>
      </c>
      <c r="H29" s="17">
        <f>SUM(C29:G29)</f>
        <v>32.550152700533246</v>
      </c>
      <c r="I29" s="17">
        <f>F29/H29*100</f>
        <v>97.422680412371136</v>
      </c>
      <c r="J29" s="17">
        <f>SQRT(I29*(100-I29)/(L29-1))</f>
        <v>0.65739456332296642</v>
      </c>
      <c r="K29" s="18">
        <f>100-I29</f>
        <v>2.5773195876288639</v>
      </c>
      <c r="L29" s="1">
        <f>H18</f>
        <v>582</v>
      </c>
      <c r="M29">
        <v>3</v>
      </c>
      <c r="N29" s="1">
        <v>31161.279999999999</v>
      </c>
      <c r="O29" s="17">
        <f>N29/N31*100</f>
        <v>32.550152700533246</v>
      </c>
      <c r="P29" s="52">
        <f>((O29*O29*(I29/100)*(K29/100))/(L29-1))</f>
        <v>4.5788696131678637E-2</v>
      </c>
      <c r="S29" s="66" t="s">
        <v>39</v>
      </c>
      <c r="T29" s="67">
        <f t="shared" si="3"/>
        <v>0</v>
      </c>
      <c r="U29" s="67">
        <f t="shared" si="3"/>
        <v>1.4474256704531716</v>
      </c>
      <c r="V29" s="67">
        <f t="shared" si="3"/>
        <v>0.17240263658358784</v>
      </c>
      <c r="W29" s="67">
        <f t="shared" si="3"/>
        <v>0.27649190930728995</v>
      </c>
      <c r="X29" s="67">
        <f t="shared" si="3"/>
        <v>2.5844822445361899</v>
      </c>
      <c r="AC29" t="s">
        <v>101</v>
      </c>
      <c r="AD29" s="51">
        <f>I398</f>
        <v>0.9576868829337094</v>
      </c>
      <c r="AE29" s="55">
        <f>I409</f>
        <v>0.98677437885028385</v>
      </c>
      <c r="AF29" s="55">
        <f>J409</f>
        <v>2.3051621180762028E-3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4.0553010233705396E-2</v>
      </c>
      <c r="E30" s="21">
        <f t="shared" si="2"/>
        <v>8.1106020467410792E-2</v>
      </c>
      <c r="F30" s="21">
        <f t="shared" si="2"/>
        <v>0.26069792293096322</v>
      </c>
      <c r="G30" s="37">
        <f t="shared" si="2"/>
        <v>5.4630698071977406</v>
      </c>
      <c r="H30" s="17">
        <f>SUM(C30:G30)</f>
        <v>5.8454267608298203</v>
      </c>
      <c r="I30" s="17">
        <f>G30/H30*100</f>
        <v>93.458870168483642</v>
      </c>
      <c r="J30" s="17">
        <f>SQRT(I30*(100-I30)/(L30-1))</f>
        <v>0.77876492296262712</v>
      </c>
      <c r="K30" s="18">
        <f>100-I30</f>
        <v>6.5411298315163577</v>
      </c>
      <c r="L30" s="1">
        <f>H19</f>
        <v>1009</v>
      </c>
      <c r="M30">
        <v>4</v>
      </c>
      <c r="N30" s="1">
        <v>5596.01</v>
      </c>
      <c r="O30" s="17">
        <f>N30/N31*100</f>
        <v>5.8454267608298203</v>
      </c>
      <c r="P30" s="52">
        <f>((O30*O30*(I30/100)*(K30/100))/(L30-1))</f>
        <v>2.0722646120630173E-3</v>
      </c>
      <c r="S30" t="s">
        <v>31</v>
      </c>
      <c r="T30" s="57">
        <f>I55</f>
        <v>86.252771618625275</v>
      </c>
      <c r="U30" s="57">
        <f>I56</f>
        <v>98.245614035087712</v>
      </c>
      <c r="V30" s="57">
        <f>I57</f>
        <v>99.864314789687924</v>
      </c>
      <c r="W30" s="57">
        <f>I58</f>
        <v>98.109965635738831</v>
      </c>
      <c r="X30" s="57">
        <f>I59</f>
        <v>92.368681863230933</v>
      </c>
      <c r="AC30" t="s">
        <v>102</v>
      </c>
      <c r="AD30" s="51">
        <f>I427</f>
        <v>0.95380818053596617</v>
      </c>
      <c r="AE30" s="55">
        <f>I438</f>
        <v>0.98613278872329335</v>
      </c>
      <c r="AF30" s="55">
        <f>J438</f>
        <v>2.3254113056354669E-3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0.19863364332820918</v>
      </c>
      <c r="D31" s="17">
        <f>SUM(D26:D30)</f>
        <v>1.1841077041566828</v>
      </c>
      <c r="E31" s="17">
        <f>SUM(E26:E30)</f>
        <v>60.486169552662666</v>
      </c>
      <c r="F31" s="17">
        <f>SUM(F26:F30)</f>
        <v>32.108738318418737</v>
      </c>
      <c r="G31" s="17">
        <f>SUM(G26:G30)</f>
        <v>6.0223507814337074</v>
      </c>
      <c r="H31" s="1">
        <f>SUM(H25:H30)</f>
        <v>100.00000000000001</v>
      </c>
      <c r="I31" s="13" t="s">
        <v>24</v>
      </c>
      <c r="J31" s="12" t="s">
        <v>29</v>
      </c>
      <c r="N31" s="1">
        <f>SUM(N26:N30)</f>
        <v>95733.12999999999</v>
      </c>
      <c r="O31" s="17">
        <f>SUM(O26:O30)</f>
        <v>100.00000000000001</v>
      </c>
      <c r="S31" s="66" t="s">
        <v>39</v>
      </c>
      <c r="T31" s="67">
        <f>J55</f>
        <v>1.6232591016345945</v>
      </c>
      <c r="U31" s="67">
        <f>J56</f>
        <v>1.7543859649122842</v>
      </c>
      <c r="V31" s="67">
        <f>J57</f>
        <v>0.13568521031207589</v>
      </c>
      <c r="W31" s="67">
        <f>J58</f>
        <v>0.5649413271715471</v>
      </c>
      <c r="X31" s="67">
        <f>J59</f>
        <v>0.83624182747585929</v>
      </c>
      <c r="AC31" t="s">
        <v>103</v>
      </c>
      <c r="AD31" s="51">
        <f>I456</f>
        <v>0.9305359661495064</v>
      </c>
      <c r="AE31" s="55">
        <f>I467</f>
        <v>0.98359176599916465</v>
      </c>
      <c r="AF31" s="55">
        <f>J467</f>
        <v>2.5483726291758461E-3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4.9282215412899547E-3</v>
      </c>
      <c r="D32" s="18">
        <f>SQRT(SUM((O26*O26*(D26/O26)*(1-D26/O26))/L26,(O27*O27*(D27/O27)*(1-D27/O27))/L27,(O28*O28*(D28/O28)*(1-D28/O28))/L28,(O29*O29*(D29/O29)*(1-D29/O29))/L29,(O30*O30*(D30/O30)*(1-D30/O30))/L30))</f>
        <v>2.5357271920212913E-2</v>
      </c>
      <c r="E32" s="18">
        <f>SQRT(SUM((O26*O26*(E26/O26)*(1-E26/O26))/L26,(O27*O27*(E27/O27)*(1-E27/O27))/L27,(O28*O28*(E28/O28)*(1-E28/O28))/L28,(O29*O29*(E29/O29)*(1-E29/O29))/L29,(O30*O30*(E30/O30)*(1-E30/O30))/L30))</f>
        <v>0.15178425879039739</v>
      </c>
      <c r="F32" s="18">
        <f>SQRT(SUM((O26*O26*(F26/O26)*(1-F26/O26))/L26,(O27*O27*(F27/O27)*(1-F27/O27))/L27,(O28*O28*(F28/O28)*(1-F28/O28))/L28,(O29*O29*(F29/O29)*(1-F29/O29))/L29,(O30*O30*(F30/O30)*(1-F30/O30))/L30))</f>
        <v>0.23202860960924238</v>
      </c>
      <c r="G32" s="18">
        <f>SQRT(SUM((O26*O26*(G26/O26)*(1-G26/O26))/L26,(O27*O27*(G27/O27)*(1-G27/O27))/L27,(O28*O28*(G28/O28)*(1-G28/O28))/L28,(O29*O29*(G29/O29)*(1-G29/O29))/L29,(O30*O30*(G30/O30)*(1-G30/O30))/L30))</f>
        <v>0.18114160989255973</v>
      </c>
      <c r="H32" s="1"/>
      <c r="I32" s="14">
        <f>(C26+D27+E28+F29+G30)/H31</f>
        <v>0.98621491809171147</v>
      </c>
      <c r="J32" s="53">
        <f>SQRT(SUM(P26:P30))/100</f>
        <v>2.3445975967334074E-3</v>
      </c>
      <c r="M32" s="1"/>
      <c r="N32" s="9"/>
      <c r="S32" s="66" t="s">
        <v>51</v>
      </c>
      <c r="T32" s="67">
        <f>N44*100</f>
        <v>92.61904761904762</v>
      </c>
      <c r="U32" s="67">
        <f>N45*100</f>
        <v>89.600000000000009</v>
      </c>
      <c r="V32" s="67">
        <f>N46*100</f>
        <v>97.548045062955595</v>
      </c>
      <c r="W32" s="67">
        <f>N47*100</f>
        <v>91.433146517213771</v>
      </c>
      <c r="X32" s="67">
        <f>N48*100</f>
        <v>95.638789122626989</v>
      </c>
      <c r="AC32" t="s">
        <v>104</v>
      </c>
      <c r="AD32" s="51">
        <f>I485</f>
        <v>0.95909732016925242</v>
      </c>
      <c r="AE32" s="55">
        <f>I496</f>
        <v>0.98635064004127271</v>
      </c>
      <c r="AF32" s="55">
        <f>J496</f>
        <v>2.3376493065995251E-3</v>
      </c>
      <c r="AH32">
        <v>485</v>
      </c>
      <c r="AI32">
        <v>496</v>
      </c>
    </row>
    <row r="33" spans="1:35" x14ac:dyDescent="0.3">
      <c r="B33" s="1" t="s">
        <v>30</v>
      </c>
      <c r="C33" s="17">
        <f>C26/C31*100</f>
        <v>100</v>
      </c>
      <c r="D33" s="17">
        <f>D27/D31*100</f>
        <v>96.575226215373107</v>
      </c>
      <c r="E33" s="17">
        <f>E28/E31*100</f>
        <v>99.369827631773134</v>
      </c>
      <c r="F33" s="17">
        <f>F29/F31*100</f>
        <v>98.761997200583181</v>
      </c>
      <c r="G33" s="17">
        <f>G30/G31*100</f>
        <v>90.713244802010323</v>
      </c>
      <c r="H33" s="1"/>
      <c r="R33" s="16" t="s">
        <v>61</v>
      </c>
      <c r="S33" t="s">
        <v>9</v>
      </c>
      <c r="T33" s="30">
        <f>N55</f>
        <v>250.6</v>
      </c>
      <c r="U33" s="30">
        <f>N56</f>
        <v>1423.42</v>
      </c>
      <c r="V33" s="30">
        <f>N57</f>
        <v>57535.23</v>
      </c>
      <c r="W33" s="30">
        <f>N58</f>
        <v>31006.45</v>
      </c>
      <c r="X33" s="30">
        <f>N59</f>
        <v>5517.42</v>
      </c>
      <c r="Z33" t="s">
        <v>36</v>
      </c>
      <c r="AA33" s="1">
        <f>N60</f>
        <v>95733.119999999995</v>
      </c>
      <c r="AC33" t="s">
        <v>105</v>
      </c>
      <c r="AD33" s="51">
        <f>I514</f>
        <v>0.9305359661495064</v>
      </c>
      <c r="AE33" s="55">
        <f>I525</f>
        <v>0.98501288535180509</v>
      </c>
      <c r="AF33" s="55">
        <f>J525</f>
        <v>2.3368566420331541E-3</v>
      </c>
      <c r="AH33">
        <v>514</v>
      </c>
      <c r="AI33">
        <v>525</v>
      </c>
    </row>
    <row r="34" spans="1:35" ht="15.6" x14ac:dyDescent="0.35">
      <c r="B34" s="16" t="s">
        <v>39</v>
      </c>
      <c r="C34" s="18">
        <f>SQRT((C37+C38)/(C31*C31))</f>
        <v>0</v>
      </c>
      <c r="D34" s="18">
        <f>SQRT((D37+D38)/(D31*D31))</f>
        <v>1.3792424645327441</v>
      </c>
      <c r="E34" s="18">
        <f>SQRT((E37+E38)/(E31*E31))</f>
        <v>0.21064232939423172</v>
      </c>
      <c r="F34" s="18">
        <f>SQRT((F37+F38)/(F31*F31))</f>
        <v>0.28947872943435249</v>
      </c>
      <c r="G34" s="18">
        <f>SQRT((G37+G38)/(G31*G31))</f>
        <v>2.734911905349612</v>
      </c>
      <c r="H34" s="1"/>
      <c r="R34" s="16" t="s">
        <v>318</v>
      </c>
      <c r="S34" t="s">
        <v>63</v>
      </c>
      <c r="T34" s="57">
        <f>$AA33*T26/100</f>
        <v>216.14944567627495</v>
      </c>
      <c r="U34" s="57">
        <f>$AA33*U26/100</f>
        <v>1464.0661930346184</v>
      </c>
      <c r="V34" s="57">
        <f>$AA33*V26/100</f>
        <v>57816.945141358723</v>
      </c>
      <c r="W34" s="57">
        <f>$AA33*W26/100</f>
        <v>30713.385594790332</v>
      </c>
      <c r="X34" s="57">
        <f>$AA33*X26/100</f>
        <v>5522.5736251400622</v>
      </c>
      <c r="Z34" t="s">
        <v>36</v>
      </c>
      <c r="AA34" s="25">
        <f>SUM(T34:X34)</f>
        <v>95733.12000000001</v>
      </c>
      <c r="AB34" s="25"/>
      <c r="AC34" t="s">
        <v>106</v>
      </c>
      <c r="AD34" s="51">
        <f>I543</f>
        <v>0.94922425952045131</v>
      </c>
      <c r="AE34" s="55">
        <f>I554</f>
        <v>0.98530538865350958</v>
      </c>
      <c r="AF34" s="55">
        <f>J554</f>
        <v>2.310486363172578E-3</v>
      </c>
      <c r="AH34">
        <v>543</v>
      </c>
      <c r="AI34">
        <v>554</v>
      </c>
    </row>
    <row r="35" spans="1:35" x14ac:dyDescent="0.3">
      <c r="B35" s="1" t="s">
        <v>37</v>
      </c>
      <c r="C35" s="18">
        <f>100-C33</f>
        <v>0</v>
      </c>
      <c r="D35" s="18">
        <f>100-D33</f>
        <v>3.4247737846268933</v>
      </c>
      <c r="E35" s="18">
        <f>100-E33</f>
        <v>0.63017236822686584</v>
      </c>
      <c r="F35" s="18">
        <f>100-F33</f>
        <v>1.2380027994168188</v>
      </c>
      <c r="G35" s="18">
        <f>100-G33</f>
        <v>9.2867551979896774</v>
      </c>
      <c r="R35" s="66"/>
      <c r="S35" s="66" t="s">
        <v>62</v>
      </c>
      <c r="T35" s="67">
        <f>$AA33*T27/100</f>
        <v>4.0633749531103387</v>
      </c>
      <c r="U35" s="67">
        <f>$AA33*U27/100</f>
        <v>31.100195440786496</v>
      </c>
      <c r="V35" s="67">
        <f>$AA33*V27/100</f>
        <v>126.871314108999</v>
      </c>
      <c r="W35" s="67">
        <f>$AA33*W27/100</f>
        <v>194.13482738167241</v>
      </c>
      <c r="X35" s="67">
        <f>$AA33*X27/100</f>
        <v>156.59173221418649</v>
      </c>
      <c r="AA35" s="1"/>
      <c r="AB35" s="25"/>
      <c r="AC35" s="58" t="s">
        <v>107</v>
      </c>
      <c r="AD35" s="120">
        <f>I572</f>
        <v>0.92983074753173489</v>
      </c>
      <c r="AE35" s="121">
        <f>I583</f>
        <v>0.98306230612410073</v>
      </c>
      <c r="AF35" s="121">
        <f>J583</f>
        <v>2.5828867443792613E-3</v>
      </c>
      <c r="AH35">
        <v>572</v>
      </c>
      <c r="AI35">
        <v>583</v>
      </c>
    </row>
    <row r="36" spans="1:35" ht="15.6" x14ac:dyDescent="0.35">
      <c r="B36" s="1" t="s">
        <v>25</v>
      </c>
      <c r="C36" s="1">
        <f>C20</f>
        <v>353</v>
      </c>
      <c r="D36" s="1">
        <f>D20</f>
        <v>63</v>
      </c>
      <c r="E36" s="1">
        <f>E20</f>
        <v>756</v>
      </c>
      <c r="F36" s="1">
        <f>F20</f>
        <v>711</v>
      </c>
      <c r="G36" s="1">
        <f>G20</f>
        <v>953</v>
      </c>
      <c r="R36" t="s">
        <v>67</v>
      </c>
      <c r="S36" t="s">
        <v>28</v>
      </c>
      <c r="T36" s="57">
        <f t="shared" ref="T36:X39" si="4">C89</f>
        <v>0.22136071723589659</v>
      </c>
      <c r="U36" s="57">
        <f t="shared" si="4"/>
        <v>1.360739158217346</v>
      </c>
      <c r="V36" s="57">
        <f t="shared" si="4"/>
        <v>60.427238657004985</v>
      </c>
      <c r="W36" s="57">
        <f t="shared" si="4"/>
        <v>32.054884923413162</v>
      </c>
      <c r="X36" s="57">
        <f t="shared" si="4"/>
        <v>5.9357765441286068</v>
      </c>
      <c r="Y36" s="13"/>
      <c r="Z36" s="74"/>
      <c r="AA36" s="12"/>
      <c r="AC36" t="s">
        <v>108</v>
      </c>
      <c r="AD36" s="51"/>
      <c r="AE36" s="51"/>
      <c r="AH36">
        <v>601</v>
      </c>
      <c r="AI36">
        <v>612</v>
      </c>
    </row>
    <row r="37" spans="1:3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0.48910444382728752</v>
      </c>
      <c r="E37" s="18">
        <f>(O28*O28*(100-E33)*(100-E33)*(I28)*(100-I28))/((L28-1)*100)</f>
        <v>0.26484045297266923</v>
      </c>
      <c r="F37" s="18">
        <f>(O29*O29*(100-F33)*(100-F33)*(I29)*(100-I29))/((L29-1)*100)</f>
        <v>7.0178087772154969</v>
      </c>
      <c r="G37" s="18">
        <f>(O30*O30*(100-G33)*(100-G33)*(I30)*(100-I30))/((L30-1)*100)</f>
        <v>17.872002056219884</v>
      </c>
      <c r="S37" s="66" t="s">
        <v>39</v>
      </c>
      <c r="T37" s="67">
        <f t="shared" si="4"/>
        <v>2.8805821158830115E-3</v>
      </c>
      <c r="U37" s="67">
        <f t="shared" si="4"/>
        <v>3.4713737274942383E-2</v>
      </c>
      <c r="V37" s="67">
        <f t="shared" si="4"/>
        <v>0.14163982680297604</v>
      </c>
      <c r="W37" s="67">
        <f t="shared" si="4"/>
        <v>0.22511670729572295</v>
      </c>
      <c r="X37" s="67">
        <f t="shared" si="4"/>
        <v>0.18228286479339043</v>
      </c>
      <c r="AC37" t="s">
        <v>109</v>
      </c>
      <c r="AD37" s="51"/>
      <c r="AE37" s="51"/>
      <c r="AH37">
        <v>630</v>
      </c>
      <c r="AI37">
        <v>641</v>
      </c>
    </row>
    <row r="38" spans="1:35" x14ac:dyDescent="0.3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2.1781451231775235</v>
      </c>
      <c r="E38" s="18">
        <f>E33*E33*(SUM((H26*E26*(1-E15/H15))/(H15-1),(H27*E27*(1-E16/H16))/(H16-1), (H29*E29*(1-E18/H18))/(H18-1),(H30*E30*(1-E19/H19))/(H19-1)))</f>
        <v>162.06690658509169</v>
      </c>
      <c r="F38" s="18">
        <f>F33*F33*(SUM((H26*F26*(1-F15/H15))/(H15-1),(H27*F27*(1-F16/H16))/(H16-1), (H28*F28*(1-F17/H17))/(H17-1),(H30*F30*(1-F19/H19))/(H19-1)))</f>
        <v>79.375438258465437</v>
      </c>
      <c r="G38" s="18">
        <f>G33*G33*(SUM((H26*G26*(1-G15/H15))/(H15-1),(H27*G27*(1-G16/H16))/(H16-1), (H28*G28*(1-G17/H17))/(H17-1),(H29*G29*(1-G18/H18))/(H18-1)))</f>
        <v>253.40862443242307</v>
      </c>
      <c r="S38" t="s">
        <v>30</v>
      </c>
      <c r="T38" s="57">
        <f t="shared" si="4"/>
        <v>100</v>
      </c>
      <c r="U38" s="57">
        <f t="shared" si="4"/>
        <v>90.590061066674451</v>
      </c>
      <c r="V38" s="57">
        <f t="shared" si="4"/>
        <v>99.430529483391723</v>
      </c>
      <c r="W38" s="57">
        <f t="shared" si="4"/>
        <v>98.8573648388668</v>
      </c>
      <c r="X38" s="57">
        <f t="shared" si="4"/>
        <v>90.601092559384853</v>
      </c>
      <c r="Z38" s="50"/>
      <c r="AA38" s="54"/>
      <c r="AC38" t="s">
        <v>110</v>
      </c>
      <c r="AD38" s="51"/>
      <c r="AE38" s="51"/>
      <c r="AH38">
        <v>659</v>
      </c>
      <c r="AI38">
        <v>670</v>
      </c>
    </row>
    <row r="39" spans="1:35" x14ac:dyDescent="0.3">
      <c r="S39" s="66" t="s">
        <v>39</v>
      </c>
      <c r="T39" s="67">
        <f t="shared" si="4"/>
        <v>0</v>
      </c>
      <c r="U39" s="67">
        <f t="shared" si="4"/>
        <v>2.356138227013068</v>
      </c>
      <c r="V39" s="67">
        <f t="shared" si="4"/>
        <v>0.190893543305696</v>
      </c>
      <c r="W39" s="67">
        <f t="shared" si="4"/>
        <v>0.28815783950935131</v>
      </c>
      <c r="X39" s="67">
        <f t="shared" si="4"/>
        <v>2.7929982725566997</v>
      </c>
      <c r="AC39" t="s">
        <v>111</v>
      </c>
      <c r="AD39" s="51"/>
      <c r="AE39" s="51"/>
      <c r="AH39">
        <v>688</v>
      </c>
      <c r="AI39">
        <v>699</v>
      </c>
    </row>
    <row r="40" spans="1:35" x14ac:dyDescent="0.3">
      <c r="S40" t="s">
        <v>31</v>
      </c>
      <c r="T40" s="57">
        <f>I84</f>
        <v>92.904656319290453</v>
      </c>
      <c r="U40" s="57">
        <f>I85</f>
        <v>98.245614035087712</v>
      </c>
      <c r="V40" s="57">
        <f>I86</f>
        <v>99.864314789687924</v>
      </c>
      <c r="W40" s="57">
        <f>I87</f>
        <v>97.594501718213053</v>
      </c>
      <c r="X40" s="57">
        <f>I88</f>
        <v>91.575817641228937</v>
      </c>
      <c r="AC40" t="s">
        <v>112</v>
      </c>
      <c r="AD40" s="51"/>
      <c r="AE40" s="51"/>
      <c r="AH40">
        <v>717</v>
      </c>
      <c r="AI40">
        <v>728</v>
      </c>
    </row>
    <row r="41" spans="1:35" x14ac:dyDescent="0.3">
      <c r="A41" s="348" t="s">
        <v>380</v>
      </c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 t="s">
        <v>49</v>
      </c>
      <c r="M41" s="348"/>
      <c r="N41" s="348"/>
      <c r="O41" s="348"/>
      <c r="P41" s="348"/>
      <c r="S41" s="66" t="s">
        <v>39</v>
      </c>
      <c r="T41" s="67">
        <f>J84</f>
        <v>1.2103171908623052</v>
      </c>
      <c r="U41" s="67">
        <f>J85</f>
        <v>1.7543859649122842</v>
      </c>
      <c r="V41" s="67">
        <f>J86</f>
        <v>0.13568521031207589</v>
      </c>
      <c r="W41" s="67">
        <f>J87</f>
        <v>0.63566329513058506</v>
      </c>
      <c r="X41" s="67">
        <f>J88</f>
        <v>0.87483070213844472</v>
      </c>
      <c r="AC41" t="s">
        <v>113</v>
      </c>
      <c r="AD41" s="51"/>
      <c r="AE41" s="51"/>
      <c r="AH41">
        <v>746</v>
      </c>
      <c r="AI41">
        <v>757</v>
      </c>
    </row>
    <row r="42" spans="1:35" x14ac:dyDescent="0.3">
      <c r="A42" t="s">
        <v>315</v>
      </c>
      <c r="B42" t="s">
        <v>21</v>
      </c>
      <c r="I42" s="1" t="s">
        <v>53</v>
      </c>
      <c r="S42" s="66" t="s">
        <v>51</v>
      </c>
      <c r="T42" s="67">
        <f>N73*100</f>
        <v>96.321839080459768</v>
      </c>
      <c r="U42" s="67">
        <f>N74*100</f>
        <v>82.962962962962962</v>
      </c>
      <c r="V42" s="67">
        <f>N75*100</f>
        <v>98.461538461538453</v>
      </c>
      <c r="W42" s="67">
        <f>N76*100</f>
        <v>92.432872253864929</v>
      </c>
      <c r="X42" s="67">
        <f>N77*100</f>
        <v>95.110653628409679</v>
      </c>
      <c r="AC42" t="s">
        <v>114</v>
      </c>
      <c r="AD42" s="51"/>
      <c r="AE42" s="51"/>
      <c r="AH42">
        <v>775</v>
      </c>
      <c r="AI42">
        <v>786</v>
      </c>
    </row>
    <row r="43" spans="1:3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51</v>
      </c>
      <c r="R43" s="16" t="s">
        <v>61</v>
      </c>
      <c r="S43" t="s">
        <v>9</v>
      </c>
      <c r="T43" s="30">
        <f>N84</f>
        <v>228.1</v>
      </c>
      <c r="U43" s="30">
        <f>N85</f>
        <v>1201.17</v>
      </c>
      <c r="V43" s="30">
        <f>N86</f>
        <v>57597.599999999999</v>
      </c>
      <c r="W43" s="30">
        <f>N87</f>
        <v>31084.23</v>
      </c>
      <c r="X43" s="30">
        <f>N88</f>
        <v>5622.02</v>
      </c>
      <c r="Z43" t="s">
        <v>36</v>
      </c>
      <c r="AA43" s="1">
        <f>N89</f>
        <v>95733.119999999995</v>
      </c>
      <c r="AC43" t="s">
        <v>115</v>
      </c>
      <c r="AD43" s="51"/>
      <c r="AE43" s="51"/>
      <c r="AH43">
        <v>804</v>
      </c>
      <c r="AI43">
        <v>815</v>
      </c>
    </row>
    <row r="44" spans="1:35" ht="15.6" x14ac:dyDescent="0.35">
      <c r="A44" t="s">
        <v>3</v>
      </c>
      <c r="B44" s="13">
        <v>0</v>
      </c>
      <c r="C44" s="26">
        <v>389</v>
      </c>
      <c r="D44" s="3">
        <v>0</v>
      </c>
      <c r="E44" s="3">
        <v>0</v>
      </c>
      <c r="F44" s="3">
        <v>62</v>
      </c>
      <c r="G44" s="4">
        <v>0</v>
      </c>
      <c r="H44" s="1">
        <f>SUM(C44:G44)</f>
        <v>451</v>
      </c>
      <c r="I44" s="10">
        <f>C44/H44</f>
        <v>0.86252771618625279</v>
      </c>
      <c r="J44" s="11">
        <f>1-I44</f>
        <v>0.13747228381374721</v>
      </c>
      <c r="K44">
        <f>H44-C49</f>
        <v>62</v>
      </c>
      <c r="N44" s="10">
        <f>2*(C50*I44)/(C50+I44)</f>
        <v>0.92619047619047623</v>
      </c>
      <c r="R44" s="16" t="s">
        <v>318</v>
      </c>
      <c r="S44" t="s">
        <v>63</v>
      </c>
      <c r="T44" s="57">
        <f>$AA43*T36/100</f>
        <v>211.91552106430157</v>
      </c>
      <c r="U44" s="57">
        <f>$AA43*U36/100</f>
        <v>1302.6780512232017</v>
      </c>
      <c r="V44" s="57">
        <f>$AA43*V36/100</f>
        <v>57848.88089619697</v>
      </c>
      <c r="W44" s="57">
        <f>$AA43*W36/100</f>
        <v>30687.141449593029</v>
      </c>
      <c r="X44" s="57">
        <f>$AA43*X36/100</f>
        <v>5682.5040819224914</v>
      </c>
      <c r="Z44" t="s">
        <v>36</v>
      </c>
      <c r="AA44" s="25">
        <f>SUM(T44:X44)</f>
        <v>95733.119999999995</v>
      </c>
      <c r="AC44" t="s">
        <v>116</v>
      </c>
      <c r="AD44" s="51"/>
      <c r="AE44" s="51"/>
      <c r="AH44">
        <v>833</v>
      </c>
      <c r="AI44">
        <v>844</v>
      </c>
    </row>
    <row r="45" spans="1:35" x14ac:dyDescent="0.3">
      <c r="A45" t="s">
        <v>4</v>
      </c>
      <c r="B45" s="13">
        <v>1</v>
      </c>
      <c r="C45" s="5">
        <v>0</v>
      </c>
      <c r="D45" s="27">
        <v>56</v>
      </c>
      <c r="E45" s="1">
        <v>1</v>
      </c>
      <c r="F45" s="1">
        <v>0</v>
      </c>
      <c r="G45" s="6">
        <v>0</v>
      </c>
      <c r="H45" s="1">
        <f>SUM(C45:G45)</f>
        <v>57</v>
      </c>
      <c r="I45" s="10">
        <f>D45/H45</f>
        <v>0.98245614035087714</v>
      </c>
      <c r="J45" s="11">
        <f>1-I45</f>
        <v>1.7543859649122862E-2</v>
      </c>
      <c r="K45">
        <f>H45-D49</f>
        <v>-11</v>
      </c>
      <c r="N45" s="10">
        <f>2*(D50*I45)/(D50+I45)</f>
        <v>0.89600000000000002</v>
      </c>
      <c r="R45" s="66"/>
      <c r="S45" s="66" t="s">
        <v>62</v>
      </c>
      <c r="T45" s="67">
        <f>$AA43*T37/100</f>
        <v>2.7576711336968227</v>
      </c>
      <c r="U45" s="67">
        <f>$AA43*U37/100</f>
        <v>33.232543761905319</v>
      </c>
      <c r="V45" s="67">
        <f>$AA43*V37/100</f>
        <v>135.5962253610852</v>
      </c>
      <c r="W45" s="67">
        <f>$AA43*W37/100</f>
        <v>215.51124753546318</v>
      </c>
      <c r="X45" s="67">
        <f>$AA43*X37/100</f>
        <v>174.50507369209419</v>
      </c>
      <c r="AA45" s="1"/>
      <c r="AC45" t="s">
        <v>117</v>
      </c>
      <c r="AD45" s="51"/>
      <c r="AE45" s="51"/>
      <c r="AH45">
        <v>862</v>
      </c>
      <c r="AI45">
        <v>873</v>
      </c>
    </row>
    <row r="46" spans="1:35" x14ac:dyDescent="0.3">
      <c r="A46" t="s">
        <v>5</v>
      </c>
      <c r="B46" s="13">
        <v>2</v>
      </c>
      <c r="C46" s="5">
        <v>0</v>
      </c>
      <c r="D46" s="1">
        <v>0</v>
      </c>
      <c r="E46" s="27">
        <v>736</v>
      </c>
      <c r="F46" s="1">
        <v>1</v>
      </c>
      <c r="G46" s="6">
        <v>0</v>
      </c>
      <c r="H46" s="1">
        <f>SUM(C46:G46)</f>
        <v>737</v>
      </c>
      <c r="I46" s="10">
        <f>E46/H46</f>
        <v>0.99864314789687925</v>
      </c>
      <c r="J46" s="11">
        <f>1-I46</f>
        <v>1.3568521031207537E-3</v>
      </c>
      <c r="K46">
        <f>H46-E49</f>
        <v>-35</v>
      </c>
      <c r="N46" s="10">
        <f>2*(E50*I46)/(E50+I46)</f>
        <v>0.97548045062955602</v>
      </c>
      <c r="R46" t="s">
        <v>68</v>
      </c>
      <c r="S46" t="s">
        <v>28</v>
      </c>
      <c r="T46" s="57">
        <f t="shared" ref="T46:X49" si="5">C118</f>
        <v>0.22109867137138364</v>
      </c>
      <c r="U46" s="57">
        <f t="shared" si="5"/>
        <v>1.2718994080373047</v>
      </c>
      <c r="V46" s="57">
        <f t="shared" si="5"/>
        <v>60.322914774300912</v>
      </c>
      <c r="W46" s="57">
        <f t="shared" si="5"/>
        <v>32.150187628474477</v>
      </c>
      <c r="X46" s="57">
        <f t="shared" si="5"/>
        <v>6.0338995178159145</v>
      </c>
      <c r="Y46" s="60"/>
      <c r="Z46" s="74"/>
      <c r="AA46" s="12"/>
      <c r="AC46" t="s">
        <v>130</v>
      </c>
      <c r="AD46" s="51"/>
      <c r="AE46" s="51"/>
      <c r="AH46">
        <v>891</v>
      </c>
      <c r="AI46">
        <v>902</v>
      </c>
    </row>
    <row r="47" spans="1:35" x14ac:dyDescent="0.3">
      <c r="A47" t="s">
        <v>6</v>
      </c>
      <c r="B47" s="13">
        <v>3</v>
      </c>
      <c r="C47" s="5">
        <v>0</v>
      </c>
      <c r="D47" s="1">
        <v>0</v>
      </c>
      <c r="E47" s="1">
        <v>3</v>
      </c>
      <c r="F47" s="27">
        <v>571</v>
      </c>
      <c r="G47" s="6">
        <v>8</v>
      </c>
      <c r="H47" s="1">
        <f>SUM(C47:G47)</f>
        <v>582</v>
      </c>
      <c r="I47" s="10">
        <f>F47/H47</f>
        <v>0.98109965635738827</v>
      </c>
      <c r="J47" s="11">
        <f>1-I47</f>
        <v>1.8900343642611728E-2</v>
      </c>
      <c r="K47">
        <f>H47-F49</f>
        <v>-85</v>
      </c>
      <c r="N47" s="10">
        <f>2*(F50*I47)/(F50+I47)</f>
        <v>0.9143314651721377</v>
      </c>
      <c r="S47" s="66" t="s">
        <v>39</v>
      </c>
      <c r="T47" s="67">
        <f t="shared" si="5"/>
        <v>2.8771720951698393E-3</v>
      </c>
      <c r="U47" s="67">
        <f t="shared" si="5"/>
        <v>4.4950552169501626E-2</v>
      </c>
      <c r="V47" s="67">
        <f t="shared" si="5"/>
        <v>0.13182659105360292</v>
      </c>
      <c r="W47" s="67">
        <f t="shared" si="5"/>
        <v>0.20347689111694342</v>
      </c>
      <c r="X47" s="67">
        <f t="shared" si="5"/>
        <v>0.1629939254951128</v>
      </c>
      <c r="AC47" t="s">
        <v>131</v>
      </c>
      <c r="AD47" s="51"/>
      <c r="AE47" s="51"/>
      <c r="AH47">
        <v>920</v>
      </c>
      <c r="AI47">
        <v>931</v>
      </c>
    </row>
    <row r="48" spans="1:35" x14ac:dyDescent="0.3">
      <c r="A48" t="s">
        <v>7</v>
      </c>
      <c r="B48" s="13">
        <v>4</v>
      </c>
      <c r="C48" s="7">
        <v>0</v>
      </c>
      <c r="D48" s="8">
        <v>12</v>
      </c>
      <c r="E48" s="8">
        <v>32</v>
      </c>
      <c r="F48" s="8">
        <v>33</v>
      </c>
      <c r="G48" s="28">
        <v>932</v>
      </c>
      <c r="H48" s="1">
        <f>SUM(C48:G48)</f>
        <v>1009</v>
      </c>
      <c r="I48" s="10">
        <f>G48/H48</f>
        <v>0.92368681863230917</v>
      </c>
      <c r="J48" s="11">
        <f>1-I48</f>
        <v>7.631318136769083E-2</v>
      </c>
      <c r="K48">
        <f>H48-G49</f>
        <v>69</v>
      </c>
      <c r="N48" s="10">
        <f>2*(G50*I48)/(G50+I48)</f>
        <v>0.95638789122626988</v>
      </c>
      <c r="S48" t="s">
        <v>30</v>
      </c>
      <c r="T48" s="57">
        <f t="shared" si="5"/>
        <v>100</v>
      </c>
      <c r="U48" s="57">
        <f t="shared" si="5"/>
        <v>89.794000683473641</v>
      </c>
      <c r="V48" s="57">
        <f t="shared" si="5"/>
        <v>99.568548093111758</v>
      </c>
      <c r="W48" s="57">
        <f t="shared" si="5"/>
        <v>99.051300529300093</v>
      </c>
      <c r="X48" s="57">
        <f t="shared" si="5"/>
        <v>92.605658586268973</v>
      </c>
      <c r="AC48" t="s">
        <v>132</v>
      </c>
      <c r="AD48" s="51"/>
      <c r="AE48" s="51"/>
      <c r="AH48">
        <v>949</v>
      </c>
      <c r="AI48">
        <v>960</v>
      </c>
    </row>
    <row r="49" spans="1:35" ht="15.6" x14ac:dyDescent="0.35">
      <c r="B49" s="1" t="s">
        <v>19</v>
      </c>
      <c r="C49" s="1">
        <f>SUM(C44:C48)</f>
        <v>389</v>
      </c>
      <c r="D49" s="1">
        <f>SUM(D44:D48)</f>
        <v>68</v>
      </c>
      <c r="E49" s="1">
        <f>SUM(E44:E48)</f>
        <v>772</v>
      </c>
      <c r="F49" s="1">
        <f>SUM(F44:F48)</f>
        <v>667</v>
      </c>
      <c r="G49" s="1">
        <f>SUM(G44:G48)</f>
        <v>940</v>
      </c>
      <c r="H49" s="1">
        <f>SUM(H43:H48)</f>
        <v>2836</v>
      </c>
      <c r="I49" s="13" t="s">
        <v>12</v>
      </c>
      <c r="S49" s="66" t="s">
        <v>39</v>
      </c>
      <c r="T49" s="67">
        <f t="shared" si="5"/>
        <v>0</v>
      </c>
      <c r="U49" s="67">
        <f t="shared" si="5"/>
        <v>3.4741797272570705</v>
      </c>
      <c r="V49" s="67">
        <f t="shared" si="5"/>
        <v>0.17136745275650786</v>
      </c>
      <c r="W49" s="67">
        <f t="shared" si="5"/>
        <v>0.27820105178847404</v>
      </c>
      <c r="X49" s="67">
        <f t="shared" si="5"/>
        <v>2.4688251641912475</v>
      </c>
      <c r="AC49" t="s">
        <v>133</v>
      </c>
      <c r="AD49" s="51"/>
      <c r="AE49" s="51"/>
      <c r="AH49">
        <v>978</v>
      </c>
      <c r="AI49">
        <v>989</v>
      </c>
    </row>
    <row r="50" spans="1:35" x14ac:dyDescent="0.3">
      <c r="A50" s="1" t="s">
        <v>316</v>
      </c>
      <c r="B50" s="1" t="s">
        <v>2</v>
      </c>
      <c r="C50" s="10">
        <f>C44/C49</f>
        <v>1</v>
      </c>
      <c r="D50" s="10">
        <f>D45/D49</f>
        <v>0.82352941176470584</v>
      </c>
      <c r="E50" s="10">
        <f>E46/E49</f>
        <v>0.95336787564766834</v>
      </c>
      <c r="F50" s="10">
        <f>F47/F49</f>
        <v>0.85607196401799102</v>
      </c>
      <c r="G50" s="10">
        <f>G48/G49</f>
        <v>0.99148936170212765</v>
      </c>
      <c r="H50" s="10"/>
      <c r="I50" s="14">
        <f>(C44+D45+E46+F47+G48)/H49</f>
        <v>0.94640338504936528</v>
      </c>
      <c r="S50" s="15" t="s">
        <v>31</v>
      </c>
      <c r="T50" s="71">
        <f>I113</f>
        <v>92.904656319290467</v>
      </c>
      <c r="U50" s="71">
        <f>I114</f>
        <v>94.736842105263165</v>
      </c>
      <c r="V50" s="71">
        <f>I115</f>
        <v>99.864314789687924</v>
      </c>
      <c r="W50" s="71">
        <f>I116</f>
        <v>98.109965635738831</v>
      </c>
      <c r="X50" s="71">
        <f>I117</f>
        <v>93.855302279484647</v>
      </c>
      <c r="AC50" t="s">
        <v>134</v>
      </c>
      <c r="AD50" s="51"/>
      <c r="AE50" s="51"/>
      <c r="AH50">
        <v>1007</v>
      </c>
      <c r="AI50">
        <v>1018</v>
      </c>
    </row>
    <row r="51" spans="1:35" x14ac:dyDescent="0.3">
      <c r="B51" s="1" t="s">
        <v>14</v>
      </c>
      <c r="C51" s="11">
        <f>1-C50</f>
        <v>0</v>
      </c>
      <c r="D51" s="11">
        <f>1-D50</f>
        <v>0.17647058823529416</v>
      </c>
      <c r="E51" s="11">
        <f>1-E50</f>
        <v>4.6632124352331661E-2</v>
      </c>
      <c r="F51" s="11">
        <f>1-F50</f>
        <v>0.14392803598200898</v>
      </c>
      <c r="G51" s="11">
        <f>1-G50</f>
        <v>8.5106382978723527E-3</v>
      </c>
      <c r="S51" s="75" t="s">
        <v>39</v>
      </c>
      <c r="T51" s="76">
        <f>J113</f>
        <v>1.210317190862304</v>
      </c>
      <c r="U51" s="76">
        <f>J114</f>
        <v>2.983930050072845</v>
      </c>
      <c r="V51" s="76">
        <f>J115</f>
        <v>0.13568521031207589</v>
      </c>
      <c r="W51" s="76">
        <f>J116</f>
        <v>0.5649413271715471</v>
      </c>
      <c r="X51" s="76">
        <f>J117</f>
        <v>0.75639631076802649</v>
      </c>
      <c r="AC51" t="s">
        <v>135</v>
      </c>
      <c r="AD51" s="51"/>
      <c r="AE51" s="51"/>
      <c r="AH51">
        <v>1036</v>
      </c>
      <c r="AI51">
        <v>1047</v>
      </c>
    </row>
    <row r="52" spans="1:35" x14ac:dyDescent="0.3">
      <c r="C52" s="2"/>
      <c r="S52" s="66" t="s">
        <v>51</v>
      </c>
      <c r="T52" s="67">
        <f>N102*100</f>
        <v>96.321839080459768</v>
      </c>
      <c r="U52" s="67">
        <f>N103*100</f>
        <v>81.20300751879698</v>
      </c>
      <c r="V52" s="67">
        <f>N104*100</f>
        <v>99.191374663072779</v>
      </c>
      <c r="W52" s="67">
        <f>N105*100</f>
        <v>93.529893529893542</v>
      </c>
      <c r="X52" s="67">
        <f>N106*100</f>
        <v>96.435845213849291</v>
      </c>
      <c r="AC52" t="s">
        <v>136</v>
      </c>
      <c r="AD52" s="51"/>
      <c r="AE52" s="51"/>
      <c r="AH52">
        <v>1065</v>
      </c>
      <c r="AI52">
        <v>1076</v>
      </c>
    </row>
    <row r="53" spans="1:35" ht="15.6" x14ac:dyDescent="0.35">
      <c r="A53" t="s">
        <v>317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61</v>
      </c>
      <c r="S53" t="s">
        <v>9</v>
      </c>
      <c r="T53" s="30">
        <f>N113</f>
        <v>227.83</v>
      </c>
      <c r="U53" s="30">
        <f>N114</f>
        <v>1154.0999999999999</v>
      </c>
      <c r="V53" s="30">
        <f>N115</f>
        <v>57577.98</v>
      </c>
      <c r="W53" s="30">
        <f>N116</f>
        <v>31073.69</v>
      </c>
      <c r="X53" s="30">
        <f>N117</f>
        <v>5699.53</v>
      </c>
      <c r="Z53" t="s">
        <v>36</v>
      </c>
      <c r="AA53" s="1">
        <f>N118</f>
        <v>95733.13</v>
      </c>
      <c r="AC53" t="s">
        <v>137</v>
      </c>
      <c r="AD53" s="51"/>
      <c r="AE53" s="51"/>
      <c r="AH53">
        <v>1094</v>
      </c>
      <c r="AI53">
        <v>1105</v>
      </c>
    </row>
    <row r="54" spans="1:35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318</v>
      </c>
      <c r="S54" t="s">
        <v>63</v>
      </c>
      <c r="T54" s="57">
        <f>$AA53*T46/100</f>
        <v>211.66467849223952</v>
      </c>
      <c r="U54" s="57">
        <f>$AA53*U46/100</f>
        <v>1217.6291137655835</v>
      </c>
      <c r="V54" s="57">
        <f>$AA53*V46/100</f>
        <v>57749.014420670697</v>
      </c>
      <c r="W54" s="57">
        <f>$AA53*W46/100</f>
        <v>30778.380917611386</v>
      </c>
      <c r="X54" s="57">
        <f>$AA53*X46/100</f>
        <v>5776.4408694600825</v>
      </c>
      <c r="Z54" t="s">
        <v>36</v>
      </c>
      <c r="AA54" s="25">
        <f>SUM(T54:X54)</f>
        <v>95733.12999999999</v>
      </c>
      <c r="AC54" t="s">
        <v>138</v>
      </c>
      <c r="AD54" s="51"/>
      <c r="AE54" s="51"/>
      <c r="AH54">
        <v>1123</v>
      </c>
      <c r="AI54">
        <v>1134</v>
      </c>
    </row>
    <row r="55" spans="1:35" x14ac:dyDescent="0.3">
      <c r="A55" t="s">
        <v>3</v>
      </c>
      <c r="B55" s="13">
        <v>0</v>
      </c>
      <c r="C55" s="29">
        <f>(C44/$L55)*$O55</f>
        <v>0.22578335029326838</v>
      </c>
      <c r="D55" s="31">
        <f>(D44/$L55)*$O55</f>
        <v>0</v>
      </c>
      <c r="E55" s="31">
        <f>(E44/$L55)*$O55</f>
        <v>0</v>
      </c>
      <c r="F55" s="31">
        <f>(F44/$L55)*$O55</f>
        <v>3.5986035265251001E-2</v>
      </c>
      <c r="G55" s="32">
        <f>(G44/$L55)*$O55</f>
        <v>0</v>
      </c>
      <c r="H55" s="17">
        <f>SUM(C55:G55)</f>
        <v>0.26176938555851936</v>
      </c>
      <c r="I55" s="17">
        <f>C55/H55*100</f>
        <v>86.252771618625275</v>
      </c>
      <c r="J55" s="17">
        <f>SQRT(I55*(100-I55)/(L55-1))</f>
        <v>1.6232591016345945</v>
      </c>
      <c r="K55" s="18">
        <f>100-I55</f>
        <v>13.747228381374725</v>
      </c>
      <c r="L55" s="1">
        <f>H44</f>
        <v>451</v>
      </c>
      <c r="M55">
        <v>0</v>
      </c>
      <c r="N55" s="1">
        <v>250.6</v>
      </c>
      <c r="O55" s="17">
        <f>N55/N60*100</f>
        <v>0.26176938555851936</v>
      </c>
      <c r="P55" s="52">
        <f>((O55*O55*(I55/100)*(K55/100))/(L55-1))</f>
        <v>1.8055661346577947E-5</v>
      </c>
      <c r="R55" s="66"/>
      <c r="S55" s="66" t="s">
        <v>62</v>
      </c>
      <c r="T55" s="67">
        <f>$AA53*T47/100</f>
        <v>2.7544069021926663</v>
      </c>
      <c r="U55" s="67">
        <f>$AA53*U47/100</f>
        <v>43.032570544146807</v>
      </c>
      <c r="V55" s="67">
        <f>$AA53*V47/100</f>
        <v>126.20172178791407</v>
      </c>
      <c r="W55" s="67">
        <f>$AA53*W47/100</f>
        <v>194.7947966929419</v>
      </c>
      <c r="X55" s="67">
        <f>$AA53*X47/100</f>
        <v>156.0391865863395</v>
      </c>
      <c r="AA55" s="1"/>
      <c r="AC55" t="s">
        <v>139</v>
      </c>
      <c r="AD55" s="51"/>
      <c r="AE55" s="51"/>
      <c r="AH55">
        <v>1152</v>
      </c>
      <c r="AI55">
        <v>1163</v>
      </c>
    </row>
    <row r="56" spans="1:35" x14ac:dyDescent="0.3">
      <c r="A56" t="s">
        <v>4</v>
      </c>
      <c r="B56" s="13">
        <v>1</v>
      </c>
      <c r="C56" s="33">
        <f t="shared" ref="C56:G59" si="6">(C45/$L56)*$O56</f>
        <v>0</v>
      </c>
      <c r="D56" s="34">
        <f t="shared" si="6"/>
        <v>1.4607773352610316</v>
      </c>
      <c r="E56" s="19">
        <f t="shared" si="6"/>
        <v>2.6085309558232708E-2</v>
      </c>
      <c r="F56" s="18">
        <f t="shared" si="6"/>
        <v>0</v>
      </c>
      <c r="G56" s="20">
        <f t="shared" si="6"/>
        <v>0</v>
      </c>
      <c r="H56" s="17">
        <f>SUM(C56:G56)</f>
        <v>1.4868626448192643</v>
      </c>
      <c r="I56" s="17">
        <f>D56/H56*100</f>
        <v>98.245614035087712</v>
      </c>
      <c r="J56" s="17">
        <f>SQRT(I56*(100-I56)/(L56-1))</f>
        <v>1.7543859649122842</v>
      </c>
      <c r="K56" s="18">
        <f>100-I56</f>
        <v>1.7543859649122879</v>
      </c>
      <c r="L56" s="1">
        <f>H45</f>
        <v>57</v>
      </c>
      <c r="M56">
        <v>1</v>
      </c>
      <c r="N56" s="1">
        <v>1423.42</v>
      </c>
      <c r="O56" s="17">
        <f>N56/N60*100</f>
        <v>1.4868626448192643</v>
      </c>
      <c r="P56" s="52">
        <f>((O56*O56*(I56/100)*(K56/100))/(L56-1))</f>
        <v>6.8044337474882938E-4</v>
      </c>
      <c r="R56" t="s">
        <v>71</v>
      </c>
      <c r="S56" t="s">
        <v>28</v>
      </c>
      <c r="T56" s="57">
        <f t="shared" ref="T56:X59" si="7">C147</f>
        <v>0.1959430753223991</v>
      </c>
      <c r="U56" s="57">
        <f t="shared" si="7"/>
        <v>1.507336107646581</v>
      </c>
      <c r="V56" s="57">
        <f t="shared" si="7"/>
        <v>60.119012579461675</v>
      </c>
      <c r="W56" s="57">
        <f t="shared" si="7"/>
        <v>32.48487176254428</v>
      </c>
      <c r="X56" s="57">
        <f t="shared" si="7"/>
        <v>5.6928364750250511</v>
      </c>
      <c r="Y56" s="13"/>
      <c r="Z56" s="74"/>
      <c r="AA56" s="12"/>
      <c r="AC56" t="s">
        <v>140</v>
      </c>
      <c r="AD56" s="51"/>
      <c r="AE56" s="51"/>
      <c r="AH56">
        <v>1181</v>
      </c>
      <c r="AI56">
        <v>1192</v>
      </c>
    </row>
    <row r="57" spans="1:35" x14ac:dyDescent="0.3">
      <c r="A57" t="s">
        <v>5</v>
      </c>
      <c r="B57" s="13">
        <v>2</v>
      </c>
      <c r="C57" s="33">
        <f t="shared" si="6"/>
        <v>0</v>
      </c>
      <c r="D57" s="19">
        <f t="shared" si="6"/>
        <v>0</v>
      </c>
      <c r="E57" s="34">
        <f t="shared" si="6"/>
        <v>60.018061880957156</v>
      </c>
      <c r="F57" s="19">
        <f t="shared" si="6"/>
        <v>8.1546279729561341E-2</v>
      </c>
      <c r="G57" s="20">
        <f t="shared" si="6"/>
        <v>0</v>
      </c>
      <c r="H57" s="17">
        <f>SUM(C57:G57)</f>
        <v>60.099608160686714</v>
      </c>
      <c r="I57" s="17">
        <f>E57/H57*100</f>
        <v>99.864314789687924</v>
      </c>
      <c r="J57" s="17">
        <f>SQRT(I57*(100-I57)/(L57-1))</f>
        <v>0.13568521031207589</v>
      </c>
      <c r="K57" s="18">
        <f>100-I57</f>
        <v>0.13568521031207581</v>
      </c>
      <c r="L57" s="1">
        <f>H46</f>
        <v>737</v>
      </c>
      <c r="M57">
        <v>2</v>
      </c>
      <c r="N57" s="1">
        <v>57535.23</v>
      </c>
      <c r="O57" s="17">
        <f>N57/N60*100</f>
        <v>60.099608160686714</v>
      </c>
      <c r="P57" s="52">
        <f>((O57*O57*(I57/100)*(K57/100))/(L57-1))</f>
        <v>6.6497957377318591E-3</v>
      </c>
      <c r="S57" s="66" t="s">
        <v>39</v>
      </c>
      <c r="T57" s="67">
        <f t="shared" si="7"/>
        <v>4.8931430745288882E-3</v>
      </c>
      <c r="U57" s="67">
        <f t="shared" si="7"/>
        <v>4.6236767983444643E-2</v>
      </c>
      <c r="V57" s="67">
        <f t="shared" si="7"/>
        <v>0.13195279228455187</v>
      </c>
      <c r="W57" s="67">
        <f t="shared" si="7"/>
        <v>0.20563779046930736</v>
      </c>
      <c r="X57" s="67">
        <f t="shared" si="7"/>
        <v>0.16635170567455881</v>
      </c>
      <c r="AC57" t="s">
        <v>141</v>
      </c>
      <c r="AD57" s="51"/>
      <c r="AE57" s="51"/>
      <c r="AH57">
        <v>1210</v>
      </c>
      <c r="AI57">
        <v>1221</v>
      </c>
    </row>
    <row r="58" spans="1:35" x14ac:dyDescent="0.3">
      <c r="A58" t="s">
        <v>6</v>
      </c>
      <c r="B58" s="13">
        <v>3</v>
      </c>
      <c r="C58" s="33">
        <f t="shared" si="6"/>
        <v>0</v>
      </c>
      <c r="D58" s="19">
        <f t="shared" si="6"/>
        <v>0</v>
      </c>
      <c r="E58" s="19">
        <f t="shared" si="6"/>
        <v>0.16695064556098257</v>
      </c>
      <c r="F58" s="34">
        <f t="shared" si="6"/>
        <v>31.776272871773685</v>
      </c>
      <c r="G58" s="20">
        <f t="shared" si="6"/>
        <v>0.44520172149595355</v>
      </c>
      <c r="H58" s="17">
        <f>SUM(C58:G58)</f>
        <v>32.388425238830621</v>
      </c>
      <c r="I58" s="17">
        <f>F58/H58*100</f>
        <v>98.109965635738831</v>
      </c>
      <c r="J58" s="17">
        <f>SQRT(I58*(100-I58)/(L58-1))</f>
        <v>0.5649413271715471</v>
      </c>
      <c r="K58" s="18">
        <f>100-I58</f>
        <v>1.8900343642611688</v>
      </c>
      <c r="L58" s="1">
        <f>H47</f>
        <v>582</v>
      </c>
      <c r="M58">
        <v>3</v>
      </c>
      <c r="N58" s="1">
        <v>31006.45</v>
      </c>
      <c r="O58" s="17">
        <f>N58/N60*100</f>
        <v>32.388425238830621</v>
      </c>
      <c r="P58" s="52">
        <f>((O58*O58*(I58/100)*(K58/100))/(L58-1))</f>
        <v>3.3480069973671887E-2</v>
      </c>
      <c r="S58" t="s">
        <v>30</v>
      </c>
      <c r="T58" s="57">
        <f t="shared" si="7"/>
        <v>100</v>
      </c>
      <c r="U58" s="57">
        <f t="shared" si="7"/>
        <v>87.819840583424522</v>
      </c>
      <c r="V58" s="57">
        <f t="shared" si="7"/>
        <v>99.55404890514545</v>
      </c>
      <c r="W58" s="57">
        <f t="shared" si="7"/>
        <v>98.626294983725543</v>
      </c>
      <c r="X58" s="57">
        <f t="shared" si="7"/>
        <v>92.115048160533064</v>
      </c>
      <c r="AC58" t="s">
        <v>142</v>
      </c>
      <c r="AD58" s="51"/>
      <c r="AE58" s="51"/>
      <c r="AH58">
        <v>1239</v>
      </c>
      <c r="AI58">
        <v>1250</v>
      </c>
    </row>
    <row r="59" spans="1:35" x14ac:dyDescent="0.3">
      <c r="A59" t="s">
        <v>7</v>
      </c>
      <c r="B59" s="13">
        <v>4</v>
      </c>
      <c r="C59" s="35">
        <f t="shared" si="6"/>
        <v>0</v>
      </c>
      <c r="D59" s="36">
        <f t="shared" si="6"/>
        <v>6.8543126700950155E-2</v>
      </c>
      <c r="E59" s="21">
        <f t="shared" si="6"/>
        <v>0.18278167120253375</v>
      </c>
      <c r="F59" s="21">
        <f t="shared" si="6"/>
        <v>0.18849359842761293</v>
      </c>
      <c r="G59" s="37">
        <f t="shared" si="6"/>
        <v>5.323516173773795</v>
      </c>
      <c r="H59" s="17">
        <f>SUM(C59:G59)</f>
        <v>5.7633345701048917</v>
      </c>
      <c r="I59" s="17">
        <f>G59/H59*100</f>
        <v>92.368681863230933</v>
      </c>
      <c r="J59" s="17">
        <f>SQRT(I59*(100-I59)/(L59-1))</f>
        <v>0.83624182747585929</v>
      </c>
      <c r="K59" s="18">
        <f>100-I59</f>
        <v>7.6313181367690675</v>
      </c>
      <c r="L59" s="1">
        <f>H48</f>
        <v>1009</v>
      </c>
      <c r="M59">
        <v>4</v>
      </c>
      <c r="N59" s="1">
        <v>5517.42</v>
      </c>
      <c r="O59" s="17">
        <f>N59/N60*100</f>
        <v>5.7633345701048926</v>
      </c>
      <c r="P59" s="52">
        <f>((O59*O59*(I59/100)*(K59/100))/(L59-1))</f>
        <v>2.3227979626903221E-3</v>
      </c>
      <c r="S59" s="66" t="s">
        <v>39</v>
      </c>
      <c r="T59" s="67">
        <f t="shared" si="7"/>
        <v>0</v>
      </c>
      <c r="U59" s="67">
        <f t="shared" si="7"/>
        <v>3.3007971450259124</v>
      </c>
      <c r="V59" s="67">
        <f t="shared" si="7"/>
        <v>0.17254802526827209</v>
      </c>
      <c r="W59" s="67">
        <f t="shared" si="7"/>
        <v>0.28772522522102018</v>
      </c>
      <c r="X59" s="67">
        <f t="shared" si="7"/>
        <v>2.6568459919061049</v>
      </c>
      <c r="AC59" t="s">
        <v>143</v>
      </c>
      <c r="AD59" s="51"/>
      <c r="AE59" s="51"/>
      <c r="AH59">
        <v>1268</v>
      </c>
      <c r="AI59">
        <v>1279</v>
      </c>
    </row>
    <row r="60" spans="1:35" x14ac:dyDescent="0.3">
      <c r="B60" t="s">
        <v>28</v>
      </c>
      <c r="C60" s="17">
        <f>SUM(C55:C59)</f>
        <v>0.22578335029326838</v>
      </c>
      <c r="D60" s="17">
        <f>SUM(D55:D59)</f>
        <v>1.5293204619619818</v>
      </c>
      <c r="E60" s="17">
        <f>SUM(E55:E59)</f>
        <v>60.393879507278903</v>
      </c>
      <c r="F60" s="17">
        <f>SUM(F55:F59)</f>
        <v>32.082298785196109</v>
      </c>
      <c r="G60" s="17">
        <f>SUM(G55:G59)</f>
        <v>5.7687178952697487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95733.119999999995</v>
      </c>
      <c r="O60" s="17">
        <f>SUM(O55:O59)</f>
        <v>100</v>
      </c>
      <c r="S60" s="15" t="s">
        <v>31</v>
      </c>
      <c r="T60" s="71">
        <f>I142</f>
        <v>78.048780487804876</v>
      </c>
      <c r="U60" s="71">
        <f>I143</f>
        <v>96.491228070175438</v>
      </c>
      <c r="V60" s="71">
        <f>I144</f>
        <v>99.864314789687924</v>
      </c>
      <c r="W60" s="71">
        <f>I145</f>
        <v>98.109965635738845</v>
      </c>
      <c r="X60" s="71">
        <f>I146</f>
        <v>90.584737363726461</v>
      </c>
      <c r="AC60" t="s">
        <v>144</v>
      </c>
      <c r="AD60" s="51"/>
      <c r="AE60" s="51"/>
      <c r="AH60">
        <v>1297</v>
      </c>
      <c r="AI60">
        <v>1308</v>
      </c>
    </row>
    <row r="61" spans="1:35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4.2444819025122538E-3</v>
      </c>
      <c r="D61" s="18">
        <f>SQRT(SUM((O55*O55*(D55/O55)*(1-D55/O55))/L55,(O56*O56*(D56/O56)*(1-D56/O56))/L56,(O57*O57*(D57/O57)*(1-D57/O57))/L57,(O58*O58*(D58/O58)*(1-D58/O58))/L58,(O59*O59*(D59/O59)*(1-D59/O59))/L59))</f>
        <v>3.2486348967615909E-2</v>
      </c>
      <c r="E61" s="18">
        <f>SQRT(SUM((O55*O55*(E55/O55)*(1-E55/O55))/L55,(O56*O56*(E56/O56)*(1-E56/O56))/L56,(O57*O57*(E57/O57)*(1-E57/O57))/L57,(O58*O58*(E58/O58)*(1-E58/O58))/L58,(O59*O59*(E59/O59)*(1-E59/O59))/L59))</f>
        <v>0.13252604125823852</v>
      </c>
      <c r="F61" s="18">
        <f>SQRT(SUM((O55*O55*(F55/O55)*(1-F55/O55))/L55,(O56*O56*(F56/O56)*(1-F56/O56))/L56,(O57*O57*(F57/O57)*(1-F57/O57))/L57,(O58*O58*(F58/O58)*(1-F58/O58))/L58,(O59*O59*(F59/O59)*(1-F59/O59))/L59))</f>
        <v>0.20278752784999843</v>
      </c>
      <c r="G61" s="18">
        <f>SQRT(SUM((O55*O55*(G55/O55)*(1-G55/O55))/L55,(O56*O56*(G56/O56)*(1-G56/O56))/L56,(O57*O57*(G57/O57)*(1-G57/O57))/L57,(O58*O58*(G58/O58)*(1-G58/O58))/L58,(O59*O59*(G59/O59)*(1-G59/O59))/L59))</f>
        <v>0.16357111542398964</v>
      </c>
      <c r="H61" s="1"/>
      <c r="I61" s="14">
        <f>(C55+D56+E57+F58+G59)/H60</f>
        <v>0.98804411612058929</v>
      </c>
      <c r="J61" s="53">
        <f>SQRT(SUM(P55:P59))/100</f>
        <v>2.0772857942562809E-3</v>
      </c>
      <c r="M61" s="1"/>
      <c r="N61" s="9"/>
      <c r="S61" s="75" t="s">
        <v>39</v>
      </c>
      <c r="T61" s="76">
        <f>J142</f>
        <v>1.9512195121951221</v>
      </c>
      <c r="U61" s="76">
        <f>J143</f>
        <v>2.4588241692166148</v>
      </c>
      <c r="V61" s="76">
        <f>J144</f>
        <v>0.13568521031207589</v>
      </c>
      <c r="W61" s="76">
        <f>J145</f>
        <v>0.56494132717154499</v>
      </c>
      <c r="X61" s="76">
        <f>J146</f>
        <v>0.91984249272684604</v>
      </c>
      <c r="AC61" t="s">
        <v>145</v>
      </c>
      <c r="AD61" s="51"/>
      <c r="AE61" s="51"/>
      <c r="AH61">
        <v>1326</v>
      </c>
      <c r="AI61">
        <v>1337</v>
      </c>
    </row>
    <row r="62" spans="1:35" x14ac:dyDescent="0.3">
      <c r="B62" s="1" t="s">
        <v>30</v>
      </c>
      <c r="C62" s="17">
        <f>C55/C60*100</f>
        <v>100</v>
      </c>
      <c r="D62" s="17">
        <f>D56/D60*100</f>
        <v>95.518066461164366</v>
      </c>
      <c r="E62" s="17">
        <f>E57/E60*100</f>
        <v>99.377722329832366</v>
      </c>
      <c r="F62" s="17">
        <f>F58/F60*100</f>
        <v>99.046122238710538</v>
      </c>
      <c r="G62" s="17">
        <f>G59/G60*100</f>
        <v>92.282484087824585</v>
      </c>
      <c r="H62" s="1"/>
      <c r="S62" s="66" t="s">
        <v>51</v>
      </c>
      <c r="T62" s="67">
        <f>N131*100</f>
        <v>87.671232876712338</v>
      </c>
      <c r="U62" s="67">
        <f>N132*100</f>
        <v>76.3888888888889</v>
      </c>
      <c r="V62" s="67">
        <f>N133*100</f>
        <v>98.991257565568262</v>
      </c>
      <c r="W62" s="67">
        <f>N134*100</f>
        <v>87.37566947207344</v>
      </c>
      <c r="X62" s="67">
        <f>N135*100</f>
        <v>94.665976178146039</v>
      </c>
      <c r="AC62" t="s">
        <v>146</v>
      </c>
      <c r="AD62" s="51"/>
      <c r="AE62" s="51"/>
      <c r="AH62">
        <v>1355</v>
      </c>
      <c r="AI62">
        <v>1366</v>
      </c>
    </row>
    <row r="63" spans="1:35" x14ac:dyDescent="0.3">
      <c r="B63" s="16" t="s">
        <v>39</v>
      </c>
      <c r="C63" s="18">
        <f>SQRT((C66+C67)/(C60*C60))</f>
        <v>0</v>
      </c>
      <c r="D63" s="18">
        <f>SQRT((D66+D67)/(D60*D60))</f>
        <v>1.4474256704531716</v>
      </c>
      <c r="E63" s="18">
        <f>SQRT((E66+E67)/(E60*E60))</f>
        <v>0.17240263658358784</v>
      </c>
      <c r="F63" s="18">
        <f>SQRT((F66+F67)/(F60*F60))</f>
        <v>0.27649190930728995</v>
      </c>
      <c r="G63" s="18">
        <f>SQRT((G66+G67)/(G60*G60))</f>
        <v>2.5844822445361899</v>
      </c>
      <c r="H63" s="1"/>
      <c r="R63" s="16" t="s">
        <v>61</v>
      </c>
      <c r="S63" t="s">
        <v>9</v>
      </c>
      <c r="T63" s="30">
        <f>N142</f>
        <v>240.34</v>
      </c>
      <c r="U63" s="30">
        <f>N143</f>
        <v>1313.34</v>
      </c>
      <c r="V63" s="30">
        <f>N144</f>
        <v>57375</v>
      </c>
      <c r="W63" s="30">
        <f>N145</f>
        <v>31262.45</v>
      </c>
      <c r="X63" s="30">
        <f>N146</f>
        <v>5542</v>
      </c>
      <c r="Z63" t="s">
        <v>36</v>
      </c>
      <c r="AA63" s="1">
        <f>N147</f>
        <v>95733.13</v>
      </c>
      <c r="AC63" t="s">
        <v>147</v>
      </c>
      <c r="AD63" s="51"/>
      <c r="AE63" s="51"/>
      <c r="AH63">
        <v>1384</v>
      </c>
      <c r="AI63">
        <v>1395</v>
      </c>
    </row>
    <row r="64" spans="1:35" ht="15.6" x14ac:dyDescent="0.35">
      <c r="B64" s="1" t="s">
        <v>37</v>
      </c>
      <c r="C64" s="18">
        <f>100-C62</f>
        <v>0</v>
      </c>
      <c r="D64" s="18">
        <f>100-D62</f>
        <v>4.4819335388356336</v>
      </c>
      <c r="E64" s="18">
        <f>100-E62</f>
        <v>0.6222776701676338</v>
      </c>
      <c r="F64" s="18">
        <f>100-F62</f>
        <v>0.953877761289462</v>
      </c>
      <c r="G64" s="18">
        <f>100-G62</f>
        <v>7.7175159121754149</v>
      </c>
      <c r="R64" s="16" t="s">
        <v>318</v>
      </c>
      <c r="S64" t="s">
        <v>63</v>
      </c>
      <c r="T64" s="57">
        <f>$AA63*T56/100</f>
        <v>187.58243902439025</v>
      </c>
      <c r="U64" s="57">
        <f>$AA63*U56/100</f>
        <v>1443.0200354702413</v>
      </c>
      <c r="V64" s="57">
        <f>$AA63*V56/100</f>
        <v>57553.812467412397</v>
      </c>
      <c r="W64" s="57">
        <f>$AA63*W56/100</f>
        <v>31098.78451476981</v>
      </c>
      <c r="X64" s="57">
        <f>$AA63*X56/100</f>
        <v>5449.9305433231502</v>
      </c>
      <c r="Z64" t="s">
        <v>36</v>
      </c>
      <c r="AA64" s="25">
        <f>SUM(T64:X64)</f>
        <v>95733.12999999999</v>
      </c>
      <c r="AC64" t="s">
        <v>148</v>
      </c>
      <c r="AD64" s="51"/>
      <c r="AE64" s="51"/>
      <c r="AH64">
        <v>1413</v>
      </c>
      <c r="AI64">
        <v>1424</v>
      </c>
    </row>
    <row r="65" spans="1:51" ht="15.6" x14ac:dyDescent="0.35">
      <c r="B65" s="1" t="s">
        <v>25</v>
      </c>
      <c r="C65" s="1">
        <f>C49</f>
        <v>389</v>
      </c>
      <c r="D65" s="1">
        <f>D49</f>
        <v>68</v>
      </c>
      <c r="E65" s="1">
        <f>E49</f>
        <v>772</v>
      </c>
      <c r="F65" s="1">
        <f>F49</f>
        <v>667</v>
      </c>
      <c r="G65" s="1">
        <f>G49</f>
        <v>940</v>
      </c>
      <c r="R65" s="66"/>
      <c r="S65" s="66" t="s">
        <v>62</v>
      </c>
      <c r="T65" s="67">
        <f>$AA63*T57/100</f>
        <v>4.6843590206247372</v>
      </c>
      <c r="U65" s="67">
        <f>$AA63*U57/100</f>
        <v>44.263905201389441</v>
      </c>
      <c r="V65" s="67">
        <f>$AA63*V57/100</f>
        <v>126.32253817640002</v>
      </c>
      <c r="W65" s="67">
        <f>$AA63*W57/100</f>
        <v>196.86349327910963</v>
      </c>
      <c r="X65" s="67">
        <f>$AA63*X57/100</f>
        <v>159.25369465064279</v>
      </c>
      <c r="AA65" s="1"/>
      <c r="AC65" t="s">
        <v>149</v>
      </c>
      <c r="AD65" s="51"/>
      <c r="AE65" s="51"/>
      <c r="AH65">
        <v>1442</v>
      </c>
      <c r="AI65">
        <v>1453</v>
      </c>
    </row>
    <row r="66" spans="1:51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1.3668561599112865</v>
      </c>
      <c r="E66" s="18">
        <f>(O57*O57*(100-E62)*(100-E62)*(I57)*(100-I57))/((L57-1)*100)</f>
        <v>0.25749970705728548</v>
      </c>
      <c r="F66" s="18">
        <f>(O58*O58*(100-F62)*(100-F62)*(I58)*(100-I58))/((L58-1)*100)</f>
        <v>3.0462939258836652</v>
      </c>
      <c r="G66" s="18">
        <f>(O59*O59*(100-G62)*(100-G62)*(I59)*(100-I59))/((L59-1)*100)</f>
        <v>13.834596710578234</v>
      </c>
      <c r="R66" t="s">
        <v>93</v>
      </c>
      <c r="S66" t="s">
        <v>28</v>
      </c>
      <c r="T66" s="57">
        <f>C176</f>
        <v>0.18838957668171175</v>
      </c>
      <c r="U66" s="57">
        <f t="shared" ref="U66:X69" si="8">D176</f>
        <v>1.5577960242593181</v>
      </c>
      <c r="V66" s="57">
        <f t="shared" si="8"/>
        <v>60.378855990413129</v>
      </c>
      <c r="W66" s="57">
        <f t="shared" si="8"/>
        <v>31.928589840250542</v>
      </c>
      <c r="X66" s="57">
        <f t="shared" si="8"/>
        <v>5.9463685683953029</v>
      </c>
      <c r="Y66" s="13"/>
      <c r="Z66" s="74"/>
      <c r="AA66" s="12"/>
      <c r="AC66" t="s">
        <v>158</v>
      </c>
      <c r="AD66" s="51"/>
      <c r="AE66" s="51"/>
      <c r="AH66" s="78"/>
    </row>
    <row r="67" spans="1:51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3.5330700518595708</v>
      </c>
      <c r="E67" s="18">
        <f>E62*E62*(SUM((H55*E55*(1-E44/H44))/(H44-1),(H56*E56*(1-E45/H45))/(H45-1), (H58*E58*(1-E47/H47))/(H47-1),(H59*E59*(1-E48/H48))/(H48-1)))</f>
        <v>108.15357829428113</v>
      </c>
      <c r="F67" s="18">
        <f>F62*F62*(SUM((H55*F55*(1-F44/H44))/(H44-1),(H56*F56*(1-F45/H45))/(H45-1), (H57*F57*(1-F46/H46))/(H46-1),(H59*F59*(1-F48/H48))/(H48-1)))</f>
        <v>75.639406177740526</v>
      </c>
      <c r="G67" s="18">
        <f>G62*G62*(SUM((H55*G55*(1-G44/H44))/(H44-1),(H56*G56*(1-G45/H45))/(H45-1), (H57*G57*(1-G46/H46))/(H46-1),(H58*G58*(1-G47/H47))/(H47-1)))</f>
        <v>208.44812642022097</v>
      </c>
      <c r="S67" s="66" t="s">
        <v>39</v>
      </c>
      <c r="T67" s="67">
        <f>C177</f>
        <v>4.4600327226635636E-3</v>
      </c>
      <c r="U67" s="67">
        <f t="shared" si="8"/>
        <v>3.9088735313944252E-2</v>
      </c>
      <c r="V67" s="67">
        <f t="shared" si="8"/>
        <v>0.12956237687015229</v>
      </c>
      <c r="W67" s="67">
        <f t="shared" si="8"/>
        <v>0.20952362451994042</v>
      </c>
      <c r="X67" s="67">
        <f t="shared" si="8"/>
        <v>0.17167514523687485</v>
      </c>
      <c r="AC67" t="s">
        <v>159</v>
      </c>
      <c r="AD67" s="51"/>
      <c r="AE67" s="51"/>
      <c r="AI67" s="78"/>
    </row>
    <row r="68" spans="1:51" x14ac:dyDescent="0.3">
      <c r="S68" t="s">
        <v>30</v>
      </c>
      <c r="T68" s="57">
        <f>C178</f>
        <v>100</v>
      </c>
      <c r="U68" s="57">
        <f t="shared" si="8"/>
        <v>89.561791792384113</v>
      </c>
      <c r="V68" s="57">
        <f t="shared" si="8"/>
        <v>99.587034877257082</v>
      </c>
      <c r="W68" s="57">
        <f t="shared" si="8"/>
        <v>98.994753028505798</v>
      </c>
      <c r="X68" s="57">
        <f t="shared" si="8"/>
        <v>91.607183187974641</v>
      </c>
      <c r="AC68" t="s">
        <v>160</v>
      </c>
      <c r="AD68" s="51"/>
      <c r="AE68" s="51"/>
      <c r="AH68" s="2"/>
      <c r="AI68" s="2"/>
    </row>
    <row r="69" spans="1:51" x14ac:dyDescent="0.3">
      <c r="S69" s="66" t="s">
        <v>39</v>
      </c>
      <c r="T69" s="67">
        <f>C179</f>
        <v>0</v>
      </c>
      <c r="U69" s="67">
        <f t="shared" si="8"/>
        <v>2.4134252101421922</v>
      </c>
      <c r="V69" s="67">
        <f t="shared" si="8"/>
        <v>0.16624664870927858</v>
      </c>
      <c r="W69" s="67">
        <f t="shared" si="8"/>
        <v>0.27982531953951151</v>
      </c>
      <c r="X69" s="67">
        <f t="shared" si="8"/>
        <v>2.6308611416249463</v>
      </c>
      <c r="AC69" t="s">
        <v>161</v>
      </c>
      <c r="AD69" s="51"/>
      <c r="AE69" s="51"/>
    </row>
    <row r="70" spans="1:51" x14ac:dyDescent="0.3">
      <c r="A70" s="348" t="s">
        <v>380</v>
      </c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 t="s">
        <v>56</v>
      </c>
      <c r="M70" s="348"/>
      <c r="N70" s="348"/>
      <c r="O70" s="348"/>
      <c r="P70" s="348"/>
      <c r="S70" s="15" t="s">
        <v>31</v>
      </c>
      <c r="T70" s="71">
        <f>I171</f>
        <v>79.822616407982267</v>
      </c>
      <c r="U70" s="71">
        <f>I172</f>
        <v>98.245614035087712</v>
      </c>
      <c r="V70" s="71">
        <f>I173</f>
        <v>99.864314789687924</v>
      </c>
      <c r="W70" s="71">
        <f>I174</f>
        <v>97.9381443298969</v>
      </c>
      <c r="X70" s="71">
        <f>I175</f>
        <v>92.963330029732404</v>
      </c>
      <c r="AC70" t="s">
        <v>162</v>
      </c>
      <c r="AD70" s="51"/>
      <c r="AE70" s="51"/>
      <c r="AH70" s="2"/>
      <c r="AI70" s="2"/>
    </row>
    <row r="71" spans="1:51" x14ac:dyDescent="0.3">
      <c r="A71" t="s">
        <v>315</v>
      </c>
      <c r="B71" t="s">
        <v>21</v>
      </c>
      <c r="I71" s="1" t="s">
        <v>53</v>
      </c>
      <c r="O71" s="142"/>
      <c r="P71" s="142"/>
      <c r="S71" s="75" t="s">
        <v>39</v>
      </c>
      <c r="T71" s="76">
        <f>J171</f>
        <v>1.8918606658715333</v>
      </c>
      <c r="U71" s="76">
        <f>J172</f>
        <v>1.7543859649122842</v>
      </c>
      <c r="V71" s="76">
        <f>J173</f>
        <v>0.13568521031207589</v>
      </c>
      <c r="W71" s="76">
        <f>J174</f>
        <v>0.58954505375429189</v>
      </c>
      <c r="X71" s="76">
        <f>J175</f>
        <v>0.8055809009974596</v>
      </c>
      <c r="AC71" t="s">
        <v>163</v>
      </c>
      <c r="AD71" s="51"/>
      <c r="AE71" s="51"/>
    </row>
    <row r="72" spans="1:51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51</v>
      </c>
      <c r="O72" s="13"/>
      <c r="P72" s="13"/>
      <c r="S72" s="66" t="s">
        <v>51</v>
      </c>
      <c r="T72" s="67">
        <f>N160*100</f>
        <v>88.779284833538824</v>
      </c>
      <c r="U72" s="67">
        <f>N161*100</f>
        <v>79.432624113475185</v>
      </c>
      <c r="V72" s="67">
        <f>N162*100</f>
        <v>98.991257565568262</v>
      </c>
      <c r="W72" s="67">
        <f>N163*100</f>
        <v>89.271730618637434</v>
      </c>
      <c r="X72" s="67">
        <f>N164*100</f>
        <v>95.910020449897743</v>
      </c>
      <c r="AC72" t="s">
        <v>154</v>
      </c>
      <c r="AD72" s="51"/>
      <c r="AE72" s="51"/>
      <c r="AH72" s="2"/>
      <c r="AI72" s="2"/>
    </row>
    <row r="73" spans="1:51" x14ac:dyDescent="0.3">
      <c r="A73" t="s">
        <v>3</v>
      </c>
      <c r="B73" s="13">
        <v>0</v>
      </c>
      <c r="C73" s="26">
        <v>419</v>
      </c>
      <c r="D73" s="3">
        <v>0</v>
      </c>
      <c r="E73" s="3">
        <v>0</v>
      </c>
      <c r="F73" s="3">
        <v>32</v>
      </c>
      <c r="G73" s="4">
        <v>0</v>
      </c>
      <c r="H73" s="1">
        <f>SUM(C73:G73)</f>
        <v>451</v>
      </c>
      <c r="I73" s="10">
        <f>C73/H73</f>
        <v>0.92904656319290468</v>
      </c>
      <c r="J73" s="11">
        <f>1-I73</f>
        <v>7.0953436807095316E-2</v>
      </c>
      <c r="K73">
        <f>H73-C78</f>
        <v>32</v>
      </c>
      <c r="N73" s="10">
        <f>2*(C79*I73)/(C79+I73)</f>
        <v>0.9632183908045977</v>
      </c>
      <c r="O73" s="1"/>
      <c r="P73" s="1"/>
      <c r="R73" s="16" t="s">
        <v>61</v>
      </c>
      <c r="S73" t="s">
        <v>9</v>
      </c>
      <c r="T73" s="1">
        <f>N171</f>
        <v>225.94</v>
      </c>
      <c r="U73" s="1">
        <f>N172</f>
        <v>1359.51</v>
      </c>
      <c r="V73" s="1">
        <f>N173</f>
        <v>57642.07</v>
      </c>
      <c r="W73" s="1">
        <f>N174</f>
        <v>30896</v>
      </c>
      <c r="X73" s="1">
        <f>N175</f>
        <v>5609.6</v>
      </c>
      <c r="Z73" t="s">
        <v>36</v>
      </c>
      <c r="AA73" s="1">
        <f>N176</f>
        <v>95733.119999999995</v>
      </c>
      <c r="AC73" t="s">
        <v>164</v>
      </c>
      <c r="AD73" s="51"/>
      <c r="AE73" s="51"/>
    </row>
    <row r="74" spans="1:51" ht="15.6" x14ac:dyDescent="0.35">
      <c r="A74" t="s">
        <v>4</v>
      </c>
      <c r="B74" s="13">
        <v>1</v>
      </c>
      <c r="C74" s="5">
        <v>0</v>
      </c>
      <c r="D74" s="27">
        <v>56</v>
      </c>
      <c r="E74" s="1">
        <v>1</v>
      </c>
      <c r="F74" s="1">
        <v>0</v>
      </c>
      <c r="G74" s="6">
        <v>0</v>
      </c>
      <c r="H74" s="1">
        <f>SUM(C74:G74)</f>
        <v>57</v>
      </c>
      <c r="I74" s="10">
        <f>D74/H74</f>
        <v>0.98245614035087714</v>
      </c>
      <c r="J74" s="11">
        <f>1-I74</f>
        <v>1.7543859649122862E-2</v>
      </c>
      <c r="K74">
        <f>H74-D78</f>
        <v>-21</v>
      </c>
      <c r="N74" s="10">
        <f>2*(D79*I74)/(D79+I74)</f>
        <v>0.82962962962962961</v>
      </c>
      <c r="O74" s="1"/>
      <c r="P74" s="1"/>
      <c r="R74" s="16" t="s">
        <v>318</v>
      </c>
      <c r="S74" t="s">
        <v>63</v>
      </c>
      <c r="T74" s="57">
        <f>$AA73*T66/100</f>
        <v>180.35121951219514</v>
      </c>
      <c r="U74" s="57">
        <f>$AA73*U66/100</f>
        <v>1491.3267372594021</v>
      </c>
      <c r="V74" s="57">
        <f>$AA73*V66/100</f>
        <v>57802.562659929383</v>
      </c>
      <c r="W74" s="57">
        <f>$AA73*W66/100</f>
        <v>30566.235226074859</v>
      </c>
      <c r="X74" s="57">
        <f>$AA73*X66/100</f>
        <v>5692.6441572241565</v>
      </c>
      <c r="Z74" t="s">
        <v>36</v>
      </c>
      <c r="AA74" s="25">
        <f>SUM(T74:X74)</f>
        <v>95733.119999999995</v>
      </c>
      <c r="AC74" t="s">
        <v>165</v>
      </c>
      <c r="AD74" s="51"/>
      <c r="AE74" s="51"/>
      <c r="AH74" s="2"/>
      <c r="AI74" s="2"/>
    </row>
    <row r="75" spans="1:51" x14ac:dyDescent="0.3">
      <c r="A75" t="s">
        <v>5</v>
      </c>
      <c r="B75" s="13">
        <v>2</v>
      </c>
      <c r="C75" s="5">
        <v>0</v>
      </c>
      <c r="D75" s="1">
        <v>0</v>
      </c>
      <c r="E75" s="27">
        <v>736</v>
      </c>
      <c r="F75" s="1">
        <v>1</v>
      </c>
      <c r="G75" s="6">
        <v>0</v>
      </c>
      <c r="H75" s="1">
        <f>SUM(C75:G75)</f>
        <v>737</v>
      </c>
      <c r="I75" s="10">
        <f>E75/H75</f>
        <v>0.99864314789687925</v>
      </c>
      <c r="J75" s="11">
        <f>1-I75</f>
        <v>1.3568521031207537E-3</v>
      </c>
      <c r="K75">
        <f>H75-E78</f>
        <v>-21</v>
      </c>
      <c r="N75" s="10">
        <f>2*(E79*I75)/(E79+I75)</f>
        <v>0.98461538461538456</v>
      </c>
      <c r="O75" s="1"/>
      <c r="P75" s="1"/>
      <c r="R75" s="66"/>
      <c r="S75" s="66" t="s">
        <v>62</v>
      </c>
      <c r="T75" s="67">
        <f>$AA73*T67/100</f>
        <v>4.2697284784267762</v>
      </c>
      <c r="U75" s="67">
        <f>$AA73*U67/100</f>
        <v>37.420865884580628</v>
      </c>
      <c r="V75" s="67">
        <f>$AA73*V67/100</f>
        <v>124.03410572395512</v>
      </c>
      <c r="W75" s="67">
        <f>$AA73*W67/100</f>
        <v>200.58350289002396</v>
      </c>
      <c r="X75" s="67">
        <f>$AA73*X67/100</f>
        <v>164.34997279979169</v>
      </c>
      <c r="AA75" s="1"/>
      <c r="AC75" t="s">
        <v>166</v>
      </c>
      <c r="AD75" s="51"/>
      <c r="AE75" s="51"/>
    </row>
    <row r="76" spans="1:51" x14ac:dyDescent="0.3">
      <c r="A76" t="s">
        <v>6</v>
      </c>
      <c r="B76" s="13">
        <v>3</v>
      </c>
      <c r="C76" s="5">
        <v>0</v>
      </c>
      <c r="D76" s="1">
        <v>0</v>
      </c>
      <c r="E76" s="1">
        <v>4</v>
      </c>
      <c r="F76" s="27">
        <v>568</v>
      </c>
      <c r="G76" s="6">
        <v>10</v>
      </c>
      <c r="H76" s="1">
        <f>SUM(C76:G76)</f>
        <v>582</v>
      </c>
      <c r="I76" s="10">
        <f>F76/H76</f>
        <v>0.97594501718213056</v>
      </c>
      <c r="J76" s="11">
        <f>1-I76</f>
        <v>2.4054982817869441E-2</v>
      </c>
      <c r="K76">
        <f>H76-F78</f>
        <v>-65</v>
      </c>
      <c r="N76" s="10">
        <f>2*(F79*I76)/(F79+I76)</f>
        <v>0.92432872253864928</v>
      </c>
      <c r="O76" s="1"/>
      <c r="P76" s="1"/>
      <c r="R76" t="s">
        <v>94</v>
      </c>
      <c r="S76" t="s">
        <v>28</v>
      </c>
      <c r="T76" s="57">
        <f>C205</f>
        <v>0.22109869446670025</v>
      </c>
      <c r="U76" s="57">
        <f t="shared" ref="U76:X79" si="9">D205</f>
        <v>1.3393612808744308</v>
      </c>
      <c r="V76" s="57">
        <f t="shared" si="9"/>
        <v>60.222877926978036</v>
      </c>
      <c r="W76" s="57">
        <f t="shared" si="9"/>
        <v>31.759339228468598</v>
      </c>
      <c r="X76" s="57">
        <f t="shared" si="9"/>
        <v>6.4573228692122369</v>
      </c>
      <c r="AC76" t="s">
        <v>167</v>
      </c>
      <c r="AD76" s="51"/>
      <c r="AE76" s="51"/>
      <c r="AH76" s="78"/>
      <c r="AI76" s="78"/>
    </row>
    <row r="77" spans="1:51" x14ac:dyDescent="0.3">
      <c r="A77" t="s">
        <v>7</v>
      </c>
      <c r="B77" s="13">
        <v>4</v>
      </c>
      <c r="C77" s="7">
        <v>0</v>
      </c>
      <c r="D77" s="8">
        <v>22</v>
      </c>
      <c r="E77" s="8">
        <v>17</v>
      </c>
      <c r="F77" s="8">
        <v>46</v>
      </c>
      <c r="G77" s="28">
        <v>924</v>
      </c>
      <c r="H77" s="1">
        <f>SUM(C77:G77)</f>
        <v>1009</v>
      </c>
      <c r="I77" s="10">
        <f>G77/H77</f>
        <v>0.9157581764122894</v>
      </c>
      <c r="J77" s="11">
        <f>1-I77</f>
        <v>8.4241823587710596E-2</v>
      </c>
      <c r="K77">
        <f>H77-G78</f>
        <v>75</v>
      </c>
      <c r="N77" s="10">
        <f>2*(G79*I77)/(G79+I77)</f>
        <v>0.9511065362840968</v>
      </c>
      <c r="O77" s="1"/>
      <c r="P77" s="1"/>
      <c r="S77" s="66" t="s">
        <v>39</v>
      </c>
      <c r="T77" s="67">
        <f>C206</f>
        <v>2.87717239571077E-3</v>
      </c>
      <c r="U77" s="67">
        <f t="shared" si="9"/>
        <v>2.6607294549945332E-2</v>
      </c>
      <c r="V77" s="67">
        <f t="shared" si="9"/>
        <v>0.14133991257546527</v>
      </c>
      <c r="W77" s="67">
        <f t="shared" si="9"/>
        <v>0.26141819295094776</v>
      </c>
      <c r="X77" s="67">
        <f t="shared" si="9"/>
        <v>0.22474366304170038</v>
      </c>
      <c r="AC77" t="s">
        <v>168</v>
      </c>
      <c r="AD77" s="51"/>
      <c r="AE77" s="51"/>
    </row>
    <row r="78" spans="1:51" ht="15.6" x14ac:dyDescent="0.35">
      <c r="B78" s="1" t="s">
        <v>19</v>
      </c>
      <c r="C78" s="1">
        <f>SUM(C73:C77)</f>
        <v>419</v>
      </c>
      <c r="D78" s="1">
        <f>SUM(D73:D77)</f>
        <v>78</v>
      </c>
      <c r="E78" s="1">
        <f>SUM(E73:E77)</f>
        <v>758</v>
      </c>
      <c r="F78" s="1">
        <f>SUM(F73:F77)</f>
        <v>647</v>
      </c>
      <c r="G78" s="1">
        <f>SUM(G73:G77)</f>
        <v>934</v>
      </c>
      <c r="H78" s="1">
        <f>SUM(H72:H77)</f>
        <v>2836</v>
      </c>
      <c r="I78" s="13" t="s">
        <v>12</v>
      </c>
      <c r="N78" s="16"/>
      <c r="O78" s="1"/>
      <c r="P78" s="1"/>
      <c r="S78" s="70" t="s">
        <v>30</v>
      </c>
      <c r="T78" s="64">
        <f>C207</f>
        <v>100</v>
      </c>
      <c r="U78" s="64">
        <f t="shared" si="9"/>
        <v>97.816351629362444</v>
      </c>
      <c r="V78" s="64">
        <f t="shared" si="9"/>
        <v>99.473246296705696</v>
      </c>
      <c r="W78" s="64">
        <f t="shared" si="9"/>
        <v>98.935417769068863</v>
      </c>
      <c r="X78" s="64">
        <f t="shared" si="9"/>
        <v>86.146662484003969</v>
      </c>
      <c r="AC78" t="s">
        <v>169</v>
      </c>
      <c r="AD78" s="51"/>
      <c r="AE78" s="51"/>
      <c r="AH78" s="78"/>
      <c r="AI78" s="78"/>
    </row>
    <row r="79" spans="1:51" x14ac:dyDescent="0.3">
      <c r="A79" s="1" t="s">
        <v>316</v>
      </c>
      <c r="B79" s="1" t="s">
        <v>2</v>
      </c>
      <c r="C79" s="10">
        <f>C73/C78</f>
        <v>1</v>
      </c>
      <c r="D79" s="10">
        <f>D74/D78</f>
        <v>0.71794871794871795</v>
      </c>
      <c r="E79" s="10">
        <f>E75/E78</f>
        <v>0.97097625329815307</v>
      </c>
      <c r="F79" s="10">
        <f>F76/F78</f>
        <v>0.87789799072642971</v>
      </c>
      <c r="G79" s="10">
        <f>G77/G78</f>
        <v>0.98929336188436834</v>
      </c>
      <c r="H79" s="10"/>
      <c r="I79" s="14">
        <f>(C73+D74+E75+F76+G77)/H78</f>
        <v>0.95310296191819466</v>
      </c>
      <c r="S79" s="66" t="s">
        <v>39</v>
      </c>
      <c r="T79" s="67">
        <f>C208</f>
        <v>0</v>
      </c>
      <c r="U79" s="67">
        <f t="shared" si="9"/>
        <v>1.026806476430782</v>
      </c>
      <c r="V79" s="67">
        <f t="shared" si="9"/>
        <v>0.19128259144211926</v>
      </c>
      <c r="W79" s="67">
        <f t="shared" si="9"/>
        <v>0.29023799292577779</v>
      </c>
      <c r="X79" s="67">
        <f t="shared" si="9"/>
        <v>3.0876316437425997</v>
      </c>
      <c r="AC79" t="s">
        <v>170</v>
      </c>
      <c r="AD79" s="51"/>
      <c r="AE79" s="51"/>
    </row>
    <row r="80" spans="1:51" x14ac:dyDescent="0.3">
      <c r="B80" s="1" t="s">
        <v>14</v>
      </c>
      <c r="C80" s="11">
        <f>1-C79</f>
        <v>0</v>
      </c>
      <c r="D80" s="11">
        <f>1-D79</f>
        <v>0.28205128205128205</v>
      </c>
      <c r="E80" s="11">
        <f>1-E79</f>
        <v>2.9023746701846931E-2</v>
      </c>
      <c r="F80" s="11">
        <f>1-F79</f>
        <v>0.12210200927357029</v>
      </c>
      <c r="G80" s="11">
        <f>1-G79</f>
        <v>1.0706638115631661E-2</v>
      </c>
      <c r="S80" s="70" t="s">
        <v>31</v>
      </c>
      <c r="T80" s="64">
        <f>I200</f>
        <v>92.904656319290467</v>
      </c>
      <c r="U80" s="64">
        <f>I201</f>
        <v>98.245614035087712</v>
      </c>
      <c r="V80" s="64">
        <f>I202</f>
        <v>99.864314789687924</v>
      </c>
      <c r="W80" s="64">
        <f>I203</f>
        <v>96.56357388316151</v>
      </c>
      <c r="X80" s="64">
        <f>I204</f>
        <v>94.251734390485638</v>
      </c>
      <c r="AC80" t="s">
        <v>171</v>
      </c>
      <c r="AD80" s="51"/>
      <c r="AE80" s="51"/>
      <c r="AH80" s="78"/>
      <c r="AI80" s="78"/>
      <c r="AJ80" s="348" t="s">
        <v>381</v>
      </c>
      <c r="AK80" s="348"/>
      <c r="AL80" s="348"/>
      <c r="AM80" s="348"/>
      <c r="AN80" s="348"/>
      <c r="AO80" s="348"/>
      <c r="AP80" s="348"/>
      <c r="AQ80" s="348"/>
      <c r="AR80" s="348"/>
      <c r="AS80" s="348"/>
      <c r="AT80" s="348"/>
      <c r="AU80" s="348" t="s">
        <v>351</v>
      </c>
      <c r="AV80" s="348"/>
      <c r="AW80" s="348"/>
      <c r="AX80" s="348"/>
      <c r="AY80" s="348"/>
    </row>
    <row r="81" spans="1:51" x14ac:dyDescent="0.3">
      <c r="C81" s="2"/>
      <c r="S81" s="66" t="s">
        <v>39</v>
      </c>
      <c r="T81" s="67">
        <f>J200</f>
        <v>1.210317190862304</v>
      </c>
      <c r="U81" s="67">
        <f>J201</f>
        <v>1.7543859649122842</v>
      </c>
      <c r="V81" s="67">
        <f>J202</f>
        <v>0.13568521031207589</v>
      </c>
      <c r="W81" s="67">
        <f>J203</f>
        <v>0.75573947011573228</v>
      </c>
      <c r="X81" s="67">
        <f>J204</f>
        <v>0.73313309186721642</v>
      </c>
      <c r="AC81" t="s">
        <v>172</v>
      </c>
      <c r="AD81" s="51"/>
      <c r="AE81" s="51"/>
      <c r="AJ81" t="s">
        <v>315</v>
      </c>
      <c r="AK81" t="s">
        <v>21</v>
      </c>
      <c r="AR81" s="1" t="s">
        <v>53</v>
      </c>
    </row>
    <row r="82" spans="1:51" ht="15.6" x14ac:dyDescent="0.35">
      <c r="A82" t="s">
        <v>317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51</v>
      </c>
      <c r="T82" s="65">
        <f>N189*100</f>
        <v>96.321839080459768</v>
      </c>
      <c r="U82" s="65">
        <f>N190*100</f>
        <v>94.915254237288124</v>
      </c>
      <c r="V82" s="65">
        <f>N191*100</f>
        <v>98.791946308724846</v>
      </c>
      <c r="W82" s="65">
        <f>N192*100</f>
        <v>92.282430213464693</v>
      </c>
      <c r="X82" s="65">
        <f>N193*100</f>
        <v>96.255060728744951</v>
      </c>
      <c r="Z82" s="46"/>
      <c r="AA82" s="46"/>
      <c r="AC82" t="s">
        <v>173</v>
      </c>
      <c r="AD82" s="51"/>
      <c r="AE82" s="51"/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51</v>
      </c>
    </row>
    <row r="83" spans="1:51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61</v>
      </c>
      <c r="S83" t="s">
        <v>9</v>
      </c>
      <c r="T83" s="30">
        <f>N200</f>
        <v>227.83</v>
      </c>
      <c r="U83" s="30">
        <f>N201</f>
        <v>1276.6099999999999</v>
      </c>
      <c r="V83" s="30">
        <f>N202</f>
        <v>57427.47</v>
      </c>
      <c r="W83" s="30">
        <f>N203</f>
        <v>31151.01</v>
      </c>
      <c r="X83" s="30">
        <f>N204</f>
        <v>5650.2</v>
      </c>
      <c r="Z83" t="s">
        <v>36</v>
      </c>
      <c r="AA83" s="1">
        <f>N205</f>
        <v>95733.119999999995</v>
      </c>
      <c r="AC83" t="s">
        <v>174</v>
      </c>
      <c r="AD83" s="51"/>
      <c r="AE83" s="51"/>
      <c r="AJ83" t="s">
        <v>3</v>
      </c>
      <c r="AK83" s="13">
        <v>0</v>
      </c>
      <c r="AL83" s="26">
        <v>419</v>
      </c>
      <c r="AM83" s="3">
        <v>0</v>
      </c>
      <c r="AN83" s="3">
        <v>0</v>
      </c>
      <c r="AO83" s="3">
        <v>32</v>
      </c>
      <c r="AP83" s="4">
        <v>0</v>
      </c>
      <c r="AQ83" s="1">
        <f>SUM(AL83:AP83)</f>
        <v>451</v>
      </c>
      <c r="AR83" s="10">
        <f>AL83/AQ83</f>
        <v>0.92904656319290468</v>
      </c>
      <c r="AS83" s="11">
        <f>1-AR83</f>
        <v>7.0953436807095316E-2</v>
      </c>
      <c r="AT83">
        <f>AQ83-AL88</f>
        <v>32</v>
      </c>
      <c r="AW83" s="10">
        <f>2*(AL89*AR83)/(AL89+AR83)</f>
        <v>0.9632183908045977</v>
      </c>
    </row>
    <row r="84" spans="1:51" ht="15.6" x14ac:dyDescent="0.35">
      <c r="A84" t="s">
        <v>3</v>
      </c>
      <c r="B84" s="13">
        <v>0</v>
      </c>
      <c r="C84" s="29">
        <f>(C73/$L84)*$O84</f>
        <v>0.22136071723589659</v>
      </c>
      <c r="D84" s="31">
        <f>(D73/$L84)*$O84</f>
        <v>0</v>
      </c>
      <c r="E84" s="31">
        <f>(E73/$L84)*$O84</f>
        <v>0</v>
      </c>
      <c r="F84" s="31">
        <f>(F73/$L84)*$O84</f>
        <v>1.6905830433290431E-2</v>
      </c>
      <c r="G84" s="32">
        <f>(G73/$L84)*$O84</f>
        <v>0</v>
      </c>
      <c r="H84" s="17">
        <f>SUM(C84:G84)</f>
        <v>0.23826654766918703</v>
      </c>
      <c r="I84" s="17">
        <f>C84/H84*100</f>
        <v>92.904656319290453</v>
      </c>
      <c r="J84" s="17">
        <f>SQRT(I84*(100-I84)/(L84-1))</f>
        <v>1.2103171908623052</v>
      </c>
      <c r="K84" s="18">
        <f>100-I84</f>
        <v>7.0953436807095471</v>
      </c>
      <c r="L84" s="1">
        <f>H73</f>
        <v>451</v>
      </c>
      <c r="M84">
        <v>0</v>
      </c>
      <c r="N84" s="1">
        <v>228.1</v>
      </c>
      <c r="O84" s="17">
        <f>N84/N89*100</f>
        <v>0.23826654766918701</v>
      </c>
      <c r="P84" s="52">
        <f>((O84*O84*(I84/100)*(K84/100))/(L84-1))</f>
        <v>8.3161927781813878E-6</v>
      </c>
      <c r="R84" s="16" t="s">
        <v>318</v>
      </c>
      <c r="S84" t="s">
        <v>63</v>
      </c>
      <c r="T84" s="57">
        <f>$AA83*T76/100</f>
        <v>211.66467849223952</v>
      </c>
      <c r="U84" s="57">
        <f>$AA83*U76/100</f>
        <v>1282.2123422530558</v>
      </c>
      <c r="V84" s="57">
        <f>$AA83*V76/100</f>
        <v>57653.239993287389</v>
      </c>
      <c r="W84" s="57">
        <f>$AA83*W76/100</f>
        <v>30404.206334796916</v>
      </c>
      <c r="X84" s="57">
        <f>$AA83*X76/100</f>
        <v>6181.7966511703935</v>
      </c>
      <c r="Z84" t="s">
        <v>36</v>
      </c>
      <c r="AA84" s="25">
        <f>SUM(T84:X84)</f>
        <v>95733.12000000001</v>
      </c>
      <c r="AC84" t="s">
        <v>175</v>
      </c>
      <c r="AD84" s="51"/>
      <c r="AE84" s="51"/>
      <c r="AH84" s="78"/>
      <c r="AI84" s="78"/>
      <c r="AJ84" t="s">
        <v>4</v>
      </c>
      <c r="AK84" s="13">
        <v>1</v>
      </c>
      <c r="AL84" s="5">
        <v>0</v>
      </c>
      <c r="AM84" s="27">
        <v>56</v>
      </c>
      <c r="AN84" s="1">
        <v>1</v>
      </c>
      <c r="AO84" s="1">
        <v>0</v>
      </c>
      <c r="AP84" s="6">
        <v>0</v>
      </c>
      <c r="AQ84" s="1">
        <f>SUM(AL84:AP84)</f>
        <v>57</v>
      </c>
      <c r="AR84" s="10">
        <f>AM84/AQ84</f>
        <v>0.98245614035087714</v>
      </c>
      <c r="AS84" s="11">
        <f>1-AR84</f>
        <v>1.7543859649122862E-2</v>
      </c>
      <c r="AT84">
        <f>AQ84-AM88</f>
        <v>-13</v>
      </c>
      <c r="AW84" s="10">
        <f>2*(AM89*AR84)/(AM89+AR84)</f>
        <v>0.88188976377952755</v>
      </c>
    </row>
    <row r="85" spans="1:51" x14ac:dyDescent="0.3">
      <c r="A85" t="s">
        <v>4</v>
      </c>
      <c r="B85" s="13">
        <v>1</v>
      </c>
      <c r="C85" s="33">
        <f t="shared" ref="C85:G88" si="10">(C74/$L85)*$O85</f>
        <v>0</v>
      </c>
      <c r="D85" s="34">
        <f t="shared" si="10"/>
        <v>1.2326944343872457</v>
      </c>
      <c r="E85" s="19">
        <f t="shared" si="10"/>
        <v>2.2012400614057959E-2</v>
      </c>
      <c r="F85" s="18">
        <f t="shared" si="10"/>
        <v>0</v>
      </c>
      <c r="G85" s="20">
        <f t="shared" si="10"/>
        <v>0</v>
      </c>
      <c r="H85" s="17">
        <f>SUM(C85:G85)</f>
        <v>1.2547068350013038</v>
      </c>
      <c r="I85" s="17">
        <f>D85/H85*100</f>
        <v>98.245614035087712</v>
      </c>
      <c r="J85" s="17">
        <f>SQRT(I85*(100-I85)/(L85-1))</f>
        <v>1.7543859649122842</v>
      </c>
      <c r="K85" s="18">
        <f>100-I85</f>
        <v>1.7543859649122879</v>
      </c>
      <c r="L85" s="1">
        <f>H74</f>
        <v>57</v>
      </c>
      <c r="M85">
        <v>1</v>
      </c>
      <c r="N85" s="1">
        <v>1201.17</v>
      </c>
      <c r="O85" s="17">
        <f>N85/N89*100</f>
        <v>1.2547068350013038</v>
      </c>
      <c r="P85" s="52">
        <f>((O85*O85*(I85/100)*(K85/100))/(L85-1))</f>
        <v>4.8454578079378121E-4</v>
      </c>
      <c r="R85" s="66"/>
      <c r="S85" s="66" t="s">
        <v>62</v>
      </c>
      <c r="T85" s="67">
        <f>$AA83*T77/100</f>
        <v>2.7544069021926663</v>
      </c>
      <c r="U85" s="67">
        <f>$AA83*U77/100</f>
        <v>25.471993220252624</v>
      </c>
      <c r="V85" s="67">
        <f>$AA83*V77/100</f>
        <v>135.30910811376526</v>
      </c>
      <c r="W85" s="67">
        <f>$AA83*W77/100</f>
        <v>250.26379235956236</v>
      </c>
      <c r="X85" s="67">
        <f>$AA83*X77/100</f>
        <v>215.15412063210664</v>
      </c>
      <c r="AA85" s="1"/>
      <c r="AC85" t="s">
        <v>176</v>
      </c>
      <c r="AD85" s="51"/>
      <c r="AE85" s="51"/>
      <c r="AJ85" t="s">
        <v>5</v>
      </c>
      <c r="AK85" s="13">
        <v>2</v>
      </c>
      <c r="AL85" s="5">
        <v>0</v>
      </c>
      <c r="AM85" s="1">
        <v>0</v>
      </c>
      <c r="AN85" s="27">
        <v>736</v>
      </c>
      <c r="AO85" s="1">
        <v>1</v>
      </c>
      <c r="AP85" s="6">
        <v>0</v>
      </c>
      <c r="AQ85" s="1">
        <f>SUM(AL85:AP85)</f>
        <v>737</v>
      </c>
      <c r="AR85" s="10">
        <f>AN85/AQ85</f>
        <v>0.99864314789687925</v>
      </c>
      <c r="AS85" s="11">
        <f>1-AR85</f>
        <v>1.3568521031207537E-3</v>
      </c>
      <c r="AT85">
        <f>AQ85-AN88</f>
        <v>-15</v>
      </c>
      <c r="AW85" s="10">
        <f>2*(AN89*AR85)/(AN89+AR85)</f>
        <v>0.98858294157152449</v>
      </c>
    </row>
    <row r="86" spans="1:51" x14ac:dyDescent="0.3">
      <c r="A86" t="s">
        <v>5</v>
      </c>
      <c r="B86" s="13">
        <v>2</v>
      </c>
      <c r="C86" s="33">
        <f t="shared" si="10"/>
        <v>0</v>
      </c>
      <c r="D86" s="19">
        <f t="shared" si="10"/>
        <v>0</v>
      </c>
      <c r="E86" s="34">
        <f t="shared" si="10"/>
        <v>60.083123348852816</v>
      </c>
      <c r="F86" s="19">
        <f t="shared" si="10"/>
        <v>8.1634678463115243E-2</v>
      </c>
      <c r="G86" s="20">
        <f t="shared" si="10"/>
        <v>0</v>
      </c>
      <c r="H86" s="17">
        <f>SUM(C86:G86)</f>
        <v>60.164758027315933</v>
      </c>
      <c r="I86" s="17">
        <f>E86/H86*100</f>
        <v>99.864314789687924</v>
      </c>
      <c r="J86" s="17">
        <f>SQRT(I86*(100-I86)/(L86-1))</f>
        <v>0.13568521031207589</v>
      </c>
      <c r="K86" s="18">
        <f>100-I86</f>
        <v>0.13568521031207581</v>
      </c>
      <c r="L86" s="1">
        <f>H75</f>
        <v>737</v>
      </c>
      <c r="M86">
        <v>2</v>
      </c>
      <c r="N86" s="1">
        <v>57597.599999999999</v>
      </c>
      <c r="O86" s="17">
        <f>N86/N89*100</f>
        <v>60.164758027315933</v>
      </c>
      <c r="P86" s="52">
        <f>((O86*O86*(I86/100)*(K86/100))/(L86-1))</f>
        <v>6.6642207277762024E-3</v>
      </c>
      <c r="R86" t="s">
        <v>95</v>
      </c>
      <c r="S86" s="70" t="s">
        <v>28</v>
      </c>
      <c r="T86" s="64">
        <f>C234</f>
        <v>0.22136071723589659</v>
      </c>
      <c r="U86" s="64">
        <f t="shared" ref="U86:X89" si="11">D234</f>
        <v>1.347761006256839</v>
      </c>
      <c r="V86" s="64">
        <f t="shared" si="11"/>
        <v>60.269773350838001</v>
      </c>
      <c r="W86" s="64">
        <f t="shared" si="11"/>
        <v>32.222354313030607</v>
      </c>
      <c r="X86" s="64">
        <f t="shared" si="11"/>
        <v>5.9387506126386498</v>
      </c>
      <c r="AA86" s="12"/>
      <c r="AC86" t="s">
        <v>177</v>
      </c>
      <c r="AD86" s="51"/>
      <c r="AE86" s="51"/>
      <c r="AH86" s="78"/>
      <c r="AI86" s="78"/>
      <c r="AJ86" t="s">
        <v>6</v>
      </c>
      <c r="AK86" s="13">
        <v>3</v>
      </c>
      <c r="AL86" s="5">
        <v>0</v>
      </c>
      <c r="AM86" s="1">
        <v>0</v>
      </c>
      <c r="AN86" s="1">
        <v>4</v>
      </c>
      <c r="AO86" s="27">
        <v>570</v>
      </c>
      <c r="AP86" s="6">
        <v>8</v>
      </c>
      <c r="AQ86" s="1">
        <f>SUM(AL86:AP86)</f>
        <v>582</v>
      </c>
      <c r="AR86" s="10">
        <f>AO86/AQ86</f>
        <v>0.97938144329896903</v>
      </c>
      <c r="AS86" s="11">
        <f>1-AR86</f>
        <v>2.0618556701030966E-2</v>
      </c>
      <c r="AT86">
        <f>AQ86-AO88</f>
        <v>-65</v>
      </c>
      <c r="AW86" s="10">
        <f>2*(AO89*AR86)/(AO89+AR86)</f>
        <v>0.92758340113913751</v>
      </c>
    </row>
    <row r="87" spans="1:51" x14ac:dyDescent="0.3">
      <c r="A87" t="s">
        <v>6</v>
      </c>
      <c r="B87" s="13">
        <v>3</v>
      </c>
      <c r="C87" s="33">
        <f t="shared" si="10"/>
        <v>0</v>
      </c>
      <c r="D87" s="19">
        <f t="shared" si="10"/>
        <v>0</v>
      </c>
      <c r="E87" s="19">
        <f t="shared" si="10"/>
        <v>0.22315925730575673</v>
      </c>
      <c r="F87" s="34">
        <f t="shared" si="10"/>
        <v>31.688614537417457</v>
      </c>
      <c r="G87" s="20">
        <f t="shared" si="10"/>
        <v>0.55789814326439191</v>
      </c>
      <c r="H87" s="17">
        <f>SUM(C87:G87)</f>
        <v>32.469671937987606</v>
      </c>
      <c r="I87" s="17">
        <f>F87/H87*100</f>
        <v>97.594501718213053</v>
      </c>
      <c r="J87" s="17">
        <f>SQRT(I87*(100-I87)/(L87-1))</f>
        <v>0.63566329513058506</v>
      </c>
      <c r="K87" s="18">
        <f>100-I87</f>
        <v>2.4054982817869472</v>
      </c>
      <c r="L87" s="1">
        <f>H76</f>
        <v>582</v>
      </c>
      <c r="M87">
        <v>3</v>
      </c>
      <c r="N87" s="1">
        <v>31084.23</v>
      </c>
      <c r="O87" s="17">
        <f>N87/N89*100</f>
        <v>32.469671937987606</v>
      </c>
      <c r="P87" s="52">
        <f>((O87*O87*(I87/100)*(K87/100))/(L87-1))</f>
        <v>4.2600046296497003E-2</v>
      </c>
      <c r="S87" s="66" t="s">
        <v>39</v>
      </c>
      <c r="T87" s="67">
        <f>C235</f>
        <v>2.8805821158830115E-3</v>
      </c>
      <c r="U87" s="67">
        <f t="shared" si="11"/>
        <v>3.9718970384033693E-2</v>
      </c>
      <c r="V87" s="67">
        <f t="shared" si="11"/>
        <v>0.14219096359972136</v>
      </c>
      <c r="W87" s="67">
        <f t="shared" si="11"/>
        <v>0.19617038085849731</v>
      </c>
      <c r="X87" s="67">
        <f t="shared" si="11"/>
        <v>0.14319796981852406</v>
      </c>
      <c r="AC87" t="s">
        <v>178</v>
      </c>
      <c r="AD87" s="51"/>
      <c r="AE87" s="51"/>
      <c r="AJ87" t="s">
        <v>7</v>
      </c>
      <c r="AK87" s="13">
        <v>4</v>
      </c>
      <c r="AL87" s="7">
        <v>0</v>
      </c>
      <c r="AM87" s="8">
        <v>14</v>
      </c>
      <c r="AN87" s="8">
        <v>11</v>
      </c>
      <c r="AO87" s="8">
        <v>44</v>
      </c>
      <c r="AP87" s="28">
        <v>940</v>
      </c>
      <c r="AQ87" s="1">
        <f>SUM(AL87:AP87)</f>
        <v>1009</v>
      </c>
      <c r="AR87" s="10">
        <f>AP87/AQ87</f>
        <v>0.93161546085232905</v>
      </c>
      <c r="AS87" s="11">
        <f>1-AR87</f>
        <v>6.8384539147670953E-2</v>
      </c>
      <c r="AT87">
        <f>AQ87-AP88</f>
        <v>61</v>
      </c>
      <c r="AW87" s="10">
        <f>2*(AP89*AR87)/(AP89+AR87)</f>
        <v>0.96065406234031681</v>
      </c>
    </row>
    <row r="88" spans="1:51" ht="15.6" x14ac:dyDescent="0.35">
      <c r="A88" t="s">
        <v>7</v>
      </c>
      <c r="B88" s="13">
        <v>4</v>
      </c>
      <c r="C88" s="35">
        <f t="shared" si="10"/>
        <v>0</v>
      </c>
      <c r="D88" s="36">
        <f t="shared" si="10"/>
        <v>0.12804472383010035</v>
      </c>
      <c r="E88" s="21">
        <f t="shared" si="10"/>
        <v>9.8943650232350272E-2</v>
      </c>
      <c r="F88" s="21">
        <f t="shared" si="10"/>
        <v>0.26772987709930074</v>
      </c>
      <c r="G88" s="37">
        <f t="shared" si="10"/>
        <v>5.3778784008642146</v>
      </c>
      <c r="H88" s="17">
        <f>SUM(C88:G88)</f>
        <v>5.8725966520259663</v>
      </c>
      <c r="I88" s="17">
        <f>G88/H88*100</f>
        <v>91.575817641228937</v>
      </c>
      <c r="J88" s="17">
        <f>SQRT(I88*(100-I88)/(L88-1))</f>
        <v>0.87483070213844472</v>
      </c>
      <c r="K88" s="18">
        <f>100-I88</f>
        <v>8.4241823587710627</v>
      </c>
      <c r="L88" s="1">
        <f>H77</f>
        <v>1009</v>
      </c>
      <c r="M88">
        <v>4</v>
      </c>
      <c r="N88" s="1">
        <v>5622.02</v>
      </c>
      <c r="O88" s="17">
        <f>N88/N89*100</f>
        <v>5.8725966520259663</v>
      </c>
      <c r="P88" s="52">
        <f>((O88*O88*(I88/100)*(K88/100))/(L88-1))</f>
        <v>2.6394192434881954E-3</v>
      </c>
      <c r="S88" t="s">
        <v>30</v>
      </c>
      <c r="T88" s="57">
        <f>C236</f>
        <v>100</v>
      </c>
      <c r="U88" s="57">
        <f t="shared" si="11"/>
        <v>92.535591669860125</v>
      </c>
      <c r="V88" s="57">
        <f t="shared" si="11"/>
        <v>99.485900837181617</v>
      </c>
      <c r="W88" s="57">
        <f t="shared" si="11"/>
        <v>98.996817431904418</v>
      </c>
      <c r="X88" s="57">
        <f t="shared" si="11"/>
        <v>94.365717283368667</v>
      </c>
      <c r="AC88" t="s">
        <v>179</v>
      </c>
      <c r="AD88" s="51"/>
      <c r="AE88" s="51"/>
      <c r="AH88" s="78"/>
      <c r="AI88" s="78"/>
      <c r="AK88" s="1" t="s">
        <v>19</v>
      </c>
      <c r="AL88" s="1">
        <f>SUM(AL83:AL87)</f>
        <v>419</v>
      </c>
      <c r="AM88" s="1">
        <f>SUM(AM83:AM87)</f>
        <v>70</v>
      </c>
      <c r="AN88" s="1">
        <f>SUM(AN83:AN87)</f>
        <v>752</v>
      </c>
      <c r="AO88" s="1">
        <f>SUM(AO83:AO87)</f>
        <v>647</v>
      </c>
      <c r="AP88" s="1">
        <f>SUM(AP83:AP87)</f>
        <v>948</v>
      </c>
      <c r="AQ88" s="1">
        <f>SUM(AQ82:AQ87)</f>
        <v>2836</v>
      </c>
      <c r="AR88" s="13" t="s">
        <v>12</v>
      </c>
    </row>
    <row r="89" spans="1:51" x14ac:dyDescent="0.3">
      <c r="B89" t="s">
        <v>28</v>
      </c>
      <c r="C89" s="17">
        <f>SUM(C84:C88)</f>
        <v>0.22136071723589659</v>
      </c>
      <c r="D89" s="17">
        <f>SUM(D84:D88)</f>
        <v>1.360739158217346</v>
      </c>
      <c r="E89" s="17">
        <f>SUM(E84:E88)</f>
        <v>60.427238657004985</v>
      </c>
      <c r="F89" s="17">
        <f>SUM(F84:F88)</f>
        <v>32.054884923413162</v>
      </c>
      <c r="G89" s="17">
        <f>SUM(G84:G88)</f>
        <v>5.9357765441286068</v>
      </c>
      <c r="H89" s="1">
        <f>SUM(H83:H88)</f>
        <v>99.999999999999986</v>
      </c>
      <c r="I89" s="13" t="s">
        <v>24</v>
      </c>
      <c r="J89" s="12" t="s">
        <v>29</v>
      </c>
      <c r="N89" s="1">
        <f>SUM(N84:N88)</f>
        <v>95733.119999999995</v>
      </c>
      <c r="O89" s="17">
        <f>SUM(O84:O88)</f>
        <v>99.999999999999986</v>
      </c>
      <c r="S89" s="66" t="s">
        <v>39</v>
      </c>
      <c r="T89" s="67">
        <f>C237</f>
        <v>0</v>
      </c>
      <c r="U89" s="67">
        <f t="shared" si="11"/>
        <v>2.4207357422480973</v>
      </c>
      <c r="V89" s="67">
        <f t="shared" si="11"/>
        <v>0.19283480028019945</v>
      </c>
      <c r="W89" s="67">
        <f t="shared" si="11"/>
        <v>0.27891312492050346</v>
      </c>
      <c r="X89" s="67">
        <f t="shared" si="11"/>
        <v>2.203295071714972</v>
      </c>
      <c r="AC89" t="s">
        <v>180</v>
      </c>
      <c r="AD89" s="51"/>
      <c r="AE89" s="51"/>
      <c r="AJ89" s="1" t="s">
        <v>316</v>
      </c>
      <c r="AK89" s="1" t="s">
        <v>2</v>
      </c>
      <c r="AL89" s="10">
        <f>AL83/AL88</f>
        <v>1</v>
      </c>
      <c r="AM89" s="10">
        <f>AM84/AM88</f>
        <v>0.8</v>
      </c>
      <c r="AN89" s="10">
        <f>AN85/AN88</f>
        <v>0.97872340425531912</v>
      </c>
      <c r="AO89" s="10">
        <f>AO86/AO88</f>
        <v>0.8809891808346213</v>
      </c>
      <c r="AP89" s="10">
        <f>AP87/AP88</f>
        <v>0.99156118143459915</v>
      </c>
      <c r="AQ89" s="10"/>
      <c r="AR89" s="14">
        <f>(AL83+AM84+AN85+AO86+AP87)/AQ88</f>
        <v>0.95944992947813823</v>
      </c>
    </row>
    <row r="90" spans="1:51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2.8805821158830115E-3</v>
      </c>
      <c r="D90" s="18">
        <f>SQRT(SUM((O84*O84*(D84/O84)*(1-D84/O84))/L84,(O85*O85*(D85/O85)*(1-D85/O85))/L85,(O86*O86*(D86/O86)*(1-D86/O86))/L86,(O87*O87*(D87/O87)*(1-D87/O87))/L87,(O88*O88*(D88/O88)*(1-D88/O88))/L88))</f>
        <v>3.4713737274942383E-2</v>
      </c>
      <c r="E90" s="18">
        <f>SQRT(SUM((O84*O84*(E84/O84)*(1-E84/O84))/L84,(O85*O85*(E85/O85)*(1-E85/O85))/L85,(O86*O86*(E86/O86)*(1-E86/O86))/L86,(O87*O87*(E87/O87)*(1-E87/O87))/L87,(O88*O88*(E88/O88)*(1-E88/O88))/L88))</f>
        <v>0.14163982680297604</v>
      </c>
      <c r="F90" s="18">
        <f>SQRT(SUM((O84*O84*(F84/O84)*(1-F84/O84))/L84,(O85*O85*(F85/O85)*(1-F85/O85))/L85,(O86*O86*(F86/O86)*(1-F86/O86))/L86,(O87*O87*(F87/O87)*(1-F87/O87))/L87,(O88*O88*(F88/O88)*(1-F88/O88))/L88))</f>
        <v>0.22511670729572295</v>
      </c>
      <c r="G90" s="18">
        <f>SQRT(SUM((O84*O84*(G84/O84)*(1-G84/O84))/L84,(O85*O85*(G85/O85)*(1-G85/O85))/L85,(O86*O86*(G86/O86)*(1-G86/O86))/L86,(O87*O87*(G87/O87)*(1-G87/O87))/L87,(O88*O88*(G88/O88)*(1-G88/O88))/L88))</f>
        <v>0.18228286479339043</v>
      </c>
      <c r="H90" s="1"/>
      <c r="I90" s="14">
        <f>(C84+D85+E86+F87+G88)/H89</f>
        <v>0.98603671438757656</v>
      </c>
      <c r="J90" s="53">
        <f>SQRT(SUM(P84:P88))/100</f>
        <v>2.2890292318215018E-3</v>
      </c>
      <c r="M90" s="1"/>
      <c r="N90" s="9"/>
      <c r="S90" t="s">
        <v>31</v>
      </c>
      <c r="T90" s="57">
        <f>I229</f>
        <v>92.904656319290453</v>
      </c>
      <c r="U90" s="57">
        <f>I230</f>
        <v>96.491228070175453</v>
      </c>
      <c r="V90" s="57">
        <f>I231</f>
        <v>99.864314789687924</v>
      </c>
      <c r="W90" s="57">
        <f>I232</f>
        <v>98.281786941580748</v>
      </c>
      <c r="X90" s="57">
        <f>I233</f>
        <v>93.855302279484647</v>
      </c>
      <c r="AC90" t="s">
        <v>181</v>
      </c>
      <c r="AD90" s="51"/>
      <c r="AE90" s="51"/>
      <c r="AH90" s="78"/>
      <c r="AI90" s="78"/>
      <c r="AK90" s="1" t="s">
        <v>14</v>
      </c>
      <c r="AL90" s="11">
        <f>1-AL89</f>
        <v>0</v>
      </c>
      <c r="AM90" s="11">
        <f>1-AM89</f>
        <v>0.19999999999999996</v>
      </c>
      <c r="AN90" s="11">
        <f>1-AN89</f>
        <v>2.1276595744680882E-2</v>
      </c>
      <c r="AO90" s="11">
        <f>1-AO89</f>
        <v>0.1190108191653787</v>
      </c>
      <c r="AP90" s="11">
        <f>1-AP89</f>
        <v>8.4388185654008518E-3</v>
      </c>
    </row>
    <row r="91" spans="1:51" x14ac:dyDescent="0.3">
      <c r="B91" s="1" t="s">
        <v>30</v>
      </c>
      <c r="C91" s="17">
        <f>C84/C89*100</f>
        <v>100</v>
      </c>
      <c r="D91" s="17">
        <f>D85/D89*100</f>
        <v>90.590061066674451</v>
      </c>
      <c r="E91" s="17">
        <f>E86/E89*100</f>
        <v>99.430529483391723</v>
      </c>
      <c r="F91" s="17">
        <f>F87/F89*100</f>
        <v>98.8573648388668</v>
      </c>
      <c r="G91" s="17">
        <f>G88/G89*100</f>
        <v>90.601092559384853</v>
      </c>
      <c r="H91" s="1"/>
      <c r="S91" s="66" t="s">
        <v>39</v>
      </c>
      <c r="T91" s="67">
        <f>J229</f>
        <v>1.2103171908623052</v>
      </c>
      <c r="U91" s="67">
        <f>J230</f>
        <v>2.4588241692166095</v>
      </c>
      <c r="V91" s="67">
        <f>J231</f>
        <v>0.13568521031207589</v>
      </c>
      <c r="W91" s="67">
        <f>J232</f>
        <v>0.53912188711835507</v>
      </c>
      <c r="X91" s="67">
        <f>J233</f>
        <v>0.75639631076802649</v>
      </c>
      <c r="AC91" t="s">
        <v>182</v>
      </c>
      <c r="AD91" s="51"/>
      <c r="AE91" s="51"/>
      <c r="AL91" s="2"/>
    </row>
    <row r="92" spans="1:51" ht="15.6" x14ac:dyDescent="0.35">
      <c r="B92" s="16" t="s">
        <v>39</v>
      </c>
      <c r="C92" s="18">
        <f>SQRT((C95+C96)/(C89*C89))</f>
        <v>0</v>
      </c>
      <c r="D92" s="18">
        <f>SQRT((D95+D96)/(D89*D89))</f>
        <v>2.356138227013068</v>
      </c>
      <c r="E92" s="18">
        <f>SQRT((E95+E96)/(E89*E89))</f>
        <v>0.190893543305696</v>
      </c>
      <c r="F92" s="18">
        <f>SQRT((F95+F96)/(F89*F89))</f>
        <v>0.28815783950935131</v>
      </c>
      <c r="G92" s="18">
        <f>SQRT((G95+G96)/(G89*G89))</f>
        <v>2.7929982725566997</v>
      </c>
      <c r="H92" s="1"/>
      <c r="S92" s="66" t="s">
        <v>51</v>
      </c>
      <c r="T92" s="67">
        <f>N218*100</f>
        <v>96.321839080459768</v>
      </c>
      <c r="U92" s="67">
        <f>N219*100</f>
        <v>85.271317829457374</v>
      </c>
      <c r="V92" s="67">
        <f>N220*100</f>
        <v>99.0578734858681</v>
      </c>
      <c r="W92" s="67">
        <f>N221*100</f>
        <v>93.387755102040799</v>
      </c>
      <c r="X92" s="67">
        <f>N222*100</f>
        <v>96.53414882772681</v>
      </c>
      <c r="AC92" t="s">
        <v>183</v>
      </c>
      <c r="AD92" s="51"/>
      <c r="AE92" s="51"/>
      <c r="AH92" s="78"/>
      <c r="AI92" s="78"/>
      <c r="AJ92" t="s">
        <v>317</v>
      </c>
      <c r="AK92" s="15" t="s">
        <v>23</v>
      </c>
      <c r="AW92" s="12" t="s">
        <v>17</v>
      </c>
      <c r="AX92" s="1" t="s">
        <v>27</v>
      </c>
      <c r="AY92" s="1" t="s">
        <v>33</v>
      </c>
    </row>
    <row r="93" spans="1:51" ht="15.6" x14ac:dyDescent="0.35">
      <c r="B93" s="1" t="s">
        <v>37</v>
      </c>
      <c r="C93" s="18">
        <f>100-C91</f>
        <v>0</v>
      </c>
      <c r="D93" s="18">
        <f>100-D91</f>
        <v>9.4099389333255488</v>
      </c>
      <c r="E93" s="18">
        <f>100-E91</f>
        <v>0.56947051660827697</v>
      </c>
      <c r="F93" s="18">
        <f>100-F91</f>
        <v>1.1426351611331995</v>
      </c>
      <c r="G93" s="18">
        <f>100-G91</f>
        <v>9.3989074406151474</v>
      </c>
      <c r="R93" s="16" t="s">
        <v>61</v>
      </c>
      <c r="S93" t="s">
        <v>9</v>
      </c>
      <c r="T93" s="30">
        <f>N229</f>
        <v>228.1</v>
      </c>
      <c r="U93" s="30">
        <f>N230</f>
        <v>1237.3599999999999</v>
      </c>
      <c r="V93" s="30">
        <f>N231</f>
        <v>57479.5</v>
      </c>
      <c r="W93" s="30">
        <f>N232</f>
        <v>31071.89</v>
      </c>
      <c r="X93" s="30">
        <f>N233</f>
        <v>5716.27</v>
      </c>
      <c r="Z93" t="s">
        <v>36</v>
      </c>
      <c r="AA93" s="1">
        <f>N234</f>
        <v>95733.12000000001</v>
      </c>
      <c r="AC93" t="s">
        <v>184</v>
      </c>
      <c r="AD93" s="51"/>
      <c r="AE93" s="51"/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</row>
    <row r="94" spans="1:51" ht="15.6" x14ac:dyDescent="0.35">
      <c r="B94" s="1" t="s">
        <v>25</v>
      </c>
      <c r="C94" s="1">
        <f>C78</f>
        <v>419</v>
      </c>
      <c r="D94" s="1">
        <f>D78</f>
        <v>78</v>
      </c>
      <c r="E94" s="1">
        <f>E78</f>
        <v>758</v>
      </c>
      <c r="F94" s="1">
        <f>F78</f>
        <v>647</v>
      </c>
      <c r="G94" s="1">
        <f>G78</f>
        <v>934</v>
      </c>
      <c r="R94" s="16" t="s">
        <v>318</v>
      </c>
      <c r="S94" t="s">
        <v>63</v>
      </c>
      <c r="T94" s="57">
        <f>$AA93*T86/100</f>
        <v>211.91552106430157</v>
      </c>
      <c r="U94" s="57">
        <f>$AA93*U86/100</f>
        <v>1290.2536614330672</v>
      </c>
      <c r="V94" s="57">
        <f>$AA93*V86/100</f>
        <v>57698.13444568577</v>
      </c>
      <c r="W94" s="57">
        <f>$AA93*W86/100</f>
        <v>30847.465121318768</v>
      </c>
      <c r="X94" s="57">
        <f>$AA93*X86/100</f>
        <v>5685.3512504980945</v>
      </c>
      <c r="Z94" t="s">
        <v>36</v>
      </c>
      <c r="AA94" s="25">
        <f>SUM(T94:X94)</f>
        <v>95733.119999999995</v>
      </c>
      <c r="AC94" t="s">
        <v>185</v>
      </c>
      <c r="AD94" s="51"/>
      <c r="AE94" s="51"/>
      <c r="AH94" s="78"/>
      <c r="AI94" s="78"/>
      <c r="AJ94" t="s">
        <v>3</v>
      </c>
      <c r="AK94" s="13">
        <v>0</v>
      </c>
      <c r="AL94" s="29">
        <f>(AL83/$AU94)*$AX94</f>
        <v>0.22153539908202752</v>
      </c>
      <c r="AM94" s="31">
        <f t="shared" ref="AM94:AO95" si="12">(AM83/$AU94)*$AX94</f>
        <v>0</v>
      </c>
      <c r="AN94" s="31">
        <f t="shared" si="12"/>
        <v>0</v>
      </c>
      <c r="AO94" s="31">
        <f t="shared" si="12"/>
        <v>1.6919171290274176E-2</v>
      </c>
      <c r="AP94" s="32">
        <f>(AP83/$AU94)*$AX94</f>
        <v>0</v>
      </c>
      <c r="AQ94" s="17">
        <f>SUM(AL94:AP94)</f>
        <v>0.23845457037230169</v>
      </c>
      <c r="AR94" s="17">
        <f>AL94/AQ94*100</f>
        <v>92.904656319290467</v>
      </c>
      <c r="AS94" s="17">
        <f>SQRT(AR94*(100-AR94)/(AU94-1))</f>
        <v>1.210317190862304</v>
      </c>
      <c r="AT94" s="18">
        <f>100-AR94</f>
        <v>7.0953436807095329</v>
      </c>
      <c r="AU94" s="1">
        <f>AQ83</f>
        <v>451</v>
      </c>
      <c r="AV94">
        <v>0</v>
      </c>
      <c r="AW94" s="1">
        <v>228.28</v>
      </c>
      <c r="AX94" s="17">
        <f>AW94/AW99*100</f>
        <v>0.23845457037230169</v>
      </c>
      <c r="AY94" s="52">
        <f>((AX94*AX94*(AR94/100)*(AT94/100))/(AU94-1))</f>
        <v>8.3293230309512696E-6</v>
      </c>
    </row>
    <row r="95" spans="1:51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4.2905051377851073</v>
      </c>
      <c r="E95" s="18">
        <f>(O86*O86*(100-E91)*(100-E91)*(I86)*(100-I86))/((L86-1)*100)</f>
        <v>0.21611845854051975</v>
      </c>
      <c r="F95" s="18">
        <f>(O87*O87*(100-F91)*(100-F91)*(I87)*(100-I87))/((L87-1)*100)</f>
        <v>5.5619264193512317</v>
      </c>
      <c r="G95" s="18">
        <f>(O88*O88*(100-G91)*(100-G91)*(I88)*(100-I88))/((L88-1)*100)</f>
        <v>23.316487352667213</v>
      </c>
      <c r="R95" s="66"/>
      <c r="S95" s="66" t="s">
        <v>62</v>
      </c>
      <c r="T95" s="67">
        <f>$AA93*T87/100</f>
        <v>2.7576711336968232</v>
      </c>
      <c r="U95" s="67">
        <f>$AA93*U87/100</f>
        <v>38.024209580511439</v>
      </c>
      <c r="V95" s="67">
        <f>$AA93*V87/100</f>
        <v>136.12384581207758</v>
      </c>
      <c r="W95" s="67">
        <f>$AA93*W87/100</f>
        <v>187.8000261117223</v>
      </c>
      <c r="X95" s="67">
        <f>$AA93*X87/100</f>
        <v>137.08788428393143</v>
      </c>
      <c r="AA95" s="1"/>
      <c r="AC95" t="s">
        <v>186</v>
      </c>
      <c r="AD95" s="51"/>
      <c r="AE95" s="51"/>
      <c r="AJ95" t="s">
        <v>4</v>
      </c>
      <c r="AK95" s="13">
        <v>1</v>
      </c>
      <c r="AL95" s="33">
        <f t="shared" ref="AL95:AO98" si="13">(AL84/$AU95)*$AX95</f>
        <v>0</v>
      </c>
      <c r="AM95" s="34">
        <f>(AM84/$AU95)*$AX95</f>
        <v>1.2841503473222808</v>
      </c>
      <c r="AN95" s="19">
        <f t="shared" si="12"/>
        <v>2.2931256202183586E-2</v>
      </c>
      <c r="AO95" s="18">
        <f t="shared" si="12"/>
        <v>0</v>
      </c>
      <c r="AP95" s="20">
        <f>(AP84/$AU95)*$AX95</f>
        <v>0</v>
      </c>
      <c r="AQ95" s="17">
        <f>SUM(AL95:AP95)</f>
        <v>1.3070816035244643</v>
      </c>
      <c r="AR95" s="17">
        <f>AM95/AQ95*100</f>
        <v>98.245614035087726</v>
      </c>
      <c r="AS95" s="17">
        <f>SQRT(AR95*(100-AR95)/(AU95-1))</f>
        <v>1.7543859649122773</v>
      </c>
      <c r="AT95" s="18">
        <f>100-AR95</f>
        <v>1.7543859649122737</v>
      </c>
      <c r="AU95" s="1">
        <f>AQ84</f>
        <v>57</v>
      </c>
      <c r="AV95">
        <v>1</v>
      </c>
      <c r="AW95" s="1">
        <v>1251.31</v>
      </c>
      <c r="AX95" s="17">
        <f>AW95/AW99*100</f>
        <v>1.3070816035244646</v>
      </c>
      <c r="AY95" s="52">
        <f>((AX95*AX95*(AR95/100)*(AT95/100))/(AU95-1))</f>
        <v>5.2584251101018122E-4</v>
      </c>
    </row>
    <row r="96" spans="1:51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5.9885050498903354</v>
      </c>
      <c r="E96" s="18">
        <f>E91*E91*(SUM((H84*E84*(1-E73/H73))/(H73-1),(H85*E85*(1-E74/H74))/(H74-1), (H87*E87*(1-E76/H76))/(H76-1),(H88*E88*(1-E77/H77))/(H77-1)))</f>
        <v>132.8440215357524</v>
      </c>
      <c r="F96" s="18">
        <f>F91*F91*(SUM((H84*F84*(1-F73/H73))/(H73-1),(H85*F85*(1-F74/H74))/(H74-1), (H86*F86*(1-F75/H75))/(H75-1),(H88*F88*(1-F77/H77))/(H77-1)))</f>
        <v>79.757774199640011</v>
      </c>
      <c r="G96" s="18">
        <f>G91*G91*(SUM((H84*G84*(1-G73/H73))/(H73-1),(H85*G85*(1-G74/H74))/(H74-1), (H86*G86*(1-G75/H75))/(H75-1),(H87*G87*(1-G76/H76))/(H76-1)))</f>
        <v>251.53394267390337</v>
      </c>
      <c r="R96" t="s">
        <v>96</v>
      </c>
      <c r="S96" t="s">
        <v>28</v>
      </c>
      <c r="T96" s="57">
        <f>C263</f>
        <v>0.22704359805403143</v>
      </c>
      <c r="U96" s="57">
        <f t="shared" ref="U96:X99" si="14">D263</f>
        <v>1.3517071104759715</v>
      </c>
      <c r="V96" s="57">
        <f t="shared" si="14"/>
        <v>60.505172549131863</v>
      </c>
      <c r="W96" s="57">
        <f t="shared" si="14"/>
        <v>32.12576699621814</v>
      </c>
      <c r="X96" s="57">
        <f t="shared" si="14"/>
        <v>5.7903097461199886</v>
      </c>
      <c r="Y96" s="13"/>
      <c r="Z96" s="74"/>
      <c r="AA96" s="12"/>
      <c r="AC96" t="s">
        <v>187</v>
      </c>
      <c r="AD96" s="51"/>
      <c r="AE96" s="51"/>
      <c r="AH96" s="78"/>
      <c r="AI96" s="78"/>
      <c r="AJ96" t="s">
        <v>5</v>
      </c>
      <c r="AK96" s="13">
        <v>2</v>
      </c>
      <c r="AL96" s="33">
        <f t="shared" si="13"/>
        <v>0</v>
      </c>
      <c r="AM96" s="19">
        <f t="shared" si="13"/>
        <v>0</v>
      </c>
      <c r="AN96" s="34">
        <f t="shared" si="13"/>
        <v>60.133737144304135</v>
      </c>
      <c r="AO96" s="19">
        <f t="shared" si="13"/>
        <v>8.1703447206934954E-2</v>
      </c>
      <c r="AP96" s="20">
        <f>(AP85/$AU96)*$AX96</f>
        <v>0</v>
      </c>
      <c r="AQ96" s="17">
        <f>SUM(AL96:AP96)</f>
        <v>60.215440591511069</v>
      </c>
      <c r="AR96" s="17">
        <f>AN96/AQ96*100</f>
        <v>99.864314789687924</v>
      </c>
      <c r="AS96" s="17">
        <f>SQRT(AR96*(100-AR96)/(AU96-1))</f>
        <v>0.13568521031207589</v>
      </c>
      <c r="AT96" s="18">
        <f>100-AR96</f>
        <v>0.13568521031207581</v>
      </c>
      <c r="AU96" s="1">
        <f>AQ85</f>
        <v>737</v>
      </c>
      <c r="AV96">
        <v>2</v>
      </c>
      <c r="AW96" s="1">
        <v>57646.12</v>
      </c>
      <c r="AX96" s="17">
        <f>AW96/AW99*100</f>
        <v>60.215440591511069</v>
      </c>
      <c r="AY96" s="52">
        <f>((AX96*AX96*(AR96/100)*(AT96/100))/(AU96-1))</f>
        <v>6.6754532854963996E-3</v>
      </c>
    </row>
    <row r="97" spans="1:51" x14ac:dyDescent="0.3">
      <c r="S97" s="66" t="s">
        <v>39</v>
      </c>
      <c r="T97" s="67">
        <f>C264</f>
        <v>4.4657332590748739E-3</v>
      </c>
      <c r="U97" s="67">
        <f t="shared" si="14"/>
        <v>3.2513864415380289E-2</v>
      </c>
      <c r="V97" s="67">
        <f t="shared" si="14"/>
        <v>0.12994392840381552</v>
      </c>
      <c r="W97" s="67">
        <f t="shared" si="14"/>
        <v>0.20312901132226011</v>
      </c>
      <c r="X97" s="67">
        <f t="shared" si="14"/>
        <v>0.16269848021767458</v>
      </c>
      <c r="AC97" t="s">
        <v>188</v>
      </c>
      <c r="AD97" s="51"/>
      <c r="AE97" s="51"/>
      <c r="AJ97" t="s">
        <v>6</v>
      </c>
      <c r="AK97" s="13">
        <v>3</v>
      </c>
      <c r="AL97" s="33">
        <f t="shared" si="13"/>
        <v>0</v>
      </c>
      <c r="AM97" s="19">
        <f t="shared" si="13"/>
        <v>0</v>
      </c>
      <c r="AN97" s="19">
        <f t="shared" si="13"/>
        <v>0.22312817145984282</v>
      </c>
      <c r="AO97" s="34">
        <f t="shared" si="13"/>
        <v>31.7957644330276</v>
      </c>
      <c r="AP97" s="20">
        <f>(AP86/$AU97)*$AX97</f>
        <v>0.44625634291968563</v>
      </c>
      <c r="AQ97" s="17">
        <f>SUM(AL97:AP97)</f>
        <v>32.46514894740713</v>
      </c>
      <c r="AR97" s="17">
        <f>AO97/AQ97*100</f>
        <v>97.9381443298969</v>
      </c>
      <c r="AS97" s="17">
        <f>SQRT(AR97*(100-AR97)/(AU97-1))</f>
        <v>0.58954505375429189</v>
      </c>
      <c r="AT97" s="18">
        <f>100-AR97</f>
        <v>2.0618556701030997</v>
      </c>
      <c r="AU97" s="1">
        <f>AQ86</f>
        <v>582</v>
      </c>
      <c r="AV97">
        <v>3</v>
      </c>
      <c r="AW97" s="1">
        <v>31079.9</v>
      </c>
      <c r="AX97" s="17">
        <f>AW97/AW99*100</f>
        <v>32.46514894740713</v>
      </c>
      <c r="AY97" s="52">
        <f>((AX97*AX97*(AR97/100)*(AT97/100))/(AU97-1))</f>
        <v>3.6632689043594034E-2</v>
      </c>
    </row>
    <row r="98" spans="1:51" x14ac:dyDescent="0.3">
      <c r="S98" t="s">
        <v>30</v>
      </c>
      <c r="T98" s="57">
        <f>C265</f>
        <v>100</v>
      </c>
      <c r="U98" s="57">
        <f t="shared" si="14"/>
        <v>92.452650292978859</v>
      </c>
      <c r="V98" s="57">
        <f t="shared" si="14"/>
        <v>99.555741194150002</v>
      </c>
      <c r="W98" s="57">
        <f t="shared" si="14"/>
        <v>99.022099422869729</v>
      </c>
      <c r="X98" s="57">
        <f t="shared" si="14"/>
        <v>92.302712337765882</v>
      </c>
      <c r="AA98" s="54"/>
      <c r="AC98" t="s">
        <v>189</v>
      </c>
      <c r="AD98" s="51"/>
      <c r="AE98" s="51"/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3"/>
        <v>8.0113221031308801E-2</v>
      </c>
      <c r="AN98" s="21">
        <f t="shared" si="13"/>
        <v>6.2946102238885485E-2</v>
      </c>
      <c r="AO98" s="21">
        <f t="shared" si="13"/>
        <v>0.25178440895554194</v>
      </c>
      <c r="AP98" s="37">
        <f>(AP87/$AU98)*$AX98</f>
        <v>5.3790305549593054</v>
      </c>
      <c r="AQ98" s="17">
        <f>SUM(AL98:AP98)</f>
        <v>5.7738742871850413</v>
      </c>
      <c r="AR98" s="17">
        <f>AP98/AQ98*100</f>
        <v>93.161546085232899</v>
      </c>
      <c r="AS98" s="17">
        <f>SQRT(AR98*(100-AR98)/(AU98-1))</f>
        <v>0.79499983748395853</v>
      </c>
      <c r="AT98" s="18">
        <f>100-AR98</f>
        <v>6.8384539147671006</v>
      </c>
      <c r="AU98" s="1">
        <f>AQ87</f>
        <v>1009</v>
      </c>
      <c r="AV98">
        <v>4</v>
      </c>
      <c r="AW98" s="1">
        <v>5527.51</v>
      </c>
      <c r="AX98" s="17">
        <f>AW98/AW99*100</f>
        <v>5.7738742871850413</v>
      </c>
      <c r="AY98" s="52">
        <f>((AX98*AX98*(AR98/100)*(AT98/100))/(AU98-1))</f>
        <v>2.1070203373773876E-3</v>
      </c>
    </row>
    <row r="99" spans="1:51" x14ac:dyDescent="0.3">
      <c r="A99" s="348" t="s">
        <v>380</v>
      </c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 t="s">
        <v>57</v>
      </c>
      <c r="M99" s="348"/>
      <c r="N99" s="348"/>
      <c r="O99" s="348"/>
      <c r="P99" s="348"/>
      <c r="S99" s="66" t="s">
        <v>39</v>
      </c>
      <c r="T99" s="67">
        <f>C266</f>
        <v>0</v>
      </c>
      <c r="U99" s="67">
        <f t="shared" si="14"/>
        <v>2.0522859054762637</v>
      </c>
      <c r="V99" s="67">
        <f t="shared" si="14"/>
        <v>0.16646066517572933</v>
      </c>
      <c r="W99" s="67">
        <f t="shared" si="14"/>
        <v>0.27744197828772521</v>
      </c>
      <c r="X99" s="67">
        <f t="shared" si="14"/>
        <v>2.5659795703858044</v>
      </c>
      <c r="AC99" t="s">
        <v>190</v>
      </c>
      <c r="AD99" s="51"/>
      <c r="AE99" s="51"/>
      <c r="AK99" t="s">
        <v>28</v>
      </c>
      <c r="AL99" s="17">
        <f t="shared" ref="AL99:AQ99" si="15">SUM(AL94:AL98)</f>
        <v>0.22153539908202752</v>
      </c>
      <c r="AM99" s="17">
        <f t="shared" si="15"/>
        <v>1.3642635683535898</v>
      </c>
      <c r="AN99" s="17">
        <f t="shared" si="15"/>
        <v>60.442742674205043</v>
      </c>
      <c r="AO99" s="17">
        <f t="shared" si="15"/>
        <v>32.146171460480353</v>
      </c>
      <c r="AP99" s="17">
        <f t="shared" si="15"/>
        <v>5.8252868978789909</v>
      </c>
      <c r="AQ99" s="18">
        <f t="shared" si="15"/>
        <v>100</v>
      </c>
      <c r="AR99" s="13" t="s">
        <v>24</v>
      </c>
      <c r="AS99" s="12" t="s">
        <v>29</v>
      </c>
      <c r="AW99" s="1">
        <f>SUM(AW94:AW98)</f>
        <v>95733.119999999995</v>
      </c>
      <c r="AX99" s="17">
        <f>SUM(AX94:AX98)</f>
        <v>100</v>
      </c>
    </row>
    <row r="100" spans="1:51" x14ac:dyDescent="0.3">
      <c r="A100" t="s">
        <v>315</v>
      </c>
      <c r="B100" t="s">
        <v>21</v>
      </c>
      <c r="I100" s="1" t="s">
        <v>53</v>
      </c>
      <c r="O100" s="142"/>
      <c r="P100" s="142"/>
      <c r="S100" t="s">
        <v>31</v>
      </c>
      <c r="T100" s="57">
        <f>I258</f>
        <v>85.144124168514409</v>
      </c>
      <c r="U100" s="57">
        <f>I259</f>
        <v>98.245614035087726</v>
      </c>
      <c r="V100" s="57">
        <f>I260</f>
        <v>99.864314789687924</v>
      </c>
      <c r="W100" s="57">
        <f>I261</f>
        <v>98.109965635738831</v>
      </c>
      <c r="X100" s="57">
        <f>I262</f>
        <v>93.458870168483642</v>
      </c>
      <c r="AC100" t="s">
        <v>191</v>
      </c>
      <c r="AD100" s="51"/>
      <c r="AE100" s="51"/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2.8828552626645066E-3</v>
      </c>
      <c r="AM100" s="18">
        <f>SQRT(SUM((AX94*AM94-AM94*AM94)/AU94,(AX95*AM95-AM95*AM95)/AU95,(AX96*AM96-AM96*AM96)/AU96,(AX97*AM97-AM97*AM97)/AU97,(AX98*AM98-AM98*AM98)/AU98))</f>
        <v>3.1123850195102873E-2</v>
      </c>
      <c r="AN100" s="18">
        <f>SQRT(SUM((AX94*AN94-AN94*AN94)/AU94,(AX95*AN95-AN95*AN95)/AU95,(AX96*AN96-AN96*AN96)/AU96,(AX97*AN97-AN97*AN97)/AU97,(AX98*AN98-AN98*AN98)/AU98))</f>
        <v>0.14106838429167434</v>
      </c>
      <c r="AO100" s="18">
        <f>SQRT(SUM((AX94*AO94-AO94*AO94)/AU94,(AX95*AO95-AO95*AO95)/AU95,(AX96*AO96-AO96*AO96)/AU96,(AX97*AO97-AO97*AO97)/AU97,(AX98*AO98-AO98*AO98)/AU98))</f>
        <v>0.21124021204054405</v>
      </c>
      <c r="AP100" s="18">
        <f>SQRT(SUM((AX94*AP94-AP94*AP94)/AU94,(AX95*AP95-AP95*AP95)/AU95,(AX96*AP96-AP96*AP96)/AU96,(AX97*AP97-AP97*AP97)/AU97,(AX98*AP98-AP98*AP98)/AU98))</f>
        <v>0.16326619214027499</v>
      </c>
      <c r="AQ100" s="1"/>
      <c r="AR100" s="56">
        <f>(AL94+AM95+AN96+AO97+AP98)/AQ99</f>
        <v>0.98814217878695343</v>
      </c>
      <c r="AS100" s="53">
        <f>SQRT(SUM(AY94:AY98))/100</f>
        <v>2.1435795879908206E-3</v>
      </c>
      <c r="AV100" s="1"/>
      <c r="AW100" s="9"/>
    </row>
    <row r="101" spans="1:51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51</v>
      </c>
      <c r="O101" s="13"/>
      <c r="P101" s="13"/>
      <c r="S101" s="66" t="s">
        <v>39</v>
      </c>
      <c r="T101" s="67">
        <f>J258</f>
        <v>1.6765643019964909</v>
      </c>
      <c r="U101" s="67">
        <f>J259</f>
        <v>1.7543859649122773</v>
      </c>
      <c r="V101" s="67">
        <f>J260</f>
        <v>0.13568521031207589</v>
      </c>
      <c r="W101" s="67">
        <f>J261</f>
        <v>0.5649413271715471</v>
      </c>
      <c r="X101" s="67">
        <f>J262</f>
        <v>0.77876492296262712</v>
      </c>
      <c r="AC101" t="s">
        <v>192</v>
      </c>
      <c r="AD101" s="51"/>
      <c r="AE101" s="51"/>
      <c r="AK101" s="1" t="s">
        <v>30</v>
      </c>
      <c r="AL101" s="17">
        <f>AL94/AL99*100</f>
        <v>100</v>
      </c>
      <c r="AM101" s="17">
        <f>AM95/AM99*100</f>
        <v>94.127731408382431</v>
      </c>
      <c r="AN101" s="17">
        <f>AN96/AN99*100</f>
        <v>99.488763222465778</v>
      </c>
      <c r="AO101" s="17">
        <f>AO97/AO99*100</f>
        <v>98.90995720008668</v>
      </c>
      <c r="AP101" s="17">
        <f>AP98/AP99*100</f>
        <v>92.339324212818269</v>
      </c>
      <c r="AQ101" s="1"/>
    </row>
    <row r="102" spans="1:51" x14ac:dyDescent="0.3">
      <c r="A102" t="s">
        <v>3</v>
      </c>
      <c r="B102" s="13">
        <v>0</v>
      </c>
      <c r="C102" s="26">
        <v>419</v>
      </c>
      <c r="D102" s="3">
        <v>0</v>
      </c>
      <c r="E102" s="3">
        <v>0</v>
      </c>
      <c r="F102" s="3">
        <v>32</v>
      </c>
      <c r="G102" s="4">
        <v>0</v>
      </c>
      <c r="H102" s="1">
        <f>SUM(C102:G102)</f>
        <v>451</v>
      </c>
      <c r="I102" s="10">
        <f>C102/H102</f>
        <v>0.92904656319290468</v>
      </c>
      <c r="J102" s="11">
        <f>1-I102</f>
        <v>7.0953436807095316E-2</v>
      </c>
      <c r="K102">
        <f>H102-C107</f>
        <v>32</v>
      </c>
      <c r="N102" s="10">
        <f>2*(C108*I102)/(C108+I102)</f>
        <v>0.9632183908045977</v>
      </c>
      <c r="O102" s="1"/>
      <c r="P102" s="1"/>
      <c r="S102" s="66" t="s">
        <v>51</v>
      </c>
      <c r="T102" s="67">
        <f>N247*100</f>
        <v>91.976047904191617</v>
      </c>
      <c r="U102" s="67">
        <f>N248*100</f>
        <v>85.496183206106863</v>
      </c>
      <c r="V102" s="67">
        <f>N249*100</f>
        <v>98.725687458081822</v>
      </c>
      <c r="W102" s="67">
        <f>N250*100</f>
        <v>90.996015936254963</v>
      </c>
      <c r="X102" s="67">
        <f>N251*100</f>
        <v>96.224489795918373</v>
      </c>
      <c r="AC102" t="s">
        <v>193</v>
      </c>
      <c r="AD102" s="51"/>
      <c r="AE102" s="51"/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1.7687365199545697</v>
      </c>
      <c r="AN102" s="18">
        <f>SQRT((AN105+AN106)/(AN99*AN99))</f>
        <v>0.18970017384731178</v>
      </c>
      <c r="AO102" s="18">
        <f>SQRT((AO105+AO106)/(AO99*AO99))</f>
        <v>0.28380854209175477</v>
      </c>
      <c r="AP102" s="18">
        <f>SQRT((AP105+AP106)/(AP99*AP99))</f>
        <v>2.5581030678838119</v>
      </c>
      <c r="AQ102" s="1"/>
    </row>
    <row r="103" spans="1:51" x14ac:dyDescent="0.3">
      <c r="A103" t="s">
        <v>4</v>
      </c>
      <c r="B103" s="13">
        <v>1</v>
      </c>
      <c r="C103" s="5">
        <v>0</v>
      </c>
      <c r="D103" s="27">
        <v>54</v>
      </c>
      <c r="E103" s="1">
        <v>3</v>
      </c>
      <c r="F103" s="1">
        <v>0</v>
      </c>
      <c r="G103" s="6">
        <v>0</v>
      </c>
      <c r="H103" s="1">
        <f>SUM(C103:G103)</f>
        <v>57</v>
      </c>
      <c r="I103" s="10">
        <f>D103/H103</f>
        <v>0.94736842105263153</v>
      </c>
      <c r="J103" s="11">
        <f>1-I103</f>
        <v>5.2631578947368474E-2</v>
      </c>
      <c r="K103">
        <f>H103-D107</f>
        <v>-19</v>
      </c>
      <c r="N103" s="10">
        <f>2*(D108*I103)/(D108+I103)</f>
        <v>0.81203007518796977</v>
      </c>
      <c r="O103" s="1"/>
      <c r="P103" s="1"/>
      <c r="R103" s="16" t="s">
        <v>61</v>
      </c>
      <c r="S103" t="s">
        <v>9</v>
      </c>
      <c r="T103" s="30">
        <f>N258</f>
        <v>255.28</v>
      </c>
      <c r="U103" s="30">
        <f>N259</f>
        <v>1217.73</v>
      </c>
      <c r="V103" s="30">
        <f>N260</f>
        <v>57744.51</v>
      </c>
      <c r="W103" s="30">
        <f>N261</f>
        <v>31040.93</v>
      </c>
      <c r="X103" s="30">
        <f>N262</f>
        <v>5474.67</v>
      </c>
      <c r="Z103" t="s">
        <v>36</v>
      </c>
      <c r="AA103" s="1">
        <f>N263</f>
        <v>95733.12000000001</v>
      </c>
      <c r="AC103" t="s">
        <v>194</v>
      </c>
      <c r="AD103" s="51"/>
      <c r="AE103" s="51"/>
      <c r="AK103" s="1" t="s">
        <v>37</v>
      </c>
      <c r="AL103" s="18">
        <f>100-AL101</f>
        <v>0</v>
      </c>
      <c r="AM103" s="18">
        <f>100-AM101</f>
        <v>5.8722685916175692</v>
      </c>
      <c r="AN103" s="18">
        <f>100-AN101</f>
        <v>0.51123677753422214</v>
      </c>
      <c r="AO103" s="18">
        <f>100-AO101</f>
        <v>1.09004279991332</v>
      </c>
      <c r="AP103" s="18">
        <f>100-AP101</f>
        <v>7.6606757871817308</v>
      </c>
    </row>
    <row r="104" spans="1:51" ht="15.6" x14ac:dyDescent="0.35">
      <c r="A104" t="s">
        <v>5</v>
      </c>
      <c r="B104" s="13">
        <v>2</v>
      </c>
      <c r="C104" s="5">
        <v>0</v>
      </c>
      <c r="D104" s="1">
        <v>0</v>
      </c>
      <c r="E104" s="27">
        <v>736</v>
      </c>
      <c r="F104" s="1">
        <v>1</v>
      </c>
      <c r="G104" s="6">
        <v>0</v>
      </c>
      <c r="H104" s="1">
        <f>SUM(C104:G104)</f>
        <v>737</v>
      </c>
      <c r="I104" s="10">
        <f>E104/H104</f>
        <v>0.99864314789687925</v>
      </c>
      <c r="J104" s="11">
        <f>1-I104</f>
        <v>1.3568521031207537E-3</v>
      </c>
      <c r="K104">
        <f>H104-E107</f>
        <v>-10</v>
      </c>
      <c r="N104" s="10">
        <f>2*(E108*I104)/(E108+I104)</f>
        <v>0.99191374663072773</v>
      </c>
      <c r="O104" s="1"/>
      <c r="P104" s="1"/>
      <c r="R104" s="16" t="s">
        <v>318</v>
      </c>
      <c r="S104" t="s">
        <v>63</v>
      </c>
      <c r="T104" s="57">
        <f>$AA103*T96/100</f>
        <v>217.35592017738361</v>
      </c>
      <c r="U104" s="57">
        <f>$AA103*U96/100</f>
        <v>1294.0313901204945</v>
      </c>
      <c r="V104" s="57">
        <f>$AA103*V96/100</f>
        <v>57923.489442667465</v>
      </c>
      <c r="W104" s="57">
        <f>$AA103*W96/100</f>
        <v>30754.999069409911</v>
      </c>
      <c r="X104" s="57">
        <f>$AA103*X96/100</f>
        <v>5543.2441776247451</v>
      </c>
      <c r="Z104" t="s">
        <v>36</v>
      </c>
      <c r="AA104" s="25">
        <f>SUM(T104:X104)</f>
        <v>95733.119999999995</v>
      </c>
      <c r="AC104" t="s">
        <v>195</v>
      </c>
      <c r="AD104" s="51"/>
      <c r="AE104" s="51"/>
      <c r="AH104" s="78"/>
      <c r="AI104" s="78"/>
      <c r="AK104" s="1" t="s">
        <v>25</v>
      </c>
      <c r="AL104" s="1">
        <f>AL88</f>
        <v>419</v>
      </c>
      <c r="AM104" s="1">
        <f>AM88</f>
        <v>70</v>
      </c>
      <c r="AN104" s="1">
        <f>AN88</f>
        <v>752</v>
      </c>
      <c r="AO104" s="1">
        <f>AO88</f>
        <v>647</v>
      </c>
      <c r="AP104" s="1">
        <f>AP88</f>
        <v>948</v>
      </c>
    </row>
    <row r="105" spans="1:51" x14ac:dyDescent="0.3">
      <c r="A105" t="s">
        <v>6</v>
      </c>
      <c r="B105" s="13">
        <v>3</v>
      </c>
      <c r="C105" s="5">
        <v>0</v>
      </c>
      <c r="D105" s="1">
        <v>0</v>
      </c>
      <c r="E105" s="1">
        <v>3</v>
      </c>
      <c r="F105" s="27">
        <v>571</v>
      </c>
      <c r="G105" s="6">
        <v>8</v>
      </c>
      <c r="H105" s="1">
        <f>SUM(C105:G105)</f>
        <v>582</v>
      </c>
      <c r="I105" s="10">
        <f>F105/H105</f>
        <v>0.98109965635738827</v>
      </c>
      <c r="J105" s="11">
        <f>1-I105</f>
        <v>1.8900343642611728E-2</v>
      </c>
      <c r="K105">
        <f>H105-F107</f>
        <v>-57</v>
      </c>
      <c r="N105" s="10">
        <f>2*(F108*I105)/(F108+I105)</f>
        <v>0.93529893529893537</v>
      </c>
      <c r="O105" s="1"/>
      <c r="P105" s="1"/>
      <c r="R105" s="66"/>
      <c r="S105" s="66" t="s">
        <v>62</v>
      </c>
      <c r="T105" s="67">
        <f>$AA103*T97/100</f>
        <v>4.2751857797900605</v>
      </c>
      <c r="U105" s="67">
        <f>$AA103*U97/100</f>
        <v>31.126536837413315</v>
      </c>
      <c r="V105" s="67">
        <f>$AA103*V97/100</f>
        <v>124.39937691153882</v>
      </c>
      <c r="W105" s="67">
        <f>$AA103*W97/100</f>
        <v>194.4617401639529</v>
      </c>
      <c r="X105" s="67">
        <f>$AA103*X97/100</f>
        <v>155.75633130496269</v>
      </c>
      <c r="AA105" s="1"/>
      <c r="AC105" t="s">
        <v>196</v>
      </c>
      <c r="AD105" s="51"/>
      <c r="AE105" s="51"/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1.8132910427133748</v>
      </c>
      <c r="AN105" s="18">
        <f>(AX96*AX96*(100-AN101)*(100-AN101)*(AR96)*(100-AR96))/((AU96-1)*100)</f>
        <v>0.17447167821229206</v>
      </c>
      <c r="AO105" s="18">
        <f>(AX97*AX97*(100-AO101)*(100-AO101)*(AR97)*(100-AR97))/((AU97-1)*100)</f>
        <v>4.3526715889295335</v>
      </c>
      <c r="AP105" s="18">
        <f>(AX98*AX98*(100-AP101)*(100-AP101)*(AR98)*(100-AR98))/((AU98-1)*100)</f>
        <v>12.365249757725428</v>
      </c>
    </row>
    <row r="106" spans="1:51" x14ac:dyDescent="0.3">
      <c r="A106" t="s">
        <v>7</v>
      </c>
      <c r="B106" s="13">
        <v>4</v>
      </c>
      <c r="C106" s="7">
        <v>0</v>
      </c>
      <c r="D106" s="8">
        <v>22</v>
      </c>
      <c r="E106" s="8">
        <v>5</v>
      </c>
      <c r="F106" s="8">
        <v>35</v>
      </c>
      <c r="G106" s="28">
        <v>947</v>
      </c>
      <c r="H106" s="1">
        <f>SUM(C106:G106)</f>
        <v>1009</v>
      </c>
      <c r="I106" s="10">
        <f>G106/H106</f>
        <v>0.93855302279484643</v>
      </c>
      <c r="J106" s="11">
        <f>1-I106</f>
        <v>6.1446977205153575E-2</v>
      </c>
      <c r="K106">
        <f>H106-G107</f>
        <v>54</v>
      </c>
      <c r="N106" s="10">
        <f>2*(G108*I106)/(G108+I106)</f>
        <v>0.96435845213849292</v>
      </c>
      <c r="O106" s="1"/>
      <c r="P106" s="1"/>
      <c r="R106" t="s">
        <v>97</v>
      </c>
      <c r="S106" t="s">
        <v>28</v>
      </c>
      <c r="T106" s="57">
        <f>C292</f>
        <v>0.19162825814848233</v>
      </c>
      <c r="U106" s="57">
        <f t="shared" ref="U106:X109" si="16">D292</f>
        <v>1.1341344228216981</v>
      </c>
      <c r="V106" s="57">
        <f t="shared" si="16"/>
        <v>60.762723855879777</v>
      </c>
      <c r="W106" s="57">
        <f t="shared" si="16"/>
        <v>31.874967982132389</v>
      </c>
      <c r="X106" s="57">
        <f t="shared" si="16"/>
        <v>6.0365454810176553</v>
      </c>
      <c r="Y106" s="60"/>
      <c r="Z106" s="74"/>
      <c r="AA106" s="12"/>
      <c r="AC106" t="s">
        <v>197</v>
      </c>
      <c r="AD106" s="51"/>
      <c r="AE106" s="51"/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4.0093879722217967</v>
      </c>
      <c r="AN106" s="18">
        <f>AN101*AN101*(SUM((AQ94*AN94*(1-AN83/AQ83))/(AQ83-1),(AQ95*AN95*(1-AN84/AQ84))/(AQ84-1), (AQ97*AN97*(1-AN86/AQ86))/(AQ86-1),(AQ98*AN98*(1-AN87/AQ87))/(AQ87-1)))</f>
        <v>131.29465664527362</v>
      </c>
      <c r="AO106" s="18">
        <f>AO101*AO101*(SUM((AQ94*AO94*(1-AO83/AQ83))/(AQ83-1),(AQ95*AO95*(1-AO84/AQ84))/(AQ84-1), (AQ96*AO96*(1-AO85/AQ85))/(AQ85-1),(AQ98*AO98*(1-AO87/AQ87))/(AQ87-1)))</f>
        <v>78.882990629607136</v>
      </c>
      <c r="AP106" s="18">
        <f>AP101*AP101*(SUM((AQ94*AP94*(1-AP83/AQ83))/(AQ83-1),(AQ95*AP95*(1-AP84/AQ84))/(AQ84-1), (AQ96*AP96*(1-AP85/AQ85))/(AQ85-1),(AQ97*AP97*(1-AP86/AQ86))/(AQ86-1)))</f>
        <v>209.69494476516491</v>
      </c>
    </row>
    <row r="107" spans="1:51" ht="15.6" x14ac:dyDescent="0.35">
      <c r="B107" s="1" t="s">
        <v>19</v>
      </c>
      <c r="C107" s="1">
        <f>SUM(C102:C106)</f>
        <v>419</v>
      </c>
      <c r="D107" s="1">
        <f>SUM(D102:D106)</f>
        <v>76</v>
      </c>
      <c r="E107" s="1">
        <f>SUM(E102:E106)</f>
        <v>747</v>
      </c>
      <c r="F107" s="1">
        <f>SUM(F102:F106)</f>
        <v>639</v>
      </c>
      <c r="G107" s="1">
        <f>SUM(G102:G106)</f>
        <v>955</v>
      </c>
      <c r="H107" s="1">
        <f>SUM(H101:H106)</f>
        <v>2836</v>
      </c>
      <c r="I107" s="13" t="s">
        <v>12</v>
      </c>
      <c r="N107" s="16"/>
      <c r="O107" s="1"/>
      <c r="P107" s="1"/>
      <c r="S107" s="66" t="s">
        <v>39</v>
      </c>
      <c r="T107" s="67">
        <f>C293</f>
        <v>3.6694906508226198E-3</v>
      </c>
      <c r="U107" s="67">
        <f t="shared" si="16"/>
        <v>3.3522837497042768E-2</v>
      </c>
      <c r="V107" s="67">
        <f t="shared" si="16"/>
        <v>0.14159444429071463</v>
      </c>
      <c r="W107" s="67">
        <f t="shared" si="16"/>
        <v>0.23111574278555566</v>
      </c>
      <c r="X107" s="67">
        <f t="shared" si="16"/>
        <v>0.18864404266855658</v>
      </c>
      <c r="AC107" t="s">
        <v>198</v>
      </c>
      <c r="AD107" s="51"/>
      <c r="AE107" s="51"/>
    </row>
    <row r="108" spans="1:51" x14ac:dyDescent="0.3">
      <c r="A108" s="1" t="s">
        <v>316</v>
      </c>
      <c r="B108" s="1" t="s">
        <v>2</v>
      </c>
      <c r="C108" s="10">
        <f>C102/C107</f>
        <v>1</v>
      </c>
      <c r="D108" s="10">
        <f>D103/D107</f>
        <v>0.71052631578947367</v>
      </c>
      <c r="E108" s="10">
        <f>E104/E107</f>
        <v>0.98527443105756363</v>
      </c>
      <c r="F108" s="10">
        <f>F105/F107</f>
        <v>0.89358372456964008</v>
      </c>
      <c r="G108" s="10">
        <f>G106/G107</f>
        <v>0.9916230366492147</v>
      </c>
      <c r="H108" s="10"/>
      <c r="I108" s="14">
        <f>(C102+D103+E104+F105+G106)/H107</f>
        <v>0.96156558533145275</v>
      </c>
      <c r="S108" t="s">
        <v>30</v>
      </c>
      <c r="T108" s="57">
        <f>C294</f>
        <v>100</v>
      </c>
      <c r="U108" s="57">
        <f t="shared" si="16"/>
        <v>93.846209529500499</v>
      </c>
      <c r="V108" s="57">
        <f t="shared" si="16"/>
        <v>99.465840909263136</v>
      </c>
      <c r="W108" s="57">
        <f t="shared" si="16"/>
        <v>98.675899377388276</v>
      </c>
      <c r="X108" s="57">
        <f t="shared" si="16"/>
        <v>89.891609758046869</v>
      </c>
      <c r="AC108" t="s">
        <v>199</v>
      </c>
      <c r="AD108" s="51"/>
      <c r="AE108" s="51"/>
      <c r="AH108" s="78"/>
      <c r="AI108" s="78"/>
      <c r="AJ108" s="118" t="s">
        <v>352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</row>
    <row r="109" spans="1:51" x14ac:dyDescent="0.3">
      <c r="B109" s="1" t="s">
        <v>14</v>
      </c>
      <c r="C109" s="11">
        <f>1-C108</f>
        <v>0</v>
      </c>
      <c r="D109" s="11">
        <f>1-D108</f>
        <v>0.28947368421052633</v>
      </c>
      <c r="E109" s="11">
        <f>1-E108</f>
        <v>1.4725568942436373E-2</v>
      </c>
      <c r="F109" s="11">
        <f>1-F108</f>
        <v>0.10641627543035992</v>
      </c>
      <c r="G109" s="11">
        <f>1-G108</f>
        <v>8.3769633507853047E-3</v>
      </c>
      <c r="S109" s="66" t="s">
        <v>39</v>
      </c>
      <c r="T109" s="67">
        <f>C295</f>
        <v>0</v>
      </c>
      <c r="U109" s="67">
        <f t="shared" si="16"/>
        <v>2.2169085776090673</v>
      </c>
      <c r="V109" s="67">
        <f t="shared" si="16"/>
        <v>0.1892696733827603</v>
      </c>
      <c r="W109" s="67">
        <f t="shared" si="16"/>
        <v>0.298027794451388</v>
      </c>
      <c r="X109" s="67">
        <f t="shared" si="16"/>
        <v>2.8362042075498191</v>
      </c>
      <c r="AC109" t="s">
        <v>200</v>
      </c>
      <c r="AD109" s="51"/>
      <c r="AE109" s="51"/>
      <c r="AJ109" s="106" t="s">
        <v>666</v>
      </c>
      <c r="AK109" s="107" t="s">
        <v>28</v>
      </c>
      <c r="AL109" s="108">
        <f t="shared" ref="AL109:AP112" si="17">AL99</f>
        <v>0.22153539908202752</v>
      </c>
      <c r="AM109" s="108">
        <f t="shared" si="17"/>
        <v>1.3642635683535898</v>
      </c>
      <c r="AN109" s="108">
        <f t="shared" si="17"/>
        <v>60.442742674205043</v>
      </c>
      <c r="AO109" s="108">
        <f t="shared" si="17"/>
        <v>32.146171460480353</v>
      </c>
      <c r="AP109" s="108">
        <f t="shared" si="17"/>
        <v>5.8252868978789909</v>
      </c>
      <c r="AQ109" s="107"/>
      <c r="AR109" s="228" t="s">
        <v>72</v>
      </c>
      <c r="AS109" s="229">
        <f>AR100</f>
        <v>0.98814217878695343</v>
      </c>
    </row>
    <row r="110" spans="1:51" x14ac:dyDescent="0.3">
      <c r="C110" s="2"/>
      <c r="S110" s="15" t="s">
        <v>31</v>
      </c>
      <c r="T110" s="71">
        <f>I287</f>
        <v>85.80931263858092</v>
      </c>
      <c r="U110" s="71">
        <f>I288</f>
        <v>96.491228070175438</v>
      </c>
      <c r="V110" s="71">
        <f>I289</f>
        <v>99.864314789687924</v>
      </c>
      <c r="W110" s="71">
        <f>I290</f>
        <v>97.422680412371136</v>
      </c>
      <c r="X110" s="71">
        <f>I291</f>
        <v>92.467789890981166</v>
      </c>
      <c r="AC110" t="s">
        <v>201</v>
      </c>
      <c r="AD110" s="51"/>
      <c r="AE110" s="51"/>
      <c r="AH110" s="78"/>
      <c r="AI110" s="78"/>
      <c r="AJ110" s="107"/>
      <c r="AK110" s="109" t="s">
        <v>39</v>
      </c>
      <c r="AL110" s="110">
        <f t="shared" si="17"/>
        <v>2.8828552626645066E-3</v>
      </c>
      <c r="AM110" s="110">
        <f t="shared" si="17"/>
        <v>3.1123850195102873E-2</v>
      </c>
      <c r="AN110" s="110">
        <f t="shared" si="17"/>
        <v>0.14106838429167434</v>
      </c>
      <c r="AO110" s="110">
        <f t="shared" si="17"/>
        <v>0.21124021204054405</v>
      </c>
      <c r="AP110" s="110">
        <f t="shared" si="17"/>
        <v>0.16326619214027499</v>
      </c>
      <c r="AQ110" s="107"/>
      <c r="AR110" s="228" t="s">
        <v>29</v>
      </c>
      <c r="AS110" s="230">
        <f>AS100</f>
        <v>2.1435795879908206E-3</v>
      </c>
      <c r="AX110" s="103" t="s">
        <v>363</v>
      </c>
    </row>
    <row r="111" spans="1:51" ht="15.6" x14ac:dyDescent="0.35">
      <c r="A111" t="s">
        <v>317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1.644987759733163</v>
      </c>
      <c r="U111" s="76">
        <f>J288</f>
        <v>2.4588241692166148</v>
      </c>
      <c r="V111" s="76">
        <f>J289</f>
        <v>0.13568521031207589</v>
      </c>
      <c r="W111" s="76">
        <f>J290</f>
        <v>0.65739456332296642</v>
      </c>
      <c r="X111" s="76">
        <f>J291</f>
        <v>0.83123952539973922</v>
      </c>
      <c r="AC111" t="s">
        <v>155</v>
      </c>
      <c r="AD111" s="51"/>
      <c r="AE111" s="51"/>
      <c r="AJ111" s="107"/>
      <c r="AK111" s="107" t="s">
        <v>30</v>
      </c>
      <c r="AL111" s="108">
        <f t="shared" si="17"/>
        <v>100</v>
      </c>
      <c r="AM111" s="108">
        <f t="shared" si="17"/>
        <v>94.127731408382431</v>
      </c>
      <c r="AN111" s="108">
        <f t="shared" si="17"/>
        <v>99.488763222465778</v>
      </c>
      <c r="AO111" s="108">
        <f t="shared" si="17"/>
        <v>98.90995720008668</v>
      </c>
      <c r="AP111" s="108">
        <f t="shared" si="17"/>
        <v>92.339324212818269</v>
      </c>
      <c r="AQ111" s="107"/>
      <c r="AR111" s="107"/>
      <c r="AS111" s="107"/>
      <c r="AU111" s="103" t="s">
        <v>363</v>
      </c>
      <c r="AW111" s="101"/>
      <c r="AX111" s="1" t="s">
        <v>357</v>
      </c>
      <c r="AY111" s="96"/>
    </row>
    <row r="112" spans="1:51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51</v>
      </c>
      <c r="T112" s="67">
        <f>N276*100</f>
        <v>92.362768496420045</v>
      </c>
      <c r="U112" s="67">
        <f>N277*100</f>
        <v>88.709677419354833</v>
      </c>
      <c r="V112" s="67">
        <f>N278*100</f>
        <v>98.791946308724846</v>
      </c>
      <c r="W112" s="67">
        <f>N279*100</f>
        <v>89.502762430939214</v>
      </c>
      <c r="X112" s="67">
        <f>N280*100</f>
        <v>95.545314900153599</v>
      </c>
      <c r="AC112" t="s">
        <v>202</v>
      </c>
      <c r="AD112" s="51"/>
      <c r="AE112" s="51"/>
      <c r="AH112" s="78"/>
      <c r="AI112" s="78"/>
      <c r="AJ112" s="107"/>
      <c r="AK112" s="109" t="s">
        <v>39</v>
      </c>
      <c r="AL112" s="110">
        <f t="shared" si="17"/>
        <v>0</v>
      </c>
      <c r="AM112" s="110">
        <f t="shared" si="17"/>
        <v>1.7687365199545697</v>
      </c>
      <c r="AN112" s="110">
        <f t="shared" si="17"/>
        <v>0.18970017384731178</v>
      </c>
      <c r="AO112" s="110">
        <f t="shared" si="17"/>
        <v>0.28380854209175477</v>
      </c>
      <c r="AP112" s="110">
        <f t="shared" si="17"/>
        <v>2.5581030678838119</v>
      </c>
      <c r="AQ112" s="107"/>
      <c r="AR112" s="107"/>
      <c r="AS112" s="107"/>
      <c r="AU112" s="93"/>
      <c r="AV112" s="1" t="s">
        <v>357</v>
      </c>
      <c r="AW112" s="97"/>
      <c r="AX112" s="71" t="s">
        <v>358</v>
      </c>
      <c r="AY112" s="95"/>
    </row>
    <row r="113" spans="1:51" x14ac:dyDescent="0.3">
      <c r="A113" t="s">
        <v>3</v>
      </c>
      <c r="B113" s="13">
        <v>0</v>
      </c>
      <c r="C113" s="29">
        <f>(C102/$L113)*$O113</f>
        <v>0.22109867137138364</v>
      </c>
      <c r="D113" s="31">
        <f>(D102/$L113)*$O113</f>
        <v>0</v>
      </c>
      <c r="E113" s="31">
        <f>(E102/$L113)*$O113</f>
        <v>0</v>
      </c>
      <c r="F113" s="31">
        <f>(F102/$L113)*$O113</f>
        <v>1.6885817383972022E-2</v>
      </c>
      <c r="G113" s="32">
        <f>(G102/$L113)*$O113</f>
        <v>0</v>
      </c>
      <c r="H113" s="17">
        <f>SUM(C113:G113)</f>
        <v>0.23798448875535566</v>
      </c>
      <c r="I113" s="17">
        <f>C113/H113*100</f>
        <v>92.904656319290467</v>
      </c>
      <c r="J113" s="17">
        <f>SQRT(I113*(100-I113)/(L113-1))</f>
        <v>1.210317190862304</v>
      </c>
      <c r="K113" s="18">
        <f>100-I113</f>
        <v>7.0953436807095329</v>
      </c>
      <c r="L113" s="1">
        <f>H102</f>
        <v>451</v>
      </c>
      <c r="M113">
        <v>0</v>
      </c>
      <c r="N113" s="1">
        <v>227.83</v>
      </c>
      <c r="O113" s="17">
        <f>N113/N118*100</f>
        <v>0.23798448875535566</v>
      </c>
      <c r="P113" s="52">
        <f>((O113*O113*(I113/100)*(K113/100))/(L113-1))</f>
        <v>8.2965150858133927E-6</v>
      </c>
      <c r="R113" s="16" t="s">
        <v>61</v>
      </c>
      <c r="S113" t="s">
        <v>9</v>
      </c>
      <c r="T113" s="30">
        <f>N287</f>
        <v>213.79</v>
      </c>
      <c r="U113" s="30">
        <f>N288</f>
        <v>1055.98</v>
      </c>
      <c r="V113" s="30">
        <f>N289</f>
        <v>57937.95</v>
      </c>
      <c r="W113" s="30">
        <f>N290</f>
        <v>30907.439999999999</v>
      </c>
      <c r="X113" s="30">
        <f>N291</f>
        <v>5617.97</v>
      </c>
      <c r="Z113" t="s">
        <v>36</v>
      </c>
      <c r="AA113" s="1">
        <f>N292</f>
        <v>95733.12999999999</v>
      </c>
      <c r="AC113" t="s">
        <v>156</v>
      </c>
      <c r="AD113" s="51"/>
      <c r="AE113" s="51"/>
      <c r="AJ113" s="107"/>
      <c r="AK113" s="111" t="s">
        <v>31</v>
      </c>
      <c r="AL113" s="112">
        <f>AR94</f>
        <v>92.904656319290467</v>
      </c>
      <c r="AM113" s="112">
        <f>AR95</f>
        <v>98.245614035087726</v>
      </c>
      <c r="AN113" s="112">
        <f>AR96</f>
        <v>99.864314789687924</v>
      </c>
      <c r="AO113" s="112">
        <f>AR97</f>
        <v>97.9381443298969</v>
      </c>
      <c r="AP113" s="112">
        <f>AR98</f>
        <v>93.161546085232899</v>
      </c>
      <c r="AQ113" s="107"/>
      <c r="AR113" s="107"/>
      <c r="AS113" s="107"/>
      <c r="AU113" s="94"/>
      <c r="AV113" s="71" t="s">
        <v>360</v>
      </c>
      <c r="AW113" s="98"/>
      <c r="AX113" s="71" t="s">
        <v>359</v>
      </c>
      <c r="AY113" s="93"/>
    </row>
    <row r="114" spans="1:51" ht="15.6" x14ac:dyDescent="0.35">
      <c r="A114" t="s">
        <v>4</v>
      </c>
      <c r="B114" s="13">
        <v>1</v>
      </c>
      <c r="C114" s="33">
        <f t="shared" ref="C114:G117" si="18">(C103/$L114)*$O114</f>
        <v>0</v>
      </c>
      <c r="D114" s="34">
        <f t="shared" si="18"/>
        <v>1.1420893631461146</v>
      </c>
      <c r="E114" s="19">
        <f t="shared" si="18"/>
        <v>6.3449409063673037E-2</v>
      </c>
      <c r="F114" s="18">
        <f t="shared" si="18"/>
        <v>0</v>
      </c>
      <c r="G114" s="20">
        <f t="shared" si="18"/>
        <v>0</v>
      </c>
      <c r="H114" s="17">
        <f>SUM(C114:G114)</f>
        <v>1.2055387722097877</v>
      </c>
      <c r="I114" s="17">
        <f>D114/H114*100</f>
        <v>94.736842105263165</v>
      </c>
      <c r="J114" s="17">
        <f>SQRT(I114*(100-I114)/(L114-1))</f>
        <v>2.983930050072845</v>
      </c>
      <c r="K114" s="18">
        <f>100-I114</f>
        <v>5.2631578947368354</v>
      </c>
      <c r="L114" s="1">
        <f>H103</f>
        <v>57</v>
      </c>
      <c r="M114">
        <v>1</v>
      </c>
      <c r="N114" s="1">
        <v>1154.0999999999999</v>
      </c>
      <c r="O114" s="17">
        <f>N114/N118*100</f>
        <v>1.2055387722097877</v>
      </c>
      <c r="P114" s="52">
        <f>((O114*O114*(I114/100)*(K114/100))/(L114-1))</f>
        <v>1.294015985527278E-3</v>
      </c>
      <c r="R114" s="16" t="s">
        <v>318</v>
      </c>
      <c r="S114" t="s">
        <v>63</v>
      </c>
      <c r="T114" s="57">
        <f>$AA113*T106/100</f>
        <v>183.45172949002216</v>
      </c>
      <c r="U114" s="57">
        <f>$AA113*U106/100</f>
        <v>1085.7423813746457</v>
      </c>
      <c r="V114" s="57">
        <f>$AA113*V106/100</f>
        <v>58170.057420490397</v>
      </c>
      <c r="W114" s="57">
        <f>$AA113*W106/100</f>
        <v>30514.904535793172</v>
      </c>
      <c r="X114" s="57">
        <f>$AA113*X106/100</f>
        <v>5778.9739328517571</v>
      </c>
      <c r="Z114" t="s">
        <v>36</v>
      </c>
      <c r="AA114" s="25">
        <f>SUM(T114:X114)</f>
        <v>95733.13</v>
      </c>
      <c r="AC114" t="s">
        <v>203</v>
      </c>
      <c r="AD114" s="51"/>
      <c r="AE114" s="51"/>
      <c r="AH114" s="78"/>
      <c r="AI114" s="78"/>
      <c r="AJ114" s="107"/>
      <c r="AK114" s="113" t="s">
        <v>39</v>
      </c>
      <c r="AL114" s="114">
        <f>AS94</f>
        <v>1.210317190862304</v>
      </c>
      <c r="AM114" s="114">
        <f>AS95</f>
        <v>1.7543859649122773</v>
      </c>
      <c r="AN114" s="114">
        <f>AS96</f>
        <v>0.13568521031207589</v>
      </c>
      <c r="AO114" s="114">
        <f>AS97</f>
        <v>0.58954505375429189</v>
      </c>
      <c r="AP114" s="114">
        <f>AS98</f>
        <v>0.79499983748395853</v>
      </c>
      <c r="AQ114" s="107"/>
      <c r="AR114" s="107"/>
      <c r="AS114" s="107"/>
      <c r="AU114" s="95"/>
      <c r="AV114" s="1" t="s">
        <v>361</v>
      </c>
      <c r="AW114" s="99"/>
      <c r="AX114" s="1" t="s">
        <v>364</v>
      </c>
      <c r="AY114" s="99"/>
    </row>
    <row r="115" spans="1:51" x14ac:dyDescent="0.3">
      <c r="A115" t="s">
        <v>5</v>
      </c>
      <c r="B115" s="13">
        <v>2</v>
      </c>
      <c r="C115" s="33">
        <f t="shared" si="18"/>
        <v>0</v>
      </c>
      <c r="D115" s="19">
        <f t="shared" si="18"/>
        <v>0</v>
      </c>
      <c r="E115" s="34">
        <f t="shared" si="18"/>
        <v>60.062650408216626</v>
      </c>
      <c r="F115" s="19">
        <f t="shared" si="18"/>
        <v>8.1606861967685629E-2</v>
      </c>
      <c r="G115" s="20">
        <f t="shared" si="18"/>
        <v>0</v>
      </c>
      <c r="H115" s="17">
        <f>SUM(C115:G115)</f>
        <v>60.144257270184312</v>
      </c>
      <c r="I115" s="17">
        <f>E115/H115*100</f>
        <v>99.864314789687924</v>
      </c>
      <c r="J115" s="17">
        <f>SQRT(I115*(100-I115)/(L115-1))</f>
        <v>0.13568521031207589</v>
      </c>
      <c r="K115" s="18">
        <f>100-I115</f>
        <v>0.13568521031207581</v>
      </c>
      <c r="L115" s="1">
        <f>H104</f>
        <v>737</v>
      </c>
      <c r="M115">
        <v>2</v>
      </c>
      <c r="N115" s="1">
        <v>57577.98</v>
      </c>
      <c r="O115" s="17">
        <f>N115/N118*100</f>
        <v>60.144257270184312</v>
      </c>
      <c r="P115" s="52">
        <f>((O115*O115*(I115/100)*(K115/100))/(L115-1))</f>
        <v>6.6596799202128867E-3</v>
      </c>
      <c r="R115" s="66"/>
      <c r="S115" s="66" t="s">
        <v>62</v>
      </c>
      <c r="T115" s="67">
        <f>$AA113*T107/100</f>
        <v>3.5129182550898643</v>
      </c>
      <c r="U115" s="67">
        <f>$AA113*U107/100</f>
        <v>32.092461600732697</v>
      </c>
      <c r="V115" s="67">
        <f>$AA113*V107/100</f>
        <v>135.5527934256074</v>
      </c>
      <c r="W115" s="67">
        <f>$AA113*W107/100</f>
        <v>221.25433449136159</v>
      </c>
      <c r="X115" s="67">
        <f>$AA113*X107/100</f>
        <v>180.59484660514474</v>
      </c>
      <c r="AA115" s="1"/>
      <c r="AC115" t="s">
        <v>204</v>
      </c>
      <c r="AD115" s="51"/>
      <c r="AE115" s="51"/>
      <c r="AJ115" s="107"/>
      <c r="AK115" s="109" t="s">
        <v>51</v>
      </c>
      <c r="AL115" s="110">
        <f>AW83*100</f>
        <v>96.321839080459768</v>
      </c>
      <c r="AM115" s="110">
        <f>AW84*100</f>
        <v>88.188976377952756</v>
      </c>
      <c r="AN115" s="110">
        <f>AW85*100</f>
        <v>98.858294157152443</v>
      </c>
      <c r="AO115" s="110">
        <f>AW86*100</f>
        <v>92.758340113913746</v>
      </c>
      <c r="AP115" s="110">
        <f>AW87*100</f>
        <v>96.065406234031684</v>
      </c>
      <c r="AQ115" s="107"/>
      <c r="AR115" s="107"/>
      <c r="AS115" s="107"/>
      <c r="AU115" s="96"/>
      <c r="AV115" s="1" t="s">
        <v>362</v>
      </c>
      <c r="AW115" s="100"/>
      <c r="AX115" s="71" t="s">
        <v>365</v>
      </c>
      <c r="AY115" s="102"/>
    </row>
    <row r="116" spans="1:51" x14ac:dyDescent="0.3">
      <c r="A116" t="s">
        <v>6</v>
      </c>
      <c r="B116" s="13">
        <v>3</v>
      </c>
      <c r="C116" s="33">
        <f t="shared" si="18"/>
        <v>0</v>
      </c>
      <c r="D116" s="19">
        <f t="shared" si="18"/>
        <v>0</v>
      </c>
      <c r="E116" s="19">
        <f t="shared" si="18"/>
        <v>0.16731267409079217</v>
      </c>
      <c r="F116" s="34">
        <f t="shared" si="18"/>
        <v>31.84517896861411</v>
      </c>
      <c r="G116" s="20">
        <f t="shared" si="18"/>
        <v>0.44616713090877919</v>
      </c>
      <c r="H116" s="17">
        <f>SUM(C116:G116)</f>
        <v>32.458658773613678</v>
      </c>
      <c r="I116" s="17">
        <f>F116/H116*100</f>
        <v>98.109965635738831</v>
      </c>
      <c r="J116" s="17">
        <f>SQRT(I116*(100-I116)/(L116-1))</f>
        <v>0.5649413271715471</v>
      </c>
      <c r="K116" s="18">
        <f>100-I116</f>
        <v>1.8900343642611688</v>
      </c>
      <c r="L116" s="1">
        <f>H105</f>
        <v>582</v>
      </c>
      <c r="M116">
        <v>3</v>
      </c>
      <c r="N116" s="1">
        <v>31073.69</v>
      </c>
      <c r="O116" s="17">
        <f>N116/N118*100</f>
        <v>32.458658773613685</v>
      </c>
      <c r="P116" s="52">
        <f>((O116*O116*(I116/100)*(K116/100))/(L116-1))</f>
        <v>3.3625428887851701E-2</v>
      </c>
      <c r="R116" t="s">
        <v>98</v>
      </c>
      <c r="S116" t="s">
        <v>28</v>
      </c>
      <c r="T116" s="57">
        <f>C321</f>
        <v>0.20641330767873528</v>
      </c>
      <c r="U116" s="57">
        <f t="shared" ref="U116:X119" si="19">D321</f>
        <v>1.2578772463686774</v>
      </c>
      <c r="V116" s="57">
        <f t="shared" si="19"/>
        <v>60.274568479002575</v>
      </c>
      <c r="W116" s="57">
        <f t="shared" si="19"/>
        <v>32.252379601628299</v>
      </c>
      <c r="X116" s="57">
        <f t="shared" si="19"/>
        <v>6.0087613653217193</v>
      </c>
      <c r="Z116" s="74"/>
      <c r="AA116" s="12"/>
      <c r="AD116" s="51"/>
      <c r="AE116" s="51"/>
      <c r="AH116" s="78"/>
      <c r="AI116" s="78"/>
      <c r="AJ116" s="115" t="s">
        <v>356</v>
      </c>
      <c r="AK116" s="107" t="s">
        <v>9</v>
      </c>
      <c r="AL116" s="116">
        <f>AW94</f>
        <v>228.28</v>
      </c>
      <c r="AM116" s="116">
        <f>AW95</f>
        <v>1251.31</v>
      </c>
      <c r="AN116" s="116">
        <f>AW96</f>
        <v>57646.12</v>
      </c>
      <c r="AO116" s="116">
        <f>AW97</f>
        <v>31079.9</v>
      </c>
      <c r="AP116" s="116">
        <f>AW98</f>
        <v>5527.51</v>
      </c>
      <c r="AQ116" s="107"/>
      <c r="AR116" s="115" t="s">
        <v>36</v>
      </c>
      <c r="AS116" s="136">
        <f>AW99</f>
        <v>95733.119999999995</v>
      </c>
      <c r="AW116" s="102"/>
      <c r="AX116" s="1" t="s">
        <v>362</v>
      </c>
      <c r="AY116" s="104"/>
    </row>
    <row r="117" spans="1:51" ht="15.6" x14ac:dyDescent="0.35">
      <c r="A117" t="s">
        <v>7</v>
      </c>
      <c r="B117" s="13">
        <v>4</v>
      </c>
      <c r="C117" s="35">
        <f t="shared" si="18"/>
        <v>0</v>
      </c>
      <c r="D117" s="36">
        <f t="shared" si="18"/>
        <v>0.12981004489119005</v>
      </c>
      <c r="E117" s="21">
        <f t="shared" si="18"/>
        <v>2.950228292981592E-2</v>
      </c>
      <c r="F117" s="21">
        <f t="shared" si="18"/>
        <v>0.20651598050871142</v>
      </c>
      <c r="G117" s="37">
        <f t="shared" si="18"/>
        <v>5.5877323869071356</v>
      </c>
      <c r="H117" s="17">
        <f>SUM(C117:G117)</f>
        <v>5.9535606952368525</v>
      </c>
      <c r="I117" s="17">
        <f>G117/H117*100</f>
        <v>93.855302279484647</v>
      </c>
      <c r="J117" s="17">
        <f>SQRT(I117*(100-I117)/(L117-1))</f>
        <v>0.75639631076802649</v>
      </c>
      <c r="K117" s="18">
        <f>100-I117</f>
        <v>6.144697720515353</v>
      </c>
      <c r="L117" s="1">
        <f>H106</f>
        <v>1009</v>
      </c>
      <c r="M117">
        <v>4</v>
      </c>
      <c r="N117" s="1">
        <v>5699.53</v>
      </c>
      <c r="O117" s="17">
        <f>N117/N118*100</f>
        <v>5.9535606952368525</v>
      </c>
      <c r="P117" s="52">
        <f>((O117*O117*(I117/100)*(K117/100))/(L117-1))</f>
        <v>2.0279272683545718E-3</v>
      </c>
      <c r="S117" s="66" t="s">
        <v>39</v>
      </c>
      <c r="T117" s="67">
        <f>C322</f>
        <v>4.0954770037891185E-3</v>
      </c>
      <c r="U117" s="67">
        <f t="shared" si="19"/>
        <v>3.6672334861287605E-2</v>
      </c>
      <c r="V117" s="67">
        <f t="shared" si="19"/>
        <v>0.12980372050500555</v>
      </c>
      <c r="W117" s="67">
        <f t="shared" si="19"/>
        <v>0.18849534885709063</v>
      </c>
      <c r="X117" s="67">
        <f t="shared" si="19"/>
        <v>0.14246664560365155</v>
      </c>
      <c r="AD117" s="51"/>
      <c r="AE117" s="51"/>
      <c r="AJ117" s="115" t="s">
        <v>355</v>
      </c>
      <c r="AK117" s="107" t="s">
        <v>63</v>
      </c>
      <c r="AL117" s="108">
        <f>$AS116*AL109/100</f>
        <v>212.08274944567631</v>
      </c>
      <c r="AM117" s="108">
        <f>$AS116*AM109/100</f>
        <v>1306.0520790082242</v>
      </c>
      <c r="AN117" s="108">
        <f>$AS116*AN109/100</f>
        <v>57863.723375587921</v>
      </c>
      <c r="AO117" s="108">
        <f>$AS116*AO109/100</f>
        <v>30774.532899667407</v>
      </c>
      <c r="AP117" s="108">
        <f>$AS116*AP109/100</f>
        <v>5576.7288962907714</v>
      </c>
      <c r="AQ117" s="107"/>
      <c r="AR117" s="115" t="s">
        <v>36</v>
      </c>
      <c r="AS117" s="136">
        <f>SUM(AL117:AP117)</f>
        <v>95733.12000000001</v>
      </c>
    </row>
    <row r="118" spans="1:51" x14ac:dyDescent="0.3">
      <c r="B118" t="s">
        <v>28</v>
      </c>
      <c r="C118" s="17">
        <f t="shared" ref="C118:H118" si="20">SUM(C113:C117)</f>
        <v>0.22109867137138364</v>
      </c>
      <c r="D118" s="17">
        <f t="shared" si="20"/>
        <v>1.2718994080373047</v>
      </c>
      <c r="E118" s="17">
        <f t="shared" si="20"/>
        <v>60.322914774300912</v>
      </c>
      <c r="F118" s="17">
        <f t="shared" si="20"/>
        <v>32.150187628474477</v>
      </c>
      <c r="G118" s="17">
        <f t="shared" si="20"/>
        <v>6.0338995178159145</v>
      </c>
      <c r="H118" s="18">
        <f t="shared" si="20"/>
        <v>100</v>
      </c>
      <c r="I118" s="13" t="s">
        <v>24</v>
      </c>
      <c r="J118" s="12" t="s">
        <v>29</v>
      </c>
      <c r="N118" s="1">
        <f>SUM(N113:N117)</f>
        <v>95733.13</v>
      </c>
      <c r="O118" s="17">
        <f>SUM(O113:O117)</f>
        <v>100</v>
      </c>
      <c r="S118" t="s">
        <v>30</v>
      </c>
      <c r="T118" s="57">
        <f>C323</f>
        <v>100</v>
      </c>
      <c r="U118" s="57">
        <f t="shared" si="19"/>
        <v>93.839352729258579</v>
      </c>
      <c r="V118" s="57">
        <f t="shared" si="19"/>
        <v>99.632057311203326</v>
      </c>
      <c r="W118" s="57">
        <f t="shared" si="19"/>
        <v>98.85712466863707</v>
      </c>
      <c r="X118" s="57">
        <f t="shared" si="19"/>
        <v>94.443754724264153</v>
      </c>
      <c r="AD118" s="51"/>
      <c r="AE118" s="51"/>
      <c r="AH118" s="78"/>
      <c r="AI118" s="78"/>
      <c r="AJ118" s="109"/>
      <c r="AK118" s="109" t="s">
        <v>354</v>
      </c>
      <c r="AL118" s="110">
        <f>$AS116*AL110/100</f>
        <v>2.7598472880329274</v>
      </c>
      <c r="AM118" s="110">
        <f>$AS116*AM110/100</f>
        <v>29.795832855898066</v>
      </c>
      <c r="AN118" s="110">
        <f>$AS116*AN110/100</f>
        <v>135.04916561600973</v>
      </c>
      <c r="AO118" s="110">
        <f>$AS116*AO110/100</f>
        <v>202.22684568102846</v>
      </c>
      <c r="AP118" s="110">
        <f>$AS116*AP110/100</f>
        <v>156.29981964108001</v>
      </c>
      <c r="AQ118" s="107"/>
      <c r="AR118" s="107"/>
      <c r="AS118" s="107"/>
    </row>
    <row r="119" spans="1:51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2.8771720951698393E-3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4.4950552169501626E-2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0.13182659105360292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0.20347689111694342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0.1629939254951128</v>
      </c>
      <c r="H119" s="1"/>
      <c r="I119" s="56">
        <f>(C113+D114+E115+F116+G117)/H118</f>
        <v>0.98858749798255374</v>
      </c>
      <c r="J119" s="53">
        <f>SQRT(SUM(P113:P117))/100</f>
        <v>2.0884288012051606E-3</v>
      </c>
      <c r="M119" s="1"/>
      <c r="N119" s="9"/>
      <c r="S119" s="66" t="s">
        <v>39</v>
      </c>
      <c r="T119" s="67">
        <f>C324</f>
        <v>0</v>
      </c>
      <c r="U119" s="67">
        <f t="shared" si="19"/>
        <v>2.1703619387462885</v>
      </c>
      <c r="V119" s="67">
        <f t="shared" si="19"/>
        <v>0.16728083780522862</v>
      </c>
      <c r="W119" s="67">
        <f t="shared" si="19"/>
        <v>0.28214564866225855</v>
      </c>
      <c r="X119" s="67">
        <f t="shared" si="19"/>
        <v>2.1710574360792489</v>
      </c>
      <c r="AD119" s="51"/>
      <c r="AE119" s="51"/>
      <c r="AJ119" s="115" t="s">
        <v>376</v>
      </c>
      <c r="AK119" s="122" t="s">
        <v>9</v>
      </c>
      <c r="AL119" s="135">
        <f>AVERAGE(AR195:AR214)</f>
        <v>232.41549999999992</v>
      </c>
      <c r="AM119" s="135">
        <f>AVERAGE(AS195:AS214)</f>
        <v>1252.0235</v>
      </c>
      <c r="AN119" s="135">
        <f>AVERAGE(AT195:AT214)</f>
        <v>57554.224000000002</v>
      </c>
      <c r="AO119" s="135">
        <f>AVERAGE(AU195:AU214)</f>
        <v>31069.973500000004</v>
      </c>
      <c r="AP119" s="135">
        <f>AVERAGE(AV195:AV214)</f>
        <v>5624.4855000000007</v>
      </c>
      <c r="AQ119" s="107"/>
      <c r="AR119" s="115" t="s">
        <v>36</v>
      </c>
      <c r="AS119" s="136">
        <f>SUM(AL119:AP119)</f>
        <v>95733.122000000003</v>
      </c>
    </row>
    <row r="120" spans="1:51" x14ac:dyDescent="0.3">
      <c r="B120" s="1" t="s">
        <v>30</v>
      </c>
      <c r="C120" s="17">
        <f>C113/C118*100</f>
        <v>100</v>
      </c>
      <c r="D120" s="17">
        <f>D114/D118*100</f>
        <v>89.794000683473641</v>
      </c>
      <c r="E120" s="17">
        <f>E115/E118*100</f>
        <v>99.568548093111758</v>
      </c>
      <c r="F120" s="17">
        <f>F116/F118*100</f>
        <v>99.051300529300093</v>
      </c>
      <c r="G120" s="17">
        <f>G117/G118*100</f>
        <v>92.605658586268973</v>
      </c>
      <c r="H120" s="1"/>
      <c r="S120" s="15" t="s">
        <v>31</v>
      </c>
      <c r="T120" s="71">
        <f>I316</f>
        <v>84.922394678492239</v>
      </c>
      <c r="U120" s="71">
        <f>I317</f>
        <v>96.491228070175438</v>
      </c>
      <c r="V120" s="71">
        <f>I318</f>
        <v>99.864314789687924</v>
      </c>
      <c r="W120" s="71">
        <f>I319</f>
        <v>98.453608247422693</v>
      </c>
      <c r="X120" s="71">
        <f>I320</f>
        <v>94.350842418235885</v>
      </c>
      <c r="AD120" s="51"/>
      <c r="AE120" s="51"/>
      <c r="AH120" s="78"/>
      <c r="AI120" s="78"/>
      <c r="AJ120" s="140"/>
      <c r="AK120" s="128" t="s">
        <v>368</v>
      </c>
      <c r="AL120" s="125">
        <f>_xlfn.STDEV.S(AR195:AR214)/SQRT($AK$108)</f>
        <v>2.9850085493133314</v>
      </c>
      <c r="AM120" s="125">
        <f>_xlfn.STDEV.S(AS195:AS214)/SQRT($AK$108)</f>
        <v>26.304494845788341</v>
      </c>
      <c r="AN120" s="125">
        <f>_xlfn.STDEV.S(AT195:AT214)/SQRT($AK$108)</f>
        <v>39.991369262300601</v>
      </c>
      <c r="AO120" s="125">
        <f>_xlfn.STDEV.S(AU195:AU214)/SQRT($AK$108)</f>
        <v>52.335904618626792</v>
      </c>
      <c r="AP120" s="125">
        <f>_xlfn.STDEV.S(AV195:AV214)/SQRT($AK$108)</f>
        <v>20.339544300580162</v>
      </c>
      <c r="AQ120" s="107"/>
      <c r="AR120" s="107"/>
      <c r="AS120" s="107"/>
    </row>
    <row r="121" spans="1:51" x14ac:dyDescent="0.3">
      <c r="B121" s="16" t="s">
        <v>39</v>
      </c>
      <c r="C121" s="18">
        <f>SQRT((C124+C125)/(C118*C118))</f>
        <v>0</v>
      </c>
      <c r="D121" s="18">
        <f>SQRT((D124+D125)/(D118*D118))</f>
        <v>3.4741797272570705</v>
      </c>
      <c r="E121" s="18">
        <f>SQRT((E124+E125)/(E118*E118))</f>
        <v>0.17136745275650786</v>
      </c>
      <c r="F121" s="18">
        <f>SQRT((F124+F125)/(F118*F118))</f>
        <v>0.27820105178847404</v>
      </c>
      <c r="G121" s="18">
        <f>SQRT((G124+G125)/(G118*G118))</f>
        <v>2.4688251641912475</v>
      </c>
      <c r="H121" s="1"/>
      <c r="S121" s="75" t="s">
        <v>39</v>
      </c>
      <c r="T121" s="76">
        <f>J316</f>
        <v>1.6868289447096465</v>
      </c>
      <c r="U121" s="76">
        <f>J317</f>
        <v>2.4588241692166148</v>
      </c>
      <c r="V121" s="76">
        <f>J318</f>
        <v>0.13568521031207589</v>
      </c>
      <c r="W121" s="76">
        <f>J319</f>
        <v>0.51190281155436723</v>
      </c>
      <c r="X121" s="76">
        <f>J320</f>
        <v>0.72716751579303351</v>
      </c>
      <c r="AD121" s="51"/>
      <c r="AE121" s="51"/>
      <c r="AJ121" s="119" t="s">
        <v>703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</row>
    <row r="122" spans="1:51" x14ac:dyDescent="0.3">
      <c r="B122" s="1" t="s">
        <v>37</v>
      </c>
      <c r="C122" s="18">
        <f>100-C120</f>
        <v>0</v>
      </c>
      <c r="D122" s="18">
        <f>100-D120</f>
        <v>10.205999316526359</v>
      </c>
      <c r="E122" s="18">
        <f>100-E120</f>
        <v>0.43145190688824187</v>
      </c>
      <c r="F122" s="18">
        <f>100-F120</f>
        <v>0.94869947069990701</v>
      </c>
      <c r="G122" s="18">
        <f>100-G120</f>
        <v>7.394341413731027</v>
      </c>
      <c r="S122" s="66" t="s">
        <v>51</v>
      </c>
      <c r="T122" s="67">
        <f>N305*100</f>
        <v>91.846522781774581</v>
      </c>
      <c r="U122" s="67">
        <f>N306*100</f>
        <v>88</v>
      </c>
      <c r="V122" s="67">
        <f>N307*100</f>
        <v>99.459459459459453</v>
      </c>
      <c r="W122" s="67">
        <f>N308*100</f>
        <v>90.521327014218016</v>
      </c>
      <c r="X122" s="67">
        <f>N309*100</f>
        <v>96.797153024911026</v>
      </c>
      <c r="AD122" s="51"/>
      <c r="AE122" s="51"/>
      <c r="AH122" s="78"/>
      <c r="AI122" s="78"/>
      <c r="AJ122" s="115" t="s">
        <v>375</v>
      </c>
      <c r="AK122" s="122" t="s">
        <v>9</v>
      </c>
      <c r="AL122" s="135">
        <v>1.35</v>
      </c>
      <c r="AM122" s="135">
        <v>199</v>
      </c>
      <c r="AN122" s="135">
        <v>5132.3500000000004</v>
      </c>
      <c r="AO122" s="135">
        <v>750.27</v>
      </c>
      <c r="AP122" s="135">
        <v>141.31</v>
      </c>
      <c r="AQ122" s="107"/>
      <c r="AR122" s="115" t="s">
        <v>36</v>
      </c>
      <c r="AS122" s="136">
        <f>SUM(AL122:AP122)</f>
        <v>6224.2800000000016</v>
      </c>
      <c r="AU122">
        <v>1</v>
      </c>
      <c r="AV122">
        <v>68</v>
      </c>
    </row>
    <row r="123" spans="1:51" ht="15.6" x14ac:dyDescent="0.35">
      <c r="B123" s="1" t="s">
        <v>25</v>
      </c>
      <c r="C123" s="1">
        <f>C107</f>
        <v>419</v>
      </c>
      <c r="D123" s="1">
        <f>D107</f>
        <v>76</v>
      </c>
      <c r="E123" s="1">
        <f>E107</f>
        <v>747</v>
      </c>
      <c r="F123" s="1">
        <f>F107</f>
        <v>639</v>
      </c>
      <c r="G123" s="1">
        <f>G107</f>
        <v>955</v>
      </c>
      <c r="R123" s="16" t="s">
        <v>61</v>
      </c>
      <c r="S123" t="s">
        <v>9</v>
      </c>
      <c r="T123" s="30">
        <f>N316</f>
        <v>232.69</v>
      </c>
      <c r="U123" s="30">
        <f>N317</f>
        <v>1171.1099999999999</v>
      </c>
      <c r="V123" s="30">
        <f>N318</f>
        <v>57568.53</v>
      </c>
      <c r="W123" s="30">
        <f>N319</f>
        <v>31002.76</v>
      </c>
      <c r="X123" s="30">
        <f>N320</f>
        <v>5758.04</v>
      </c>
      <c r="Z123" t="s">
        <v>36</v>
      </c>
      <c r="AA123" s="1">
        <f>N321</f>
        <v>95733.12999999999</v>
      </c>
      <c r="AD123" s="51"/>
      <c r="AE123" s="51"/>
      <c r="AJ123" s="107"/>
      <c r="AK123" s="107" t="s">
        <v>367</v>
      </c>
      <c r="AL123" s="108">
        <f>(AL122/$AS122)*100</f>
        <v>2.1689255624746957E-2</v>
      </c>
      <c r="AM123" s="108">
        <f>(AM122/$AS122)*100</f>
        <v>3.1971569402404767</v>
      </c>
      <c r="AN123" s="108">
        <f>(AN122/$AS122)*100</f>
        <v>82.456926744940759</v>
      </c>
      <c r="AO123" s="108">
        <f>(AO122/$AS122)*100</f>
        <v>12.053924309317701</v>
      </c>
      <c r="AP123" s="108">
        <f>(AP122/$AS122)*100</f>
        <v>2.2703027498762904</v>
      </c>
      <c r="AQ123" s="107"/>
      <c r="AR123" s="107"/>
      <c r="AS123" s="107"/>
      <c r="AU123">
        <v>2</v>
      </c>
      <c r="AV123">
        <v>97</v>
      </c>
    </row>
    <row r="124" spans="1:51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13.478783922256286</v>
      </c>
      <c r="E124" s="18">
        <f>(O115*O115*(100-E120)*(100-E120)*(I115)*(100-I115))/((L115-1)*100)</f>
        <v>0.12397043983051735</v>
      </c>
      <c r="F124" s="18">
        <f>(O116*O116*(100-F120)*(100-F120)*(I116)*(100-I116))/((L116-1)*100)</f>
        <v>3.0263917819101049</v>
      </c>
      <c r="G124" s="18">
        <f>(O117*O117*(100-G120)*(100-G120)*(I117)*(100-I117))/((L117-1)*100)</f>
        <v>11.087952916786465</v>
      </c>
      <c r="R124" s="16" t="s">
        <v>318</v>
      </c>
      <c r="S124" t="s">
        <v>63</v>
      </c>
      <c r="T124" s="57">
        <f>$AA123*T116/100</f>
        <v>197.60592017738361</v>
      </c>
      <c r="U124" s="57">
        <f>$AA123*U116/100</f>
        <v>1204.2052595065461</v>
      </c>
      <c r="V124" s="57">
        <f>$AA123*V116/100</f>
        <v>57702.730998942556</v>
      </c>
      <c r="W124" s="57">
        <f>$AA123*W116/100</f>
        <v>30876.212492120299</v>
      </c>
      <c r="X124" s="57">
        <f>$AA123*X116/100</f>
        <v>5752.3753292532165</v>
      </c>
      <c r="Z124" t="s">
        <v>36</v>
      </c>
      <c r="AA124" s="25">
        <f>SUM(T124:X124)</f>
        <v>95733.13</v>
      </c>
      <c r="AD124" s="51"/>
      <c r="AE124" s="51"/>
      <c r="AH124" s="78"/>
      <c r="AI124" s="78"/>
      <c r="AJ124" s="115" t="s">
        <v>376</v>
      </c>
      <c r="AK124" s="122" t="s">
        <v>9</v>
      </c>
      <c r="AL124" s="139">
        <f>AVERAGE(AR216:AR235)</f>
        <v>1.4085000000000005</v>
      </c>
      <c r="AM124" s="135">
        <f>AVERAGE(AS216:AS235)</f>
        <v>197.61400000000003</v>
      </c>
      <c r="AN124" s="135">
        <f>AVERAGE(AT216:AT235)</f>
        <v>5124.4770000000008</v>
      </c>
      <c r="AO124" s="135">
        <f>AVERAGE(AU216:AU235)</f>
        <v>756.30649999999991</v>
      </c>
      <c r="AP124" s="135">
        <f>AVERAGE(AV216:AV235)</f>
        <v>144.47800000000001</v>
      </c>
      <c r="AQ124" s="107"/>
      <c r="AR124" s="115" t="s">
        <v>36</v>
      </c>
      <c r="AS124" s="136">
        <f>SUM(AL124:AP124)</f>
        <v>6224.2840000000006</v>
      </c>
      <c r="AU124">
        <v>3</v>
      </c>
      <c r="AV124">
        <v>126</v>
      </c>
    </row>
    <row r="125" spans="1:51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6.0470726051213415</v>
      </c>
      <c r="E125" s="18">
        <f>E120*E120*(SUM((H113*E113*(1-E102/H102))/(H102-1),(H114*E114*(1-E103/H103))/(H103-1), (H116*E116*(1-E105/H105))/(H105-1),(H117*E117*(1-E106/H106))/(H106-1)))</f>
        <v>106.73754264517621</v>
      </c>
      <c r="F125" s="18">
        <f>F120*F120*(SUM((H113*F113*(1-F102/H102))/(H102-1),(H114*F114*(1-F103/H103))/(H103-1), (H115*F115*(1-F104/H104))/(H104-1),(H117*F117*(1-F106/H106))/(H106-1)))</f>
        <v>76.972608313137556</v>
      </c>
      <c r="G125" s="18">
        <f>G120*G120*(SUM((H113*G113*(1-G102/H102))/(H102-1),(H114*G114*(1-G103/H103))/(H103-1), (H115*G115*(1-G104/H104))/(H104-1),(H116*G116*(1-G105/H105))/(H105-1)))</f>
        <v>210.82201879288266</v>
      </c>
      <c r="R125" s="66"/>
      <c r="S125" s="66" t="s">
        <v>62</v>
      </c>
      <c r="T125" s="67">
        <f>$AA123*T117/100</f>
        <v>3.9207283241575412</v>
      </c>
      <c r="U125" s="67">
        <f>$AA123*U117/100</f>
        <v>35.107574006791779</v>
      </c>
      <c r="V125" s="67">
        <f>$AA123*V117/100</f>
        <v>124.2651644958936</v>
      </c>
      <c r="W125" s="67">
        <f>$AA123*W117/100</f>
        <v>180.45249736531207</v>
      </c>
      <c r="X125" s="67">
        <f>$AA123*X117/100</f>
        <v>136.38777904238302</v>
      </c>
      <c r="AA125" s="1"/>
      <c r="AD125" s="51"/>
      <c r="AE125" s="51"/>
      <c r="AJ125" s="107"/>
      <c r="AK125" s="128" t="s">
        <v>368</v>
      </c>
      <c r="AL125" s="125">
        <f>_xlfn.STDEV.S(AR216:AR235)/SQRT($AK$108)</f>
        <v>4.7207687821727101E-2</v>
      </c>
      <c r="AM125" s="125">
        <f>_xlfn.STDEV.S(AS216:AS235)/SQRT($AK$108)</f>
        <v>2.4565427567598888</v>
      </c>
      <c r="AN125" s="125">
        <f>_xlfn.STDEV.S(AT216:AT235)/SQRT($AK$108)</f>
        <v>3.9802123125069118</v>
      </c>
      <c r="AO125" s="125">
        <f>_xlfn.STDEV.S(AU216:AU235)/SQRT($AK$108)</f>
        <v>2.1327316650866233</v>
      </c>
      <c r="AP125" s="125">
        <f>_xlfn.STDEV.S(AV216:AV235)/SQRT($AK$108)</f>
        <v>1.0655467091937751</v>
      </c>
      <c r="AQ125" s="107"/>
      <c r="AR125" s="107"/>
      <c r="AS125" s="141"/>
      <c r="AU125">
        <v>4</v>
      </c>
      <c r="AV125">
        <v>155</v>
      </c>
    </row>
    <row r="126" spans="1:51" x14ac:dyDescent="0.3">
      <c r="R126" t="s">
        <v>99</v>
      </c>
      <c r="S126" t="s">
        <v>28</v>
      </c>
      <c r="T126" s="57">
        <f>C350</f>
        <v>0.22101135354363477</v>
      </c>
      <c r="U126" s="57">
        <f t="shared" ref="U126:X129" si="21">D350</f>
        <v>1.492340540142151</v>
      </c>
      <c r="V126" s="57">
        <f t="shared" si="21"/>
        <v>60.223523513123872</v>
      </c>
      <c r="W126" s="57">
        <f t="shared" si="21"/>
        <v>31.918340215713016</v>
      </c>
      <c r="X126" s="57">
        <f t="shared" si="21"/>
        <v>6.1447843774773308</v>
      </c>
      <c r="Y126" s="13"/>
      <c r="Z126" s="74"/>
      <c r="AA126" s="12"/>
      <c r="AD126" s="51"/>
      <c r="AE126" s="51"/>
      <c r="AH126" s="78"/>
      <c r="AI126" s="78"/>
      <c r="AJ126" s="119" t="s">
        <v>667</v>
      </c>
      <c r="AK126" s="107"/>
      <c r="AL126" s="116"/>
      <c r="AM126" s="116"/>
      <c r="AN126" s="116"/>
      <c r="AO126" s="116"/>
      <c r="AP126" s="116"/>
      <c r="AQ126" s="107"/>
      <c r="AR126" s="107"/>
      <c r="AS126" s="141"/>
      <c r="AU126">
        <v>5</v>
      </c>
      <c r="AV126">
        <v>184</v>
      </c>
    </row>
    <row r="127" spans="1:51" x14ac:dyDescent="0.3">
      <c r="S127" s="66" t="s">
        <v>39</v>
      </c>
      <c r="T127" s="67">
        <f>C351</f>
        <v>2.8760358223200223E-3</v>
      </c>
      <c r="U127" s="67">
        <f t="shared" si="21"/>
        <v>4.0120616557517738E-2</v>
      </c>
      <c r="V127" s="67">
        <f t="shared" si="21"/>
        <v>0.15395456930395937</v>
      </c>
      <c r="W127" s="67">
        <f t="shared" si="21"/>
        <v>0.23098102167592499</v>
      </c>
      <c r="X127" s="67">
        <f t="shared" si="21"/>
        <v>0.18040388243268446</v>
      </c>
      <c r="AD127" s="51"/>
      <c r="AE127" s="51"/>
      <c r="AJ127" s="115" t="s">
        <v>375</v>
      </c>
      <c r="AK127" s="122" t="s">
        <v>9</v>
      </c>
      <c r="AL127" s="135">
        <v>222.63</v>
      </c>
      <c r="AM127" s="135">
        <v>318.02</v>
      </c>
      <c r="AN127" s="135">
        <v>4304.01</v>
      </c>
      <c r="AO127" s="135">
        <v>15142.55</v>
      </c>
      <c r="AP127" s="135">
        <v>4340.32</v>
      </c>
      <c r="AQ127" s="107"/>
      <c r="AR127" s="115" t="s">
        <v>36</v>
      </c>
      <c r="AS127" s="136">
        <f>SUM(AL127:AP127)</f>
        <v>24327.53</v>
      </c>
      <c r="AU127">
        <v>6</v>
      </c>
      <c r="AV127">
        <v>213</v>
      </c>
    </row>
    <row r="128" spans="1:51" x14ac:dyDescent="0.3">
      <c r="A128" s="348" t="s">
        <v>380</v>
      </c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 t="s">
        <v>59</v>
      </c>
      <c r="M128" s="348"/>
      <c r="N128" s="348"/>
      <c r="O128" s="348"/>
      <c r="P128" s="348"/>
      <c r="S128" t="s">
        <v>30</v>
      </c>
      <c r="T128" s="57">
        <f>C352</f>
        <v>100</v>
      </c>
      <c r="U128" s="57">
        <f t="shared" si="21"/>
        <v>96.829995266124754</v>
      </c>
      <c r="V128" s="57">
        <f t="shared" si="21"/>
        <v>99.332794987658474</v>
      </c>
      <c r="W128" s="57">
        <f t="shared" si="21"/>
        <v>98.877295610788224</v>
      </c>
      <c r="X128" s="57">
        <f t="shared" si="21"/>
        <v>90.941690148361971</v>
      </c>
      <c r="AD128" s="51"/>
      <c r="AE128" s="51"/>
      <c r="AH128" s="78"/>
      <c r="AI128" s="78"/>
      <c r="AJ128" s="107"/>
      <c r="AK128" s="107" t="s">
        <v>367</v>
      </c>
      <c r="AL128" s="108">
        <f>(AL127/$AS127)*100</f>
        <v>0.91513606190188646</v>
      </c>
      <c r="AM128" s="108">
        <f>(AM127/$AS127)*100</f>
        <v>1.3072432754167809</v>
      </c>
      <c r="AN128" s="108">
        <f>(AN127/$AS127)*100</f>
        <v>17.691931733307907</v>
      </c>
      <c r="AO128" s="108">
        <f>(AO127/$AS127)*100</f>
        <v>62.244502421741956</v>
      </c>
      <c r="AP128" s="108">
        <f>(AP127/$AS127)*100</f>
        <v>17.841186507631477</v>
      </c>
      <c r="AQ128" s="107"/>
      <c r="AR128" s="107"/>
      <c r="AS128" s="141"/>
      <c r="AU128">
        <v>7</v>
      </c>
      <c r="AV128">
        <v>242</v>
      </c>
    </row>
    <row r="129" spans="1:48" x14ac:dyDescent="0.3">
      <c r="A129" t="s">
        <v>315</v>
      </c>
      <c r="B129" t="s">
        <v>21</v>
      </c>
      <c r="I129" s="1" t="s">
        <v>53</v>
      </c>
      <c r="O129" s="142"/>
      <c r="P129" s="142"/>
      <c r="S129" s="66" t="s">
        <v>39</v>
      </c>
      <c r="T129" s="67">
        <f>C353</f>
        <v>0</v>
      </c>
      <c r="U129" s="67">
        <f t="shared" si="21"/>
        <v>1.334681678143657</v>
      </c>
      <c r="V129" s="67">
        <f t="shared" si="21"/>
        <v>0.21622303510908103</v>
      </c>
      <c r="W129" s="67">
        <f t="shared" si="21"/>
        <v>0.28848570505547444</v>
      </c>
      <c r="X129" s="67">
        <f t="shared" si="21"/>
        <v>2.6715018362838694</v>
      </c>
      <c r="AD129" s="51"/>
      <c r="AE129" s="51"/>
      <c r="AJ129" s="115" t="s">
        <v>376</v>
      </c>
      <c r="AK129" s="122" t="s">
        <v>9</v>
      </c>
      <c r="AL129" s="139">
        <f>AVERAGE(AL195:AL214)</f>
        <v>220.56550000000001</v>
      </c>
      <c r="AM129" s="135">
        <f>AVERAGE(AM195:AM214)</f>
        <v>321.48999999999995</v>
      </c>
      <c r="AN129" s="135">
        <f>AVERAGE(AN195:AN214)</f>
        <v>4301.7240000000002</v>
      </c>
      <c r="AO129" s="135">
        <f>AVERAGE(AO195:AO214)</f>
        <v>15106.011000000002</v>
      </c>
      <c r="AP129" s="135">
        <f>AVERAGE(AP195:AP214)</f>
        <v>4377.7379999999994</v>
      </c>
      <c r="AQ129" s="107"/>
      <c r="AR129" s="115" t="s">
        <v>36</v>
      </c>
      <c r="AS129" s="136">
        <f>SUM(AL129:AP129)</f>
        <v>24327.5285</v>
      </c>
      <c r="AU129">
        <v>8</v>
      </c>
      <c r="AV129">
        <v>271</v>
      </c>
    </row>
    <row r="130" spans="1:48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51</v>
      </c>
      <c r="O130" s="13"/>
      <c r="P130" s="13"/>
      <c r="S130" s="15" t="s">
        <v>31</v>
      </c>
      <c r="T130" s="71">
        <f>I345</f>
        <v>92.904656319290467</v>
      </c>
      <c r="U130" s="71">
        <f>I346</f>
        <v>96.491228070175453</v>
      </c>
      <c r="V130" s="71">
        <f>I347</f>
        <v>99.864314789687924</v>
      </c>
      <c r="W130" s="71">
        <f>I348</f>
        <v>97.422680412371136</v>
      </c>
      <c r="X130" s="71">
        <f>I349</f>
        <v>93.657086223984152</v>
      </c>
      <c r="AD130" s="51"/>
      <c r="AE130" s="51"/>
      <c r="AH130" s="78"/>
      <c r="AI130" s="78"/>
      <c r="AJ130" s="107"/>
      <c r="AK130" s="128" t="s">
        <v>368</v>
      </c>
      <c r="AL130" s="125">
        <f>_xlfn.STDEV.S(AL195:AL214)/SQRT($AK$108)</f>
        <v>1.5979354237330909</v>
      </c>
      <c r="AM130" s="125">
        <f>_xlfn.STDEV.S(AM195:AM214)/SQRT($AK$108)</f>
        <v>6.7277652894162197</v>
      </c>
      <c r="AN130" s="125">
        <f>_xlfn.STDEV.S(AN195:AN214)/SQRT($AK$108)</f>
        <v>11.112945329422642</v>
      </c>
      <c r="AO130" s="125">
        <f>_xlfn.STDEV.S(AO195:AO214)/SQRT($AK$108)</f>
        <v>20.497571164203269</v>
      </c>
      <c r="AP130" s="125">
        <f>_xlfn.STDEV.S(AP195:AP214)/SQRT($AK$108)</f>
        <v>12.321745958819491</v>
      </c>
      <c r="AQ130" s="107"/>
      <c r="AR130" s="107"/>
      <c r="AS130" s="141"/>
      <c r="AU130">
        <v>9</v>
      </c>
      <c r="AV130">
        <v>300</v>
      </c>
    </row>
    <row r="131" spans="1:48" x14ac:dyDescent="0.3">
      <c r="A131" t="s">
        <v>3</v>
      </c>
      <c r="B131" s="13">
        <v>0</v>
      </c>
      <c r="C131" s="26">
        <v>352</v>
      </c>
      <c r="D131" s="3">
        <v>0</v>
      </c>
      <c r="E131" s="3">
        <v>0</v>
      </c>
      <c r="F131" s="3">
        <v>99</v>
      </c>
      <c r="G131" s="4">
        <v>0</v>
      </c>
      <c r="H131" s="1">
        <f>SUM(C131:G131)</f>
        <v>451</v>
      </c>
      <c r="I131" s="10">
        <f>C131/H131</f>
        <v>0.78048780487804881</v>
      </c>
      <c r="J131" s="11">
        <f>1-I131</f>
        <v>0.21951219512195119</v>
      </c>
      <c r="K131">
        <f>H131-C136</f>
        <v>99</v>
      </c>
      <c r="N131" s="10">
        <f>2*(C137*I131)/(C137+I131)</f>
        <v>0.87671232876712335</v>
      </c>
      <c r="O131" s="1"/>
      <c r="P131" s="1"/>
      <c r="S131" s="75" t="s">
        <v>39</v>
      </c>
      <c r="T131" s="76">
        <f>J345</f>
        <v>1.210317190862304</v>
      </c>
      <c r="U131" s="76">
        <f>J346</f>
        <v>2.4588241692166095</v>
      </c>
      <c r="V131" s="76">
        <f>J347</f>
        <v>0.13568521031207589</v>
      </c>
      <c r="W131" s="76">
        <f>J348</f>
        <v>0.65739456332296642</v>
      </c>
      <c r="X131" s="76">
        <f>J349</f>
        <v>0.76768748190434377</v>
      </c>
      <c r="AD131" s="51"/>
      <c r="AE131" s="51"/>
      <c r="AJ131" s="119" t="s">
        <v>704</v>
      </c>
      <c r="AK131" s="107"/>
      <c r="AL131" s="116"/>
      <c r="AM131" s="116"/>
      <c r="AN131" s="116"/>
      <c r="AO131" s="116"/>
      <c r="AP131" s="116"/>
      <c r="AQ131" s="107"/>
      <c r="AR131" s="107"/>
      <c r="AS131" s="141"/>
      <c r="AU131">
        <v>10</v>
      </c>
      <c r="AV131">
        <v>329</v>
      </c>
    </row>
    <row r="132" spans="1:48" x14ac:dyDescent="0.3">
      <c r="A132" t="s">
        <v>4</v>
      </c>
      <c r="B132" s="13">
        <v>1</v>
      </c>
      <c r="C132" s="5">
        <v>0</v>
      </c>
      <c r="D132" s="27">
        <v>55</v>
      </c>
      <c r="E132" s="1">
        <v>2</v>
      </c>
      <c r="F132" s="1">
        <v>0</v>
      </c>
      <c r="G132" s="6">
        <v>0</v>
      </c>
      <c r="H132" s="1">
        <f>SUM(C132:G132)</f>
        <v>57</v>
      </c>
      <c r="I132" s="10">
        <f>D132/H132</f>
        <v>0.96491228070175439</v>
      </c>
      <c r="J132" s="11">
        <f>1-I132</f>
        <v>3.5087719298245612E-2</v>
      </c>
      <c r="K132">
        <f>H132-D136</f>
        <v>-30</v>
      </c>
      <c r="N132" s="10">
        <f>2*(D137*I132)/(D137+I132)</f>
        <v>0.76388888888888895</v>
      </c>
      <c r="O132" s="1"/>
      <c r="P132" s="1"/>
      <c r="S132" s="66" t="s">
        <v>51</v>
      </c>
      <c r="T132" s="67">
        <f>N334*100</f>
        <v>96.321839080459768</v>
      </c>
      <c r="U132" s="67">
        <f>N335*100</f>
        <v>91.666666666666671</v>
      </c>
      <c r="V132" s="67">
        <f>N336*100</f>
        <v>98.659517426273453</v>
      </c>
      <c r="W132" s="67">
        <f>N337*100</f>
        <v>92.495921696574229</v>
      </c>
      <c r="X132" s="67">
        <f>N338*100</f>
        <v>96.232179226069235</v>
      </c>
      <c r="AD132" s="51"/>
      <c r="AE132" s="51"/>
      <c r="AH132" s="78"/>
      <c r="AI132" s="78"/>
      <c r="AJ132" s="115" t="s">
        <v>375</v>
      </c>
      <c r="AK132" s="122" t="s">
        <v>9</v>
      </c>
      <c r="AL132" s="135">
        <v>0.59</v>
      </c>
      <c r="AM132" s="135">
        <v>13.99</v>
      </c>
      <c r="AN132" s="135">
        <v>1172.1600000000001</v>
      </c>
      <c r="AO132" s="135">
        <v>261.06</v>
      </c>
      <c r="AP132" s="135">
        <v>14.41</v>
      </c>
      <c r="AQ132" s="107"/>
      <c r="AR132" s="115" t="s">
        <v>36</v>
      </c>
      <c r="AS132" s="136">
        <f>SUM(AL132:AP132)</f>
        <v>1462.21</v>
      </c>
      <c r="AU132">
        <v>11</v>
      </c>
      <c r="AV132">
        <v>358</v>
      </c>
    </row>
    <row r="133" spans="1:48" x14ac:dyDescent="0.3">
      <c r="A133" t="s">
        <v>5</v>
      </c>
      <c r="B133" s="13">
        <v>2</v>
      </c>
      <c r="C133" s="5">
        <v>0</v>
      </c>
      <c r="D133" s="1">
        <v>0</v>
      </c>
      <c r="E133" s="27">
        <v>736</v>
      </c>
      <c r="F133" s="1">
        <v>1</v>
      </c>
      <c r="G133" s="6">
        <v>0</v>
      </c>
      <c r="H133" s="1">
        <f>SUM(C133:G133)</f>
        <v>737</v>
      </c>
      <c r="I133" s="10">
        <f>E133/H133</f>
        <v>0.99864314789687925</v>
      </c>
      <c r="J133" s="11">
        <f>1-I133</f>
        <v>1.3568521031207537E-3</v>
      </c>
      <c r="K133">
        <f>H133-E136</f>
        <v>-13</v>
      </c>
      <c r="N133" s="10">
        <f>2*(E137*I133)/(E137+I133)</f>
        <v>0.98991257565568258</v>
      </c>
      <c r="O133" s="1"/>
      <c r="P133" s="1"/>
      <c r="R133" s="16" t="s">
        <v>61</v>
      </c>
      <c r="S133" t="s">
        <v>9</v>
      </c>
      <c r="T133" s="30">
        <f>N345</f>
        <v>227.74</v>
      </c>
      <c r="U133" s="30">
        <f>N346</f>
        <v>1433.68</v>
      </c>
      <c r="V133" s="30">
        <f>N347</f>
        <v>57347</v>
      </c>
      <c r="W133" s="30">
        <f>N348</f>
        <v>31012.66</v>
      </c>
      <c r="X133" s="30">
        <f>N349</f>
        <v>5712.04</v>
      </c>
      <c r="Z133" t="s">
        <v>36</v>
      </c>
      <c r="AA133" s="1">
        <f>N350</f>
        <v>95733.119999999995</v>
      </c>
      <c r="AD133" s="51"/>
      <c r="AE133" s="51"/>
      <c r="AJ133" s="107"/>
      <c r="AK133" s="107" t="s">
        <v>367</v>
      </c>
      <c r="AL133" s="108">
        <f>(AL132/$AS132)*100</f>
        <v>4.0349881343992998E-2</v>
      </c>
      <c r="AM133" s="108">
        <f>(AM132/$AS132)*100</f>
        <v>0.95677091525841018</v>
      </c>
      <c r="AN133" s="108">
        <f>(AN132/$AS132)*100</f>
        <v>80.163587993516671</v>
      </c>
      <c r="AO133" s="108">
        <f>(AO132/$AS132)*100</f>
        <v>17.853796650275953</v>
      </c>
      <c r="AP133" s="108">
        <f>(AP132/$AS132)*100</f>
        <v>0.98549455960498145</v>
      </c>
      <c r="AQ133" s="107"/>
      <c r="AR133" s="107"/>
      <c r="AS133" s="141"/>
      <c r="AU133">
        <v>12</v>
      </c>
      <c r="AV133">
        <v>387</v>
      </c>
    </row>
    <row r="134" spans="1:48" ht="15.6" x14ac:dyDescent="0.35">
      <c r="A134" t="s">
        <v>6</v>
      </c>
      <c r="B134" s="13">
        <v>3</v>
      </c>
      <c r="C134" s="5">
        <v>0</v>
      </c>
      <c r="D134" s="1">
        <v>0</v>
      </c>
      <c r="E134" s="1">
        <v>3</v>
      </c>
      <c r="F134" s="27">
        <v>571</v>
      </c>
      <c r="G134" s="6">
        <v>8</v>
      </c>
      <c r="H134" s="1">
        <f>SUM(C134:G134)</f>
        <v>582</v>
      </c>
      <c r="I134" s="10">
        <f>F134/H134</f>
        <v>0.98109965635738827</v>
      </c>
      <c r="J134" s="11">
        <f>1-I134</f>
        <v>1.8900343642611728E-2</v>
      </c>
      <c r="K134">
        <f>H134-F136</f>
        <v>-143</v>
      </c>
      <c r="N134" s="10">
        <f>2*(F137*I134)/(F137+I134)</f>
        <v>0.87375669472073447</v>
      </c>
      <c r="O134" s="1"/>
      <c r="P134" s="1"/>
      <c r="R134" s="16" t="s">
        <v>318</v>
      </c>
      <c r="S134" t="s">
        <v>63</v>
      </c>
      <c r="T134" s="57">
        <f>$AA133*T126/100</f>
        <v>211.58106430155212</v>
      </c>
      <c r="U134" s="57">
        <f>$AA133*U126/100</f>
        <v>1428.6641601029335</v>
      </c>
      <c r="V134" s="57">
        <f>$AA133*V126/100</f>
        <v>57653.858033047087</v>
      </c>
      <c r="W134" s="57">
        <f>$AA133*W126/100</f>
        <v>30556.422940716799</v>
      </c>
      <c r="X134" s="57">
        <f>$AA133*X126/100</f>
        <v>5882.5938018316256</v>
      </c>
      <c r="Z134" t="s">
        <v>36</v>
      </c>
      <c r="AA134" s="25">
        <f>SUM(T134:X134)</f>
        <v>95733.119999999995</v>
      </c>
      <c r="AD134" s="51"/>
      <c r="AE134" s="51"/>
      <c r="AH134" s="78"/>
      <c r="AI134" s="78"/>
      <c r="AJ134" s="115" t="s">
        <v>376</v>
      </c>
      <c r="AK134" s="122" t="s">
        <v>9</v>
      </c>
      <c r="AL134" s="139">
        <f>AVERAGE(AL216:AL235)</f>
        <v>0.62349999999999994</v>
      </c>
      <c r="AM134" s="135">
        <f>AVERAGE(AM216:AM235)</f>
        <v>14.9595</v>
      </c>
      <c r="AN134" s="135">
        <f>AVERAGE(AN216:AN235)</f>
        <v>1168.3599999999999</v>
      </c>
      <c r="AO134" s="135">
        <f>AVERAGE(AO216:AO235)</f>
        <v>263.334</v>
      </c>
      <c r="AP134" s="135">
        <f>AVERAGE(AP216:AP235)</f>
        <v>14.940999999999999</v>
      </c>
      <c r="AQ134" s="107"/>
      <c r="AR134" s="115" t="s">
        <v>36</v>
      </c>
      <c r="AS134" s="136">
        <f>SUM(AL134:AP134)</f>
        <v>1462.2180000000001</v>
      </c>
      <c r="AU134">
        <v>13</v>
      </c>
      <c r="AV134">
        <v>416</v>
      </c>
    </row>
    <row r="135" spans="1:48" x14ac:dyDescent="0.3">
      <c r="A135" t="s">
        <v>7</v>
      </c>
      <c r="B135" s="13">
        <v>4</v>
      </c>
      <c r="C135" s="7">
        <v>0</v>
      </c>
      <c r="D135" s="8">
        <v>32</v>
      </c>
      <c r="E135" s="8">
        <v>9</v>
      </c>
      <c r="F135" s="8">
        <v>54</v>
      </c>
      <c r="G135" s="28">
        <v>914</v>
      </c>
      <c r="H135" s="1">
        <f>SUM(C135:G135)</f>
        <v>1009</v>
      </c>
      <c r="I135" s="10">
        <f>G135/H135</f>
        <v>0.90584737363726464</v>
      </c>
      <c r="J135" s="11">
        <f>1-I135</f>
        <v>9.4152626362735359E-2</v>
      </c>
      <c r="K135">
        <f>H135-G136</f>
        <v>87</v>
      </c>
      <c r="N135" s="10">
        <f>2*(G137*I135)/(G137+I135)</f>
        <v>0.94665976178146038</v>
      </c>
      <c r="O135" s="1"/>
      <c r="P135" s="1"/>
      <c r="R135" s="66"/>
      <c r="S135" s="66" t="s">
        <v>62</v>
      </c>
      <c r="T135" s="67">
        <f>$AA133*T127/100</f>
        <v>2.7533188250246137</v>
      </c>
      <c r="U135" s="67">
        <f>$AA133*U127/100</f>
        <v>38.408717993748326</v>
      </c>
      <c r="V135" s="67">
        <f>$AA133*V127/100</f>
        <v>147.38551257724259</v>
      </c>
      <c r="W135" s="67">
        <f>$AA133*W127/100</f>
        <v>221.12533865823926</v>
      </c>
      <c r="X135" s="67">
        <f>$AA133*X127/100</f>
        <v>172.70626525394073</v>
      </c>
      <c r="AA135" s="1"/>
      <c r="AD135" s="51"/>
      <c r="AE135" s="51"/>
      <c r="AJ135" s="107"/>
      <c r="AK135" s="128" t="s">
        <v>368</v>
      </c>
      <c r="AL135" s="125">
        <f>_xlfn.STDEV.S(AL216:AL235)/SQRT($AK$108)</f>
        <v>3.3734840650049211E-2</v>
      </c>
      <c r="AM135" s="125">
        <f>_xlfn.STDEV.S(AM216:AM235)/SQRT($AK$108)</f>
        <v>0.41635035537519877</v>
      </c>
      <c r="AN135" s="125">
        <f>_xlfn.STDEV.S(AN216:AN235)/SQRT($AK$108)</f>
        <v>1.147400265130285</v>
      </c>
      <c r="AO135" s="125">
        <f>_xlfn.STDEV.S(AO216:AO235)/SQRT($AK$108)</f>
        <v>0.94394257184818553</v>
      </c>
      <c r="AP135" s="125">
        <f>_xlfn.STDEV.S(AP216:AP235)/SQRT($AK$108)</f>
        <v>0.12975462673020466</v>
      </c>
      <c r="AQ135" s="107"/>
      <c r="AR135" s="107"/>
      <c r="AS135" s="107"/>
      <c r="AU135">
        <v>14</v>
      </c>
      <c r="AV135">
        <v>445</v>
      </c>
    </row>
    <row r="136" spans="1:48" ht="15.6" x14ac:dyDescent="0.35">
      <c r="B136" s="1" t="s">
        <v>19</v>
      </c>
      <c r="C136" s="1">
        <f>SUM(C131:C135)</f>
        <v>352</v>
      </c>
      <c r="D136" s="1">
        <f>SUM(D131:D135)</f>
        <v>87</v>
      </c>
      <c r="E136" s="1">
        <f>SUM(E131:E135)</f>
        <v>750</v>
      </c>
      <c r="F136" s="1">
        <f>SUM(F131:F135)</f>
        <v>725</v>
      </c>
      <c r="G136" s="1">
        <f>SUM(G131:G135)</f>
        <v>922</v>
      </c>
      <c r="H136" s="1">
        <f>SUM(H130:H135)</f>
        <v>2836</v>
      </c>
      <c r="I136" s="13" t="s">
        <v>12</v>
      </c>
      <c r="N136" s="16"/>
      <c r="O136" s="1"/>
      <c r="P136" s="1"/>
      <c r="R136" t="s">
        <v>100</v>
      </c>
      <c r="S136" t="s">
        <v>28</v>
      </c>
      <c r="T136" s="57">
        <f>C379</f>
        <v>0.22136071723589659</v>
      </c>
      <c r="U136" s="57">
        <f t="shared" ref="U136:X139" si="22">D379</f>
        <v>1.2564851882432262</v>
      </c>
      <c r="V136" s="57">
        <f t="shared" si="22"/>
        <v>60.285059698781467</v>
      </c>
      <c r="W136" s="57">
        <f t="shared" si="22"/>
        <v>32.16259885475661</v>
      </c>
      <c r="X136" s="57">
        <f t="shared" si="22"/>
        <v>6.0744955409827952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</row>
    <row r="137" spans="1:48" x14ac:dyDescent="0.3">
      <c r="A137" s="1" t="s">
        <v>316</v>
      </c>
      <c r="B137" s="1" t="s">
        <v>2</v>
      </c>
      <c r="C137" s="10">
        <f>C131/C136</f>
        <v>1</v>
      </c>
      <c r="D137" s="10">
        <f>D132/D136</f>
        <v>0.63218390804597702</v>
      </c>
      <c r="E137" s="10">
        <f>E133/E136</f>
        <v>0.98133333333333328</v>
      </c>
      <c r="F137" s="10">
        <f>F134/F136</f>
        <v>0.78758620689655168</v>
      </c>
      <c r="G137" s="10">
        <f>G135/G136</f>
        <v>0.99132321041214755</v>
      </c>
      <c r="H137" s="10"/>
      <c r="I137" s="14">
        <f>(C131+D132+E133+F134+G135)/H136</f>
        <v>0.92665726375176305</v>
      </c>
      <c r="S137" s="66" t="s">
        <v>39</v>
      </c>
      <c r="T137" s="67">
        <f>C380</f>
        <v>2.8805821158830115E-3</v>
      </c>
      <c r="U137" s="67">
        <f t="shared" si="22"/>
        <v>3.4329498584056053E-2</v>
      </c>
      <c r="V137" s="67">
        <f t="shared" si="22"/>
        <v>0.13084118607920125</v>
      </c>
      <c r="W137" s="67">
        <f t="shared" si="22"/>
        <v>0.22629848440449477</v>
      </c>
      <c r="X137" s="67">
        <f t="shared" si="22"/>
        <v>0.18981285768418277</v>
      </c>
      <c r="AD137" s="51"/>
      <c r="AE137" s="51"/>
      <c r="AU137">
        <v>16</v>
      </c>
      <c r="AV137">
        <v>503</v>
      </c>
    </row>
    <row r="138" spans="1:48" x14ac:dyDescent="0.3">
      <c r="B138" s="1" t="s">
        <v>14</v>
      </c>
      <c r="C138" s="11">
        <f>1-C137</f>
        <v>0</v>
      </c>
      <c r="D138" s="11">
        <f>1-D137</f>
        <v>0.36781609195402298</v>
      </c>
      <c r="E138" s="11">
        <f>1-E137</f>
        <v>1.866666666666672E-2</v>
      </c>
      <c r="F138" s="11">
        <f>1-F137</f>
        <v>0.21241379310344832</v>
      </c>
      <c r="G138" s="11">
        <f>1-G137</f>
        <v>8.6767895878524515E-3</v>
      </c>
      <c r="S138" t="s">
        <v>30</v>
      </c>
      <c r="T138" s="57">
        <f>C381</f>
        <v>100</v>
      </c>
      <c r="U138" s="57">
        <f t="shared" si="22"/>
        <v>96.571247027513081</v>
      </c>
      <c r="V138" s="57">
        <f t="shared" si="22"/>
        <v>99.581090712841075</v>
      </c>
      <c r="W138" s="57">
        <f t="shared" si="22"/>
        <v>98.572183863873818</v>
      </c>
      <c r="X138" s="57">
        <f t="shared" si="22"/>
        <v>89.892595551942136</v>
      </c>
      <c r="AA138" s="54"/>
      <c r="AD138" s="51"/>
      <c r="AE138" s="51"/>
      <c r="AH138" s="78"/>
      <c r="AI138" s="78"/>
      <c r="AU138">
        <v>17</v>
      </c>
      <c r="AV138">
        <v>532</v>
      </c>
    </row>
    <row r="139" spans="1:48" x14ac:dyDescent="0.3">
      <c r="C139" s="2"/>
      <c r="S139" s="66" t="s">
        <v>39</v>
      </c>
      <c r="T139" s="67">
        <f>C382</f>
        <v>0</v>
      </c>
      <c r="U139" s="67">
        <f t="shared" si="22"/>
        <v>1.4582387361553533</v>
      </c>
      <c r="V139" s="67">
        <f t="shared" si="22"/>
        <v>0.16942589582300122</v>
      </c>
      <c r="W139" s="67">
        <f t="shared" si="22"/>
        <v>0.29950855147454414</v>
      </c>
      <c r="X139" s="67">
        <f t="shared" si="22"/>
        <v>2.8359587143948075</v>
      </c>
      <c r="AD139" s="51"/>
      <c r="AE139" s="51"/>
      <c r="AU139">
        <v>18</v>
      </c>
      <c r="AV139">
        <v>561</v>
      </c>
    </row>
    <row r="140" spans="1:48" ht="15.6" x14ac:dyDescent="0.35">
      <c r="A140" t="s">
        <v>317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92.904656319290453</v>
      </c>
      <c r="U140" s="57">
        <f>I375</f>
        <v>96.491228070175438</v>
      </c>
      <c r="V140" s="57">
        <f>I376</f>
        <v>99.864314789687924</v>
      </c>
      <c r="W140" s="57">
        <f>I377</f>
        <v>97.594501718213053</v>
      </c>
      <c r="X140" s="57">
        <f>I378</f>
        <v>92.467789890981166</v>
      </c>
      <c r="AD140" s="51"/>
      <c r="AE140" s="51"/>
      <c r="AH140" s="78"/>
      <c r="AI140" s="78"/>
      <c r="AU140">
        <v>19</v>
      </c>
      <c r="AV140">
        <v>590</v>
      </c>
    </row>
    <row r="141" spans="1:48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1.2103171908623052</v>
      </c>
      <c r="U141" s="67">
        <f>J375</f>
        <v>2.4588241692166148</v>
      </c>
      <c r="V141" s="67">
        <f>J376</f>
        <v>0.13568521031207589</v>
      </c>
      <c r="W141" s="67">
        <f>J377</f>
        <v>0.63566329513058506</v>
      </c>
      <c r="X141" s="67">
        <f>J378</f>
        <v>0.83123952539973922</v>
      </c>
      <c r="AD141" s="51"/>
      <c r="AE141" s="51"/>
    </row>
    <row r="142" spans="1:48" x14ac:dyDescent="0.3">
      <c r="A142" t="s">
        <v>3</v>
      </c>
      <c r="B142" s="13">
        <v>0</v>
      </c>
      <c r="C142" s="29">
        <f>(C131/$L142)*$O142</f>
        <v>0.1959430753223991</v>
      </c>
      <c r="D142" s="31">
        <f>(D131/$L142)*$O142</f>
        <v>0</v>
      </c>
      <c r="E142" s="31">
        <f>(E131/$L142)*$O142</f>
        <v>0</v>
      </c>
      <c r="F142" s="31">
        <f>(F131/$L142)*$O142</f>
        <v>5.5108989934424743E-2</v>
      </c>
      <c r="G142" s="32">
        <f>(G131/$L142)*$O142</f>
        <v>0</v>
      </c>
      <c r="H142" s="17">
        <f>SUM(C142:G142)</f>
        <v>0.25105206525682383</v>
      </c>
      <c r="I142" s="17">
        <f>C142/H142*100</f>
        <v>78.048780487804876</v>
      </c>
      <c r="J142" s="17">
        <f>SQRT(I142*(100-I142)/(L142-1))</f>
        <v>1.9512195121951221</v>
      </c>
      <c r="K142" s="18">
        <f>100-I142</f>
        <v>21.951219512195124</v>
      </c>
      <c r="L142" s="1">
        <f>H131</f>
        <v>451</v>
      </c>
      <c r="M142">
        <v>0</v>
      </c>
      <c r="N142" s="1">
        <v>240.34</v>
      </c>
      <c r="O142" s="17">
        <f>N142/N147*100</f>
        <v>0.25105206525682383</v>
      </c>
      <c r="P142" s="52">
        <f>((O142*O142*(I142/100)*(K142/100))/(L142-1))</f>
        <v>2.3996055479249604E-5</v>
      </c>
      <c r="S142" s="66" t="s">
        <v>51</v>
      </c>
      <c r="T142" s="67">
        <f>N363*100</f>
        <v>96.321839080459768</v>
      </c>
      <c r="U142" s="67">
        <f>N364*100</f>
        <v>89.430894308943081</v>
      </c>
      <c r="V142" s="67">
        <f>N365*100</f>
        <v>99.124579124579128</v>
      </c>
      <c r="W142" s="67">
        <f>N366*100</f>
        <v>91.53908138597906</v>
      </c>
      <c r="X142" s="67">
        <f>N367*100</f>
        <v>95.545314900153599</v>
      </c>
      <c r="AD142" s="51"/>
      <c r="AE142" s="51"/>
      <c r="AH142" s="78"/>
      <c r="AI142" s="78"/>
    </row>
    <row r="143" spans="1:48" x14ac:dyDescent="0.3">
      <c r="A143" t="s">
        <v>4</v>
      </c>
      <c r="B143" s="13">
        <v>1</v>
      </c>
      <c r="C143" s="33">
        <f t="shared" ref="C143:G146" si="23">(C132/$L143)*$O143</f>
        <v>0</v>
      </c>
      <c r="D143" s="34">
        <f t="shared" si="23"/>
        <v>1.3237401667916238</v>
      </c>
      <c r="E143" s="19">
        <f t="shared" si="23"/>
        <v>4.813600606514995E-2</v>
      </c>
      <c r="F143" s="18">
        <f t="shared" si="23"/>
        <v>0</v>
      </c>
      <c r="G143" s="20">
        <f t="shared" si="23"/>
        <v>0</v>
      </c>
      <c r="H143" s="17">
        <f>SUM(C143:G143)</f>
        <v>1.3718761728567737</v>
      </c>
      <c r="I143" s="17">
        <f>D143/H143*100</f>
        <v>96.491228070175438</v>
      </c>
      <c r="J143" s="17">
        <f>SQRT(I143*(100-I143)/(L143-1))</f>
        <v>2.4588241692166148</v>
      </c>
      <c r="K143" s="18">
        <f>100-I143</f>
        <v>3.5087719298245617</v>
      </c>
      <c r="L143" s="1">
        <f>H132</f>
        <v>57</v>
      </c>
      <c r="M143">
        <v>1</v>
      </c>
      <c r="N143" s="1">
        <v>1313.34</v>
      </c>
      <c r="O143" s="17">
        <f>N143/N147*100</f>
        <v>1.3718761728567737</v>
      </c>
      <c r="P143" s="52">
        <f>((O143*O143*(I143/100)*(K143/100))/(L143-1))</f>
        <v>1.1378493695957898E-3</v>
      </c>
      <c r="R143" s="16" t="s">
        <v>61</v>
      </c>
      <c r="S143" t="s">
        <v>9</v>
      </c>
      <c r="T143" s="30">
        <f>N374</f>
        <v>228.1</v>
      </c>
      <c r="U143" s="30">
        <f>N375</f>
        <v>1203.8699999999999</v>
      </c>
      <c r="V143" s="30">
        <f>N376</f>
        <v>57549.09</v>
      </c>
      <c r="W143" s="30">
        <f>N377</f>
        <v>31098.71</v>
      </c>
      <c r="X143" s="30">
        <f>N378</f>
        <v>5653.35</v>
      </c>
      <c r="Z143" t="s">
        <v>36</v>
      </c>
      <c r="AA143" s="1">
        <f>N379</f>
        <v>95733.119999999995</v>
      </c>
      <c r="AD143" s="51"/>
      <c r="AE143" s="51"/>
    </row>
    <row r="144" spans="1:48" ht="15.6" x14ac:dyDescent="0.35">
      <c r="A144" t="s">
        <v>5</v>
      </c>
      <c r="B144" s="13">
        <v>2</v>
      </c>
      <c r="C144" s="33">
        <f t="shared" si="23"/>
        <v>0</v>
      </c>
      <c r="D144" s="19">
        <f t="shared" si="23"/>
        <v>0</v>
      </c>
      <c r="E144" s="34">
        <f t="shared" si="23"/>
        <v>59.850911184647821</v>
      </c>
      <c r="F144" s="19">
        <f t="shared" si="23"/>
        <v>8.1319172805228018E-2</v>
      </c>
      <c r="G144" s="20">
        <f t="shared" si="23"/>
        <v>0</v>
      </c>
      <c r="H144" s="17">
        <f>SUM(C144:G144)</f>
        <v>59.932230357453051</v>
      </c>
      <c r="I144" s="17">
        <f>E144/H144*100</f>
        <v>99.864314789687924</v>
      </c>
      <c r="J144" s="17">
        <f>SQRT(I144*(100-I144)/(L144-1))</f>
        <v>0.13568521031207589</v>
      </c>
      <c r="K144" s="18">
        <f>100-I144</f>
        <v>0.13568521031207581</v>
      </c>
      <c r="L144" s="1">
        <f>H133</f>
        <v>737</v>
      </c>
      <c r="M144">
        <v>2</v>
      </c>
      <c r="N144" s="1">
        <v>57375</v>
      </c>
      <c r="O144" s="17">
        <f>N144/N147*100</f>
        <v>59.932230357453051</v>
      </c>
      <c r="P144" s="52">
        <f>((O144*O144*(I144/100)*(K144/100))/(L144-1))</f>
        <v>6.6128078657265279E-3</v>
      </c>
      <c r="R144" s="16" t="s">
        <v>318</v>
      </c>
      <c r="S144" t="s">
        <v>63</v>
      </c>
      <c r="T144" s="57">
        <f>$AA143*T136/100</f>
        <v>211.91552106430157</v>
      </c>
      <c r="U144" s="57">
        <f>$AA143*U136/100</f>
        <v>1202.8724730431136</v>
      </c>
      <c r="V144" s="57">
        <f>$AA143*V136/100</f>
        <v>57712.768543506099</v>
      </c>
      <c r="W144" s="57">
        <f>$AA143*W136/100</f>
        <v>30790.259356742772</v>
      </c>
      <c r="X144" s="57">
        <f>$AA143*X136/100</f>
        <v>5815.3041056437078</v>
      </c>
      <c r="Z144" t="s">
        <v>36</v>
      </c>
      <c r="AA144" s="25">
        <f>SUM(T144:X144)</f>
        <v>95733.119999999995</v>
      </c>
      <c r="AD144" s="51"/>
      <c r="AE144" s="51"/>
      <c r="AH144" s="78"/>
      <c r="AI144" s="78"/>
    </row>
    <row r="145" spans="1:35" x14ac:dyDescent="0.3">
      <c r="A145" t="s">
        <v>6</v>
      </c>
      <c r="B145" s="13">
        <v>3</v>
      </c>
      <c r="C145" s="33">
        <f t="shared" si="23"/>
        <v>0</v>
      </c>
      <c r="D145" s="19">
        <f t="shared" si="23"/>
        <v>0</v>
      </c>
      <c r="E145" s="19">
        <f t="shared" si="23"/>
        <v>0.16832903038324984</v>
      </c>
      <c r="F145" s="34">
        <f t="shared" si="23"/>
        <v>32.038625449611885</v>
      </c>
      <c r="G145" s="20">
        <f t="shared" si="23"/>
        <v>0.4488774143553329</v>
      </c>
      <c r="H145" s="17">
        <f>SUM(C145:G145)</f>
        <v>32.655831894350463</v>
      </c>
      <c r="I145" s="17">
        <f>F145/H145*100</f>
        <v>98.109965635738845</v>
      </c>
      <c r="J145" s="17">
        <f>SQRT(I145*(100-I145)/(L145-1))</f>
        <v>0.56494132717154499</v>
      </c>
      <c r="K145" s="18">
        <f>100-I145</f>
        <v>1.8900343642611546</v>
      </c>
      <c r="L145" s="1">
        <f>H134</f>
        <v>582</v>
      </c>
      <c r="M145">
        <v>3</v>
      </c>
      <c r="N145" s="1">
        <v>31262.45</v>
      </c>
      <c r="O145" s="17">
        <f>N145/N147*100</f>
        <v>32.65583189435047</v>
      </c>
      <c r="P145" s="52">
        <f>((O145*O145*(I145/100)*(K145/100))/(L145-1))</f>
        <v>3.4035191235913746E-2</v>
      </c>
      <c r="R145" s="66"/>
      <c r="S145" s="66" t="s">
        <v>62</v>
      </c>
      <c r="T145" s="67">
        <f>$AA143*T137/100</f>
        <v>2.7576711336968227</v>
      </c>
      <c r="U145" s="67">
        <f>$AA143*U137/100</f>
        <v>32.86470007487268</v>
      </c>
      <c r="V145" s="67">
        <f>$AA143*V137/100</f>
        <v>125.25834967862502</v>
      </c>
      <c r="W145" s="67">
        <f>$AA143*W137/100</f>
        <v>216.64259963313623</v>
      </c>
      <c r="X145" s="67">
        <f>$AA143*X137/100</f>
        <v>181.7137708222279</v>
      </c>
      <c r="AA145" s="1"/>
      <c r="AD145" s="51"/>
      <c r="AE145" s="51"/>
    </row>
    <row r="146" spans="1:35" x14ac:dyDescent="0.3">
      <c r="A146" t="s">
        <v>7</v>
      </c>
      <c r="B146" s="13">
        <v>4</v>
      </c>
      <c r="C146" s="35">
        <f t="shared" si="23"/>
        <v>0</v>
      </c>
      <c r="D146" s="36">
        <f t="shared" si="23"/>
        <v>0.18359594085495731</v>
      </c>
      <c r="E146" s="21">
        <f t="shared" si="23"/>
        <v>5.1636358365456742E-2</v>
      </c>
      <c r="F146" s="21">
        <f t="shared" si="23"/>
        <v>0.30981815019274045</v>
      </c>
      <c r="G146" s="37">
        <f t="shared" si="23"/>
        <v>5.2439590606697184</v>
      </c>
      <c r="H146" s="17">
        <f>SUM(C146:G146)</f>
        <v>5.7890095100828729</v>
      </c>
      <c r="I146" s="17">
        <f>G146/H146*100</f>
        <v>90.584737363726461</v>
      </c>
      <c r="J146" s="17">
        <f>SQRT(I146*(100-I146)/(L146-1))</f>
        <v>0.91984249272684604</v>
      </c>
      <c r="K146" s="18">
        <f>100-I146</f>
        <v>9.415262636273539</v>
      </c>
      <c r="L146" s="1">
        <f>H135</f>
        <v>1009</v>
      </c>
      <c r="M146">
        <v>4</v>
      </c>
      <c r="N146" s="1">
        <v>5542</v>
      </c>
      <c r="O146" s="17">
        <f>N146/N147*100</f>
        <v>5.7890095100828729</v>
      </c>
      <c r="P146" s="52">
        <f>((O146*O146*(I146/100)*(K146/100))/(L146-1))</f>
        <v>2.8355379392085455E-3</v>
      </c>
      <c r="R146" t="s">
        <v>101</v>
      </c>
      <c r="S146" t="s">
        <v>28</v>
      </c>
      <c r="T146" s="57">
        <f>C408</f>
        <v>0.22118603538976561</v>
      </c>
      <c r="U146" s="57">
        <f t="shared" ref="U146:X149" si="24">D408</f>
        <v>1.206396042821007</v>
      </c>
      <c r="V146" s="57">
        <f t="shared" si="24"/>
        <v>60.079420098194589</v>
      </c>
      <c r="W146" s="57">
        <f t="shared" si="24"/>
        <v>32.578157392555632</v>
      </c>
      <c r="X146" s="57">
        <f t="shared" si="24"/>
        <v>5.914840431039007</v>
      </c>
      <c r="Y146" s="60"/>
      <c r="Z146" s="74"/>
      <c r="AA146" s="12"/>
      <c r="AD146" s="51"/>
      <c r="AE146" s="51"/>
      <c r="AH146" s="78"/>
      <c r="AI146" s="78"/>
    </row>
    <row r="147" spans="1:35" x14ac:dyDescent="0.3">
      <c r="B147" t="s">
        <v>28</v>
      </c>
      <c r="C147" s="17">
        <f t="shared" ref="C147:H147" si="25">SUM(C142:C146)</f>
        <v>0.1959430753223991</v>
      </c>
      <c r="D147" s="17">
        <f t="shared" si="25"/>
        <v>1.507336107646581</v>
      </c>
      <c r="E147" s="17">
        <f t="shared" si="25"/>
        <v>60.119012579461675</v>
      </c>
      <c r="F147" s="17">
        <f t="shared" si="25"/>
        <v>32.48487176254428</v>
      </c>
      <c r="G147" s="17">
        <f t="shared" si="25"/>
        <v>5.6928364750250511</v>
      </c>
      <c r="H147" s="18">
        <f t="shared" si="25"/>
        <v>99.999999999999986</v>
      </c>
      <c r="I147" s="13" t="s">
        <v>24</v>
      </c>
      <c r="J147" s="12" t="s">
        <v>29</v>
      </c>
      <c r="N147" s="1">
        <f>SUM(N142:N146)</f>
        <v>95733.13</v>
      </c>
      <c r="O147" s="17">
        <f>SUM(O142:O146)</f>
        <v>100</v>
      </c>
      <c r="S147" s="66" t="s">
        <v>39</v>
      </c>
      <c r="T147" s="67">
        <f>C409</f>
        <v>2.878308969101516E-3</v>
      </c>
      <c r="U147" s="67">
        <f t="shared" si="24"/>
        <v>2.8629713477391867E-2</v>
      </c>
      <c r="V147" s="67">
        <f t="shared" si="24"/>
        <v>0.14132397941247812</v>
      </c>
      <c r="W147" s="67">
        <f t="shared" si="24"/>
        <v>0.22819032199238959</v>
      </c>
      <c r="X147" s="67">
        <f t="shared" si="24"/>
        <v>0.18365983721155937</v>
      </c>
      <c r="AD147" s="51"/>
      <c r="AE147" s="51"/>
    </row>
    <row r="148" spans="1:35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4.8931430745288882E-3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4.6236767983444643E-2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0.13195279228455187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0.20563779046930736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0.16635170567455881</v>
      </c>
      <c r="H148" s="1"/>
      <c r="I148" s="56">
        <f>(C142+D143+E144+F145+G146)/H147</f>
        <v>0.98653178937043462</v>
      </c>
      <c r="J148" s="53">
        <f>SQRT(SUM(P142:P146))/100</f>
        <v>2.1129453960271631E-3</v>
      </c>
      <c r="M148" s="1"/>
      <c r="N148" s="9"/>
      <c r="S148" t="s">
        <v>30</v>
      </c>
      <c r="T148" s="57">
        <f>C410</f>
        <v>100</v>
      </c>
      <c r="U148" s="57">
        <f t="shared" si="24"/>
        <v>93.849303507910832</v>
      </c>
      <c r="V148" s="57">
        <f t="shared" si="24"/>
        <v>99.522607029781682</v>
      </c>
      <c r="W148" s="57">
        <f t="shared" si="24"/>
        <v>98.787716954522139</v>
      </c>
      <c r="X148" s="57">
        <f t="shared" si="24"/>
        <v>90.420604650363387</v>
      </c>
      <c r="AD148" s="51"/>
      <c r="AE148" s="51"/>
      <c r="AH148" s="78"/>
      <c r="AI148" s="78"/>
    </row>
    <row r="149" spans="1:35" x14ac:dyDescent="0.3">
      <c r="B149" s="1" t="s">
        <v>30</v>
      </c>
      <c r="C149" s="17">
        <f>C142/C147*100</f>
        <v>100</v>
      </c>
      <c r="D149" s="17">
        <f>D143/D147*100</f>
        <v>87.819840583424522</v>
      </c>
      <c r="E149" s="17">
        <f>E144/E147*100</f>
        <v>99.55404890514545</v>
      </c>
      <c r="F149" s="17">
        <f>F145/F147*100</f>
        <v>98.626294983725543</v>
      </c>
      <c r="G149" s="17">
        <f>G146/G147*100</f>
        <v>92.115048160533064</v>
      </c>
      <c r="H149" s="1"/>
      <c r="S149" s="66" t="s">
        <v>39</v>
      </c>
      <c r="T149" s="67">
        <f>C411</f>
        <v>0</v>
      </c>
      <c r="U149" s="67">
        <f t="shared" si="24"/>
        <v>1.8960778899960058</v>
      </c>
      <c r="V149" s="67">
        <f t="shared" si="24"/>
        <v>0.19194187869722629</v>
      </c>
      <c r="W149" s="67">
        <f t="shared" si="24"/>
        <v>0.2857212185131951</v>
      </c>
      <c r="X149" s="67">
        <f t="shared" si="24"/>
        <v>2.8210455592290584</v>
      </c>
      <c r="AD149" s="51"/>
      <c r="AE149" s="51"/>
    </row>
    <row r="150" spans="1:35" x14ac:dyDescent="0.3">
      <c r="B150" s="16" t="s">
        <v>39</v>
      </c>
      <c r="C150" s="18">
        <f>SQRT((C153+C154)/(C147*C147))</f>
        <v>0</v>
      </c>
      <c r="D150" s="18">
        <f>SQRT((D153+D154)/(D147*D147))</f>
        <v>3.3007971450259124</v>
      </c>
      <c r="E150" s="18">
        <f>SQRT((E153+E154)/(E147*E147))</f>
        <v>0.17254802526827209</v>
      </c>
      <c r="F150" s="18">
        <f>SQRT((F153+F154)/(F147*F147))</f>
        <v>0.28772522522102018</v>
      </c>
      <c r="G150" s="18">
        <f>SQRT((G153+G154)/(G147*G147))</f>
        <v>2.6568459919061049</v>
      </c>
      <c r="H150" s="1"/>
      <c r="S150" s="15" t="s">
        <v>31</v>
      </c>
      <c r="T150" s="71">
        <f>I403</f>
        <v>92.904656319290467</v>
      </c>
      <c r="U150" s="71">
        <f>I404</f>
        <v>98.245614035087712</v>
      </c>
      <c r="V150" s="71">
        <f>I405</f>
        <v>99.864314789687924</v>
      </c>
      <c r="W150" s="71">
        <f>I406</f>
        <v>97.594501718213067</v>
      </c>
      <c r="X150" s="71">
        <f>I407</f>
        <v>92.864222001982156</v>
      </c>
      <c r="AD150" s="51"/>
      <c r="AE150" s="51"/>
      <c r="AH150" s="78"/>
      <c r="AI150" s="78"/>
    </row>
    <row r="151" spans="1:35" x14ac:dyDescent="0.3">
      <c r="B151" s="1" t="s">
        <v>37</v>
      </c>
      <c r="C151" s="18">
        <f>100-C149</f>
        <v>0</v>
      </c>
      <c r="D151" s="18">
        <f>100-D149</f>
        <v>12.180159416575478</v>
      </c>
      <c r="E151" s="18">
        <f>100-E149</f>
        <v>0.44595109485454998</v>
      </c>
      <c r="F151" s="18">
        <f>100-F149</f>
        <v>1.3737050162744566</v>
      </c>
      <c r="G151" s="18">
        <f>100-G149</f>
        <v>7.884951839466936</v>
      </c>
      <c r="S151" s="75" t="s">
        <v>39</v>
      </c>
      <c r="T151" s="76">
        <f>J403</f>
        <v>1.210317190862304</v>
      </c>
      <c r="U151" s="76">
        <f>J404</f>
        <v>1.7543859649122842</v>
      </c>
      <c r="V151" s="76">
        <f>J405</f>
        <v>0.13568521031207589</v>
      </c>
      <c r="W151" s="76">
        <f>J406</f>
        <v>0.63566329513058317</v>
      </c>
      <c r="X151" s="76">
        <f>J407</f>
        <v>0.81080162675050105</v>
      </c>
      <c r="AD151" s="51"/>
      <c r="AE151" s="51"/>
    </row>
    <row r="152" spans="1:35" ht="15.6" x14ac:dyDescent="0.35">
      <c r="B152" s="1" t="s">
        <v>25</v>
      </c>
      <c r="C152" s="1">
        <f>C136</f>
        <v>352</v>
      </c>
      <c r="D152" s="1">
        <f>D136</f>
        <v>87</v>
      </c>
      <c r="E152" s="1">
        <f>E136</f>
        <v>750</v>
      </c>
      <c r="F152" s="1">
        <f>F136</f>
        <v>725</v>
      </c>
      <c r="G152" s="1">
        <f>G136</f>
        <v>922</v>
      </c>
      <c r="S152" s="66" t="s">
        <v>51</v>
      </c>
      <c r="T152" s="67">
        <f>N392*100</f>
        <v>96.321839080459768</v>
      </c>
      <c r="U152" s="67">
        <f>N393*100</f>
        <v>88.8888888888889</v>
      </c>
      <c r="V152" s="67">
        <f>N394*100</f>
        <v>99.124579124579128</v>
      </c>
      <c r="W152" s="67">
        <f>N395*100</f>
        <v>91.983805668016188</v>
      </c>
      <c r="X152" s="67">
        <f>N396*100</f>
        <v>95.807770961145195</v>
      </c>
      <c r="AD152" s="51"/>
      <c r="AE152" s="51"/>
      <c r="AH152" s="78"/>
      <c r="AI152" s="78"/>
    </row>
    <row r="153" spans="1:35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16.880710355727516</v>
      </c>
      <c r="E153" s="18">
        <f>(O144*O144*(100-E149)*(100-E149)*(I144)*(100-I144))/((L144-1)*100)</f>
        <v>0.13151048321399864</v>
      </c>
      <c r="F153" s="18">
        <f>(O145*O145*(100-F149)*(100-F149)*(I145)*(100-I145))/((L145-1)*100)</f>
        <v>6.4226634205279183</v>
      </c>
      <c r="G153" s="18">
        <f>(O146*O146*(100-G149)*(100-G149)*(I146)*(100-I146))/((L146-1)*100)</f>
        <v>17.629238472976162</v>
      </c>
      <c r="R153" s="16" t="s">
        <v>61</v>
      </c>
      <c r="S153" t="s">
        <v>9</v>
      </c>
      <c r="T153" s="30">
        <f>N403</f>
        <v>227.92</v>
      </c>
      <c r="U153" s="30">
        <f>N404</f>
        <v>1103.24</v>
      </c>
      <c r="V153" s="30">
        <f>N405</f>
        <v>57319.1</v>
      </c>
      <c r="W153" s="30">
        <f>N406</f>
        <v>31569.4</v>
      </c>
      <c r="X153" s="30">
        <f>N407</f>
        <v>5513.46</v>
      </c>
      <c r="Z153" t="s">
        <v>36</v>
      </c>
      <c r="AA153" s="1">
        <f>N408</f>
        <v>95733.12000000001</v>
      </c>
      <c r="AD153" s="51"/>
      <c r="AE153" s="51"/>
    </row>
    <row r="154" spans="1:35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7.8740014840713339</v>
      </c>
      <c r="E154" s="18">
        <f>E149*E149*(SUM((H142*E142*(1-E131/H131))/(H131-1),(H143*E143*(1-E132/H132))/(H132-1), (H145*E145*(1-E134/H134))/(H134-1),(H146*E146*(1-E135/H135))/(H135-1)))</f>
        <v>107.47626773252513</v>
      </c>
      <c r="F154" s="18">
        <f>F149*F149*(SUM((H142*F142*(1-F131/H131))/(H131-1),(H143*F143*(1-F132/H132))/(H132-1), (H144*F144*(1-F133/H133))/(H133-1),(H146*F146*(1-F135/H135))/(H135-1)))</f>
        <v>80.938456082951177</v>
      </c>
      <c r="G154" s="18">
        <f>G149*G149*(SUM((H142*G142*(1-G131/H131))/(H131-1),(H143*G143*(1-G132/H132))/(H132-1), (H144*G144*(1-G133/H133))/(H133-1),(H145*G145*(1-G134/H134))/(H134-1)))</f>
        <v>211.13607710735582</v>
      </c>
      <c r="R154" s="16" t="s">
        <v>318</v>
      </c>
      <c r="S154" t="s">
        <v>63</v>
      </c>
      <c r="T154" s="57">
        <f>$AA153*T146/100</f>
        <v>211.7482926829268</v>
      </c>
      <c r="U154" s="57">
        <f>$AA153*U146/100</f>
        <v>1154.920571349086</v>
      </c>
      <c r="V154" s="57">
        <f>$AA153*V146/100</f>
        <v>57515.903337908749</v>
      </c>
      <c r="W154" s="57">
        <f>$AA153*W146/100</f>
        <v>31188.086510404159</v>
      </c>
      <c r="X154" s="57">
        <f>$AA153*X146/100</f>
        <v>5662.46128765509</v>
      </c>
      <c r="Z154" t="s">
        <v>36</v>
      </c>
      <c r="AA154" s="25">
        <f>SUM(T154:X154)</f>
        <v>95733.12000000001</v>
      </c>
      <c r="AD154" s="51"/>
      <c r="AE154" s="51"/>
      <c r="AH154" s="78"/>
      <c r="AI154" s="78"/>
    </row>
    <row r="155" spans="1:35" x14ac:dyDescent="0.3">
      <c r="R155" s="66"/>
      <c r="S155" s="66" t="s">
        <v>62</v>
      </c>
      <c r="T155" s="67">
        <f>$AA153*T147/100</f>
        <v>2.7554949793607175</v>
      </c>
      <c r="U155" s="67">
        <f>$AA153*U147/100</f>
        <v>27.408117958967733</v>
      </c>
      <c r="V155" s="67">
        <f>$AA153*V147/100</f>
        <v>135.29385479972299</v>
      </c>
      <c r="W155" s="67">
        <f>$AA153*W147/100</f>
        <v>218.45371478136073</v>
      </c>
      <c r="X155" s="67">
        <f>$AA153*X147/100</f>
        <v>175.82329234954679</v>
      </c>
      <c r="AA155" s="1"/>
      <c r="AD155" s="51"/>
      <c r="AE155" s="51"/>
    </row>
    <row r="156" spans="1:35" x14ac:dyDescent="0.3">
      <c r="R156" t="s">
        <v>102</v>
      </c>
      <c r="S156" t="s">
        <v>28</v>
      </c>
      <c r="T156" s="57">
        <f>C437</f>
        <v>0.21199386067102463</v>
      </c>
      <c r="U156" s="57">
        <f t="shared" ref="U156:X159" si="26">D437</f>
        <v>1.4723306308812856</v>
      </c>
      <c r="V156" s="57">
        <f t="shared" si="26"/>
        <v>60.018610389892977</v>
      </c>
      <c r="W156" s="57">
        <f t="shared" si="26"/>
        <v>32.333589322264189</v>
      </c>
      <c r="X156" s="57">
        <f t="shared" si="26"/>
        <v>5.9634757962905347</v>
      </c>
      <c r="Z156" s="74"/>
      <c r="AA156" s="12"/>
      <c r="AD156" s="51"/>
      <c r="AE156" s="51"/>
      <c r="AH156" s="78"/>
      <c r="AI156" s="78"/>
    </row>
    <row r="157" spans="1:35" x14ac:dyDescent="0.3">
      <c r="A157" s="348" t="s">
        <v>380</v>
      </c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 t="s">
        <v>78</v>
      </c>
      <c r="M157" s="348"/>
      <c r="N157" s="348"/>
      <c r="O157" s="348"/>
      <c r="P157" s="348"/>
      <c r="S157" s="66" t="s">
        <v>39</v>
      </c>
      <c r="T157" s="67">
        <f>C438</f>
        <v>3.1141827716270475E-3</v>
      </c>
      <c r="U157" s="67">
        <f t="shared" si="26"/>
        <v>4.9468970616752969E-2</v>
      </c>
      <c r="V157" s="67">
        <f t="shared" si="26"/>
        <v>0.14600611523033893</v>
      </c>
      <c r="W157" s="67">
        <f t="shared" si="26"/>
        <v>0.22638162439850357</v>
      </c>
      <c r="X157" s="67">
        <f t="shared" si="26"/>
        <v>0.182833950273741</v>
      </c>
      <c r="AD157" s="51"/>
      <c r="AE157" s="51"/>
    </row>
    <row r="158" spans="1:35" x14ac:dyDescent="0.3">
      <c r="A158" t="s">
        <v>315</v>
      </c>
      <c r="B158" t="s">
        <v>21</v>
      </c>
      <c r="I158" s="1" t="s">
        <v>53</v>
      </c>
      <c r="O158" s="142"/>
      <c r="P158" s="142"/>
      <c r="S158" t="s">
        <v>30</v>
      </c>
      <c r="T158" s="57">
        <f>C439</f>
        <v>100</v>
      </c>
      <c r="U158" s="57">
        <f t="shared" si="26"/>
        <v>92.162726771689165</v>
      </c>
      <c r="V158" s="57">
        <f t="shared" si="26"/>
        <v>99.393306278484715</v>
      </c>
      <c r="W158" s="57">
        <f t="shared" si="26"/>
        <v>98.936076991172058</v>
      </c>
      <c r="X158" s="57">
        <f t="shared" si="26"/>
        <v>90.555894998366554</v>
      </c>
      <c r="AD158" s="51"/>
      <c r="AE158" s="51"/>
      <c r="AH158" s="78"/>
      <c r="AI158" s="78"/>
    </row>
    <row r="159" spans="1:35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51</v>
      </c>
      <c r="O159" s="13"/>
      <c r="P159" s="13"/>
      <c r="S159" s="66" t="s">
        <v>39</v>
      </c>
      <c r="T159" s="67">
        <f>C440</f>
        <v>0</v>
      </c>
      <c r="U159" s="67">
        <f t="shared" si="26"/>
        <v>2.7812369903406622</v>
      </c>
      <c r="V159" s="67">
        <f t="shared" si="26"/>
        <v>0.20170963597873559</v>
      </c>
      <c r="W159" s="67">
        <f t="shared" si="26"/>
        <v>0.28081450127414026</v>
      </c>
      <c r="X159" s="67">
        <f t="shared" si="26"/>
        <v>2.7868632040571693</v>
      </c>
      <c r="AD159" s="51"/>
      <c r="AE159" s="51"/>
    </row>
    <row r="160" spans="1:35" x14ac:dyDescent="0.3">
      <c r="A160" t="s">
        <v>3</v>
      </c>
      <c r="B160" s="13">
        <v>0</v>
      </c>
      <c r="C160" s="26">
        <v>360</v>
      </c>
      <c r="D160" s="3">
        <v>0</v>
      </c>
      <c r="E160" s="3">
        <v>0</v>
      </c>
      <c r="F160" s="3">
        <v>91</v>
      </c>
      <c r="G160" s="4">
        <v>0</v>
      </c>
      <c r="H160" s="1">
        <f>SUM(C160:G160)</f>
        <v>451</v>
      </c>
      <c r="I160" s="10">
        <f>C160/H160</f>
        <v>0.79822616407982261</v>
      </c>
      <c r="J160" s="11">
        <f>1-I160</f>
        <v>0.20177383592017739</v>
      </c>
      <c r="K160">
        <f>H160-C165</f>
        <v>91</v>
      </c>
      <c r="N160" s="10">
        <f>2*(C166*I160)/(C166+I160)</f>
        <v>0.8877928483353883</v>
      </c>
      <c r="O160" s="1"/>
      <c r="P160" s="1"/>
      <c r="S160" s="15" t="s">
        <v>31</v>
      </c>
      <c r="T160" s="71">
        <f>I432</f>
        <v>91.130820399113091</v>
      </c>
      <c r="U160" s="71">
        <f>I433</f>
        <v>94.736842105263165</v>
      </c>
      <c r="V160" s="71">
        <f>I434</f>
        <v>99.864314789687924</v>
      </c>
      <c r="W160" s="71">
        <f>I435</f>
        <v>97.594501718213053</v>
      </c>
      <c r="X160" s="71">
        <f>I436</f>
        <v>92.765113974231923</v>
      </c>
      <c r="AD160" s="51"/>
      <c r="AE160" s="51"/>
      <c r="AH160" s="78"/>
      <c r="AI160" s="78"/>
    </row>
    <row r="161" spans="1:35" x14ac:dyDescent="0.3">
      <c r="A161" t="s">
        <v>4</v>
      </c>
      <c r="B161" s="13">
        <v>1</v>
      </c>
      <c r="C161" s="5">
        <v>0</v>
      </c>
      <c r="D161" s="27">
        <v>56</v>
      </c>
      <c r="E161" s="1">
        <v>1</v>
      </c>
      <c r="F161" s="1">
        <v>0</v>
      </c>
      <c r="G161" s="6">
        <v>0</v>
      </c>
      <c r="H161" s="1">
        <f>SUM(C161:G161)</f>
        <v>57</v>
      </c>
      <c r="I161" s="10">
        <f>D161/H161</f>
        <v>0.98245614035087714</v>
      </c>
      <c r="J161" s="11">
        <f>1-I161</f>
        <v>1.7543859649122862E-2</v>
      </c>
      <c r="K161">
        <f>H161-D165</f>
        <v>-27</v>
      </c>
      <c r="N161" s="10">
        <f>2*(D166*I161)/(D166+I161)</f>
        <v>0.79432624113475181</v>
      </c>
      <c r="O161" s="1"/>
      <c r="P161" s="1"/>
      <c r="S161" s="75" t="s">
        <v>39</v>
      </c>
      <c r="T161" s="76">
        <f>J432</f>
        <v>1.3401953533354776</v>
      </c>
      <c r="U161" s="76">
        <f>J433</f>
        <v>2.983930050072845</v>
      </c>
      <c r="V161" s="76">
        <f>J434</f>
        <v>0.13568521031207589</v>
      </c>
      <c r="W161" s="76">
        <f>J435</f>
        <v>0.63566329513058506</v>
      </c>
      <c r="X161" s="76">
        <f>J436</f>
        <v>0.81597700883017399</v>
      </c>
      <c r="AD161" s="51"/>
      <c r="AE161" s="51"/>
    </row>
    <row r="162" spans="1:35" x14ac:dyDescent="0.3">
      <c r="A162" t="s">
        <v>5</v>
      </c>
      <c r="B162" s="13">
        <v>2</v>
      </c>
      <c r="C162" s="5">
        <v>0</v>
      </c>
      <c r="D162" s="1">
        <v>0</v>
      </c>
      <c r="E162" s="27">
        <v>736</v>
      </c>
      <c r="F162" s="1">
        <v>1</v>
      </c>
      <c r="G162" s="6">
        <v>0</v>
      </c>
      <c r="H162" s="1">
        <f>SUM(C162:G162)</f>
        <v>737</v>
      </c>
      <c r="I162" s="10">
        <f>E162/H162</f>
        <v>0.99864314789687925</v>
      </c>
      <c r="J162" s="11">
        <f>1-I162</f>
        <v>1.3568521031207537E-3</v>
      </c>
      <c r="K162">
        <f>H162-E165</f>
        <v>-13</v>
      </c>
      <c r="N162" s="10">
        <f>2*(E166*I162)/(E166+I162)</f>
        <v>0.98991257565568258</v>
      </c>
      <c r="O162" s="1"/>
      <c r="P162" s="1"/>
      <c r="S162" s="66" t="s">
        <v>51</v>
      </c>
      <c r="T162" s="67">
        <f>N421*100</f>
        <v>95.359628770301626</v>
      </c>
      <c r="U162" s="67">
        <f>N422*100</f>
        <v>82.44274809160305</v>
      </c>
      <c r="V162" s="67">
        <f>N423*100</f>
        <v>98.725687458081822</v>
      </c>
      <c r="W162" s="67">
        <f>N424*100</f>
        <v>92.133008921330088</v>
      </c>
      <c r="X162" s="67">
        <f>N425*100</f>
        <v>95.754475703324815</v>
      </c>
      <c r="AD162" s="51"/>
      <c r="AE162" s="51"/>
      <c r="AH162" s="78"/>
      <c r="AI162" s="78"/>
    </row>
    <row r="163" spans="1:35" x14ac:dyDescent="0.3">
      <c r="A163" t="s">
        <v>6</v>
      </c>
      <c r="B163" s="13">
        <v>3</v>
      </c>
      <c r="C163" s="5">
        <v>0</v>
      </c>
      <c r="D163" s="1">
        <v>0</v>
      </c>
      <c r="E163" s="1">
        <v>3</v>
      </c>
      <c r="F163" s="27">
        <v>570</v>
      </c>
      <c r="G163" s="6">
        <v>9</v>
      </c>
      <c r="H163" s="1">
        <f>SUM(C163:G163)</f>
        <v>582</v>
      </c>
      <c r="I163" s="10">
        <f>F163/H163</f>
        <v>0.97938144329896903</v>
      </c>
      <c r="J163" s="11">
        <f>1-I163</f>
        <v>2.0618556701030966E-2</v>
      </c>
      <c r="K163">
        <f>H163-F165</f>
        <v>-113</v>
      </c>
      <c r="N163" s="10">
        <f>2*(F166*I163)/(F166+I163)</f>
        <v>0.89271730618637435</v>
      </c>
      <c r="O163" s="1"/>
      <c r="P163" s="1"/>
      <c r="R163" s="16" t="s">
        <v>61</v>
      </c>
      <c r="S163" t="s">
        <v>9</v>
      </c>
      <c r="T163" s="30">
        <f>N432</f>
        <v>222.7</v>
      </c>
      <c r="U163" s="30">
        <f>N433</f>
        <v>1371.21</v>
      </c>
      <c r="V163" s="30">
        <f>N434</f>
        <v>57186.69</v>
      </c>
      <c r="W163" s="30">
        <f>N435</f>
        <v>31379.46</v>
      </c>
      <c r="X163" s="30">
        <f>N436</f>
        <v>5573.06</v>
      </c>
      <c r="Z163" t="s">
        <v>36</v>
      </c>
      <c r="AA163" s="1">
        <f>N437</f>
        <v>95733.119999999995</v>
      </c>
      <c r="AD163" s="51"/>
      <c r="AE163" s="51"/>
    </row>
    <row r="164" spans="1:35" ht="15.6" x14ac:dyDescent="0.35">
      <c r="A164" t="s">
        <v>7</v>
      </c>
      <c r="B164" s="13">
        <v>4</v>
      </c>
      <c r="C164" s="7">
        <v>0</v>
      </c>
      <c r="D164" s="8">
        <v>28</v>
      </c>
      <c r="E164" s="8">
        <v>10</v>
      </c>
      <c r="F164" s="8">
        <v>33</v>
      </c>
      <c r="G164" s="28">
        <v>938</v>
      </c>
      <c r="H164" s="1">
        <f>SUM(C164:G164)</f>
        <v>1009</v>
      </c>
      <c r="I164" s="10">
        <f>G164/H164</f>
        <v>0.92963330029732405</v>
      </c>
      <c r="J164" s="11">
        <f>1-I164</f>
        <v>7.036669970267595E-2</v>
      </c>
      <c r="K164">
        <f>H164-G165</f>
        <v>62</v>
      </c>
      <c r="N164" s="10">
        <f>2*(G166*I164)/(G166+I164)</f>
        <v>0.95910020449897748</v>
      </c>
      <c r="O164" s="1"/>
      <c r="P164" s="1"/>
      <c r="R164" s="16" t="s">
        <v>318</v>
      </c>
      <c r="S164" t="s">
        <v>63</v>
      </c>
      <c r="T164" s="57">
        <f>$AA163*T156/100</f>
        <v>202.9483370288248</v>
      </c>
      <c r="U164" s="57">
        <f>$AA163*U156/100</f>
        <v>1409.5080496583382</v>
      </c>
      <c r="V164" s="57">
        <f>$AA163*V156/100</f>
        <v>57457.688306888704</v>
      </c>
      <c r="W164" s="57">
        <f>$AA163*W156/100</f>
        <v>30953.953866190361</v>
      </c>
      <c r="X164" s="57">
        <f>$AA163*X156/100</f>
        <v>5709.0214402337733</v>
      </c>
      <c r="Z164" t="s">
        <v>36</v>
      </c>
      <c r="AA164" s="25">
        <f>SUM(T164:X164)</f>
        <v>95733.119999999995</v>
      </c>
      <c r="AD164" s="51"/>
      <c r="AE164" s="51"/>
      <c r="AH164" s="78"/>
      <c r="AI164" s="78"/>
    </row>
    <row r="165" spans="1:35" ht="15.6" x14ac:dyDescent="0.35">
      <c r="B165" s="1" t="s">
        <v>19</v>
      </c>
      <c r="C165" s="1">
        <f>SUM(C160:C164)</f>
        <v>360</v>
      </c>
      <c r="D165" s="1">
        <f>SUM(D160:D164)</f>
        <v>84</v>
      </c>
      <c r="E165" s="1">
        <f>SUM(E160:E164)</f>
        <v>750</v>
      </c>
      <c r="F165" s="1">
        <f>SUM(F160:F164)</f>
        <v>695</v>
      </c>
      <c r="G165" s="1">
        <f>SUM(G160:G164)</f>
        <v>947</v>
      </c>
      <c r="H165" s="1">
        <f>SUM(H159:H164)</f>
        <v>2836</v>
      </c>
      <c r="I165" s="13" t="s">
        <v>12</v>
      </c>
      <c r="N165" s="16"/>
      <c r="O165" s="1"/>
      <c r="P165" s="1"/>
      <c r="R165" s="66"/>
      <c r="S165" s="66" t="s">
        <v>62</v>
      </c>
      <c r="T165" s="67">
        <f>$AA163*T157/100</f>
        <v>2.9813043297810471</v>
      </c>
      <c r="U165" s="67">
        <f>$AA163*U157/100</f>
        <v>47.358189003300858</v>
      </c>
      <c r="V165" s="67">
        <f>$AA163*V157/100</f>
        <v>139.77620950079864</v>
      </c>
      <c r="W165" s="67">
        <f>$AA163*W157/100</f>
        <v>216.72219214336872</v>
      </c>
      <c r="X165" s="67">
        <f>$AA163*X157/100</f>
        <v>175.03264501630076</v>
      </c>
      <c r="AA165" s="1"/>
      <c r="AD165" s="51"/>
      <c r="AE165" s="51"/>
    </row>
    <row r="166" spans="1:35" x14ac:dyDescent="0.3">
      <c r="A166" s="1" t="s">
        <v>316</v>
      </c>
      <c r="B166" s="1" t="s">
        <v>2</v>
      </c>
      <c r="C166" s="10">
        <f>C160/C165</f>
        <v>1</v>
      </c>
      <c r="D166" s="10">
        <f>D161/D165</f>
        <v>0.66666666666666663</v>
      </c>
      <c r="E166" s="10">
        <f>E162/E165</f>
        <v>0.98133333333333328</v>
      </c>
      <c r="F166" s="10">
        <f>F163/F165</f>
        <v>0.82014388489208634</v>
      </c>
      <c r="G166" s="10">
        <f>G164/G165</f>
        <v>0.99049630411826817</v>
      </c>
      <c r="H166" s="10"/>
      <c r="I166" s="14">
        <f>(C160+D161+E162+F163+G164)/H165</f>
        <v>0.93794076163610718</v>
      </c>
      <c r="R166" t="s">
        <v>103</v>
      </c>
      <c r="S166" t="s">
        <v>28</v>
      </c>
      <c r="T166" s="57">
        <f>C466</f>
        <v>0.17096883152909387</v>
      </c>
      <c r="U166" s="57">
        <f t="shared" ref="U166:X169" si="27">D466</f>
        <v>1.3769876344755185</v>
      </c>
      <c r="V166" s="57">
        <f t="shared" si="27"/>
        <v>60.121394832538208</v>
      </c>
      <c r="W166" s="57">
        <f t="shared" si="27"/>
        <v>32.133289687503634</v>
      </c>
      <c r="X166" s="57">
        <f t="shared" si="27"/>
        <v>6.1973590139535499</v>
      </c>
      <c r="Z166" s="74"/>
      <c r="AA166" s="12"/>
      <c r="AD166" s="51"/>
      <c r="AE166" s="51"/>
      <c r="AH166" s="78"/>
      <c r="AI166" s="78"/>
    </row>
    <row r="167" spans="1:35" x14ac:dyDescent="0.3">
      <c r="B167" s="1" t="s">
        <v>14</v>
      </c>
      <c r="C167" s="11">
        <f>1-C166</f>
        <v>0</v>
      </c>
      <c r="D167" s="11">
        <f>1-D166</f>
        <v>0.33333333333333337</v>
      </c>
      <c r="E167" s="11">
        <f>1-E166</f>
        <v>1.866666666666672E-2</v>
      </c>
      <c r="F167" s="11">
        <f>1-F166</f>
        <v>0.17985611510791366</v>
      </c>
      <c r="G167" s="11">
        <f>1-G166</f>
        <v>9.5036958817318329E-3</v>
      </c>
      <c r="S167" s="66" t="s">
        <v>39</v>
      </c>
      <c r="T167" s="67">
        <f>C467</f>
        <v>4.1310313552710308E-3</v>
      </c>
      <c r="U167" s="67">
        <f t="shared" si="27"/>
        <v>3.476649703066205E-2</v>
      </c>
      <c r="V167" s="67">
        <f t="shared" si="27"/>
        <v>0.12999758278624393</v>
      </c>
      <c r="W167" s="67">
        <f t="shared" si="27"/>
        <v>0.25175336881089722</v>
      </c>
      <c r="X167" s="67">
        <f t="shared" si="27"/>
        <v>0.22082373621869619</v>
      </c>
      <c r="AD167" s="51"/>
      <c r="AE167" s="51"/>
    </row>
    <row r="168" spans="1:35" x14ac:dyDescent="0.3">
      <c r="C168" s="2"/>
      <c r="S168" t="s">
        <v>30</v>
      </c>
      <c r="T168" s="57">
        <f>C468</f>
        <v>100</v>
      </c>
      <c r="U168" s="57">
        <f t="shared" si="27"/>
        <v>90.762728035499023</v>
      </c>
      <c r="V168" s="57">
        <f t="shared" si="27"/>
        <v>99.576477357302423</v>
      </c>
      <c r="W168" s="57">
        <f t="shared" si="27"/>
        <v>98.707135956571207</v>
      </c>
      <c r="X168" s="57">
        <f t="shared" si="27"/>
        <v>86.388398075563671</v>
      </c>
      <c r="AD168" s="51"/>
      <c r="AE168" s="51"/>
      <c r="AH168" s="78"/>
      <c r="AI168" s="78"/>
    </row>
    <row r="169" spans="1:35" ht="15.6" x14ac:dyDescent="0.35">
      <c r="A169" t="s">
        <v>317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27"/>
        <v>2.3173129002112756</v>
      </c>
      <c r="V169" s="67">
        <f t="shared" si="27"/>
        <v>0.16833104764272247</v>
      </c>
      <c r="W169" s="67">
        <f t="shared" si="27"/>
        <v>0.29418173876107451</v>
      </c>
      <c r="X169" s="67">
        <f t="shared" si="27"/>
        <v>3.1977223902561116</v>
      </c>
      <c r="AD169" s="51"/>
      <c r="AE169" s="51"/>
    </row>
    <row r="170" spans="1:35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79.157427937915742</v>
      </c>
      <c r="U170" s="71">
        <f>I462</f>
        <v>98.245614035087712</v>
      </c>
      <c r="V170" s="71">
        <f>I463</f>
        <v>99.864314789687924</v>
      </c>
      <c r="W170" s="71">
        <f>I464</f>
        <v>96.907216494845358</v>
      </c>
      <c r="X170" s="71">
        <f>I465</f>
        <v>91.774033696729433</v>
      </c>
      <c r="AD170" s="51"/>
      <c r="AE170" s="51"/>
      <c r="AH170" s="78"/>
      <c r="AI170" s="78"/>
    </row>
    <row r="171" spans="1:35" x14ac:dyDescent="0.3">
      <c r="A171" t="s">
        <v>3</v>
      </c>
      <c r="B171" s="13">
        <v>0</v>
      </c>
      <c r="C171" s="29">
        <f>(C160/$L171)*$O171</f>
        <v>0.18838957668171175</v>
      </c>
      <c r="D171" s="31">
        <f>(D160/$L171)*$O171</f>
        <v>0</v>
      </c>
      <c r="E171" s="31">
        <f>(E160/$L171)*$O171</f>
        <v>0</v>
      </c>
      <c r="F171" s="31">
        <f>(F160/$L171)*$O171</f>
        <v>4.7620698550099365E-2</v>
      </c>
      <c r="G171" s="32">
        <f>(G160/$L171)*$O171</f>
        <v>0</v>
      </c>
      <c r="H171" s="17">
        <f>SUM(C171:G171)</f>
        <v>0.23601027523181112</v>
      </c>
      <c r="I171" s="17">
        <f>C171/H171*100</f>
        <v>79.822616407982267</v>
      </c>
      <c r="J171" s="17">
        <f>SQRT(I171*(100-I171)/(L171-1))</f>
        <v>1.8918606658715333</v>
      </c>
      <c r="K171" s="18">
        <f>100-I171</f>
        <v>20.177383592017733</v>
      </c>
      <c r="L171" s="1">
        <f>H160</f>
        <v>451</v>
      </c>
      <c r="M171">
        <v>0</v>
      </c>
      <c r="N171" s="1">
        <v>225.94</v>
      </c>
      <c r="O171" s="17">
        <f>N171/N176*100</f>
        <v>0.23601027523181112</v>
      </c>
      <c r="P171" s="52">
        <f>((O171*O171*(I171/100)*(K171/100))/(L171-1))</f>
        <v>1.9936096091423606E-5</v>
      </c>
      <c r="S171" s="75" t="s">
        <v>39</v>
      </c>
      <c r="T171" s="76">
        <f>J461</f>
        <v>1.914763922811519</v>
      </c>
      <c r="U171" s="76">
        <f>J462</f>
        <v>1.7543859649122842</v>
      </c>
      <c r="V171" s="76">
        <f>J463</f>
        <v>0.13568521031207589</v>
      </c>
      <c r="W171" s="76">
        <f>J464</f>
        <v>0.71823200493893458</v>
      </c>
      <c r="X171" s="76">
        <f>J465</f>
        <v>0.86541238719195124</v>
      </c>
      <c r="AD171" s="51"/>
      <c r="AE171" s="51"/>
    </row>
    <row r="172" spans="1:35" x14ac:dyDescent="0.3">
      <c r="A172" t="s">
        <v>4</v>
      </c>
      <c r="B172" s="13">
        <v>1</v>
      </c>
      <c r="C172" s="33">
        <f t="shared" ref="C172:G175" si="28">(C161/$L172)*$O172</f>
        <v>0</v>
      </c>
      <c r="D172" s="34">
        <f t="shared" si="28"/>
        <v>1.3951900317971679</v>
      </c>
      <c r="E172" s="19">
        <f t="shared" si="28"/>
        <v>2.4914107710663713E-2</v>
      </c>
      <c r="F172" s="18">
        <f t="shared" si="28"/>
        <v>0</v>
      </c>
      <c r="G172" s="20">
        <f t="shared" si="28"/>
        <v>0</v>
      </c>
      <c r="H172" s="17">
        <f>SUM(C172:G172)</f>
        <v>1.4201041395078318</v>
      </c>
      <c r="I172" s="17">
        <f>D172/H172*100</f>
        <v>98.245614035087712</v>
      </c>
      <c r="J172" s="17">
        <f>SQRT(I172*(100-I172)/(L172-1))</f>
        <v>1.7543859649122842</v>
      </c>
      <c r="K172" s="18">
        <f>100-I172</f>
        <v>1.7543859649122879</v>
      </c>
      <c r="L172" s="1">
        <f>H161</f>
        <v>57</v>
      </c>
      <c r="M172">
        <v>1</v>
      </c>
      <c r="N172" s="1">
        <v>1359.51</v>
      </c>
      <c r="O172" s="17">
        <f>N172/N176*100</f>
        <v>1.4201041395078318</v>
      </c>
      <c r="P172" s="52">
        <f>((O172*O172*(I172/100)*(K172/100))/(L172-1))</f>
        <v>6.2071276301855583E-4</v>
      </c>
      <c r="S172" s="66" t="s">
        <v>51</v>
      </c>
      <c r="T172" s="67">
        <f>N450*100</f>
        <v>88.36633663366338</v>
      </c>
      <c r="U172" s="67">
        <f>N451*100</f>
        <v>82.962962962962962</v>
      </c>
      <c r="V172" s="67">
        <f>N452*100</f>
        <v>98.924731182795696</v>
      </c>
      <c r="W172" s="67">
        <f>N453*100</f>
        <v>87.374128582494194</v>
      </c>
      <c r="X172" s="67">
        <f>N454*100</f>
        <v>94.974358974358992</v>
      </c>
      <c r="AD172" s="51"/>
      <c r="AE172" s="51"/>
      <c r="AH172" s="78"/>
      <c r="AI172" s="78"/>
    </row>
    <row r="173" spans="1:35" x14ac:dyDescent="0.3">
      <c r="A173" t="s">
        <v>5</v>
      </c>
      <c r="B173" s="13">
        <v>2</v>
      </c>
      <c r="C173" s="33">
        <f t="shared" si="28"/>
        <v>0</v>
      </c>
      <c r="D173" s="19">
        <f t="shared" si="28"/>
        <v>0</v>
      </c>
      <c r="E173" s="34">
        <f t="shared" si="28"/>
        <v>60.129512373661555</v>
      </c>
      <c r="F173" s="19">
        <f t="shared" si="28"/>
        <v>8.1697707029431452E-2</v>
      </c>
      <c r="G173" s="20">
        <f t="shared" si="28"/>
        <v>0</v>
      </c>
      <c r="H173" s="17">
        <f>SUM(C173:G173)</f>
        <v>60.211210080690989</v>
      </c>
      <c r="I173" s="17">
        <f>E173/H173*100</f>
        <v>99.864314789687924</v>
      </c>
      <c r="J173" s="17">
        <f>SQRT(I173*(100-I173)/(L173-1))</f>
        <v>0.13568521031207589</v>
      </c>
      <c r="K173" s="18">
        <f>100-I173</f>
        <v>0.13568521031207581</v>
      </c>
      <c r="L173" s="1">
        <f>H162</f>
        <v>737</v>
      </c>
      <c r="M173">
        <v>2</v>
      </c>
      <c r="N173" s="1">
        <v>57642.07</v>
      </c>
      <c r="O173" s="17">
        <f>N173/N176*100</f>
        <v>60.211210080690989</v>
      </c>
      <c r="P173" s="52">
        <f>((O173*O173*(I173/100)*(K173/100))/(L173-1))</f>
        <v>6.6745153338668064E-3</v>
      </c>
      <c r="R173" s="16" t="s">
        <v>61</v>
      </c>
      <c r="S173" t="s">
        <v>9</v>
      </c>
      <c r="T173" s="1">
        <f>N461</f>
        <v>206.77</v>
      </c>
      <c r="U173" s="1">
        <f>N462</f>
        <v>1217.83</v>
      </c>
      <c r="V173" s="1">
        <f>N463</f>
        <v>57390.2</v>
      </c>
      <c r="W173" s="1">
        <f>N464</f>
        <v>31333.57</v>
      </c>
      <c r="X173" s="1">
        <f>N465</f>
        <v>5584.76</v>
      </c>
      <c r="Z173" t="s">
        <v>36</v>
      </c>
      <c r="AA173" s="1">
        <f>N466</f>
        <v>95733.12999999999</v>
      </c>
      <c r="AD173" s="51"/>
      <c r="AE173" s="51"/>
    </row>
    <row r="174" spans="1:35" ht="15.6" x14ac:dyDescent="0.35">
      <c r="A174" t="s">
        <v>6</v>
      </c>
      <c r="B174" s="13">
        <v>3</v>
      </c>
      <c r="C174" s="33">
        <f t="shared" si="28"/>
        <v>0</v>
      </c>
      <c r="D174" s="19">
        <f t="shared" si="28"/>
        <v>0</v>
      </c>
      <c r="E174" s="19">
        <f t="shared" si="28"/>
        <v>0.1663559403044243</v>
      </c>
      <c r="F174" s="34">
        <f t="shared" si="28"/>
        <v>31.607628657840618</v>
      </c>
      <c r="G174" s="20">
        <f t="shared" si="28"/>
        <v>0.49906782091327295</v>
      </c>
      <c r="H174" s="17">
        <f>SUM(C174:G174)</f>
        <v>32.273052419058317</v>
      </c>
      <c r="I174" s="17">
        <f>F174/H174*100</f>
        <v>97.9381443298969</v>
      </c>
      <c r="J174" s="17">
        <f>SQRT(I174*(100-I174)/(L174-1))</f>
        <v>0.58954505375429189</v>
      </c>
      <c r="K174" s="18">
        <f>100-I174</f>
        <v>2.0618556701030997</v>
      </c>
      <c r="L174" s="1">
        <f>H163</f>
        <v>582</v>
      </c>
      <c r="M174">
        <v>3</v>
      </c>
      <c r="N174" s="1">
        <v>30896</v>
      </c>
      <c r="O174" s="17">
        <f>N174/N176*100</f>
        <v>32.273052419058317</v>
      </c>
      <c r="P174" s="52">
        <f>((O174*O174*(I174/100)*(K174/100))/(L174-1))</f>
        <v>3.620045980150198E-2</v>
      </c>
      <c r="R174" s="16" t="s">
        <v>318</v>
      </c>
      <c r="S174" t="s">
        <v>63</v>
      </c>
      <c r="T174" s="57">
        <f>$AA173*T166/100</f>
        <v>163.67381374722839</v>
      </c>
      <c r="U174" s="57">
        <f>$AA173*U166/100</f>
        <v>1318.2333621963728</v>
      </c>
      <c r="V174" s="57">
        <f>$AA173*V166/100</f>
        <v>57556.093072847085</v>
      </c>
      <c r="W174" s="57">
        <f>$AA173*W166/100</f>
        <v>30762.203989814447</v>
      </c>
      <c r="X174" s="57">
        <f>$AA173*X166/100</f>
        <v>5932.9257613948694</v>
      </c>
      <c r="Z174" t="s">
        <v>36</v>
      </c>
      <c r="AA174" s="25">
        <f>SUM(T174:X174)</f>
        <v>95733.13</v>
      </c>
      <c r="AD174" s="51"/>
      <c r="AE174" s="51"/>
      <c r="AH174" s="78"/>
      <c r="AI174" s="78"/>
    </row>
    <row r="175" spans="1:35" x14ac:dyDescent="0.3">
      <c r="A175" t="s">
        <v>7</v>
      </c>
      <c r="B175" s="13">
        <v>4</v>
      </c>
      <c r="C175" s="35">
        <f t="shared" si="28"/>
        <v>0</v>
      </c>
      <c r="D175" s="36">
        <f t="shared" si="28"/>
        <v>0.16260599246215016</v>
      </c>
      <c r="E175" s="21">
        <f t="shared" si="28"/>
        <v>5.8073568736482201E-2</v>
      </c>
      <c r="F175" s="21">
        <f t="shared" si="28"/>
        <v>0.19164277683039127</v>
      </c>
      <c r="G175" s="37">
        <f t="shared" si="28"/>
        <v>5.4473007474820303</v>
      </c>
      <c r="H175" s="17">
        <f>SUM(C175:G175)</f>
        <v>5.8596230855110543</v>
      </c>
      <c r="I175" s="17">
        <f>G175/H175*100</f>
        <v>92.963330029732404</v>
      </c>
      <c r="J175" s="17">
        <f>SQRT(I175*(100-I175)/(L175-1))</f>
        <v>0.8055809009974596</v>
      </c>
      <c r="K175" s="18">
        <f>100-I175</f>
        <v>7.0366699702675959</v>
      </c>
      <c r="L175" s="1">
        <f>H164</f>
        <v>1009</v>
      </c>
      <c r="M175">
        <v>4</v>
      </c>
      <c r="N175" s="1">
        <v>5609.6</v>
      </c>
      <c r="O175" s="17">
        <f>N175/N176*100</f>
        <v>5.8596230855110543</v>
      </c>
      <c r="P175" s="52">
        <f>((O175*O175*(I175/100)*(K175/100))/(L175-1))</f>
        <v>2.2282180358621432E-3</v>
      </c>
      <c r="R175" s="66"/>
      <c r="S175" s="66" t="s">
        <v>62</v>
      </c>
      <c r="T175" s="67">
        <f>$AA173*T167/100</f>
        <v>3.9547656176823773</v>
      </c>
      <c r="U175" s="67">
        <f>$AA173*U167/100</f>
        <v>33.283055798809841</v>
      </c>
      <c r="V175" s="67">
        <f>$AA173*V167/100</f>
        <v>124.45075492561251</v>
      </c>
      <c r="W175" s="67">
        <f>$AA173*W167/100</f>
        <v>241.01137984311563</v>
      </c>
      <c r="X175" s="67">
        <f>$AA173*X167/100</f>
        <v>211.4014744651015</v>
      </c>
      <c r="AA175" s="1"/>
      <c r="AD175" s="51"/>
      <c r="AE175" s="51"/>
    </row>
    <row r="176" spans="1:35" x14ac:dyDescent="0.3">
      <c r="B176" t="s">
        <v>28</v>
      </c>
      <c r="C176" s="17">
        <f t="shared" ref="C176:H176" si="29">SUM(C171:C175)</f>
        <v>0.18838957668171175</v>
      </c>
      <c r="D176" s="17">
        <f t="shared" si="29"/>
        <v>1.5577960242593181</v>
      </c>
      <c r="E176" s="17">
        <f t="shared" si="29"/>
        <v>60.378855990413129</v>
      </c>
      <c r="F176" s="17">
        <f t="shared" si="29"/>
        <v>31.928589840250542</v>
      </c>
      <c r="G176" s="17">
        <f t="shared" si="29"/>
        <v>5.9463685683953029</v>
      </c>
      <c r="H176" s="18">
        <f t="shared" si="29"/>
        <v>100</v>
      </c>
      <c r="I176" s="13" t="s">
        <v>24</v>
      </c>
      <c r="J176" s="12" t="s">
        <v>29</v>
      </c>
      <c r="N176" s="1">
        <f>SUM(N171:N175)</f>
        <v>95733.119999999995</v>
      </c>
      <c r="O176" s="17">
        <f>SUM(O171:O175)</f>
        <v>100</v>
      </c>
      <c r="R176" t="s">
        <v>104</v>
      </c>
      <c r="S176" t="s">
        <v>28</v>
      </c>
      <c r="T176" s="57">
        <f>C495</f>
        <v>0.22109871756202162</v>
      </c>
      <c r="U176" s="57">
        <f t="shared" ref="U176:X179" si="30">D495</f>
        <v>1.6513136536625974</v>
      </c>
      <c r="V176" s="57">
        <f t="shared" si="30"/>
        <v>60.545586075343408</v>
      </c>
      <c r="W176" s="57">
        <f t="shared" si="30"/>
        <v>31.502382390910626</v>
      </c>
      <c r="X176" s="57">
        <f t="shared" si="30"/>
        <v>6.0796191625213485</v>
      </c>
      <c r="AD176" s="51"/>
      <c r="AE176" s="51"/>
      <c r="AH176" s="78"/>
      <c r="AI176" s="78"/>
    </row>
    <row r="177" spans="1:41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4.4600327226635636E-3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3.9088735313944252E-2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0.12956237687015229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0.20952362451994042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0.17167514523687485</v>
      </c>
      <c r="H177" s="1"/>
      <c r="I177" s="14">
        <f>(C171+D172+E173+F174+G175)/H176</f>
        <v>0.98768021387463079</v>
      </c>
      <c r="J177" s="53">
        <f>SQRT(SUM(P171:P175))/100</f>
        <v>2.1387810086668738E-3</v>
      </c>
      <c r="M177" s="1"/>
      <c r="N177" s="9"/>
      <c r="S177" s="66" t="s">
        <v>39</v>
      </c>
      <c r="T177" s="67">
        <f>C496</f>
        <v>2.8771726962517627E-3</v>
      </c>
      <c r="U177" s="67">
        <f t="shared" si="30"/>
        <v>4.9953732271263922E-2</v>
      </c>
      <c r="V177" s="67">
        <f t="shared" si="30"/>
        <v>0.15245483470993507</v>
      </c>
      <c r="W177" s="67">
        <f t="shared" si="30"/>
        <v>0.22792765012709262</v>
      </c>
      <c r="X177" s="67">
        <f t="shared" si="30"/>
        <v>0.17882066673749938</v>
      </c>
      <c r="AD177" s="51"/>
      <c r="AE177" s="51"/>
    </row>
    <row r="178" spans="1:41" x14ac:dyDescent="0.3">
      <c r="B178" s="1" t="s">
        <v>30</v>
      </c>
      <c r="C178" s="17">
        <f>C171/C176*100</f>
        <v>100</v>
      </c>
      <c r="D178" s="17">
        <f>D172/D176*100</f>
        <v>89.561791792384113</v>
      </c>
      <c r="E178" s="17">
        <f>E173/E176*100</f>
        <v>99.587034877257082</v>
      </c>
      <c r="F178" s="17">
        <f>F174/F176*100</f>
        <v>98.994753028505798</v>
      </c>
      <c r="G178" s="17">
        <f>G175/G176*100</f>
        <v>91.607183187974641</v>
      </c>
      <c r="H178" s="1"/>
      <c r="S178" s="70" t="s">
        <v>30</v>
      </c>
      <c r="T178" s="64">
        <f>C497</f>
        <v>100</v>
      </c>
      <c r="U178" s="64">
        <f t="shared" si="30"/>
        <v>87.574033843660388</v>
      </c>
      <c r="V178" s="64">
        <f t="shared" si="30"/>
        <v>99.409562361951146</v>
      </c>
      <c r="W178" s="64">
        <f t="shared" si="30"/>
        <v>99.202945248796667</v>
      </c>
      <c r="X178" s="64">
        <f t="shared" si="30"/>
        <v>90.934149961624726</v>
      </c>
      <c r="AD178" s="51"/>
      <c r="AE178" s="51"/>
      <c r="AH178" s="78"/>
      <c r="AI178" s="78"/>
    </row>
    <row r="179" spans="1:41" x14ac:dyDescent="0.3">
      <c r="B179" s="16" t="s">
        <v>39</v>
      </c>
      <c r="C179" s="18">
        <f>SQRT((C182+C183)/(C176*C176))</f>
        <v>0</v>
      </c>
      <c r="D179" s="18">
        <f>SQRT((D182+D183)/(D176*D176))</f>
        <v>2.4134252101421922</v>
      </c>
      <c r="E179" s="18">
        <f>SQRT((E182+E183)/(E176*E176))</f>
        <v>0.16624664870927858</v>
      </c>
      <c r="F179" s="18">
        <f>SQRT((F182+F183)/(F176*F176))</f>
        <v>0.27982531953951151</v>
      </c>
      <c r="G179" s="18">
        <f>SQRT((G182+G183)/(G176*G176))</f>
        <v>2.6308611416249463</v>
      </c>
      <c r="H179" s="1"/>
      <c r="S179" s="66" t="s">
        <v>39</v>
      </c>
      <c r="T179" s="67">
        <f>C498</f>
        <v>0</v>
      </c>
      <c r="U179" s="67">
        <f t="shared" si="30"/>
        <v>3.3103718437029888</v>
      </c>
      <c r="V179" s="67">
        <f t="shared" si="30"/>
        <v>0.21178248805210415</v>
      </c>
      <c r="W179" s="67">
        <f t="shared" si="30"/>
        <v>0.27908513271096236</v>
      </c>
      <c r="X179" s="67">
        <f t="shared" si="30"/>
        <v>2.6763578695822963</v>
      </c>
      <c r="AD179" s="51"/>
      <c r="AE179" s="51"/>
    </row>
    <row r="180" spans="1:41" x14ac:dyDescent="0.3">
      <c r="B180" s="1" t="s">
        <v>37</v>
      </c>
      <c r="C180" s="18">
        <f>100-C178</f>
        <v>0</v>
      </c>
      <c r="D180" s="18">
        <f>100-D178</f>
        <v>10.438208207615887</v>
      </c>
      <c r="E180" s="18">
        <f>100-E178</f>
        <v>0.41296512274291786</v>
      </c>
      <c r="F180" s="18">
        <f>100-F178</f>
        <v>1.0052469714942021</v>
      </c>
      <c r="G180" s="18">
        <f>100-G178</f>
        <v>8.3928168120253588</v>
      </c>
      <c r="S180" s="70" t="s">
        <v>31</v>
      </c>
      <c r="T180" s="64">
        <f>I490</f>
        <v>92.904656319290467</v>
      </c>
      <c r="U180" s="64">
        <f>I491</f>
        <v>96.491228070175438</v>
      </c>
      <c r="V180" s="64">
        <f>I492</f>
        <v>99.864314789687924</v>
      </c>
      <c r="W180" s="64">
        <f>I493</f>
        <v>97.422680412371136</v>
      </c>
      <c r="X180" s="64">
        <f>I494</f>
        <v>93.458870168483656</v>
      </c>
      <c r="AD180" s="51"/>
      <c r="AE180" s="51"/>
      <c r="AH180" s="78"/>
      <c r="AI180" s="78"/>
    </row>
    <row r="181" spans="1:41" ht="15.6" x14ac:dyDescent="0.35">
      <c r="B181" s="1" t="s">
        <v>25</v>
      </c>
      <c r="C181" s="1">
        <f>C165</f>
        <v>360</v>
      </c>
      <c r="D181" s="1">
        <f>D165</f>
        <v>84</v>
      </c>
      <c r="E181" s="1">
        <f>E165</f>
        <v>750</v>
      </c>
      <c r="F181" s="1">
        <f>F165</f>
        <v>695</v>
      </c>
      <c r="G181" s="1">
        <f>G165</f>
        <v>947</v>
      </c>
      <c r="S181" s="66" t="s">
        <v>39</v>
      </c>
      <c r="T181" s="67">
        <f>J490</f>
        <v>1.210317190862304</v>
      </c>
      <c r="U181" s="67">
        <f>J491</f>
        <v>2.4588241692166148</v>
      </c>
      <c r="V181" s="67">
        <f>J492</f>
        <v>0.13568521031207589</v>
      </c>
      <c r="W181" s="67">
        <f>J493</f>
        <v>0.65739456332296642</v>
      </c>
      <c r="X181" s="67">
        <f>J494</f>
        <v>0.77876492296262634</v>
      </c>
      <c r="AD181" s="51"/>
      <c r="AE181" s="51"/>
      <c r="AN181" s="2"/>
      <c r="AO181" s="2"/>
    </row>
    <row r="182" spans="1:41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6.7630498106326673</v>
      </c>
      <c r="E182" s="18">
        <f>(O173*O173*(100-E178)*(100-E178)*(I173)*(100-I173))/((L173-1)*100)</f>
        <v>0.11382731305631361</v>
      </c>
      <c r="F182" s="18">
        <f>(O174*O174*(100-F178)*(100-F178)*(I174)*(100-I174))/((L174-1)*100)</f>
        <v>3.6581341987168585</v>
      </c>
      <c r="G182" s="18">
        <f>(O175*O175*(100-G178)*(100-G178)*(I175)*(100-I175))/((L175-1)*100)</f>
        <v>15.695428367124784</v>
      </c>
      <c r="S182" s="68" t="s">
        <v>51</v>
      </c>
      <c r="T182" s="65">
        <f>N479*100</f>
        <v>96.321839080459768</v>
      </c>
      <c r="U182" s="65">
        <f>N480*100</f>
        <v>74.829931972789126</v>
      </c>
      <c r="V182" s="65">
        <f>N481*100</f>
        <v>99.124579124579128</v>
      </c>
      <c r="W182" s="65">
        <f>N482*100</f>
        <v>93.874172185430467</v>
      </c>
      <c r="X182" s="65">
        <f>N483*100</f>
        <v>96.126401630988767</v>
      </c>
      <c r="AD182" s="51"/>
      <c r="AE182" s="51"/>
      <c r="AH182" s="78"/>
      <c r="AI182" s="78"/>
    </row>
    <row r="183" spans="1:41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7.3717242935895806</v>
      </c>
      <c r="E183" s="18">
        <f>E178*E178*(SUM((H171*E171*(1-E160/H160))/(H160-1),(H172*E172*(1-E161/H161))/(H161-1), (H174*E174*(1-E163/H163))/(H163-1),(H175*E175*(1-E164/H164))/(H164-1)))</f>
        <v>100.64324942745269</v>
      </c>
      <c r="F183" s="18">
        <f>F178*F178*(SUM((H171*F171*(1-F160/H160))/(H160-1),(H172*F172*(1-F161/H161))/(H161-1), (H173*F173*(1-F162/H162))/(H162-1),(H175*F175*(1-F164/H164))/(H164-1)))</f>
        <v>76.165866888443333</v>
      </c>
      <c r="G183" s="18">
        <f>G178*G178*(SUM((H171*G171*(1-G160/H160))/(H160-1),(H172*G172*(1-G161/H161))/(H161-1), (H173*G173*(1-G162/H162))/(H162-1),(H174*G174*(1-G163/H163))/(H163-1)))</f>
        <v>229.04149780938826</v>
      </c>
      <c r="R183" s="16" t="s">
        <v>61</v>
      </c>
      <c r="S183" t="s">
        <v>9</v>
      </c>
      <c r="T183" s="1">
        <f>N490</f>
        <v>227.83</v>
      </c>
      <c r="U183" s="1">
        <f>N491</f>
        <v>1434.76</v>
      </c>
      <c r="V183" s="1">
        <f>N492</f>
        <v>57698.23</v>
      </c>
      <c r="W183" s="1">
        <f>N493</f>
        <v>30709.31</v>
      </c>
      <c r="X183" s="1">
        <f>N494</f>
        <v>5662.98</v>
      </c>
      <c r="Z183" t="s">
        <v>36</v>
      </c>
      <c r="AA183" s="1">
        <f>N495</f>
        <v>95733.11</v>
      </c>
      <c r="AD183" s="51"/>
      <c r="AE183" s="51"/>
      <c r="AN183" s="78"/>
      <c r="AO183" s="78"/>
    </row>
    <row r="184" spans="1:41" ht="15.6" x14ac:dyDescent="0.35">
      <c r="R184" s="16" t="s">
        <v>318</v>
      </c>
      <c r="S184" t="s">
        <v>63</v>
      </c>
      <c r="T184" s="57">
        <f>$AA183*T176/100</f>
        <v>211.66467849223946</v>
      </c>
      <c r="U184" s="57">
        <f>$AA183*U176/100</f>
        <v>1580.8539165058332</v>
      </c>
      <c r="V184" s="57">
        <f>$AA183*V176/100</f>
        <v>57962.172517653191</v>
      </c>
      <c r="W184" s="57">
        <f>$AA183*W176/100</f>
        <v>30158.210386911102</v>
      </c>
      <c r="X184" s="57">
        <f>$AA183*X176/100</f>
        <v>5820.2085004376413</v>
      </c>
      <c r="Z184" t="s">
        <v>36</v>
      </c>
      <c r="AA184" s="25">
        <f>SUM(T184:X184)</f>
        <v>95733.110000000015</v>
      </c>
      <c r="AD184" s="51"/>
      <c r="AE184" s="51"/>
      <c r="AH184" s="78"/>
      <c r="AI184" s="78"/>
    </row>
    <row r="185" spans="1:41" x14ac:dyDescent="0.3">
      <c r="R185" s="66"/>
      <c r="S185" s="66" t="s">
        <v>62</v>
      </c>
      <c r="T185" s="67">
        <f>$AA183*T177/100</f>
        <v>2.7544069021926658</v>
      </c>
      <c r="U185" s="67">
        <f>$AA183*U177/100</f>
        <v>47.82226146435459</v>
      </c>
      <c r="V185" s="67">
        <f>$AA183*V177/100</f>
        <v>145.94975461318032</v>
      </c>
      <c r="W185" s="67">
        <f>$AA183*W177/100</f>
        <v>218.20222801658474</v>
      </c>
      <c r="X185" s="67">
        <f>$AA183*X177/100</f>
        <v>171.19058559054372</v>
      </c>
      <c r="AA185" s="1"/>
      <c r="AD185" s="51"/>
      <c r="AE185" s="51"/>
      <c r="AN185" s="78"/>
      <c r="AO185" s="78"/>
    </row>
    <row r="186" spans="1:41" x14ac:dyDescent="0.3">
      <c r="A186" s="348" t="s">
        <v>380</v>
      </c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 t="s">
        <v>79</v>
      </c>
      <c r="M186" s="348"/>
      <c r="N186" s="348"/>
      <c r="O186" s="348"/>
      <c r="P186" s="348"/>
      <c r="R186" t="s">
        <v>105</v>
      </c>
      <c r="S186" s="70" t="s">
        <v>28</v>
      </c>
      <c r="T186" s="64">
        <f>C524</f>
        <v>0.19914876702949602</v>
      </c>
      <c r="U186" s="64">
        <f t="shared" ref="U186:X189" si="31">D524</f>
        <v>1.523244981761928</v>
      </c>
      <c r="V186" s="64">
        <f t="shared" si="31"/>
        <v>60.569333345246434</v>
      </c>
      <c r="W186" s="64">
        <f t="shared" si="31"/>
        <v>31.489397986844661</v>
      </c>
      <c r="X186" s="64">
        <f t="shared" si="31"/>
        <v>6.2188749191174812</v>
      </c>
      <c r="AA186" s="12"/>
      <c r="AD186" s="51"/>
      <c r="AE186" s="51"/>
    </row>
    <row r="187" spans="1:41" x14ac:dyDescent="0.3">
      <c r="A187" t="s">
        <v>315</v>
      </c>
      <c r="B187" t="s">
        <v>21</v>
      </c>
      <c r="I187" s="1" t="s">
        <v>53</v>
      </c>
      <c r="O187" s="142"/>
      <c r="P187" s="142"/>
      <c r="S187" s="66" t="s">
        <v>39</v>
      </c>
      <c r="T187" s="67">
        <f>C525</f>
        <v>4.9410020737243113E-3</v>
      </c>
      <c r="U187" s="67">
        <f t="shared" si="31"/>
        <v>4.6283032712641302E-2</v>
      </c>
      <c r="V187" s="67">
        <f t="shared" si="31"/>
        <v>0.14161579227380452</v>
      </c>
      <c r="W187" s="67">
        <f t="shared" si="31"/>
        <v>0.22854663976328035</v>
      </c>
      <c r="X187" s="67">
        <f t="shared" si="31"/>
        <v>0.18742908550410609</v>
      </c>
      <c r="AD187" s="51"/>
      <c r="AE187" s="51"/>
      <c r="AN187" s="78"/>
      <c r="AO187" s="78"/>
    </row>
    <row r="188" spans="1:41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51</v>
      </c>
      <c r="O188" s="13"/>
      <c r="P188" s="13"/>
      <c r="S188" t="s">
        <v>30</v>
      </c>
      <c r="T188" s="57">
        <f>C526</f>
        <v>100</v>
      </c>
      <c r="U188" s="57">
        <f t="shared" si="31"/>
        <v>89.27284324153463</v>
      </c>
      <c r="V188" s="57">
        <f t="shared" si="31"/>
        <v>99.486563192572902</v>
      </c>
      <c r="W188" s="57">
        <f t="shared" si="31"/>
        <v>98.661139602903518</v>
      </c>
      <c r="X188" s="57">
        <f t="shared" si="31"/>
        <v>90.308114163545454</v>
      </c>
      <c r="AD188" s="51"/>
      <c r="AE188" s="51"/>
    </row>
    <row r="189" spans="1:41" x14ac:dyDescent="0.3">
      <c r="A189" t="s">
        <v>3</v>
      </c>
      <c r="B189" s="13">
        <v>0</v>
      </c>
      <c r="C189" s="26">
        <v>419</v>
      </c>
      <c r="D189" s="3">
        <v>0</v>
      </c>
      <c r="E189" s="3">
        <v>0</v>
      </c>
      <c r="F189" s="3">
        <v>32</v>
      </c>
      <c r="G189" s="4">
        <v>0</v>
      </c>
      <c r="H189" s="1">
        <f>SUM(C189:G189)</f>
        <v>451</v>
      </c>
      <c r="I189" s="10">
        <f>C189/H189</f>
        <v>0.92904656319290468</v>
      </c>
      <c r="J189" s="11">
        <f>1-I189</f>
        <v>7.0953436807095316E-2</v>
      </c>
      <c r="K189">
        <f>H189-C194</f>
        <v>32</v>
      </c>
      <c r="N189" s="10">
        <f>2*(C195*I189)/(C195+I189)</f>
        <v>0.9632183908045977</v>
      </c>
      <c r="O189" s="1"/>
      <c r="P189" s="1"/>
      <c r="S189" s="66" t="s">
        <v>39</v>
      </c>
      <c r="T189" s="67">
        <f>C527</f>
        <v>0</v>
      </c>
      <c r="U189" s="67">
        <f t="shared" si="31"/>
        <v>3.0436923848981707</v>
      </c>
      <c r="V189" s="67">
        <f t="shared" si="31"/>
        <v>0.19028251814012989</v>
      </c>
      <c r="W189" s="67">
        <f t="shared" si="31"/>
        <v>0.30019133452721763</v>
      </c>
      <c r="X189" s="67">
        <f t="shared" si="31"/>
        <v>2.740034310603098</v>
      </c>
      <c r="AD189" s="51"/>
      <c r="AE189" s="51"/>
      <c r="AN189" s="78"/>
      <c r="AO189" s="78"/>
    </row>
    <row r="190" spans="1:41" x14ac:dyDescent="0.3">
      <c r="A190" t="s">
        <v>4</v>
      </c>
      <c r="B190" s="13">
        <v>1</v>
      </c>
      <c r="C190" s="5">
        <v>0</v>
      </c>
      <c r="D190" s="27">
        <v>56</v>
      </c>
      <c r="E190" s="1">
        <v>1</v>
      </c>
      <c r="F190" s="1">
        <v>0</v>
      </c>
      <c r="G190" s="6">
        <v>0</v>
      </c>
      <c r="H190" s="1">
        <f>SUM(C190:G190)</f>
        <v>57</v>
      </c>
      <c r="I190" s="10">
        <f>D190/H190</f>
        <v>0.98245614035087714</v>
      </c>
      <c r="J190" s="11">
        <f>1-I190</f>
        <v>1.7543859649122862E-2</v>
      </c>
      <c r="K190">
        <f>H190-D194</f>
        <v>-4</v>
      </c>
      <c r="N190" s="10">
        <f>2*(D195*I190)/(D195+I190)</f>
        <v>0.94915254237288127</v>
      </c>
      <c r="O190" s="1"/>
      <c r="P190" s="1"/>
      <c r="S190" t="s">
        <v>31</v>
      </c>
      <c r="T190" s="57">
        <f>I519</f>
        <v>78.270509977827047</v>
      </c>
      <c r="U190" s="57">
        <f>I520</f>
        <v>96.491228070175438</v>
      </c>
      <c r="V190" s="57">
        <f>I521</f>
        <v>99.864314789687924</v>
      </c>
      <c r="W190" s="57">
        <f>I522</f>
        <v>97.422680412371136</v>
      </c>
      <c r="X190" s="57">
        <f>I523</f>
        <v>91.972249752229928</v>
      </c>
      <c r="AD190" s="51"/>
      <c r="AE190" s="51"/>
    </row>
    <row r="191" spans="1:41" x14ac:dyDescent="0.3">
      <c r="A191" t="s">
        <v>5</v>
      </c>
      <c r="B191" s="13">
        <v>2</v>
      </c>
      <c r="C191" s="5">
        <v>0</v>
      </c>
      <c r="D191" s="1">
        <v>0</v>
      </c>
      <c r="E191" s="27">
        <v>736</v>
      </c>
      <c r="F191" s="1">
        <v>1</v>
      </c>
      <c r="G191" s="6">
        <v>0</v>
      </c>
      <c r="H191" s="1">
        <f>SUM(C191:G191)</f>
        <v>737</v>
      </c>
      <c r="I191" s="10">
        <f>E191/H191</f>
        <v>0.99864314789687925</v>
      </c>
      <c r="J191" s="11">
        <f>1-I191</f>
        <v>1.3568521031207537E-3</v>
      </c>
      <c r="K191">
        <f>H191-E194</f>
        <v>-16</v>
      </c>
      <c r="N191" s="10">
        <f>2*(E195*I191)/(E195+I191)</f>
        <v>0.98791946308724843</v>
      </c>
      <c r="O191" s="1"/>
      <c r="P191" s="1"/>
      <c r="S191" s="66" t="s">
        <v>39</v>
      </c>
      <c r="T191" s="67">
        <f>J519</f>
        <v>1.9440954855342434</v>
      </c>
      <c r="U191" s="67">
        <f>J520</f>
        <v>2.4588241692166148</v>
      </c>
      <c r="V191" s="67">
        <f>J521</f>
        <v>0.13568521031207589</v>
      </c>
      <c r="W191" s="67">
        <f>J522</f>
        <v>0.65739456332296642</v>
      </c>
      <c r="X191" s="67">
        <f>J523</f>
        <v>0.85584489648633244</v>
      </c>
      <c r="AD191" s="51"/>
      <c r="AE191" s="51"/>
      <c r="AN191" s="78"/>
      <c r="AO191" s="78"/>
    </row>
    <row r="192" spans="1:41" x14ac:dyDescent="0.3">
      <c r="A192" t="s">
        <v>6</v>
      </c>
      <c r="B192" s="13">
        <v>3</v>
      </c>
      <c r="C192" s="5">
        <v>0</v>
      </c>
      <c r="D192" s="1">
        <v>0</v>
      </c>
      <c r="E192" s="1">
        <v>4</v>
      </c>
      <c r="F192" s="27">
        <v>562</v>
      </c>
      <c r="G192" s="6">
        <v>16</v>
      </c>
      <c r="H192" s="1">
        <f>SUM(C192:G192)</f>
        <v>582</v>
      </c>
      <c r="I192" s="10">
        <f>F192/H192</f>
        <v>0.96563573883161513</v>
      </c>
      <c r="J192" s="11">
        <f>1-I192</f>
        <v>3.4364261168384869E-2</v>
      </c>
      <c r="K192">
        <f>H192-F194</f>
        <v>-54</v>
      </c>
      <c r="N192" s="10">
        <f>2*(F195*I192)/(F195+I192)</f>
        <v>0.92282430213464695</v>
      </c>
      <c r="O192" s="1"/>
      <c r="P192" s="1"/>
      <c r="S192" s="66" t="s">
        <v>51</v>
      </c>
      <c r="T192" s="67">
        <f>N508*100</f>
        <v>87.810945273631845</v>
      </c>
      <c r="U192" s="67">
        <f>N509*100</f>
        <v>79.136690647482027</v>
      </c>
      <c r="V192" s="67">
        <f>N510*100</f>
        <v>99.0578734858681</v>
      </c>
      <c r="W192" s="67">
        <f>N511*100</f>
        <v>87.567567567567551</v>
      </c>
      <c r="X192" s="67">
        <f>N512*100</f>
        <v>95.277207392197141</v>
      </c>
      <c r="AD192" s="51"/>
      <c r="AE192" s="51"/>
    </row>
    <row r="193" spans="1:48" x14ac:dyDescent="0.3">
      <c r="A193" t="s">
        <v>7</v>
      </c>
      <c r="B193" s="13">
        <v>4</v>
      </c>
      <c r="C193" s="7">
        <v>0</v>
      </c>
      <c r="D193" s="8">
        <v>5</v>
      </c>
      <c r="E193" s="8">
        <v>12</v>
      </c>
      <c r="F193" s="8">
        <v>41</v>
      </c>
      <c r="G193" s="28">
        <v>951</v>
      </c>
      <c r="H193" s="1">
        <f>SUM(C193:G193)</f>
        <v>1009</v>
      </c>
      <c r="I193" s="10">
        <f>G193/H193</f>
        <v>0.94251734390485631</v>
      </c>
      <c r="J193" s="11">
        <f>1-I193</f>
        <v>5.7482656095143692E-2</v>
      </c>
      <c r="K193">
        <f>H193-G194</f>
        <v>42</v>
      </c>
      <c r="N193" s="10">
        <f>2*(G195*I193)/(G195+I193)</f>
        <v>0.96255060728744946</v>
      </c>
      <c r="O193" s="1"/>
      <c r="P193" s="1"/>
      <c r="R193" s="16" t="s">
        <v>61</v>
      </c>
      <c r="S193" t="s">
        <v>9</v>
      </c>
      <c r="T193" s="1">
        <f>N519</f>
        <v>243.58</v>
      </c>
      <c r="U193" s="1">
        <f>N520</f>
        <v>1349.16</v>
      </c>
      <c r="V193" s="1">
        <f>N521</f>
        <v>57765.57</v>
      </c>
      <c r="W193" s="1">
        <f>N522</f>
        <v>30529</v>
      </c>
      <c r="X193" s="1">
        <f>N523</f>
        <v>5845.8</v>
      </c>
      <c r="Z193" t="s">
        <v>36</v>
      </c>
      <c r="AA193" s="1">
        <f>N524</f>
        <v>95733.11</v>
      </c>
      <c r="AD193" s="51"/>
      <c r="AE193" s="51"/>
      <c r="AL193" s="131">
        <v>0</v>
      </c>
      <c r="AM193" s="132">
        <v>1</v>
      </c>
      <c r="AN193" s="132">
        <v>2</v>
      </c>
      <c r="AO193" s="132">
        <v>3</v>
      </c>
      <c r="AP193" s="133">
        <v>4</v>
      </c>
    </row>
    <row r="194" spans="1:48" ht="15.6" x14ac:dyDescent="0.35">
      <c r="B194" s="1" t="s">
        <v>19</v>
      </c>
      <c r="C194" s="1">
        <f>SUM(C189:C193)</f>
        <v>419</v>
      </c>
      <c r="D194" s="1">
        <f>SUM(D189:D193)</f>
        <v>61</v>
      </c>
      <c r="E194" s="1">
        <f>SUM(E189:E193)</f>
        <v>753</v>
      </c>
      <c r="F194" s="1">
        <f>SUM(F189:F193)</f>
        <v>636</v>
      </c>
      <c r="G194" s="1">
        <f>SUM(G189:G193)</f>
        <v>967</v>
      </c>
      <c r="H194" s="1">
        <f>SUM(H188:H193)</f>
        <v>2836</v>
      </c>
      <c r="I194" s="13" t="s">
        <v>12</v>
      </c>
      <c r="N194" s="16"/>
      <c r="O194" s="1"/>
      <c r="P194" s="1"/>
      <c r="R194" s="16" t="s">
        <v>318</v>
      </c>
      <c r="S194" t="s">
        <v>63</v>
      </c>
      <c r="T194" s="57">
        <f>$AA193*T186/100</f>
        <v>190.65130820399116</v>
      </c>
      <c r="U194" s="57">
        <f>$AA193*U186/100</f>
        <v>1458.2497939596265</v>
      </c>
      <c r="V194" s="57">
        <f>$AA193*V186/100</f>
        <v>57984.90651767145</v>
      </c>
      <c r="W194" s="57">
        <f>$AA193*W186/100</f>
        <v>30145.780013083786</v>
      </c>
      <c r="X194" s="57">
        <f>$AA193*X186/100</f>
        <v>5953.5223670811502</v>
      </c>
      <c r="Z194" t="s">
        <v>36</v>
      </c>
      <c r="AA194" s="25">
        <f>SUM(T194:X194)</f>
        <v>95733.11</v>
      </c>
      <c r="AD194" s="51"/>
      <c r="AE194" s="51"/>
      <c r="AJ194" t="s">
        <v>2</v>
      </c>
      <c r="AQ194" t="s">
        <v>633</v>
      </c>
    </row>
    <row r="195" spans="1:48" x14ac:dyDescent="0.3">
      <c r="A195" s="1" t="s">
        <v>316</v>
      </c>
      <c r="B195" s="1" t="s">
        <v>2</v>
      </c>
      <c r="C195" s="10">
        <f>C189/C194</f>
        <v>1</v>
      </c>
      <c r="D195" s="10">
        <f>D190/D194</f>
        <v>0.91803278688524592</v>
      </c>
      <c r="E195" s="10">
        <f>E191/E194</f>
        <v>0.97742363877822047</v>
      </c>
      <c r="F195" s="10">
        <f>F192/F194</f>
        <v>0.88364779874213839</v>
      </c>
      <c r="G195" s="10">
        <f>G193/G194</f>
        <v>0.98345398138572904</v>
      </c>
      <c r="H195" s="10"/>
      <c r="I195" s="14">
        <f>(C189+D190+E191+F192+G193)/H194</f>
        <v>0.96050775740479544</v>
      </c>
      <c r="R195" s="66"/>
      <c r="S195" s="66" t="s">
        <v>62</v>
      </c>
      <c r="T195" s="67">
        <f>$AA193*T187/100</f>
        <v>4.7301749503407766</v>
      </c>
      <c r="U195" s="67">
        <f>$AA193*U187/100</f>
        <v>44.308186618128886</v>
      </c>
      <c r="V195" s="67">
        <f>$AA193*V187/100</f>
        <v>135.5732021948528</v>
      </c>
      <c r="W195" s="67">
        <f>$AA193*W187/100</f>
        <v>218.79480604588491</v>
      </c>
      <c r="X195" s="67">
        <f>$AA193*X187/100</f>
        <v>179.43169259763991</v>
      </c>
      <c r="AA195" s="1"/>
      <c r="AD195" s="51"/>
      <c r="AE195" s="51"/>
      <c r="AJ195" t="s">
        <v>633</v>
      </c>
      <c r="AK195">
        <v>0</v>
      </c>
      <c r="AL195" s="1">
        <v>219.62</v>
      </c>
      <c r="AM195">
        <v>272.83999999999997</v>
      </c>
      <c r="AN195">
        <v>4311.55</v>
      </c>
      <c r="AO195">
        <v>15137.29</v>
      </c>
      <c r="AP195">
        <v>4386.21</v>
      </c>
      <c r="AR195" s="1">
        <v>242.95</v>
      </c>
      <c r="AS195" s="1">
        <v>1114.31</v>
      </c>
      <c r="AT195" s="1">
        <v>57618.58</v>
      </c>
      <c r="AU195" s="1">
        <v>31161.279999999999</v>
      </c>
      <c r="AV195" s="1">
        <v>5596.01</v>
      </c>
    </row>
    <row r="196" spans="1:48" x14ac:dyDescent="0.3">
      <c r="B196" s="1" t="s">
        <v>14</v>
      </c>
      <c r="C196" s="11">
        <f>1-C195</f>
        <v>0</v>
      </c>
      <c r="D196" s="11">
        <f>1-D195</f>
        <v>8.1967213114754078E-2</v>
      </c>
      <c r="E196" s="11">
        <f>1-E195</f>
        <v>2.2576361221779528E-2</v>
      </c>
      <c r="F196" s="11">
        <f>1-F195</f>
        <v>0.11635220125786161</v>
      </c>
      <c r="G196" s="11">
        <f>1-G195</f>
        <v>1.6546018614270963E-2</v>
      </c>
      <c r="R196" t="s">
        <v>106</v>
      </c>
      <c r="S196" t="s">
        <v>28</v>
      </c>
      <c r="T196" s="57">
        <f>C553</f>
        <v>0.22092401262056935</v>
      </c>
      <c r="U196" s="57">
        <f t="shared" ref="U196:X199" si="32">D553</f>
        <v>1.2608168877691228</v>
      </c>
      <c r="V196" s="57">
        <f t="shared" si="32"/>
        <v>60.456698585739957</v>
      </c>
      <c r="W196" s="57">
        <f t="shared" si="32"/>
        <v>32.309512471499005</v>
      </c>
      <c r="X196" s="57">
        <f t="shared" si="32"/>
        <v>5.7520480423713529</v>
      </c>
      <c r="Y196" s="13"/>
      <c r="Z196" s="74"/>
      <c r="AA196" s="12"/>
      <c r="AD196" s="51"/>
      <c r="AE196" s="51"/>
      <c r="AJ196" t="s">
        <v>633</v>
      </c>
      <c r="AK196">
        <v>1</v>
      </c>
      <c r="AL196" s="1">
        <v>232.77</v>
      </c>
      <c r="AM196">
        <v>349.68</v>
      </c>
      <c r="AN196">
        <v>4338.03</v>
      </c>
      <c r="AO196">
        <v>15076.88</v>
      </c>
      <c r="AP196">
        <v>4330.16</v>
      </c>
      <c r="AR196" s="1">
        <v>250.6</v>
      </c>
      <c r="AS196" s="1">
        <v>1423.42</v>
      </c>
      <c r="AT196" s="1">
        <v>57535.23</v>
      </c>
      <c r="AU196" s="1">
        <v>31006.45</v>
      </c>
      <c r="AV196" s="1">
        <v>5517.42</v>
      </c>
    </row>
    <row r="197" spans="1:48" x14ac:dyDescent="0.3">
      <c r="C197" s="2"/>
      <c r="S197" s="66" t="s">
        <v>39</v>
      </c>
      <c r="T197" s="67">
        <f>C554</f>
        <v>2.8748992489292732E-3</v>
      </c>
      <c r="U197" s="67">
        <f t="shared" si="32"/>
        <v>4.0279871412874757E-2</v>
      </c>
      <c r="V197" s="67">
        <f t="shared" si="32"/>
        <v>0.15266139739884133</v>
      </c>
      <c r="W197" s="67">
        <f t="shared" si="32"/>
        <v>0.22704114377671392</v>
      </c>
      <c r="X197" s="67">
        <f t="shared" si="32"/>
        <v>0.17526791643946499</v>
      </c>
      <c r="AD197" s="51"/>
      <c r="AE197" s="51"/>
      <c r="AJ197" t="s">
        <v>633</v>
      </c>
      <c r="AK197">
        <v>2</v>
      </c>
      <c r="AL197" s="1">
        <v>222.54</v>
      </c>
      <c r="AM197">
        <v>324.08</v>
      </c>
      <c r="AN197">
        <v>4293.43</v>
      </c>
      <c r="AO197">
        <v>15142.63</v>
      </c>
      <c r="AP197">
        <v>4344.8500000000004</v>
      </c>
      <c r="AR197" s="1">
        <v>228.1</v>
      </c>
      <c r="AS197" s="1">
        <v>1201.17</v>
      </c>
      <c r="AT197" s="1">
        <v>57597.599999999999</v>
      </c>
      <c r="AU197" s="1">
        <v>31084.23</v>
      </c>
      <c r="AV197" s="1">
        <v>5622.02</v>
      </c>
    </row>
    <row r="198" spans="1:48" ht="15.6" x14ac:dyDescent="0.35">
      <c r="A198" t="s">
        <v>317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32"/>
        <v>88.16614756835402</v>
      </c>
      <c r="V198" s="57">
        <f t="shared" si="32"/>
        <v>99.393258956509527</v>
      </c>
      <c r="W198" s="57">
        <f t="shared" si="32"/>
        <v>98.618174859538371</v>
      </c>
      <c r="X198" s="57">
        <f t="shared" si="32"/>
        <v>91.186072316645877</v>
      </c>
      <c r="AD198" s="51"/>
      <c r="AE198" s="51"/>
      <c r="AJ198" t="s">
        <v>633</v>
      </c>
      <c r="AK198">
        <v>3</v>
      </c>
      <c r="AL198" s="1">
        <v>222.36</v>
      </c>
      <c r="AM198">
        <v>321.76</v>
      </c>
      <c r="AN198">
        <v>4267.78</v>
      </c>
      <c r="AO198">
        <v>15102.97</v>
      </c>
      <c r="AP198">
        <v>4412.66</v>
      </c>
      <c r="AR198" s="1">
        <v>227.83</v>
      </c>
      <c r="AS198" s="1">
        <v>1154.0999999999999</v>
      </c>
      <c r="AT198" s="1">
        <v>57577.98</v>
      </c>
      <c r="AU198" s="1">
        <v>31073.69</v>
      </c>
      <c r="AV198" s="1">
        <v>5699.53</v>
      </c>
    </row>
    <row r="199" spans="1:48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32"/>
        <v>3.3394005475847335</v>
      </c>
      <c r="V199" s="67">
        <f t="shared" si="32"/>
        <v>0.2125512950673602</v>
      </c>
      <c r="W199" s="67">
        <f t="shared" si="32"/>
        <v>0.29605516916786317</v>
      </c>
      <c r="X199" s="67">
        <f t="shared" si="32"/>
        <v>2.7723484434289309</v>
      </c>
      <c r="AD199" s="51"/>
      <c r="AE199" s="51"/>
      <c r="AJ199" t="s">
        <v>633</v>
      </c>
      <c r="AK199">
        <v>4</v>
      </c>
      <c r="AL199" s="1">
        <v>217.28</v>
      </c>
      <c r="AM199">
        <v>351.41</v>
      </c>
      <c r="AN199">
        <v>4259.37</v>
      </c>
      <c r="AO199">
        <v>15162.54</v>
      </c>
      <c r="AP199">
        <v>4336.93</v>
      </c>
      <c r="AR199" s="1">
        <v>240.34</v>
      </c>
      <c r="AS199" s="1">
        <v>1313.34</v>
      </c>
      <c r="AT199" s="1">
        <v>57375</v>
      </c>
      <c r="AU199" s="1">
        <v>31262.45</v>
      </c>
      <c r="AV199" s="1">
        <v>5542</v>
      </c>
    </row>
    <row r="200" spans="1:48" x14ac:dyDescent="0.3">
      <c r="A200" t="s">
        <v>3</v>
      </c>
      <c r="B200" s="13">
        <v>0</v>
      </c>
      <c r="C200" s="29">
        <f>(C189/$L200)*$O200</f>
        <v>0.22109869446670025</v>
      </c>
      <c r="D200" s="31">
        <f>(D189/$L200)*$O200</f>
        <v>0</v>
      </c>
      <c r="E200" s="31">
        <f>(E189/$L200)*$O200</f>
        <v>0</v>
      </c>
      <c r="F200" s="31">
        <f>(F189/$L200)*$O200</f>
        <v>1.6885819147814816E-2</v>
      </c>
      <c r="G200" s="32">
        <f>(G189/$L200)*$O200</f>
        <v>0</v>
      </c>
      <c r="H200" s="17">
        <f>SUM(C200:G200)</f>
        <v>0.23798451361451506</v>
      </c>
      <c r="I200" s="17">
        <f>C200/H200*100</f>
        <v>92.904656319290467</v>
      </c>
      <c r="J200" s="17">
        <f>SQRT(I200*(100-I200)/(L200-1))</f>
        <v>1.210317190862304</v>
      </c>
      <c r="K200" s="18">
        <f>100-I200</f>
        <v>7.0953436807095329</v>
      </c>
      <c r="L200" s="1">
        <f>H189</f>
        <v>451</v>
      </c>
      <c r="M200">
        <v>0</v>
      </c>
      <c r="N200" s="1">
        <v>227.83</v>
      </c>
      <c r="O200" s="17">
        <f>N200/N205*100</f>
        <v>0.23798451361451506</v>
      </c>
      <c r="P200" s="52">
        <f>((O200*O200*(I200/100)*(K200/100))/(L200-1))</f>
        <v>8.2965168190725876E-6</v>
      </c>
      <c r="S200" t="s">
        <v>31</v>
      </c>
      <c r="T200" s="57">
        <f>I548</f>
        <v>92.904656319290467</v>
      </c>
      <c r="U200" s="57">
        <f>I549</f>
        <v>96.491228070175438</v>
      </c>
      <c r="V200" s="57">
        <f>I550</f>
        <v>99.864314789687924</v>
      </c>
      <c r="W200" s="57">
        <f>I551</f>
        <v>97.594501718213053</v>
      </c>
      <c r="X200" s="57">
        <f>I552</f>
        <v>90.584737363726461</v>
      </c>
      <c r="AD200" s="51"/>
      <c r="AE200" s="51"/>
      <c r="AJ200" t="s">
        <v>633</v>
      </c>
      <c r="AK200">
        <v>5</v>
      </c>
      <c r="AL200" s="1">
        <v>214.04</v>
      </c>
      <c r="AM200">
        <v>354.71</v>
      </c>
      <c r="AN200">
        <v>4351.12</v>
      </c>
      <c r="AO200">
        <v>15032.54</v>
      </c>
      <c r="AP200">
        <v>4375.12</v>
      </c>
      <c r="AR200" s="1">
        <v>225.94</v>
      </c>
      <c r="AS200" s="1">
        <v>1359.51</v>
      </c>
      <c r="AT200" s="1">
        <v>57642.07</v>
      </c>
      <c r="AU200" s="1">
        <v>30896</v>
      </c>
      <c r="AV200" s="1">
        <v>5609.6</v>
      </c>
    </row>
    <row r="201" spans="1:48" x14ac:dyDescent="0.3">
      <c r="A201" t="s">
        <v>4</v>
      </c>
      <c r="B201" s="13">
        <v>1</v>
      </c>
      <c r="C201" s="33">
        <f t="shared" ref="C201:G204" si="33">(C190/$L201)*$O201</f>
        <v>0</v>
      </c>
      <c r="D201" s="34">
        <f t="shared" si="33"/>
        <v>1.310114340087666</v>
      </c>
      <c r="E201" s="19">
        <f t="shared" si="33"/>
        <v>2.3394898930136892E-2</v>
      </c>
      <c r="F201" s="18">
        <f t="shared" si="33"/>
        <v>0</v>
      </c>
      <c r="G201" s="20">
        <f t="shared" si="33"/>
        <v>0</v>
      </c>
      <c r="H201" s="17">
        <f>SUM(C201:G201)</f>
        <v>1.3335092390178029</v>
      </c>
      <c r="I201" s="17">
        <f>D201/H201*100</f>
        <v>98.245614035087712</v>
      </c>
      <c r="J201" s="17">
        <f>SQRT(I201*(100-I201)/(L201-1))</f>
        <v>1.7543859649122842</v>
      </c>
      <c r="K201" s="18">
        <f>100-I201</f>
        <v>1.7543859649122879</v>
      </c>
      <c r="L201" s="1">
        <f>H190</f>
        <v>57</v>
      </c>
      <c r="M201">
        <v>1</v>
      </c>
      <c r="N201" s="1">
        <v>1276.6099999999999</v>
      </c>
      <c r="O201" s="17">
        <f>N201/N205*100</f>
        <v>1.3335092390178029</v>
      </c>
      <c r="P201" s="52">
        <f>((O201*O201*(I201/100)*(K201/100))/(L201-1))</f>
        <v>5.4732129595132261E-4</v>
      </c>
      <c r="S201" s="66" t="s">
        <v>39</v>
      </c>
      <c r="T201" s="67">
        <f>J548</f>
        <v>1.210317190862304</v>
      </c>
      <c r="U201" s="67">
        <f>J549</f>
        <v>2.4588241692166148</v>
      </c>
      <c r="V201" s="67">
        <f>J550</f>
        <v>0.13568521031207589</v>
      </c>
      <c r="W201" s="67">
        <f>J551</f>
        <v>0.63566329513058506</v>
      </c>
      <c r="X201" s="67">
        <f>J552</f>
        <v>0.91984249272684604</v>
      </c>
      <c r="AD201" s="51"/>
      <c r="AE201" s="51"/>
      <c r="AJ201" t="s">
        <v>633</v>
      </c>
      <c r="AK201">
        <v>6</v>
      </c>
      <c r="AL201" s="1">
        <v>222.63</v>
      </c>
      <c r="AM201">
        <v>320.95</v>
      </c>
      <c r="AN201">
        <v>4276.78</v>
      </c>
      <c r="AO201">
        <v>15114.39</v>
      </c>
      <c r="AP201">
        <v>4392.78</v>
      </c>
      <c r="AR201" s="1">
        <v>227.83</v>
      </c>
      <c r="AS201" s="1">
        <v>1276.6099999999999</v>
      </c>
      <c r="AT201" s="1">
        <v>57427.47</v>
      </c>
      <c r="AU201" s="1">
        <v>31151.01</v>
      </c>
      <c r="AV201" s="1">
        <v>5650.2</v>
      </c>
    </row>
    <row r="202" spans="1:48" x14ac:dyDescent="0.3">
      <c r="A202" t="s">
        <v>5</v>
      </c>
      <c r="B202" s="13">
        <v>2</v>
      </c>
      <c r="C202" s="33">
        <f t="shared" si="33"/>
        <v>0</v>
      </c>
      <c r="D202" s="19">
        <f t="shared" si="33"/>
        <v>0</v>
      </c>
      <c r="E202" s="34">
        <f t="shared" si="33"/>
        <v>59.905651687267273</v>
      </c>
      <c r="F202" s="19">
        <f t="shared" si="33"/>
        <v>8.1393548488134876E-2</v>
      </c>
      <c r="G202" s="20">
        <f t="shared" si="33"/>
        <v>0</v>
      </c>
      <c r="H202" s="17">
        <f>SUM(C202:G202)</f>
        <v>59.98704523575541</v>
      </c>
      <c r="I202" s="17">
        <f>E202/H202*100</f>
        <v>99.864314789687924</v>
      </c>
      <c r="J202" s="17">
        <f>SQRT(I202*(100-I202)/(L202-1))</f>
        <v>0.13568521031207589</v>
      </c>
      <c r="K202" s="18">
        <f>100-I202</f>
        <v>0.13568521031207581</v>
      </c>
      <c r="L202" s="1">
        <f>H191</f>
        <v>737</v>
      </c>
      <c r="M202">
        <v>2</v>
      </c>
      <c r="N202" s="1">
        <v>57427.47</v>
      </c>
      <c r="O202" s="17">
        <f>N202/N205*100</f>
        <v>59.98704523575541</v>
      </c>
      <c r="P202" s="52">
        <f>((O202*O202*(I202/100)*(K202/100))/(L202-1))</f>
        <v>6.6249097354903561E-3</v>
      </c>
      <c r="S202" s="66" t="s">
        <v>51</v>
      </c>
      <c r="T202" s="67">
        <f>N537*100</f>
        <v>96.321839080459768</v>
      </c>
      <c r="U202" s="67">
        <f>N538*100</f>
        <v>79.710144927536248</v>
      </c>
      <c r="V202" s="67">
        <f>N539*100</f>
        <v>98.924731182795696</v>
      </c>
      <c r="W202" s="67">
        <f>N540*100</f>
        <v>91.612903225806448</v>
      </c>
      <c r="X202" s="67">
        <f>N541*100</f>
        <v>94.421487603305792</v>
      </c>
      <c r="AD202" s="51"/>
      <c r="AE202" s="51"/>
      <c r="AJ202" t="s">
        <v>633</v>
      </c>
      <c r="AK202">
        <v>7</v>
      </c>
      <c r="AL202" s="1">
        <v>222.54</v>
      </c>
      <c r="AM202">
        <v>318.54000000000002</v>
      </c>
      <c r="AN202">
        <v>4251.87</v>
      </c>
      <c r="AO202">
        <v>15094.9</v>
      </c>
      <c r="AP202">
        <v>4439.6899999999996</v>
      </c>
      <c r="AR202" s="1">
        <v>228.1</v>
      </c>
      <c r="AS202" s="1">
        <v>1237.3599999999999</v>
      </c>
      <c r="AT202" s="1">
        <v>57479.5</v>
      </c>
      <c r="AU202" s="1">
        <v>31071.89</v>
      </c>
      <c r="AV202" s="1">
        <v>5716.27</v>
      </c>
    </row>
    <row r="203" spans="1:48" x14ac:dyDescent="0.3">
      <c r="A203" t="s">
        <v>6</v>
      </c>
      <c r="B203" s="13">
        <v>3</v>
      </c>
      <c r="C203" s="33">
        <f t="shared" si="33"/>
        <v>0</v>
      </c>
      <c r="D203" s="19">
        <f t="shared" si="33"/>
        <v>0</v>
      </c>
      <c r="E203" s="19">
        <f t="shared" si="33"/>
        <v>0.22363868289239269</v>
      </c>
      <c r="F203" s="34">
        <f t="shared" si="33"/>
        <v>31.421234946381176</v>
      </c>
      <c r="G203" s="20">
        <f t="shared" si="33"/>
        <v>0.89455473156957077</v>
      </c>
      <c r="H203" s="17">
        <f>SUM(C203:G203)</f>
        <v>32.539428360843139</v>
      </c>
      <c r="I203" s="17">
        <f>F203/H203*100</f>
        <v>96.56357388316151</v>
      </c>
      <c r="J203" s="17">
        <f>SQRT(I203*(100-I203)/(L203-1))</f>
        <v>0.75573947011573228</v>
      </c>
      <c r="K203" s="18">
        <f>100-I203</f>
        <v>3.43642611683849</v>
      </c>
      <c r="L203" s="1">
        <f>H192</f>
        <v>582</v>
      </c>
      <c r="M203">
        <v>3</v>
      </c>
      <c r="N203" s="1">
        <v>31151.01</v>
      </c>
      <c r="O203" s="17">
        <f>N203/N205*100</f>
        <v>32.539428360843139</v>
      </c>
      <c r="P203" s="52">
        <f>((O203*O203*(I203/100)*(K203/100))/(L203-1))</f>
        <v>6.0473352824966527E-2</v>
      </c>
      <c r="R203" s="16" t="s">
        <v>61</v>
      </c>
      <c r="S203" t="s">
        <v>9</v>
      </c>
      <c r="T203" s="1">
        <f>N548</f>
        <v>227.65</v>
      </c>
      <c r="U203" s="1">
        <f>N549</f>
        <v>1102.8800000000001</v>
      </c>
      <c r="V203" s="1">
        <f>N550</f>
        <v>57604.08</v>
      </c>
      <c r="W203" s="1">
        <f>N551</f>
        <v>31255.34</v>
      </c>
      <c r="X203" s="1">
        <f>N552</f>
        <v>5543.17</v>
      </c>
      <c r="Z203" t="s">
        <v>36</v>
      </c>
      <c r="AA203" s="1">
        <f>N553</f>
        <v>95733.119999999995</v>
      </c>
      <c r="AD203" s="51"/>
      <c r="AE203" s="51"/>
      <c r="AJ203" t="s">
        <v>633</v>
      </c>
      <c r="AK203">
        <v>8</v>
      </c>
      <c r="AL203" s="1">
        <v>232.05</v>
      </c>
      <c r="AM203">
        <v>328.75</v>
      </c>
      <c r="AN203">
        <v>4342.92</v>
      </c>
      <c r="AO203">
        <v>15143.09</v>
      </c>
      <c r="AP203">
        <v>4280.7299999999996</v>
      </c>
      <c r="AR203" s="1">
        <v>255.28</v>
      </c>
      <c r="AS203" s="1">
        <v>1217.73</v>
      </c>
      <c r="AT203" s="1">
        <v>57744.51</v>
      </c>
      <c r="AU203" s="1">
        <v>31040.93</v>
      </c>
      <c r="AV203" s="1">
        <v>5474.67</v>
      </c>
    </row>
    <row r="204" spans="1:48" ht="15.6" x14ac:dyDescent="0.35">
      <c r="A204" t="s">
        <v>7</v>
      </c>
      <c r="B204" s="13">
        <v>4</v>
      </c>
      <c r="C204" s="35">
        <f t="shared" si="33"/>
        <v>0</v>
      </c>
      <c r="D204" s="36">
        <f t="shared" si="33"/>
        <v>2.9246940786764809E-2</v>
      </c>
      <c r="E204" s="21">
        <f t="shared" si="33"/>
        <v>7.0192657888235532E-2</v>
      </c>
      <c r="F204" s="21">
        <f t="shared" si="33"/>
        <v>0.23982491445147142</v>
      </c>
      <c r="G204" s="37">
        <f t="shared" si="33"/>
        <v>5.5627681376426663</v>
      </c>
      <c r="H204" s="17">
        <f>SUM(C204:G204)</f>
        <v>5.9020326507691383</v>
      </c>
      <c r="I204" s="17">
        <f>G204/H204*100</f>
        <v>94.251734390485638</v>
      </c>
      <c r="J204" s="17">
        <f>SQRT(I204*(100-I204)/(L204-1))</f>
        <v>0.73313309186721642</v>
      </c>
      <c r="K204" s="18">
        <f>100-I204</f>
        <v>5.7482656095143625</v>
      </c>
      <c r="L204" s="1">
        <f>H193</f>
        <v>1009</v>
      </c>
      <c r="M204">
        <v>4</v>
      </c>
      <c r="N204" s="1">
        <v>5650.2</v>
      </c>
      <c r="O204" s="17">
        <f>N204/N205*100</f>
        <v>5.9020326507691383</v>
      </c>
      <c r="P204" s="52">
        <f>((O204*O204*(I204/100)*(K204/100))/(L204-1))</f>
        <v>1.8722716506476061E-3</v>
      </c>
      <c r="R204" s="16" t="s">
        <v>318</v>
      </c>
      <c r="S204" t="s">
        <v>63</v>
      </c>
      <c r="T204" s="57">
        <f>$AA203*T196/100</f>
        <v>211.49745011086478</v>
      </c>
      <c r="U204" s="57">
        <f>$AA203*U196/100</f>
        <v>1207.0193441482797</v>
      </c>
      <c r="V204" s="57">
        <f>$AA203*V196/100</f>
        <v>57877.083805124734</v>
      </c>
      <c r="W204" s="57">
        <f>$AA203*W196/100</f>
        <v>30930.904345755105</v>
      </c>
      <c r="X204" s="57">
        <f>$AA203*X196/100</f>
        <v>5506.6150548610185</v>
      </c>
      <c r="Z204" t="s">
        <v>36</v>
      </c>
      <c r="AA204" s="25">
        <f>SUM(T204:X204)</f>
        <v>95733.119999999995</v>
      </c>
      <c r="AD204" s="51"/>
      <c r="AE204" s="51"/>
      <c r="AJ204" t="s">
        <v>633</v>
      </c>
      <c r="AK204">
        <v>9</v>
      </c>
      <c r="AL204" s="1">
        <v>208.77</v>
      </c>
      <c r="AM204">
        <v>275.31</v>
      </c>
      <c r="AN204">
        <v>4409.33</v>
      </c>
      <c r="AO204">
        <v>15079.02</v>
      </c>
      <c r="AP204">
        <v>4355.1000000000004</v>
      </c>
      <c r="AR204" s="1">
        <v>213.79</v>
      </c>
      <c r="AS204" s="1">
        <v>1055.98</v>
      </c>
      <c r="AT204" s="1">
        <v>57937.95</v>
      </c>
      <c r="AU204" s="1">
        <v>30907.439999999999</v>
      </c>
      <c r="AV204" s="1">
        <v>5617.97</v>
      </c>
    </row>
    <row r="205" spans="1:48" x14ac:dyDescent="0.3">
      <c r="B205" t="s">
        <v>28</v>
      </c>
      <c r="C205" s="17">
        <f t="shared" ref="C205:H205" si="34">SUM(C200:C204)</f>
        <v>0.22109869446670025</v>
      </c>
      <c r="D205" s="17">
        <f t="shared" si="34"/>
        <v>1.3393612808744308</v>
      </c>
      <c r="E205" s="17">
        <f t="shared" si="34"/>
        <v>60.222877926978036</v>
      </c>
      <c r="F205" s="17">
        <f t="shared" si="34"/>
        <v>31.759339228468598</v>
      </c>
      <c r="G205" s="17">
        <f t="shared" si="34"/>
        <v>6.4573228692122369</v>
      </c>
      <c r="H205" s="18">
        <f t="shared" si="34"/>
        <v>100.00000000000001</v>
      </c>
      <c r="I205" s="13" t="s">
        <v>24</v>
      </c>
      <c r="J205" s="12" t="s">
        <v>29</v>
      </c>
      <c r="N205" s="1">
        <f>SUM(N200:N204)</f>
        <v>95733.119999999995</v>
      </c>
      <c r="O205" s="17">
        <f>SUM(O200:O204)</f>
        <v>100.00000000000001</v>
      </c>
      <c r="R205" s="66"/>
      <c r="S205" s="66" t="s">
        <v>62</v>
      </c>
      <c r="T205" s="67">
        <f>$AA203*T197/100</f>
        <v>2.7522307478565597</v>
      </c>
      <c r="U205" s="67">
        <f>$AA203*U197/100</f>
        <v>38.561177635533085</v>
      </c>
      <c r="V205" s="67">
        <f>$AA203*V197/100</f>
        <v>146.14751876550963</v>
      </c>
      <c r="W205" s="67">
        <f>$AA203*W197/100</f>
        <v>217.35357062113405</v>
      </c>
      <c r="X205" s="67">
        <f>$AA203*X197/100</f>
        <v>167.78944476649275</v>
      </c>
      <c r="AA205" s="1"/>
      <c r="AD205" s="51"/>
      <c r="AE205" s="51"/>
      <c r="AJ205" t="s">
        <v>633</v>
      </c>
      <c r="AK205">
        <v>10</v>
      </c>
      <c r="AL205" s="1">
        <v>220.71</v>
      </c>
      <c r="AM205">
        <v>312.48</v>
      </c>
      <c r="AN205">
        <v>4275.63</v>
      </c>
      <c r="AO205">
        <v>15065.29</v>
      </c>
      <c r="AP205">
        <v>4453.42</v>
      </c>
      <c r="AR205" s="1">
        <v>232.69</v>
      </c>
      <c r="AS205" s="1">
        <v>1171.1099999999999</v>
      </c>
      <c r="AT205" s="1">
        <v>57568.53</v>
      </c>
      <c r="AU205" s="1">
        <v>31002.76</v>
      </c>
      <c r="AV205" s="1">
        <v>5758.04</v>
      </c>
    </row>
    <row r="206" spans="1:48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2.87717239571077E-3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2.6607294549945332E-2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0.14133991257546527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0.26141819295094776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0.22474366304170038</v>
      </c>
      <c r="H206" s="1"/>
      <c r="I206" s="14">
        <f>(C200+D201+E202+F203+G204)/H205</f>
        <v>0.98420867805845458</v>
      </c>
      <c r="J206" s="53">
        <f>SQRT(SUM(P200:P204))/100</f>
        <v>2.6367812200460412E-3</v>
      </c>
      <c r="M206" s="1"/>
      <c r="N206" s="9"/>
      <c r="R206" t="s">
        <v>107</v>
      </c>
      <c r="S206" t="s">
        <v>28</v>
      </c>
      <c r="T206" s="57">
        <f>C582</f>
        <v>0.26944305129495433</v>
      </c>
      <c r="U206" s="57">
        <f t="shared" ref="U206:X209" si="35">D582</f>
        <v>1.3964086113760197</v>
      </c>
      <c r="V206" s="57">
        <f t="shared" si="35"/>
        <v>60.534755604828902</v>
      </c>
      <c r="W206" s="57">
        <f t="shared" si="35"/>
        <v>31.571462054965611</v>
      </c>
      <c r="X206" s="57">
        <f>G582</f>
        <v>6.2279306775345153</v>
      </c>
      <c r="Y206" s="60"/>
      <c r="Z206" s="74"/>
      <c r="AA206" s="12"/>
      <c r="AD206" s="51"/>
      <c r="AE206" s="51"/>
      <c r="AJ206" t="s">
        <v>633</v>
      </c>
      <c r="AK206">
        <v>11</v>
      </c>
      <c r="AL206" s="1">
        <v>222.45</v>
      </c>
      <c r="AM206">
        <v>360.47</v>
      </c>
      <c r="AN206">
        <v>4265.74</v>
      </c>
      <c r="AO206">
        <v>15052.67</v>
      </c>
      <c r="AP206">
        <v>4426.2</v>
      </c>
      <c r="AR206" s="1">
        <v>227.74</v>
      </c>
      <c r="AS206" s="1">
        <v>1433.68</v>
      </c>
      <c r="AT206" s="1">
        <v>57347</v>
      </c>
      <c r="AU206" s="1">
        <v>31012.66</v>
      </c>
      <c r="AV206" s="1">
        <v>5712.04</v>
      </c>
    </row>
    <row r="207" spans="1:48" x14ac:dyDescent="0.3">
      <c r="B207" s="1" t="s">
        <v>30</v>
      </c>
      <c r="C207" s="17">
        <f>C200/C205*100</f>
        <v>100</v>
      </c>
      <c r="D207" s="17">
        <f>D201/D205*100</f>
        <v>97.816351629362444</v>
      </c>
      <c r="E207" s="17">
        <f>E202/E205*100</f>
        <v>99.473246296705696</v>
      </c>
      <c r="F207" s="17">
        <f>F203/F205*100</f>
        <v>98.935417769068863</v>
      </c>
      <c r="G207" s="17">
        <f>G204/G205*100</f>
        <v>86.146662484003969</v>
      </c>
      <c r="H207" s="1"/>
      <c r="S207" s="66" t="s">
        <v>39</v>
      </c>
      <c r="T207" s="67">
        <f>C583</f>
        <v>5.5586452203989591E-2</v>
      </c>
      <c r="U207" s="67">
        <f t="shared" si="35"/>
        <v>3.987647812847573E-2</v>
      </c>
      <c r="V207" s="67">
        <f t="shared" si="35"/>
        <v>0.13249775473717512</v>
      </c>
      <c r="W207" s="67">
        <f t="shared" si="35"/>
        <v>0.25394200320997945</v>
      </c>
      <c r="X207" s="67">
        <f t="shared" si="35"/>
        <v>0.21732643220982176</v>
      </c>
      <c r="AD207" s="51"/>
      <c r="AE207" s="51"/>
      <c r="AJ207" t="s">
        <v>633</v>
      </c>
      <c r="AK207">
        <v>12</v>
      </c>
      <c r="AL207" s="1">
        <v>222.63</v>
      </c>
      <c r="AM207">
        <v>305.05</v>
      </c>
      <c r="AN207">
        <v>4309.3599999999997</v>
      </c>
      <c r="AO207">
        <v>15127.68</v>
      </c>
      <c r="AP207">
        <v>4362.8100000000004</v>
      </c>
      <c r="AR207" s="1">
        <v>228.1</v>
      </c>
      <c r="AS207" s="1">
        <v>1203.8699999999999</v>
      </c>
      <c r="AT207" s="1">
        <v>57549.09</v>
      </c>
      <c r="AU207" s="1">
        <v>31098.71</v>
      </c>
      <c r="AV207" s="1">
        <v>5653.35</v>
      </c>
    </row>
    <row r="208" spans="1:48" x14ac:dyDescent="0.3">
      <c r="B208" s="16" t="s">
        <v>39</v>
      </c>
      <c r="C208" s="18">
        <f>SQRT((C211+C212)/(C205*C205))</f>
        <v>0</v>
      </c>
      <c r="D208" s="18">
        <f>SQRT((D211+D212)/(D205*D205))</f>
        <v>1.026806476430782</v>
      </c>
      <c r="E208" s="18">
        <f>SQRT((E211+E212)/(E205*E205))</f>
        <v>0.19128259144211926</v>
      </c>
      <c r="F208" s="18">
        <f>SQRT((F211+F212)/(F205*F205))</f>
        <v>0.29023799292577779</v>
      </c>
      <c r="G208" s="18">
        <f>SQRT((G211+G212)/(G205*G205))</f>
        <v>3.0876316437425997</v>
      </c>
      <c r="H208" s="1"/>
      <c r="S208" t="s">
        <v>30</v>
      </c>
      <c r="T208" s="57">
        <f>C584</f>
        <v>79.447827276910985</v>
      </c>
      <c r="U208" s="57">
        <f t="shared" si="35"/>
        <v>93.775440806367058</v>
      </c>
      <c r="V208" s="57">
        <f t="shared" si="35"/>
        <v>99.465024711476872</v>
      </c>
      <c r="W208" s="57">
        <f t="shared" si="35"/>
        <v>98.750301374700356</v>
      </c>
      <c r="X208" s="57">
        <f t="shared" si="35"/>
        <v>86.6235088652992</v>
      </c>
      <c r="AD208" s="51"/>
      <c r="AE208" s="51"/>
      <c r="AJ208" t="s">
        <v>633</v>
      </c>
      <c r="AK208">
        <v>13</v>
      </c>
      <c r="AL208" s="1">
        <v>222.54</v>
      </c>
      <c r="AM208">
        <v>287.58</v>
      </c>
      <c r="AN208">
        <v>4265.37</v>
      </c>
      <c r="AO208">
        <v>15241.72</v>
      </c>
      <c r="AP208">
        <v>4310.32</v>
      </c>
      <c r="AR208" s="1">
        <v>227.92</v>
      </c>
      <c r="AS208" s="1">
        <v>1103.24</v>
      </c>
      <c r="AT208" s="1">
        <v>57319.1</v>
      </c>
      <c r="AU208" s="1">
        <v>31569.4</v>
      </c>
      <c r="AV208" s="1">
        <v>5513.46</v>
      </c>
    </row>
    <row r="209" spans="1:48" x14ac:dyDescent="0.3">
      <c r="B209" s="1" t="s">
        <v>37</v>
      </c>
      <c r="C209" s="18">
        <f>100-C207</f>
        <v>0</v>
      </c>
      <c r="D209" s="18">
        <f>100-D207</f>
        <v>2.183648370637556</v>
      </c>
      <c r="E209" s="18">
        <f>100-E207</f>
        <v>0.52675370329430393</v>
      </c>
      <c r="F209" s="18">
        <f>100-F207</f>
        <v>1.064582230931137</v>
      </c>
      <c r="G209" s="18">
        <f>100-G207</f>
        <v>13.853337515996031</v>
      </c>
      <c r="S209" s="66" t="s">
        <v>39</v>
      </c>
      <c r="T209" s="67">
        <f>C585</f>
        <v>43.965171250351858</v>
      </c>
      <c r="U209" s="67">
        <f t="shared" si="35"/>
        <v>2.110062449081294</v>
      </c>
      <c r="V209" s="67">
        <f t="shared" si="35"/>
        <v>0.17176084013915821</v>
      </c>
      <c r="W209" s="67">
        <f t="shared" si="35"/>
        <v>0.2973750610005414</v>
      </c>
      <c r="X209" s="67">
        <f t="shared" si="35"/>
        <v>3.1305685760050475</v>
      </c>
      <c r="AD209" s="51"/>
      <c r="AE209" s="51"/>
      <c r="AJ209" t="s">
        <v>633</v>
      </c>
      <c r="AK209">
        <v>14</v>
      </c>
      <c r="AL209" s="1">
        <v>217.86</v>
      </c>
      <c r="AM209">
        <v>318.58999999999997</v>
      </c>
      <c r="AN209">
        <v>4232.0600000000004</v>
      </c>
      <c r="AO209">
        <v>15230.94</v>
      </c>
      <c r="AP209">
        <v>4328.07</v>
      </c>
      <c r="AR209" s="1">
        <v>222.7</v>
      </c>
      <c r="AS209" s="1">
        <v>1371.21</v>
      </c>
      <c r="AT209" s="1">
        <v>57186.69</v>
      </c>
      <c r="AU209" s="1">
        <v>31379.46</v>
      </c>
      <c r="AV209" s="1">
        <v>5573.06</v>
      </c>
    </row>
    <row r="210" spans="1:48" ht="15.6" x14ac:dyDescent="0.35">
      <c r="B210" s="1" t="s">
        <v>25</v>
      </c>
      <c r="C210" s="1">
        <f>C194</f>
        <v>419</v>
      </c>
      <c r="D210" s="1">
        <f>D194</f>
        <v>61</v>
      </c>
      <c r="E210" s="1">
        <f>E194</f>
        <v>753</v>
      </c>
      <c r="F210" s="1">
        <f>F194</f>
        <v>636</v>
      </c>
      <c r="G210" s="1">
        <f>G194</f>
        <v>967</v>
      </c>
      <c r="S210" s="15" t="s">
        <v>31</v>
      </c>
      <c r="T210" s="71">
        <f>I577</f>
        <v>78.048780487804876</v>
      </c>
      <c r="U210" s="71">
        <f>I578</f>
        <v>96.491228070175438</v>
      </c>
      <c r="V210" s="71">
        <f>I579</f>
        <v>99.864314789687924</v>
      </c>
      <c r="W210" s="71">
        <f>I580</f>
        <v>96.735395189003441</v>
      </c>
      <c r="X210" s="71">
        <f>I581</f>
        <v>92.269573835480685</v>
      </c>
      <c r="AD210" s="51"/>
      <c r="AE210" s="51"/>
      <c r="AJ210" t="s">
        <v>633</v>
      </c>
      <c r="AK210">
        <v>15</v>
      </c>
      <c r="AL210" s="1">
        <v>200.19</v>
      </c>
      <c r="AM210">
        <v>292.69</v>
      </c>
      <c r="AN210">
        <v>4256.67</v>
      </c>
      <c r="AO210">
        <v>15212.06</v>
      </c>
      <c r="AP210">
        <v>4365.91</v>
      </c>
      <c r="AR210" s="1">
        <v>206.77</v>
      </c>
      <c r="AS210" s="1">
        <v>1217.83</v>
      </c>
      <c r="AT210" s="1">
        <v>57390.2</v>
      </c>
      <c r="AU210" s="1">
        <v>31333.57</v>
      </c>
      <c r="AV210" s="1">
        <v>5584.76</v>
      </c>
    </row>
    <row r="211" spans="1:48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0.26098031949806516</v>
      </c>
      <c r="E211" s="18">
        <f>(O202*O202*(100-E207)*(100-E207)*(I202)*(100-I202))/((L202-1)*100)</f>
        <v>0.18382101529193931</v>
      </c>
      <c r="F211" s="18">
        <f>(O203*O203*(100-F207)*(100-F207)*(I203)*(100-I203))/((L203-1)*100)</f>
        <v>6.8536587063251595</v>
      </c>
      <c r="G211" s="18">
        <f>(O204*O204*(100-G207)*(100-G207)*(I204)*(100-I204))/((L204-1)*100)</f>
        <v>35.93169395649565</v>
      </c>
      <c r="S211" s="75" t="s">
        <v>39</v>
      </c>
      <c r="T211" s="76">
        <f>J577</f>
        <v>1.9512195121951221</v>
      </c>
      <c r="U211" s="76">
        <f>J578</f>
        <v>2.4588241692166148</v>
      </c>
      <c r="V211" s="76">
        <f>J579</f>
        <v>0.13568521031207589</v>
      </c>
      <c r="W211" s="76">
        <f>J580</f>
        <v>0.73725876947171687</v>
      </c>
      <c r="X211" s="76">
        <f>J581</f>
        <v>0.84120279990163371</v>
      </c>
      <c r="AD211" s="51"/>
      <c r="AE211" s="51"/>
      <c r="AJ211" t="s">
        <v>633</v>
      </c>
      <c r="AK211">
        <v>16</v>
      </c>
      <c r="AL211" s="1">
        <v>222.45</v>
      </c>
      <c r="AM211">
        <v>380.1</v>
      </c>
      <c r="AN211">
        <v>4304.76</v>
      </c>
      <c r="AO211">
        <v>15004.53</v>
      </c>
      <c r="AP211">
        <v>4415.68</v>
      </c>
      <c r="AR211" s="1">
        <v>227.83</v>
      </c>
      <c r="AS211" s="1">
        <v>1434.76</v>
      </c>
      <c r="AT211" s="1">
        <v>57698.23</v>
      </c>
      <c r="AU211" s="1">
        <v>30709.31</v>
      </c>
      <c r="AV211" s="1">
        <v>5662.98</v>
      </c>
    </row>
    <row r="212" spans="1:48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1.6303730537176835</v>
      </c>
      <c r="E212" s="18">
        <f>E207*E207*(SUM((H200*E200*(1-E189/H189))/(H189-1),(H201*E201*(1-E190/H190))/(H190-1), (H203*E203*(1-E192/H192))/(H192-1),(H204*E204*(1-E193/H193))/(H193-1)))</f>
        <v>132.51709022190374</v>
      </c>
      <c r="F212" s="18">
        <f>F207*F207*(SUM((H200*F200*(1-F189/H189))/(H189-1),(H201*F201*(1-F190/H190))/(H190-1), (H202*F202*(1-F191/H191))/(H191-1),(H204*F204*(1-F193/H193))/(H193-1)))</f>
        <v>78.113567442979416</v>
      </c>
      <c r="G212" s="18">
        <f>G207*G207*(SUM((H200*G200*(1-G189/H189))/(H189-1),(H201*G201*(1-G190/H190))/(H190-1), (H202*G202*(1-G191/H191))/(H191-1),(H203*G203*(1-G192/H192))/(H192-1)))</f>
        <v>361.58554759593738</v>
      </c>
      <c r="S212" s="66" t="s">
        <v>51</v>
      </c>
      <c r="T212" s="67">
        <f>N566*100</f>
        <v>87.56218905472636</v>
      </c>
      <c r="U212" s="67">
        <f>N567*100</f>
        <v>86.614173228346459</v>
      </c>
      <c r="V212" s="67">
        <f>N568*100</f>
        <v>98.329993319973269</v>
      </c>
      <c r="W212" s="67">
        <f>N569*100</f>
        <v>87.626459143968873</v>
      </c>
      <c r="X212" s="67">
        <f>N570*100</f>
        <v>95.048494129657996</v>
      </c>
      <c r="AD212" s="51"/>
      <c r="AE212" s="51"/>
      <c r="AJ212" t="s">
        <v>633</v>
      </c>
      <c r="AK212">
        <v>17</v>
      </c>
      <c r="AL212" s="1">
        <v>218.98</v>
      </c>
      <c r="AM212">
        <v>340.72</v>
      </c>
      <c r="AN212">
        <v>4412.6099999999997</v>
      </c>
      <c r="AO212">
        <v>14842.17</v>
      </c>
      <c r="AP212">
        <v>4513.05</v>
      </c>
      <c r="AR212" s="1">
        <v>243.58</v>
      </c>
      <c r="AS212" s="1">
        <v>1349.16</v>
      </c>
      <c r="AT212" s="1">
        <v>57765.57</v>
      </c>
      <c r="AU212" s="1">
        <v>30529</v>
      </c>
      <c r="AV212" s="1">
        <v>5845.8</v>
      </c>
    </row>
    <row r="213" spans="1:48" x14ac:dyDescent="0.3">
      <c r="R213" s="16" t="s">
        <v>61</v>
      </c>
      <c r="S213" t="s">
        <v>9</v>
      </c>
      <c r="T213" s="1">
        <f>N577</f>
        <v>262.57</v>
      </c>
      <c r="U213" s="1">
        <f>N578</f>
        <v>1299.2</v>
      </c>
      <c r="V213" s="1">
        <f>N579</f>
        <v>57720.1</v>
      </c>
      <c r="W213" s="1">
        <f>N580</f>
        <v>30853.89</v>
      </c>
      <c r="X213" s="1">
        <f>N581</f>
        <v>5597.36</v>
      </c>
      <c r="Z213" t="s">
        <v>36</v>
      </c>
      <c r="AA213" s="1">
        <f>N582</f>
        <v>95733.119999999995</v>
      </c>
      <c r="AD213" s="51"/>
      <c r="AE213" s="51"/>
      <c r="AJ213" t="s">
        <v>633</v>
      </c>
      <c r="AK213">
        <v>18</v>
      </c>
      <c r="AL213" s="1">
        <v>222.18</v>
      </c>
      <c r="AM213">
        <v>277.39999999999998</v>
      </c>
      <c r="AN213">
        <v>4281.49</v>
      </c>
      <c r="AO213">
        <v>15213.39</v>
      </c>
      <c r="AP213">
        <v>4333.08</v>
      </c>
      <c r="AR213" s="1">
        <v>227.65</v>
      </c>
      <c r="AS213" s="1">
        <v>1102.8800000000001</v>
      </c>
      <c r="AT213" s="1">
        <v>57604.08</v>
      </c>
      <c r="AU213" s="1">
        <v>31255.34</v>
      </c>
      <c r="AV213" s="1">
        <v>5543.17</v>
      </c>
    </row>
    <row r="214" spans="1:48" ht="15.6" x14ac:dyDescent="0.35">
      <c r="R214" s="16" t="s">
        <v>318</v>
      </c>
      <c r="S214" t="s">
        <v>63</v>
      </c>
      <c r="T214" s="57">
        <f>$AA213*T206/100</f>
        <v>257.94623962786017</v>
      </c>
      <c r="U214" s="57">
        <f>$AA213*U206/100</f>
        <v>1336.8255316189386</v>
      </c>
      <c r="V214" s="57">
        <f>$AA213*V206/100</f>
        <v>57951.810224877576</v>
      </c>
      <c r="W214" s="57">
        <f>$AA213*W206/100</f>
        <v>30224.345654834695</v>
      </c>
      <c r="X214" s="57">
        <f>$AA213*X206/100</f>
        <v>5962.1923490409308</v>
      </c>
      <c r="Z214" t="s">
        <v>36</v>
      </c>
      <c r="AA214" s="25">
        <f>SUM(T214:X214)</f>
        <v>95733.119999999995</v>
      </c>
      <c r="AD214" s="51"/>
      <c r="AE214" s="51"/>
      <c r="AJ214" t="s">
        <v>633</v>
      </c>
      <c r="AK214">
        <v>19</v>
      </c>
      <c r="AL214" s="1">
        <v>226.72</v>
      </c>
      <c r="AM214">
        <v>336.69</v>
      </c>
      <c r="AN214">
        <v>4328.6099999999997</v>
      </c>
      <c r="AO214">
        <v>15043.52</v>
      </c>
      <c r="AP214">
        <v>4391.99</v>
      </c>
      <c r="AR214" s="1">
        <v>262.57</v>
      </c>
      <c r="AS214" s="1">
        <v>1299.2</v>
      </c>
      <c r="AT214" s="1">
        <v>57720.1</v>
      </c>
      <c r="AU214" s="1">
        <v>30853.89</v>
      </c>
      <c r="AV214" s="1">
        <v>5597.36</v>
      </c>
    </row>
    <row r="215" spans="1:48" x14ac:dyDescent="0.3">
      <c r="A215" s="348" t="s">
        <v>380</v>
      </c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 t="s">
        <v>80</v>
      </c>
      <c r="M215" s="348"/>
      <c r="N215" s="348"/>
      <c r="O215" s="348"/>
      <c r="P215" s="348"/>
      <c r="R215" s="66"/>
      <c r="S215" s="66" t="s">
        <v>62</v>
      </c>
      <c r="T215" s="67">
        <f>$AA213*T207/100</f>
        <v>53.214644992187999</v>
      </c>
      <c r="U215" s="67">
        <f>$AA213*U207/100</f>
        <v>38.174996658507418</v>
      </c>
      <c r="V215" s="67">
        <f>$AA213*V207/100</f>
        <v>126.84423453984553</v>
      </c>
      <c r="W215" s="67">
        <f>$AA213*W207/100</f>
        <v>243.10660266341347</v>
      </c>
      <c r="X215" s="67">
        <f>$AA213*X207/100</f>
        <v>208.05337413914731</v>
      </c>
      <c r="AA215" s="1"/>
      <c r="AD215" s="51"/>
      <c r="AE215" s="51"/>
      <c r="AQ215" t="s">
        <v>644</v>
      </c>
    </row>
    <row r="216" spans="1:48" x14ac:dyDescent="0.3">
      <c r="A216" t="s">
        <v>315</v>
      </c>
      <c r="B216" t="s">
        <v>21</v>
      </c>
      <c r="I216" s="1" t="s">
        <v>53</v>
      </c>
      <c r="O216" s="142"/>
      <c r="P216" s="142"/>
      <c r="AJ216" t="s">
        <v>644</v>
      </c>
      <c r="AK216">
        <v>0</v>
      </c>
      <c r="AL216" s="1">
        <v>0.76</v>
      </c>
      <c r="AM216">
        <v>13.79</v>
      </c>
      <c r="AN216">
        <v>1168.3399999999999</v>
      </c>
      <c r="AO216">
        <v>264.42</v>
      </c>
      <c r="AP216">
        <v>14.91</v>
      </c>
      <c r="AR216" s="1">
        <v>1.62</v>
      </c>
      <c r="AS216">
        <v>191.71</v>
      </c>
      <c r="AT216">
        <v>5128.57</v>
      </c>
      <c r="AU216">
        <v>756.85</v>
      </c>
      <c r="AV216">
        <v>145.54</v>
      </c>
    </row>
    <row r="217" spans="1:48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51</v>
      </c>
      <c r="O217" s="13"/>
      <c r="P217" s="13"/>
      <c r="AJ217" t="s">
        <v>644</v>
      </c>
      <c r="AK217">
        <v>1</v>
      </c>
      <c r="AL217" s="1">
        <v>0.76</v>
      </c>
      <c r="AM217">
        <v>18.440000000000001</v>
      </c>
      <c r="AN217">
        <v>1166.21</v>
      </c>
      <c r="AO217">
        <v>263.20999999999998</v>
      </c>
      <c r="AP217">
        <v>13.6</v>
      </c>
      <c r="AR217" s="1">
        <v>1.62</v>
      </c>
      <c r="AS217">
        <v>209.26</v>
      </c>
      <c r="AT217">
        <v>5121.46</v>
      </c>
      <c r="AU217">
        <v>749.19</v>
      </c>
      <c r="AV217">
        <v>142.75</v>
      </c>
    </row>
    <row r="218" spans="1:48" x14ac:dyDescent="0.3">
      <c r="A218" t="s">
        <v>3</v>
      </c>
      <c r="B218" s="13">
        <v>0</v>
      </c>
      <c r="C218" s="26">
        <v>419</v>
      </c>
      <c r="D218" s="3">
        <v>0</v>
      </c>
      <c r="E218" s="3">
        <v>0</v>
      </c>
      <c r="F218" s="3">
        <v>32</v>
      </c>
      <c r="G218" s="4">
        <v>0</v>
      </c>
      <c r="H218" s="1">
        <f>SUM(C218:G218)</f>
        <v>451</v>
      </c>
      <c r="I218" s="10">
        <f>C218/H218</f>
        <v>0.92904656319290468</v>
      </c>
      <c r="J218" s="11">
        <f>1-I218</f>
        <v>7.0953436807095316E-2</v>
      </c>
      <c r="K218">
        <f>H218-C223</f>
        <v>32</v>
      </c>
      <c r="N218" s="10">
        <f>2*(C224*I218)/(C224+I218)</f>
        <v>0.9632183908045977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644</v>
      </c>
      <c r="AK218">
        <v>2</v>
      </c>
      <c r="AL218" s="1">
        <v>0.51</v>
      </c>
      <c r="AM218">
        <v>13.23</v>
      </c>
      <c r="AN218">
        <v>1171.33</v>
      </c>
      <c r="AO218">
        <v>261.25</v>
      </c>
      <c r="AP218">
        <v>15.89</v>
      </c>
      <c r="AR218" s="1">
        <v>1.26</v>
      </c>
      <c r="AS218">
        <v>201.34</v>
      </c>
      <c r="AT218">
        <v>5122.3599999999997</v>
      </c>
      <c r="AU218">
        <v>760.54</v>
      </c>
      <c r="AV218">
        <v>138.79</v>
      </c>
    </row>
    <row r="219" spans="1:48" x14ac:dyDescent="0.3">
      <c r="A219" t="s">
        <v>4</v>
      </c>
      <c r="B219" s="13">
        <v>1</v>
      </c>
      <c r="C219" s="5">
        <v>0</v>
      </c>
      <c r="D219" s="27">
        <v>55</v>
      </c>
      <c r="E219" s="1">
        <v>2</v>
      </c>
      <c r="F219" s="1">
        <v>0</v>
      </c>
      <c r="G219" s="6">
        <v>0</v>
      </c>
      <c r="H219" s="1">
        <f>SUM(C219:G219)</f>
        <v>57</v>
      </c>
      <c r="I219" s="10">
        <f>D219/H219</f>
        <v>0.96491228070175439</v>
      </c>
      <c r="J219" s="11">
        <f>1-I219</f>
        <v>3.5087719298245612E-2</v>
      </c>
      <c r="K219">
        <f>H219-D223</f>
        <v>-15</v>
      </c>
      <c r="N219" s="10">
        <f>2*(D224*I219)/(D224+I219)</f>
        <v>0.85271317829457371</v>
      </c>
      <c r="O219" s="1"/>
      <c r="P219" s="1"/>
      <c r="R219" t="s">
        <v>348</v>
      </c>
      <c r="S219" t="s">
        <v>28</v>
      </c>
      <c r="T219" s="57">
        <f>AVERAGE(T16,T26,T36,T46,T56,T66,T76,T86,T96,T106,T116,T126,T136,T146,T156,T166,T176,T186,T196,T206)</f>
        <v>0.21379444783465859</v>
      </c>
      <c r="U219" s="57">
        <f>AVERAGE(U16,U26,U36,U46,U56,U66,U76,U86,U96,U106,U116,U126,U136,U146,U156,U166,U176,U186,U196,U206)</f>
        <v>1.3739182051104843</v>
      </c>
      <c r="V219" s="57">
        <f>AVERAGE(V16,V26,V36,V46,V56,V66,V76,V86,V96,V106,V116,V126,V136,V146,V156,V166,V176,V186,V196,V206)</f>
        <v>60.349878468332108</v>
      </c>
      <c r="W219" s="57">
        <f>AVERAGE(W16,W26,W36,W46,W56,W66,W76,W86,W96,W106,W116,W126,W136,W146,W156,W166,W176,W186,W196,W206)</f>
        <v>32.052155487839414</v>
      </c>
      <c r="X219" s="57">
        <f>AVERAGE(X16,X26,X36,X46,X56,X66,X76,X86,X96,X106,X116,X126,X136,X146,X156,X166,X176,X186,X196,X206)</f>
        <v>6.0102533908833262</v>
      </c>
      <c r="AJ219" t="s">
        <v>644</v>
      </c>
      <c r="AK219">
        <v>3</v>
      </c>
      <c r="AL219" s="1">
        <v>0.51</v>
      </c>
      <c r="AM219">
        <v>14.01</v>
      </c>
      <c r="AN219">
        <v>1169.01</v>
      </c>
      <c r="AO219">
        <v>262.87</v>
      </c>
      <c r="AP219">
        <v>15.81</v>
      </c>
      <c r="AR219" s="1">
        <v>1.26</v>
      </c>
      <c r="AS219">
        <v>201.25</v>
      </c>
      <c r="AT219">
        <v>5122.3599999999997</v>
      </c>
      <c r="AU219">
        <v>753.97</v>
      </c>
      <c r="AV219">
        <v>145.44999999999999</v>
      </c>
    </row>
    <row r="220" spans="1:48" x14ac:dyDescent="0.3">
      <c r="A220" t="s">
        <v>5</v>
      </c>
      <c r="B220" s="13">
        <v>2</v>
      </c>
      <c r="C220" s="5">
        <v>0</v>
      </c>
      <c r="D220" s="1">
        <v>0</v>
      </c>
      <c r="E220" s="27">
        <v>736</v>
      </c>
      <c r="F220" s="1">
        <v>1</v>
      </c>
      <c r="G220" s="6">
        <v>0</v>
      </c>
      <c r="H220" s="1">
        <f>SUM(C220:G220)</f>
        <v>737</v>
      </c>
      <c r="I220" s="10">
        <f>E220/H220</f>
        <v>0.99864314789687925</v>
      </c>
      <c r="J220" s="11">
        <f>1-I220</f>
        <v>1.3568521031207537E-3</v>
      </c>
      <c r="K220">
        <f>H220-E223</f>
        <v>-12</v>
      </c>
      <c r="N220" s="10">
        <f>2*(E224*I220)/(E224+I220)</f>
        <v>0.99057873485868098</v>
      </c>
      <c r="O220" s="1"/>
      <c r="P220" s="1"/>
      <c r="S220" s="66" t="s">
        <v>39</v>
      </c>
      <c r="T220" s="67">
        <f t="shared" ref="T220:X228" si="36">AVERAGE(T17,T27,T37,T47,T57,T67,T77,T87,T97,T107,T117,T127,T137,T147,T157,T167,T177,T187,T197,T207)</f>
        <v>6.2215878067212738E-3</v>
      </c>
      <c r="U220" s="67">
        <f t="shared" si="36"/>
        <v>3.7778856306449393E-2</v>
      </c>
      <c r="V220" s="67">
        <f t="shared" si="36"/>
        <v>0.13927590341833096</v>
      </c>
      <c r="W220" s="67">
        <f t="shared" si="36"/>
        <v>0.22299810428973915</v>
      </c>
      <c r="X220" s="67">
        <f t="shared" si="36"/>
        <v>0.18030727662891743</v>
      </c>
      <c r="AC220" t="s">
        <v>118</v>
      </c>
      <c r="AD220" t="s">
        <v>157</v>
      </c>
      <c r="AE220" t="s">
        <v>119</v>
      </c>
      <c r="AJ220" t="s">
        <v>644</v>
      </c>
      <c r="AK220">
        <v>4</v>
      </c>
      <c r="AL220" s="1">
        <v>0.71</v>
      </c>
      <c r="AM220">
        <v>13.4</v>
      </c>
      <c r="AN220">
        <v>1169.24</v>
      </c>
      <c r="AO220">
        <v>263.83</v>
      </c>
      <c r="AP220">
        <v>15.04</v>
      </c>
      <c r="AR220" s="1">
        <v>1.44</v>
      </c>
      <c r="AS220">
        <v>191.35</v>
      </c>
      <c r="AT220">
        <v>5130.37</v>
      </c>
      <c r="AU220">
        <v>765.22</v>
      </c>
      <c r="AV220">
        <v>135.91</v>
      </c>
    </row>
    <row r="221" spans="1:48" x14ac:dyDescent="0.3">
      <c r="A221" t="s">
        <v>6</v>
      </c>
      <c r="B221" s="13">
        <v>3</v>
      </c>
      <c r="C221" s="5">
        <v>0</v>
      </c>
      <c r="D221" s="1">
        <v>0</v>
      </c>
      <c r="E221" s="1">
        <v>4</v>
      </c>
      <c r="F221" s="27">
        <v>572</v>
      </c>
      <c r="G221" s="6">
        <v>6</v>
      </c>
      <c r="H221" s="1">
        <f>SUM(C221:G221)</f>
        <v>582</v>
      </c>
      <c r="I221" s="10">
        <f>F221/H221</f>
        <v>0.98281786941580751</v>
      </c>
      <c r="J221" s="11">
        <f>1-I221</f>
        <v>1.718213058419249E-2</v>
      </c>
      <c r="K221">
        <f>H221-F223</f>
        <v>-61</v>
      </c>
      <c r="N221" s="10">
        <f>2*(F224*I221)/(F224+I221)</f>
        <v>0.93387755102040804</v>
      </c>
      <c r="O221" s="1"/>
      <c r="P221" s="1"/>
      <c r="S221" t="s">
        <v>30</v>
      </c>
      <c r="T221" s="57">
        <f t="shared" si="36"/>
        <v>98.97239136384556</v>
      </c>
      <c r="U221" s="57">
        <f t="shared" si="36"/>
        <v>92.465680436105387</v>
      </c>
      <c r="V221" s="57">
        <f t="shared" si="36"/>
        <v>99.483059172879706</v>
      </c>
      <c r="W221" s="57">
        <f t="shared" si="36"/>
        <v>98.846908097621323</v>
      </c>
      <c r="X221" s="57">
        <f t="shared" si="36"/>
        <v>90.716309835157958</v>
      </c>
      <c r="AB221">
        <v>0</v>
      </c>
      <c r="AC221">
        <v>31</v>
      </c>
      <c r="AD221">
        <v>26</v>
      </c>
      <c r="AE221">
        <v>15</v>
      </c>
      <c r="AJ221" t="s">
        <v>644</v>
      </c>
      <c r="AK221">
        <v>5</v>
      </c>
      <c r="AL221" s="1">
        <v>0.71</v>
      </c>
      <c r="AM221">
        <v>14.18</v>
      </c>
      <c r="AN221">
        <v>1170.5999999999999</v>
      </c>
      <c r="AO221">
        <v>261.94</v>
      </c>
      <c r="AP221">
        <v>14.79</v>
      </c>
      <c r="AR221" s="1">
        <v>1.62</v>
      </c>
      <c r="AS221">
        <v>187.48</v>
      </c>
      <c r="AT221">
        <v>5141.8900000000003</v>
      </c>
      <c r="AU221">
        <v>747.3</v>
      </c>
      <c r="AV221">
        <v>145.99</v>
      </c>
    </row>
    <row r="222" spans="1:48" x14ac:dyDescent="0.3">
      <c r="A222" t="s">
        <v>7</v>
      </c>
      <c r="B222" s="13">
        <v>4</v>
      </c>
      <c r="C222" s="7">
        <v>0</v>
      </c>
      <c r="D222" s="8">
        <v>17</v>
      </c>
      <c r="E222" s="8">
        <v>7</v>
      </c>
      <c r="F222" s="8">
        <v>38</v>
      </c>
      <c r="G222" s="28">
        <v>947</v>
      </c>
      <c r="H222" s="1">
        <f>SUM(C222:G222)</f>
        <v>1009</v>
      </c>
      <c r="I222" s="10">
        <f>G222/H222</f>
        <v>0.93855302279484643</v>
      </c>
      <c r="J222" s="11">
        <f>1-I222</f>
        <v>6.1446977205153575E-2</v>
      </c>
      <c r="K222">
        <f>H222-G223</f>
        <v>56</v>
      </c>
      <c r="N222" s="10">
        <f>2*(G224*I222)/(G224+I222)</f>
        <v>0.96534148827726807</v>
      </c>
      <c r="O222" s="1"/>
      <c r="P222" s="1"/>
      <c r="S222" s="66" t="s">
        <v>39</v>
      </c>
      <c r="T222" s="67">
        <f t="shared" si="36"/>
        <v>2.198258562517593</v>
      </c>
      <c r="U222" s="67">
        <f t="shared" si="36"/>
        <v>2.2924691252524396</v>
      </c>
      <c r="V222" s="67">
        <f t="shared" si="36"/>
        <v>0.18626189193765647</v>
      </c>
      <c r="W222" s="67">
        <f t="shared" si="36"/>
        <v>0.28740325132663325</v>
      </c>
      <c r="X222" s="67">
        <f t="shared" si="36"/>
        <v>2.7182746776738815</v>
      </c>
      <c r="AB222">
        <v>1</v>
      </c>
      <c r="AC222">
        <v>60</v>
      </c>
      <c r="AD222">
        <v>55</v>
      </c>
      <c r="AE222">
        <v>44</v>
      </c>
      <c r="AJ222" t="s">
        <v>644</v>
      </c>
      <c r="AK222">
        <v>6</v>
      </c>
      <c r="AL222" s="1">
        <v>0.51</v>
      </c>
      <c r="AM222">
        <v>15.72</v>
      </c>
      <c r="AN222">
        <v>1165.5</v>
      </c>
      <c r="AO222">
        <v>266.19</v>
      </c>
      <c r="AP222">
        <v>14.3</v>
      </c>
      <c r="AR222" s="1">
        <v>1.26</v>
      </c>
      <c r="AS222">
        <v>200.71</v>
      </c>
      <c r="AT222">
        <v>5113.17</v>
      </c>
      <c r="AU222">
        <v>762.97</v>
      </c>
      <c r="AV222">
        <v>146.16999999999999</v>
      </c>
    </row>
    <row r="223" spans="1:48" ht="15.6" x14ac:dyDescent="0.35">
      <c r="B223" s="1" t="s">
        <v>19</v>
      </c>
      <c r="C223" s="1">
        <f>SUM(C218:C222)</f>
        <v>419</v>
      </c>
      <c r="D223" s="1">
        <f>SUM(D218:D222)</f>
        <v>72</v>
      </c>
      <c r="E223" s="1">
        <f>SUM(E218:E222)</f>
        <v>749</v>
      </c>
      <c r="F223" s="1">
        <f>SUM(F218:F222)</f>
        <v>643</v>
      </c>
      <c r="G223" s="1">
        <f>SUM(G218:G222)</f>
        <v>953</v>
      </c>
      <c r="H223" s="1">
        <f>SUM(H217:H222)</f>
        <v>2836</v>
      </c>
      <c r="I223" s="13" t="s">
        <v>12</v>
      </c>
      <c r="N223" s="16"/>
      <c r="O223" s="1"/>
      <c r="P223" s="1"/>
      <c r="S223" s="15" t="s">
        <v>31</v>
      </c>
      <c r="T223" s="71">
        <f t="shared" si="36"/>
        <v>87.05099778270511</v>
      </c>
      <c r="U223" s="71">
        <f t="shared" si="36"/>
        <v>97.017543859649095</v>
      </c>
      <c r="V223" s="71">
        <f t="shared" si="36"/>
        <v>99.864314789687967</v>
      </c>
      <c r="W223" s="71">
        <f t="shared" si="36"/>
        <v>97.620274914089336</v>
      </c>
      <c r="X223" s="71">
        <f t="shared" si="36"/>
        <v>92.750247770069379</v>
      </c>
      <c r="AB223">
        <v>2</v>
      </c>
      <c r="AC223">
        <v>89</v>
      </c>
      <c r="AD223">
        <v>84</v>
      </c>
      <c r="AE223">
        <v>73</v>
      </c>
      <c r="AJ223" t="s">
        <v>644</v>
      </c>
      <c r="AK223">
        <v>7</v>
      </c>
      <c r="AL223" s="1">
        <v>0.51</v>
      </c>
      <c r="AM223">
        <v>15.23</v>
      </c>
      <c r="AN223">
        <v>1169.55</v>
      </c>
      <c r="AO223">
        <v>262.23</v>
      </c>
      <c r="AP223">
        <v>14.69</v>
      </c>
      <c r="AR223" s="1">
        <v>1.26</v>
      </c>
      <c r="AS223">
        <v>207.19</v>
      </c>
      <c r="AT223">
        <v>5114.34</v>
      </c>
      <c r="AU223">
        <v>757.12</v>
      </c>
      <c r="AV223">
        <v>144.37</v>
      </c>
    </row>
    <row r="224" spans="1:48" x14ac:dyDescent="0.3">
      <c r="A224" s="1" t="s">
        <v>316</v>
      </c>
      <c r="B224" s="1" t="s">
        <v>2</v>
      </c>
      <c r="C224" s="10">
        <f>C218/C223</f>
        <v>1</v>
      </c>
      <c r="D224" s="10">
        <f>D219/D223</f>
        <v>0.76388888888888884</v>
      </c>
      <c r="E224" s="10">
        <f>E220/E223</f>
        <v>0.98264352469959948</v>
      </c>
      <c r="F224" s="10">
        <f>F221/F223</f>
        <v>0.88958009331259724</v>
      </c>
      <c r="G224" s="10">
        <f>G222/G223</f>
        <v>0.99370409233997903</v>
      </c>
      <c r="H224" s="10"/>
      <c r="I224" s="14">
        <f>(C218+D219+E220+F221+G222)/H223</f>
        <v>0.96227080394922426</v>
      </c>
      <c r="S224" s="75" t="s">
        <v>39</v>
      </c>
      <c r="T224" s="76">
        <f t="shared" si="36"/>
        <v>1.5230972381655952</v>
      </c>
      <c r="U224" s="76">
        <f t="shared" si="36"/>
        <v>2.2295594755805039</v>
      </c>
      <c r="V224" s="76">
        <f t="shared" si="36"/>
        <v>0.13568521031207587</v>
      </c>
      <c r="W224" s="76">
        <f t="shared" si="36"/>
        <v>0.62884272989536716</v>
      </c>
      <c r="X224" s="76">
        <f t="shared" si="36"/>
        <v>0.81425658330070261</v>
      </c>
      <c r="AB224">
        <v>3</v>
      </c>
      <c r="AC224">
        <v>118</v>
      </c>
      <c r="AD224">
        <v>113</v>
      </c>
      <c r="AE224">
        <v>102</v>
      </c>
      <c r="AJ224" t="s">
        <v>644</v>
      </c>
      <c r="AK224">
        <v>8</v>
      </c>
      <c r="AL224" s="1">
        <v>0.76</v>
      </c>
      <c r="AM224">
        <v>14.35</v>
      </c>
      <c r="AN224">
        <v>1171.3</v>
      </c>
      <c r="AO224">
        <v>261.33</v>
      </c>
      <c r="AP224">
        <v>14.48</v>
      </c>
      <c r="AR224" s="1">
        <v>1.71</v>
      </c>
      <c r="AS224">
        <v>199.36</v>
      </c>
      <c r="AT224">
        <v>5131.99</v>
      </c>
      <c r="AU224">
        <v>752.34</v>
      </c>
      <c r="AV224">
        <v>138.88</v>
      </c>
    </row>
    <row r="225" spans="1:48" x14ac:dyDescent="0.3">
      <c r="B225" s="1" t="s">
        <v>14</v>
      </c>
      <c r="C225" s="11">
        <f>1-C224</f>
        <v>0</v>
      </c>
      <c r="D225" s="11">
        <f>1-D224</f>
        <v>0.23611111111111116</v>
      </c>
      <c r="E225" s="11">
        <f>1-E224</f>
        <v>1.735647530040052E-2</v>
      </c>
      <c r="F225" s="11">
        <f>1-F224</f>
        <v>0.11041990668740276</v>
      </c>
      <c r="G225" s="11">
        <f>1-G224</f>
        <v>6.2959076600209718E-3</v>
      </c>
      <c r="S225" s="66" t="s">
        <v>51</v>
      </c>
      <c r="T225" s="67">
        <f t="shared" si="36"/>
        <v>92.953075062088914</v>
      </c>
      <c r="U225" s="67">
        <f t="shared" si="36"/>
        <v>85.049817560244179</v>
      </c>
      <c r="V225" s="67">
        <f t="shared" si="36"/>
        <v>98.830004690195864</v>
      </c>
      <c r="W225" s="67">
        <f t="shared" si="36"/>
        <v>90.732183385353366</v>
      </c>
      <c r="X225" s="67">
        <f t="shared" si="36"/>
        <v>95.721577201128738</v>
      </c>
      <c r="AB225">
        <v>4</v>
      </c>
      <c r="AC225">
        <v>147</v>
      </c>
      <c r="AD225">
        <v>142</v>
      </c>
      <c r="AE225">
        <v>131</v>
      </c>
      <c r="AJ225" t="s">
        <v>644</v>
      </c>
      <c r="AK225">
        <v>9</v>
      </c>
      <c r="AL225" s="1">
        <v>0.59</v>
      </c>
      <c r="AM225">
        <v>12.17</v>
      </c>
      <c r="AN225">
        <v>1176.1600000000001</v>
      </c>
      <c r="AO225">
        <v>258.8</v>
      </c>
      <c r="AP225">
        <v>14.5</v>
      </c>
      <c r="AR225" s="1">
        <v>1.35</v>
      </c>
      <c r="AS225">
        <v>185.32</v>
      </c>
      <c r="AT225">
        <v>5152.24</v>
      </c>
      <c r="AU225">
        <v>745.86</v>
      </c>
      <c r="AV225">
        <v>139.51</v>
      </c>
    </row>
    <row r="226" spans="1:48" x14ac:dyDescent="0.3">
      <c r="C226" s="2"/>
      <c r="R226" s="16" t="s">
        <v>61</v>
      </c>
      <c r="S226" t="s">
        <v>9</v>
      </c>
      <c r="T226" s="1">
        <f t="shared" si="36"/>
        <v>232.41549999999992</v>
      </c>
      <c r="U226" s="1">
        <f t="shared" si="36"/>
        <v>1252.0235</v>
      </c>
      <c r="V226" s="1">
        <f t="shared" si="36"/>
        <v>57554.224000000002</v>
      </c>
      <c r="W226" s="1">
        <f t="shared" si="36"/>
        <v>31069.973500000004</v>
      </c>
      <c r="X226" s="1">
        <f t="shared" si="36"/>
        <v>5624.4855000000007</v>
      </c>
      <c r="AB226">
        <v>5</v>
      </c>
      <c r="AC226">
        <v>176</v>
      </c>
      <c r="AD226">
        <v>171</v>
      </c>
      <c r="AE226">
        <v>160</v>
      </c>
      <c r="AJ226" t="s">
        <v>644</v>
      </c>
      <c r="AK226">
        <v>10</v>
      </c>
      <c r="AL226" s="1">
        <v>0.62</v>
      </c>
      <c r="AM226">
        <v>14.66</v>
      </c>
      <c r="AN226">
        <v>1171.05</v>
      </c>
      <c r="AO226">
        <v>260.72000000000003</v>
      </c>
      <c r="AP226">
        <v>15.17</v>
      </c>
      <c r="AR226" s="1">
        <v>1.26</v>
      </c>
      <c r="AS226">
        <v>202.06</v>
      </c>
      <c r="AT226">
        <v>5118.3999999999996</v>
      </c>
      <c r="AU226">
        <v>754.78</v>
      </c>
      <c r="AV226">
        <v>147.79</v>
      </c>
    </row>
    <row r="227" spans="1:48" ht="15.6" x14ac:dyDescent="0.35">
      <c r="A227" t="s">
        <v>317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318</v>
      </c>
      <c r="S227" t="s">
        <v>63</v>
      </c>
      <c r="T227" s="57">
        <f>AVERAGE(T24,T34,T44,T54,T64,T74,T84,T94,T104,T114,T124,T134,T144,T154,T164,T174,T184,T194,T204,T214)</f>
        <v>204.6720991210826</v>
      </c>
      <c r="U227" s="57">
        <f t="shared" si="36"/>
        <v>1315.2947867891855</v>
      </c>
      <c r="V227" s="57">
        <f t="shared" si="36"/>
        <v>57774.822778801878</v>
      </c>
      <c r="W227" s="57">
        <f t="shared" si="36"/>
        <v>30684.529125823163</v>
      </c>
      <c r="X227" s="57">
        <f t="shared" si="36"/>
        <v>5753.803209464696</v>
      </c>
      <c r="AB227">
        <v>6</v>
      </c>
      <c r="AC227">
        <v>205</v>
      </c>
      <c r="AD227">
        <v>200</v>
      </c>
      <c r="AE227">
        <v>189</v>
      </c>
      <c r="AJ227" t="s">
        <v>644</v>
      </c>
      <c r="AK227">
        <v>11</v>
      </c>
      <c r="AL227" s="1">
        <v>0.51</v>
      </c>
      <c r="AM227">
        <v>17.79</v>
      </c>
      <c r="AN227">
        <v>1164.71</v>
      </c>
      <c r="AO227">
        <v>263.74</v>
      </c>
      <c r="AP227">
        <v>15.47</v>
      </c>
      <c r="AR227" s="1">
        <v>1.26</v>
      </c>
      <c r="AS227">
        <v>210.16</v>
      </c>
      <c r="AT227">
        <v>5101.6499999999996</v>
      </c>
      <c r="AU227">
        <v>759.82</v>
      </c>
      <c r="AV227">
        <v>151.38999999999999</v>
      </c>
    </row>
    <row r="228" spans="1:48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62</v>
      </c>
      <c r="T228" s="67">
        <f>AVERAGE(T25,T35,T45,T55,T65,T75,T85,T95,T105,T115,T125,T135,T145,T155,T165,T175,T185,T195,T205,T215)</f>
        <v>5.9561202047956501</v>
      </c>
      <c r="U228" s="67">
        <f t="shared" si="36"/>
        <v>36.166878468828244</v>
      </c>
      <c r="V228" s="67">
        <f t="shared" si="36"/>
        <v>133.33317036499869</v>
      </c>
      <c r="W228" s="67">
        <f t="shared" si="36"/>
        <v>213.48304705758846</v>
      </c>
      <c r="X228" s="67">
        <f t="shared" si="36"/>
        <v>172.61378498475307</v>
      </c>
      <c r="AB228">
        <v>7</v>
      </c>
      <c r="AC228">
        <v>234</v>
      </c>
      <c r="AD228">
        <v>229</v>
      </c>
      <c r="AE228">
        <v>218</v>
      </c>
      <c r="AJ228" t="s">
        <v>644</v>
      </c>
      <c r="AK228">
        <v>12</v>
      </c>
      <c r="AL228" s="1">
        <v>0.51</v>
      </c>
      <c r="AM228">
        <v>14.18</v>
      </c>
      <c r="AN228">
        <v>1164.3900000000001</v>
      </c>
      <c r="AO228">
        <v>267.8</v>
      </c>
      <c r="AP228">
        <v>15.33</v>
      </c>
      <c r="AR228" s="1">
        <v>1.26</v>
      </c>
      <c r="AS228">
        <v>175.6</v>
      </c>
      <c r="AT228">
        <v>5138.2</v>
      </c>
      <c r="AU228">
        <v>757.84</v>
      </c>
      <c r="AV228">
        <v>151.38999999999999</v>
      </c>
    </row>
    <row r="229" spans="1:48" x14ac:dyDescent="0.3">
      <c r="A229" t="s">
        <v>3</v>
      </c>
      <c r="B229" s="13">
        <v>0</v>
      </c>
      <c r="C229" s="29">
        <f>(C218/$L229)*$O229</f>
        <v>0.22136071723589659</v>
      </c>
      <c r="D229" s="31">
        <f>(D218/$L229)*$O229</f>
        <v>0</v>
      </c>
      <c r="E229" s="31">
        <f>(E218/$L229)*$O229</f>
        <v>0</v>
      </c>
      <c r="F229" s="31">
        <f>(F218/$L229)*$O229</f>
        <v>1.6905830433290431E-2</v>
      </c>
      <c r="G229" s="32">
        <f>(G218/$L229)*$O229</f>
        <v>0</v>
      </c>
      <c r="H229" s="17">
        <f>SUM(C229:G229)</f>
        <v>0.23826654766918703</v>
      </c>
      <c r="I229" s="17">
        <f>C229/H229*100</f>
        <v>92.904656319290453</v>
      </c>
      <c r="J229" s="17">
        <f>SQRT(I229*(100-I229)/(L229-1))</f>
        <v>1.2103171908623052</v>
      </c>
      <c r="K229" s="18">
        <f>100-I229</f>
        <v>7.0953436807095471</v>
      </c>
      <c r="L229" s="1">
        <f>H218</f>
        <v>451</v>
      </c>
      <c r="M229">
        <v>0</v>
      </c>
      <c r="N229" s="1">
        <v>228.1</v>
      </c>
      <c r="O229" s="17">
        <f>N229/N234*100</f>
        <v>0.23826654766918701</v>
      </c>
      <c r="P229" s="52">
        <f>((O229*O229*(I229/100)*(K229/100))/(L229-1))</f>
        <v>8.3161927781813878E-6</v>
      </c>
      <c r="AB229">
        <v>8</v>
      </c>
      <c r="AC229">
        <v>263</v>
      </c>
      <c r="AD229">
        <v>258</v>
      </c>
      <c r="AE229">
        <v>247</v>
      </c>
      <c r="AJ229" t="s">
        <v>644</v>
      </c>
      <c r="AK229">
        <v>13</v>
      </c>
      <c r="AL229" s="1">
        <v>0.51</v>
      </c>
      <c r="AM229">
        <v>14.22</v>
      </c>
      <c r="AN229">
        <v>1163.74</v>
      </c>
      <c r="AO229">
        <v>269.07</v>
      </c>
      <c r="AP229">
        <v>14.68</v>
      </c>
      <c r="AR229" s="1">
        <v>1.26</v>
      </c>
      <c r="AS229">
        <v>189.28</v>
      </c>
      <c r="AT229">
        <v>5117.1400000000003</v>
      </c>
      <c r="AU229">
        <v>767.29</v>
      </c>
      <c r="AV229">
        <v>149.32</v>
      </c>
    </row>
    <row r="230" spans="1:48" x14ac:dyDescent="0.3">
      <c r="A230" t="s">
        <v>4</v>
      </c>
      <c r="B230" s="13">
        <v>1</v>
      </c>
      <c r="C230" s="33">
        <f t="shared" ref="C230:G233" si="37">(C219/$L230)*$O230</f>
        <v>0</v>
      </c>
      <c r="D230" s="34">
        <f t="shared" si="37"/>
        <v>1.2471586214354267</v>
      </c>
      <c r="E230" s="19">
        <f t="shared" si="37"/>
        <v>4.5351222597651876E-2</v>
      </c>
      <c r="F230" s="18">
        <f t="shared" si="37"/>
        <v>0</v>
      </c>
      <c r="G230" s="20">
        <f t="shared" si="37"/>
        <v>0</v>
      </c>
      <c r="H230" s="17">
        <f>SUM(C230:G230)</f>
        <v>1.2925098440330784</v>
      </c>
      <c r="I230" s="17">
        <f>D230/H230*100</f>
        <v>96.491228070175453</v>
      </c>
      <c r="J230" s="17">
        <f>SQRT(I230*(100-I230)/(L230-1))</f>
        <v>2.4588241692166095</v>
      </c>
      <c r="K230" s="18">
        <f>100-I230</f>
        <v>3.5087719298245474</v>
      </c>
      <c r="L230" s="1">
        <f>H219</f>
        <v>57</v>
      </c>
      <c r="M230">
        <v>1</v>
      </c>
      <c r="N230" s="1">
        <v>1237.3599999999999</v>
      </c>
      <c r="O230" s="17">
        <f>N230/N234*100</f>
        <v>1.2925098440330784</v>
      </c>
      <c r="P230" s="52">
        <f>((O230*O230*(I230/100)*(K230/100))/(L230-1))</f>
        <v>1.010003004558901E-3</v>
      </c>
      <c r="S230" t="s">
        <v>64</v>
      </c>
      <c r="T230" s="1" t="s">
        <v>639</v>
      </c>
      <c r="U230" s="1" t="s">
        <v>640</v>
      </c>
      <c r="V230" s="1" t="s">
        <v>641</v>
      </c>
      <c r="W230" s="1" t="s">
        <v>642</v>
      </c>
      <c r="X230" s="1" t="s">
        <v>643</v>
      </c>
      <c r="AB230">
        <v>9</v>
      </c>
      <c r="AC230">
        <v>292</v>
      </c>
      <c r="AD230">
        <v>287</v>
      </c>
      <c r="AE230">
        <v>276</v>
      </c>
      <c r="AJ230" t="s">
        <v>644</v>
      </c>
      <c r="AK230">
        <v>14</v>
      </c>
      <c r="AL230" s="1">
        <v>0.51</v>
      </c>
      <c r="AM230">
        <v>18.3</v>
      </c>
      <c r="AN230">
        <v>1152.99</v>
      </c>
      <c r="AO230">
        <v>275.02999999999997</v>
      </c>
      <c r="AP230">
        <v>15.38</v>
      </c>
      <c r="AR230" s="1">
        <v>1.26</v>
      </c>
      <c r="AS230">
        <v>211.24</v>
      </c>
      <c r="AT230">
        <v>5084.28</v>
      </c>
      <c r="AU230">
        <v>779.71</v>
      </c>
      <c r="AV230">
        <v>147.79</v>
      </c>
    </row>
    <row r="231" spans="1:48" x14ac:dyDescent="0.3">
      <c r="A231" t="s">
        <v>5</v>
      </c>
      <c r="B231" s="13">
        <v>2</v>
      </c>
      <c r="C231" s="33">
        <f t="shared" si="37"/>
        <v>0</v>
      </c>
      <c r="D231" s="19">
        <f t="shared" si="37"/>
        <v>0</v>
      </c>
      <c r="E231" s="34">
        <f t="shared" si="37"/>
        <v>59.959926950608804</v>
      </c>
      <c r="F231" s="19">
        <f t="shared" si="37"/>
        <v>8.1467292052457604E-2</v>
      </c>
      <c r="G231" s="20">
        <f t="shared" si="37"/>
        <v>0</v>
      </c>
      <c r="H231" s="17">
        <f>SUM(C231:G231)</f>
        <v>60.041394242661262</v>
      </c>
      <c r="I231" s="17">
        <f>E231/H231*100</f>
        <v>99.864314789687924</v>
      </c>
      <c r="J231" s="17">
        <f>SQRT(I231*(100-I231)/(L231-1))</f>
        <v>0.13568521031207589</v>
      </c>
      <c r="K231" s="18">
        <f>100-I231</f>
        <v>0.13568521031207581</v>
      </c>
      <c r="L231" s="1">
        <f>H220</f>
        <v>737</v>
      </c>
      <c r="M231">
        <v>2</v>
      </c>
      <c r="N231" s="1">
        <v>57479.5</v>
      </c>
      <c r="O231" s="17">
        <f>N231/N234*100</f>
        <v>60.041394242661262</v>
      </c>
      <c r="P231" s="52">
        <f>((O231*O231*(I231/100)*(K231/100))/(L231-1))</f>
        <v>6.6369196743604145E-3</v>
      </c>
      <c r="T231" s="57">
        <f>T24</f>
        <v>190.15820399113079</v>
      </c>
      <c r="U231" s="57">
        <f>U24</f>
        <v>1133.5833677603323</v>
      </c>
      <c r="V231" s="57">
        <f>V24</f>
        <v>57905.303329870963</v>
      </c>
      <c r="W231" s="57">
        <f>W24</f>
        <v>30738.700195731617</v>
      </c>
      <c r="X231" s="57">
        <f>X24</f>
        <v>5765.3849026459466</v>
      </c>
      <c r="AB231">
        <v>10</v>
      </c>
      <c r="AC231">
        <v>321</v>
      </c>
      <c r="AD231">
        <v>316</v>
      </c>
      <c r="AE231">
        <v>305</v>
      </c>
      <c r="AJ231" t="s">
        <v>644</v>
      </c>
      <c r="AK231">
        <v>15</v>
      </c>
      <c r="AL231" s="1">
        <v>0.59</v>
      </c>
      <c r="AM231">
        <v>14.96</v>
      </c>
      <c r="AN231">
        <v>1167.0899999999999</v>
      </c>
      <c r="AO231">
        <v>265.51</v>
      </c>
      <c r="AP231">
        <v>14.07</v>
      </c>
      <c r="AR231" s="1">
        <v>1.35</v>
      </c>
      <c r="AS231">
        <v>219.79</v>
      </c>
      <c r="AT231">
        <v>5094.63</v>
      </c>
      <c r="AU231">
        <v>768.19</v>
      </c>
      <c r="AV231">
        <v>140.32</v>
      </c>
    </row>
    <row r="232" spans="1:48" x14ac:dyDescent="0.3">
      <c r="A232" t="s">
        <v>6</v>
      </c>
      <c r="B232" s="13">
        <v>3</v>
      </c>
      <c r="C232" s="33">
        <f t="shared" si="37"/>
        <v>0</v>
      </c>
      <c r="D232" s="19">
        <f t="shared" si="37"/>
        <v>0</v>
      </c>
      <c r="E232" s="19">
        <f t="shared" si="37"/>
        <v>0.22307066623449154</v>
      </c>
      <c r="F232" s="34">
        <f t="shared" si="37"/>
        <v>31.899105271532289</v>
      </c>
      <c r="G232" s="20">
        <f t="shared" si="37"/>
        <v>0.33460599935173735</v>
      </c>
      <c r="H232" s="17">
        <f>SUM(C232:G232)</f>
        <v>32.456781937118521</v>
      </c>
      <c r="I232" s="17">
        <f>F232/H232*100</f>
        <v>98.281786941580748</v>
      </c>
      <c r="J232" s="17">
        <f>SQRT(I232*(100-I232)/(L232-1))</f>
        <v>0.53912188711835507</v>
      </c>
      <c r="K232" s="18">
        <f>100-I232</f>
        <v>1.7182130584192521</v>
      </c>
      <c r="L232" s="1">
        <f>H221</f>
        <v>582</v>
      </c>
      <c r="M232">
        <v>3</v>
      </c>
      <c r="N232" s="1">
        <v>31071.89</v>
      </c>
      <c r="O232" s="17">
        <f>N232/N234*100</f>
        <v>32.456781937118521</v>
      </c>
      <c r="P232" s="52">
        <f>((O232*O232*(I232/100)*(K232/100))/(L232-1))</f>
        <v>3.0618565685047002E-2</v>
      </c>
      <c r="T232" s="57">
        <f>T34</f>
        <v>216.14944567627495</v>
      </c>
      <c r="U232" s="57">
        <f>U34</f>
        <v>1464.0661930346184</v>
      </c>
      <c r="V232" s="57">
        <f>V34</f>
        <v>57816.945141358723</v>
      </c>
      <c r="W232" s="57">
        <f>W34</f>
        <v>30713.385594790332</v>
      </c>
      <c r="X232" s="57">
        <f>X34</f>
        <v>5522.5736251400622</v>
      </c>
      <c r="AB232">
        <v>11</v>
      </c>
      <c r="AC232">
        <v>350</v>
      </c>
      <c r="AD232">
        <v>345</v>
      </c>
      <c r="AE232">
        <v>334</v>
      </c>
      <c r="AJ232" t="s">
        <v>644</v>
      </c>
      <c r="AK232">
        <v>16</v>
      </c>
      <c r="AL232" s="1">
        <v>0.51</v>
      </c>
      <c r="AM232">
        <v>16.78</v>
      </c>
      <c r="AN232">
        <v>1173.93</v>
      </c>
      <c r="AO232">
        <v>255.76</v>
      </c>
      <c r="AP232">
        <v>15.24</v>
      </c>
      <c r="AR232" s="1">
        <v>1.26</v>
      </c>
      <c r="AS232">
        <v>185.23</v>
      </c>
      <c r="AT232">
        <v>5154.58</v>
      </c>
      <c r="AU232">
        <v>743.97</v>
      </c>
      <c r="AV232">
        <v>139.24</v>
      </c>
    </row>
    <row r="233" spans="1:48" x14ac:dyDescent="0.3">
      <c r="A233" t="s">
        <v>7</v>
      </c>
      <c r="B233" s="13">
        <v>4</v>
      </c>
      <c r="C233" s="35">
        <f t="shared" si="37"/>
        <v>0</v>
      </c>
      <c r="D233" s="36">
        <f t="shared" si="37"/>
        <v>0.10060238482141237</v>
      </c>
      <c r="E233" s="21">
        <f t="shared" si="37"/>
        <v>4.1424511397052152E-2</v>
      </c>
      <c r="F233" s="21">
        <f t="shared" si="37"/>
        <v>0.22487591901256881</v>
      </c>
      <c r="G233" s="37">
        <f t="shared" si="37"/>
        <v>5.6041446132869126</v>
      </c>
      <c r="H233" s="17">
        <f>SUM(C233:G233)</f>
        <v>5.971047428517946</v>
      </c>
      <c r="I233" s="17">
        <f>G233/H233*100</f>
        <v>93.855302279484647</v>
      </c>
      <c r="J233" s="17">
        <f>SQRT(I233*(100-I233)/(L233-1))</f>
        <v>0.75639631076802649</v>
      </c>
      <c r="K233" s="18">
        <f>100-I233</f>
        <v>6.144697720515353</v>
      </c>
      <c r="L233" s="1">
        <f>H222</f>
        <v>1009</v>
      </c>
      <c r="M233">
        <v>4</v>
      </c>
      <c r="N233" s="1">
        <v>5716.27</v>
      </c>
      <c r="O233" s="17">
        <f>N233/N234*100</f>
        <v>5.971047428517946</v>
      </c>
      <c r="P233" s="52">
        <f>((O233*O233*(I233/100)*(K233/100))/(L233-1))</f>
        <v>2.0398575749769809E-3</v>
      </c>
      <c r="T233" s="57">
        <f>T44</f>
        <v>211.91552106430157</v>
      </c>
      <c r="U233" s="57">
        <f>U44</f>
        <v>1302.6780512232017</v>
      </c>
      <c r="V233" s="57">
        <f>V44</f>
        <v>57848.88089619697</v>
      </c>
      <c r="W233" s="57">
        <f>W44</f>
        <v>30687.141449593029</v>
      </c>
      <c r="X233" s="57">
        <f>X44</f>
        <v>5682.5040819224914</v>
      </c>
      <c r="AB233">
        <v>12</v>
      </c>
      <c r="AC233">
        <v>379</v>
      </c>
      <c r="AD233">
        <v>374</v>
      </c>
      <c r="AE233">
        <v>363</v>
      </c>
      <c r="AJ233" t="s">
        <v>644</v>
      </c>
      <c r="AK233">
        <v>17</v>
      </c>
      <c r="AL233" s="1">
        <v>0.8</v>
      </c>
      <c r="AM233">
        <v>16.809999999999999</v>
      </c>
      <c r="AN233">
        <v>1164.48</v>
      </c>
      <c r="AO233">
        <v>264.61</v>
      </c>
      <c r="AP233">
        <v>15.53</v>
      </c>
      <c r="AR233" s="1">
        <v>1.62</v>
      </c>
      <c r="AS233">
        <v>202.96</v>
      </c>
      <c r="AT233">
        <v>5127.3999999999996</v>
      </c>
      <c r="AU233">
        <v>739.47</v>
      </c>
      <c r="AV233">
        <v>152.83000000000001</v>
      </c>
    </row>
    <row r="234" spans="1:48" x14ac:dyDescent="0.3">
      <c r="B234" t="s">
        <v>28</v>
      </c>
      <c r="C234" s="17">
        <f>SUM(C229:C233)</f>
        <v>0.22136071723589659</v>
      </c>
      <c r="D234" s="17">
        <f>SUM(D229:D233)</f>
        <v>1.347761006256839</v>
      </c>
      <c r="E234" s="17">
        <f>SUM(E229:E233)</f>
        <v>60.269773350838001</v>
      </c>
      <c r="F234" s="17">
        <f>SUM(F229:F233)</f>
        <v>32.222354313030607</v>
      </c>
      <c r="G234" s="17">
        <f>SUM(G229:G233)</f>
        <v>5.9387506126386498</v>
      </c>
      <c r="H234" s="1">
        <f>SUM(H228:H233)</f>
        <v>100</v>
      </c>
      <c r="I234" s="13" t="s">
        <v>24</v>
      </c>
      <c r="J234" s="12" t="s">
        <v>29</v>
      </c>
      <c r="N234" s="1">
        <f>SUM(N229:N233)</f>
        <v>95733.12000000001</v>
      </c>
      <c r="O234" s="17">
        <f>SUM(O229:O233)</f>
        <v>100</v>
      </c>
      <c r="T234" s="57">
        <f>T54</f>
        <v>211.66467849223952</v>
      </c>
      <c r="U234" s="57">
        <f>U54</f>
        <v>1217.6291137655835</v>
      </c>
      <c r="V234" s="57">
        <f>V54</f>
        <v>57749.014420670697</v>
      </c>
      <c r="W234" s="57">
        <f>W54</f>
        <v>30778.380917611386</v>
      </c>
      <c r="X234" s="57">
        <f>X54</f>
        <v>5776.4408694600825</v>
      </c>
      <c r="AB234">
        <v>13</v>
      </c>
      <c r="AC234">
        <v>408</v>
      </c>
      <c r="AD234">
        <v>403</v>
      </c>
      <c r="AE234">
        <v>392</v>
      </c>
      <c r="AJ234" t="s">
        <v>644</v>
      </c>
      <c r="AK234">
        <v>18</v>
      </c>
      <c r="AL234" s="1">
        <v>0.51</v>
      </c>
      <c r="AM234">
        <v>11.88</v>
      </c>
      <c r="AN234">
        <v>1174.49</v>
      </c>
      <c r="AO234">
        <v>260.16000000000003</v>
      </c>
      <c r="AP234">
        <v>15.18</v>
      </c>
      <c r="AR234" s="1">
        <v>1.26</v>
      </c>
      <c r="AS234">
        <v>192.25</v>
      </c>
      <c r="AT234">
        <v>5132.71</v>
      </c>
      <c r="AU234">
        <v>755.14</v>
      </c>
      <c r="AV234">
        <v>142.93</v>
      </c>
    </row>
    <row r="235" spans="1:48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2.8805821158830115E-3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3.9718970384033693E-2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0.14219096359972136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0.19617038085849731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0.14319796981852406</v>
      </c>
      <c r="H235" s="1"/>
      <c r="I235" s="14">
        <f>(C229+D230+E231+F232+G233)/H234</f>
        <v>0.98931696174099326</v>
      </c>
      <c r="J235" s="53">
        <f>SQRT(SUM(P229:P233))/100</f>
        <v>2.0078262407818431E-3</v>
      </c>
      <c r="M235" s="1"/>
      <c r="N235" s="9"/>
      <c r="T235" s="57">
        <f>T64</f>
        <v>187.58243902439025</v>
      </c>
      <c r="U235" s="57">
        <f>U64</f>
        <v>1443.0200354702413</v>
      </c>
      <c r="V235" s="57">
        <f>V64</f>
        <v>57553.812467412397</v>
      </c>
      <c r="W235" s="57">
        <f>W64</f>
        <v>31098.78451476981</v>
      </c>
      <c r="X235" s="57">
        <f>X64</f>
        <v>5449.9305433231502</v>
      </c>
      <c r="AB235">
        <v>14</v>
      </c>
      <c r="AC235">
        <v>437</v>
      </c>
      <c r="AD235">
        <v>432</v>
      </c>
      <c r="AE235">
        <v>421</v>
      </c>
      <c r="AJ235" t="s">
        <v>644</v>
      </c>
      <c r="AK235">
        <v>19</v>
      </c>
      <c r="AL235" s="1">
        <v>1.07</v>
      </c>
      <c r="AM235">
        <v>15.09</v>
      </c>
      <c r="AN235">
        <v>1173.0899999999999</v>
      </c>
      <c r="AO235">
        <v>258.20999999999998</v>
      </c>
      <c r="AP235">
        <v>14.76</v>
      </c>
      <c r="AR235" s="1">
        <v>1.98</v>
      </c>
      <c r="AS235">
        <v>188.74</v>
      </c>
      <c r="AT235">
        <v>5141.8</v>
      </c>
      <c r="AU235">
        <v>748.56</v>
      </c>
      <c r="AV235">
        <v>143.19999999999999</v>
      </c>
    </row>
    <row r="236" spans="1:48" x14ac:dyDescent="0.3">
      <c r="B236" s="1" t="s">
        <v>30</v>
      </c>
      <c r="C236" s="17">
        <f>C229/C234*100</f>
        <v>100</v>
      </c>
      <c r="D236" s="17">
        <f>D230/D234*100</f>
        <v>92.535591669860125</v>
      </c>
      <c r="E236" s="17">
        <f>E231/E234*100</f>
        <v>99.485900837181617</v>
      </c>
      <c r="F236" s="17">
        <f>F232/F234*100</f>
        <v>98.996817431904418</v>
      </c>
      <c r="G236" s="17">
        <f>G233/G234*100</f>
        <v>94.365717283368667</v>
      </c>
      <c r="H236" s="1"/>
      <c r="T236" s="57">
        <f>T74</f>
        <v>180.35121951219514</v>
      </c>
      <c r="U236" s="57">
        <f>U74</f>
        <v>1491.3267372594021</v>
      </c>
      <c r="V236" s="57">
        <f>V74</f>
        <v>57802.562659929383</v>
      </c>
      <c r="W236" s="57">
        <f>W74</f>
        <v>30566.235226074859</v>
      </c>
      <c r="X236" s="57">
        <f>X74</f>
        <v>5692.6441572241565</v>
      </c>
      <c r="AB236">
        <v>15</v>
      </c>
      <c r="AC236">
        <v>466</v>
      </c>
      <c r="AD236">
        <v>461</v>
      </c>
      <c r="AE236">
        <v>450</v>
      </c>
    </row>
    <row r="237" spans="1:48" x14ac:dyDescent="0.3">
      <c r="B237" s="16" t="s">
        <v>39</v>
      </c>
      <c r="C237" s="18">
        <f>SQRT((C240+C241)/(C234*C234))</f>
        <v>0</v>
      </c>
      <c r="D237" s="18">
        <f>SQRT((D240+D241)/(D234*D234))</f>
        <v>2.4207357422480973</v>
      </c>
      <c r="E237" s="18">
        <f>SQRT((E240+E241)/(E234*E234))</f>
        <v>0.19283480028019945</v>
      </c>
      <c r="F237" s="18">
        <f>SQRT((F240+F241)/(F234*F234))</f>
        <v>0.27891312492050346</v>
      </c>
      <c r="G237" s="18">
        <f>SQRT((G240+G241)/(G234*G234))</f>
        <v>2.203295071714972</v>
      </c>
      <c r="H237" s="1"/>
      <c r="T237" s="57">
        <f>T84</f>
        <v>211.66467849223952</v>
      </c>
      <c r="U237" s="57">
        <f>U84</f>
        <v>1282.2123422530558</v>
      </c>
      <c r="V237" s="57">
        <f>V84</f>
        <v>57653.239993287389</v>
      </c>
      <c r="W237" s="57">
        <f>W84</f>
        <v>30404.206334796916</v>
      </c>
      <c r="X237" s="57">
        <f>X84</f>
        <v>6181.7966511703935</v>
      </c>
      <c r="AB237">
        <v>16</v>
      </c>
      <c r="AC237">
        <v>495</v>
      </c>
      <c r="AD237">
        <v>490</v>
      </c>
      <c r="AE237">
        <v>479</v>
      </c>
      <c r="AN237" s="78"/>
      <c r="AO237" s="78"/>
    </row>
    <row r="238" spans="1:48" x14ac:dyDescent="0.3">
      <c r="B238" s="1" t="s">
        <v>37</v>
      </c>
      <c r="C238" s="18">
        <f>100-C236</f>
        <v>0</v>
      </c>
      <c r="D238" s="18">
        <f>100-D236</f>
        <v>7.4644083301398751</v>
      </c>
      <c r="E238" s="18">
        <f>100-E236</f>
        <v>0.51409916281838264</v>
      </c>
      <c r="F238" s="18">
        <f>100-F236</f>
        <v>1.0031825680955819</v>
      </c>
      <c r="G238" s="18">
        <f>100-G236</f>
        <v>5.6342827166313327</v>
      </c>
      <c r="T238" s="57">
        <f>T94</f>
        <v>211.91552106430157</v>
      </c>
      <c r="U238" s="57">
        <f>U94</f>
        <v>1290.2536614330672</v>
      </c>
      <c r="V238" s="57">
        <f>V94</f>
        <v>57698.13444568577</v>
      </c>
      <c r="W238" s="57">
        <f>W94</f>
        <v>30847.465121318768</v>
      </c>
      <c r="X238" s="57">
        <f>X94</f>
        <v>5685.3512504980945</v>
      </c>
      <c r="AB238">
        <v>17</v>
      </c>
      <c r="AC238">
        <v>524</v>
      </c>
      <c r="AD238">
        <v>519</v>
      </c>
      <c r="AE238">
        <v>508</v>
      </c>
    </row>
    <row r="239" spans="1:48" ht="15.6" x14ac:dyDescent="0.35">
      <c r="B239" s="1" t="s">
        <v>25</v>
      </c>
      <c r="C239" s="1">
        <f>C223</f>
        <v>419</v>
      </c>
      <c r="D239" s="1">
        <f>D223</f>
        <v>72</v>
      </c>
      <c r="E239" s="1">
        <f>E223</f>
        <v>749</v>
      </c>
      <c r="F239" s="1">
        <f>F223</f>
        <v>643</v>
      </c>
      <c r="G239" s="1">
        <f>G223</f>
        <v>953</v>
      </c>
      <c r="T239" s="57">
        <f>T104</f>
        <v>217.35592017738361</v>
      </c>
      <c r="U239" s="57">
        <f>U104</f>
        <v>1294.0313901204945</v>
      </c>
      <c r="V239" s="57">
        <f>V104</f>
        <v>57923.489442667465</v>
      </c>
      <c r="W239" s="57">
        <f>W104</f>
        <v>30754.999069409911</v>
      </c>
      <c r="X239" s="57">
        <f>X104</f>
        <v>5543.2441776247451</v>
      </c>
      <c r="AB239">
        <v>18</v>
      </c>
      <c r="AC239">
        <v>553</v>
      </c>
      <c r="AD239">
        <v>548</v>
      </c>
      <c r="AE239">
        <v>537</v>
      </c>
      <c r="AN239" s="78"/>
      <c r="AO239" s="78"/>
    </row>
    <row r="240" spans="1:48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5.6274733042437406</v>
      </c>
      <c r="E240" s="18">
        <f>(O231*O231*(100-E236)*(100-E236)*(I231)*(100-I231))/((L231-1)*100)</f>
        <v>0.17541242590086878</v>
      </c>
      <c r="F240" s="18">
        <f>(O232*O232*(100-F236)*(100-F236)*(I232)*(100-I232))/((L232-1)*100)</f>
        <v>3.0813767153091711</v>
      </c>
      <c r="G240" s="18">
        <f>(O233*O233*(100-G236)*(100-G236)*(I233)*(100-I233))/((L233-1)*100)</f>
        <v>6.4755567828556542</v>
      </c>
      <c r="T240" s="57">
        <f>T114</f>
        <v>183.45172949002216</v>
      </c>
      <c r="U240" s="57">
        <f>U114</f>
        <v>1085.7423813746457</v>
      </c>
      <c r="V240" s="57">
        <f>V114</f>
        <v>58170.057420490397</v>
      </c>
      <c r="W240" s="57">
        <f>W114</f>
        <v>30514.904535793172</v>
      </c>
      <c r="X240" s="57">
        <f>X114</f>
        <v>5778.9739328517571</v>
      </c>
      <c r="AB240">
        <v>19</v>
      </c>
      <c r="AC240">
        <v>582</v>
      </c>
      <c r="AD240">
        <v>577</v>
      </c>
      <c r="AE240">
        <v>566</v>
      </c>
    </row>
    <row r="241" spans="1:41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5.0169108411689356</v>
      </c>
      <c r="E241" s="18">
        <f>E236*E236*(SUM((H229*E229*(1-E218/H218))/(H218-1),(H230*E230*(1-E219/H219))/(H219-1), (H232*E232*(1-E221/H221))/(H221-1),(H233*E233*(1-E222/H222))/(H222-1)))</f>
        <v>134.89802161661279</v>
      </c>
      <c r="F241" s="18">
        <f>F236*F236*(SUM((H229*F229*(1-F218/H218))/(H218-1),(H230*F230*(1-F219/H219))/(H219-1), (H231*F231*(1-F220/H220))/(H220-1),(H233*F233*(1-F222/H222))/(H222-1)))</f>
        <v>77.68906177261033</v>
      </c>
      <c r="G241" s="18">
        <f>G236*G236*(SUM((H229*G229*(1-G218/H218))/(H218-1),(H230*G230*(1-G219/H219))/(H219-1), (H231*G231*(1-G220/H220))/(H220-1),(H232*G232*(1-G221/H221))/(H221-1)))</f>
        <v>164.73695652349113</v>
      </c>
      <c r="T241" s="57">
        <f>T124</f>
        <v>197.60592017738361</v>
      </c>
      <c r="U241" s="57">
        <f>U124</f>
        <v>1204.2052595065461</v>
      </c>
      <c r="V241" s="57">
        <f>V124</f>
        <v>57702.730998942556</v>
      </c>
      <c r="W241" s="57">
        <f>W124</f>
        <v>30876.212492120299</v>
      </c>
      <c r="X241" s="57">
        <f>X124</f>
        <v>5752.3753292532165</v>
      </c>
      <c r="AB241">
        <v>20</v>
      </c>
      <c r="AC241">
        <v>611</v>
      </c>
      <c r="AD241">
        <v>606</v>
      </c>
      <c r="AE241">
        <v>595</v>
      </c>
      <c r="AN241" s="78"/>
      <c r="AO241" s="78"/>
    </row>
    <row r="242" spans="1:41" x14ac:dyDescent="0.3">
      <c r="T242" s="57">
        <f>T134</f>
        <v>211.58106430155212</v>
      </c>
      <c r="U242" s="57">
        <f>U134</f>
        <v>1428.6641601029335</v>
      </c>
      <c r="V242" s="57">
        <f>V134</f>
        <v>57653.858033047087</v>
      </c>
      <c r="W242" s="57">
        <f>W134</f>
        <v>30556.422940716799</v>
      </c>
      <c r="X242" s="57">
        <f>X134</f>
        <v>5882.5938018316256</v>
      </c>
      <c r="AB242">
        <v>21</v>
      </c>
      <c r="AC242">
        <v>640</v>
      </c>
      <c r="AD242">
        <v>635</v>
      </c>
      <c r="AE242">
        <v>624</v>
      </c>
    </row>
    <row r="243" spans="1:41" x14ac:dyDescent="0.3">
      <c r="T243" s="57">
        <f>T144</f>
        <v>211.91552106430157</v>
      </c>
      <c r="U243" s="57">
        <f>U144</f>
        <v>1202.8724730431136</v>
      </c>
      <c r="V243" s="57">
        <f>V144</f>
        <v>57712.768543506099</v>
      </c>
      <c r="W243" s="57">
        <f>W144</f>
        <v>30790.259356742772</v>
      </c>
      <c r="X243" s="57">
        <f>X144</f>
        <v>5815.3041056437078</v>
      </c>
      <c r="AB243">
        <v>22</v>
      </c>
      <c r="AC243">
        <v>669</v>
      </c>
      <c r="AD243">
        <v>664</v>
      </c>
      <c r="AE243">
        <v>653</v>
      </c>
      <c r="AN243" s="78"/>
      <c r="AO243" s="78"/>
    </row>
    <row r="244" spans="1:41" x14ac:dyDescent="0.3">
      <c r="A244" s="348" t="s">
        <v>380</v>
      </c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 t="s">
        <v>81</v>
      </c>
      <c r="M244" s="348"/>
      <c r="N244" s="348"/>
      <c r="O244" s="348"/>
      <c r="P244" s="348"/>
      <c r="T244" s="57">
        <f>T154</f>
        <v>211.7482926829268</v>
      </c>
      <c r="U244" s="57">
        <f>U154</f>
        <v>1154.920571349086</v>
      </c>
      <c r="V244" s="57">
        <f>V154</f>
        <v>57515.903337908749</v>
      </c>
      <c r="W244" s="57">
        <f>W154</f>
        <v>31188.086510404159</v>
      </c>
      <c r="X244" s="57">
        <f>X154</f>
        <v>5662.46128765509</v>
      </c>
      <c r="AB244">
        <v>23</v>
      </c>
      <c r="AC244">
        <v>698</v>
      </c>
      <c r="AD244">
        <v>693</v>
      </c>
      <c r="AE244">
        <v>682</v>
      </c>
    </row>
    <row r="245" spans="1:41" x14ac:dyDescent="0.3">
      <c r="A245" t="s">
        <v>315</v>
      </c>
      <c r="B245" t="s">
        <v>21</v>
      </c>
      <c r="I245" s="1" t="s">
        <v>53</v>
      </c>
      <c r="O245" s="142"/>
      <c r="P245" s="142"/>
      <c r="T245" s="57">
        <f>T164</f>
        <v>202.9483370288248</v>
      </c>
      <c r="U245" s="57">
        <f>U164</f>
        <v>1409.5080496583382</v>
      </c>
      <c r="V245" s="57">
        <f>V164</f>
        <v>57457.688306888704</v>
      </c>
      <c r="W245" s="57">
        <f>W164</f>
        <v>30953.953866190361</v>
      </c>
      <c r="X245" s="57">
        <f>X164</f>
        <v>5709.0214402337733</v>
      </c>
      <c r="AB245">
        <v>24</v>
      </c>
      <c r="AC245">
        <v>727</v>
      </c>
      <c r="AD245">
        <v>722</v>
      </c>
      <c r="AE245">
        <v>711</v>
      </c>
      <c r="AN245" s="78"/>
      <c r="AO245" s="78"/>
    </row>
    <row r="246" spans="1:41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51</v>
      </c>
      <c r="O246" s="13"/>
      <c r="P246" s="13"/>
      <c r="T246" s="57">
        <f>T174</f>
        <v>163.67381374722839</v>
      </c>
      <c r="U246" s="57">
        <f>U174</f>
        <v>1318.2333621963728</v>
      </c>
      <c r="V246" s="57">
        <f>V174</f>
        <v>57556.093072847085</v>
      </c>
      <c r="W246" s="57">
        <f>W174</f>
        <v>30762.203989814447</v>
      </c>
      <c r="X246" s="57">
        <f>X174</f>
        <v>5932.9257613948694</v>
      </c>
      <c r="AB246">
        <v>25</v>
      </c>
      <c r="AC246">
        <v>756</v>
      </c>
      <c r="AD246">
        <v>751</v>
      </c>
      <c r="AE246">
        <v>740</v>
      </c>
    </row>
    <row r="247" spans="1:41" x14ac:dyDescent="0.3">
      <c r="A247" t="s">
        <v>3</v>
      </c>
      <c r="B247" s="13">
        <v>0</v>
      </c>
      <c r="C247" s="26">
        <v>384</v>
      </c>
      <c r="D247" s="3">
        <v>0</v>
      </c>
      <c r="E247" s="3">
        <v>0</v>
      </c>
      <c r="F247" s="3">
        <v>67</v>
      </c>
      <c r="G247" s="4">
        <v>0</v>
      </c>
      <c r="H247" s="1">
        <f>SUM(C247:G247)</f>
        <v>451</v>
      </c>
      <c r="I247" s="10">
        <f>C247/H247</f>
        <v>0.85144124168514412</v>
      </c>
      <c r="J247" s="11">
        <f>1-I247</f>
        <v>0.14855875831485588</v>
      </c>
      <c r="K247">
        <f>H247-C252</f>
        <v>67</v>
      </c>
      <c r="N247" s="10">
        <f>2*(C253*I247)/(C253+I247)</f>
        <v>0.91976047904191616</v>
      </c>
      <c r="O247" s="1"/>
      <c r="P247" s="1"/>
      <c r="T247" s="57">
        <f>T184</f>
        <v>211.66467849223946</v>
      </c>
      <c r="U247" s="57">
        <f>U184</f>
        <v>1580.8539165058332</v>
      </c>
      <c r="V247" s="57">
        <f>V184</f>
        <v>57962.172517653191</v>
      </c>
      <c r="W247" s="57">
        <f>W184</f>
        <v>30158.210386911102</v>
      </c>
      <c r="X247" s="57">
        <f>X184</f>
        <v>5820.2085004376413</v>
      </c>
      <c r="AB247">
        <v>26</v>
      </c>
      <c r="AC247">
        <v>785</v>
      </c>
      <c r="AD247">
        <v>780</v>
      </c>
      <c r="AE247">
        <v>769</v>
      </c>
      <c r="AN247" s="78"/>
      <c r="AO247" s="78"/>
    </row>
    <row r="248" spans="1:41" x14ac:dyDescent="0.3">
      <c r="A248" t="s">
        <v>4</v>
      </c>
      <c r="B248" s="13">
        <v>1</v>
      </c>
      <c r="C248" s="5">
        <v>0</v>
      </c>
      <c r="D248" s="27">
        <v>56</v>
      </c>
      <c r="E248" s="1">
        <v>1</v>
      </c>
      <c r="F248" s="1">
        <v>0</v>
      </c>
      <c r="G248" s="6">
        <v>0</v>
      </c>
      <c r="H248" s="1">
        <f>SUM(C248:G248)</f>
        <v>57</v>
      </c>
      <c r="I248" s="10">
        <f>D248/H248</f>
        <v>0.98245614035087714</v>
      </c>
      <c r="J248" s="11">
        <f>1-I248</f>
        <v>1.7543859649122862E-2</v>
      </c>
      <c r="K248">
        <f>H248-D252</f>
        <v>-17</v>
      </c>
      <c r="N248" s="10">
        <f>2*(D253*I248)/(D253+I248)</f>
        <v>0.85496183206106868</v>
      </c>
      <c r="O248" s="1"/>
      <c r="P248" s="1"/>
      <c r="T248" s="57">
        <f>T194</f>
        <v>190.65130820399116</v>
      </c>
      <c r="U248" s="57">
        <f>U194</f>
        <v>1458.2497939596265</v>
      </c>
      <c r="V248" s="57">
        <f>V194</f>
        <v>57984.90651767145</v>
      </c>
      <c r="W248" s="57">
        <f>W194</f>
        <v>30145.780013083786</v>
      </c>
      <c r="X248" s="57">
        <f>X194</f>
        <v>5953.5223670811502</v>
      </c>
      <c r="AB248">
        <v>27</v>
      </c>
      <c r="AC248">
        <v>814</v>
      </c>
      <c r="AD248">
        <v>809</v>
      </c>
      <c r="AE248">
        <v>798</v>
      </c>
    </row>
    <row r="249" spans="1:41" x14ac:dyDescent="0.3">
      <c r="A249" t="s">
        <v>5</v>
      </c>
      <c r="B249" s="13">
        <v>2</v>
      </c>
      <c r="C249" s="5">
        <v>0</v>
      </c>
      <c r="D249" s="1">
        <v>0</v>
      </c>
      <c r="E249" s="27">
        <v>736</v>
      </c>
      <c r="F249" s="1">
        <v>1</v>
      </c>
      <c r="G249" s="6">
        <v>0</v>
      </c>
      <c r="H249" s="1">
        <f>SUM(C249:G249)</f>
        <v>737</v>
      </c>
      <c r="I249" s="10">
        <f>E249/H249</f>
        <v>0.99864314789687925</v>
      </c>
      <c r="J249" s="11">
        <f>1-I249</f>
        <v>1.3568521031207537E-3</v>
      </c>
      <c r="K249">
        <f>H249-E252</f>
        <v>-17</v>
      </c>
      <c r="N249" s="10">
        <f>2*(E253*I249)/(E253+I249)</f>
        <v>0.98725687458081823</v>
      </c>
      <c r="O249" s="1"/>
      <c r="P249" s="1"/>
      <c r="T249" s="57">
        <f>T204</f>
        <v>211.49745011086478</v>
      </c>
      <c r="U249" s="57">
        <f>U204</f>
        <v>1207.0193441482797</v>
      </c>
      <c r="V249" s="57">
        <f>V204</f>
        <v>57877.083805124734</v>
      </c>
      <c r="W249" s="57">
        <f>W204</f>
        <v>30930.904345755105</v>
      </c>
      <c r="X249" s="57">
        <f>X204</f>
        <v>5506.6150548610185</v>
      </c>
      <c r="AB249">
        <v>28</v>
      </c>
      <c r="AC249">
        <v>843</v>
      </c>
      <c r="AD249">
        <v>838</v>
      </c>
      <c r="AE249">
        <v>827</v>
      </c>
      <c r="AN249" s="78"/>
      <c r="AO249" s="78"/>
    </row>
    <row r="250" spans="1:41" x14ac:dyDescent="0.3">
      <c r="A250" t="s">
        <v>6</v>
      </c>
      <c r="B250" s="13">
        <v>3</v>
      </c>
      <c r="C250" s="5">
        <v>0</v>
      </c>
      <c r="D250" s="1">
        <v>0</v>
      </c>
      <c r="E250" s="1">
        <v>3</v>
      </c>
      <c r="F250" s="27">
        <v>571</v>
      </c>
      <c r="G250" s="6">
        <v>8</v>
      </c>
      <c r="H250" s="1">
        <f>SUM(C250:G250)</f>
        <v>582</v>
      </c>
      <c r="I250" s="10">
        <f>F250/H250</f>
        <v>0.98109965635738827</v>
      </c>
      <c r="J250" s="11">
        <f>1-I250</f>
        <v>1.8900343642611728E-2</v>
      </c>
      <c r="K250">
        <f>H250-F252</f>
        <v>-91</v>
      </c>
      <c r="N250" s="10">
        <f>2*(F253*I250)/(F253+I250)</f>
        <v>0.9099601593625497</v>
      </c>
      <c r="O250" s="1"/>
      <c r="P250" s="1"/>
      <c r="T250" s="57">
        <f>T214</f>
        <v>257.94623962786017</v>
      </c>
      <c r="U250" s="57">
        <f>U214</f>
        <v>1336.8255316189386</v>
      </c>
      <c r="V250" s="57">
        <f>V214</f>
        <v>57951.810224877576</v>
      </c>
      <c r="W250" s="57">
        <f>W214</f>
        <v>30224.345654834695</v>
      </c>
      <c r="X250" s="57">
        <f>X214</f>
        <v>5962.1923490409308</v>
      </c>
      <c r="AB250">
        <v>29</v>
      </c>
      <c r="AC250">
        <v>872</v>
      </c>
      <c r="AD250">
        <v>867</v>
      </c>
      <c r="AE250">
        <v>856</v>
      </c>
    </row>
    <row r="251" spans="1:41" x14ac:dyDescent="0.3">
      <c r="A251" t="s">
        <v>7</v>
      </c>
      <c r="B251" s="13">
        <v>4</v>
      </c>
      <c r="C251" s="7">
        <v>0</v>
      </c>
      <c r="D251" s="8">
        <v>18</v>
      </c>
      <c r="E251" s="8">
        <v>14</v>
      </c>
      <c r="F251" s="8">
        <v>34</v>
      </c>
      <c r="G251" s="28">
        <v>943</v>
      </c>
      <c r="H251" s="1">
        <f>SUM(C251:G251)</f>
        <v>1009</v>
      </c>
      <c r="I251" s="10">
        <f>G251/H251</f>
        <v>0.93458870168483643</v>
      </c>
      <c r="J251" s="11">
        <f>1-I251</f>
        <v>6.5411298315163569E-2</v>
      </c>
      <c r="K251">
        <f>H251-G252</f>
        <v>58</v>
      </c>
      <c r="N251" s="10">
        <f>2*(G253*I251)/(G253+I251)</f>
        <v>0.96224489795918366</v>
      </c>
      <c r="O251" s="1"/>
      <c r="P251" s="1"/>
      <c r="AN251" s="78"/>
      <c r="AO251" s="78"/>
    </row>
    <row r="252" spans="1:41" ht="15.6" x14ac:dyDescent="0.35">
      <c r="B252" s="1" t="s">
        <v>19</v>
      </c>
      <c r="C252" s="1">
        <f>SUM(C247:C251)</f>
        <v>384</v>
      </c>
      <c r="D252" s="1">
        <f>SUM(D247:D251)</f>
        <v>74</v>
      </c>
      <c r="E252" s="1">
        <f>SUM(E247:E251)</f>
        <v>754</v>
      </c>
      <c r="F252" s="1">
        <f>SUM(F247:F251)</f>
        <v>673</v>
      </c>
      <c r="G252" s="1">
        <f>SUM(G247:G251)</f>
        <v>951</v>
      </c>
      <c r="H252" s="1">
        <f>SUM(H246:H251)</f>
        <v>2836</v>
      </c>
      <c r="I252" s="13" t="s">
        <v>12</v>
      </c>
      <c r="N252" s="16"/>
      <c r="O252" s="1"/>
      <c r="P252" s="1"/>
    </row>
    <row r="253" spans="1:41" x14ac:dyDescent="0.3">
      <c r="A253" s="1" t="s">
        <v>316</v>
      </c>
      <c r="B253" s="1" t="s">
        <v>2</v>
      </c>
      <c r="C253" s="10">
        <f>C247/C252</f>
        <v>1</v>
      </c>
      <c r="D253" s="10">
        <f>D248/D252</f>
        <v>0.7567567567567568</v>
      </c>
      <c r="E253" s="10">
        <f>E249/E252</f>
        <v>0.97612732095490717</v>
      </c>
      <c r="F253" s="10">
        <f>F250/F252</f>
        <v>0.84843982169390786</v>
      </c>
      <c r="G253" s="10">
        <f>G251/G252</f>
        <v>0.99158780231335442</v>
      </c>
      <c r="H253" s="10"/>
      <c r="I253" s="14">
        <f>(C247+D248+E249+F250+G251)/H252</f>
        <v>0.9485190409026798</v>
      </c>
      <c r="AN253" s="78"/>
      <c r="AO253" s="78"/>
    </row>
    <row r="254" spans="1:41" x14ac:dyDescent="0.3">
      <c r="B254" s="1" t="s">
        <v>14</v>
      </c>
      <c r="C254" s="11">
        <f>1-C253</f>
        <v>0</v>
      </c>
      <c r="D254" s="11">
        <f>1-D253</f>
        <v>0.2432432432432432</v>
      </c>
      <c r="E254" s="11">
        <f>1-E253</f>
        <v>2.3872679045092826E-2</v>
      </c>
      <c r="F254" s="11">
        <f>1-F253</f>
        <v>0.15156017830609214</v>
      </c>
      <c r="G254" s="11">
        <f>1-G253</f>
        <v>8.4121976866455839E-3</v>
      </c>
    </row>
    <row r="255" spans="1:41" x14ac:dyDescent="0.3">
      <c r="C255" s="2"/>
      <c r="AN255" s="78"/>
      <c r="AO255" s="78"/>
    </row>
    <row r="256" spans="1:41" ht="15.6" x14ac:dyDescent="0.35">
      <c r="A256" t="s">
        <v>317</v>
      </c>
      <c r="B256" s="15" t="s">
        <v>23</v>
      </c>
      <c r="N256" s="12" t="s">
        <v>17</v>
      </c>
      <c r="O256" s="1" t="s">
        <v>27</v>
      </c>
      <c r="P256" s="1" t="s">
        <v>33</v>
      </c>
    </row>
    <row r="257" spans="1:41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</row>
    <row r="258" spans="1:41" x14ac:dyDescent="0.3">
      <c r="A258" t="s">
        <v>3</v>
      </c>
      <c r="B258" s="13">
        <v>0</v>
      </c>
      <c r="C258" s="29">
        <f>(C247/$L258)*$O258</f>
        <v>0.22704359805403143</v>
      </c>
      <c r="D258" s="31">
        <f>(D247/$L258)*$O258</f>
        <v>0</v>
      </c>
      <c r="E258" s="31">
        <f>(E247/$L258)*$O258</f>
        <v>0</v>
      </c>
      <c r="F258" s="31">
        <f>(F247/$L258)*$O258</f>
        <v>3.9614377785469029E-2</v>
      </c>
      <c r="G258" s="32">
        <f>(G247/$L258)*$O258</f>
        <v>0</v>
      </c>
      <c r="H258" s="17">
        <f>SUM(C258:G258)</f>
        <v>0.26665797583950046</v>
      </c>
      <c r="I258" s="17">
        <f>C258/H258*100</f>
        <v>85.144124168514409</v>
      </c>
      <c r="J258" s="17">
        <f>SQRT(I258*(100-I258)/(L258-1))</f>
        <v>1.6765643019964909</v>
      </c>
      <c r="K258" s="18">
        <f>100-I258</f>
        <v>14.855875831485591</v>
      </c>
      <c r="L258" s="1">
        <f>H247</f>
        <v>451</v>
      </c>
      <c r="M258">
        <v>0</v>
      </c>
      <c r="N258" s="1">
        <v>255.28</v>
      </c>
      <c r="O258" s="17">
        <f>N258/N263*100</f>
        <v>0.26665797583950046</v>
      </c>
      <c r="P258" s="52">
        <f>((O258*O258*(I258/100)*(K258/100))/(L258-1))</f>
        <v>1.9987090815743516E-5</v>
      </c>
    </row>
    <row r="259" spans="1:41" x14ac:dyDescent="0.3">
      <c r="A259" t="s">
        <v>4</v>
      </c>
      <c r="B259" s="13">
        <v>1</v>
      </c>
      <c r="C259" s="33">
        <f t="shared" ref="C259:G262" si="38">(C248/$L259)*$O259</f>
        <v>0</v>
      </c>
      <c r="D259" s="34">
        <f t="shared" si="38"/>
        <v>1.2496890478336793</v>
      </c>
      <c r="E259" s="19">
        <f t="shared" si="38"/>
        <v>2.2315875854172842E-2</v>
      </c>
      <c r="F259" s="18">
        <f t="shared" si="38"/>
        <v>0</v>
      </c>
      <c r="G259" s="20">
        <f t="shared" si="38"/>
        <v>0</v>
      </c>
      <c r="H259" s="17">
        <f>SUM(C259:G259)</f>
        <v>1.2720049236878521</v>
      </c>
      <c r="I259" s="17">
        <f>D259/H259*100</f>
        <v>98.245614035087726</v>
      </c>
      <c r="J259" s="17">
        <f>SQRT(I259*(100-I259)/(L259-1))</f>
        <v>1.7543859649122773</v>
      </c>
      <c r="K259" s="18">
        <f>100-I259</f>
        <v>1.7543859649122737</v>
      </c>
      <c r="L259" s="1">
        <f>H248</f>
        <v>57</v>
      </c>
      <c r="M259">
        <v>1</v>
      </c>
      <c r="N259" s="1">
        <v>1217.73</v>
      </c>
      <c r="O259" s="17">
        <f>N259/N263*100</f>
        <v>1.2720049236878521</v>
      </c>
      <c r="P259" s="52">
        <f>((O259*O259*(I259/100)*(K259/100))/(L259-1))</f>
        <v>4.9799831513885255E-4</v>
      </c>
      <c r="AN259" s="78"/>
      <c r="AO259" s="78"/>
    </row>
    <row r="260" spans="1:41" x14ac:dyDescent="0.3">
      <c r="A260" t="s">
        <v>5</v>
      </c>
      <c r="B260" s="13">
        <v>2</v>
      </c>
      <c r="C260" s="33">
        <f t="shared" si="38"/>
        <v>0</v>
      </c>
      <c r="D260" s="19">
        <f t="shared" si="38"/>
        <v>0</v>
      </c>
      <c r="E260" s="34">
        <f t="shared" si="38"/>
        <v>60.23637299208761</v>
      </c>
      <c r="F260" s="19">
        <f t="shared" si="38"/>
        <v>8.1842898087075552E-2</v>
      </c>
      <c r="G260" s="20">
        <f t="shared" si="38"/>
        <v>0</v>
      </c>
      <c r="H260" s="17">
        <f>SUM(C260:G260)</f>
        <v>60.318215890174685</v>
      </c>
      <c r="I260" s="17">
        <f>E260/H260*100</f>
        <v>99.864314789687924</v>
      </c>
      <c r="J260" s="17">
        <f>SQRT(I260*(100-I260)/(L260-1))</f>
        <v>0.13568521031207589</v>
      </c>
      <c r="K260" s="18">
        <f>100-I260</f>
        <v>0.13568521031207581</v>
      </c>
      <c r="L260" s="1">
        <f>H249</f>
        <v>737</v>
      </c>
      <c r="M260">
        <v>2</v>
      </c>
      <c r="N260" s="1">
        <v>57744.51</v>
      </c>
      <c r="O260" s="17">
        <f>N260/N263*100</f>
        <v>60.318215890174685</v>
      </c>
      <c r="P260" s="52">
        <f>((O260*O260*(I260/100)*(K260/100))/(L260-1))</f>
        <v>6.6982599672914265E-3</v>
      </c>
    </row>
    <row r="261" spans="1:41" x14ac:dyDescent="0.3">
      <c r="A261" t="s">
        <v>6</v>
      </c>
      <c r="B261" s="13">
        <v>3</v>
      </c>
      <c r="C261" s="33">
        <f t="shared" si="38"/>
        <v>0</v>
      </c>
      <c r="D261" s="19">
        <f t="shared" si="38"/>
        <v>0</v>
      </c>
      <c r="E261" s="19">
        <f t="shared" si="38"/>
        <v>0.16713629913496286</v>
      </c>
      <c r="F261" s="34">
        <f t="shared" si="38"/>
        <v>31.811608935354599</v>
      </c>
      <c r="G261" s="20">
        <f t="shared" si="38"/>
        <v>0.44569679769323428</v>
      </c>
      <c r="H261" s="17">
        <f>SUM(C261:G261)</f>
        <v>32.424442032182796</v>
      </c>
      <c r="I261" s="17">
        <f>F261/H261*100</f>
        <v>98.109965635738831</v>
      </c>
      <c r="J261" s="17">
        <f>SQRT(I261*(100-I261)/(L261-1))</f>
        <v>0.5649413271715471</v>
      </c>
      <c r="K261" s="18">
        <f>100-I261</f>
        <v>1.8900343642611688</v>
      </c>
      <c r="L261" s="1">
        <f>H250</f>
        <v>582</v>
      </c>
      <c r="M261">
        <v>3</v>
      </c>
      <c r="N261" s="1">
        <v>31040.93</v>
      </c>
      <c r="O261" s="17">
        <f>N261/N263*100</f>
        <v>32.424442032182796</v>
      </c>
      <c r="P261" s="52">
        <f>((O261*O261*(I261/100)*(K261/100))/(L261-1))</f>
        <v>3.3554572838108282E-2</v>
      </c>
      <c r="AN261" s="78"/>
      <c r="AO261" s="78"/>
    </row>
    <row r="262" spans="1:41" x14ac:dyDescent="0.3">
      <c r="A262" t="s">
        <v>7</v>
      </c>
      <c r="B262" s="13">
        <v>4</v>
      </c>
      <c r="C262" s="35">
        <f t="shared" si="38"/>
        <v>0</v>
      </c>
      <c r="D262" s="36">
        <f t="shared" si="38"/>
        <v>0.10201806264229224</v>
      </c>
      <c r="E262" s="21">
        <f t="shared" si="38"/>
        <v>7.9347382055116183E-2</v>
      </c>
      <c r="F262" s="21">
        <f t="shared" si="38"/>
        <v>0.19270078499099647</v>
      </c>
      <c r="G262" s="37">
        <f t="shared" si="38"/>
        <v>5.3446129484267546</v>
      </c>
      <c r="H262" s="17">
        <f>SUM(C262:G262)</f>
        <v>5.7186791781151598</v>
      </c>
      <c r="I262" s="17">
        <f>G262/H262*100</f>
        <v>93.458870168483642</v>
      </c>
      <c r="J262" s="17">
        <f>SQRT(I262*(100-I262)/(L262-1))</f>
        <v>0.77876492296262712</v>
      </c>
      <c r="K262" s="18">
        <f>100-I262</f>
        <v>6.5411298315163577</v>
      </c>
      <c r="L262" s="1">
        <f>H251</f>
        <v>1009</v>
      </c>
      <c r="M262">
        <v>4</v>
      </c>
      <c r="N262" s="1">
        <v>5474.67</v>
      </c>
      <c r="O262" s="17">
        <f>N262/N263*100</f>
        <v>5.7186791781151598</v>
      </c>
      <c r="P262" s="52">
        <f>((O262*O262*(I262/100)*(K262/100))/(L262-1))</f>
        <v>1.9833722368668917E-3</v>
      </c>
    </row>
    <row r="263" spans="1:41" x14ac:dyDescent="0.3">
      <c r="B263" t="s">
        <v>28</v>
      </c>
      <c r="C263" s="17">
        <f>SUM(C258:C262)</f>
        <v>0.22704359805403143</v>
      </c>
      <c r="D263" s="17">
        <f>SUM(D258:D262)</f>
        <v>1.3517071104759715</v>
      </c>
      <c r="E263" s="17">
        <f>SUM(E258:E262)</f>
        <v>60.505172549131863</v>
      </c>
      <c r="F263" s="17">
        <f>SUM(F258:F262)</f>
        <v>32.12576699621814</v>
      </c>
      <c r="G263" s="17">
        <f>SUM(G258:G262)</f>
        <v>5.7903097461199886</v>
      </c>
      <c r="H263" s="1">
        <f>SUM(H257:H262)</f>
        <v>100</v>
      </c>
      <c r="I263" s="13" t="s">
        <v>24</v>
      </c>
      <c r="J263" s="12" t="s">
        <v>29</v>
      </c>
      <c r="N263" s="1">
        <f>SUM(N258:N262)</f>
        <v>95733.12000000001</v>
      </c>
      <c r="O263" s="17">
        <f>SUM(O258:O262)</f>
        <v>100</v>
      </c>
      <c r="AM263" s="78"/>
      <c r="AN263" s="78"/>
      <c r="AO263" s="78"/>
    </row>
    <row r="264" spans="1:41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4.4657332590748739E-3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3.2513864415380289E-2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0.12994392840381552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0.20312901132226011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0.16269848021767458</v>
      </c>
      <c r="H264" s="1"/>
      <c r="I264" s="56">
        <f>(C258+D259+E260+F261+G262)/H263</f>
        <v>0.98869327521756678</v>
      </c>
      <c r="J264" s="53">
        <f>SQRT(SUM(P258:P262))/100</f>
        <v>2.0677086460190951E-3</v>
      </c>
      <c r="M264" s="1"/>
      <c r="N264" s="9"/>
    </row>
    <row r="265" spans="1:41" x14ac:dyDescent="0.3">
      <c r="B265" s="1" t="s">
        <v>30</v>
      </c>
      <c r="C265" s="17">
        <f>C258/C263*100</f>
        <v>100</v>
      </c>
      <c r="D265" s="17">
        <f>D259/D263*100</f>
        <v>92.452650292978859</v>
      </c>
      <c r="E265" s="17">
        <f>E260/E263*100</f>
        <v>99.555741194150002</v>
      </c>
      <c r="F265" s="17">
        <f>F261/F263*100</f>
        <v>99.022099422869729</v>
      </c>
      <c r="G265" s="17">
        <f>G262/G263*100</f>
        <v>92.302712337765882</v>
      </c>
      <c r="H265" s="1"/>
      <c r="AM265" s="78"/>
      <c r="AN265" s="78"/>
      <c r="AO265" s="78"/>
    </row>
    <row r="266" spans="1:41" x14ac:dyDescent="0.3">
      <c r="B266" s="16" t="s">
        <v>39</v>
      </c>
      <c r="C266" s="18">
        <f>SQRT((C269+C270)/(C263*C263))</f>
        <v>0</v>
      </c>
      <c r="D266" s="18">
        <f>SQRT((D269+D270)/(D263*D263))</f>
        <v>2.0522859054762637</v>
      </c>
      <c r="E266" s="18">
        <f>SQRT((E269+E270)/(E263*E263))</f>
        <v>0.16646066517572933</v>
      </c>
      <c r="F266" s="18">
        <f>SQRT((F269+F270)/(F263*F263))</f>
        <v>0.27744197828772521</v>
      </c>
      <c r="G266" s="18">
        <f>SQRT((G269+G270)/(G263*G263))</f>
        <v>2.5659795703858044</v>
      </c>
      <c r="H266" s="1"/>
    </row>
    <row r="267" spans="1:41" x14ac:dyDescent="0.3">
      <c r="B267" s="1" t="s">
        <v>37</v>
      </c>
      <c r="C267" s="18">
        <f>100-C265</f>
        <v>0</v>
      </c>
      <c r="D267" s="18">
        <f>100-D265</f>
        <v>7.5473497070211408</v>
      </c>
      <c r="E267" s="18">
        <f>100-E265</f>
        <v>0.44425880584999788</v>
      </c>
      <c r="F267" s="18">
        <f>100-F265</f>
        <v>0.97790057713027068</v>
      </c>
      <c r="G267" s="18">
        <f>100-G265</f>
        <v>7.6972876622341175</v>
      </c>
      <c r="AM267" s="78"/>
      <c r="AN267" s="78"/>
      <c r="AO267" s="78"/>
    </row>
    <row r="268" spans="1:41" ht="15.6" x14ac:dyDescent="0.35">
      <c r="B268" s="1" t="s">
        <v>25</v>
      </c>
      <c r="C268" s="1">
        <f>C252</f>
        <v>384</v>
      </c>
      <c r="D268" s="1">
        <f>D252</f>
        <v>74</v>
      </c>
      <c r="E268" s="1">
        <f>E252</f>
        <v>754</v>
      </c>
      <c r="F268" s="1">
        <f>F252</f>
        <v>673</v>
      </c>
      <c r="G268" s="1">
        <f>G252</f>
        <v>951</v>
      </c>
    </row>
    <row r="269" spans="1:41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2.8367222850953691</v>
      </c>
      <c r="E269" s="18">
        <f>(O260*O260*(100-E265)*(100-E265)*(I260)*(100-I260))/((L260-1)*100)</f>
        <v>0.13220080169560858</v>
      </c>
      <c r="F269" s="18">
        <f>(O261*O261*(100-F265)*(100-F265)*(I261)*(100-I261))/((L261-1)*100)</f>
        <v>3.2087886982365448</v>
      </c>
      <c r="G269" s="18">
        <f>(O262*O262*(100-G265)*(100-G265)*(I262)*(100-I262))/((L262-1)*100)</f>
        <v>11.7511309053567</v>
      </c>
      <c r="AM269" s="78"/>
      <c r="AN269" s="78"/>
      <c r="AO269" s="78"/>
    </row>
    <row r="270" spans="1:41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4.8588499979522677</v>
      </c>
      <c r="E270" s="18">
        <f>E265*E265*(SUM((H258*E258*(1-E247/H247))/(H247-1),(H259*E259*(1-E248/H248))/(H248-1), (H261*E261*(1-E250/H250))/(H250-1),(H262*E262*(1-E251/H251))/(H251-1)))</f>
        <v>101.30756995528657</v>
      </c>
      <c r="F270" s="18">
        <f>F265*F265*(SUM((H258*F258*(1-F247/H247))/(H247-1),(H259*F259*(1-F248/H248))/(H248-1), (H260*F260*(1-F249/H249))/(H249-1),(H262*F262*(1-F251/H251))/(H251-1)))</f>
        <v>76.233428268224856</v>
      </c>
      <c r="G270" s="18">
        <f>G265*G265*(SUM((H258*G258*(1-G247/H247))/(H247-1),(H259*G259*(1-G248/H248))/(H248-1), (H260*G260*(1-G249/H249))/(H249-1),(H261*G261*(1-G250/H250))/(H250-1)))</f>
        <v>209.00358068061237</v>
      </c>
    </row>
    <row r="271" spans="1:41" x14ac:dyDescent="0.3">
      <c r="AM271" s="78"/>
      <c r="AN271" s="78"/>
      <c r="AO271" s="78"/>
    </row>
    <row r="272" spans="1:41" x14ac:dyDescent="0.3">
      <c r="T272" s="2"/>
    </row>
    <row r="273" spans="1:41" x14ac:dyDescent="0.3">
      <c r="A273" s="348" t="s">
        <v>380</v>
      </c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 t="s">
        <v>82</v>
      </c>
      <c r="M273" s="348"/>
      <c r="N273" s="348"/>
      <c r="O273" s="348"/>
      <c r="P273" s="348"/>
      <c r="AM273" s="78"/>
      <c r="AN273" s="78"/>
      <c r="AO273" s="78"/>
    </row>
    <row r="274" spans="1:41" ht="15" thickBot="1" x14ac:dyDescent="0.35">
      <c r="A274" t="s">
        <v>315</v>
      </c>
      <c r="B274" t="s">
        <v>21</v>
      </c>
      <c r="I274" s="1" t="s">
        <v>53</v>
      </c>
      <c r="O274" s="142"/>
      <c r="P274" s="142"/>
      <c r="R274" s="59" t="s">
        <v>73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72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51</v>
      </c>
      <c r="O275" s="13"/>
      <c r="P275" s="13"/>
      <c r="S275" t="s">
        <v>28</v>
      </c>
      <c r="T275" s="57">
        <f t="shared" ref="T275:X276" si="39">AVERAGE(T16,T26,T36,T46,T56)</f>
        <v>0.21256389151023139</v>
      </c>
      <c r="U275" s="57">
        <f t="shared" si="39"/>
        <v>1.3706805680039793</v>
      </c>
      <c r="V275" s="57">
        <f t="shared" si="39"/>
        <v>60.349843014141832</v>
      </c>
      <c r="W275" s="57">
        <f t="shared" si="39"/>
        <v>32.17619628360935</v>
      </c>
      <c r="X275" s="57">
        <f t="shared" si="39"/>
        <v>5.890716242734606</v>
      </c>
      <c r="Z275" s="14">
        <f>AVERAGE(AE16,AE17,AE18,AE19,AE20)</f>
        <v>0.98708300719057329</v>
      </c>
      <c r="AA275" s="72">
        <f>AVERAGE(AF16,AF17,AF18,AF19,AF20)</f>
        <v>2.1824573640087026E-3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387</v>
      </c>
      <c r="D276" s="3">
        <v>0</v>
      </c>
      <c r="E276" s="3">
        <v>0</v>
      </c>
      <c r="F276" s="3">
        <v>64</v>
      </c>
      <c r="G276" s="4">
        <v>0</v>
      </c>
      <c r="H276" s="1">
        <f>SUM(C276:G276)</f>
        <v>451</v>
      </c>
      <c r="I276" s="10">
        <f>C276/H276</f>
        <v>0.85809312638580926</v>
      </c>
      <c r="J276" s="11">
        <f>1-I276</f>
        <v>0.14190687361419074</v>
      </c>
      <c r="K276">
        <f>H276-C281</f>
        <v>64</v>
      </c>
      <c r="N276" s="10">
        <f>2*(C282*I276)/(C282+I276)</f>
        <v>0.92362768496420045</v>
      </c>
      <c r="O276" s="1"/>
      <c r="P276" s="1"/>
      <c r="S276" t="s">
        <v>39</v>
      </c>
      <c r="T276" s="57">
        <f t="shared" si="39"/>
        <v>3.9647201458767895E-3</v>
      </c>
      <c r="U276" s="57">
        <f t="shared" si="39"/>
        <v>3.6748935663143495E-2</v>
      </c>
      <c r="V276" s="57">
        <f t="shared" si="39"/>
        <v>0.13794590203795334</v>
      </c>
      <c r="W276" s="57">
        <f t="shared" si="39"/>
        <v>0.21380950526824288</v>
      </c>
      <c r="X276" s="57">
        <f t="shared" si="39"/>
        <v>0.1712682442559223</v>
      </c>
    </row>
    <row r="277" spans="1:41" x14ac:dyDescent="0.3">
      <c r="A277" t="s">
        <v>4</v>
      </c>
      <c r="B277" s="13">
        <v>1</v>
      </c>
      <c r="C277" s="5">
        <v>0</v>
      </c>
      <c r="D277" s="27">
        <v>55</v>
      </c>
      <c r="E277" s="1">
        <v>2</v>
      </c>
      <c r="F277" s="1">
        <v>0</v>
      </c>
      <c r="G277" s="6">
        <v>0</v>
      </c>
      <c r="H277" s="1">
        <f>SUM(C277:G277)</f>
        <v>57</v>
      </c>
      <c r="I277" s="10">
        <f>D277/H277</f>
        <v>0.96491228070175439</v>
      </c>
      <c r="J277" s="11">
        <f>1-I277</f>
        <v>3.5087719298245612E-2</v>
      </c>
      <c r="K277">
        <f>H277-D281</f>
        <v>-10</v>
      </c>
      <c r="N277" s="10">
        <f>2*(D282*I277)/(D282+I277)</f>
        <v>0.88709677419354838</v>
      </c>
      <c r="O277" s="1"/>
      <c r="P277" s="1"/>
      <c r="S277" s="66" t="s">
        <v>60</v>
      </c>
      <c r="T277" s="67">
        <f>1.96*T276</f>
        <v>7.7708514859185073E-3</v>
      </c>
      <c r="U277" s="67">
        <f>1.96*U276</f>
        <v>7.2027913899761251E-2</v>
      </c>
      <c r="V277" s="67">
        <f>1.96*V276</f>
        <v>0.27037396799438856</v>
      </c>
      <c r="W277" s="67">
        <f>1.96*W276</f>
        <v>0.41906663032575603</v>
      </c>
      <c r="X277" s="67">
        <f>1.96*X276</f>
        <v>0.33568575874160772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0</v>
      </c>
      <c r="E278" s="27">
        <v>736</v>
      </c>
      <c r="F278" s="1">
        <v>1</v>
      </c>
      <c r="G278" s="6">
        <v>0</v>
      </c>
      <c r="H278" s="1">
        <f>SUM(C278:G278)</f>
        <v>737</v>
      </c>
      <c r="I278" s="10">
        <f>E278/H278</f>
        <v>0.99864314789687925</v>
      </c>
      <c r="J278" s="11">
        <f>1-I278</f>
        <v>1.3568521031207537E-3</v>
      </c>
      <c r="K278">
        <f>H278-E281</f>
        <v>-16</v>
      </c>
      <c r="N278" s="10">
        <f>2*(E282*I278)/(E282+I278)</f>
        <v>0.98791946308724843</v>
      </c>
      <c r="O278" s="1"/>
      <c r="P278" s="1"/>
      <c r="S278" t="s">
        <v>30</v>
      </c>
      <c r="T278" s="57">
        <f t="shared" ref="T278:X279" si="40">AVERAGE(T18,T28,T38,T48,T58)</f>
        <v>100</v>
      </c>
      <c r="U278" s="57">
        <f t="shared" si="40"/>
        <v>92.059439002022017</v>
      </c>
      <c r="V278" s="57">
        <f t="shared" si="40"/>
        <v>99.460135288650889</v>
      </c>
      <c r="W278" s="57">
        <f t="shared" si="40"/>
        <v>98.868615958237228</v>
      </c>
      <c r="X278" s="57">
        <f t="shared" si="40"/>
        <v>91.663505639204374</v>
      </c>
    </row>
    <row r="279" spans="1:41" x14ac:dyDescent="0.3">
      <c r="A279" t="s">
        <v>6</v>
      </c>
      <c r="B279" s="13">
        <v>3</v>
      </c>
      <c r="C279" s="5">
        <v>0</v>
      </c>
      <c r="D279" s="1">
        <v>0</v>
      </c>
      <c r="E279" s="1">
        <v>4</v>
      </c>
      <c r="F279" s="27">
        <v>567</v>
      </c>
      <c r="G279" s="6">
        <v>11</v>
      </c>
      <c r="H279" s="1">
        <f>SUM(C279:G279)</f>
        <v>582</v>
      </c>
      <c r="I279" s="10">
        <f>F279/H279</f>
        <v>0.97422680412371132</v>
      </c>
      <c r="J279" s="11">
        <f>1-I279</f>
        <v>2.5773195876288679E-2</v>
      </c>
      <c r="K279">
        <f>H279-F281</f>
        <v>-103</v>
      </c>
      <c r="N279" s="10">
        <f>2*(F282*I279)/(F282+I279)</f>
        <v>0.8950276243093922</v>
      </c>
      <c r="O279" s="1"/>
      <c r="P279" s="1"/>
      <c r="S279" t="s">
        <v>39</v>
      </c>
      <c r="T279" s="57">
        <f t="shared" si="40"/>
        <v>0</v>
      </c>
      <c r="U279" s="57">
        <f t="shared" si="40"/>
        <v>2.3915566468563929</v>
      </c>
      <c r="V279" s="57">
        <f t="shared" si="40"/>
        <v>0.18357079746165911</v>
      </c>
      <c r="W279" s="57">
        <f t="shared" si="40"/>
        <v>0.28401095105209756</v>
      </c>
      <c r="X279" s="57">
        <f t="shared" si="40"/>
        <v>2.6476127157079707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12</v>
      </c>
      <c r="E280" s="8">
        <v>11</v>
      </c>
      <c r="F280" s="8">
        <v>53</v>
      </c>
      <c r="G280" s="28">
        <v>933</v>
      </c>
      <c r="H280" s="1">
        <f>SUM(C280:G280)</f>
        <v>1009</v>
      </c>
      <c r="I280" s="10">
        <f>G280/H280</f>
        <v>0.92467789890981167</v>
      </c>
      <c r="J280" s="11">
        <f>1-I280</f>
        <v>7.5322101090188331E-2</v>
      </c>
      <c r="K280">
        <f>H280-G281</f>
        <v>65</v>
      </c>
      <c r="N280" s="10">
        <f>2*(G282*I280)/(G282+I280)</f>
        <v>0.955453149001536</v>
      </c>
      <c r="O280" s="1"/>
      <c r="P280" s="1"/>
      <c r="S280" s="66" t="s">
        <v>60</v>
      </c>
      <c r="T280" s="67">
        <f>1.96*T279</f>
        <v>0</v>
      </c>
      <c r="U280" s="67">
        <f>1.96*U279</f>
        <v>4.68745102783853</v>
      </c>
      <c r="V280" s="67">
        <f>1.96*V279</f>
        <v>0.35979876302485186</v>
      </c>
      <c r="W280" s="67">
        <f>1.96*W279</f>
        <v>0.55666146406211126</v>
      </c>
      <c r="X280" s="67">
        <f>1.96*X279</f>
        <v>5.1893209227876227</v>
      </c>
    </row>
    <row r="281" spans="1:41" ht="15.6" x14ac:dyDescent="0.35">
      <c r="B281" s="1" t="s">
        <v>19</v>
      </c>
      <c r="C281" s="1">
        <f>SUM(C276:C280)</f>
        <v>387</v>
      </c>
      <c r="D281" s="1">
        <f>SUM(D276:D280)</f>
        <v>67</v>
      </c>
      <c r="E281" s="1">
        <f>SUM(E276:E280)</f>
        <v>753</v>
      </c>
      <c r="F281" s="1">
        <f>SUM(F276:F280)</f>
        <v>685</v>
      </c>
      <c r="G281" s="1">
        <f>SUM(G276:G280)</f>
        <v>944</v>
      </c>
      <c r="H281" s="1">
        <f>SUM(H275:H280)</f>
        <v>2836</v>
      </c>
      <c r="I281" s="13" t="s">
        <v>12</v>
      </c>
      <c r="N281" s="16"/>
      <c r="O281" s="1"/>
      <c r="P281" s="1"/>
      <c r="S281" t="s">
        <v>31</v>
      </c>
      <c r="T281" s="57">
        <f t="shared" ref="T281:X282" si="41">AVERAGE(T20,T30,T40,T50,T60)</f>
        <v>85.676274944567609</v>
      </c>
      <c r="U281" s="57">
        <f t="shared" si="41"/>
        <v>97.192982456140356</v>
      </c>
      <c r="V281" s="57">
        <f t="shared" si="41"/>
        <v>99.864314789687924</v>
      </c>
      <c r="W281" s="57">
        <f t="shared" si="41"/>
        <v>97.869415807560131</v>
      </c>
      <c r="X281" s="57">
        <f t="shared" si="41"/>
        <v>92.368681863230918</v>
      </c>
      <c r="AM281" s="78"/>
      <c r="AN281" s="78"/>
      <c r="AO281" s="78"/>
    </row>
    <row r="282" spans="1:41" x14ac:dyDescent="0.3">
      <c r="A282" s="1" t="s">
        <v>316</v>
      </c>
      <c r="B282" s="1" t="s">
        <v>2</v>
      </c>
      <c r="C282" s="10">
        <f>C276/C281</f>
        <v>1</v>
      </c>
      <c r="D282" s="10">
        <f>D277/D281</f>
        <v>0.82089552238805974</v>
      </c>
      <c r="E282" s="10">
        <f>E278/E281</f>
        <v>0.97742363877822047</v>
      </c>
      <c r="F282" s="10">
        <f>F279/F281</f>
        <v>0.82773722627737223</v>
      </c>
      <c r="G282" s="10">
        <f>G280/G281</f>
        <v>0.98834745762711862</v>
      </c>
      <c r="H282" s="10"/>
      <c r="I282" s="14">
        <f>(C276+D277+E278+F279+G280)/H281</f>
        <v>0.94428772919605075</v>
      </c>
      <c r="S282" t="s">
        <v>39</v>
      </c>
      <c r="T282" s="57">
        <f t="shared" si="41"/>
        <v>1.5878416962177138</v>
      </c>
      <c r="U282" s="57">
        <f t="shared" si="41"/>
        <v>2.1411824228052607</v>
      </c>
      <c r="V282" s="57">
        <f t="shared" si="41"/>
        <v>0.13568521031207589</v>
      </c>
      <c r="W282" s="57">
        <f t="shared" si="41"/>
        <v>0.59757636799363811</v>
      </c>
      <c r="X282" s="57">
        <f t="shared" si="41"/>
        <v>0.8332152512143608</v>
      </c>
    </row>
    <row r="283" spans="1:41" x14ac:dyDescent="0.3">
      <c r="B283" s="1" t="s">
        <v>14</v>
      </c>
      <c r="C283" s="11">
        <f>1-C282</f>
        <v>0</v>
      </c>
      <c r="D283" s="11">
        <f>1-D282</f>
        <v>0.17910447761194026</v>
      </c>
      <c r="E283" s="11">
        <f>1-E282</f>
        <v>2.2576361221779528E-2</v>
      </c>
      <c r="F283" s="11">
        <f>1-F282</f>
        <v>0.17226277372262777</v>
      </c>
      <c r="G283" s="11">
        <f>1-G282</f>
        <v>1.165254237288138E-2</v>
      </c>
      <c r="S283" s="66" t="s">
        <v>60</v>
      </c>
      <c r="T283" s="67">
        <f>1.96*T282</f>
        <v>3.1121697245867188</v>
      </c>
      <c r="U283" s="67">
        <f>1.96*U282</f>
        <v>4.1967175486983113</v>
      </c>
      <c r="V283" s="67">
        <f>1.96*V282</f>
        <v>0.26594301221166877</v>
      </c>
      <c r="W283" s="67">
        <f>1.96*W282</f>
        <v>1.1712496812675306</v>
      </c>
      <c r="X283" s="67">
        <f>1.96*X282</f>
        <v>1.633101892380147</v>
      </c>
      <c r="AM283" s="78"/>
      <c r="AN283" s="78"/>
      <c r="AO283" s="78"/>
    </row>
    <row r="284" spans="1:41" x14ac:dyDescent="0.3">
      <c r="C284" s="2"/>
      <c r="S284" t="s">
        <v>51</v>
      </c>
      <c r="T284" s="57">
        <f>AVERAGE(T22,T32,T42,T52,T62)</f>
        <v>92.148980786062268</v>
      </c>
      <c r="U284" s="57">
        <f>AVERAGE(U22,U32,U42,U52,U62)</f>
        <v>84.697638540796447</v>
      </c>
      <c r="V284" s="57">
        <f>AVERAGE(V22,V32,V42,V52,V62)</f>
        <v>98.557130357592854</v>
      </c>
      <c r="W284" s="57">
        <f>AVERAGE(W22,W32,W42,W52,W62)</f>
        <v>90.494919602869004</v>
      </c>
      <c r="X284" s="57">
        <f>AVERAGE(X22,X32,X42,X52,X62)</f>
        <v>95.595533154804144</v>
      </c>
    </row>
    <row r="285" spans="1:41" ht="15.6" x14ac:dyDescent="0.35">
      <c r="A285" t="s">
        <v>317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4.2986984647830342</v>
      </c>
      <c r="U285" s="57">
        <f>_xlfn.STDEV.S(U22,U32,U42,U52,U62)</f>
        <v>6.7613837072166643</v>
      </c>
      <c r="V285" s="57">
        <f>_xlfn.STDEV.S(V22,V32,V42,V52,V62)</f>
        <v>0.63628635777892195</v>
      </c>
      <c r="W285" s="57">
        <f>_xlfn.STDEV.S(W22,W32,W42,W52,W62)</f>
        <v>2.8005107889827028</v>
      </c>
      <c r="X285" s="57">
        <f>_xlfn.STDEV.S(X22,X32,X42,X52,X62)</f>
        <v>0.72266885609970877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60</v>
      </c>
      <c r="T286" s="67">
        <f>1.96*T285</f>
        <v>8.425448990974747</v>
      </c>
      <c r="U286" s="67">
        <f>1.96*U285</f>
        <v>13.252312066144661</v>
      </c>
      <c r="V286" s="67">
        <f>1.96*V285</f>
        <v>1.2471212612466871</v>
      </c>
      <c r="W286" s="67">
        <f>1.96*W285</f>
        <v>5.489001146406097</v>
      </c>
      <c r="X286" s="67">
        <f>1.96*X285</f>
        <v>1.4164309579554291</v>
      </c>
    </row>
    <row r="287" spans="1:41" x14ac:dyDescent="0.3">
      <c r="A287" t="s">
        <v>3</v>
      </c>
      <c r="B287" s="13">
        <v>0</v>
      </c>
      <c r="C287" s="29">
        <f>(C276/$L287)*$O287</f>
        <v>0.19162825814848233</v>
      </c>
      <c r="D287" s="31">
        <f>(D276/$L287)*$O287</f>
        <v>0</v>
      </c>
      <c r="E287" s="31">
        <f>(E276/$L287)*$O287</f>
        <v>0</v>
      </c>
      <c r="F287" s="31">
        <f>(F276/$L287)*$O287</f>
        <v>3.1690461295873044E-2</v>
      </c>
      <c r="G287" s="32">
        <f>(G276/$L287)*$O287</f>
        <v>0</v>
      </c>
      <c r="H287" s="17">
        <f>SUM(C287:G287)</f>
        <v>0.22331871944435538</v>
      </c>
      <c r="I287" s="17">
        <f>C287/H287*100</f>
        <v>85.80931263858092</v>
      </c>
      <c r="J287" s="17">
        <f>SQRT(I287*(100-I287)/(L287-1))</f>
        <v>1.644987759733163</v>
      </c>
      <c r="K287" s="18">
        <f>100-I287</f>
        <v>14.19068736141908</v>
      </c>
      <c r="L287" s="1">
        <f>H276</f>
        <v>451</v>
      </c>
      <c r="M287">
        <v>0</v>
      </c>
      <c r="N287" s="1">
        <v>213.79</v>
      </c>
      <c r="O287" s="17">
        <f>N287/N292*100</f>
        <v>0.22331871944435538</v>
      </c>
      <c r="P287" s="52">
        <f>((O287*O287*(I287/100)*(K287/100))/(L287-1))</f>
        <v>1.3495084217889006E-5</v>
      </c>
      <c r="R287" s="16" t="s">
        <v>70</v>
      </c>
      <c r="S287" t="s">
        <v>9</v>
      </c>
      <c r="T287" s="57">
        <f>AVERAGE(T23,T33,T43,T53,T63)</f>
        <v>237.964</v>
      </c>
      <c r="U287" s="57">
        <f>AVERAGE(U23,U33,U43,U53,U63)</f>
        <v>1241.268</v>
      </c>
      <c r="V287" s="57">
        <f>AVERAGE(V23,V33,V43,V53,V63)</f>
        <v>57540.878000000004</v>
      </c>
      <c r="W287" s="57">
        <f>AVERAGE(W23,W33,W43,W53,W63)</f>
        <v>31117.620000000003</v>
      </c>
      <c r="X287" s="57">
        <f>AVERAGE(X23,X33,X43,X53,X63)</f>
        <v>5595.3959999999997</v>
      </c>
      <c r="Z287" t="s">
        <v>36</v>
      </c>
      <c r="AA287" s="57">
        <f>AVERAGE(AA23,AA33,AA43,AA53,AA63)</f>
        <v>95733.126000000004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42">(C277/$L288)*$O288</f>
        <v>0</v>
      </c>
      <c r="D288" s="34">
        <f t="shared" si="42"/>
        <v>1.064342166787442</v>
      </c>
      <c r="E288" s="19">
        <f t="shared" si="42"/>
        <v>3.8703351519543343E-2</v>
      </c>
      <c r="F288" s="18">
        <f t="shared" si="42"/>
        <v>0</v>
      </c>
      <c r="G288" s="20">
        <f t="shared" si="42"/>
        <v>0</v>
      </c>
      <c r="H288" s="17">
        <f>SUM(C288:G288)</f>
        <v>1.1030455183069854</v>
      </c>
      <c r="I288" s="17">
        <f>D288/H288*100</f>
        <v>96.491228070175438</v>
      </c>
      <c r="J288" s="17">
        <f>SQRT(I288*(100-I288)/(L288-1))</f>
        <v>2.4588241692166148</v>
      </c>
      <c r="K288" s="18">
        <f>100-I288</f>
        <v>3.5087719298245617</v>
      </c>
      <c r="L288" s="1">
        <f>H277</f>
        <v>57</v>
      </c>
      <c r="M288">
        <v>1</v>
      </c>
      <c r="N288" s="1">
        <v>1055.98</v>
      </c>
      <c r="O288" s="17">
        <f>N288/N292*100</f>
        <v>1.1030455183069854</v>
      </c>
      <c r="P288" s="52">
        <f>((O288*O288*(I288/100)*(K288/100))/(L288-1))</f>
        <v>7.3560016104012166E-4</v>
      </c>
      <c r="S288" t="s">
        <v>29</v>
      </c>
      <c r="T288" s="57">
        <f>_xlfn.STDEV.S(T23,T33,T43,T53,T63)</f>
        <v>9.8763672471207702</v>
      </c>
      <c r="U288" s="57">
        <f>_xlfn.STDEV.S(U23,U33,U43,U53,U63)</f>
        <v>126.1924798472556</v>
      </c>
      <c r="V288" s="57">
        <f>_xlfn.STDEV.S(V23,V33,V43,V53,V63)</f>
        <v>97.697179181387199</v>
      </c>
      <c r="W288" s="57">
        <f>_xlfn.STDEV.S(W23,W33,W43,W53,W63)</f>
        <v>97.833315388982001</v>
      </c>
      <c r="X288" s="57">
        <f>_xlfn.STDEV.S(X23,X33,X43,X53,X63)</f>
        <v>71.562025055192436</v>
      </c>
      <c r="Z288" t="s">
        <v>29</v>
      </c>
      <c r="AA288" s="57">
        <f>_xlfn.STDEV.S(AA23,AA33,AA43,AA53,AA63)</f>
        <v>5.4772255774959214E-3</v>
      </c>
    </row>
    <row r="289" spans="1:41" x14ac:dyDescent="0.3">
      <c r="A289" t="s">
        <v>5</v>
      </c>
      <c r="B289" s="13">
        <v>2</v>
      </c>
      <c r="C289" s="33">
        <f t="shared" si="42"/>
        <v>0</v>
      </c>
      <c r="D289" s="19">
        <f t="shared" si="42"/>
        <v>0</v>
      </c>
      <c r="E289" s="34">
        <f t="shared" si="42"/>
        <v>60.438154242624258</v>
      </c>
      <c r="F289" s="19">
        <f t="shared" si="42"/>
        <v>8.2117057394869908E-2</v>
      </c>
      <c r="G289" s="20">
        <f t="shared" si="42"/>
        <v>0</v>
      </c>
      <c r="H289" s="17">
        <f>SUM(C289:G289)</f>
        <v>60.520271300019125</v>
      </c>
      <c r="I289" s="17">
        <f>E289/H289*100</f>
        <v>99.864314789687924</v>
      </c>
      <c r="J289" s="17">
        <f>SQRT(I289*(100-I289)/(L289-1))</f>
        <v>0.13568521031207589</v>
      </c>
      <c r="K289" s="18">
        <f>100-I289</f>
        <v>0.13568521031207581</v>
      </c>
      <c r="L289" s="1">
        <f>H278</f>
        <v>737</v>
      </c>
      <c r="M289">
        <v>2</v>
      </c>
      <c r="N289" s="1">
        <v>57937.95</v>
      </c>
      <c r="O289" s="17">
        <f>N289/N292*100</f>
        <v>60.520271300019125</v>
      </c>
      <c r="P289" s="52">
        <f>((O289*O289*(I289/100)*(K289/100))/(L289-1))</f>
        <v>6.7432111151923494E-3</v>
      </c>
      <c r="S289" t="s">
        <v>60</v>
      </c>
      <c r="T289" s="57">
        <f>1.96*T288</f>
        <v>19.35767980435671</v>
      </c>
      <c r="U289" s="57">
        <f>1.96*U288</f>
        <v>247.33726050062097</v>
      </c>
      <c r="V289" s="57">
        <f>1.96*V288</f>
        <v>191.4864711955189</v>
      </c>
      <c r="W289" s="57">
        <f>1.96*W288</f>
        <v>191.75329816240472</v>
      </c>
      <c r="X289" s="57">
        <f>1.96*X288</f>
        <v>140.26156910817718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42"/>
        <v>0</v>
      </c>
      <c r="D290" s="19">
        <f t="shared" si="42"/>
        <v>0</v>
      </c>
      <c r="E290" s="19">
        <f t="shared" si="42"/>
        <v>0.22189002703790958</v>
      </c>
      <c r="F290" s="34">
        <f t="shared" si="42"/>
        <v>31.452911332623685</v>
      </c>
      <c r="G290" s="20">
        <f t="shared" si="42"/>
        <v>0.61019757435425137</v>
      </c>
      <c r="H290" s="17">
        <f>SUM(C290:G290)</f>
        <v>32.284998934015846</v>
      </c>
      <c r="I290" s="17">
        <f>F290/H290*100</f>
        <v>97.422680412371136</v>
      </c>
      <c r="J290" s="17">
        <f>SQRT(I290*(100-I290)/(L290-1))</f>
        <v>0.65739456332296642</v>
      </c>
      <c r="K290" s="18">
        <f>100-I290</f>
        <v>2.5773195876288639</v>
      </c>
      <c r="L290" s="1">
        <f>H279</f>
        <v>582</v>
      </c>
      <c r="M290">
        <v>3</v>
      </c>
      <c r="N290" s="1">
        <v>30907.439999999999</v>
      </c>
      <c r="O290" s="17">
        <f>N290/N292*100</f>
        <v>32.284998934015846</v>
      </c>
      <c r="P290" s="52">
        <f>((O290*O290*(I290/100)*(K290/100))/(L290-1))</f>
        <v>4.5045744488060473E-2</v>
      </c>
      <c r="R290" s="16" t="s">
        <v>69</v>
      </c>
      <c r="S290" t="s">
        <v>9</v>
      </c>
      <c r="T290" s="57">
        <f>AVERAGE(T24,T34,T44,T54,T64)</f>
        <v>203.49405764966744</v>
      </c>
      <c r="U290" s="57">
        <f>AVERAGE(U24,U34,U44,U54,U64)</f>
        <v>1312.1953522507954</v>
      </c>
      <c r="V290" s="57">
        <f>AVERAGE(V24,V34,V44,V54,V64)</f>
        <v>57774.791251101953</v>
      </c>
      <c r="W290" s="57">
        <f>AVERAGE(W24,W34,W44,W54,W64)</f>
        <v>30803.27853449923</v>
      </c>
      <c r="X290" s="57">
        <f>AVERAGE(X24,X34,X44,X54,X64)</f>
        <v>5639.3668044983469</v>
      </c>
      <c r="Z290" t="s">
        <v>36</v>
      </c>
      <c r="AA290" s="24">
        <f>SUM(T290:X290)</f>
        <v>95733.126000000004</v>
      </c>
    </row>
    <row r="291" spans="1:41" x14ac:dyDescent="0.3">
      <c r="A291" t="s">
        <v>7</v>
      </c>
      <c r="B291" s="13">
        <v>4</v>
      </c>
      <c r="C291" s="35">
        <f t="shared" si="42"/>
        <v>0</v>
      </c>
      <c r="D291" s="36">
        <f t="shared" si="42"/>
        <v>6.9792256034255998E-2</v>
      </c>
      <c r="E291" s="21">
        <f t="shared" si="42"/>
        <v>6.3976234698067999E-2</v>
      </c>
      <c r="F291" s="21">
        <f t="shared" si="42"/>
        <v>0.30824913081796401</v>
      </c>
      <c r="G291" s="37">
        <f t="shared" si="42"/>
        <v>5.4263479066634037</v>
      </c>
      <c r="H291" s="17">
        <f>SUM(C291:G291)</f>
        <v>5.8683655282136922</v>
      </c>
      <c r="I291" s="17">
        <f>G291/H291*100</f>
        <v>92.467789890981166</v>
      </c>
      <c r="J291" s="17">
        <f>SQRT(I291*(100-I291)/(L291-1))</f>
        <v>0.83123952539973922</v>
      </c>
      <c r="K291" s="18">
        <f>100-I291</f>
        <v>7.532210109018834</v>
      </c>
      <c r="L291" s="1">
        <f>H280</f>
        <v>1009</v>
      </c>
      <c r="M291">
        <v>4</v>
      </c>
      <c r="N291" s="1">
        <v>5617.97</v>
      </c>
      <c r="O291" s="17">
        <f>N291/N292*100</f>
        <v>5.8683655282136922</v>
      </c>
      <c r="P291" s="52">
        <f>((O291*O291*(I291/100)*(K291/100))/(L291-1))</f>
        <v>2.3795053525870473E-3</v>
      </c>
      <c r="S291" t="s">
        <v>29</v>
      </c>
      <c r="T291" s="57">
        <f>_xlfn.STDEV.S(T24,T34,T44,T54,T64)</f>
        <v>13.498736396226763</v>
      </c>
      <c r="U291" s="57">
        <f>_xlfn.STDEV.S(U24,U34,U44,U54,U64)</f>
        <v>142.40386538255109</v>
      </c>
      <c r="V291" s="57">
        <f>_xlfn.STDEV.S(V24,V34,V44,V54,V64)</f>
        <v>135.82681666987824</v>
      </c>
      <c r="W291" s="57">
        <f>_xlfn.STDEV.S(W24,W34,W44,W54,W64)</f>
        <v>168.58425240838213</v>
      </c>
      <c r="X291" s="57">
        <f>_xlfn.STDEV.S(X24,X34,X44,X54,X64)</f>
        <v>146.677732497211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0.19162825814848233</v>
      </c>
      <c r="D292" s="17">
        <f>SUM(D287:D291)</f>
        <v>1.1341344228216981</v>
      </c>
      <c r="E292" s="17">
        <f>SUM(E287:E291)</f>
        <v>60.762723855879777</v>
      </c>
      <c r="F292" s="17">
        <f>SUM(F287:F291)</f>
        <v>31.874967982132389</v>
      </c>
      <c r="G292" s="17">
        <f>SUM(G287:G291)</f>
        <v>6.0365454810176553</v>
      </c>
      <c r="H292" s="1">
        <f>SUM(H286:H291)</f>
        <v>100</v>
      </c>
      <c r="I292" s="13" t="s">
        <v>24</v>
      </c>
      <c r="J292" s="12" t="s">
        <v>29</v>
      </c>
      <c r="N292" s="1">
        <f>SUM(N287:N291)</f>
        <v>95733.12999999999</v>
      </c>
      <c r="O292" s="17">
        <f>SUM(O287:O291)</f>
        <v>100</v>
      </c>
      <c r="S292" s="66" t="s">
        <v>60</v>
      </c>
      <c r="T292" s="67">
        <f>1.96*T291</f>
        <v>26.457523336604453</v>
      </c>
      <c r="U292" s="67">
        <f>1.96*U291</f>
        <v>279.11157614980016</v>
      </c>
      <c r="V292" s="67">
        <f>1.96*V291</f>
        <v>266.22056067296137</v>
      </c>
      <c r="W292" s="67">
        <f>1.96*W291</f>
        <v>330.42513472042896</v>
      </c>
      <c r="X292" s="67">
        <f>1.96*X291</f>
        <v>287.48835569453354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3.6694906508226198E-3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3.3522837497042768E-2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0.14159444429071463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0.23111574278555566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0.18864404266855658</v>
      </c>
      <c r="H293" s="1"/>
      <c r="I293" s="56">
        <f>(C287+D288+E289+F290+G291)/H292</f>
        <v>0.98573383906847278</v>
      </c>
      <c r="J293" s="53">
        <f>SQRT(SUM(P287:P291))/100</f>
        <v>2.343449513027705E-3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100</v>
      </c>
      <c r="D294" s="17">
        <f>D288/D292*100</f>
        <v>93.846209529500499</v>
      </c>
      <c r="E294" s="17">
        <f>E289/E292*100</f>
        <v>99.465840909263136</v>
      </c>
      <c r="F294" s="17">
        <f>F290/F292*100</f>
        <v>98.675899377388276</v>
      </c>
      <c r="G294" s="17">
        <f>G291/G292*100</f>
        <v>89.891609758046869</v>
      </c>
      <c r="H294" s="1"/>
    </row>
    <row r="295" spans="1:41" x14ac:dyDescent="0.3">
      <c r="B295" s="16" t="s">
        <v>39</v>
      </c>
      <c r="C295" s="18">
        <f>SQRT((C298+C299)/(C292*C292))</f>
        <v>0</v>
      </c>
      <c r="D295" s="18">
        <f>SQRT((D298+D299)/(D292*D292))</f>
        <v>2.2169085776090673</v>
      </c>
      <c r="E295" s="18">
        <f>SQRT((E298+E299)/(E292*E292))</f>
        <v>0.1892696733827603</v>
      </c>
      <c r="F295" s="18">
        <f>SQRT((F298+F299)/(F292*F292))</f>
        <v>0.298027794451388</v>
      </c>
      <c r="G295" s="18">
        <f>SQRT((G298+G299)/(G292*G292))</f>
        <v>2.8362042075498191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0</v>
      </c>
      <c r="D296" s="18">
        <f>100-D294</f>
        <v>6.1537904704995015</v>
      </c>
      <c r="E296" s="18">
        <f>100-E294</f>
        <v>0.53415909073686407</v>
      </c>
      <c r="F296" s="18">
        <f>100-F294</f>
        <v>1.3241006226117236</v>
      </c>
      <c r="G296" s="18">
        <f>100-G294</f>
        <v>10.108390241953131</v>
      </c>
    </row>
    <row r="297" spans="1:41" ht="15.6" x14ac:dyDescent="0.35">
      <c r="B297" s="1" t="s">
        <v>25</v>
      </c>
      <c r="C297" s="1">
        <f>C281</f>
        <v>387</v>
      </c>
      <c r="D297" s="1">
        <f>D281</f>
        <v>67</v>
      </c>
      <c r="E297" s="1">
        <f>E281</f>
        <v>753</v>
      </c>
      <c r="F297" s="1">
        <f>F281</f>
        <v>685</v>
      </c>
      <c r="G297" s="1">
        <f>G281</f>
        <v>944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2.785654338952904</v>
      </c>
      <c r="E298" s="18">
        <f>(O289*O289*(100-E294)*(100-E294)*(I289)*(100-I289))/((L289-1)*100)</f>
        <v>0.19240130110635922</v>
      </c>
      <c r="F298" s="18">
        <f>(O290*O290*(100-F294)*(100-F294)*(I290)*(100-I290))/((L290-1)*100)</f>
        <v>7.8976111824757673</v>
      </c>
      <c r="G298" s="18">
        <f>(O291*O291*(100-G294)*(100-G294)*(I291)*(100-I291))/((L291-1)*100)</f>
        <v>24.313679396331118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3.5359110110296674</v>
      </c>
      <c r="E299" s="18">
        <f>E294*E294*(SUM((H287*E287*(1-E276/H276))/(H276-1),(H288*E288*(1-E277/H277))/(H277-1), (H290*E290*(1-E279/H279))/(H279-1),(H291*E291*(1-E280/H280))/(H280-1)))</f>
        <v>132.07003964659646</v>
      </c>
      <c r="F299" s="18">
        <f>F294*F294*(SUM((H287*F287*(1-F276/H276))/(H276-1),(H288*F288*(1-F277/H277))/(H277-1), (H289*F289*(1-F278/H278))/(H278-1),(H291*F291*(1-F280/H280))/(H280-1)))</f>
        <v>82.345290669643759</v>
      </c>
      <c r="G299" s="18">
        <f>G294*G294*(SUM((H287*G287*(1-G276/H276))/(H276-1),(H288*G288*(1-G277/H277))/(H277-1), (H289*G289*(1-G278/H278))/(H278-1),(H290*G290*(1-G279/H279))/(H279-1)))</f>
        <v>268.81070507582081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48" t="s">
        <v>380</v>
      </c>
      <c r="B302" s="348"/>
      <c r="C302" s="348"/>
      <c r="D302" s="348"/>
      <c r="E302" s="348"/>
      <c r="F302" s="348"/>
      <c r="G302" s="348"/>
      <c r="H302" s="348"/>
      <c r="I302" s="348"/>
      <c r="J302" s="348"/>
      <c r="K302" s="348"/>
      <c r="L302" s="348" t="s">
        <v>83</v>
      </c>
      <c r="M302" s="348"/>
      <c r="N302" s="348"/>
      <c r="O302" s="348"/>
      <c r="P302" s="348"/>
    </row>
    <row r="303" spans="1:41" x14ac:dyDescent="0.3">
      <c r="A303" t="s">
        <v>315</v>
      </c>
      <c r="B303" t="s">
        <v>21</v>
      </c>
      <c r="I303" s="1" t="s">
        <v>53</v>
      </c>
      <c r="O303" s="142"/>
      <c r="P303" s="142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51</v>
      </c>
      <c r="O304" s="13"/>
      <c r="P304" s="13"/>
    </row>
    <row r="305" spans="1:41" x14ac:dyDescent="0.3">
      <c r="A305" t="s">
        <v>3</v>
      </c>
      <c r="B305" s="13">
        <v>0</v>
      </c>
      <c r="C305" s="26">
        <v>383</v>
      </c>
      <c r="D305" s="3">
        <v>0</v>
      </c>
      <c r="E305" s="3">
        <v>0</v>
      </c>
      <c r="F305" s="3">
        <v>68</v>
      </c>
      <c r="G305" s="4">
        <v>0</v>
      </c>
      <c r="H305" s="1">
        <f>SUM(C305:G305)</f>
        <v>451</v>
      </c>
      <c r="I305" s="10">
        <f>C305/H305</f>
        <v>0.84922394678492241</v>
      </c>
      <c r="J305" s="11">
        <f>1-I305</f>
        <v>0.15077605321507759</v>
      </c>
      <c r="K305">
        <f>H305-C310</f>
        <v>68</v>
      </c>
      <c r="N305" s="10">
        <f>2*(C311*I305)/(C311+I305)</f>
        <v>0.91846522781774587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55</v>
      </c>
      <c r="E306" s="1">
        <v>2</v>
      </c>
      <c r="F306" s="1">
        <v>0</v>
      </c>
      <c r="G306" s="6">
        <v>0</v>
      </c>
      <c r="H306" s="1">
        <f>SUM(C306:G306)</f>
        <v>57</v>
      </c>
      <c r="I306" s="10">
        <f>D306/H306</f>
        <v>0.96491228070175439</v>
      </c>
      <c r="J306" s="11">
        <f>1-I306</f>
        <v>3.5087719298245612E-2</v>
      </c>
      <c r="K306">
        <f>H306-D310</f>
        <v>-11</v>
      </c>
      <c r="N306" s="10">
        <f>2*(D311*I306)/(D311+I306)</f>
        <v>0.88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0</v>
      </c>
      <c r="E307" s="27">
        <v>736</v>
      </c>
      <c r="F307" s="1">
        <v>1</v>
      </c>
      <c r="G307" s="6">
        <v>0</v>
      </c>
      <c r="H307" s="1">
        <f>SUM(C307:G307)</f>
        <v>737</v>
      </c>
      <c r="I307" s="10">
        <f>E307/H307</f>
        <v>0.99864314789687925</v>
      </c>
      <c r="J307" s="11">
        <f>1-I307</f>
        <v>1.3568521031207537E-3</v>
      </c>
      <c r="K307">
        <f>H307-E310</f>
        <v>-6</v>
      </c>
      <c r="N307" s="10">
        <f>2*(E311*I307)/(E311+I307)</f>
        <v>0.99459459459459454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0</v>
      </c>
      <c r="D308" s="1">
        <v>0</v>
      </c>
      <c r="E308" s="1">
        <v>3</v>
      </c>
      <c r="F308" s="27">
        <v>573</v>
      </c>
      <c r="G308" s="6">
        <v>6</v>
      </c>
      <c r="H308" s="1">
        <f>SUM(C308:G308)</f>
        <v>582</v>
      </c>
      <c r="I308" s="10">
        <f>F308/H308</f>
        <v>0.98453608247422686</v>
      </c>
      <c r="J308" s="11">
        <f>1-I308</f>
        <v>1.5463917525773141E-2</v>
      </c>
      <c r="K308">
        <f>H308-F310</f>
        <v>-102</v>
      </c>
      <c r="N308" s="10">
        <f>2*(F311*I308)/(F311+I308)</f>
        <v>0.90521327014218012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13</v>
      </c>
      <c r="E309" s="8">
        <v>2</v>
      </c>
      <c r="F309" s="8">
        <v>42</v>
      </c>
      <c r="G309" s="28">
        <v>952</v>
      </c>
      <c r="H309" s="1">
        <f>SUM(C309:G309)</f>
        <v>1009</v>
      </c>
      <c r="I309" s="10">
        <f>G309/H309</f>
        <v>0.94350842418235881</v>
      </c>
      <c r="J309" s="11">
        <f>1-I309</f>
        <v>5.6491575817641193E-2</v>
      </c>
      <c r="K309">
        <f>H309-G310</f>
        <v>51</v>
      </c>
      <c r="N309" s="10">
        <f>2*(G311*I309)/(G311+I309)</f>
        <v>0.96797153024911031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383</v>
      </c>
      <c r="D310" s="1">
        <f>SUM(D305:D309)</f>
        <v>68</v>
      </c>
      <c r="E310" s="1">
        <f>SUM(E305:E309)</f>
        <v>743</v>
      </c>
      <c r="F310" s="1">
        <f>SUM(F305:F309)</f>
        <v>684</v>
      </c>
      <c r="G310" s="1">
        <f>SUM(G305:G309)</f>
        <v>958</v>
      </c>
      <c r="H310" s="1">
        <f>SUM(H304:H309)</f>
        <v>2836</v>
      </c>
      <c r="I310" s="13" t="s">
        <v>12</v>
      </c>
      <c r="N310" s="16" t="s">
        <v>36</v>
      </c>
      <c r="O310" s="1"/>
      <c r="P310" s="1"/>
    </row>
    <row r="311" spans="1:41" x14ac:dyDescent="0.3">
      <c r="A311" s="1" t="s">
        <v>316</v>
      </c>
      <c r="B311" s="1" t="s">
        <v>2</v>
      </c>
      <c r="C311" s="10">
        <f>C305/C310</f>
        <v>1</v>
      </c>
      <c r="D311" s="10">
        <f>D306/D310</f>
        <v>0.80882352941176472</v>
      </c>
      <c r="E311" s="10">
        <f>E307/E310</f>
        <v>0.99057873485868098</v>
      </c>
      <c r="F311" s="10">
        <f>F308/F310</f>
        <v>0.83771929824561409</v>
      </c>
      <c r="G311" s="10">
        <f>G309/G310</f>
        <v>0.99373695198329859</v>
      </c>
      <c r="H311" s="10"/>
      <c r="I311" s="14">
        <f>(C305+D306+E307+F308+G309)/H310</f>
        <v>0.95169252468265164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0</v>
      </c>
      <c r="D312" s="11">
        <f>1-D311</f>
        <v>0.19117647058823528</v>
      </c>
      <c r="E312" s="11">
        <f>1-E311</f>
        <v>9.421265141319024E-3</v>
      </c>
      <c r="F312" s="11">
        <f>1-F311</f>
        <v>0.16228070175438591</v>
      </c>
      <c r="G312" s="11">
        <f>1-G311</f>
        <v>6.2630480167014113E-3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317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0.20641330767873528</v>
      </c>
      <c r="D316" s="31">
        <f>(D305/$L316)*$O316</f>
        <v>0</v>
      </c>
      <c r="E316" s="31">
        <f>(E305/$L316)*$O316</f>
        <v>0</v>
      </c>
      <c r="F316" s="31">
        <f>(F305/$L316)*$O316</f>
        <v>3.6647793530428199E-2</v>
      </c>
      <c r="G316" s="32">
        <f>(G305/$L316)*$O316</f>
        <v>0</v>
      </c>
      <c r="H316" s="17">
        <f>SUM(C316:G316)</f>
        <v>0.24306110120916347</v>
      </c>
      <c r="I316" s="17">
        <f>C316/H316*100</f>
        <v>84.922394678492239</v>
      </c>
      <c r="J316" s="17">
        <f>SQRT(I316*(100-I316)/(L316-1))</f>
        <v>1.6868289447096465</v>
      </c>
      <c r="K316" s="18">
        <f>100-I316</f>
        <v>15.077605321507761</v>
      </c>
      <c r="L316" s="1">
        <f>H305</f>
        <v>451</v>
      </c>
      <c r="M316">
        <v>0</v>
      </c>
      <c r="N316" s="1">
        <v>232.69</v>
      </c>
      <c r="O316" s="17">
        <f>N316/N321*100</f>
        <v>0.24306110120916347</v>
      </c>
      <c r="P316" s="52">
        <f>((O316*O316*(I316/100)*(K316/100))/(L316-1))</f>
        <v>1.6810205070540085E-5</v>
      </c>
    </row>
    <row r="317" spans="1:41" x14ac:dyDescent="0.3">
      <c r="A317" t="s">
        <v>4</v>
      </c>
      <c r="B317" s="13">
        <v>1</v>
      </c>
      <c r="C317" s="33">
        <f t="shared" ref="C317:G320" si="43">(C306/$L317)*$O317</f>
        <v>0</v>
      </c>
      <c r="D317" s="34">
        <f t="shared" si="43"/>
        <v>1.180383866120988</v>
      </c>
      <c r="E317" s="19">
        <f t="shared" si="43"/>
        <v>4.2923049677126839E-2</v>
      </c>
      <c r="F317" s="18">
        <f t="shared" si="43"/>
        <v>0</v>
      </c>
      <c r="G317" s="20">
        <f t="shared" si="43"/>
        <v>0</v>
      </c>
      <c r="H317" s="17">
        <f>SUM(C317:G317)</f>
        <v>1.2233069157981149</v>
      </c>
      <c r="I317" s="17">
        <f>D317/H317*100</f>
        <v>96.491228070175438</v>
      </c>
      <c r="J317" s="17">
        <f>SQRT(I317*(100-I317)/(L317-1))</f>
        <v>2.4588241692166148</v>
      </c>
      <c r="K317" s="18">
        <f>100-I317</f>
        <v>3.5087719298245617</v>
      </c>
      <c r="L317" s="1">
        <f>H306</f>
        <v>57</v>
      </c>
      <c r="M317">
        <v>1</v>
      </c>
      <c r="N317" s="1">
        <v>1171.1099999999999</v>
      </c>
      <c r="O317" s="17">
        <f>N317/N321*100</f>
        <v>1.2233069157981149</v>
      </c>
      <c r="P317" s="52">
        <f>((O317*O317*(I317/100)*(K317/100))/(L317-1))</f>
        <v>9.0474420220696815E-4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43"/>
        <v>0</v>
      </c>
      <c r="D318" s="19">
        <f t="shared" si="43"/>
        <v>0</v>
      </c>
      <c r="E318" s="34">
        <f t="shared" si="43"/>
        <v>60.052792611080342</v>
      </c>
      <c r="F318" s="19">
        <f t="shared" si="43"/>
        <v>8.1593468221576551E-2</v>
      </c>
      <c r="G318" s="20">
        <f t="shared" si="43"/>
        <v>0</v>
      </c>
      <c r="H318" s="17">
        <f>SUM(C318:G318)</f>
        <v>60.134386079301919</v>
      </c>
      <c r="I318" s="17">
        <f>E318/H318*100</f>
        <v>99.864314789687924</v>
      </c>
      <c r="J318" s="17">
        <f>SQRT(I318*(100-I318)/(L318-1))</f>
        <v>0.13568521031207589</v>
      </c>
      <c r="K318" s="18">
        <f>100-I318</f>
        <v>0.13568521031207581</v>
      </c>
      <c r="L318" s="1">
        <f>H307</f>
        <v>737</v>
      </c>
      <c r="M318">
        <v>2</v>
      </c>
      <c r="N318" s="1">
        <v>57568.53</v>
      </c>
      <c r="O318" s="17">
        <f>N318/N321*100</f>
        <v>60.134386079301919</v>
      </c>
      <c r="P318" s="52">
        <f>((O318*O318*(I318/100)*(K318/100))/(L318-1))</f>
        <v>6.6574940564254129E-3</v>
      </c>
    </row>
    <row r="319" spans="1:41" x14ac:dyDescent="0.3">
      <c r="A319" t="s">
        <v>6</v>
      </c>
      <c r="B319" s="13">
        <v>3</v>
      </c>
      <c r="C319" s="33">
        <f t="shared" si="43"/>
        <v>0</v>
      </c>
      <c r="D319" s="19">
        <f t="shared" si="43"/>
        <v>0</v>
      </c>
      <c r="E319" s="19">
        <f t="shared" si="43"/>
        <v>0.1669307597454647</v>
      </c>
      <c r="F319" s="34">
        <f t="shared" si="43"/>
        <v>31.883775111383763</v>
      </c>
      <c r="G319" s="20">
        <f t="shared" si="43"/>
        <v>0.3338615194909294</v>
      </c>
      <c r="H319" s="17">
        <f>SUM(C319:G319)</f>
        <v>32.384567390620155</v>
      </c>
      <c r="I319" s="17">
        <f>F319/H319*100</f>
        <v>98.453608247422693</v>
      </c>
      <c r="J319" s="17">
        <f>SQRT(I319*(100-I319)/(L319-1))</f>
        <v>0.51190281155436723</v>
      </c>
      <c r="K319" s="18">
        <f>100-I319</f>
        <v>1.546391752577307</v>
      </c>
      <c r="L319" s="1">
        <f>H308</f>
        <v>582</v>
      </c>
      <c r="M319">
        <v>3</v>
      </c>
      <c r="N319" s="1">
        <v>31002.76</v>
      </c>
      <c r="O319" s="17">
        <f>N319/N321*100</f>
        <v>32.384567390620155</v>
      </c>
      <c r="P319" s="52">
        <f>((O319*O319*(I319/100)*(K319/100))/(L319-1))</f>
        <v>2.7482183147487713E-2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43"/>
        <v>0</v>
      </c>
      <c r="D320" s="36">
        <f t="shared" si="43"/>
        <v>7.7493380247689356E-2</v>
      </c>
      <c r="E320" s="21">
        <f t="shared" si="43"/>
        <v>1.1922058499644516E-2</v>
      </c>
      <c r="F320" s="21">
        <f t="shared" si="43"/>
        <v>0.25036322849253484</v>
      </c>
      <c r="G320" s="37">
        <f t="shared" si="43"/>
        <v>5.6748998458307902</v>
      </c>
      <c r="H320" s="17">
        <f>SUM(C320:G320)</f>
        <v>6.0146785130706588</v>
      </c>
      <c r="I320" s="17">
        <f>G320/H320*100</f>
        <v>94.350842418235885</v>
      </c>
      <c r="J320" s="17">
        <f>SQRT(I320*(100-I320)/(L320-1))</f>
        <v>0.72716751579303351</v>
      </c>
      <c r="K320" s="18">
        <f>100-I320</f>
        <v>5.6491575817641149</v>
      </c>
      <c r="L320" s="1">
        <f>H309</f>
        <v>1009</v>
      </c>
      <c r="M320">
        <v>4</v>
      </c>
      <c r="N320" s="1">
        <v>5758.04</v>
      </c>
      <c r="O320" s="17">
        <f>N320/N321*100</f>
        <v>6.0146785130706588</v>
      </c>
      <c r="P320" s="52">
        <f>((O320*O320*(I320/100)*(K320/100))/(L320-1))</f>
        <v>1.9129066531112298E-3</v>
      </c>
    </row>
    <row r="321" spans="1:41" x14ac:dyDescent="0.3">
      <c r="B321" t="s">
        <v>28</v>
      </c>
      <c r="C321" s="17">
        <f t="shared" ref="C321:H321" si="44">SUM(C316:C320)</f>
        <v>0.20641330767873528</v>
      </c>
      <c r="D321" s="17">
        <f t="shared" si="44"/>
        <v>1.2578772463686774</v>
      </c>
      <c r="E321" s="17">
        <f t="shared" si="44"/>
        <v>60.274568479002575</v>
      </c>
      <c r="F321" s="17">
        <f t="shared" si="44"/>
        <v>32.252379601628299</v>
      </c>
      <c r="G321" s="17">
        <f t="shared" si="44"/>
        <v>6.0087613653217193</v>
      </c>
      <c r="H321" s="18">
        <f t="shared" si="44"/>
        <v>100.00000000000001</v>
      </c>
      <c r="I321" s="13" t="s">
        <v>24</v>
      </c>
      <c r="J321" s="12" t="s">
        <v>29</v>
      </c>
      <c r="N321" s="1">
        <f>SUM(N316:N320)</f>
        <v>95733.12999999999</v>
      </c>
      <c r="O321" s="17">
        <f>SUM(O316:O320)</f>
        <v>100.00000000000001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4.0954770037891185E-3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3.6672334861287605E-2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0.12980372050500555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0.18849534885709063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0.14246664560365155</v>
      </c>
      <c r="H322" s="1"/>
      <c r="I322" s="14">
        <f>(C316+D317+E318+F319+G320)/H321</f>
        <v>0.9899826474209461</v>
      </c>
      <c r="J322" s="53">
        <f>SQRT(SUM(P316:P320))/100</f>
        <v>1.922866044848207E-3</v>
      </c>
      <c r="M322" s="1"/>
      <c r="N322" s="9"/>
    </row>
    <row r="323" spans="1:41" x14ac:dyDescent="0.3">
      <c r="B323" s="1" t="s">
        <v>30</v>
      </c>
      <c r="C323" s="17">
        <f>C316/C321*100</f>
        <v>100</v>
      </c>
      <c r="D323" s="17">
        <f>D317/D321*100</f>
        <v>93.839352729258579</v>
      </c>
      <c r="E323" s="17">
        <f>E318/E321*100</f>
        <v>99.632057311203326</v>
      </c>
      <c r="F323" s="17">
        <f>F319/F321*100</f>
        <v>98.85712466863707</v>
      </c>
      <c r="G323" s="17">
        <f>G320/G321*100</f>
        <v>94.443754724264153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0</v>
      </c>
      <c r="D324" s="18">
        <f>SQRT((D327+D328)/(D321*D321))</f>
        <v>2.1703619387462885</v>
      </c>
      <c r="E324" s="18">
        <f>SQRT((E327+E328)/(E321*E321))</f>
        <v>0.16728083780522862</v>
      </c>
      <c r="F324" s="18">
        <f>SQRT((F327+F328)/(F321*F321))</f>
        <v>0.28214564866225855</v>
      </c>
      <c r="G324" s="18">
        <f>SQRT((G327+G328)/(G321*G321))</f>
        <v>2.1710574360792489</v>
      </c>
      <c r="H324" s="1"/>
    </row>
    <row r="325" spans="1:41" x14ac:dyDescent="0.3">
      <c r="B325" s="1" t="s">
        <v>37</v>
      </c>
      <c r="C325" s="18">
        <f>100-C323</f>
        <v>0</v>
      </c>
      <c r="D325" s="18">
        <f>100-D323</f>
        <v>6.1606472707414213</v>
      </c>
      <c r="E325" s="18">
        <f>100-E323</f>
        <v>0.36794268879667413</v>
      </c>
      <c r="F325" s="18">
        <f>100-F323</f>
        <v>1.1428753313629301</v>
      </c>
      <c r="G325" s="18">
        <f>100-G323</f>
        <v>5.5562452757358471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383</v>
      </c>
      <c r="D326" s="1">
        <f>D310</f>
        <v>68</v>
      </c>
      <c r="E326" s="1">
        <f>E310</f>
        <v>743</v>
      </c>
      <c r="F326" s="1">
        <f>F310</f>
        <v>684</v>
      </c>
      <c r="G326" s="1">
        <f>G310</f>
        <v>958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3.4338276748346717</v>
      </c>
      <c r="E327" s="18">
        <f>(O318*O318*(100-E323)*(100-E323)*(I318)*(100-I318))/((L318-1)*100)</f>
        <v>9.013036769036932E-2</v>
      </c>
      <c r="F327" s="18">
        <f>(O319*O319*(100-F323)*(100-F323)*(I319)*(100-I319))/((L319-1)*100)</f>
        <v>3.5896238901787676</v>
      </c>
      <c r="G327" s="18">
        <f>(O320*O320*(100-G323)*(100-G323)*(I320)*(100-I320))/((L320-1)*100)</f>
        <v>5.9054989379966374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4.0193393168257217</v>
      </c>
      <c r="E328" s="18">
        <f>E323*E323*(SUM((H316*E316*(1-E305/H305))/(H305-1),(H317*E317*(1-E306/H306))/(H306-1), (H319*E319*(1-E308/H308))/(H308-1),(H320*E320*(1-E309/H309))/(H309-1)))</f>
        <v>101.57232848293899</v>
      </c>
      <c r="F328" s="18">
        <f>F323*F323*(SUM((H316*F316*(1-F305/H305))/(H305-1),(H317*F317*(1-F306/H306))/(H306-1), (H318*F318*(1-F307/H307))/(H307-1),(H320*F320*(1-F309/H309))/(H309-1)))</f>
        <v>79.217983984667939</v>
      </c>
      <c r="G328" s="18">
        <f>G323*G323*(SUM((H316*G316*(1-G305/H305))/(H305-1),(H317*G317*(1-G306/H306))/(H306-1), (H318*G318*(1-G307/H307))/(H307-1),(H319*G319*(1-G308/H308))/(H308-1)))</f>
        <v>164.27607627892704</v>
      </c>
    </row>
    <row r="329" spans="1:41" x14ac:dyDescent="0.3">
      <c r="AM329" s="78"/>
    </row>
    <row r="331" spans="1:41" x14ac:dyDescent="0.3">
      <c r="A331" s="348" t="s">
        <v>380</v>
      </c>
      <c r="B331" s="348"/>
      <c r="C331" s="348"/>
      <c r="D331" s="348"/>
      <c r="E331" s="348"/>
      <c r="F331" s="348"/>
      <c r="G331" s="348"/>
      <c r="H331" s="348"/>
      <c r="I331" s="348"/>
      <c r="J331" s="348"/>
      <c r="K331" s="348"/>
      <c r="L331" s="348" t="s">
        <v>84</v>
      </c>
      <c r="M331" s="348"/>
      <c r="N331" s="348"/>
      <c r="O331" s="348"/>
      <c r="P331" s="348"/>
      <c r="AM331" s="78"/>
    </row>
    <row r="332" spans="1:41" x14ac:dyDescent="0.3">
      <c r="A332" t="s">
        <v>315</v>
      </c>
      <c r="B332" t="s">
        <v>21</v>
      </c>
      <c r="I332" s="1" t="s">
        <v>53</v>
      </c>
      <c r="O332" s="142"/>
      <c r="P332" s="142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51</v>
      </c>
      <c r="O333" s="13"/>
      <c r="P333" s="13"/>
      <c r="AM333" s="78"/>
    </row>
    <row r="334" spans="1:41" x14ac:dyDescent="0.3">
      <c r="A334" t="s">
        <v>3</v>
      </c>
      <c r="B334" s="13">
        <v>0</v>
      </c>
      <c r="C334" s="26">
        <v>419</v>
      </c>
      <c r="D334" s="3">
        <v>0</v>
      </c>
      <c r="E334" s="3">
        <v>0</v>
      </c>
      <c r="F334" s="3">
        <v>32</v>
      </c>
      <c r="G334" s="4">
        <v>0</v>
      </c>
      <c r="H334" s="1">
        <f>SUM(C334:G334)</f>
        <v>451</v>
      </c>
      <c r="I334" s="10">
        <f>C334/H334</f>
        <v>0.92904656319290468</v>
      </c>
      <c r="J334" s="11">
        <f>1-I334</f>
        <v>7.0953436807095316E-2</v>
      </c>
      <c r="K334">
        <f>H334-C339</f>
        <v>32</v>
      </c>
      <c r="N334" s="10">
        <f>2*(C340*I334)/(C340+I334)</f>
        <v>0.9632183908045977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55</v>
      </c>
      <c r="E335" s="1">
        <v>2</v>
      </c>
      <c r="F335" s="1">
        <v>0</v>
      </c>
      <c r="G335" s="6">
        <v>0</v>
      </c>
      <c r="H335" s="1">
        <f>SUM(C335:G335)</f>
        <v>57</v>
      </c>
      <c r="I335" s="10">
        <f>D335/H335</f>
        <v>0.96491228070175439</v>
      </c>
      <c r="J335" s="11">
        <f>1-I335</f>
        <v>3.5087719298245612E-2</v>
      </c>
      <c r="K335">
        <f>H335-D339</f>
        <v>-6</v>
      </c>
      <c r="N335" s="10">
        <f>2*(D340*I335)/(D340+I335)</f>
        <v>0.91666666666666674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0</v>
      </c>
      <c r="E336" s="27">
        <v>736</v>
      </c>
      <c r="F336" s="1">
        <v>1</v>
      </c>
      <c r="G336" s="6">
        <v>0</v>
      </c>
      <c r="H336" s="1">
        <f>SUM(C336:G336)</f>
        <v>737</v>
      </c>
      <c r="I336" s="10">
        <f>E336/H336</f>
        <v>0.99864314789687925</v>
      </c>
      <c r="J336" s="11">
        <f>1-I336</f>
        <v>1.3568521031207537E-3</v>
      </c>
      <c r="K336">
        <f>H336-E339</f>
        <v>-18</v>
      </c>
      <c r="N336" s="10">
        <f>2*(E340*I336)/(E340+I336)</f>
        <v>0.98659517426273458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0</v>
      </c>
      <c r="E337" s="1">
        <v>5</v>
      </c>
      <c r="F337" s="27">
        <v>567</v>
      </c>
      <c r="G337" s="6">
        <v>10</v>
      </c>
      <c r="H337" s="1">
        <f>SUM(C337:G337)</f>
        <v>582</v>
      </c>
      <c r="I337" s="10">
        <f>F337/H337</f>
        <v>0.97422680412371132</v>
      </c>
      <c r="J337" s="11">
        <f>1-I337</f>
        <v>2.5773195876288679E-2</v>
      </c>
      <c r="K337">
        <f>H337-F339</f>
        <v>-62</v>
      </c>
      <c r="N337" s="10">
        <f>2*(F340*I337)/(F340+I337)</f>
        <v>0.92495921696574224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8</v>
      </c>
      <c r="E338" s="8">
        <v>12</v>
      </c>
      <c r="F338" s="8">
        <v>44</v>
      </c>
      <c r="G338" s="28">
        <v>945</v>
      </c>
      <c r="H338" s="1">
        <f>SUM(C338:G338)</f>
        <v>1009</v>
      </c>
      <c r="I338" s="10">
        <f>G338/H338</f>
        <v>0.93657086223984143</v>
      </c>
      <c r="J338" s="11">
        <f>1-I338</f>
        <v>6.3429137760158572E-2</v>
      </c>
      <c r="K338">
        <f>H338-G339</f>
        <v>54</v>
      </c>
      <c r="N338" s="10">
        <f>2*(G340*I338)/(G340+I338)</f>
        <v>0.96232179226069237</v>
      </c>
      <c r="O338" s="1"/>
      <c r="P338" s="1"/>
    </row>
    <row r="339" spans="1:40" ht="15.6" x14ac:dyDescent="0.35">
      <c r="B339" s="1" t="s">
        <v>19</v>
      </c>
      <c r="C339" s="1">
        <f>SUM(C334:C338)</f>
        <v>419</v>
      </c>
      <c r="D339" s="1">
        <f>SUM(D334:D338)</f>
        <v>63</v>
      </c>
      <c r="E339" s="1">
        <f>SUM(E334:E338)</f>
        <v>755</v>
      </c>
      <c r="F339" s="1">
        <f>SUM(F334:F338)</f>
        <v>644</v>
      </c>
      <c r="G339" s="1">
        <f>SUM(G334:G338)</f>
        <v>955</v>
      </c>
      <c r="H339" s="1">
        <f>SUM(H333:H338)</f>
        <v>2836</v>
      </c>
      <c r="I339" s="13" t="s">
        <v>12</v>
      </c>
      <c r="N339" s="16"/>
      <c r="O339" s="1"/>
      <c r="P339" s="1"/>
      <c r="AM339" s="78"/>
    </row>
    <row r="340" spans="1:40" x14ac:dyDescent="0.3">
      <c r="A340" s="1" t="s">
        <v>316</v>
      </c>
      <c r="B340" s="1" t="s">
        <v>2</v>
      </c>
      <c r="C340" s="10">
        <f>C334/C339</f>
        <v>1</v>
      </c>
      <c r="D340" s="10">
        <f>D335/D339</f>
        <v>0.87301587301587302</v>
      </c>
      <c r="E340" s="10">
        <f>E336/E339</f>
        <v>0.97483443708609274</v>
      </c>
      <c r="F340" s="10">
        <f>F337/F339</f>
        <v>0.88043478260869568</v>
      </c>
      <c r="G340" s="10">
        <f>G338/G339</f>
        <v>0.98952879581151831</v>
      </c>
      <c r="H340" s="10"/>
      <c r="I340" s="14">
        <f>(C334+D335+E336+F337+G338)/H339</f>
        <v>0.95980253878702393</v>
      </c>
    </row>
    <row r="341" spans="1:40" x14ac:dyDescent="0.3">
      <c r="B341" s="1" t="s">
        <v>14</v>
      </c>
      <c r="C341" s="11">
        <f>1-C340</f>
        <v>0</v>
      </c>
      <c r="D341" s="11">
        <f>1-D340</f>
        <v>0.12698412698412698</v>
      </c>
      <c r="E341" s="11">
        <f>1-E340</f>
        <v>2.5165562913907258E-2</v>
      </c>
      <c r="F341" s="11">
        <f>1-F340</f>
        <v>0.11956521739130432</v>
      </c>
      <c r="G341" s="11">
        <f>1-G340</f>
        <v>1.0471204188481686E-2</v>
      </c>
      <c r="AM341" s="78"/>
      <c r="AN341" s="78"/>
    </row>
    <row r="342" spans="1:40" x14ac:dyDescent="0.3">
      <c r="C342" s="2"/>
    </row>
    <row r="343" spans="1:40" ht="15.6" x14ac:dyDescent="0.35">
      <c r="A343" t="s">
        <v>317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0.22101135354363477</v>
      </c>
      <c r="D345" s="31">
        <f>(D334/$L345)*$O345</f>
        <v>0</v>
      </c>
      <c r="E345" s="31">
        <f>(E334/$L345)*$O345</f>
        <v>0</v>
      </c>
      <c r="F345" s="31">
        <f>(F334/$L345)*$O345</f>
        <v>1.6879148719322942E-2</v>
      </c>
      <c r="G345" s="32">
        <f>(G334/$L345)*$O345</f>
        <v>0</v>
      </c>
      <c r="H345" s="17">
        <f>SUM(C345:G345)</f>
        <v>0.23789050226295771</v>
      </c>
      <c r="I345" s="17">
        <f>C345/H345*100</f>
        <v>92.904656319290467</v>
      </c>
      <c r="J345" s="17">
        <f>SQRT(I345*(100-I345)/(L345-1))</f>
        <v>1.210317190862304</v>
      </c>
      <c r="K345" s="18">
        <f>100-I345</f>
        <v>7.0953436807095329</v>
      </c>
      <c r="L345" s="1">
        <f>H334</f>
        <v>451</v>
      </c>
      <c r="M345">
        <v>0</v>
      </c>
      <c r="N345" s="1">
        <v>227.74</v>
      </c>
      <c r="O345" s="17">
        <f>N345/N350*100</f>
        <v>0.23789050226295771</v>
      </c>
      <c r="P345" s="52">
        <f>((O345*O345*(I345/100)*(K345/100))/(L345-1))</f>
        <v>8.2899633447152713E-6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45">(C335/$L346)*$O346</f>
        <v>0</v>
      </c>
      <c r="D346" s="34">
        <f t="shared" si="45"/>
        <v>1.4450332743741054</v>
      </c>
      <c r="E346" s="19">
        <f t="shared" si="45"/>
        <v>5.2546664522694735E-2</v>
      </c>
      <c r="F346" s="18">
        <f t="shared" si="45"/>
        <v>0</v>
      </c>
      <c r="G346" s="20">
        <f t="shared" si="45"/>
        <v>0</v>
      </c>
      <c r="H346" s="17">
        <f>SUM(C346:G346)</f>
        <v>1.4975799388968001</v>
      </c>
      <c r="I346" s="17">
        <f>D346/H346*100</f>
        <v>96.491228070175453</v>
      </c>
      <c r="J346" s="17">
        <f>SQRT(I346*(100-I346)/(L346-1))</f>
        <v>2.4588241692166095</v>
      </c>
      <c r="K346" s="18">
        <f>100-I346</f>
        <v>3.5087719298245474</v>
      </c>
      <c r="L346" s="1">
        <f>H335</f>
        <v>57</v>
      </c>
      <c r="M346">
        <v>1</v>
      </c>
      <c r="N346" s="1">
        <v>1433.68</v>
      </c>
      <c r="O346" s="17">
        <f>N346/N350*100</f>
        <v>1.4975799388968001</v>
      </c>
      <c r="P346" s="52">
        <f>((O346*O346*(I346/100)*(K346/100))/(L346-1))</f>
        <v>1.3559228337976237E-3</v>
      </c>
    </row>
    <row r="347" spans="1:40" x14ac:dyDescent="0.3">
      <c r="A347" t="s">
        <v>5</v>
      </c>
      <c r="B347" s="13">
        <v>2</v>
      </c>
      <c r="C347" s="33">
        <f t="shared" si="45"/>
        <v>0</v>
      </c>
      <c r="D347" s="19">
        <f t="shared" si="45"/>
        <v>0</v>
      </c>
      <c r="E347" s="34">
        <f t="shared" si="45"/>
        <v>59.821709145635637</v>
      </c>
      <c r="F347" s="19">
        <f t="shared" si="45"/>
        <v>8.1279496121787545E-2</v>
      </c>
      <c r="G347" s="20">
        <f t="shared" si="45"/>
        <v>0</v>
      </c>
      <c r="H347" s="17">
        <f>SUM(C347:G347)</f>
        <v>59.902988641757425</v>
      </c>
      <c r="I347" s="17">
        <f>E347/H347*100</f>
        <v>99.864314789687924</v>
      </c>
      <c r="J347" s="17">
        <f>SQRT(I347*(100-I347)/(L347-1))</f>
        <v>0.13568521031207589</v>
      </c>
      <c r="K347" s="18">
        <f>100-I347</f>
        <v>0.13568521031207581</v>
      </c>
      <c r="L347" s="1">
        <f>H336</f>
        <v>737</v>
      </c>
      <c r="M347">
        <v>2</v>
      </c>
      <c r="N347" s="1">
        <v>57347</v>
      </c>
      <c r="O347" s="17">
        <f>N347/N350*100</f>
        <v>59.902988641757425</v>
      </c>
      <c r="P347" s="52">
        <f>((O347*O347*(I347/100)*(K347/100))/(L347-1))</f>
        <v>6.6063564898116685E-3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45"/>
        <v>0</v>
      </c>
      <c r="D348" s="19">
        <f t="shared" si="45"/>
        <v>0</v>
      </c>
      <c r="E348" s="19">
        <f t="shared" si="45"/>
        <v>0.27830680431347143</v>
      </c>
      <c r="F348" s="34">
        <f t="shared" si="45"/>
        <v>31.559991609147655</v>
      </c>
      <c r="G348" s="20">
        <f t="shared" si="45"/>
        <v>0.55661360862694287</v>
      </c>
      <c r="H348" s="17">
        <f>SUM(C348:G348)</f>
        <v>32.394912022088064</v>
      </c>
      <c r="I348" s="17">
        <f>F348/H348*100</f>
        <v>97.422680412371136</v>
      </c>
      <c r="J348" s="17">
        <f>SQRT(I348*(100-I348)/(L348-1))</f>
        <v>0.65739456332296642</v>
      </c>
      <c r="K348" s="18">
        <f>100-I348</f>
        <v>2.5773195876288639</v>
      </c>
      <c r="L348" s="1">
        <f>H337</f>
        <v>582</v>
      </c>
      <c r="M348">
        <v>3</v>
      </c>
      <c r="N348" s="1">
        <v>31012.66</v>
      </c>
      <c r="O348" s="17">
        <f>N348/N350*100</f>
        <v>32.394912022088072</v>
      </c>
      <c r="P348" s="52">
        <f>((O348*O348*(I348/100)*(K348/100))/(L348-1))</f>
        <v>4.5352979736154118E-2</v>
      </c>
    </row>
    <row r="349" spans="1:40" x14ac:dyDescent="0.3">
      <c r="A349" t="s">
        <v>7</v>
      </c>
      <c r="B349" s="13">
        <v>4</v>
      </c>
      <c r="C349" s="35">
        <f t="shared" si="45"/>
        <v>0</v>
      </c>
      <c r="D349" s="36">
        <f t="shared" si="45"/>
        <v>4.7307265768045607E-2</v>
      </c>
      <c r="E349" s="21">
        <f t="shared" si="45"/>
        <v>7.0960898652068408E-2</v>
      </c>
      <c r="F349" s="21">
        <f t="shared" si="45"/>
        <v>0.26018996172425085</v>
      </c>
      <c r="G349" s="37">
        <f t="shared" si="45"/>
        <v>5.5881707688503877</v>
      </c>
      <c r="H349" s="17">
        <f>SUM(C349:G349)</f>
        <v>5.9666288949947521</v>
      </c>
      <c r="I349" s="17">
        <f>G349/H349*100</f>
        <v>93.657086223984152</v>
      </c>
      <c r="J349" s="17">
        <f>SQRT(I349*(100-I349)/(L349-1))</f>
        <v>0.76768748190434377</v>
      </c>
      <c r="K349" s="18">
        <f>100-I349</f>
        <v>6.3429137760158483</v>
      </c>
      <c r="L349" s="1">
        <f>H338</f>
        <v>1009</v>
      </c>
      <c r="M349">
        <v>4</v>
      </c>
      <c r="N349" s="1">
        <v>5712.04</v>
      </c>
      <c r="O349" s="17">
        <f>N349/N350*100</f>
        <v>5.9666288949947521</v>
      </c>
      <c r="P349" s="52">
        <f>((O349*O349*(I349/100)*(K349/100))/(L349-1))</f>
        <v>2.0981038072954658E-3</v>
      </c>
      <c r="AM349" s="78"/>
      <c r="AN349" s="78"/>
    </row>
    <row r="350" spans="1:40" x14ac:dyDescent="0.3">
      <c r="B350" t="s">
        <v>28</v>
      </c>
      <c r="C350" s="17">
        <f t="shared" ref="C350:H350" si="46">SUM(C345:C349)</f>
        <v>0.22101135354363477</v>
      </c>
      <c r="D350" s="17">
        <f t="shared" si="46"/>
        <v>1.492340540142151</v>
      </c>
      <c r="E350" s="17">
        <f t="shared" si="46"/>
        <v>60.223523513123872</v>
      </c>
      <c r="F350" s="17">
        <f t="shared" si="46"/>
        <v>31.918340215713016</v>
      </c>
      <c r="G350" s="17">
        <f t="shared" si="46"/>
        <v>6.1447843774773308</v>
      </c>
      <c r="H350" s="18">
        <f t="shared" si="46"/>
        <v>100</v>
      </c>
      <c r="I350" s="13" t="s">
        <v>24</v>
      </c>
      <c r="J350" s="12" t="s">
        <v>29</v>
      </c>
      <c r="N350" s="1">
        <f>SUM(N345:N349)</f>
        <v>95733.119999999995</v>
      </c>
      <c r="O350" s="17">
        <f>SUM(O345:O349)</f>
        <v>100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2.8760358223200223E-3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4.0120616557517738E-2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0.15395456930395937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0.23098102167592499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0.18040388243268446</v>
      </c>
      <c r="H351" s="1"/>
      <c r="I351" s="14">
        <f>(C345+D346+E347+F348+G349)/H350</f>
        <v>0.98635916151551428</v>
      </c>
      <c r="J351" s="53">
        <f>SQRT(SUM(P345:P349))/100</f>
        <v>2.3541803845585751E-3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96.829995266124754</v>
      </c>
      <c r="E352" s="17">
        <f>E347/E350*100</f>
        <v>99.332794987658474</v>
      </c>
      <c r="F352" s="17">
        <f>F348/F350*100</f>
        <v>98.877295610788224</v>
      </c>
      <c r="G352" s="17">
        <f>G349/G350*100</f>
        <v>90.941690148361971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1.334681678143657</v>
      </c>
      <c r="E353" s="18">
        <f>SQRT((E356+E357)/(E350*E350))</f>
        <v>0.21622303510908103</v>
      </c>
      <c r="F353" s="18">
        <f>SQRT((F356+F357)/(F350*F350))</f>
        <v>0.28848570505547444</v>
      </c>
      <c r="G353" s="18">
        <f>SQRT((G356+G357)/(G350*G350))</f>
        <v>2.6715018362838694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3.1700047338752455</v>
      </c>
      <c r="E354" s="18">
        <f>100-E352</f>
        <v>0.66720501234152607</v>
      </c>
      <c r="F354" s="18">
        <f>100-F352</f>
        <v>1.1227043892117763</v>
      </c>
      <c r="G354" s="18">
        <f>100-G352</f>
        <v>9.0583098516380289</v>
      </c>
    </row>
    <row r="355" spans="1:40" ht="15.6" x14ac:dyDescent="0.35">
      <c r="B355" s="1" t="s">
        <v>25</v>
      </c>
      <c r="C355" s="1">
        <f>C339</f>
        <v>419</v>
      </c>
      <c r="D355" s="1">
        <f>D339</f>
        <v>63</v>
      </c>
      <c r="E355" s="1">
        <f>E339</f>
        <v>755</v>
      </c>
      <c r="F355" s="1">
        <f>F339</f>
        <v>644</v>
      </c>
      <c r="G355" s="1">
        <f>G339</f>
        <v>955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1.3625573659578196</v>
      </c>
      <c r="E356" s="18">
        <f>(O347*O347*(100-E352)*(100-E352)*(I347)*(100-I347))/((L347-1)*100)</f>
        <v>0.29409023591350364</v>
      </c>
      <c r="F356" s="18">
        <f>(O348*O348*(100-F352)*(100-F352)*(I348)*(100-I348))/((L348-1)*100)</f>
        <v>5.7165850204502053</v>
      </c>
      <c r="G356" s="18">
        <f>(O349*O349*(100-G352)*(100-G352)*(I349)*(100-I349))/((L349-1)*100)</f>
        <v>17.215566421632236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2.6047081869030588</v>
      </c>
      <c r="E357" s="18">
        <f>E352*E352*(SUM((H345*E345*(1-E334/H334))/(H334-1),(H346*E346*(1-E335/H335))/(H335-1), (H348*E348*(1-E337/H337))/(H337-1),(H349*E349*(1-E338/H338))/(H338-1)))</f>
        <v>169.27092023338733</v>
      </c>
      <c r="F357" s="18">
        <f>F352*F352*(SUM((H345*F345*(1-F334/H334))/(H334-1),(H346*F346*(1-F335/H335))/(H335-1), (H347*F347*(1-F336/H336))/(H336-1),(H349*F349*(1-F338/H338))/(H338-1)))</f>
        <v>79.070400554360361</v>
      </c>
      <c r="G357" s="18">
        <f>G352*G352*(SUM((H345*G345*(1-G334/H334))/(H334-1),(H346*G346*(1-G335/H335))/(H335-1), (H347*G347*(1-G336/H336))/(H336-1),(H348*G348*(1-G337/H337))/(H337-1)))</f>
        <v>252.26301343958326</v>
      </c>
      <c r="AM357" s="78"/>
      <c r="AN357" s="78"/>
    </row>
    <row r="359" spans="1:40" x14ac:dyDescent="0.3">
      <c r="AM359" s="78"/>
      <c r="AN359" s="78"/>
    </row>
    <row r="360" spans="1:40" x14ac:dyDescent="0.3">
      <c r="A360" s="348" t="s">
        <v>380</v>
      </c>
      <c r="B360" s="348"/>
      <c r="C360" s="348"/>
      <c r="D360" s="348"/>
      <c r="E360" s="348"/>
      <c r="F360" s="348"/>
      <c r="G360" s="348"/>
      <c r="H360" s="348"/>
      <c r="I360" s="348"/>
      <c r="J360" s="348"/>
      <c r="K360" s="348"/>
      <c r="L360" s="348" t="s">
        <v>85</v>
      </c>
      <c r="M360" s="348"/>
      <c r="N360" s="348"/>
      <c r="O360" s="348"/>
      <c r="P360" s="348"/>
    </row>
    <row r="361" spans="1:40" x14ac:dyDescent="0.3">
      <c r="A361" t="s">
        <v>15</v>
      </c>
      <c r="B361" t="s">
        <v>21</v>
      </c>
      <c r="I361" s="1" t="s">
        <v>53</v>
      </c>
      <c r="O361" s="142"/>
      <c r="P361" s="142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51</v>
      </c>
      <c r="O362" s="13"/>
      <c r="P362" s="13"/>
    </row>
    <row r="363" spans="1:40" x14ac:dyDescent="0.3">
      <c r="A363" t="s">
        <v>3</v>
      </c>
      <c r="B363" s="13">
        <v>0</v>
      </c>
      <c r="C363" s="26">
        <v>419</v>
      </c>
      <c r="D363" s="3">
        <v>4</v>
      </c>
      <c r="E363" s="3">
        <v>0</v>
      </c>
      <c r="F363" s="3">
        <v>28</v>
      </c>
      <c r="G363" s="4">
        <v>0</v>
      </c>
      <c r="H363" s="1">
        <f>SUM(C363:G363)</f>
        <v>451</v>
      </c>
      <c r="I363" s="10">
        <f>C363/H363</f>
        <v>0.92904656319290468</v>
      </c>
      <c r="J363" s="11">
        <f>1-I363</f>
        <v>7.0953436807095316E-2</v>
      </c>
      <c r="K363">
        <f>H363-C368</f>
        <v>32</v>
      </c>
      <c r="N363" s="10">
        <f>2*(C369*I363)/(C369+I363)</f>
        <v>0.9632183908045977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55</v>
      </c>
      <c r="E364" s="1">
        <v>2</v>
      </c>
      <c r="F364" s="1">
        <v>0</v>
      </c>
      <c r="G364" s="6">
        <v>0</v>
      </c>
      <c r="H364" s="1">
        <f>SUM(C364:G364)</f>
        <v>57</v>
      </c>
      <c r="I364" s="10">
        <f>D364/H364</f>
        <v>0.96491228070175439</v>
      </c>
      <c r="J364" s="11">
        <f>1-I364</f>
        <v>3.5087719298245612E-2</v>
      </c>
      <c r="K364">
        <f>H364-D368</f>
        <v>-9</v>
      </c>
      <c r="N364" s="10">
        <f>2*(D369*I364)/(D369+I364)</f>
        <v>0.89430894308943087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0</v>
      </c>
      <c r="E365" s="27">
        <v>736</v>
      </c>
      <c r="F365" s="1">
        <v>1</v>
      </c>
      <c r="G365" s="6">
        <v>0</v>
      </c>
      <c r="H365" s="1">
        <f>SUM(C365:G365)</f>
        <v>737</v>
      </c>
      <c r="I365" s="10">
        <f>E365/H365</f>
        <v>0.99864314789687925</v>
      </c>
      <c r="J365" s="11">
        <f>1-I365</f>
        <v>1.3568521031207537E-3</v>
      </c>
      <c r="K365">
        <f>H365-E368</f>
        <v>-11</v>
      </c>
      <c r="N365" s="10">
        <f>2*(E369*I365)/(E369+I365)</f>
        <v>0.99124579124579126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0</v>
      </c>
      <c r="E366" s="1">
        <v>3</v>
      </c>
      <c r="F366" s="27">
        <v>568</v>
      </c>
      <c r="G366" s="6">
        <v>11</v>
      </c>
      <c r="H366" s="1">
        <f>SUM(C366:G366)</f>
        <v>582</v>
      </c>
      <c r="I366" s="10">
        <f>F366/H366</f>
        <v>0.97594501718213056</v>
      </c>
      <c r="J366" s="11">
        <f>1-I366</f>
        <v>2.4054982817869441E-2</v>
      </c>
      <c r="K366">
        <f>H366-F368</f>
        <v>-77</v>
      </c>
      <c r="N366" s="10">
        <f>2*(F369*I366)/(F369+I366)</f>
        <v>0.9153908138597906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7</v>
      </c>
      <c r="E367" s="8">
        <v>7</v>
      </c>
      <c r="F367" s="8">
        <v>62</v>
      </c>
      <c r="G367" s="28">
        <v>933</v>
      </c>
      <c r="H367" s="1">
        <f>SUM(C367:G367)</f>
        <v>1009</v>
      </c>
      <c r="I367" s="10">
        <f>G367/H367</f>
        <v>0.92467789890981167</v>
      </c>
      <c r="J367" s="11">
        <f>1-I367</f>
        <v>7.5322101090188331E-2</v>
      </c>
      <c r="K367">
        <f>H367-G368</f>
        <v>65</v>
      </c>
      <c r="N367" s="10">
        <f>2*(G369*I367)/(G369+I367)</f>
        <v>0.955453149001536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419</v>
      </c>
      <c r="D368" s="1">
        <f>SUM(D363:D367)</f>
        <v>66</v>
      </c>
      <c r="E368" s="1">
        <f>SUM(E363:E367)</f>
        <v>748</v>
      </c>
      <c r="F368" s="1">
        <f>SUM(F363:F367)</f>
        <v>659</v>
      </c>
      <c r="G368" s="1">
        <f>SUM(G363:G367)</f>
        <v>944</v>
      </c>
      <c r="H368" s="1">
        <f>SUM(H362:H367)</f>
        <v>2836</v>
      </c>
      <c r="I368" s="13" t="s">
        <v>12</v>
      </c>
      <c r="N368" s="16"/>
      <c r="O368" s="1"/>
      <c r="P368" s="1"/>
    </row>
    <row r="369" spans="1:40" x14ac:dyDescent="0.3">
      <c r="A369" s="1" t="s">
        <v>52</v>
      </c>
      <c r="B369" s="1" t="s">
        <v>2</v>
      </c>
      <c r="C369" s="10">
        <f>C363/C368</f>
        <v>1</v>
      </c>
      <c r="D369" s="10">
        <f>D364/D368</f>
        <v>0.83333333333333337</v>
      </c>
      <c r="E369" s="10">
        <f>E365/E368</f>
        <v>0.98395721925133695</v>
      </c>
      <c r="F369" s="10">
        <f>F366/F368</f>
        <v>0.86191198786039458</v>
      </c>
      <c r="G369" s="10">
        <f>G367/G368</f>
        <v>0.98834745762711862</v>
      </c>
      <c r="H369" s="10"/>
      <c r="I369" s="14">
        <f>(C363+D364+E365+F366+G367)/H368</f>
        <v>0.95592383638928069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0.16666666666666663</v>
      </c>
      <c r="E370" s="11">
        <f>1-E369</f>
        <v>1.6042780748663055E-2</v>
      </c>
      <c r="F370" s="11">
        <f>1-F369</f>
        <v>0.13808801213960542</v>
      </c>
      <c r="G370" s="11">
        <f>1-G369</f>
        <v>1.165254237288138E-2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0.22136071723589659</v>
      </c>
      <c r="D374" s="31">
        <f>(D363/$L374)*$O374</f>
        <v>2.1132288041613039E-3</v>
      </c>
      <c r="E374" s="31">
        <f>(E363/$L374)*$O374</f>
        <v>0</v>
      </c>
      <c r="F374" s="31">
        <f>(F363/$L374)*$O374</f>
        <v>1.4792601629129128E-2</v>
      </c>
      <c r="G374" s="32">
        <f>(G363/$L374)*$O374</f>
        <v>0</v>
      </c>
      <c r="H374" s="17">
        <f>SUM(C374:G374)</f>
        <v>0.23826654766918703</v>
      </c>
      <c r="I374" s="17">
        <f>C374/H374*100</f>
        <v>92.904656319290453</v>
      </c>
      <c r="J374" s="17">
        <f>SQRT(I374*(100-I374)/(L374-1))</f>
        <v>1.2103171908623052</v>
      </c>
      <c r="K374" s="18">
        <f>100-I374</f>
        <v>7.0953436807095471</v>
      </c>
      <c r="L374" s="1">
        <f>H363</f>
        <v>451</v>
      </c>
      <c r="M374">
        <v>0</v>
      </c>
      <c r="N374" s="1">
        <v>228.1</v>
      </c>
      <c r="O374" s="17">
        <f>N374/N379*100</f>
        <v>0.23826654766918701</v>
      </c>
      <c r="P374" s="52">
        <f>((O374*O374*(I374/100)*(K374/100))/(L374-1))</f>
        <v>8.3161927781813878E-6</v>
      </c>
    </row>
    <row r="375" spans="1:40" x14ac:dyDescent="0.3">
      <c r="A375" t="s">
        <v>4</v>
      </c>
      <c r="B375" s="13">
        <v>1</v>
      </c>
      <c r="C375" s="33">
        <f t="shared" ref="C375:G378" si="47">(C364/$L375)*$O375</f>
        <v>0</v>
      </c>
      <c r="D375" s="34">
        <f t="shared" si="47"/>
        <v>1.2134034150024788</v>
      </c>
      <c r="E375" s="19">
        <f t="shared" si="47"/>
        <v>4.4123760545544684E-2</v>
      </c>
      <c r="F375" s="18">
        <f t="shared" si="47"/>
        <v>0</v>
      </c>
      <c r="G375" s="20">
        <f t="shared" si="47"/>
        <v>0</v>
      </c>
      <c r="H375" s="17">
        <f>SUM(C375:G375)</f>
        <v>1.2575271755480235</v>
      </c>
      <c r="I375" s="17">
        <f>D375/H375*100</f>
        <v>96.491228070175438</v>
      </c>
      <c r="J375" s="17">
        <f>SQRT(I375*(100-I375)/(L375-1))</f>
        <v>2.4588241692166148</v>
      </c>
      <c r="K375" s="18">
        <f>100-I375</f>
        <v>3.5087719298245617</v>
      </c>
      <c r="L375" s="1">
        <f>H364</f>
        <v>57</v>
      </c>
      <c r="M375">
        <v>1</v>
      </c>
      <c r="N375" s="1">
        <v>1203.8699999999999</v>
      </c>
      <c r="O375" s="17">
        <f>N375/N379*100</f>
        <v>1.2575271755480235</v>
      </c>
      <c r="P375" s="52">
        <f>((O375*O375*(I375/100)*(K375/100))/(L375-1))</f>
        <v>9.5607003086992082E-4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47"/>
        <v>0</v>
      </c>
      <c r="D376" s="19">
        <f t="shared" si="47"/>
        <v>0</v>
      </c>
      <c r="E376" s="34">
        <f t="shared" si="47"/>
        <v>60.032519984933963</v>
      </c>
      <c r="F376" s="19">
        <f t="shared" si="47"/>
        <v>8.1565923892573319E-2</v>
      </c>
      <c r="G376" s="20">
        <f t="shared" si="47"/>
        <v>0</v>
      </c>
      <c r="H376" s="17">
        <f>SUM(C376:G376)</f>
        <v>60.114085908826539</v>
      </c>
      <c r="I376" s="17">
        <f>E376/H376*100</f>
        <v>99.864314789687924</v>
      </c>
      <c r="J376" s="17">
        <f>SQRT(I376*(100-I376)/(L376-1))</f>
        <v>0.13568521031207589</v>
      </c>
      <c r="K376" s="18">
        <f>100-I376</f>
        <v>0.13568521031207581</v>
      </c>
      <c r="L376" s="1">
        <f>H365</f>
        <v>737</v>
      </c>
      <c r="M376">
        <v>2</v>
      </c>
      <c r="N376" s="1">
        <v>57549.09</v>
      </c>
      <c r="O376" s="17">
        <f>N376/N379*100</f>
        <v>60.114085908826539</v>
      </c>
      <c r="P376" s="52">
        <f>((O376*O376*(I376/100)*(K376/100))/(L376-1))</f>
        <v>6.652999940449056E-3</v>
      </c>
    </row>
    <row r="377" spans="1:40" x14ac:dyDescent="0.3">
      <c r="A377" t="s">
        <v>6</v>
      </c>
      <c r="B377" s="13">
        <v>3</v>
      </c>
      <c r="C377" s="33">
        <f t="shared" si="47"/>
        <v>0</v>
      </c>
      <c r="D377" s="19">
        <f t="shared" si="47"/>
        <v>0</v>
      </c>
      <c r="E377" s="19">
        <f t="shared" si="47"/>
        <v>0.16744740886537426</v>
      </c>
      <c r="F377" s="34">
        <f t="shared" si="47"/>
        <v>31.70337607851086</v>
      </c>
      <c r="G377" s="20">
        <f t="shared" si="47"/>
        <v>0.61397383250637227</v>
      </c>
      <c r="H377" s="17">
        <f>SUM(C377:G377)</f>
        <v>32.48479731988261</v>
      </c>
      <c r="I377" s="17">
        <f>F377/H377*100</f>
        <v>97.594501718213053</v>
      </c>
      <c r="J377" s="17">
        <f>SQRT(I377*(100-I377)/(L377-1))</f>
        <v>0.63566329513058506</v>
      </c>
      <c r="K377" s="18">
        <f>100-I377</f>
        <v>2.4054982817869472</v>
      </c>
      <c r="L377" s="1">
        <f>H366</f>
        <v>582</v>
      </c>
      <c r="M377">
        <v>3</v>
      </c>
      <c r="N377" s="1">
        <v>31098.71</v>
      </c>
      <c r="O377" s="17">
        <f>N377/N379*100</f>
        <v>32.48479731988261</v>
      </c>
      <c r="P377" s="52">
        <f>((O377*O377*(I377/100)*(K377/100))/(L377-1))</f>
        <v>4.263974439061162E-2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47"/>
        <v>0</v>
      </c>
      <c r="D378" s="36">
        <f t="shared" si="47"/>
        <v>4.0968544436586242E-2</v>
      </c>
      <c r="E378" s="21">
        <f t="shared" si="47"/>
        <v>4.0968544436586242E-2</v>
      </c>
      <c r="F378" s="21">
        <f t="shared" si="47"/>
        <v>0.3628642507240496</v>
      </c>
      <c r="G378" s="37">
        <f t="shared" si="47"/>
        <v>5.4605217084764233</v>
      </c>
      <c r="H378" s="17">
        <f>SUM(C378:G378)</f>
        <v>5.9053230480736456</v>
      </c>
      <c r="I378" s="17">
        <f>G378/H378*100</f>
        <v>92.467789890981166</v>
      </c>
      <c r="J378" s="17">
        <f>SQRT(I378*(100-I378)/(L378-1))</f>
        <v>0.83123952539973922</v>
      </c>
      <c r="K378" s="18">
        <f>100-I378</f>
        <v>7.532210109018834</v>
      </c>
      <c r="L378" s="1">
        <f>H367</f>
        <v>1009</v>
      </c>
      <c r="M378">
        <v>4</v>
      </c>
      <c r="N378" s="1">
        <v>5653.35</v>
      </c>
      <c r="O378" s="17">
        <f>N378/N379*100</f>
        <v>5.9053230480736456</v>
      </c>
      <c r="P378" s="52">
        <f>((O378*O378*(I378/100)*(K378/100))/(L378-1))</f>
        <v>2.4095708043948673E-3</v>
      </c>
    </row>
    <row r="379" spans="1:40" x14ac:dyDescent="0.3">
      <c r="B379" t="s">
        <v>28</v>
      </c>
      <c r="C379" s="17">
        <f t="shared" ref="C379:H379" si="48">SUM(C374:C378)</f>
        <v>0.22136071723589659</v>
      </c>
      <c r="D379" s="17">
        <f t="shared" si="48"/>
        <v>1.2564851882432262</v>
      </c>
      <c r="E379" s="17">
        <f t="shared" si="48"/>
        <v>60.285059698781467</v>
      </c>
      <c r="F379" s="17">
        <f t="shared" si="48"/>
        <v>32.16259885475661</v>
      </c>
      <c r="G379" s="17">
        <f t="shared" si="48"/>
        <v>6.0744955409827952</v>
      </c>
      <c r="H379" s="18">
        <f t="shared" si="48"/>
        <v>100</v>
      </c>
      <c r="I379" s="13" t="s">
        <v>24</v>
      </c>
      <c r="J379" s="12" t="s">
        <v>29</v>
      </c>
      <c r="N379" s="1">
        <f>SUM(N374:N378)</f>
        <v>95733.119999999995</v>
      </c>
      <c r="O379" s="17">
        <f>SUM(O374:O378)</f>
        <v>100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2.8805821158830115E-3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3.4329498584056053E-2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0.13084118607920125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0.22629848440449477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0.18981285768418277</v>
      </c>
      <c r="H380" s="1"/>
      <c r="I380" s="14">
        <f>(C374+D375+E376+F377+G378)/H379</f>
        <v>0.98631181904159615</v>
      </c>
      <c r="J380" s="53">
        <f>SQRT(SUM(P374:P378))/100</f>
        <v>2.2949226862599022E-3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96.571247027513081</v>
      </c>
      <c r="E381" s="17">
        <f>E376/E379*100</f>
        <v>99.581090712841075</v>
      </c>
      <c r="F381" s="17">
        <f>F377/F379*100</f>
        <v>98.572183863873818</v>
      </c>
      <c r="G381" s="17">
        <f>G378/G379*100</f>
        <v>89.892595551942136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1.4582387361553533</v>
      </c>
      <c r="E382" s="18">
        <f>SQRT((E385+E386)/(E379*E379))</f>
        <v>0.16942589582300122</v>
      </c>
      <c r="F382" s="18">
        <f>SQRT((F385+F386)/(F379*F379))</f>
        <v>0.29950855147454414</v>
      </c>
      <c r="G382" s="18">
        <f>SQRT((G385+G386)/(G379*G379))</f>
        <v>2.8359587143948075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3.4287529724869188</v>
      </c>
      <c r="E383" s="18">
        <f>100-E381</f>
        <v>0.41890928715892528</v>
      </c>
      <c r="F383" s="18">
        <f>100-F381</f>
        <v>1.4278161361261823</v>
      </c>
      <c r="G383" s="18">
        <f>100-G381</f>
        <v>10.107404448057864</v>
      </c>
      <c r="AM383" s="78"/>
      <c r="AN383" s="78"/>
    </row>
    <row r="384" spans="1:40" ht="15.6" x14ac:dyDescent="0.35">
      <c r="B384" s="1" t="s">
        <v>25</v>
      </c>
      <c r="C384" s="1">
        <f>C368</f>
        <v>419</v>
      </c>
      <c r="D384" s="1">
        <f>D368</f>
        <v>66</v>
      </c>
      <c r="E384" s="1">
        <f>E368</f>
        <v>748</v>
      </c>
      <c r="F384" s="1">
        <f>F368</f>
        <v>659</v>
      </c>
      <c r="G384" s="1">
        <f>G368</f>
        <v>944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1.1239890987902756</v>
      </c>
      <c r="E385" s="18">
        <f>(O376*O376*(100-E381)*(100-E381)*(I376)*(100-I376))/((L376-1)*100)</f>
        <v>0.11675016337944998</v>
      </c>
      <c r="F385" s="18">
        <f>(O377*O377*(100-F381)*(100-F381)*(I377)*(100-I377))/((L377-1)*100)</f>
        <v>8.6927895187990014</v>
      </c>
      <c r="G385" s="18">
        <f>(O378*O378*(100-G381)*(100-G381)*(I378)*(100-I378))/((L378-1)*100)</f>
        <v>24.616084900872071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2.2331706527369568</v>
      </c>
      <c r="E386" s="18">
        <f>E381*E381*(SUM((H374*E374*(1-E363/H363))/(H363-1),(H375*E375*(1-E364/H364))/(H364-1), (H377*E377*(1-E366/H366))/(H366-1),(H378*E378*(1-E367/H367))/(H367-1)))</f>
        <v>104.20598664775203</v>
      </c>
      <c r="F386" s="18">
        <f>F381*F381*(SUM((H374*F374*(1-F363/H363))/(H363-1),(H375*F375*(1-F364/H364))/(H364-1), (H376*F376*(1-F365/H365))/(H365-1),(H378*F378*(1-F367/H367))/(H367-1)))</f>
        <v>84.101386903139115</v>
      </c>
      <c r="G386" s="18">
        <f>G381*G381*(SUM((H374*G374*(1-G363/H363))/(H363-1),(H375*G375*(1-G364/H364))/(H364-1), (H376*G376*(1-G365/H365))/(H365-1),(H377*G377*(1-G366/H366))/(H366-1)))</f>
        <v>272.15408373807077</v>
      </c>
    </row>
    <row r="387" spans="1:40" x14ac:dyDescent="0.3">
      <c r="AM387" s="78"/>
      <c r="AN387" s="78"/>
    </row>
    <row r="389" spans="1:40" x14ac:dyDescent="0.3">
      <c r="A389" s="348" t="s">
        <v>380</v>
      </c>
      <c r="B389" s="348"/>
      <c r="C389" s="348"/>
      <c r="D389" s="348"/>
      <c r="E389" s="348"/>
      <c r="F389" s="348"/>
      <c r="G389" s="348"/>
      <c r="H389" s="348"/>
      <c r="I389" s="348"/>
      <c r="J389" s="348"/>
      <c r="K389" s="348"/>
      <c r="L389" s="348" t="s">
        <v>86</v>
      </c>
      <c r="M389" s="348"/>
      <c r="N389" s="348"/>
      <c r="O389" s="348"/>
      <c r="P389" s="348"/>
      <c r="AM389" s="78"/>
      <c r="AN389" s="78"/>
    </row>
    <row r="390" spans="1:40" x14ac:dyDescent="0.3">
      <c r="A390" t="s">
        <v>15</v>
      </c>
      <c r="B390" t="s">
        <v>21</v>
      </c>
      <c r="I390" s="1" t="s">
        <v>53</v>
      </c>
      <c r="O390" s="142"/>
      <c r="P390" s="142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51</v>
      </c>
      <c r="O391" s="13"/>
      <c r="P391" s="13"/>
      <c r="AM391" s="78"/>
      <c r="AN391" s="78"/>
    </row>
    <row r="392" spans="1:40" x14ac:dyDescent="0.3">
      <c r="A392" t="s">
        <v>3</v>
      </c>
      <c r="B392" s="13">
        <v>0</v>
      </c>
      <c r="C392" s="26">
        <v>419</v>
      </c>
      <c r="D392" s="3">
        <v>0</v>
      </c>
      <c r="E392" s="3">
        <v>0</v>
      </c>
      <c r="F392" s="3">
        <v>32</v>
      </c>
      <c r="G392" s="4">
        <v>0</v>
      </c>
      <c r="H392" s="1">
        <f>SUM(C392:G392)</f>
        <v>451</v>
      </c>
      <c r="I392" s="10">
        <f>C392/H392</f>
        <v>0.92904656319290468</v>
      </c>
      <c r="J392" s="11">
        <f>1-I392</f>
        <v>7.0953436807095316E-2</v>
      </c>
      <c r="K392">
        <f>H392-C397</f>
        <v>32</v>
      </c>
      <c r="N392" s="10">
        <f>2*(C398*I392)/(C398+I392)</f>
        <v>0.9632183908045977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56</v>
      </c>
      <c r="E393" s="1">
        <v>1</v>
      </c>
      <c r="F393" s="1">
        <v>0</v>
      </c>
      <c r="G393" s="6">
        <v>0</v>
      </c>
      <c r="H393" s="1">
        <f>SUM(C393:G393)</f>
        <v>57</v>
      </c>
      <c r="I393" s="10">
        <f>D393/H393</f>
        <v>0.98245614035087714</v>
      </c>
      <c r="J393" s="11">
        <f>1-I393</f>
        <v>1.7543859649122862E-2</v>
      </c>
      <c r="K393">
        <f>H393-D397</f>
        <v>-12</v>
      </c>
      <c r="N393" s="10">
        <f>2*(D398*I393)/(D398+I393)</f>
        <v>0.88888888888888895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0</v>
      </c>
      <c r="E394" s="27">
        <v>736</v>
      </c>
      <c r="F394" s="1">
        <v>1</v>
      </c>
      <c r="G394" s="6">
        <v>0</v>
      </c>
      <c r="H394" s="1">
        <f>SUM(C394:G394)</f>
        <v>737</v>
      </c>
      <c r="I394" s="10">
        <f>E394/H394</f>
        <v>0.99864314789687925</v>
      </c>
      <c r="J394" s="11">
        <f>1-I394</f>
        <v>1.3568521031207537E-3</v>
      </c>
      <c r="K394">
        <f>H394-E397</f>
        <v>-11</v>
      </c>
      <c r="N394" s="10">
        <f>2*(E398*I394)/(E398+I394)</f>
        <v>0.99124579124579126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0</v>
      </c>
      <c r="E395" s="1">
        <v>4</v>
      </c>
      <c r="F395" s="27">
        <v>568</v>
      </c>
      <c r="G395" s="6">
        <v>10</v>
      </c>
      <c r="H395" s="1">
        <f>SUM(C395:G395)</f>
        <v>582</v>
      </c>
      <c r="I395" s="10">
        <f>F395/H395</f>
        <v>0.97594501718213056</v>
      </c>
      <c r="J395" s="11">
        <f>1-I395</f>
        <v>2.4054982817869441E-2</v>
      </c>
      <c r="K395">
        <f>H395-F397</f>
        <v>-71</v>
      </c>
      <c r="N395" s="10">
        <f>2*(F398*I395)/(F398+I395)</f>
        <v>0.91983805668016194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13</v>
      </c>
      <c r="E396" s="8">
        <v>7</v>
      </c>
      <c r="F396" s="8">
        <v>52</v>
      </c>
      <c r="G396" s="28">
        <v>937</v>
      </c>
      <c r="H396" s="1">
        <f>SUM(C396:G396)</f>
        <v>1009</v>
      </c>
      <c r="I396" s="10">
        <f>G396/H396</f>
        <v>0.92864222001982155</v>
      </c>
      <c r="J396" s="11">
        <f>1-I396</f>
        <v>7.1357779980178448E-2</v>
      </c>
      <c r="K396">
        <f>H396-G397</f>
        <v>62</v>
      </c>
      <c r="N396" s="10">
        <f>2*(G398*I396)/(G398+I396)</f>
        <v>0.958077709611452</v>
      </c>
      <c r="O396" s="1"/>
      <c r="P396" s="1"/>
    </row>
    <row r="397" spans="1:40" ht="15.6" x14ac:dyDescent="0.35">
      <c r="B397" s="1" t="s">
        <v>19</v>
      </c>
      <c r="C397" s="1">
        <f>SUM(C392:C396)</f>
        <v>419</v>
      </c>
      <c r="D397" s="1">
        <f>SUM(D392:D396)</f>
        <v>69</v>
      </c>
      <c r="E397" s="1">
        <f>SUM(E392:E396)</f>
        <v>748</v>
      </c>
      <c r="F397" s="1">
        <f>SUM(F392:F396)</f>
        <v>653</v>
      </c>
      <c r="G397" s="1">
        <f>SUM(G392:G396)</f>
        <v>947</v>
      </c>
      <c r="H397" s="1">
        <f>SUM(H391:H396)</f>
        <v>2836</v>
      </c>
      <c r="I397" s="13" t="s">
        <v>12</v>
      </c>
      <c r="N397" s="16"/>
      <c r="O397" s="1"/>
      <c r="P397" s="1"/>
      <c r="AM397" s="78"/>
      <c r="AN397" s="78"/>
    </row>
    <row r="398" spans="1:40" x14ac:dyDescent="0.3">
      <c r="A398" s="1" t="s">
        <v>52</v>
      </c>
      <c r="B398" s="1" t="s">
        <v>2</v>
      </c>
      <c r="C398" s="10">
        <f>C392/C397</f>
        <v>1</v>
      </c>
      <c r="D398" s="10">
        <f>D393/D397</f>
        <v>0.81159420289855078</v>
      </c>
      <c r="E398" s="10">
        <f>E394/E397</f>
        <v>0.98395721925133695</v>
      </c>
      <c r="F398" s="10">
        <f>F395/F397</f>
        <v>0.86983154670750384</v>
      </c>
      <c r="G398" s="10">
        <f>G396/G397</f>
        <v>0.98944033790918695</v>
      </c>
      <c r="H398" s="10"/>
      <c r="I398" s="14">
        <f>(C392+D393+E394+F395+G396)/H397</f>
        <v>0.9576868829337094</v>
      </c>
    </row>
    <row r="399" spans="1:40" x14ac:dyDescent="0.3">
      <c r="B399" s="1" t="s">
        <v>14</v>
      </c>
      <c r="C399" s="11">
        <f>1-C398</f>
        <v>0</v>
      </c>
      <c r="D399" s="11">
        <f>1-D398</f>
        <v>0.18840579710144922</v>
      </c>
      <c r="E399" s="11">
        <f>1-E398</f>
        <v>1.6042780748663055E-2</v>
      </c>
      <c r="F399" s="11">
        <f>1-F398</f>
        <v>0.13016845329249616</v>
      </c>
      <c r="G399" s="11">
        <f>1-G398</f>
        <v>1.0559662090813049E-2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0.22118603538976561</v>
      </c>
      <c r="D403" s="31">
        <f>(D392/$L403)*$O403</f>
        <v>0</v>
      </c>
      <c r="E403" s="31">
        <f>(E392/$L403)*$O403</f>
        <v>0</v>
      </c>
      <c r="F403" s="31">
        <f>(F392/$L403)*$O403</f>
        <v>1.6892489576306683E-2</v>
      </c>
      <c r="G403" s="32">
        <f>(G392/$L403)*$O403</f>
        <v>0</v>
      </c>
      <c r="H403" s="17">
        <f>SUM(C403:G403)</f>
        <v>0.23807852496607229</v>
      </c>
      <c r="I403" s="17">
        <f>C403/H403*100</f>
        <v>92.904656319290467</v>
      </c>
      <c r="J403" s="17">
        <f>SQRT(I403*(100-I403)/(L403-1))</f>
        <v>1.210317190862304</v>
      </c>
      <c r="K403" s="18">
        <f>100-I403</f>
        <v>7.0953436807095329</v>
      </c>
      <c r="L403" s="1">
        <f>H392</f>
        <v>451</v>
      </c>
      <c r="M403">
        <v>0</v>
      </c>
      <c r="N403" s="1">
        <v>227.92</v>
      </c>
      <c r="O403" s="17">
        <f>N403/N408*100</f>
        <v>0.23807852496607229</v>
      </c>
      <c r="P403" s="52">
        <f>((O403*O403*(I403/100)*(K403/100))/(L403-1))</f>
        <v>8.3030728827693675E-6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49">(C393/$L404)*$O404</f>
        <v>0</v>
      </c>
      <c r="D404" s="34">
        <f t="shared" si="49"/>
        <v>1.1321942837345127</v>
      </c>
      <c r="E404" s="19">
        <f t="shared" si="49"/>
        <v>2.0217755066687725E-2</v>
      </c>
      <c r="F404" s="18">
        <f t="shared" si="49"/>
        <v>0</v>
      </c>
      <c r="G404" s="20">
        <f t="shared" si="49"/>
        <v>0</v>
      </c>
      <c r="H404" s="17">
        <f>SUM(C404:G404)</f>
        <v>1.1524120388012005</v>
      </c>
      <c r="I404" s="17">
        <f>D404/H404*100</f>
        <v>98.245614035087712</v>
      </c>
      <c r="J404" s="17">
        <f>SQRT(I404*(100-I404)/(L404-1))</f>
        <v>1.7543859649122842</v>
      </c>
      <c r="K404" s="18">
        <f>100-I404</f>
        <v>1.7543859649122879</v>
      </c>
      <c r="L404" s="1">
        <f>H393</f>
        <v>57</v>
      </c>
      <c r="M404">
        <v>1</v>
      </c>
      <c r="N404" s="1">
        <v>1103.24</v>
      </c>
      <c r="O404" s="17">
        <f>N404/N408*100</f>
        <v>1.1524120388012005</v>
      </c>
      <c r="P404" s="52">
        <f>((O404*O404*(I404/100)*(K404/100))/(L404-1))</f>
        <v>4.0875761993657895E-4</v>
      </c>
    </row>
    <row r="405" spans="1:40" x14ac:dyDescent="0.3">
      <c r="A405" t="s">
        <v>5</v>
      </c>
      <c r="B405" s="13">
        <v>2</v>
      </c>
      <c r="C405" s="33">
        <f t="shared" si="49"/>
        <v>0</v>
      </c>
      <c r="D405" s="19">
        <f t="shared" si="49"/>
        <v>0</v>
      </c>
      <c r="E405" s="34">
        <f t="shared" si="49"/>
        <v>59.792605170097879</v>
      </c>
      <c r="F405" s="19">
        <f t="shared" si="49"/>
        <v>8.1239952676763413E-2</v>
      </c>
      <c r="G405" s="20">
        <f t="shared" si="49"/>
        <v>0</v>
      </c>
      <c r="H405" s="17">
        <f>SUM(C405:G405)</f>
        <v>59.87384512277464</v>
      </c>
      <c r="I405" s="17">
        <f>E405/H405*100</f>
        <v>99.864314789687924</v>
      </c>
      <c r="J405" s="17">
        <f>SQRT(I405*(100-I405)/(L405-1))</f>
        <v>0.13568521031207589</v>
      </c>
      <c r="K405" s="18">
        <f>100-I405</f>
        <v>0.13568521031207581</v>
      </c>
      <c r="L405" s="1">
        <f>H394</f>
        <v>737</v>
      </c>
      <c r="M405">
        <v>2</v>
      </c>
      <c r="N405" s="1">
        <v>57319.1</v>
      </c>
      <c r="O405" s="17">
        <f>N405/N408*100</f>
        <v>59.87384512277464</v>
      </c>
      <c r="P405" s="52">
        <f>((O405*O405*(I405/100)*(K405/100))/(L405-1))</f>
        <v>6.5999299109227496E-3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49"/>
        <v>0</v>
      </c>
      <c r="D406" s="19">
        <f t="shared" si="49"/>
        <v>0</v>
      </c>
      <c r="E406" s="19">
        <f t="shared" si="49"/>
        <v>0.22664237967575063</v>
      </c>
      <c r="F406" s="34">
        <f t="shared" si="49"/>
        <v>32.183217913956589</v>
      </c>
      <c r="G406" s="20">
        <f t="shared" si="49"/>
        <v>0.56660594918937657</v>
      </c>
      <c r="H406" s="17">
        <f>SUM(C406:G406)</f>
        <v>32.976466242821715</v>
      </c>
      <c r="I406" s="17">
        <f>F406/H406*100</f>
        <v>97.594501718213067</v>
      </c>
      <c r="J406" s="17">
        <f>SQRT(I406*(100-I406)/(L406-1))</f>
        <v>0.63566329513058317</v>
      </c>
      <c r="K406" s="18">
        <f>100-I406</f>
        <v>2.405498281786933</v>
      </c>
      <c r="L406" s="1">
        <f>H395</f>
        <v>582</v>
      </c>
      <c r="M406">
        <v>3</v>
      </c>
      <c r="N406" s="1">
        <v>31569.4</v>
      </c>
      <c r="O406" s="17">
        <f>N406/N408*100</f>
        <v>32.976466242821715</v>
      </c>
      <c r="P406" s="52">
        <f>((O406*O406*(I406/100)*(K406/100))/(L406-1))</f>
        <v>4.39402475520623E-2</v>
      </c>
    </row>
    <row r="407" spans="1:40" x14ac:dyDescent="0.3">
      <c r="A407" t="s">
        <v>7</v>
      </c>
      <c r="B407" s="13">
        <v>4</v>
      </c>
      <c r="C407" s="35">
        <f t="shared" si="49"/>
        <v>0</v>
      </c>
      <c r="D407" s="36">
        <f t="shared" si="49"/>
        <v>7.4201759086494332E-2</v>
      </c>
      <c r="E407" s="21">
        <f t="shared" si="49"/>
        <v>3.9954793354266181E-2</v>
      </c>
      <c r="F407" s="21">
        <f t="shared" si="49"/>
        <v>0.29680703634597733</v>
      </c>
      <c r="G407" s="37">
        <f t="shared" si="49"/>
        <v>5.3482344818496301</v>
      </c>
      <c r="H407" s="17">
        <f>SUM(C407:G407)</f>
        <v>5.7591980706363683</v>
      </c>
      <c r="I407" s="17">
        <f>G407/H407*100</f>
        <v>92.864222001982156</v>
      </c>
      <c r="J407" s="17">
        <f>SQRT(I407*(100-I407)/(L407-1))</f>
        <v>0.81080162675050105</v>
      </c>
      <c r="K407" s="18">
        <f>100-I407</f>
        <v>7.1357779980178435</v>
      </c>
      <c r="L407" s="1">
        <f>H396</f>
        <v>1009</v>
      </c>
      <c r="M407">
        <v>4</v>
      </c>
      <c r="N407" s="1">
        <v>5513.46</v>
      </c>
      <c r="O407" s="17">
        <f>N407/N408*100</f>
        <v>5.7591980706363683</v>
      </c>
      <c r="P407" s="52">
        <f>((O407*O407*(I407/100)*(K407/100))/(L407-1))</f>
        <v>2.1804857503312548E-3</v>
      </c>
      <c r="AM407" s="78"/>
      <c r="AN407" s="78"/>
    </row>
    <row r="408" spans="1:40" x14ac:dyDescent="0.3">
      <c r="B408" t="s">
        <v>28</v>
      </c>
      <c r="C408" s="17">
        <f t="shared" ref="C408:H408" si="50">SUM(C403:C407)</f>
        <v>0.22118603538976561</v>
      </c>
      <c r="D408" s="17">
        <f t="shared" si="50"/>
        <v>1.206396042821007</v>
      </c>
      <c r="E408" s="17">
        <f t="shared" si="50"/>
        <v>60.079420098194589</v>
      </c>
      <c r="F408" s="17">
        <f t="shared" si="50"/>
        <v>32.578157392555632</v>
      </c>
      <c r="G408" s="17">
        <f t="shared" si="50"/>
        <v>5.914840431039007</v>
      </c>
      <c r="H408" s="18">
        <f t="shared" si="50"/>
        <v>100</v>
      </c>
      <c r="I408" s="13" t="s">
        <v>24</v>
      </c>
      <c r="J408" s="12" t="s">
        <v>29</v>
      </c>
      <c r="N408" s="1">
        <f>SUM(N403:N407)</f>
        <v>95733.12000000001</v>
      </c>
      <c r="O408" s="17">
        <f>SUM(O403:O407)</f>
        <v>100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2.878308969101516E-3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2.8629713477391867E-2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0.14132397941247812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0.22819032199238959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0.18365983721155937</v>
      </c>
      <c r="H409" s="1"/>
      <c r="I409" s="56">
        <f>(C403+D404+E405+F406+G407)/H408</f>
        <v>0.98677437885028385</v>
      </c>
      <c r="J409" s="53">
        <f>SQRT(SUM(P403:P407))/100</f>
        <v>2.3051621180762028E-3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93.849303507910832</v>
      </c>
      <c r="E410" s="17">
        <f>E405/E408*100</f>
        <v>99.522607029781682</v>
      </c>
      <c r="F410" s="17">
        <f>F406/F408*100</f>
        <v>98.787716954522139</v>
      </c>
      <c r="G410" s="17">
        <f>G407/G408*100</f>
        <v>90.420604650363387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1.8960778899960058</v>
      </c>
      <c r="E411" s="18">
        <f>SQRT((E414+E415)/(E408*E408))</f>
        <v>0.19194187869722629</v>
      </c>
      <c r="F411" s="18">
        <f>SQRT((F414+F415)/(F408*F408))</f>
        <v>0.2857212185131951</v>
      </c>
      <c r="G411" s="18">
        <f>SQRT((G414+G415)/(G408*G408))</f>
        <v>2.8210455592290584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6.1506964920891676</v>
      </c>
      <c r="E412" s="18">
        <f>100-E410</f>
        <v>0.47739297021831817</v>
      </c>
      <c r="F412" s="18">
        <f>100-F410</f>
        <v>1.2122830454778608</v>
      </c>
      <c r="G412" s="18">
        <f>100-G410</f>
        <v>9.5793953496366129</v>
      </c>
    </row>
    <row r="413" spans="1:40" ht="15.6" x14ac:dyDescent="0.35">
      <c r="B413" s="1" t="s">
        <v>25</v>
      </c>
      <c r="C413" s="1">
        <f>C397</f>
        <v>419</v>
      </c>
      <c r="D413" s="1">
        <f>D397</f>
        <v>69</v>
      </c>
      <c r="E413" s="1">
        <f>E397</f>
        <v>748</v>
      </c>
      <c r="F413" s="1">
        <f>F397</f>
        <v>653</v>
      </c>
      <c r="G413" s="1">
        <f>G397</f>
        <v>947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1.5463737044658759</v>
      </c>
      <c r="E414" s="18">
        <f>(O405*O405*(100-E410)*(100-E410)*(I405)*(100-I405))/((L405-1)*100)</f>
        <v>0.15041507433071022</v>
      </c>
      <c r="F414" s="18">
        <f>(O406*O406*(100-F410)*(100-F410)*(I406)*(100-I406))/((L406-1)*100)</f>
        <v>6.457591402257667</v>
      </c>
      <c r="G414" s="18">
        <f>(O407*O407*(100-G410)*(100-G410)*(I407)*(100-I407))/((L407-1)*100)</f>
        <v>20.009187206632653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3.6859205017217356</v>
      </c>
      <c r="E415" s="18">
        <f>E410*E410*(SUM((H403*E403*(1-E392/H392))/(H392-1),(H404*E404*(1-E393/H393))/(H393-1), (H406*E406*(1-E395/H395))/(H395-1),(H407*E407*(1-E396/H396))/(H396-1)))</f>
        <v>132.8309990055821</v>
      </c>
      <c r="F415" s="18">
        <f>F410*F410*(SUM((H403*F403*(1-F392/H392))/(H392-1),(H404*F404*(1-F393/H393))/(H393-1), (H405*F405*(1-F394/H394))/(H394-1),(H407*F407*(1-F396/H396))/(H396-1)))</f>
        <v>80.186314388674589</v>
      </c>
      <c r="G415" s="18">
        <f>G410*G410*(SUM((H403*G403*(1-G392/H392))/(H392-1),(H404*G404*(1-G393/H393))/(H393-1), (H405*G405*(1-G394/H394))/(H394-1),(H406*G406*(1-G395/H395))/(H395-1)))</f>
        <v>258.4145545064012</v>
      </c>
      <c r="AM415" s="78"/>
      <c r="AN415" s="78"/>
    </row>
    <row r="417" spans="1:40" x14ac:dyDescent="0.3">
      <c r="AM417" s="78"/>
      <c r="AN417" s="78"/>
    </row>
    <row r="418" spans="1:40" x14ac:dyDescent="0.3">
      <c r="A418" s="348" t="s">
        <v>380</v>
      </c>
      <c r="B418" s="348"/>
      <c r="C418" s="348"/>
      <c r="D418" s="348"/>
      <c r="E418" s="348"/>
      <c r="F418" s="348"/>
      <c r="G418" s="348"/>
      <c r="H418" s="348"/>
      <c r="I418" s="348"/>
      <c r="J418" s="348"/>
      <c r="K418" s="348"/>
      <c r="L418" s="348" t="s">
        <v>87</v>
      </c>
      <c r="M418" s="348"/>
      <c r="N418" s="348"/>
      <c r="O418" s="348"/>
      <c r="P418" s="348"/>
    </row>
    <row r="419" spans="1:40" x14ac:dyDescent="0.3">
      <c r="A419" t="s">
        <v>15</v>
      </c>
      <c r="B419" t="s">
        <v>21</v>
      </c>
      <c r="I419" s="1" t="s">
        <v>53</v>
      </c>
      <c r="O419" s="142"/>
      <c r="P419" s="142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51</v>
      </c>
      <c r="O420" s="13"/>
      <c r="P420" s="13"/>
    </row>
    <row r="421" spans="1:40" x14ac:dyDescent="0.3">
      <c r="A421" t="s">
        <v>3</v>
      </c>
      <c r="B421" s="13">
        <v>0</v>
      </c>
      <c r="C421" s="26">
        <v>411</v>
      </c>
      <c r="D421" s="3">
        <v>0</v>
      </c>
      <c r="E421" s="3">
        <v>0</v>
      </c>
      <c r="F421" s="3">
        <v>40</v>
      </c>
      <c r="G421" s="4">
        <v>0</v>
      </c>
      <c r="H421" s="1">
        <f>SUM(C421:G421)</f>
        <v>451</v>
      </c>
      <c r="I421" s="10">
        <f>C421/H421</f>
        <v>0.91130820399113077</v>
      </c>
      <c r="J421" s="11">
        <f>1-I421</f>
        <v>8.8691796008869228E-2</v>
      </c>
      <c r="K421">
        <f>H421-C426</f>
        <v>40</v>
      </c>
      <c r="N421" s="10">
        <f>2*(C427*I421)/(C427+I421)</f>
        <v>0.9535962877030163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54</v>
      </c>
      <c r="E422" s="1">
        <v>3</v>
      </c>
      <c r="F422" s="1">
        <v>0</v>
      </c>
      <c r="G422" s="6">
        <v>0</v>
      </c>
      <c r="H422" s="1">
        <f>SUM(C422:G422)</f>
        <v>57</v>
      </c>
      <c r="I422" s="10">
        <f>D422/H422</f>
        <v>0.94736842105263153</v>
      </c>
      <c r="J422" s="11">
        <f>1-I422</f>
        <v>5.2631578947368474E-2</v>
      </c>
      <c r="K422">
        <f>H422-D426</f>
        <v>-17</v>
      </c>
      <c r="N422" s="10">
        <f>2*(D427*I422)/(D427+I422)</f>
        <v>0.82442748091603058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0</v>
      </c>
      <c r="E423" s="27">
        <v>736</v>
      </c>
      <c r="F423" s="1">
        <v>1</v>
      </c>
      <c r="G423" s="6">
        <v>0</v>
      </c>
      <c r="H423" s="1">
        <f>SUM(C423:G423)</f>
        <v>737</v>
      </c>
      <c r="I423" s="10">
        <f>E423/H423</f>
        <v>0.99864314789687925</v>
      </c>
      <c r="J423" s="11">
        <f>1-I423</f>
        <v>1.3568521031207537E-3</v>
      </c>
      <c r="K423">
        <f>H423-E426</f>
        <v>-17</v>
      </c>
      <c r="N423" s="10">
        <f>2*(E427*I423)/(E427+I423)</f>
        <v>0.98725687458081823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0</v>
      </c>
      <c r="E424" s="1">
        <v>4</v>
      </c>
      <c r="F424" s="27">
        <v>568</v>
      </c>
      <c r="G424" s="6">
        <v>10</v>
      </c>
      <c r="H424" s="1">
        <f>SUM(C424:G424)</f>
        <v>582</v>
      </c>
      <c r="I424" s="10">
        <f>F424/H424</f>
        <v>0.97594501718213056</v>
      </c>
      <c r="J424" s="11">
        <f>1-I424</f>
        <v>2.4054982817869441E-2</v>
      </c>
      <c r="K424">
        <f>H424-F426</f>
        <v>-69</v>
      </c>
      <c r="N424" s="10">
        <f>2*(F427*I424)/(F427+I424)</f>
        <v>0.92133008921330095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20</v>
      </c>
      <c r="E425" s="8">
        <v>11</v>
      </c>
      <c r="F425" s="8">
        <v>42</v>
      </c>
      <c r="G425" s="28">
        <v>936</v>
      </c>
      <c r="H425" s="1">
        <f>SUM(C425:G425)</f>
        <v>1009</v>
      </c>
      <c r="I425" s="10">
        <f>G425/H425</f>
        <v>0.92765113974231916</v>
      </c>
      <c r="J425" s="11">
        <f>1-I425</f>
        <v>7.2348860257680836E-2</v>
      </c>
      <c r="K425">
        <f>H425-G426</f>
        <v>63</v>
      </c>
      <c r="N425" s="10">
        <f>2*(G427*I425)/(G427+I425)</f>
        <v>0.95754475703324815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411</v>
      </c>
      <c r="D426" s="1">
        <f>SUM(D421:D425)</f>
        <v>74</v>
      </c>
      <c r="E426" s="1">
        <f>SUM(E421:E425)</f>
        <v>754</v>
      </c>
      <c r="F426" s="1">
        <f>SUM(F421:F425)</f>
        <v>651</v>
      </c>
      <c r="G426" s="1">
        <f>SUM(G421:G425)</f>
        <v>946</v>
      </c>
      <c r="H426" s="1">
        <f>SUM(H420:H425)</f>
        <v>2836</v>
      </c>
      <c r="I426" s="13" t="s">
        <v>12</v>
      </c>
      <c r="N426" s="16"/>
      <c r="O426" s="1"/>
      <c r="P426" s="1"/>
    </row>
    <row r="427" spans="1:40" x14ac:dyDescent="0.3">
      <c r="A427" s="1" t="s">
        <v>52</v>
      </c>
      <c r="B427" s="1" t="s">
        <v>2</v>
      </c>
      <c r="C427" s="10">
        <f>C421/C426</f>
        <v>1</v>
      </c>
      <c r="D427" s="10">
        <f>D422/D426</f>
        <v>0.72972972972972971</v>
      </c>
      <c r="E427" s="10">
        <f>E423/E426</f>
        <v>0.97612732095490717</v>
      </c>
      <c r="F427" s="10">
        <f>F424/F426</f>
        <v>0.87250384024577576</v>
      </c>
      <c r="G427" s="10">
        <f>G425/G426</f>
        <v>0.98942917547568709</v>
      </c>
      <c r="H427" s="10"/>
      <c r="I427" s="14">
        <f>(C421+D422+E423+F424+G425)/H426</f>
        <v>0.95380818053596617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0.27027027027027029</v>
      </c>
      <c r="E428" s="11">
        <f>1-E427</f>
        <v>2.3872679045092826E-2</v>
      </c>
      <c r="F428" s="11">
        <f>1-F427</f>
        <v>0.12749615975422424</v>
      </c>
      <c r="G428" s="11">
        <f>1-G427</f>
        <v>1.0570824524312905E-2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0.21199386067102463</v>
      </c>
      <c r="D432" s="31">
        <f>(D421/$L432)*$O432</f>
        <v>0</v>
      </c>
      <c r="E432" s="31">
        <f>(E421/$L432)*$O432</f>
        <v>0</v>
      </c>
      <c r="F432" s="31">
        <f>(F421/$L432)*$O432</f>
        <v>2.0632005904722594E-2</v>
      </c>
      <c r="G432" s="32">
        <f>(G421/$L432)*$O432</f>
        <v>0</v>
      </c>
      <c r="H432" s="17">
        <f>SUM(C432:G432)</f>
        <v>0.23262586657574721</v>
      </c>
      <c r="I432" s="17">
        <f>C432/H432*100</f>
        <v>91.130820399113091</v>
      </c>
      <c r="J432" s="17">
        <f>SQRT(I432*(100-I432)/(L432-1))</f>
        <v>1.3401953533354776</v>
      </c>
      <c r="K432" s="18">
        <f>100-I432</f>
        <v>8.869179600886909</v>
      </c>
      <c r="L432" s="1">
        <f>H421</f>
        <v>451</v>
      </c>
      <c r="M432">
        <v>0</v>
      </c>
      <c r="N432" s="1">
        <v>222.7</v>
      </c>
      <c r="O432" s="17">
        <f>N432/N437*100</f>
        <v>0.23262586657574724</v>
      </c>
      <c r="P432" s="52">
        <f>((O432*O432*(I432/100)*(K432/100))/(L432-1))</f>
        <v>9.7196857447322552E-6</v>
      </c>
    </row>
    <row r="433" spans="1:40" x14ac:dyDescent="0.3">
      <c r="A433" t="s">
        <v>4</v>
      </c>
      <c r="B433" s="13">
        <v>1</v>
      </c>
      <c r="C433" s="33">
        <f t="shared" ref="C433:G436" si="51">(C422/$L433)*$O433</f>
        <v>0</v>
      </c>
      <c r="D433" s="34">
        <f t="shared" si="51"/>
        <v>1.3569400565150065</v>
      </c>
      <c r="E433" s="19">
        <f t="shared" si="51"/>
        <v>7.5385558695278146E-2</v>
      </c>
      <c r="F433" s="18">
        <f t="shared" si="51"/>
        <v>0</v>
      </c>
      <c r="G433" s="20">
        <f t="shared" si="51"/>
        <v>0</v>
      </c>
      <c r="H433" s="17">
        <f>SUM(C433:G433)</f>
        <v>1.4323256152102846</v>
      </c>
      <c r="I433" s="17">
        <f>D433/H433*100</f>
        <v>94.736842105263165</v>
      </c>
      <c r="J433" s="17">
        <f>SQRT(I433*(100-I433)/(L433-1))</f>
        <v>2.983930050072845</v>
      </c>
      <c r="K433" s="18">
        <f>100-I433</f>
        <v>5.2631578947368354</v>
      </c>
      <c r="L433" s="1">
        <f>H422</f>
        <v>57</v>
      </c>
      <c r="M433">
        <v>1</v>
      </c>
      <c r="N433" s="1">
        <v>1371.21</v>
      </c>
      <c r="O433" s="17">
        <f>N433/N437*100</f>
        <v>1.4323256152102848</v>
      </c>
      <c r="P433" s="52">
        <f>((O433*O433*(I433/100)*(K433/100))/(L433-1))</f>
        <v>1.8266729335068923E-3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51"/>
        <v>0</v>
      </c>
      <c r="D434" s="19">
        <f t="shared" si="51"/>
        <v>0</v>
      </c>
      <c r="E434" s="34">
        <f t="shared" si="51"/>
        <v>59.654481248916774</v>
      </c>
      <c r="F434" s="19">
        <f t="shared" si="51"/>
        <v>8.1052284305593442E-2</v>
      </c>
      <c r="G434" s="20">
        <f t="shared" si="51"/>
        <v>0</v>
      </c>
      <c r="H434" s="17">
        <f>SUM(C434:G434)</f>
        <v>59.735533533222366</v>
      </c>
      <c r="I434" s="17">
        <f>E434/H434*100</f>
        <v>99.864314789687924</v>
      </c>
      <c r="J434" s="17">
        <f>SQRT(I434*(100-I434)/(L434-1))</f>
        <v>0.13568521031207589</v>
      </c>
      <c r="K434" s="18">
        <f>100-I434</f>
        <v>0.13568521031207581</v>
      </c>
      <c r="L434" s="1">
        <f>H423</f>
        <v>737</v>
      </c>
      <c r="M434">
        <v>2</v>
      </c>
      <c r="N434" s="1">
        <v>57186.69</v>
      </c>
      <c r="O434" s="17">
        <f>N434/N437*100</f>
        <v>59.735533533222366</v>
      </c>
      <c r="P434" s="52">
        <f>((O434*O434*(I434/100)*(K434/100))/(L434-1))</f>
        <v>6.5694727911547396E-3</v>
      </c>
    </row>
    <row r="435" spans="1:40" x14ac:dyDescent="0.3">
      <c r="A435" t="s">
        <v>6</v>
      </c>
      <c r="B435" s="13">
        <v>3</v>
      </c>
      <c r="C435" s="33">
        <f t="shared" si="51"/>
        <v>0</v>
      </c>
      <c r="D435" s="19">
        <f t="shared" si="51"/>
        <v>0</v>
      </c>
      <c r="E435" s="19">
        <f t="shared" si="51"/>
        <v>0.22527876637946964</v>
      </c>
      <c r="F435" s="34">
        <f t="shared" si="51"/>
        <v>31.989584825884688</v>
      </c>
      <c r="G435" s="20">
        <f t="shared" si="51"/>
        <v>0.56319691594867416</v>
      </c>
      <c r="H435" s="17">
        <f>SUM(C435:G435)</f>
        <v>32.778060508212832</v>
      </c>
      <c r="I435" s="17">
        <f>F435/H435*100</f>
        <v>97.594501718213053</v>
      </c>
      <c r="J435" s="17">
        <f>SQRT(I435*(100-I435)/(L435-1))</f>
        <v>0.63566329513058506</v>
      </c>
      <c r="K435" s="18">
        <f>100-I435</f>
        <v>2.4054982817869472</v>
      </c>
      <c r="L435" s="1">
        <f>H424</f>
        <v>582</v>
      </c>
      <c r="M435">
        <v>3</v>
      </c>
      <c r="N435" s="1">
        <v>31379.46</v>
      </c>
      <c r="O435" s="17">
        <f>N435/N437*100</f>
        <v>32.778060508212832</v>
      </c>
      <c r="P435" s="52">
        <f>((O435*O435*(I435/100)*(K435/100))/(L435-1))</f>
        <v>4.3413097629919996E-2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51"/>
        <v>0</v>
      </c>
      <c r="D436" s="36">
        <f t="shared" si="51"/>
        <v>0.11539057436627907</v>
      </c>
      <c r="E436" s="21">
        <f t="shared" si="51"/>
        <v>6.3464815901453489E-2</v>
      </c>
      <c r="F436" s="21">
        <f t="shared" si="51"/>
        <v>0.24232020616918604</v>
      </c>
      <c r="G436" s="37">
        <f t="shared" si="51"/>
        <v>5.4002788803418609</v>
      </c>
      <c r="H436" s="17">
        <f>SUM(C436:G436)</f>
        <v>5.8214544767787793</v>
      </c>
      <c r="I436" s="17">
        <f>G436/H436*100</f>
        <v>92.765113974231923</v>
      </c>
      <c r="J436" s="17">
        <f>SQRT(I436*(100-I436)/(L436-1))</f>
        <v>0.81597700883017399</v>
      </c>
      <c r="K436" s="18">
        <f>100-I436</f>
        <v>7.2348860257680769</v>
      </c>
      <c r="L436" s="1">
        <f>H425</f>
        <v>1009</v>
      </c>
      <c r="M436">
        <v>4</v>
      </c>
      <c r="N436" s="1">
        <v>5573.06</v>
      </c>
      <c r="O436" s="17">
        <f>N436/N437*100</f>
        <v>5.8214544767787793</v>
      </c>
      <c r="P436" s="52">
        <f>((O436*O436*(I436/100)*(K436/100))/(L436-1))</f>
        <v>2.2564143634461065E-3</v>
      </c>
    </row>
    <row r="437" spans="1:40" x14ac:dyDescent="0.3">
      <c r="B437" t="s">
        <v>28</v>
      </c>
      <c r="C437" s="17">
        <f t="shared" ref="C437:H437" si="52">SUM(C432:C436)</f>
        <v>0.21199386067102463</v>
      </c>
      <c r="D437" s="17">
        <f t="shared" si="52"/>
        <v>1.4723306308812856</v>
      </c>
      <c r="E437" s="17">
        <f t="shared" si="52"/>
        <v>60.018610389892977</v>
      </c>
      <c r="F437" s="17">
        <f t="shared" si="52"/>
        <v>32.333589322264189</v>
      </c>
      <c r="G437" s="17">
        <f t="shared" si="52"/>
        <v>5.9634757962905347</v>
      </c>
      <c r="H437" s="18">
        <f t="shared" si="52"/>
        <v>100.00000000000001</v>
      </c>
      <c r="I437" s="13" t="s">
        <v>24</v>
      </c>
      <c r="J437" s="12" t="s">
        <v>29</v>
      </c>
      <c r="N437" s="1">
        <f>SUM(N432:N436)</f>
        <v>95733.119999999995</v>
      </c>
      <c r="O437" s="17">
        <f>SUM(O432:O436)</f>
        <v>100.00000000000001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3.1141827716270475E-3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4.9468970616752969E-2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0.14600611523033893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0.22638162439850357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0.182833950273741</v>
      </c>
      <c r="H438" s="1"/>
      <c r="I438" s="56">
        <f>(C432+D433+E434+F435+G436)/H437</f>
        <v>0.98613278872329335</v>
      </c>
      <c r="J438" s="53">
        <f>SQRT(SUM(P432:P436))/100</f>
        <v>2.3254113056354669E-3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92.162726771689165</v>
      </c>
      <c r="E439" s="17">
        <f>E434/E437*100</f>
        <v>99.393306278484715</v>
      </c>
      <c r="F439" s="17">
        <f>F435/F437*100</f>
        <v>98.936076991172058</v>
      </c>
      <c r="G439" s="17">
        <f>G436/G437*100</f>
        <v>90.555894998366554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2.7812369903406622</v>
      </c>
      <c r="E440" s="18">
        <f>SQRT((E443+E444)/(E437*E437))</f>
        <v>0.20170963597873559</v>
      </c>
      <c r="F440" s="18">
        <f>SQRT((F443+F444)/(F437*F437))</f>
        <v>0.28081450127414026</v>
      </c>
      <c r="G440" s="18">
        <f>SQRT((G443+G444)/(G437*G437))</f>
        <v>2.7868632040571693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7.8372732283108348</v>
      </c>
      <c r="E441" s="18">
        <f>100-E439</f>
        <v>0.60669372151528478</v>
      </c>
      <c r="F441" s="18">
        <f>100-F439</f>
        <v>1.0639230088279419</v>
      </c>
      <c r="G441" s="18">
        <f>100-G439</f>
        <v>9.4441050016334458</v>
      </c>
      <c r="AM441" s="78"/>
      <c r="AN441" s="78"/>
    </row>
    <row r="442" spans="1:40" ht="15.6" x14ac:dyDescent="0.35">
      <c r="B442" s="1" t="s">
        <v>25</v>
      </c>
      <c r="C442" s="1">
        <f>C426</f>
        <v>411</v>
      </c>
      <c r="D442" s="1">
        <f>D426</f>
        <v>74</v>
      </c>
      <c r="E442" s="1">
        <f>E426</f>
        <v>754</v>
      </c>
      <c r="F442" s="1">
        <f>F426</f>
        <v>651</v>
      </c>
      <c r="G442" s="1">
        <f>G426</f>
        <v>946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11.219946061735872</v>
      </c>
      <c r="E443" s="18">
        <f>(O434*O434*(100-E439)*(100-E439)*(I434)*(100-I434))/((L434-1)*100)</f>
        <v>0.24180736216468607</v>
      </c>
      <c r="F443" s="18">
        <f>(O435*O435*(100-F439)*(100-F439)*(I435)*(100-I435))/((L435-1)*100)</f>
        <v>4.9140681750806285</v>
      </c>
      <c r="G443" s="18">
        <f>(O436*O436*(100-G439)*(100-G439)*(I436)*(100-I436))/((L436-1)*100)</f>
        <v>20.12521226394642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5.5482633275284003</v>
      </c>
      <c r="E444" s="18">
        <f>E439*E439*(SUM((H432*E432*(1-E421/H421))/(H421-1),(H433*E433*(1-E422/H422))/(H422-1), (H435*E435*(1-E424/H424))/(H424-1),(H436*E436*(1-E425/H425))/(H425-1)))</f>
        <v>146.3214684321552</v>
      </c>
      <c r="F444" s="18">
        <f>F439*F439*(SUM((H432*F432*(1-F421/H421))/(H421-1),(H433*F433*(1-F422/H422))/(H422-1), (H434*F434*(1-F423/H423))/(H423-1),(H436*F436*(1-F425/H425))/(H425-1)))</f>
        <v>77.527624092535007</v>
      </c>
      <c r="G444" s="18">
        <f>G439*G439*(SUM((H432*G432*(1-G421/H421))/(H421-1),(H433*G433*(1-G422/H422))/(H422-1), (H434*G434*(1-G423/H423))/(H423-1),(H435*G435*(1-G424/H424))/(H424-1)))</f>
        <v>256.07895375413563</v>
      </c>
    </row>
    <row r="445" spans="1:40" x14ac:dyDescent="0.3">
      <c r="AM445" s="78"/>
      <c r="AN445" s="78"/>
    </row>
    <row r="447" spans="1:40" x14ac:dyDescent="0.3">
      <c r="A447" s="348" t="s">
        <v>380</v>
      </c>
      <c r="B447" s="348"/>
      <c r="C447" s="348"/>
      <c r="D447" s="348"/>
      <c r="E447" s="348"/>
      <c r="F447" s="348"/>
      <c r="G447" s="348"/>
      <c r="H447" s="348"/>
      <c r="I447" s="348"/>
      <c r="J447" s="348"/>
      <c r="K447" s="348"/>
      <c r="L447" s="348" t="s">
        <v>88</v>
      </c>
      <c r="M447" s="348"/>
      <c r="N447" s="348"/>
      <c r="O447" s="348"/>
      <c r="P447" s="348"/>
      <c r="AM447" s="78"/>
      <c r="AN447" s="78"/>
    </row>
    <row r="448" spans="1:40" x14ac:dyDescent="0.3">
      <c r="A448" t="s">
        <v>15</v>
      </c>
      <c r="B448" t="s">
        <v>21</v>
      </c>
      <c r="I448" s="1" t="s">
        <v>53</v>
      </c>
      <c r="O448" s="142"/>
      <c r="P448" s="142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51</v>
      </c>
      <c r="O449" s="13"/>
      <c r="P449" s="13"/>
      <c r="AM449" s="78"/>
      <c r="AN449" s="78"/>
    </row>
    <row r="450" spans="1:40" x14ac:dyDescent="0.3">
      <c r="A450" t="s">
        <v>3</v>
      </c>
      <c r="B450" s="13">
        <v>0</v>
      </c>
      <c r="C450" s="26">
        <v>357</v>
      </c>
      <c r="D450" s="3">
        <v>0</v>
      </c>
      <c r="E450" s="3">
        <v>0</v>
      </c>
      <c r="F450" s="3">
        <v>94</v>
      </c>
      <c r="G450" s="4">
        <v>0</v>
      </c>
      <c r="H450" s="1">
        <f>SUM(C450:G450)</f>
        <v>451</v>
      </c>
      <c r="I450" s="10">
        <f>C450/H450</f>
        <v>0.79157427937915747</v>
      </c>
      <c r="J450" s="11">
        <f>1-I450</f>
        <v>0.20842572062084253</v>
      </c>
      <c r="K450">
        <f>H450-C455</f>
        <v>94</v>
      </c>
      <c r="N450" s="10">
        <f>2*(C456*I450)/(C456+I450)</f>
        <v>0.88366336633663378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56</v>
      </c>
      <c r="E451" s="1">
        <v>1</v>
      </c>
      <c r="F451" s="1">
        <v>0</v>
      </c>
      <c r="G451" s="6">
        <v>0</v>
      </c>
      <c r="H451" s="1">
        <f>SUM(C451:G451)</f>
        <v>57</v>
      </c>
      <c r="I451" s="10">
        <f>D451/H451</f>
        <v>0.98245614035087714</v>
      </c>
      <c r="J451" s="11">
        <f>1-I451</f>
        <v>1.7543859649122862E-2</v>
      </c>
      <c r="K451">
        <f>H451-D455</f>
        <v>-21</v>
      </c>
      <c r="N451" s="10">
        <f>2*(D456*I451)/(D456+I451)</f>
        <v>0.82962962962962961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0</v>
      </c>
      <c r="E452" s="27">
        <v>736</v>
      </c>
      <c r="F452" s="1">
        <v>1</v>
      </c>
      <c r="G452" s="6">
        <v>0</v>
      </c>
      <c r="H452" s="1">
        <f>SUM(C452:G452)</f>
        <v>737</v>
      </c>
      <c r="I452" s="10">
        <f>E452/H452</f>
        <v>0.99864314789687925</v>
      </c>
      <c r="J452" s="11">
        <f>1-I452</f>
        <v>1.3568521031207537E-3</v>
      </c>
      <c r="K452">
        <f>H452-E455</f>
        <v>-14</v>
      </c>
      <c r="N452" s="10">
        <f>2*(E456*I452)/(E456+I452)</f>
        <v>0.989247311827957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0</v>
      </c>
      <c r="E453" s="1">
        <v>3</v>
      </c>
      <c r="F453" s="27">
        <v>564</v>
      </c>
      <c r="G453" s="6">
        <v>15</v>
      </c>
      <c r="H453" s="1">
        <f>SUM(C453:G453)</f>
        <v>582</v>
      </c>
      <c r="I453" s="10">
        <f>F453/H453</f>
        <v>0.96907216494845361</v>
      </c>
      <c r="J453" s="11">
        <f>1-I453</f>
        <v>3.0927835051546393E-2</v>
      </c>
      <c r="K453">
        <f>H453-F455</f>
        <v>-127</v>
      </c>
      <c r="N453" s="10">
        <f>2*(F456*I453)/(F456+I453)</f>
        <v>0.87374128582494193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22</v>
      </c>
      <c r="E454" s="8">
        <v>11</v>
      </c>
      <c r="F454" s="8">
        <v>50</v>
      </c>
      <c r="G454" s="28">
        <v>926</v>
      </c>
      <c r="H454" s="1">
        <f>SUM(C454:G454)</f>
        <v>1009</v>
      </c>
      <c r="I454" s="10">
        <f>G454/H454</f>
        <v>0.9177403369672944</v>
      </c>
      <c r="J454" s="11">
        <f>1-I454</f>
        <v>8.2259663032705599E-2</v>
      </c>
      <c r="K454">
        <f>H454-G455</f>
        <v>68</v>
      </c>
      <c r="N454" s="10">
        <f>2*(G456*I454)/(G456+I454)</f>
        <v>0.94974358974358986</v>
      </c>
      <c r="O454" s="1"/>
      <c r="P454" s="1"/>
    </row>
    <row r="455" spans="1:40" ht="15.6" x14ac:dyDescent="0.35">
      <c r="B455" s="1" t="s">
        <v>19</v>
      </c>
      <c r="C455" s="1">
        <f>SUM(C450:C454)</f>
        <v>357</v>
      </c>
      <c r="D455" s="1">
        <f>SUM(D450:D454)</f>
        <v>78</v>
      </c>
      <c r="E455" s="1">
        <f>SUM(E450:E454)</f>
        <v>751</v>
      </c>
      <c r="F455" s="1">
        <f>SUM(F450:F454)</f>
        <v>709</v>
      </c>
      <c r="G455" s="1">
        <f>SUM(G450:G454)</f>
        <v>941</v>
      </c>
      <c r="H455" s="1">
        <f>SUM(H449:H454)</f>
        <v>2836</v>
      </c>
      <c r="I455" s="13" t="s">
        <v>12</v>
      </c>
      <c r="N455" s="16"/>
      <c r="O455" s="1"/>
      <c r="P455" s="1"/>
      <c r="AM455" s="78"/>
      <c r="AN455" s="78"/>
    </row>
    <row r="456" spans="1:40" x14ac:dyDescent="0.3">
      <c r="A456" s="1" t="s">
        <v>52</v>
      </c>
      <c r="B456" s="1" t="s">
        <v>2</v>
      </c>
      <c r="C456" s="10">
        <f>C450/C455</f>
        <v>1</v>
      </c>
      <c r="D456" s="10">
        <f>D451/D455</f>
        <v>0.71794871794871795</v>
      </c>
      <c r="E456" s="10">
        <f>E452/E455</f>
        <v>0.98002663115845534</v>
      </c>
      <c r="F456" s="10">
        <f>F453/F455</f>
        <v>0.79548660084626233</v>
      </c>
      <c r="G456" s="10">
        <f>G454/G455</f>
        <v>0.98405951115834223</v>
      </c>
      <c r="H456" s="10"/>
      <c r="I456" s="14">
        <f>(C450+D451+E452+F453+G454)/H455</f>
        <v>0.9305359661495064</v>
      </c>
    </row>
    <row r="457" spans="1:40" x14ac:dyDescent="0.3">
      <c r="B457" s="1" t="s">
        <v>14</v>
      </c>
      <c r="C457" s="11">
        <f>1-C456</f>
        <v>0</v>
      </c>
      <c r="D457" s="11">
        <f>1-D456</f>
        <v>0.28205128205128205</v>
      </c>
      <c r="E457" s="11">
        <f>1-E456</f>
        <v>1.9973368841544659E-2</v>
      </c>
      <c r="F457" s="11">
        <f>1-F456</f>
        <v>0.20451339915373767</v>
      </c>
      <c r="G457" s="11">
        <f>1-G456</f>
        <v>1.5940488841657774E-2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0.17096883152909387</v>
      </c>
      <c r="D461" s="31">
        <f>(D450/$L461)*$O461</f>
        <v>0</v>
      </c>
      <c r="E461" s="31">
        <f>(E450/$L461)*$O461</f>
        <v>0</v>
      </c>
      <c r="F461" s="31">
        <f>(F450/$L461)*$O461</f>
        <v>4.5017003259761414E-2</v>
      </c>
      <c r="G461" s="32">
        <f>(G450/$L461)*$O461</f>
        <v>0</v>
      </c>
      <c r="H461" s="17">
        <f>SUM(C461:G461)</f>
        <v>0.21598583478885527</v>
      </c>
      <c r="I461" s="17">
        <f>C461/H461*100</f>
        <v>79.157427937915742</v>
      </c>
      <c r="J461" s="17">
        <f>SQRT(I461*(100-I461)/(L461-1))</f>
        <v>1.914763922811519</v>
      </c>
      <c r="K461" s="18">
        <f>100-I461</f>
        <v>20.842572062084258</v>
      </c>
      <c r="L461" s="1">
        <f>H450</f>
        <v>451</v>
      </c>
      <c r="M461">
        <v>0</v>
      </c>
      <c r="N461" s="1">
        <v>206.77</v>
      </c>
      <c r="O461" s="17">
        <f>N461/N466*100</f>
        <v>0.21598583478885527</v>
      </c>
      <c r="P461" s="52">
        <f>((O461*O461*(I461/100)*(K461/100))/(L461-1))</f>
        <v>1.7103343213917372E-5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53">(C451/$L462)*$O462</f>
        <v>0</v>
      </c>
      <c r="D462" s="34">
        <f t="shared" si="53"/>
        <v>1.2497915417614662</v>
      </c>
      <c r="E462" s="19">
        <f t="shared" si="53"/>
        <v>2.2317706102883327E-2</v>
      </c>
      <c r="F462" s="18">
        <f t="shared" si="53"/>
        <v>0</v>
      </c>
      <c r="G462" s="20">
        <f t="shared" si="53"/>
        <v>0</v>
      </c>
      <c r="H462" s="17">
        <f>SUM(C462:G462)</f>
        <v>1.2721092478643496</v>
      </c>
      <c r="I462" s="17">
        <f>D462/H462*100</f>
        <v>98.245614035087712</v>
      </c>
      <c r="J462" s="17">
        <f>SQRT(I462*(100-I462)/(L462-1))</f>
        <v>1.7543859649122842</v>
      </c>
      <c r="K462" s="18">
        <f>100-I462</f>
        <v>1.7543859649122879</v>
      </c>
      <c r="L462" s="1">
        <f>H451</f>
        <v>57</v>
      </c>
      <c r="M462">
        <v>1</v>
      </c>
      <c r="N462" s="1">
        <v>1217.83</v>
      </c>
      <c r="O462" s="17">
        <f>N462/N466*100</f>
        <v>1.2721092478643496</v>
      </c>
      <c r="P462" s="52">
        <f>((O462*O462*(I462/100)*(K462/100))/(L462-1))</f>
        <v>4.9808000569467772E-4</v>
      </c>
    </row>
    <row r="463" spans="1:40" x14ac:dyDescent="0.3">
      <c r="A463" t="s">
        <v>5</v>
      </c>
      <c r="B463" s="13">
        <v>2</v>
      </c>
      <c r="C463" s="33">
        <f t="shared" si="53"/>
        <v>0</v>
      </c>
      <c r="D463" s="19">
        <f t="shared" si="53"/>
        <v>0</v>
      </c>
      <c r="E463" s="34">
        <f t="shared" si="53"/>
        <v>59.866767112316793</v>
      </c>
      <c r="F463" s="19">
        <f t="shared" si="53"/>
        <v>8.1340716185213019E-2</v>
      </c>
      <c r="G463" s="20">
        <f t="shared" si="53"/>
        <v>0</v>
      </c>
      <c r="H463" s="17">
        <f>SUM(C463:G463)</f>
        <v>59.948107828502003</v>
      </c>
      <c r="I463" s="17">
        <f>E463/H463*100</f>
        <v>99.864314789687924</v>
      </c>
      <c r="J463" s="17">
        <f>SQRT(I463*(100-I463)/(L463-1))</f>
        <v>0.13568521031207589</v>
      </c>
      <c r="K463" s="18">
        <f>100-I463</f>
        <v>0.13568521031207581</v>
      </c>
      <c r="L463" s="1">
        <f>H452</f>
        <v>737</v>
      </c>
      <c r="M463">
        <v>2</v>
      </c>
      <c r="N463" s="1">
        <v>57390.2</v>
      </c>
      <c r="O463" s="17">
        <f>N463/N466*100</f>
        <v>59.948107828502003</v>
      </c>
      <c r="P463" s="52">
        <f>((O463*O463*(I463/100)*(K463/100))/(L463-1))</f>
        <v>6.6163121095233687E-3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53"/>
        <v>0</v>
      </c>
      <c r="D464" s="19">
        <f t="shared" si="53"/>
        <v>0</v>
      </c>
      <c r="E464" s="19">
        <f t="shared" si="53"/>
        <v>0.16871196776150577</v>
      </c>
      <c r="F464" s="34">
        <f t="shared" si="53"/>
        <v>31.717849939163084</v>
      </c>
      <c r="G464" s="20">
        <f t="shared" si="53"/>
        <v>0.84355983880752883</v>
      </c>
      <c r="H464" s="17">
        <f>SUM(C464:G464)</f>
        <v>32.73012174573212</v>
      </c>
      <c r="I464" s="17">
        <f>F464/H464*100</f>
        <v>96.907216494845358</v>
      </c>
      <c r="J464" s="17">
        <f>SQRT(I464*(100-I464)/(L464-1))</f>
        <v>0.71823200493893458</v>
      </c>
      <c r="K464" s="18">
        <f>100-I464</f>
        <v>3.0927835051546424</v>
      </c>
      <c r="L464" s="1">
        <f>H453</f>
        <v>582</v>
      </c>
      <c r="M464">
        <v>3</v>
      </c>
      <c r="N464" s="1">
        <v>31333.57</v>
      </c>
      <c r="O464" s="17">
        <f>N464/N466*100</f>
        <v>32.73012174573212</v>
      </c>
      <c r="P464" s="52">
        <f>((O464*O464*(I464/100)*(K464/100))/(L464-1))</f>
        <v>5.5261764644409982E-2</v>
      </c>
    </row>
    <row r="465" spans="1:40" x14ac:dyDescent="0.3">
      <c r="A465" t="s">
        <v>7</v>
      </c>
      <c r="B465" s="13">
        <v>4</v>
      </c>
      <c r="C465" s="35">
        <f t="shared" si="53"/>
        <v>0</v>
      </c>
      <c r="D465" s="36">
        <f t="shared" si="53"/>
        <v>0.1271960927140523</v>
      </c>
      <c r="E465" s="21">
        <f t="shared" si="53"/>
        <v>6.359804635702615E-2</v>
      </c>
      <c r="F465" s="21">
        <f t="shared" si="53"/>
        <v>0.28908202889557344</v>
      </c>
      <c r="G465" s="37">
        <f t="shared" si="53"/>
        <v>5.3537991751460208</v>
      </c>
      <c r="H465" s="17">
        <f>SUM(C465:G465)</f>
        <v>5.8336753431126729</v>
      </c>
      <c r="I465" s="17">
        <f>G465/H465*100</f>
        <v>91.774033696729433</v>
      </c>
      <c r="J465" s="17">
        <f>SQRT(I465*(100-I465)/(L465-1))</f>
        <v>0.86541238719195124</v>
      </c>
      <c r="K465" s="18">
        <f>100-I465</f>
        <v>8.2259663032705674</v>
      </c>
      <c r="L465" s="1">
        <f>H454</f>
        <v>1009</v>
      </c>
      <c r="M465">
        <v>4</v>
      </c>
      <c r="N465" s="1">
        <v>5584.76</v>
      </c>
      <c r="O465" s="17">
        <f>N465/N466*100</f>
        <v>5.833675343112672</v>
      </c>
      <c r="P465" s="52">
        <f>((O465*O465*(I465/100)*(K465/100))/(L465-1))</f>
        <v>2.5487704684842207E-3</v>
      </c>
      <c r="AM465" s="78"/>
      <c r="AN465" s="78"/>
    </row>
    <row r="466" spans="1:40" x14ac:dyDescent="0.3">
      <c r="B466" t="s">
        <v>28</v>
      </c>
      <c r="C466" s="17">
        <f t="shared" ref="C466:H466" si="54">SUM(C461:C465)</f>
        <v>0.17096883152909387</v>
      </c>
      <c r="D466" s="17">
        <f t="shared" si="54"/>
        <v>1.3769876344755185</v>
      </c>
      <c r="E466" s="17">
        <f t="shared" si="54"/>
        <v>60.121394832538208</v>
      </c>
      <c r="F466" s="17">
        <f t="shared" si="54"/>
        <v>32.133289687503634</v>
      </c>
      <c r="G466" s="17">
        <f t="shared" si="54"/>
        <v>6.1973590139535499</v>
      </c>
      <c r="H466" s="18">
        <f t="shared" si="54"/>
        <v>100</v>
      </c>
      <c r="I466" s="13" t="s">
        <v>24</v>
      </c>
      <c r="J466" s="12" t="s">
        <v>29</v>
      </c>
      <c r="N466" s="1">
        <f>SUM(N461:N465)</f>
        <v>95733.12999999999</v>
      </c>
      <c r="O466" s="17">
        <f>SUM(O461:O465)</f>
        <v>100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4.1310313552710308E-3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3.476649703066205E-2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0.12999758278624393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0.25175336881089722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0.22082373621869619</v>
      </c>
      <c r="H467" s="1"/>
      <c r="I467" s="14">
        <f>(C461+D462+E463+F464+G465)/H466</f>
        <v>0.98359176599916465</v>
      </c>
      <c r="J467" s="53">
        <f>SQRT(SUM(P461:P465))/100</f>
        <v>2.5483726291758461E-3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90.762728035499023</v>
      </c>
      <c r="E468" s="17">
        <f>E463/E466*100</f>
        <v>99.576477357302423</v>
      </c>
      <c r="F468" s="17">
        <f>F464/F466*100</f>
        <v>98.707135956571207</v>
      </c>
      <c r="G468" s="17">
        <f>G465/G466*100</f>
        <v>86.388398075563671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2.3173129002112756</v>
      </c>
      <c r="E469" s="18">
        <f>SQRT((E472+E473)/(E466*E466))</f>
        <v>0.16833104764272247</v>
      </c>
      <c r="F469" s="18">
        <f>SQRT((F472+F473)/(F466*F466))</f>
        <v>0.29418173876107451</v>
      </c>
      <c r="G469" s="18">
        <f>SQRT((G472+G473)/(G466*G466))</f>
        <v>3.1977223902561116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9.2372719645009767</v>
      </c>
      <c r="E470" s="18">
        <f>100-E468</f>
        <v>0.42352264269757711</v>
      </c>
      <c r="F470" s="18">
        <f>100-F468</f>
        <v>1.2928640434287928</v>
      </c>
      <c r="G470" s="18">
        <f>100-G468</f>
        <v>13.611601924436329</v>
      </c>
    </row>
    <row r="471" spans="1:40" ht="15.6" x14ac:dyDescent="0.35">
      <c r="B471" s="1" t="s">
        <v>25</v>
      </c>
      <c r="C471" s="1">
        <f>C455</f>
        <v>357</v>
      </c>
      <c r="D471" s="1">
        <f>D455</f>
        <v>78</v>
      </c>
      <c r="E471" s="1">
        <f>E455</f>
        <v>751</v>
      </c>
      <c r="F471" s="1">
        <f>F455</f>
        <v>709</v>
      </c>
      <c r="G471" s="1">
        <f>G455</f>
        <v>941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4.2499768947764114</v>
      </c>
      <c r="E472" s="18">
        <f>(O463*O463*(100-E468)*(100-E468)*(I463)*(100-I463))/((L463-1)*100)</f>
        <v>0.11867773569849747</v>
      </c>
      <c r="F472" s="18">
        <f>(O464*O464*(100-F468)*(100-F468)*(I464)*(100-I464))/((L464-1)*100)</f>
        <v>9.2369897845157851</v>
      </c>
      <c r="G472" s="18">
        <f>(O465*O465*(100-G468)*(100-G468)*(I465)*(100-I465))/((L465-1)*100)</f>
        <v>47.222525039996029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5.9319374476788145</v>
      </c>
      <c r="E473" s="18">
        <f>E468*E468*(SUM((H461*E461*(1-E450/H450))/(H450-1),(H462*E462*(1-E451/H451))/(H451-1), (H464*E464*(1-E453/H453))/(H453-1),(H465*E465*(1-E454/H454))/(H454-1)))</f>
        <v>102.30174128149017</v>
      </c>
      <c r="F473" s="18">
        <f>F468*F468*(SUM((H461*F461*(1-F450/H450))/(H450-1),(H462*F462*(1-F451/H451))/(H451-1), (H463*F463*(1-F452/H452))/(H452-1),(H465*F465*(1-F454/H454))/(H454-1)))</f>
        <v>80.122730290450306</v>
      </c>
      <c r="G473" s="18">
        <f>G468*G468*(SUM((H461*G461*(1-G450/H450))/(H450-1),(H462*G462*(1-G451/H451))/(H451-1), (H463*G463*(1-G452/H452))/(H452-1),(H464*G464*(1-G453/H453))/(H453-1)))</f>
        <v>345.50815259642275</v>
      </c>
      <c r="AM473" s="78"/>
      <c r="AN473" s="78"/>
    </row>
    <row r="475" spans="1:40" x14ac:dyDescent="0.3">
      <c r="AM475" s="78"/>
      <c r="AN475" s="78"/>
    </row>
    <row r="476" spans="1:40" x14ac:dyDescent="0.3">
      <c r="A476" s="348" t="s">
        <v>380</v>
      </c>
      <c r="B476" s="348"/>
      <c r="C476" s="348"/>
      <c r="D476" s="348"/>
      <c r="E476" s="348"/>
      <c r="F476" s="348"/>
      <c r="G476" s="348"/>
      <c r="H476" s="348"/>
      <c r="I476" s="348"/>
      <c r="J476" s="348"/>
      <c r="K476" s="348"/>
      <c r="L476" s="348" t="s">
        <v>89</v>
      </c>
      <c r="M476" s="348"/>
      <c r="N476" s="348"/>
      <c r="O476" s="348"/>
      <c r="P476" s="348"/>
    </row>
    <row r="477" spans="1:40" x14ac:dyDescent="0.3">
      <c r="A477" t="s">
        <v>15</v>
      </c>
      <c r="B477" t="s">
        <v>21</v>
      </c>
      <c r="I477" s="1" t="s">
        <v>53</v>
      </c>
      <c r="O477" s="142"/>
      <c r="P477" s="142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51</v>
      </c>
      <c r="O478" s="13"/>
      <c r="P478" s="13"/>
    </row>
    <row r="479" spans="1:40" x14ac:dyDescent="0.3">
      <c r="A479" t="s">
        <v>3</v>
      </c>
      <c r="B479" s="13">
        <v>0</v>
      </c>
      <c r="C479" s="26">
        <v>419</v>
      </c>
      <c r="D479" s="3">
        <v>0</v>
      </c>
      <c r="E479" s="3">
        <v>0</v>
      </c>
      <c r="F479" s="3">
        <v>32</v>
      </c>
      <c r="G479" s="4">
        <v>0</v>
      </c>
      <c r="H479" s="1">
        <f>SUM(C479:G479)</f>
        <v>451</v>
      </c>
      <c r="I479" s="10">
        <f>C479/H479</f>
        <v>0.92904656319290468</v>
      </c>
      <c r="J479" s="11">
        <f>1-I479</f>
        <v>7.0953436807095316E-2</v>
      </c>
      <c r="K479">
        <f>H479-C484</f>
        <v>32</v>
      </c>
      <c r="N479" s="10">
        <f>2*(C485*I479)/(C485+I479)</f>
        <v>0.9632183908045977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55</v>
      </c>
      <c r="E480" s="1">
        <v>2</v>
      </c>
      <c r="F480" s="1">
        <v>0</v>
      </c>
      <c r="G480" s="6">
        <v>0</v>
      </c>
      <c r="H480" s="1">
        <f>SUM(C480:G480)</f>
        <v>57</v>
      </c>
      <c r="I480" s="10">
        <f>D480/H480</f>
        <v>0.96491228070175439</v>
      </c>
      <c r="J480" s="11">
        <f>1-I480</f>
        <v>3.5087719298245612E-2</v>
      </c>
      <c r="K480">
        <f>H480-D484</f>
        <v>-33</v>
      </c>
      <c r="N480" s="10">
        <f>2*(D485*I480)/(D485+I480)</f>
        <v>0.74829931972789121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0</v>
      </c>
      <c r="E481" s="27">
        <v>736</v>
      </c>
      <c r="F481" s="1">
        <v>1</v>
      </c>
      <c r="G481" s="6">
        <v>0</v>
      </c>
      <c r="H481" s="1">
        <f>SUM(C481:G481)</f>
        <v>737</v>
      </c>
      <c r="I481" s="10">
        <f>E481/H481</f>
        <v>0.99864314789687925</v>
      </c>
      <c r="J481" s="11">
        <f>1-I481</f>
        <v>1.3568521031207537E-3</v>
      </c>
      <c r="K481">
        <f>H481-E484</f>
        <v>-11</v>
      </c>
      <c r="N481" s="10">
        <f>2*(E485*I481)/(E485+I481)</f>
        <v>0.99124579124579126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0</v>
      </c>
      <c r="E482" s="1">
        <v>5</v>
      </c>
      <c r="F482" s="27">
        <v>567</v>
      </c>
      <c r="G482" s="6">
        <v>10</v>
      </c>
      <c r="H482" s="1">
        <f>SUM(C482:G482)</f>
        <v>582</v>
      </c>
      <c r="I482" s="10">
        <f>F482/H482</f>
        <v>0.97422680412371132</v>
      </c>
      <c r="J482" s="11">
        <f>1-I482</f>
        <v>2.5773195876288679E-2</v>
      </c>
      <c r="K482">
        <f>H482-F484</f>
        <v>-44</v>
      </c>
      <c r="N482" s="10">
        <f>2*(F485*I482)/(F485+I482)</f>
        <v>0.9387417218543046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35</v>
      </c>
      <c r="E483" s="8">
        <v>5</v>
      </c>
      <c r="F483" s="8">
        <v>26</v>
      </c>
      <c r="G483" s="28">
        <v>943</v>
      </c>
      <c r="H483" s="1">
        <f>SUM(C483:G483)</f>
        <v>1009</v>
      </c>
      <c r="I483" s="10">
        <f>G483/H483</f>
        <v>0.93458870168483643</v>
      </c>
      <c r="J483" s="11">
        <f>1-I483</f>
        <v>6.5411298315163569E-2</v>
      </c>
      <c r="K483">
        <f>H483-G484</f>
        <v>56</v>
      </c>
      <c r="N483" s="10">
        <f>2*(G485*I483)/(G485+I483)</f>
        <v>0.96126401630988767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419</v>
      </c>
      <c r="D484" s="1">
        <f>SUM(D479:D483)</f>
        <v>90</v>
      </c>
      <c r="E484" s="1">
        <f>SUM(E479:E483)</f>
        <v>748</v>
      </c>
      <c r="F484" s="1">
        <f>SUM(F479:F483)</f>
        <v>626</v>
      </c>
      <c r="G484" s="1">
        <f>SUM(G479:G483)</f>
        <v>953</v>
      </c>
      <c r="H484" s="1">
        <f>SUM(H478:H483)</f>
        <v>2836</v>
      </c>
      <c r="I484" s="13" t="s">
        <v>12</v>
      </c>
      <c r="N484" s="16"/>
      <c r="O484" s="1"/>
      <c r="P484" s="1"/>
    </row>
    <row r="485" spans="1:40" x14ac:dyDescent="0.3">
      <c r="A485" s="1" t="s">
        <v>52</v>
      </c>
      <c r="B485" s="1" t="s">
        <v>2</v>
      </c>
      <c r="C485" s="10">
        <f>C479/C484</f>
        <v>1</v>
      </c>
      <c r="D485" s="10">
        <f>D480/D484</f>
        <v>0.61111111111111116</v>
      </c>
      <c r="E485" s="10">
        <f>E481/E484</f>
        <v>0.98395721925133695</v>
      </c>
      <c r="F485" s="10">
        <f>F482/F484</f>
        <v>0.90575079872204478</v>
      </c>
      <c r="G485" s="10">
        <f>G483/G484</f>
        <v>0.98950682056663164</v>
      </c>
      <c r="H485" s="10"/>
      <c r="I485" s="14">
        <f>(C479+D480+E481+F482+G483)/H484</f>
        <v>0.95909732016925242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0.38888888888888884</v>
      </c>
      <c r="E486" s="11">
        <f>1-E485</f>
        <v>1.6042780748663055E-2</v>
      </c>
      <c r="F486" s="11">
        <f>1-F485</f>
        <v>9.4249201277955219E-2</v>
      </c>
      <c r="G486" s="11">
        <f>1-G485</f>
        <v>1.049317943336836E-2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0.22109871756202162</v>
      </c>
      <c r="D490" s="31">
        <f>(D479/$L490)*$O490</f>
        <v>0</v>
      </c>
      <c r="E490" s="31">
        <f>(E479/$L490)*$O490</f>
        <v>0</v>
      </c>
      <c r="F490" s="31">
        <f>(F479/$L490)*$O490</f>
        <v>1.6885820911657974E-2</v>
      </c>
      <c r="G490" s="32">
        <f>(G479/$L490)*$O490</f>
        <v>0</v>
      </c>
      <c r="H490" s="17">
        <f>SUM(C490:G490)</f>
        <v>0.23798453847367959</v>
      </c>
      <c r="I490" s="17">
        <f>C490/H490*100</f>
        <v>92.904656319290467</v>
      </c>
      <c r="J490" s="17">
        <f>SQRT(I490*(100-I490)/(L490-1))</f>
        <v>1.210317190862304</v>
      </c>
      <c r="K490" s="18">
        <f>100-I490</f>
        <v>7.0953436807095329</v>
      </c>
      <c r="L490" s="1">
        <f>H479</f>
        <v>451</v>
      </c>
      <c r="M490">
        <v>0</v>
      </c>
      <c r="N490" s="1">
        <v>227.83</v>
      </c>
      <c r="O490" s="17">
        <f>N490/N495*100</f>
        <v>0.23798453847367959</v>
      </c>
      <c r="P490" s="52">
        <f>((O490*O490*(I490/100)*(K490/100))/(L490-1))</f>
        <v>8.2965185523323212E-6</v>
      </c>
    </row>
    <row r="491" spans="1:40" x14ac:dyDescent="0.3">
      <c r="A491" t="s">
        <v>4</v>
      </c>
      <c r="B491" s="13">
        <v>1</v>
      </c>
      <c r="C491" s="33">
        <f t="shared" ref="C491:G494" si="55">(C480/$L491)*$O491</f>
        <v>0</v>
      </c>
      <c r="D491" s="34">
        <f t="shared" si="55"/>
        <v>1.4461219779234677</v>
      </c>
      <c r="E491" s="19">
        <f t="shared" si="55"/>
        <v>5.2586253742671549E-2</v>
      </c>
      <c r="F491" s="18">
        <f t="shared" si="55"/>
        <v>0</v>
      </c>
      <c r="G491" s="20">
        <f t="shared" si="55"/>
        <v>0</v>
      </c>
      <c r="H491" s="17">
        <f>SUM(C491:G491)</f>
        <v>1.4987082316661393</v>
      </c>
      <c r="I491" s="17">
        <f>D491/H491*100</f>
        <v>96.491228070175438</v>
      </c>
      <c r="J491" s="17">
        <f>SQRT(I491*(100-I491)/(L491-1))</f>
        <v>2.4588241692166148</v>
      </c>
      <c r="K491" s="18">
        <f>100-I491</f>
        <v>3.5087719298245617</v>
      </c>
      <c r="L491" s="1">
        <f>H480</f>
        <v>57</v>
      </c>
      <c r="M491">
        <v>1</v>
      </c>
      <c r="N491" s="1">
        <v>1434.76</v>
      </c>
      <c r="O491" s="17">
        <f>N491/N495*100</f>
        <v>1.4987082316661393</v>
      </c>
      <c r="P491" s="52">
        <f>((O491*O491*(I491/100)*(K491/100))/(L491-1))</f>
        <v>1.3579667370345993E-3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55"/>
        <v>0</v>
      </c>
      <c r="D492" s="19">
        <f t="shared" si="55"/>
        <v>0</v>
      </c>
      <c r="E492" s="34">
        <f t="shared" si="55"/>
        <v>60.188102146977315</v>
      </c>
      <c r="F492" s="19">
        <f t="shared" si="55"/>
        <v>8.177731269969743E-2</v>
      </c>
      <c r="G492" s="20">
        <f t="shared" si="55"/>
        <v>0</v>
      </c>
      <c r="H492" s="17">
        <f>SUM(C492:G492)</f>
        <v>60.269879459677014</v>
      </c>
      <c r="I492" s="17">
        <f>E492/H492*100</f>
        <v>99.864314789687924</v>
      </c>
      <c r="J492" s="17">
        <f>SQRT(I492*(100-I492)/(L492-1))</f>
        <v>0.13568521031207589</v>
      </c>
      <c r="K492" s="18">
        <f>100-I492</f>
        <v>0.13568521031207581</v>
      </c>
      <c r="L492" s="1">
        <f>H481</f>
        <v>737</v>
      </c>
      <c r="M492">
        <v>2</v>
      </c>
      <c r="N492" s="1">
        <v>57698.23</v>
      </c>
      <c r="O492" s="17">
        <f>N492/N495*100</f>
        <v>60.269879459677014</v>
      </c>
      <c r="P492" s="52">
        <f>((O492*O492*(I492/100)*(K492/100))/(L492-1))</f>
        <v>6.6875288723840867E-3</v>
      </c>
    </row>
    <row r="493" spans="1:40" x14ac:dyDescent="0.3">
      <c r="A493" t="s">
        <v>6</v>
      </c>
      <c r="B493" s="13">
        <v>3</v>
      </c>
      <c r="C493" s="33">
        <f t="shared" si="55"/>
        <v>0</v>
      </c>
      <c r="D493" s="19">
        <f t="shared" si="55"/>
        <v>0</v>
      </c>
      <c r="E493" s="19">
        <f t="shared" si="55"/>
        <v>0.27558457808925602</v>
      </c>
      <c r="F493" s="34">
        <f t="shared" si="55"/>
        <v>31.251291155321631</v>
      </c>
      <c r="G493" s="20">
        <f t="shared" si="55"/>
        <v>0.55116915617851203</v>
      </c>
      <c r="H493" s="17">
        <f>SUM(C493:G493)</f>
        <v>32.0780448895894</v>
      </c>
      <c r="I493" s="17">
        <f>F493/H493*100</f>
        <v>97.422680412371136</v>
      </c>
      <c r="J493" s="17">
        <f>SQRT(I493*(100-I493)/(L493-1))</f>
        <v>0.65739456332296642</v>
      </c>
      <c r="K493" s="18">
        <f>100-I493</f>
        <v>2.5773195876288639</v>
      </c>
      <c r="L493" s="1">
        <f>H482</f>
        <v>582</v>
      </c>
      <c r="M493">
        <v>3</v>
      </c>
      <c r="N493" s="1">
        <v>30709.31</v>
      </c>
      <c r="O493" s="17">
        <f>N493/N495*100</f>
        <v>32.0780448895894</v>
      </c>
      <c r="P493" s="52">
        <f>((O493*O493*(I493/100)*(K493/100))/(L493-1))</f>
        <v>4.4470088921430985E-2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55"/>
        <v>0</v>
      </c>
      <c r="D494" s="36">
        <f t="shared" si="55"/>
        <v>0.20519167573912966</v>
      </c>
      <c r="E494" s="21">
        <f t="shared" si="55"/>
        <v>2.9313096534161382E-2</v>
      </c>
      <c r="F494" s="21">
        <f t="shared" si="55"/>
        <v>0.15242810197763917</v>
      </c>
      <c r="G494" s="37">
        <f t="shared" si="55"/>
        <v>5.5284500063428368</v>
      </c>
      <c r="H494" s="17">
        <f>SUM(C494:G494)</f>
        <v>5.9153828805937669</v>
      </c>
      <c r="I494" s="17">
        <f>G494/H494*100</f>
        <v>93.458870168483656</v>
      </c>
      <c r="J494" s="17">
        <f>SQRT(I494*(100-I494)/(L494-1))</f>
        <v>0.77876492296262634</v>
      </c>
      <c r="K494" s="18">
        <f>100-I494</f>
        <v>6.5411298315163435</v>
      </c>
      <c r="L494" s="1">
        <f>H483</f>
        <v>1009</v>
      </c>
      <c r="M494">
        <v>4</v>
      </c>
      <c r="N494" s="1">
        <v>5662.98</v>
      </c>
      <c r="O494" s="17">
        <f>N494/N495*100</f>
        <v>5.9153828805937669</v>
      </c>
      <c r="P494" s="52">
        <f>((O494*O494*(I494/100)*(K494/100))/(L494-1))</f>
        <v>2.1221617570504007E-3</v>
      </c>
    </row>
    <row r="495" spans="1:40" x14ac:dyDescent="0.3">
      <c r="B495" t="s">
        <v>28</v>
      </c>
      <c r="C495" s="17">
        <f t="shared" ref="C495:H495" si="56">SUM(C490:C494)</f>
        <v>0.22109871756202162</v>
      </c>
      <c r="D495" s="17">
        <f t="shared" si="56"/>
        <v>1.6513136536625974</v>
      </c>
      <c r="E495" s="17">
        <f t="shared" si="56"/>
        <v>60.545586075343408</v>
      </c>
      <c r="F495" s="17">
        <f t="shared" si="56"/>
        <v>31.502382390910626</v>
      </c>
      <c r="G495" s="17">
        <f t="shared" si="56"/>
        <v>6.0796191625213485</v>
      </c>
      <c r="H495" s="18">
        <f t="shared" si="56"/>
        <v>100</v>
      </c>
      <c r="I495" s="13" t="s">
        <v>24</v>
      </c>
      <c r="J495" s="12" t="s">
        <v>29</v>
      </c>
      <c r="N495" s="1">
        <f>SUM(N490:N494)</f>
        <v>95733.11</v>
      </c>
      <c r="O495" s="17">
        <f>SUM(O490:O494)</f>
        <v>100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2.8771726962517627E-3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4.9953732271263922E-2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0.15245483470993507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0.22792765012709262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0.17882066673749938</v>
      </c>
      <c r="H496" s="1"/>
      <c r="I496" s="14">
        <f>(C490+D491+E492+F493+G494)/H495</f>
        <v>0.98635064004127271</v>
      </c>
      <c r="J496" s="53">
        <f>SQRT(SUM(P490:P494))/100</f>
        <v>2.3376493065995251E-3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87.574033843660388</v>
      </c>
      <c r="E497" s="17">
        <f>E492/E495*100</f>
        <v>99.409562361951146</v>
      </c>
      <c r="F497" s="17">
        <f>F493/F495*100</f>
        <v>99.202945248796667</v>
      </c>
      <c r="G497" s="17">
        <f>G494/G495*100</f>
        <v>90.934149961624726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3.3103718437029888</v>
      </c>
      <c r="E498" s="18">
        <f>SQRT((E501+E502)/(E495*E495))</f>
        <v>0.21178248805210415</v>
      </c>
      <c r="F498" s="18">
        <f>SQRT((F501+F502)/(F495*F495))</f>
        <v>0.27908513271096236</v>
      </c>
      <c r="G498" s="18">
        <f>SQRT((G501+G502)/(G495*G495))</f>
        <v>2.6763578695822963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12.425966156339612</v>
      </c>
      <c r="E499" s="18">
        <f>100-E497</f>
        <v>0.5904376380488543</v>
      </c>
      <c r="F499" s="18">
        <f>100-F497</f>
        <v>0.79705475120333347</v>
      </c>
      <c r="G499" s="18">
        <f>100-G497</f>
        <v>9.0658500383752738</v>
      </c>
      <c r="AM499" s="78"/>
      <c r="AN499" s="78"/>
    </row>
    <row r="500" spans="1:40" ht="15.6" x14ac:dyDescent="0.35">
      <c r="B500" s="1" t="s">
        <v>25</v>
      </c>
      <c r="C500" s="1">
        <f>C484</f>
        <v>419</v>
      </c>
      <c r="D500" s="1">
        <f>D484</f>
        <v>90</v>
      </c>
      <c r="E500" s="1">
        <f>E484</f>
        <v>748</v>
      </c>
      <c r="F500" s="1">
        <f>F484</f>
        <v>626</v>
      </c>
      <c r="G500" s="1">
        <f>G484</f>
        <v>953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20.967635826329047</v>
      </c>
      <c r="E501" s="18">
        <f>(O492*O492*(100-E497)*(100-E497)*(I492)*(100-I492))/((L492-1)*100)</f>
        <v>0.23313836074827493</v>
      </c>
      <c r="F501" s="18">
        <f>(O493*O493*(100-F497)*(100-F497)*(I493)*(100-I493))/((L493-1)*100)</f>
        <v>2.8251681903664978</v>
      </c>
      <c r="G501" s="18">
        <f>(O494*O494*(100-G497)*(100-G497)*(I494)*(100-I494))/((L494-1)*100)</f>
        <v>17.441970429389304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8.9145734223527757</v>
      </c>
      <c r="E502" s="18">
        <f>E497*E497*(SUM((H490*E490*(1-E479/H479))/(H479-1),(H491*E491*(1-E480/H480))/(H480-1), (H493*E493*(1-E482/H482))/(H482-1),(H494*E494*(1-E483/H483))/(H483-1)))</f>
        <v>164.18323606395245</v>
      </c>
      <c r="F502" s="18">
        <f>F497*F497*(SUM((H490*F490*(1-F479/H479))/(H479-1),(H491*F491*(1-F480/H480))/(H480-1), (H492*F492*(1-F481/H481))/(H481-1),(H494*F494*(1-F483/H483))/(H483-1)))</f>
        <v>74.471397924956179</v>
      </c>
      <c r="G502" s="18">
        <f>G497*G497*(SUM((H490*G490*(1-G479/H479))/(H479-1),(H491*G491*(1-G480/H480))/(H480-1), (H492*G492*(1-G481/H481))/(H481-1),(H493*G493*(1-G482/H482))/(H482-1)))</f>
        <v>247.3111697278654</v>
      </c>
    </row>
    <row r="503" spans="1:40" x14ac:dyDescent="0.3">
      <c r="AM503" s="78"/>
      <c r="AN503" s="78"/>
    </row>
    <row r="505" spans="1:40" x14ac:dyDescent="0.3">
      <c r="A505" s="348" t="s">
        <v>380</v>
      </c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 t="s">
        <v>90</v>
      </c>
      <c r="M505" s="348"/>
      <c r="N505" s="348"/>
      <c r="O505" s="348"/>
      <c r="P505" s="348"/>
      <c r="AM505" s="78"/>
      <c r="AN505" s="78"/>
    </row>
    <row r="506" spans="1:40" x14ac:dyDescent="0.3">
      <c r="A506" t="s">
        <v>15</v>
      </c>
      <c r="B506" t="s">
        <v>21</v>
      </c>
      <c r="I506" s="1" t="s">
        <v>53</v>
      </c>
      <c r="O506" s="142"/>
      <c r="P506" s="142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51</v>
      </c>
      <c r="O507" s="13"/>
      <c r="P507" s="13"/>
      <c r="AM507" s="78"/>
      <c r="AN507" s="78"/>
    </row>
    <row r="508" spans="1:40" x14ac:dyDescent="0.3">
      <c r="A508" t="s">
        <v>3</v>
      </c>
      <c r="B508" s="13">
        <v>0</v>
      </c>
      <c r="C508" s="26">
        <v>353</v>
      </c>
      <c r="D508" s="3">
        <v>0</v>
      </c>
      <c r="E508" s="3">
        <v>0</v>
      </c>
      <c r="F508" s="3">
        <v>98</v>
      </c>
      <c r="G508" s="4">
        <v>0</v>
      </c>
      <c r="H508" s="1">
        <f>SUM(C508:G508)</f>
        <v>451</v>
      </c>
      <c r="I508" s="10">
        <f>C508/H508</f>
        <v>0.78270509977827052</v>
      </c>
      <c r="J508" s="11">
        <f>1-I508</f>
        <v>0.21729490022172948</v>
      </c>
      <c r="K508">
        <f>H508-C513</f>
        <v>98</v>
      </c>
      <c r="N508" s="10">
        <f>2*(C514*I508)/(C514+I508)</f>
        <v>0.87810945273631846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55</v>
      </c>
      <c r="E509" s="1">
        <v>2</v>
      </c>
      <c r="F509" s="1">
        <v>0</v>
      </c>
      <c r="G509" s="6">
        <v>0</v>
      </c>
      <c r="H509" s="1">
        <f>SUM(C509:G509)</f>
        <v>57</v>
      </c>
      <c r="I509" s="10">
        <f>D509/H509</f>
        <v>0.96491228070175439</v>
      </c>
      <c r="J509" s="11">
        <f>1-I509</f>
        <v>3.5087719298245612E-2</v>
      </c>
      <c r="K509">
        <f>H509-D513</f>
        <v>-25</v>
      </c>
      <c r="N509" s="10">
        <f>2*(D514*I509)/(D514+I509)</f>
        <v>0.79136690647482022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0</v>
      </c>
      <c r="E510" s="27">
        <v>736</v>
      </c>
      <c r="F510" s="1">
        <v>1</v>
      </c>
      <c r="G510" s="6">
        <v>0</v>
      </c>
      <c r="H510" s="1">
        <f>SUM(C510:G510)</f>
        <v>737</v>
      </c>
      <c r="I510" s="10">
        <f>E510/H510</f>
        <v>0.99864314789687925</v>
      </c>
      <c r="J510" s="11">
        <f>1-I510</f>
        <v>1.3568521031207537E-3</v>
      </c>
      <c r="K510">
        <f>H510-E513</f>
        <v>-12</v>
      </c>
      <c r="N510" s="10">
        <f>2*(E514*I510)/(E514+I510)</f>
        <v>0.99057873485868098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0</v>
      </c>
      <c r="E511" s="1">
        <v>4</v>
      </c>
      <c r="F511" s="27">
        <v>567</v>
      </c>
      <c r="G511" s="6">
        <v>11</v>
      </c>
      <c r="H511" s="1">
        <f>SUM(C511:G511)</f>
        <v>582</v>
      </c>
      <c r="I511" s="10">
        <f>F511/H511</f>
        <v>0.97422680412371132</v>
      </c>
      <c r="J511" s="11">
        <f>1-I511</f>
        <v>2.5773195876288679E-2</v>
      </c>
      <c r="K511">
        <f>H511-F513</f>
        <v>-131</v>
      </c>
      <c r="N511" s="10">
        <f>2*(F514*I511)/(F514+I511)</f>
        <v>0.8756756756756755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27</v>
      </c>
      <c r="E512" s="8">
        <v>7</v>
      </c>
      <c r="F512" s="8">
        <v>47</v>
      </c>
      <c r="G512" s="28">
        <v>928</v>
      </c>
      <c r="H512" s="1">
        <f>SUM(C512:G512)</f>
        <v>1009</v>
      </c>
      <c r="I512" s="10">
        <f>G512/H512</f>
        <v>0.91972249752229929</v>
      </c>
      <c r="J512" s="11">
        <f>1-I512</f>
        <v>8.0277502477700713E-2</v>
      </c>
      <c r="K512">
        <f>H512-G513</f>
        <v>70</v>
      </c>
      <c r="N512" s="10">
        <f>2*(G514*I512)/(G514+I512)</f>
        <v>0.95277207392197139</v>
      </c>
      <c r="O512" s="1"/>
      <c r="P512" s="1"/>
    </row>
    <row r="513" spans="1:40" ht="15.6" x14ac:dyDescent="0.35">
      <c r="B513" s="1" t="s">
        <v>19</v>
      </c>
      <c r="C513" s="1">
        <f>SUM(C508:C512)</f>
        <v>353</v>
      </c>
      <c r="D513" s="1">
        <f>SUM(D508:D512)</f>
        <v>82</v>
      </c>
      <c r="E513" s="1">
        <f>SUM(E508:E512)</f>
        <v>749</v>
      </c>
      <c r="F513" s="1">
        <f>SUM(F508:F512)</f>
        <v>713</v>
      </c>
      <c r="G513" s="1">
        <f>SUM(G508:G512)</f>
        <v>939</v>
      </c>
      <c r="H513" s="1">
        <f>SUM(H507:H512)</f>
        <v>2836</v>
      </c>
      <c r="I513" s="13" t="s">
        <v>12</v>
      </c>
      <c r="N513" s="16"/>
      <c r="O513" s="1"/>
      <c r="P513" s="1"/>
      <c r="AM513" s="78"/>
      <c r="AN513" s="78"/>
    </row>
    <row r="514" spans="1:40" x14ac:dyDescent="0.3">
      <c r="A514" s="1" t="s">
        <v>52</v>
      </c>
      <c r="B514" s="1" t="s">
        <v>2</v>
      </c>
      <c r="C514" s="10">
        <f>C508/C513</f>
        <v>1</v>
      </c>
      <c r="D514" s="10">
        <f>D509/D513</f>
        <v>0.67073170731707321</v>
      </c>
      <c r="E514" s="10">
        <f>E510/E513</f>
        <v>0.98264352469959948</v>
      </c>
      <c r="F514" s="10">
        <f>F511/F513</f>
        <v>0.79523141654978957</v>
      </c>
      <c r="G514" s="10">
        <f>G512/G513</f>
        <v>0.98828541001064962</v>
      </c>
      <c r="H514" s="10"/>
      <c r="I514" s="14">
        <f>(C508+D509+E510+F511+G512)/H513</f>
        <v>0.9305359661495064</v>
      </c>
    </row>
    <row r="515" spans="1:40" x14ac:dyDescent="0.3">
      <c r="B515" s="1" t="s">
        <v>14</v>
      </c>
      <c r="C515" s="11">
        <f>1-C514</f>
        <v>0</v>
      </c>
      <c r="D515" s="11">
        <f>1-D514</f>
        <v>0.32926829268292679</v>
      </c>
      <c r="E515" s="11">
        <f>1-E514</f>
        <v>1.735647530040052E-2</v>
      </c>
      <c r="F515" s="11">
        <f>1-F514</f>
        <v>0.20476858345021043</v>
      </c>
      <c r="G515" s="11">
        <f>1-G514</f>
        <v>1.1714589989350377E-2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0.19914876702949602</v>
      </c>
      <c r="D519" s="31">
        <f>(D508/$L519)*$O519</f>
        <v>0</v>
      </c>
      <c r="E519" s="31">
        <f>(E508/$L519)*$O519</f>
        <v>0</v>
      </c>
      <c r="F519" s="31">
        <f>(F508/$L519)*$O519</f>
        <v>5.5287759685242521E-2</v>
      </c>
      <c r="G519" s="32">
        <f>(G508/$L519)*$O519</f>
        <v>0</v>
      </c>
      <c r="H519" s="17">
        <f>SUM(C519:G519)</f>
        <v>0.25443652671473854</v>
      </c>
      <c r="I519" s="17">
        <f>C519/H519*100</f>
        <v>78.270509977827047</v>
      </c>
      <c r="J519" s="17">
        <f>SQRT(I519*(100-I519)/(L519-1))</f>
        <v>1.9440954855342434</v>
      </c>
      <c r="K519" s="18">
        <f>100-I519</f>
        <v>21.729490022172953</v>
      </c>
      <c r="L519" s="1">
        <f>H508</f>
        <v>451</v>
      </c>
      <c r="M519">
        <v>0</v>
      </c>
      <c r="N519" s="1">
        <v>243.58</v>
      </c>
      <c r="O519" s="17">
        <f>N519/N524*100</f>
        <v>0.25443652671473854</v>
      </c>
      <c r="P519" s="52">
        <f>((O519*O519*(I519/100)*(K519/100))/(L519-1))</f>
        <v>2.4467753718086948E-5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57">(C509/$L520)*$O520</f>
        <v>0</v>
      </c>
      <c r="D520" s="34">
        <f t="shared" si="57"/>
        <v>1.3598441047528687</v>
      </c>
      <c r="E520" s="19">
        <f t="shared" si="57"/>
        <v>4.9448876536467949E-2</v>
      </c>
      <c r="F520" s="18">
        <f t="shared" si="57"/>
        <v>0</v>
      </c>
      <c r="G520" s="20">
        <f t="shared" si="57"/>
        <v>0</v>
      </c>
      <c r="H520" s="17">
        <f>SUM(C520:G520)</f>
        <v>1.4092929812893367</v>
      </c>
      <c r="I520" s="17">
        <f>D520/H520*100</f>
        <v>96.491228070175438</v>
      </c>
      <c r="J520" s="17">
        <f>SQRT(I520*(100-I520)/(L520-1))</f>
        <v>2.4588241692166148</v>
      </c>
      <c r="K520" s="18">
        <f>100-I520</f>
        <v>3.5087719298245617</v>
      </c>
      <c r="L520" s="1">
        <f>H509</f>
        <v>57</v>
      </c>
      <c r="M520">
        <v>1</v>
      </c>
      <c r="N520" s="1">
        <v>1349.16</v>
      </c>
      <c r="O520" s="17">
        <f>N520/N524*100</f>
        <v>1.4092929812893367</v>
      </c>
      <c r="P520" s="52">
        <f>((O520*O520*(I520/100)*(K520/100))/(L520-1))</f>
        <v>1.2007636293708645E-3</v>
      </c>
    </row>
    <row r="521" spans="1:40" x14ac:dyDescent="0.3">
      <c r="A521" t="s">
        <v>5</v>
      </c>
      <c r="B521" s="13">
        <v>2</v>
      </c>
      <c r="C521" s="33">
        <f t="shared" si="57"/>
        <v>0</v>
      </c>
      <c r="D521" s="19">
        <f t="shared" si="57"/>
        <v>0</v>
      </c>
      <c r="E521" s="34">
        <f t="shared" si="57"/>
        <v>60.258348093838727</v>
      </c>
      <c r="F521" s="19">
        <f t="shared" si="57"/>
        <v>8.1872755562280866E-2</v>
      </c>
      <c r="G521" s="20">
        <f t="shared" si="57"/>
        <v>0</v>
      </c>
      <c r="H521" s="17">
        <f>SUM(C521:G521)</f>
        <v>60.340220849401007</v>
      </c>
      <c r="I521" s="17">
        <f>E521/H521*100</f>
        <v>99.864314789687924</v>
      </c>
      <c r="J521" s="17">
        <f>SQRT(I521*(100-I521)/(L521-1))</f>
        <v>0.13568521031207589</v>
      </c>
      <c r="K521" s="18">
        <f>100-I521</f>
        <v>0.13568521031207581</v>
      </c>
      <c r="L521" s="1">
        <f>H510</f>
        <v>737</v>
      </c>
      <c r="M521">
        <v>2</v>
      </c>
      <c r="N521" s="1">
        <v>57765.57</v>
      </c>
      <c r="O521" s="17">
        <f>N521/N524*100</f>
        <v>60.340220849401007</v>
      </c>
      <c r="P521" s="52">
        <f>((O521*O521*(I521/100)*(K521/100))/(L521-1))</f>
        <v>6.7031481033609855E-3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57"/>
        <v>0</v>
      </c>
      <c r="D522" s="19">
        <f t="shared" si="57"/>
        <v>0</v>
      </c>
      <c r="E522" s="19">
        <f t="shared" si="57"/>
        <v>0.21917318453555346</v>
      </c>
      <c r="F522" s="34">
        <f t="shared" si="57"/>
        <v>31.067798907914703</v>
      </c>
      <c r="G522" s="20">
        <f t="shared" si="57"/>
        <v>0.60272625747277198</v>
      </c>
      <c r="H522" s="17">
        <f>SUM(C522:G522)</f>
        <v>31.889698349923027</v>
      </c>
      <c r="I522" s="17">
        <f>F522/H522*100</f>
        <v>97.422680412371136</v>
      </c>
      <c r="J522" s="17">
        <f>SQRT(I522*(100-I522)/(L522-1))</f>
        <v>0.65739456332296642</v>
      </c>
      <c r="K522" s="18">
        <f>100-I522</f>
        <v>2.5773195876288639</v>
      </c>
      <c r="L522" s="1">
        <f>H511</f>
        <v>582</v>
      </c>
      <c r="M522">
        <v>3</v>
      </c>
      <c r="N522" s="1">
        <v>30529</v>
      </c>
      <c r="O522" s="17">
        <f>N522/N524*100</f>
        <v>31.88969834992303</v>
      </c>
      <c r="P522" s="52">
        <f>((O522*O522*(I522/100)*(K522/100))/(L522-1))</f>
        <v>4.3949408927438795E-2</v>
      </c>
    </row>
    <row r="523" spans="1:40" x14ac:dyDescent="0.3">
      <c r="A523" t="s">
        <v>7</v>
      </c>
      <c r="B523" s="13">
        <v>4</v>
      </c>
      <c r="C523" s="35">
        <f t="shared" si="57"/>
        <v>0</v>
      </c>
      <c r="D523" s="36">
        <f t="shared" si="57"/>
        <v>0.16340087700905942</v>
      </c>
      <c r="E523" s="21">
        <f t="shared" si="57"/>
        <v>4.2363190335682074E-2</v>
      </c>
      <c r="F523" s="21">
        <f t="shared" si="57"/>
        <v>0.28443856368243681</v>
      </c>
      <c r="G523" s="37">
        <f t="shared" si="57"/>
        <v>5.6161486616447096</v>
      </c>
      <c r="H523" s="17">
        <f>SUM(C523:G523)</f>
        <v>6.1063512926718877</v>
      </c>
      <c r="I523" s="17">
        <f>G523/H523*100</f>
        <v>91.972249752229928</v>
      </c>
      <c r="J523" s="17">
        <f>SQRT(I523*(100-I523)/(L523-1))</f>
        <v>0.85584489648633244</v>
      </c>
      <c r="K523" s="18">
        <f>100-I523</f>
        <v>8.0277502477700722</v>
      </c>
      <c r="L523" s="1">
        <f>H512</f>
        <v>1009</v>
      </c>
      <c r="M523">
        <v>4</v>
      </c>
      <c r="N523" s="1">
        <v>5845.8</v>
      </c>
      <c r="O523" s="17">
        <f>N523/N524*100</f>
        <v>6.1063512926718877</v>
      </c>
      <c r="P523" s="52">
        <f>((O523*O523*(I523/100)*(K523/100))/(L523-1))</f>
        <v>2.7312012402559557E-3</v>
      </c>
      <c r="AM523" s="78"/>
      <c r="AN523" s="78"/>
    </row>
    <row r="524" spans="1:40" x14ac:dyDescent="0.3">
      <c r="B524" t="s">
        <v>28</v>
      </c>
      <c r="C524" s="17">
        <f>SUM(C519:C523)</f>
        <v>0.19914876702949602</v>
      </c>
      <c r="D524" s="17">
        <f>SUM(D519:D523)</f>
        <v>1.523244981761928</v>
      </c>
      <c r="E524" s="17">
        <f>SUM(E519:E523)</f>
        <v>60.569333345246434</v>
      </c>
      <c r="F524" s="17">
        <f>SUM(F519:F523)</f>
        <v>31.489397986844661</v>
      </c>
      <c r="G524" s="17">
        <f>SUM(G519:G523)</f>
        <v>6.2188749191174812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95733.11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4.9410020737243113E-3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4.6283032712641302E-2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0.14161579227380452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0.22854663976328035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0.18742908550410609</v>
      </c>
      <c r="H525" s="1"/>
      <c r="I525" s="14">
        <f>(C519+D520+E521+F522+G523)/H524</f>
        <v>0.98501288535180509</v>
      </c>
      <c r="J525" s="53">
        <f>SQRT(SUM(P519:P523))/100</f>
        <v>2.3368566420331541E-3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89.27284324153463</v>
      </c>
      <c r="E526" s="17">
        <f>E521/E524*100</f>
        <v>99.486563192572902</v>
      </c>
      <c r="F526" s="17">
        <f>F522/F524*100</f>
        <v>98.661139602903518</v>
      </c>
      <c r="G526" s="17">
        <f>G523/G524*100</f>
        <v>90.308114163545454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3.0436923848981707</v>
      </c>
      <c r="E527" s="18">
        <f>SQRT((E530+E531)/(E524*E524))</f>
        <v>0.19028251814012989</v>
      </c>
      <c r="F527" s="18">
        <f>SQRT((F530+F531)/(F524*F524))</f>
        <v>0.30019133452721763</v>
      </c>
      <c r="G527" s="18">
        <f>SQRT((G530+G531)/(G524*G524))</f>
        <v>2.740034310603098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10.72715675846537</v>
      </c>
      <c r="E528" s="18">
        <f>100-E526</f>
        <v>0.51343680742709807</v>
      </c>
      <c r="F528" s="18">
        <f>100-F526</f>
        <v>1.3388603970964823</v>
      </c>
      <c r="G528" s="18">
        <f>100-G526</f>
        <v>9.6918858364545457</v>
      </c>
    </row>
    <row r="529" spans="1:40" ht="15.6" x14ac:dyDescent="0.35">
      <c r="B529" s="1" t="s">
        <v>25</v>
      </c>
      <c r="C529" s="1">
        <f>C513</f>
        <v>353</v>
      </c>
      <c r="D529" s="1">
        <f>D513</f>
        <v>82</v>
      </c>
      <c r="E529" s="1">
        <f>E513</f>
        <v>749</v>
      </c>
      <c r="F529" s="1">
        <f>F513</f>
        <v>713</v>
      </c>
      <c r="G529" s="1">
        <f>G513</f>
        <v>939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13.817414282141142</v>
      </c>
      <c r="E530" s="18">
        <f>(O521*O521*(100-E526)*(100-E526)*(I521)*(100-I521))/((L521-1)*100)</f>
        <v>0.17670661746622229</v>
      </c>
      <c r="F530" s="18">
        <f>(O522*O522*(100-F526)*(100-F526)*(I522)*(100-I522))/((L522-1)*100)</f>
        <v>7.8781388284599068</v>
      </c>
      <c r="G530" s="18">
        <f>(O523*O523*(100-G526)*(100-G526)*(I523)*(100-I523))/((L523-1)*100)</f>
        <v>25.654897309436045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7.6777628125354385</v>
      </c>
      <c r="E531" s="18">
        <f>E526*E526*(SUM((H519*E519*(1-E508/H508))/(H508-1),(H520*E520*(1-E509/H509))/(H509-1), (H522*E522*(1-E511/H511))/(H511-1),(H523*E523*(1-E512/H512))/(H512-1)))</f>
        <v>132.65549396051932</v>
      </c>
      <c r="F531" s="18">
        <f>F526*F526*(SUM((H519*F519*(1-F508/H508))/(H508-1),(H520*F520*(1-F509/H509))/(H509-1), (H521*F521*(1-F510/H510))/(H510-1),(H523*F523*(1-F512/H512))/(H512-1)))</f>
        <v>81.478128519129683</v>
      </c>
      <c r="G531" s="18">
        <f>G526*G526*(SUM((H519*G519*(1-G508/H508))/(H508-1),(H520*G520*(1-G509/H509))/(H509-1), (H521*G521*(1-G510/H510))/(H510-1),(H522*G522*(1-G511/H511))/(H511-1)))</f>
        <v>264.70433930636443</v>
      </c>
      <c r="AM531" s="78"/>
      <c r="AN531" s="78"/>
    </row>
    <row r="533" spans="1:40" x14ac:dyDescent="0.3">
      <c r="AM533" s="78"/>
      <c r="AN533" s="78"/>
    </row>
    <row r="534" spans="1:40" x14ac:dyDescent="0.3">
      <c r="A534" s="348" t="s">
        <v>380</v>
      </c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 t="s">
        <v>91</v>
      </c>
      <c r="M534" s="348"/>
      <c r="N534" s="348"/>
      <c r="O534" s="348"/>
      <c r="P534" s="348"/>
    </row>
    <row r="535" spans="1:40" x14ac:dyDescent="0.3">
      <c r="A535" t="s">
        <v>15</v>
      </c>
      <c r="B535" t="s">
        <v>21</v>
      </c>
      <c r="I535" s="1" t="s">
        <v>53</v>
      </c>
      <c r="O535" s="142"/>
      <c r="P535" s="142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51</v>
      </c>
      <c r="O536" s="13"/>
      <c r="P536" s="13"/>
    </row>
    <row r="537" spans="1:40" x14ac:dyDescent="0.3">
      <c r="A537" t="s">
        <v>3</v>
      </c>
      <c r="B537" s="13">
        <v>0</v>
      </c>
      <c r="C537" s="26">
        <v>419</v>
      </c>
      <c r="D537" s="3">
        <v>0</v>
      </c>
      <c r="E537" s="3">
        <v>0</v>
      </c>
      <c r="F537" s="3">
        <v>28</v>
      </c>
      <c r="G537" s="4">
        <v>4</v>
      </c>
      <c r="H537" s="1">
        <f>SUM(C537:G537)</f>
        <v>451</v>
      </c>
      <c r="I537" s="10">
        <f>C537/H537</f>
        <v>0.92904656319290468</v>
      </c>
      <c r="J537" s="11">
        <f>1-I537</f>
        <v>7.0953436807095316E-2</v>
      </c>
      <c r="K537">
        <f>H537-C542</f>
        <v>32</v>
      </c>
      <c r="N537" s="10">
        <f>2*(C543*I537)/(C543+I537)</f>
        <v>0.9632183908045977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55</v>
      </c>
      <c r="E538" s="1">
        <v>2</v>
      </c>
      <c r="F538" s="1">
        <v>0</v>
      </c>
      <c r="G538" s="6">
        <v>0</v>
      </c>
      <c r="H538" s="1">
        <f>SUM(C538:G538)</f>
        <v>57</v>
      </c>
      <c r="I538" s="10">
        <f>D538/H538</f>
        <v>0.96491228070175439</v>
      </c>
      <c r="J538" s="11">
        <f>1-I538</f>
        <v>3.5087719298245612E-2</v>
      </c>
      <c r="K538">
        <f>H538-D542</f>
        <v>-24</v>
      </c>
      <c r="N538" s="10">
        <f>2*(D543*I538)/(D543+I538)</f>
        <v>0.79710144927536242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0</v>
      </c>
      <c r="E539" s="27">
        <v>736</v>
      </c>
      <c r="F539" s="1">
        <v>1</v>
      </c>
      <c r="G539" s="6">
        <v>0</v>
      </c>
      <c r="H539" s="1">
        <f>SUM(C539:G539)</f>
        <v>737</v>
      </c>
      <c r="I539" s="10">
        <f>E539/H539</f>
        <v>0.99864314789687925</v>
      </c>
      <c r="J539" s="11">
        <f>1-I539</f>
        <v>1.3568521031207537E-3</v>
      </c>
      <c r="K539">
        <f>H539-E542</f>
        <v>-14</v>
      </c>
      <c r="N539" s="10">
        <f>2*(E543*I539)/(E543+I539)</f>
        <v>0.989247311827957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0</v>
      </c>
      <c r="E540" s="1">
        <v>5</v>
      </c>
      <c r="F540" s="27">
        <v>568</v>
      </c>
      <c r="G540" s="6">
        <v>9</v>
      </c>
      <c r="H540" s="1">
        <f>SUM(C540:G540)</f>
        <v>582</v>
      </c>
      <c r="I540" s="10">
        <f>F540/H540</f>
        <v>0.97594501718213056</v>
      </c>
      <c r="J540" s="11">
        <f>1-I540</f>
        <v>2.4054982817869441E-2</v>
      </c>
      <c r="K540">
        <f>H540-F542</f>
        <v>-76</v>
      </c>
      <c r="N540" s="10">
        <f>2*(F543*I540)/(F543+I540)</f>
        <v>0.91612903225806452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26</v>
      </c>
      <c r="E541" s="8">
        <v>8</v>
      </c>
      <c r="F541" s="8">
        <v>61</v>
      </c>
      <c r="G541" s="28">
        <v>914</v>
      </c>
      <c r="H541" s="1">
        <f>SUM(C541:G541)</f>
        <v>1009</v>
      </c>
      <c r="I541" s="10">
        <f>G541/H541</f>
        <v>0.90584737363726464</v>
      </c>
      <c r="J541" s="11">
        <f>1-I541</f>
        <v>9.4152626362735359E-2</v>
      </c>
      <c r="K541">
        <f>H541-G542</f>
        <v>82</v>
      </c>
      <c r="N541" s="10">
        <f>2*(G543*I541)/(G543+I541)</f>
        <v>0.94421487603305787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419</v>
      </c>
      <c r="D542" s="1">
        <f>SUM(D537:D541)</f>
        <v>81</v>
      </c>
      <c r="E542" s="1">
        <f>SUM(E537:E541)</f>
        <v>751</v>
      </c>
      <c r="F542" s="1">
        <f>SUM(F537:F541)</f>
        <v>658</v>
      </c>
      <c r="G542" s="1">
        <f>SUM(G537:G541)</f>
        <v>927</v>
      </c>
      <c r="H542" s="1">
        <f>SUM(H536:H541)</f>
        <v>2836</v>
      </c>
      <c r="I542" s="13" t="s">
        <v>12</v>
      </c>
      <c r="N542" s="16"/>
      <c r="O542" s="1"/>
      <c r="P542" s="1"/>
    </row>
    <row r="543" spans="1:40" x14ac:dyDescent="0.3">
      <c r="A543" s="1" t="s">
        <v>52</v>
      </c>
      <c r="B543" s="1" t="s">
        <v>2</v>
      </c>
      <c r="C543" s="10">
        <f>C537/C542</f>
        <v>1</v>
      </c>
      <c r="D543" s="10">
        <f>D538/D542</f>
        <v>0.67901234567901236</v>
      </c>
      <c r="E543" s="10">
        <f>E539/E542</f>
        <v>0.98002663115845534</v>
      </c>
      <c r="F543" s="10">
        <f>F540/F542</f>
        <v>0.86322188449848025</v>
      </c>
      <c r="G543" s="10">
        <f>G541/G542</f>
        <v>0.98597626752966561</v>
      </c>
      <c r="H543" s="10"/>
      <c r="I543" s="14">
        <f>(C537+D538+E539+F540+G541)/H542</f>
        <v>0.94922425952045131</v>
      </c>
    </row>
    <row r="544" spans="1:40" x14ac:dyDescent="0.3">
      <c r="B544" s="1" t="s">
        <v>14</v>
      </c>
      <c r="C544" s="11">
        <f>1-C543</f>
        <v>0</v>
      </c>
      <c r="D544" s="11">
        <f>1-D543</f>
        <v>0.32098765432098764</v>
      </c>
      <c r="E544" s="11">
        <f>1-E543</f>
        <v>1.9973368841544659E-2</v>
      </c>
      <c r="F544" s="11">
        <f>1-F543</f>
        <v>0.13677811550151975</v>
      </c>
      <c r="G544" s="11">
        <f>1-G543</f>
        <v>1.4023732470334394E-2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0.22092401262056935</v>
      </c>
      <c r="D548" s="31">
        <f>(D537/$L548)*$O548</f>
        <v>0</v>
      </c>
      <c r="E548" s="31">
        <f>(E537/$L548)*$O548</f>
        <v>0</v>
      </c>
      <c r="F548" s="31">
        <f>(F537/$L548)*$O548</f>
        <v>1.4763418504477188E-2</v>
      </c>
      <c r="G548" s="32">
        <f>(G537/$L548)*$O548</f>
        <v>2.1090597863538839E-3</v>
      </c>
      <c r="H548" s="17">
        <f>SUM(C548:G548)</f>
        <v>0.23779649091140043</v>
      </c>
      <c r="I548" s="17">
        <f>C548/H548*100</f>
        <v>92.904656319290467</v>
      </c>
      <c r="J548" s="17">
        <f>SQRT(I548*(100-I548)/(L548-1))</f>
        <v>1.210317190862304</v>
      </c>
      <c r="K548" s="18">
        <f>100-I548</f>
        <v>7.0953436807095329</v>
      </c>
      <c r="L548" s="1">
        <f>H537</f>
        <v>451</v>
      </c>
      <c r="M548">
        <v>0</v>
      </c>
      <c r="N548" s="1">
        <v>227.65</v>
      </c>
      <c r="O548" s="17">
        <f>N548/N553*100</f>
        <v>0.2377964909114004</v>
      </c>
      <c r="P548" s="52">
        <f>((O548*O548*(I548/100)*(K548/100))/(L548-1))</f>
        <v>8.283412459697434E-6</v>
      </c>
    </row>
    <row r="549" spans="1:16" x14ac:dyDescent="0.3">
      <c r="A549" t="s">
        <v>4</v>
      </c>
      <c r="B549" s="13">
        <v>1</v>
      </c>
      <c r="C549" s="33">
        <f t="shared" ref="C549:G552" si="58">(C538/$L549)*$O549</f>
        <v>0</v>
      </c>
      <c r="D549" s="34">
        <f t="shared" si="58"/>
        <v>1.1116136778372532</v>
      </c>
      <c r="E549" s="19">
        <f t="shared" si="58"/>
        <v>4.0422315557718295E-2</v>
      </c>
      <c r="F549" s="18">
        <f t="shared" si="58"/>
        <v>0</v>
      </c>
      <c r="G549" s="20">
        <f t="shared" si="58"/>
        <v>0</v>
      </c>
      <c r="H549" s="17">
        <f>SUM(C549:G549)</f>
        <v>1.1520359933949715</v>
      </c>
      <c r="I549" s="17">
        <f>D549/H549*100</f>
        <v>96.491228070175438</v>
      </c>
      <c r="J549" s="17">
        <f>SQRT(I549*(100-I549)/(L549-1))</f>
        <v>2.4588241692166148</v>
      </c>
      <c r="K549" s="18">
        <f>100-I549</f>
        <v>3.5087719298245617</v>
      </c>
      <c r="L549" s="1">
        <f>H538</f>
        <v>57</v>
      </c>
      <c r="M549">
        <v>1</v>
      </c>
      <c r="N549" s="1">
        <v>1102.8800000000001</v>
      </c>
      <c r="O549" s="17">
        <f>N549/N553*100</f>
        <v>1.1520359933949715</v>
      </c>
      <c r="P549" s="52">
        <f>((O549*O549*(I549/100)*(K549/100))/(L549-1))</f>
        <v>8.0239283685380833E-4</v>
      </c>
    </row>
    <row r="550" spans="1:16" x14ac:dyDescent="0.3">
      <c r="A550" t="s">
        <v>5</v>
      </c>
      <c r="B550" s="13">
        <v>2</v>
      </c>
      <c r="C550" s="33">
        <f t="shared" si="58"/>
        <v>0</v>
      </c>
      <c r="D550" s="19">
        <f t="shared" si="58"/>
        <v>0</v>
      </c>
      <c r="E550" s="34">
        <f t="shared" si="58"/>
        <v>60.089882981880955</v>
      </c>
      <c r="F550" s="19">
        <f t="shared" si="58"/>
        <v>8.1643862747120863E-2</v>
      </c>
      <c r="G550" s="20">
        <f t="shared" si="58"/>
        <v>0</v>
      </c>
      <c r="H550" s="17">
        <f>SUM(C550:G550)</f>
        <v>60.171526844628076</v>
      </c>
      <c r="I550" s="17">
        <f>E550/H550*100</f>
        <v>99.864314789687924</v>
      </c>
      <c r="J550" s="17">
        <f>SQRT(I550*(100-I550)/(L550-1))</f>
        <v>0.13568521031207589</v>
      </c>
      <c r="K550" s="18">
        <f>100-I550</f>
        <v>0.13568521031207581</v>
      </c>
      <c r="L550" s="1">
        <f>H539</f>
        <v>737</v>
      </c>
      <c r="M550">
        <v>2</v>
      </c>
      <c r="N550" s="1">
        <v>57604.08</v>
      </c>
      <c r="O550" s="17">
        <f>N550/N553*100</f>
        <v>60.171526844628076</v>
      </c>
      <c r="P550" s="52">
        <f>((O550*O550*(I550/100)*(K550/100))/(L550-1))</f>
        <v>6.6657203242707005E-3</v>
      </c>
    </row>
    <row r="551" spans="1:16" x14ac:dyDescent="0.3">
      <c r="A551" t="s">
        <v>6</v>
      </c>
      <c r="B551" s="13">
        <v>3</v>
      </c>
      <c r="C551" s="33">
        <f t="shared" si="58"/>
        <v>0</v>
      </c>
      <c r="D551" s="19">
        <f t="shared" si="58"/>
        <v>0</v>
      </c>
      <c r="E551" s="19">
        <f t="shared" si="58"/>
        <v>0.28048460832224698</v>
      </c>
      <c r="F551" s="34">
        <f t="shared" si="58"/>
        <v>31.863051505407249</v>
      </c>
      <c r="G551" s="20">
        <f t="shared" si="58"/>
        <v>0.50487229498004449</v>
      </c>
      <c r="H551" s="17">
        <f>SUM(C551:G551)</f>
        <v>32.648408408709543</v>
      </c>
      <c r="I551" s="17">
        <f>F551/H551*100</f>
        <v>97.594501718213053</v>
      </c>
      <c r="J551" s="17">
        <f>SQRT(I551*(100-I551)/(L551-1))</f>
        <v>0.63566329513058506</v>
      </c>
      <c r="K551" s="18">
        <f>100-I551</f>
        <v>2.4054982817869472</v>
      </c>
      <c r="L551" s="1">
        <f>H540</f>
        <v>582</v>
      </c>
      <c r="M551">
        <v>3</v>
      </c>
      <c r="N551" s="1">
        <v>31255.34</v>
      </c>
      <c r="O551" s="17">
        <f>N551/N553*100</f>
        <v>32.648408408709543</v>
      </c>
      <c r="P551" s="52">
        <f>((O551*O551*(I551/100)*(K551/100))/(L551-1))</f>
        <v>4.3070339862389187E-2</v>
      </c>
    </row>
    <row r="552" spans="1:16" x14ac:dyDescent="0.3">
      <c r="A552" t="s">
        <v>7</v>
      </c>
      <c r="B552" s="13">
        <v>4</v>
      </c>
      <c r="C552" s="35">
        <f t="shared" si="58"/>
        <v>0</v>
      </c>
      <c r="D552" s="36">
        <f t="shared" si="58"/>
        <v>0.14920320993186961</v>
      </c>
      <c r="E552" s="21">
        <f t="shared" si="58"/>
        <v>4.5908679979036797E-2</v>
      </c>
      <c r="F552" s="21">
        <f t="shared" si="58"/>
        <v>0.35005368484015559</v>
      </c>
      <c r="G552" s="37">
        <f t="shared" si="58"/>
        <v>5.2450666876049548</v>
      </c>
      <c r="H552" s="17">
        <f>SUM(C552:G552)</f>
        <v>5.7902322623560165</v>
      </c>
      <c r="I552" s="17">
        <f>G552/H552*100</f>
        <v>90.584737363726461</v>
      </c>
      <c r="J552" s="17">
        <f>SQRT(I552*(100-I552)/(L552-1))</f>
        <v>0.91984249272684604</v>
      </c>
      <c r="K552" s="18">
        <f>100-I552</f>
        <v>9.415262636273539</v>
      </c>
      <c r="L552" s="1">
        <f>H541</f>
        <v>1009</v>
      </c>
      <c r="M552">
        <v>4</v>
      </c>
      <c r="N552" s="1">
        <v>5543.17</v>
      </c>
      <c r="O552" s="17">
        <f>N552/N553*100</f>
        <v>5.7902322623560165</v>
      </c>
      <c r="P552" s="52">
        <f>((O552*O552*(I552/100)*(K552/100))/(L552-1))</f>
        <v>2.8367359080910762E-3</v>
      </c>
    </row>
    <row r="553" spans="1:16" x14ac:dyDescent="0.3">
      <c r="B553" t="s">
        <v>28</v>
      </c>
      <c r="C553" s="17">
        <f>SUM(C548:C552)</f>
        <v>0.22092401262056935</v>
      </c>
      <c r="D553" s="17">
        <f>SUM(D548:D552)</f>
        <v>1.2608168877691228</v>
      </c>
      <c r="E553" s="17">
        <f>SUM(E548:E552)</f>
        <v>60.456698585739957</v>
      </c>
      <c r="F553" s="17">
        <f>SUM(F548:F552)</f>
        <v>32.309512471499005</v>
      </c>
      <c r="G553" s="17">
        <f>SUM(G548:G552)</f>
        <v>5.7520480423713529</v>
      </c>
      <c r="H553" s="1">
        <f>SUM(H547:H552)</f>
        <v>100.00000000000001</v>
      </c>
      <c r="I553" s="13" t="s">
        <v>24</v>
      </c>
      <c r="J553" s="12" t="s">
        <v>29</v>
      </c>
      <c r="N553" s="1">
        <f>SUM(N548:N552)</f>
        <v>95733.119999999995</v>
      </c>
      <c r="O553" s="17">
        <f>SUM(O548:O552)</f>
        <v>100.00000000000001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2.8748992489292732E-3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4.0279871412874757E-2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0.15266139739884133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0.22704114377671392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0.17526791643946499</v>
      </c>
      <c r="H554" s="1"/>
      <c r="I554" s="56">
        <f>(C548+D549+E550+F551+G552)/H553</f>
        <v>0.98530538865350958</v>
      </c>
      <c r="J554" s="53">
        <f>SQRT(SUM(P548:P552))/100</f>
        <v>2.310486363172578E-3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88.16614756835402</v>
      </c>
      <c r="E555" s="17">
        <f>E550/E553*100</f>
        <v>99.393258956509527</v>
      </c>
      <c r="F555" s="17">
        <f>F551/F553*100</f>
        <v>98.618174859538371</v>
      </c>
      <c r="G555" s="17">
        <f>G552/G553*100</f>
        <v>91.186072316645877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3.3394005475847335</v>
      </c>
      <c r="E556" s="18">
        <f>SQRT((E559+E560)/(E553*E553))</f>
        <v>0.2125512950673602</v>
      </c>
      <c r="F556" s="18">
        <f>SQRT((F559+F560)/(F553*F553))</f>
        <v>0.29605516916786317</v>
      </c>
      <c r="G556" s="18">
        <f>SQRT((G559+G560)/(G553*G553))</f>
        <v>2.7723484434289309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11.83385243164598</v>
      </c>
      <c r="E557" s="18">
        <f>100-E555</f>
        <v>0.60674104349047298</v>
      </c>
      <c r="F557" s="18">
        <f>100-F555</f>
        <v>1.3818251404616291</v>
      </c>
      <c r="G557" s="18">
        <f>100-G555</f>
        <v>8.8139276833541231</v>
      </c>
    </row>
    <row r="558" spans="1:16" ht="15.6" x14ac:dyDescent="0.35">
      <c r="B558" s="1" t="s">
        <v>25</v>
      </c>
      <c r="C558" s="1">
        <f>C542</f>
        <v>419</v>
      </c>
      <c r="D558" s="1">
        <f>D542</f>
        <v>81</v>
      </c>
      <c r="E558" s="1">
        <f>E542</f>
        <v>751</v>
      </c>
      <c r="F558" s="1">
        <f>F542</f>
        <v>658</v>
      </c>
      <c r="G558" s="1">
        <f>G542</f>
        <v>927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11.236714372382966</v>
      </c>
      <c r="E559" s="18">
        <f>(O550*O550*(100-E555)*(100-E555)*(I550)*(100-I550))/((L550-1)*100)</f>
        <v>0.24538829109044988</v>
      </c>
      <c r="F559" s="18">
        <f>(O551*O551*(100-F555)*(100-F555)*(I551)*(100-I551))/((L551-1)*100)</f>
        <v>8.2240260706308952</v>
      </c>
      <c r="G559" s="18">
        <f>(O552*O552*(100-G555)*(100-G555)*(I552)*(100-I552))/((L552-1)*100)</f>
        <v>22.037274020060995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6.490523104090661</v>
      </c>
      <c r="E560" s="18">
        <f>E555*E555*(SUM((H548*E548*(1-E537/H537))/(H537-1),(H549*E549*(1-E538/H538))/(H538-1), (H551*E551*(1-E540/H540))/(H540-1),(H552*E552*(1-E541/H541))/(H541-1)))</f>
        <v>164.88095593461273</v>
      </c>
      <c r="F560" s="18">
        <f>F555*F555*(SUM((H548*F548*(1-F537/H537))/(H537-1),(H549*F549*(1-F538/H538))/(H538-1), (H550*F550*(1-F539/H539))/(H539-1),(H552*F552*(1-F541/H541))/(H541-1)))</f>
        <v>83.272816280514917</v>
      </c>
      <c r="G560" s="18">
        <f>G555*G555*(SUM((H548*G548*(1-G537/H537))/(H537-1),(H549*G549*(1-G538/H538))/(H538-1), (H550*G550*(1-G539/H539))/(H539-1),(H551*G551*(1-G540/H540))/(H540-1)))</f>
        <v>232.25937482661382</v>
      </c>
    </row>
    <row r="563" spans="1:16" x14ac:dyDescent="0.3">
      <c r="A563" s="348" t="s">
        <v>380</v>
      </c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 t="s">
        <v>92</v>
      </c>
      <c r="M563" s="348"/>
      <c r="N563" s="348"/>
      <c r="O563" s="348"/>
      <c r="P563" s="348"/>
    </row>
    <row r="564" spans="1:16" x14ac:dyDescent="0.3">
      <c r="A564" t="s">
        <v>15</v>
      </c>
      <c r="B564" t="s">
        <v>21</v>
      </c>
      <c r="I564" s="1" t="s">
        <v>53</v>
      </c>
      <c r="O564" s="142"/>
      <c r="P564" s="142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51</v>
      </c>
      <c r="O565" s="13"/>
      <c r="P565" s="13"/>
    </row>
    <row r="566" spans="1:16" x14ac:dyDescent="0.3">
      <c r="A566" t="s">
        <v>3</v>
      </c>
      <c r="B566" s="13">
        <v>0</v>
      </c>
      <c r="C566" s="26">
        <v>352</v>
      </c>
      <c r="D566" s="3">
        <v>0</v>
      </c>
      <c r="E566" s="3">
        <v>0</v>
      </c>
      <c r="F566" s="3">
        <v>95</v>
      </c>
      <c r="G566" s="4">
        <v>4</v>
      </c>
      <c r="H566" s="1">
        <f>SUM(C566:G566)</f>
        <v>451</v>
      </c>
      <c r="I566" s="10">
        <f>C566/H566</f>
        <v>0.78048780487804881</v>
      </c>
      <c r="J566" s="11">
        <f>1-I566</f>
        <v>0.21951219512195119</v>
      </c>
      <c r="K566">
        <f>H566-C571</f>
        <v>98</v>
      </c>
      <c r="N566" s="10">
        <f>2*(C572*I566)/(C572+I566)</f>
        <v>0.87562189054726358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55</v>
      </c>
      <c r="E567" s="1">
        <v>2</v>
      </c>
      <c r="F567" s="1">
        <v>0</v>
      </c>
      <c r="G567" s="6">
        <v>0</v>
      </c>
      <c r="H567" s="1">
        <f>SUM(C567:G567)</f>
        <v>57</v>
      </c>
      <c r="I567" s="10">
        <f>D567/H567</f>
        <v>0.96491228070175439</v>
      </c>
      <c r="J567" s="11">
        <f>1-I567</f>
        <v>3.5087719298245612E-2</v>
      </c>
      <c r="K567">
        <f>H567-D571</f>
        <v>-13</v>
      </c>
      <c r="N567" s="10">
        <f>2*(D572*I567)/(D572+I567)</f>
        <v>0.86614173228346458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0</v>
      </c>
      <c r="E568" s="27">
        <v>736</v>
      </c>
      <c r="F568" s="1">
        <v>1</v>
      </c>
      <c r="G568" s="6">
        <v>0</v>
      </c>
      <c r="H568" s="1">
        <f>SUM(C568:G568)</f>
        <v>737</v>
      </c>
      <c r="I568" s="10">
        <f>E568/H568</f>
        <v>0.99864314789687925</v>
      </c>
      <c r="J568" s="11">
        <f>1-I568</f>
        <v>1.3568521031207537E-3</v>
      </c>
      <c r="K568">
        <f>H568-E571</f>
        <v>-23</v>
      </c>
      <c r="N568" s="10">
        <f>2*(E572*I568)/(E572+I568)</f>
        <v>0.98329993319973275</v>
      </c>
      <c r="O568" s="1"/>
      <c r="P568" s="1"/>
    </row>
    <row r="569" spans="1:16" x14ac:dyDescent="0.3">
      <c r="A569" t="s">
        <v>6</v>
      </c>
      <c r="B569" s="13">
        <v>3</v>
      </c>
      <c r="C569" s="5">
        <v>1</v>
      </c>
      <c r="D569" s="1">
        <v>0</v>
      </c>
      <c r="E569" s="1">
        <v>3</v>
      </c>
      <c r="F569" s="27">
        <v>563</v>
      </c>
      <c r="G569" s="6">
        <v>15</v>
      </c>
      <c r="H569" s="1">
        <f>SUM(C569:G569)</f>
        <v>582</v>
      </c>
      <c r="I569" s="10">
        <f>F569/H569</f>
        <v>0.96735395189003437</v>
      </c>
      <c r="J569" s="11">
        <f>1-I569</f>
        <v>3.2646048109965631E-2</v>
      </c>
      <c r="K569">
        <f>H569-F571</f>
        <v>-121</v>
      </c>
      <c r="N569" s="10">
        <f>2*(F572*I569)/(F572+I569)</f>
        <v>0.87626459143968871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15</v>
      </c>
      <c r="E570" s="8">
        <v>19</v>
      </c>
      <c r="F570" s="8">
        <v>44</v>
      </c>
      <c r="G570" s="28">
        <v>931</v>
      </c>
      <c r="H570" s="1">
        <f>SUM(C570:G570)</f>
        <v>1009</v>
      </c>
      <c r="I570" s="10">
        <f>G570/H570</f>
        <v>0.92269573835480678</v>
      </c>
      <c r="J570" s="11">
        <f>1-I570</f>
        <v>7.7304261645193217E-2</v>
      </c>
      <c r="K570">
        <f>H570-G571</f>
        <v>59</v>
      </c>
      <c r="N570" s="10">
        <f>2*(G572*I570)/(G572+I570)</f>
        <v>0.95048494129658001</v>
      </c>
      <c r="O570" s="1"/>
      <c r="P570" s="1"/>
    </row>
    <row r="571" spans="1:16" ht="15.6" x14ac:dyDescent="0.35">
      <c r="B571" s="1" t="s">
        <v>19</v>
      </c>
      <c r="C571" s="1">
        <f>SUM(C566:C570)</f>
        <v>353</v>
      </c>
      <c r="D571" s="1">
        <f>SUM(D566:D570)</f>
        <v>70</v>
      </c>
      <c r="E571" s="1">
        <f>SUM(E566:E570)</f>
        <v>760</v>
      </c>
      <c r="F571" s="1">
        <f>SUM(F566:F570)</f>
        <v>703</v>
      </c>
      <c r="G571" s="1">
        <f>SUM(G566:G570)</f>
        <v>950</v>
      </c>
      <c r="H571" s="1">
        <f>SUM(H565:H570)</f>
        <v>2836</v>
      </c>
      <c r="I571" s="13" t="s">
        <v>12</v>
      </c>
      <c r="N571" s="16"/>
      <c r="O571" s="1"/>
      <c r="P571" s="1"/>
    </row>
    <row r="572" spans="1:16" x14ac:dyDescent="0.3">
      <c r="A572" s="1" t="s">
        <v>52</v>
      </c>
      <c r="B572" s="1" t="s">
        <v>2</v>
      </c>
      <c r="C572" s="10">
        <f>C566/C571</f>
        <v>0.99716713881019825</v>
      </c>
      <c r="D572" s="10">
        <f>D567/D571</f>
        <v>0.7857142857142857</v>
      </c>
      <c r="E572" s="10">
        <f>E568/E571</f>
        <v>0.96842105263157896</v>
      </c>
      <c r="F572" s="10">
        <f>F569/F571</f>
        <v>0.80085348506401133</v>
      </c>
      <c r="G572" s="10">
        <f>G570/G571</f>
        <v>0.98</v>
      </c>
      <c r="H572" s="10"/>
      <c r="I572" s="14">
        <f>(C566+D567+E568+F569+G570)/H571</f>
        <v>0.92983074753173489</v>
      </c>
    </row>
    <row r="573" spans="1:16" x14ac:dyDescent="0.3">
      <c r="B573" s="1" t="s">
        <v>14</v>
      </c>
      <c r="C573" s="11">
        <f>1-C572</f>
        <v>2.8328611898017497E-3</v>
      </c>
      <c r="D573" s="11">
        <f>1-D572</f>
        <v>0.2142857142857143</v>
      </c>
      <c r="E573" s="11">
        <f>1-E572</f>
        <v>3.157894736842104E-2</v>
      </c>
      <c r="F573" s="11">
        <f>1-F572</f>
        <v>0.19914651493598867</v>
      </c>
      <c r="G573" s="11">
        <f>1-G572</f>
        <v>2.0000000000000018E-2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0.21406665000245398</v>
      </c>
      <c r="D577" s="31">
        <f>(D566/$L577)*$O577</f>
        <v>0</v>
      </c>
      <c r="E577" s="31">
        <f>(E566/$L577)*$O577</f>
        <v>0</v>
      </c>
      <c r="F577" s="31">
        <f>(F566/$L577)*$O577</f>
        <v>5.7773669744980473E-2</v>
      </c>
      <c r="G577" s="32">
        <f>(G566/$L577)*$O577</f>
        <v>2.4325755682097043E-3</v>
      </c>
      <c r="H577" s="17">
        <f>SUM(C577:G577)</f>
        <v>0.27427289531564414</v>
      </c>
      <c r="I577" s="17">
        <f>C577/H577*100</f>
        <v>78.048780487804876</v>
      </c>
      <c r="J577" s="17">
        <f>SQRT(I577*(100-I577)/(L577-1))</f>
        <v>1.9512195121951221</v>
      </c>
      <c r="K577" s="18">
        <f>100-I577</f>
        <v>21.951219512195124</v>
      </c>
      <c r="L577" s="1">
        <f>H566</f>
        <v>451</v>
      </c>
      <c r="M577">
        <v>0</v>
      </c>
      <c r="N577" s="1">
        <v>262.57</v>
      </c>
      <c r="O577" s="17">
        <f>N577/N582*100</f>
        <v>0.27427289531564414</v>
      </c>
      <c r="P577" s="52">
        <f>((O577*O577*(I577/100)*(K577/100))/(L577-1))</f>
        <v>2.8640331652045708E-5</v>
      </c>
    </row>
    <row r="578" spans="1:16" x14ac:dyDescent="0.3">
      <c r="A578" t="s">
        <v>4</v>
      </c>
      <c r="B578" s="13">
        <v>1</v>
      </c>
      <c r="C578" s="33">
        <f t="shared" ref="C578:G581" si="59">(C567/$L578)*$O578</f>
        <v>0</v>
      </c>
      <c r="D578" s="34">
        <f t="shared" si="59"/>
        <v>1.3094883307759315</v>
      </c>
      <c r="E578" s="19">
        <f t="shared" si="59"/>
        <v>4.7617757482761147E-2</v>
      </c>
      <c r="F578" s="18">
        <f t="shared" si="59"/>
        <v>0</v>
      </c>
      <c r="G578" s="20">
        <f t="shared" si="59"/>
        <v>0</v>
      </c>
      <c r="H578" s="17">
        <f>SUM(C578:G578)</f>
        <v>1.3571060882586927</v>
      </c>
      <c r="I578" s="17">
        <f>D578/H578*100</f>
        <v>96.491228070175438</v>
      </c>
      <c r="J578" s="17">
        <f>SQRT(I578*(100-I578)/(L578-1))</f>
        <v>2.4588241692166148</v>
      </c>
      <c r="K578" s="18">
        <f>100-I578</f>
        <v>3.5087719298245617</v>
      </c>
      <c r="L578" s="1">
        <f>H567</f>
        <v>57</v>
      </c>
      <c r="M578">
        <v>1</v>
      </c>
      <c r="N578" s="1">
        <v>1299.2</v>
      </c>
      <c r="O578" s="17">
        <f>N578/N582*100</f>
        <v>1.3571060882586927</v>
      </c>
      <c r="P578" s="52">
        <f>((O578*O578*(I578/100)*(K578/100))/(L578-1))</f>
        <v>1.1134803171677504E-3</v>
      </c>
    </row>
    <row r="579" spans="1:16" x14ac:dyDescent="0.3">
      <c r="A579" t="s">
        <v>5</v>
      </c>
      <c r="B579" s="13">
        <v>2</v>
      </c>
      <c r="C579" s="33">
        <f t="shared" si="59"/>
        <v>0</v>
      </c>
      <c r="D579" s="19">
        <f t="shared" si="59"/>
        <v>0</v>
      </c>
      <c r="E579" s="34">
        <f t="shared" si="59"/>
        <v>60.210909621375194</v>
      </c>
      <c r="F579" s="19">
        <f t="shared" si="59"/>
        <v>8.1808301115998905E-2</v>
      </c>
      <c r="G579" s="20">
        <f t="shared" si="59"/>
        <v>0</v>
      </c>
      <c r="H579" s="17">
        <f>SUM(C579:G579)</f>
        <v>60.292717922491192</v>
      </c>
      <c r="I579" s="17">
        <f>E579/H579*100</f>
        <v>99.864314789687924</v>
      </c>
      <c r="J579" s="17">
        <f>SQRT(I579*(100-I579)/(L579-1))</f>
        <v>0.13568521031207589</v>
      </c>
      <c r="K579" s="18">
        <f>100-I579</f>
        <v>0.13568521031207581</v>
      </c>
      <c r="L579" s="1">
        <f>H568</f>
        <v>737</v>
      </c>
      <c r="M579">
        <v>2</v>
      </c>
      <c r="N579" s="1">
        <v>57720.1</v>
      </c>
      <c r="O579" s="17">
        <f>N579/N582*100</f>
        <v>60.292717922491192</v>
      </c>
      <c r="P579" s="52">
        <f>((O579*O579*(I579/100)*(K579/100))/(L579-1))</f>
        <v>6.6925981314859394E-3</v>
      </c>
    </row>
    <row r="580" spans="1:16" x14ac:dyDescent="0.3">
      <c r="A580" t="s">
        <v>6</v>
      </c>
      <c r="B580" s="13">
        <v>3</v>
      </c>
      <c r="C580" s="33">
        <f t="shared" si="59"/>
        <v>5.5376401292500363E-2</v>
      </c>
      <c r="D580" s="19">
        <f t="shared" si="59"/>
        <v>0</v>
      </c>
      <c r="E580" s="19">
        <f t="shared" si="59"/>
        <v>0.1661292038775011</v>
      </c>
      <c r="F580" s="34">
        <f t="shared" si="59"/>
        <v>31.176913927677706</v>
      </c>
      <c r="G580" s="20">
        <f t="shared" si="59"/>
        <v>0.83064601938750549</v>
      </c>
      <c r="H580" s="17">
        <f>SUM(C580:G580)</f>
        <v>32.229065552235213</v>
      </c>
      <c r="I580" s="17">
        <f>F580/H580*100</f>
        <v>96.735395189003441</v>
      </c>
      <c r="J580" s="17">
        <f>SQRT(I580*(100-I580)/(L580-1))</f>
        <v>0.73725876947171687</v>
      </c>
      <c r="K580" s="18">
        <f>100-I580</f>
        <v>3.2646048109965591</v>
      </c>
      <c r="L580" s="1">
        <f>H569</f>
        <v>582</v>
      </c>
      <c r="M580">
        <v>3</v>
      </c>
      <c r="N580" s="1">
        <v>30853.89</v>
      </c>
      <c r="O580" s="17">
        <f>N580/N582*100</f>
        <v>32.229065552235213</v>
      </c>
      <c r="P580" s="52">
        <f>((O580*O580*(I580/100)*(K580/100))/(L580-1))</f>
        <v>5.6459278206016553E-2</v>
      </c>
    </row>
    <row r="581" spans="1:16" x14ac:dyDescent="0.3">
      <c r="A581" t="s">
        <v>7</v>
      </c>
      <c r="B581" s="13">
        <v>4</v>
      </c>
      <c r="C581" s="35">
        <f t="shared" si="59"/>
        <v>0</v>
      </c>
      <c r="D581" s="36">
        <f t="shared" si="59"/>
        <v>8.6920280600088065E-2</v>
      </c>
      <c r="E581" s="21">
        <f t="shared" si="59"/>
        <v>0.1100990220934449</v>
      </c>
      <c r="F581" s="21">
        <f t="shared" si="59"/>
        <v>0.25496615642692499</v>
      </c>
      <c r="G581" s="37">
        <f t="shared" si="59"/>
        <v>5.3948520825788</v>
      </c>
      <c r="H581" s="17">
        <f>SUM(C581:G581)</f>
        <v>5.8468375416992577</v>
      </c>
      <c r="I581" s="17">
        <f>G581/H581*100</f>
        <v>92.269573835480685</v>
      </c>
      <c r="J581" s="17">
        <f>SQRT(I581*(100-I581)/(L581-1))</f>
        <v>0.84120279990163371</v>
      </c>
      <c r="K581" s="18">
        <f>100-I581</f>
        <v>7.7304261645193151</v>
      </c>
      <c r="L581" s="1">
        <f>H570</f>
        <v>1009</v>
      </c>
      <c r="M581">
        <v>4</v>
      </c>
      <c r="N581" s="1">
        <v>5597.36</v>
      </c>
      <c r="O581" s="17">
        <f>N581/N582*100</f>
        <v>5.8468375416992577</v>
      </c>
      <c r="P581" s="52">
        <f>((O581*O581*(I581/100)*(K581/100))/(L581-1))</f>
        <v>2.4190423565787051E-3</v>
      </c>
    </row>
    <row r="582" spans="1:16" x14ac:dyDescent="0.3">
      <c r="B582" t="s">
        <v>28</v>
      </c>
      <c r="C582" s="17">
        <f t="shared" ref="C582:H582" si="60">SUM(C577:C581)</f>
        <v>0.26944305129495433</v>
      </c>
      <c r="D582" s="17">
        <f t="shared" si="60"/>
        <v>1.3964086113760197</v>
      </c>
      <c r="E582" s="17">
        <f t="shared" si="60"/>
        <v>60.534755604828902</v>
      </c>
      <c r="F582" s="17">
        <f t="shared" si="60"/>
        <v>31.571462054965611</v>
      </c>
      <c r="G582" s="17">
        <f t="shared" si="60"/>
        <v>6.2279306775345153</v>
      </c>
      <c r="H582" s="18">
        <f t="shared" si="60"/>
        <v>100</v>
      </c>
      <c r="I582" s="13" t="s">
        <v>24</v>
      </c>
      <c r="J582" s="12" t="s">
        <v>29</v>
      </c>
      <c r="N582" s="1">
        <f>SUM(N577:N581)</f>
        <v>95733.119999999995</v>
      </c>
      <c r="O582" s="17">
        <f>SUM(O577:O581)</f>
        <v>100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5.5586452203989591E-2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3.987647812847573E-2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0.13249775473717512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0.25394200320997945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0.21732643220982176</v>
      </c>
      <c r="H583" s="1"/>
      <c r="I583" s="56">
        <f>(C577+D578+E579+F580+G581)/H582</f>
        <v>0.98306230612410073</v>
      </c>
      <c r="J583" s="53">
        <f>SQRT(SUM(P577:P581))/100</f>
        <v>2.5828867443792613E-3</v>
      </c>
      <c r="M583" s="1"/>
      <c r="N583" s="9"/>
    </row>
    <row r="584" spans="1:16" x14ac:dyDescent="0.3">
      <c r="B584" s="1" t="s">
        <v>30</v>
      </c>
      <c r="C584" s="17">
        <f>C577/C582*100</f>
        <v>79.447827276910985</v>
      </c>
      <c r="D584" s="17">
        <f>D578/D582*100</f>
        <v>93.775440806367058</v>
      </c>
      <c r="E584" s="17">
        <f>E579/E582*100</f>
        <v>99.465024711476872</v>
      </c>
      <c r="F584" s="17">
        <f>F580/F582*100</f>
        <v>98.750301374700356</v>
      </c>
      <c r="G584" s="17">
        <f>G581/G582*100</f>
        <v>86.6235088652992</v>
      </c>
      <c r="H584" s="1"/>
    </row>
    <row r="585" spans="1:16" x14ac:dyDescent="0.3">
      <c r="B585" s="16" t="s">
        <v>39</v>
      </c>
      <c r="C585" s="18">
        <f>SQRT((C588+C589)/(C582*C582))</f>
        <v>43.965171250351858</v>
      </c>
      <c r="D585" s="18">
        <f>SQRT((D588+D589)/(D582*D582))</f>
        <v>2.110062449081294</v>
      </c>
      <c r="E585" s="18">
        <f>SQRT((E588+E589)/(E582*E582))</f>
        <v>0.17176084013915821</v>
      </c>
      <c r="F585" s="18">
        <f>SQRT((F588+F589)/(F582*F582))</f>
        <v>0.2973750610005414</v>
      </c>
      <c r="G585" s="18">
        <f>SQRT((G588+G589)/(G582*G582))</f>
        <v>3.1305685760050475</v>
      </c>
      <c r="H585" s="1"/>
    </row>
    <row r="586" spans="1:16" x14ac:dyDescent="0.3">
      <c r="B586" s="1" t="s">
        <v>37</v>
      </c>
      <c r="C586" s="18">
        <f>100-C584</f>
        <v>20.552172723089015</v>
      </c>
      <c r="D586" s="18">
        <f>100-D584</f>
        <v>6.2245591936329419</v>
      </c>
      <c r="E586" s="18">
        <f>100-E584</f>
        <v>0.53497528852312826</v>
      </c>
      <c r="F586" s="18">
        <f>100-F584</f>
        <v>1.2496986252996436</v>
      </c>
      <c r="G586" s="18">
        <f>100-G584</f>
        <v>13.3764911347008</v>
      </c>
    </row>
    <row r="587" spans="1:16" ht="15.6" x14ac:dyDescent="0.35">
      <c r="B587" s="1" t="s">
        <v>25</v>
      </c>
      <c r="C587" s="1">
        <f>C571</f>
        <v>353</v>
      </c>
      <c r="D587" s="1">
        <f>D571</f>
        <v>70</v>
      </c>
      <c r="E587" s="1">
        <f>E571</f>
        <v>760</v>
      </c>
      <c r="F587" s="1">
        <f>F571</f>
        <v>703</v>
      </c>
      <c r="G587" s="1">
        <f>G571</f>
        <v>950</v>
      </c>
    </row>
    <row r="588" spans="1:16" x14ac:dyDescent="0.3">
      <c r="B588" s="1" t="s">
        <v>34</v>
      </c>
      <c r="C588" s="18">
        <f>(O577*O577*(100-C584)*(100-C584)*(I577)*(100-I577))/(L577-1)</f>
        <v>120.9744134334632</v>
      </c>
      <c r="D588" s="18">
        <f>(O578*O578*(100-D584)*(100-D584)*(I578)*(100-I578))/((L578-1)*100)</f>
        <v>4.3141947608102358</v>
      </c>
      <c r="E588" s="18">
        <f>(O579*O579*(100-E584)*(100-E584)*(I579)*(100-I579))/((L579-1)*100)</f>
        <v>0.19154119434086317</v>
      </c>
      <c r="F588" s="18">
        <f>(O580*O580*(100-F584)*(100-F584)*(I580)*(100-I580))/((L580-1)*100)</f>
        <v>8.8175088829782169</v>
      </c>
      <c r="G588" s="18">
        <f>(O581*O581*(100-G584)*(100-G584)*(I581)*(100-I581))/((L581-1)*100)</f>
        <v>43.284049485505221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19.355906149354126</v>
      </c>
      <c r="D589" s="18">
        <f>D584*D584*(SUM((H577*D577*(1-D566/H566))/(H566-1),(H579*D579*(1-D568/H568))/(H568-1), (H580*D580*(1-D569/H569))/(H569-1),(H581*D581*(1-D570/H570))/(H570-1)))</f>
        <v>4.3677227328425037</v>
      </c>
      <c r="E589" s="18">
        <f>E584*E584*(SUM((H577*E577*(1-E566/H566))/(H566-1),(H578*E578*(1-E567/H567))/(H567-1), (H580*E580*(1-E569/H569))/(H569-1),(H581*E581*(1-E570/H570))/(H570-1)))</f>
        <v>107.91647504358163</v>
      </c>
      <c r="F589" s="18">
        <f>F584*F584*(SUM((H577*F577*(1-F566/H566))/(H566-1),(H578*F578*(1-F567/H567))/(H567-1), (H579*F579*(1-F568/H568))/(H568-1),(H581*F581*(1-F570/H570))/(H570-1)))</f>
        <v>79.327652409920745</v>
      </c>
      <c r="G589" s="18">
        <f>G584*G584*(SUM((H577*G577*(1-G566/H566))/(H566-1),(H578*G578*(1-G567/H567))/(H567-1), (H579*G579*(1-G568/H568))/(H568-1),(H580*G580*(1-G569/H569))/(H569-1)))</f>
        <v>336.84755856381747</v>
      </c>
    </row>
    <row r="592" spans="1:16" x14ac:dyDescent="0.3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48"/>
      <c r="B998" s="348"/>
      <c r="C998" s="348"/>
      <c r="D998" s="348"/>
      <c r="E998" s="348"/>
      <c r="F998" s="348"/>
      <c r="G998" s="348"/>
      <c r="H998" s="348"/>
      <c r="I998" s="348"/>
      <c r="J998" s="348"/>
      <c r="K998" s="348"/>
      <c r="L998" s="348"/>
      <c r="M998" s="348"/>
      <c r="N998" s="348"/>
      <c r="O998" s="348"/>
      <c r="P998" s="348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48"/>
      <c r="B1027" s="348"/>
      <c r="C1027" s="348"/>
      <c r="D1027" s="348"/>
      <c r="E1027" s="348"/>
      <c r="F1027" s="348"/>
      <c r="G1027" s="348"/>
      <c r="H1027" s="348"/>
      <c r="I1027" s="348"/>
      <c r="J1027" s="348"/>
      <c r="K1027" s="348"/>
      <c r="L1027" s="348"/>
      <c r="M1027" s="348"/>
      <c r="N1027" s="348"/>
      <c r="O1027" s="348"/>
      <c r="P1027" s="348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48"/>
      <c r="B1056" s="348"/>
      <c r="C1056" s="348"/>
      <c r="D1056" s="348"/>
      <c r="E1056" s="348"/>
      <c r="F1056" s="348"/>
      <c r="G1056" s="348"/>
      <c r="H1056" s="348"/>
      <c r="I1056" s="348"/>
      <c r="J1056" s="348"/>
      <c r="K1056" s="348"/>
      <c r="L1056" s="348"/>
      <c r="M1056" s="348"/>
      <c r="N1056" s="348"/>
      <c r="O1056" s="348"/>
      <c r="P1056" s="348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48"/>
      <c r="B1085" s="348"/>
      <c r="C1085" s="348"/>
      <c r="D1085" s="348"/>
      <c r="E1085" s="348"/>
      <c r="F1085" s="348"/>
      <c r="G1085" s="348"/>
      <c r="H1085" s="348"/>
      <c r="I1085" s="348"/>
      <c r="J1085" s="348"/>
      <c r="K1085" s="348"/>
      <c r="L1085" s="348"/>
      <c r="M1085" s="348"/>
      <c r="N1085" s="348"/>
      <c r="O1085" s="348"/>
      <c r="P1085" s="348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48"/>
      <c r="B1114" s="348"/>
      <c r="C1114" s="348"/>
      <c r="D1114" s="348"/>
      <c r="E1114" s="348"/>
      <c r="F1114" s="348"/>
      <c r="G1114" s="348"/>
      <c r="H1114" s="348"/>
      <c r="I1114" s="348"/>
      <c r="J1114" s="348"/>
      <c r="K1114" s="348"/>
      <c r="L1114" s="348"/>
      <c r="M1114" s="348"/>
      <c r="N1114" s="348"/>
      <c r="O1114" s="348"/>
      <c r="P1114" s="348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48"/>
      <c r="B1143" s="348"/>
      <c r="C1143" s="348"/>
      <c r="D1143" s="348"/>
      <c r="E1143" s="348"/>
      <c r="F1143" s="348"/>
      <c r="G1143" s="348"/>
      <c r="H1143" s="348"/>
      <c r="I1143" s="348"/>
      <c r="J1143" s="348"/>
      <c r="K1143" s="348"/>
      <c r="L1143" s="348"/>
      <c r="M1143" s="348"/>
      <c r="N1143" s="348"/>
      <c r="O1143" s="348"/>
      <c r="P1143" s="348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48"/>
      <c r="B1172" s="348"/>
      <c r="C1172" s="348"/>
      <c r="D1172" s="348"/>
      <c r="E1172" s="348"/>
      <c r="F1172" s="348"/>
      <c r="G1172" s="348"/>
      <c r="H1172" s="348"/>
      <c r="I1172" s="348"/>
      <c r="J1172" s="348"/>
      <c r="K1172" s="348"/>
      <c r="L1172" s="348"/>
      <c r="M1172" s="348"/>
      <c r="N1172" s="348"/>
      <c r="O1172" s="348"/>
      <c r="P1172" s="348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48"/>
      <c r="B1201" s="348"/>
      <c r="C1201" s="348"/>
      <c r="D1201" s="348"/>
      <c r="E1201" s="348"/>
      <c r="F1201" s="348"/>
      <c r="G1201" s="348"/>
      <c r="H1201" s="348"/>
      <c r="I1201" s="348"/>
      <c r="J1201" s="348"/>
      <c r="K1201" s="348"/>
      <c r="L1201" s="348"/>
      <c r="M1201" s="348"/>
      <c r="N1201" s="348"/>
      <c r="O1201" s="348"/>
      <c r="P1201" s="348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48"/>
      <c r="B1230" s="348"/>
      <c r="C1230" s="348"/>
      <c r="D1230" s="348"/>
      <c r="E1230" s="348"/>
      <c r="F1230" s="348"/>
      <c r="G1230" s="348"/>
      <c r="H1230" s="348"/>
      <c r="I1230" s="348"/>
      <c r="J1230" s="348"/>
      <c r="K1230" s="348"/>
      <c r="L1230" s="348"/>
      <c r="M1230" s="348"/>
      <c r="N1230" s="348"/>
      <c r="O1230" s="348"/>
      <c r="P1230" s="348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48"/>
      <c r="B1259" s="348"/>
      <c r="C1259" s="348"/>
      <c r="D1259" s="348"/>
      <c r="E1259" s="348"/>
      <c r="F1259" s="348"/>
      <c r="G1259" s="348"/>
      <c r="H1259" s="348"/>
      <c r="I1259" s="348"/>
      <c r="J1259" s="348"/>
      <c r="K1259" s="348"/>
      <c r="L1259" s="348"/>
      <c r="M1259" s="348"/>
      <c r="N1259" s="348"/>
      <c r="O1259" s="348"/>
      <c r="P1259" s="348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48"/>
      <c r="B1288" s="348"/>
      <c r="C1288" s="348"/>
      <c r="D1288" s="348"/>
      <c r="E1288" s="348"/>
      <c r="F1288" s="348"/>
      <c r="G1288" s="348"/>
      <c r="H1288" s="348"/>
      <c r="I1288" s="348"/>
      <c r="J1288" s="348"/>
      <c r="K1288" s="348"/>
      <c r="L1288" s="348"/>
      <c r="M1288" s="348"/>
      <c r="N1288" s="348"/>
      <c r="O1288" s="348"/>
      <c r="P1288" s="348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48"/>
      <c r="B1317" s="348"/>
      <c r="C1317" s="348"/>
      <c r="D1317" s="348"/>
      <c r="E1317" s="348"/>
      <c r="F1317" s="348"/>
      <c r="G1317" s="348"/>
      <c r="H1317" s="348"/>
      <c r="I1317" s="348"/>
      <c r="J1317" s="348"/>
      <c r="K1317" s="348"/>
      <c r="L1317" s="348"/>
      <c r="M1317" s="348"/>
      <c r="N1317" s="348"/>
      <c r="O1317" s="348"/>
      <c r="P1317" s="348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48"/>
      <c r="B1346" s="348"/>
      <c r="C1346" s="348"/>
      <c r="D1346" s="348"/>
      <c r="E1346" s="348"/>
      <c r="F1346" s="348"/>
      <c r="G1346" s="348"/>
      <c r="H1346" s="348"/>
      <c r="I1346" s="348"/>
      <c r="J1346" s="348"/>
      <c r="K1346" s="348"/>
      <c r="L1346" s="348"/>
      <c r="M1346" s="348"/>
      <c r="N1346" s="348"/>
      <c r="O1346" s="348"/>
      <c r="P1346" s="348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48"/>
      <c r="B1375" s="348"/>
      <c r="C1375" s="348"/>
      <c r="D1375" s="348"/>
      <c r="E1375" s="348"/>
      <c r="F1375" s="348"/>
      <c r="G1375" s="348"/>
      <c r="H1375" s="348"/>
      <c r="I1375" s="348"/>
      <c r="J1375" s="348"/>
      <c r="K1375" s="348"/>
      <c r="L1375" s="348"/>
      <c r="M1375" s="348"/>
      <c r="N1375" s="348"/>
      <c r="O1375" s="348"/>
      <c r="P1375" s="348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48"/>
      <c r="B1404" s="348"/>
      <c r="C1404" s="348"/>
      <c r="D1404" s="348"/>
      <c r="E1404" s="348"/>
      <c r="F1404" s="348"/>
      <c r="G1404" s="348"/>
      <c r="H1404" s="348"/>
      <c r="I1404" s="348"/>
      <c r="J1404" s="348"/>
      <c r="K1404" s="348"/>
      <c r="L1404" s="348"/>
      <c r="M1404" s="348"/>
      <c r="N1404" s="348"/>
      <c r="O1404" s="348"/>
      <c r="P1404" s="348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48"/>
      <c r="B1433" s="348"/>
      <c r="C1433" s="348"/>
      <c r="D1433" s="348"/>
      <c r="E1433" s="348"/>
      <c r="F1433" s="348"/>
      <c r="G1433" s="348"/>
      <c r="H1433" s="348"/>
      <c r="I1433" s="348"/>
      <c r="J1433" s="348"/>
      <c r="K1433" s="348"/>
      <c r="L1433" s="348"/>
      <c r="M1433" s="348"/>
      <c r="N1433" s="348"/>
      <c r="O1433" s="348"/>
      <c r="P1433" s="348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02"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CF3B0-E3C9-47CE-9F5C-211DF5559AF8}">
  <dimension ref="A1:BE1459"/>
  <sheetViews>
    <sheetView topLeftCell="AC92" zoomScale="80" zoomScaleNormal="80" workbookViewId="0">
      <selection activeCell="AL100" sqref="AL100:AP100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</cols>
  <sheetData>
    <row r="1" spans="1:57" x14ac:dyDescent="0.3">
      <c r="A1" s="12"/>
      <c r="B1" s="12" t="s">
        <v>10</v>
      </c>
      <c r="C1" s="12"/>
      <c r="D1" s="12"/>
      <c r="E1" s="12"/>
      <c r="F1" s="12"/>
    </row>
    <row r="2" spans="1:57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AG2" s="51" t="s">
        <v>122</v>
      </c>
      <c r="AH2" s="51" t="s">
        <v>126</v>
      </c>
    </row>
    <row r="3" spans="1:57" x14ac:dyDescent="0.3">
      <c r="A3" s="12" t="s">
        <v>3</v>
      </c>
      <c r="B3" s="103">
        <v>51.51</v>
      </c>
      <c r="C3" s="22">
        <f>B3/$B$8</f>
        <v>7.4793088427472038E-2</v>
      </c>
      <c r="D3" s="85">
        <v>0.01</v>
      </c>
      <c r="E3" s="86">
        <f>D3-C3</f>
        <v>-6.4793088427472043E-2</v>
      </c>
      <c r="F3" s="12"/>
      <c r="G3" t="s">
        <v>46</v>
      </c>
      <c r="AG3" s="51" t="s">
        <v>123</v>
      </c>
      <c r="AH3" s="51" t="s">
        <v>129</v>
      </c>
    </row>
    <row r="4" spans="1:57" x14ac:dyDescent="0.3">
      <c r="A4" s="12" t="s">
        <v>4</v>
      </c>
      <c r="B4" s="103">
        <v>20.98</v>
      </c>
      <c r="C4" s="22">
        <f>B4/$B$8</f>
        <v>3.0463191520255551E-2</v>
      </c>
      <c r="D4" s="85">
        <v>0.01</v>
      </c>
      <c r="E4" s="86">
        <f>D4-C4</f>
        <v>-2.0463191520255553E-2</v>
      </c>
      <c r="F4" s="12"/>
      <c r="G4" t="s">
        <v>635</v>
      </c>
      <c r="AG4" s="51" t="s">
        <v>124</v>
      </c>
      <c r="AH4" s="51" t="s">
        <v>127</v>
      </c>
    </row>
    <row r="5" spans="1:57" x14ac:dyDescent="0.3">
      <c r="A5" s="12" t="s">
        <v>5</v>
      </c>
      <c r="B5" s="103">
        <v>234.23</v>
      </c>
      <c r="C5" s="22">
        <f>B5/$B$8</f>
        <v>0.34010454479454039</v>
      </c>
      <c r="D5" s="85">
        <v>0.42</v>
      </c>
      <c r="E5" s="86">
        <f>D5-C5</f>
        <v>7.9895455205459598E-2</v>
      </c>
      <c r="F5" s="12" t="s">
        <v>45</v>
      </c>
      <c r="AG5" s="51" t="s">
        <v>125</v>
      </c>
      <c r="AH5" s="51" t="s">
        <v>128</v>
      </c>
    </row>
    <row r="6" spans="1:57" x14ac:dyDescent="0.3">
      <c r="A6" s="12" t="s">
        <v>6</v>
      </c>
      <c r="B6" s="103">
        <v>206.92</v>
      </c>
      <c r="C6" s="22">
        <f>B6/$B$8</f>
        <v>0.30045012342093796</v>
      </c>
      <c r="D6" s="85">
        <v>0.35</v>
      </c>
      <c r="E6" s="86">
        <f>D6-C6</f>
        <v>4.9549876579062013E-2</v>
      </c>
      <c r="F6" s="12" t="s">
        <v>45</v>
      </c>
      <c r="I6" s="12"/>
      <c r="J6" s="12" t="s">
        <v>50</v>
      </c>
      <c r="K6" s="12"/>
      <c r="AG6" s="51" t="s">
        <v>150</v>
      </c>
      <c r="AH6" s="51" t="s">
        <v>152</v>
      </c>
    </row>
    <row r="7" spans="1:57" x14ac:dyDescent="0.3">
      <c r="A7" s="12" t="s">
        <v>7</v>
      </c>
      <c r="B7" s="103">
        <v>175.06</v>
      </c>
      <c r="C7" s="22">
        <f>B7/$B$8</f>
        <v>0.25418905183679397</v>
      </c>
      <c r="D7" s="85">
        <v>0.21</v>
      </c>
      <c r="E7" s="86">
        <f>D7-C7</f>
        <v>-4.4189051836793974E-2</v>
      </c>
      <c r="F7" s="12"/>
      <c r="I7" s="12"/>
      <c r="J7" s="12">
        <v>8592</v>
      </c>
      <c r="K7" s="12"/>
      <c r="AG7" s="51" t="s">
        <v>151</v>
      </c>
      <c r="AH7" s="51" t="s">
        <v>153</v>
      </c>
    </row>
    <row r="8" spans="1:57" x14ac:dyDescent="0.3">
      <c r="A8" s="12"/>
      <c r="B8" s="103">
        <f>SUM(B3:B7)</f>
        <v>688.7</v>
      </c>
      <c r="C8" s="61">
        <f>SUM(C3:C7)</f>
        <v>0.99999999999999989</v>
      </c>
      <c r="D8" s="12"/>
      <c r="E8" s="12" t="s">
        <v>16</v>
      </c>
      <c r="F8" s="134">
        <v>90404.61</v>
      </c>
      <c r="I8" s="12" t="s">
        <v>55</v>
      </c>
      <c r="J8" s="12" t="s">
        <v>50</v>
      </c>
      <c r="K8" s="12" t="s">
        <v>54</v>
      </c>
      <c r="AG8" s="51" t="s">
        <v>205</v>
      </c>
      <c r="AH8" s="51" t="s">
        <v>210</v>
      </c>
    </row>
    <row r="9" spans="1:57" x14ac:dyDescent="0.3">
      <c r="A9" s="12"/>
      <c r="B9" s="87">
        <f>B8/0.36</f>
        <v>1913.0555555555557</v>
      </c>
      <c r="C9" s="12" t="s">
        <v>44</v>
      </c>
      <c r="D9" s="12"/>
      <c r="E9" s="12" t="s">
        <v>47</v>
      </c>
      <c r="F9" s="88">
        <f>B8/F8</f>
        <v>7.6179743488744662E-3</v>
      </c>
      <c r="G9" s="46"/>
      <c r="I9" s="12">
        <v>2788</v>
      </c>
      <c r="J9" s="12">
        <v>8509</v>
      </c>
      <c r="K9" s="89">
        <f>(J7-J9)/J7</f>
        <v>9.6601489757914341E-3</v>
      </c>
      <c r="AG9" s="51" t="s">
        <v>206</v>
      </c>
      <c r="AH9" s="51" t="s">
        <v>211</v>
      </c>
    </row>
    <row r="10" spans="1:57" x14ac:dyDescent="0.3">
      <c r="A10" s="129" t="s">
        <v>636</v>
      </c>
      <c r="B10" s="130">
        <v>24756</v>
      </c>
      <c r="F10" s="46"/>
      <c r="I10" s="89">
        <f>I9/(I9+J9)</f>
        <v>0.24679118350004425</v>
      </c>
      <c r="J10" s="89">
        <f>J9/(J9+I9)</f>
        <v>0.75320881649995575</v>
      </c>
      <c r="K10" s="12"/>
      <c r="AG10" s="51" t="s">
        <v>207</v>
      </c>
      <c r="AH10" s="51" t="s">
        <v>212</v>
      </c>
    </row>
    <row r="11" spans="1:57" x14ac:dyDescent="0.3">
      <c r="B11" s="18"/>
      <c r="F11" s="46"/>
      <c r="I11" s="45"/>
      <c r="J11" s="45"/>
      <c r="AG11" s="51" t="s">
        <v>208</v>
      </c>
      <c r="AH11" s="51" t="s">
        <v>213</v>
      </c>
    </row>
    <row r="12" spans="1:57" x14ac:dyDescent="0.3">
      <c r="A12" s="348" t="s">
        <v>382</v>
      </c>
      <c r="B12" s="348"/>
      <c r="C12" s="348"/>
      <c r="D12" s="348"/>
      <c r="E12" s="348"/>
      <c r="F12" s="348"/>
      <c r="G12" s="348"/>
      <c r="H12" s="348"/>
      <c r="I12" s="348"/>
      <c r="J12" s="348"/>
      <c r="K12" s="348"/>
      <c r="L12" s="348" t="s">
        <v>48</v>
      </c>
      <c r="M12" s="348"/>
      <c r="N12" s="348"/>
      <c r="O12" s="348"/>
      <c r="P12" s="348"/>
      <c r="R12" s="47" t="s">
        <v>382</v>
      </c>
      <c r="S12" s="47" t="s">
        <v>633</v>
      </c>
      <c r="T12" s="47"/>
      <c r="U12" s="47"/>
      <c r="V12" s="47"/>
      <c r="W12" s="47"/>
      <c r="X12" s="47"/>
      <c r="Y12" s="47"/>
      <c r="Z12" s="47"/>
      <c r="AA12" s="47"/>
      <c r="AB12" s="47" t="s">
        <v>58</v>
      </c>
      <c r="AC12" s="47"/>
      <c r="AD12" s="47"/>
      <c r="AE12" s="47"/>
      <c r="AF12" s="47"/>
      <c r="AG12" s="51" t="s">
        <v>209</v>
      </c>
      <c r="AH12" s="51" t="s">
        <v>214</v>
      </c>
      <c r="AW12" s="66"/>
      <c r="AX12" s="77" t="s">
        <v>323</v>
      </c>
      <c r="AY12" s="77" t="s">
        <v>326</v>
      </c>
      <c r="AZ12" s="77" t="s">
        <v>324</v>
      </c>
      <c r="BA12" s="77" t="s">
        <v>325</v>
      </c>
      <c r="BB12" s="77" t="s">
        <v>327</v>
      </c>
      <c r="BC12" s="77" t="s">
        <v>328</v>
      </c>
      <c r="BD12" s="77" t="s">
        <v>349</v>
      </c>
      <c r="BE12" s="13"/>
    </row>
    <row r="13" spans="1:57" x14ac:dyDescent="0.3">
      <c r="A13" t="s">
        <v>315</v>
      </c>
      <c r="B13" t="s">
        <v>21</v>
      </c>
      <c r="I13" s="1" t="s">
        <v>53</v>
      </c>
      <c r="AG13" s="51" t="s">
        <v>319</v>
      </c>
      <c r="AH13" s="51" t="s">
        <v>321</v>
      </c>
      <c r="AW13" s="51" t="s">
        <v>126</v>
      </c>
      <c r="AX13" s="80">
        <f>MIN($AE$16:$AE$20)</f>
        <v>0.98398701596283356</v>
      </c>
      <c r="AY13" s="80">
        <f>_xlfn.QUARTILE.EXC($AE$16:$AE$20,1)</f>
        <v>0.98413653322168826</v>
      </c>
      <c r="AZ13" s="80">
        <f>MEDIAN($AE$16:$AE$20)</f>
        <v>0.98612631137251894</v>
      </c>
      <c r="BA13" s="80">
        <f>AVERAGE($AE$16:$AE$20)</f>
        <v>0.98594466967580596</v>
      </c>
      <c r="BB13" s="80">
        <f>_xlfn.QUARTILE.EXC(AE16:AE20,3)</f>
        <v>0.98766198528156723</v>
      </c>
      <c r="BC13" s="80">
        <f>MAX(AE16:AE20)</f>
        <v>0.98834458738545095</v>
      </c>
      <c r="BD13" s="80">
        <f>(BB13-AY13)/AZ13</f>
        <v>3.5750512071543346E-3</v>
      </c>
      <c r="BE13" s="80"/>
    </row>
    <row r="14" spans="1:57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51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320</v>
      </c>
      <c r="AH14" s="51" t="s">
        <v>322</v>
      </c>
      <c r="AW14" s="51" t="s">
        <v>129</v>
      </c>
      <c r="AX14" s="80">
        <f>MIN($AE$16:$AE$25)</f>
        <v>0.98398701596283356</v>
      </c>
      <c r="AY14" s="80">
        <f>_xlfn.QUARTILE.EXC($AE$16:$AE$25,1)</f>
        <v>0.98421691526741029</v>
      </c>
      <c r="AZ14" s="80">
        <f>MEDIAN($AE$16:$AE$25)</f>
        <v>0.9861644427938856</v>
      </c>
      <c r="BA14" s="80">
        <f>AVERAGE($AE$16:$AE$25)</f>
        <v>0.98618131577924328</v>
      </c>
      <c r="BB14" s="80">
        <f>_xlfn.QUARTILE.EXC($AE$16:$AE$25,3)</f>
        <v>0.98793753608029444</v>
      </c>
      <c r="BC14" s="80">
        <f>MAX($AE$16:$AE$25)</f>
        <v>0.98834458738545095</v>
      </c>
      <c r="BD14" s="80">
        <f t="shared" ref="BD14:BD23" si="0">(BB14-AY14)/AZ14</f>
        <v>3.7728198781364795E-3</v>
      </c>
      <c r="BE14" s="80"/>
    </row>
    <row r="15" spans="1:57" x14ac:dyDescent="0.3">
      <c r="A15" t="s">
        <v>3</v>
      </c>
      <c r="B15" s="13">
        <v>0</v>
      </c>
      <c r="C15" s="26">
        <v>331</v>
      </c>
      <c r="D15" s="3">
        <v>0</v>
      </c>
      <c r="E15" s="3">
        <v>0</v>
      </c>
      <c r="F15" s="3">
        <v>120</v>
      </c>
      <c r="G15" s="4">
        <v>0</v>
      </c>
      <c r="H15" s="1">
        <f>SUM(C15:G15)</f>
        <v>451</v>
      </c>
      <c r="I15" s="10">
        <f>C15/H15</f>
        <v>0.73392461197339243</v>
      </c>
      <c r="J15" s="11">
        <f>1-I15</f>
        <v>0.26607538802660757</v>
      </c>
      <c r="K15">
        <f>H15-C20</f>
        <v>120</v>
      </c>
      <c r="N15" s="10">
        <f>2*(C21*I15)/(C21+I15)</f>
        <v>0.84654731457800514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72</v>
      </c>
      <c r="AF15" s="12" t="s">
        <v>29</v>
      </c>
      <c r="AH15" t="s">
        <v>120</v>
      </c>
      <c r="AI15" t="s">
        <v>121</v>
      </c>
      <c r="AW15" s="51" t="s">
        <v>127</v>
      </c>
      <c r="AX15" s="80">
        <f>MIN($AE$16:$AE$35)</f>
        <v>0.98398701596283356</v>
      </c>
      <c r="AY15" s="80">
        <f>_xlfn.QUARTILE.EXC($AE$16:$AE$35,1)</f>
        <v>0.98548215677359596</v>
      </c>
      <c r="AZ15" s="126">
        <f>MEDIAN($AE$16:$AE$35)</f>
        <v>0.98680618513025498</v>
      </c>
      <c r="BA15" s="126">
        <f>AVERAGE($AE$16:$AE$35)</f>
        <v>0.98663092447321432</v>
      </c>
      <c r="BB15" s="80">
        <f>_xlfn.QUARTILE.EXC($AE$16:$AE$35,3)</f>
        <v>0.9878550673375226</v>
      </c>
      <c r="BC15" s="80">
        <f>MAX($AE$16:$AE$35)</f>
        <v>0.98922038123951084</v>
      </c>
      <c r="BD15" s="80">
        <f t="shared" si="0"/>
        <v>2.4046368979876403E-3</v>
      </c>
      <c r="BE15" s="80"/>
    </row>
    <row r="16" spans="1:57" x14ac:dyDescent="0.3">
      <c r="A16" t="s">
        <v>4</v>
      </c>
      <c r="B16" s="13">
        <v>1</v>
      </c>
      <c r="C16" s="5">
        <v>0</v>
      </c>
      <c r="D16" s="27">
        <v>54</v>
      </c>
      <c r="E16" s="1">
        <v>3</v>
      </c>
      <c r="F16" s="1">
        <v>0</v>
      </c>
      <c r="G16" s="6">
        <v>0</v>
      </c>
      <c r="H16" s="1">
        <f>SUM(C16:G16)</f>
        <v>57</v>
      </c>
      <c r="I16" s="10">
        <f>D16/H16</f>
        <v>0.94736842105263153</v>
      </c>
      <c r="J16" s="11">
        <f>1-I16</f>
        <v>5.2631578947368474E-2</v>
      </c>
      <c r="K16">
        <f>H16-D20</f>
        <v>1</v>
      </c>
      <c r="N16" s="10">
        <f>2*(D21*I16)/(D21+I16)</f>
        <v>0.95575221238938046</v>
      </c>
      <c r="R16" t="s">
        <v>65</v>
      </c>
      <c r="S16" t="s">
        <v>28</v>
      </c>
      <c r="T16" s="57">
        <f t="shared" ref="T16:X19" si="1">C31</f>
        <v>0.14476411856330704</v>
      </c>
      <c r="U16" s="57">
        <f t="shared" si="1"/>
        <v>1.0364789459673767</v>
      </c>
      <c r="V16" s="57">
        <f t="shared" si="1"/>
        <v>62.060910618469585</v>
      </c>
      <c r="W16" s="57">
        <f t="shared" si="1"/>
        <v>30.928239797922352</v>
      </c>
      <c r="X16" s="57">
        <f t="shared" si="1"/>
        <v>5.8296065190773785</v>
      </c>
      <c r="AC16" t="s">
        <v>65</v>
      </c>
      <c r="AD16" s="51">
        <f>I21</f>
        <v>0.9347202295552367</v>
      </c>
      <c r="AE16" s="55">
        <f>I32</f>
        <v>0.98697938317768352</v>
      </c>
      <c r="AF16" s="55">
        <f>J32</f>
        <v>2.5169544255505649E-3</v>
      </c>
      <c r="AH16">
        <v>21</v>
      </c>
      <c r="AI16">
        <v>32</v>
      </c>
      <c r="AW16" s="51" t="s">
        <v>128</v>
      </c>
      <c r="AX16" s="80">
        <f>MIN($AE$16:$AE$45)</f>
        <v>0.98398701596283356</v>
      </c>
      <c r="AY16" s="80">
        <f>_xlfn.QUARTILE.EXC($AE$16:$AE$45,1)</f>
        <v>0.98548215677359596</v>
      </c>
      <c r="AZ16" s="80">
        <f>MEDIAN($AE$16:$AE$45)</f>
        <v>0.98680618513025498</v>
      </c>
      <c r="BA16" s="80">
        <f>AVERAGE($AE$16:$AE$45)</f>
        <v>0.98663092447321432</v>
      </c>
      <c r="BB16" s="80">
        <f>_xlfn.QUARTILE.EXC($AE$16:$AE$45,3)</f>
        <v>0.9878550673375226</v>
      </c>
      <c r="BC16" s="80">
        <f>MAX($AE$16:$AE$45)</f>
        <v>0.98922038123951084</v>
      </c>
      <c r="BD16" s="80">
        <f t="shared" si="0"/>
        <v>2.4046368979876403E-3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1</v>
      </c>
      <c r="E17" s="27">
        <v>734</v>
      </c>
      <c r="F17" s="1">
        <v>2</v>
      </c>
      <c r="G17" s="6">
        <v>0</v>
      </c>
      <c r="H17" s="1">
        <f>SUM(C17:G17)</f>
        <v>737</v>
      </c>
      <c r="I17" s="10">
        <f>E17/H17</f>
        <v>0.99592944369063774</v>
      </c>
      <c r="J17" s="11">
        <f>1-I17</f>
        <v>4.070556309362261E-3</v>
      </c>
      <c r="K17">
        <f>H17-E20</f>
        <v>-4</v>
      </c>
      <c r="N17" s="10">
        <f>2*(E21*I17)/(E21+I17)</f>
        <v>0.99323410013531799</v>
      </c>
      <c r="S17" s="66" t="s">
        <v>39</v>
      </c>
      <c r="T17" s="67">
        <f t="shared" si="1"/>
        <v>4.1043962822862479E-3</v>
      </c>
      <c r="U17" s="67">
        <f t="shared" si="1"/>
        <v>0.10607499912383583</v>
      </c>
      <c r="V17" s="67">
        <f t="shared" si="1"/>
        <v>0.18831461087762383</v>
      </c>
      <c r="W17" s="67">
        <f t="shared" si="1"/>
        <v>0.23540787670041405</v>
      </c>
      <c r="X17" s="67">
        <f t="shared" si="1"/>
        <v>0.15764223712017236</v>
      </c>
      <c r="AC17" t="s">
        <v>66</v>
      </c>
      <c r="AD17" s="51">
        <f>I50</f>
        <v>0.87948350071736014</v>
      </c>
      <c r="AE17" s="55">
        <f>I61</f>
        <v>0.98398701596283356</v>
      </c>
      <c r="AF17" s="55">
        <f>J61</f>
        <v>2.8216614300698305E-3</v>
      </c>
      <c r="AH17">
        <v>50</v>
      </c>
      <c r="AI17">
        <v>61</v>
      </c>
      <c r="AW17" s="51" t="s">
        <v>152</v>
      </c>
      <c r="AX17" s="80">
        <f>MIN($AE$16:$AE$55)</f>
        <v>0.98398701596283356</v>
      </c>
      <c r="AY17" s="80">
        <f>_xlfn.QUARTILE.EXC($AE$16:$AE$55,1)</f>
        <v>0.98548215677359596</v>
      </c>
      <c r="AZ17" s="80">
        <f>MEDIAN($AE$16:$AE$55)</f>
        <v>0.98680618513025498</v>
      </c>
      <c r="BA17" s="80">
        <f>AVERAGE($AE$16:$AE$55)</f>
        <v>0.98663092447321432</v>
      </c>
      <c r="BB17" s="80">
        <f>_xlfn.QUARTILE.EXC($AE$16:$AE$55,3)</f>
        <v>0.9878550673375226</v>
      </c>
      <c r="BC17" s="80">
        <f>MAX($AE$16:$AE$55)</f>
        <v>0.98922038123951084</v>
      </c>
      <c r="BD17" s="80">
        <f t="shared" si="0"/>
        <v>2.4046368979876403E-3</v>
      </c>
      <c r="BE17" s="80"/>
    </row>
    <row r="18" spans="1:57" x14ac:dyDescent="0.3">
      <c r="A18" t="s">
        <v>6</v>
      </c>
      <c r="B18" s="13">
        <v>3</v>
      </c>
      <c r="C18" s="5">
        <v>0</v>
      </c>
      <c r="D18" s="1">
        <v>1</v>
      </c>
      <c r="E18" s="1">
        <v>4</v>
      </c>
      <c r="F18" s="27">
        <v>522</v>
      </c>
      <c r="G18" s="6">
        <v>7</v>
      </c>
      <c r="H18" s="1">
        <f>SUM(C18:G18)</f>
        <v>534</v>
      </c>
      <c r="I18" s="10">
        <f>F18/H18</f>
        <v>0.97752808988764039</v>
      </c>
      <c r="J18" s="11">
        <f>1-I18</f>
        <v>2.2471910112359605E-2</v>
      </c>
      <c r="K18">
        <f>H18-F20</f>
        <v>-154</v>
      </c>
      <c r="N18" s="10">
        <f>2*(F21*I18)/(F21+I18)</f>
        <v>0.85433715220949258</v>
      </c>
      <c r="S18" s="70" t="s">
        <v>30</v>
      </c>
      <c r="T18" s="64">
        <f t="shared" si="1"/>
        <v>100</v>
      </c>
      <c r="U18" s="64">
        <f t="shared" si="1"/>
        <v>86.249701903532596</v>
      </c>
      <c r="V18" s="64">
        <f t="shared" si="1"/>
        <v>99.54387347296219</v>
      </c>
      <c r="W18" s="64">
        <f t="shared" si="1"/>
        <v>98.486833525890688</v>
      </c>
      <c r="X18" s="64">
        <f t="shared" si="1"/>
        <v>92.993168506125826</v>
      </c>
      <c r="AC18" t="s">
        <v>67</v>
      </c>
      <c r="AD18" s="51">
        <f>I79</f>
        <v>0.96162123385939746</v>
      </c>
      <c r="AE18" s="55">
        <f>I90</f>
        <v>0.98612631137251894</v>
      </c>
      <c r="AF18" s="55">
        <f>J90</f>
        <v>2.7087127096596746E-3</v>
      </c>
      <c r="AH18">
        <v>79</v>
      </c>
      <c r="AI18">
        <v>90</v>
      </c>
      <c r="AW18" s="51" t="s">
        <v>153</v>
      </c>
      <c r="AX18" s="80">
        <f>MIN($AE$16:$AE$65)</f>
        <v>0.98398701596283356</v>
      </c>
      <c r="AY18" s="80">
        <f>_xlfn.QUARTILE.EXC($AE$16:$AE$65,1)</f>
        <v>0.98548215677359596</v>
      </c>
      <c r="AZ18" s="80">
        <f>MEDIAN($AE$16:$AE$65)</f>
        <v>0.98680618513025498</v>
      </c>
      <c r="BA18" s="80">
        <f>AVERAGE($AE$16:$AE$65)</f>
        <v>0.98663092447321432</v>
      </c>
      <c r="BB18" s="80">
        <f>_xlfn.QUARTILE.EXC($AE$16:$AE$65,3)</f>
        <v>0.9878550673375226</v>
      </c>
      <c r="BC18" s="80">
        <f>MAX($AE$16:$AE$65)</f>
        <v>0.98922038123951084</v>
      </c>
      <c r="BD18" s="80">
        <f t="shared" si="0"/>
        <v>2.4046368979876403E-3</v>
      </c>
      <c r="BE18" s="80"/>
    </row>
    <row r="19" spans="1:57" x14ac:dyDescent="0.3">
      <c r="A19" t="s">
        <v>7</v>
      </c>
      <c r="B19" s="13">
        <v>4</v>
      </c>
      <c r="C19" s="7">
        <v>0</v>
      </c>
      <c r="D19" s="8">
        <v>0</v>
      </c>
      <c r="E19" s="8">
        <v>0</v>
      </c>
      <c r="F19" s="8">
        <v>44</v>
      </c>
      <c r="G19" s="28">
        <v>965</v>
      </c>
      <c r="H19" s="1">
        <f>SUM(C19:G19)</f>
        <v>1009</v>
      </c>
      <c r="I19" s="10">
        <f>G19/H19</f>
        <v>0.95639246778989095</v>
      </c>
      <c r="J19" s="11">
        <f>1-I19</f>
        <v>4.3607532210109046E-2</v>
      </c>
      <c r="K19">
        <f>H19-G20</f>
        <v>37</v>
      </c>
      <c r="N19" s="10">
        <f>2*(G21*I19)/(G21+I19)</f>
        <v>0.97425542655224628</v>
      </c>
      <c r="S19" s="66" t="s">
        <v>39</v>
      </c>
      <c r="T19" s="67">
        <f t="shared" si="1"/>
        <v>0</v>
      </c>
      <c r="U19" s="67">
        <f t="shared" si="1"/>
        <v>9.3051214509573352</v>
      </c>
      <c r="V19" s="67">
        <f t="shared" si="1"/>
        <v>0.19234897724393568</v>
      </c>
      <c r="W19" s="67">
        <f t="shared" si="1"/>
        <v>0.40828826058017742</v>
      </c>
      <c r="X19" s="67">
        <f t="shared" si="1"/>
        <v>2.4877707696314206</v>
      </c>
      <c r="AC19" t="s">
        <v>68</v>
      </c>
      <c r="AD19" s="51">
        <f>I108</f>
        <v>0.94548063127690096</v>
      </c>
      <c r="AE19" s="73">
        <f>I119</f>
        <v>0.98428605048054296</v>
      </c>
      <c r="AF19" s="73">
        <f>J119</f>
        <v>2.8409756554970494E-3</v>
      </c>
      <c r="AH19">
        <v>108</v>
      </c>
      <c r="AI19">
        <v>119</v>
      </c>
      <c r="AW19" s="51" t="s">
        <v>210</v>
      </c>
      <c r="AX19" s="80">
        <f>MIN($AE$16:$AE$75)</f>
        <v>0.98398701596283356</v>
      </c>
      <c r="AY19" s="80">
        <f>_xlfn.QUARTILE.EXC($AE$16:$AE$75,1)</f>
        <v>0.98548215677359596</v>
      </c>
      <c r="AZ19" s="80">
        <f>MEDIAN($AE$16:$AE$75)</f>
        <v>0.98680618513025498</v>
      </c>
      <c r="BA19" s="80">
        <f>AVERAGE($AE$16:$AE$75)</f>
        <v>0.98663092447321432</v>
      </c>
      <c r="BB19" s="80">
        <f>_xlfn.QUARTILE.EXC($AE$16:$AE$75,3)</f>
        <v>0.9878550673375226</v>
      </c>
      <c r="BC19" s="80">
        <f>MAX($AE$16:$AE$75)</f>
        <v>0.98922038123951084</v>
      </c>
      <c r="BD19" s="80">
        <f t="shared" si="0"/>
        <v>2.4046368979876403E-3</v>
      </c>
      <c r="BE19" s="80"/>
    </row>
    <row r="20" spans="1:57" ht="15.6" x14ac:dyDescent="0.35">
      <c r="B20" s="1" t="s">
        <v>19</v>
      </c>
      <c r="C20" s="1">
        <f>SUM(C15:C19)</f>
        <v>331</v>
      </c>
      <c r="D20" s="1">
        <f>SUM(D15:D19)</f>
        <v>56</v>
      </c>
      <c r="E20" s="1">
        <f>SUM(E15:E19)</f>
        <v>741</v>
      </c>
      <c r="F20" s="1">
        <f>SUM(F15:F19)</f>
        <v>688</v>
      </c>
      <c r="G20" s="1">
        <f>SUM(G15:G19)</f>
        <v>972</v>
      </c>
      <c r="H20" s="1">
        <f>SUM(H14:H19)</f>
        <v>2788</v>
      </c>
      <c r="I20" s="13" t="s">
        <v>12</v>
      </c>
      <c r="N20" s="16"/>
      <c r="S20" s="70" t="s">
        <v>31</v>
      </c>
      <c r="T20" s="64">
        <f>I26</f>
        <v>73.392461197339259</v>
      </c>
      <c r="U20" s="64">
        <f>I27</f>
        <v>94.73684210526315</v>
      </c>
      <c r="V20" s="64">
        <f>I28</f>
        <v>99.592944369063773</v>
      </c>
      <c r="W20" s="64">
        <f>I29</f>
        <v>97.752808988764045</v>
      </c>
      <c r="X20" s="64">
        <f>I30</f>
        <v>95.63924677898909</v>
      </c>
      <c r="AC20" t="s">
        <v>71</v>
      </c>
      <c r="AD20" s="51">
        <f>I137</f>
        <v>0.95193687230989954</v>
      </c>
      <c r="AE20" s="73">
        <f>I148</f>
        <v>0.98834458738545095</v>
      </c>
      <c r="AF20" s="73">
        <f>J148</f>
        <v>2.3437995341648384E-3</v>
      </c>
      <c r="AH20">
        <v>137</v>
      </c>
      <c r="AI20">
        <v>148</v>
      </c>
      <c r="AW20" s="51" t="s">
        <v>211</v>
      </c>
      <c r="AX20" s="80">
        <f>MIN($AE$16:$AE$85)</f>
        <v>0.98398701596283356</v>
      </c>
      <c r="AY20" s="80">
        <f>_xlfn.QUARTILE.EXC($AE$16:$AE$85,1)</f>
        <v>0.98548215677359596</v>
      </c>
      <c r="AZ20" s="80">
        <f>MEDIAN($AE$16:$AE$85)</f>
        <v>0.98680618513025498</v>
      </c>
      <c r="BA20" s="80">
        <f>AVERAGE($AE$16:$AE$85)</f>
        <v>0.98663092447321432</v>
      </c>
      <c r="BB20" s="80">
        <f>_xlfn.QUARTILE.EXC($AE$16:$AE$85,3)</f>
        <v>0.9878550673375226</v>
      </c>
      <c r="BC20" s="80">
        <f>MAX($AE$16:$AE$85)</f>
        <v>0.98922038123951084</v>
      </c>
      <c r="BD20" s="80">
        <f t="shared" si="0"/>
        <v>2.4046368979876403E-3</v>
      </c>
      <c r="BE20" s="80"/>
    </row>
    <row r="21" spans="1:57" x14ac:dyDescent="0.3">
      <c r="A21" s="1" t="s">
        <v>316</v>
      </c>
      <c r="B21" s="1" t="s">
        <v>2</v>
      </c>
      <c r="C21" s="10">
        <f>C15/C20</f>
        <v>1</v>
      </c>
      <c r="D21" s="10">
        <f>D16/D20</f>
        <v>0.9642857142857143</v>
      </c>
      <c r="E21" s="10">
        <f>E17/E20</f>
        <v>0.99055330634278005</v>
      </c>
      <c r="F21" s="10">
        <f>F18/F20</f>
        <v>0.75872093023255816</v>
      </c>
      <c r="G21" s="10">
        <f>G19/G20</f>
        <v>0.99279835390946503</v>
      </c>
      <c r="H21" s="10"/>
      <c r="I21" s="14">
        <f>(C15+D16+E17+F18+G19)/H20</f>
        <v>0.9347202295552367</v>
      </c>
      <c r="S21" s="66" t="s">
        <v>39</v>
      </c>
      <c r="T21" s="67">
        <f>J26</f>
        <v>2.0831561306669992</v>
      </c>
      <c r="U21" s="67">
        <f>J27</f>
        <v>2.9839300500728485</v>
      </c>
      <c r="V21" s="67">
        <f>J28</f>
        <v>0.2346941488143626</v>
      </c>
      <c r="W21" s="67">
        <f>J29</f>
        <v>0.64197928239881541</v>
      </c>
      <c r="X21" s="67">
        <f>J30</f>
        <v>0.64323336369097983</v>
      </c>
      <c r="AC21" t="s">
        <v>93</v>
      </c>
      <c r="AD21" s="51">
        <f>I166</f>
        <v>0.94619799139167859</v>
      </c>
      <c r="AE21" s="55">
        <f>I177</f>
        <v>0.98620257421525237</v>
      </c>
      <c r="AF21" s="55">
        <f>J177</f>
        <v>2.6555975363080587E-3</v>
      </c>
      <c r="AH21">
        <v>166</v>
      </c>
      <c r="AI21">
        <v>177</v>
      </c>
      <c r="AW21" s="51" t="s">
        <v>212</v>
      </c>
      <c r="AX21" s="80">
        <f>MIN($AE$16:$AE$95)</f>
        <v>0.98398701596283356</v>
      </c>
      <c r="AY21" s="80">
        <f>_xlfn.QUARTILE.EXC($AE$16:$AE$95,1)</f>
        <v>0.98548215677359596</v>
      </c>
      <c r="AZ21" s="80">
        <f>MEDIAN($AE$16:$AE$95)</f>
        <v>0.98680618513025498</v>
      </c>
      <c r="BA21" s="80">
        <f>AVERAGE($AE$16:$AE$95)</f>
        <v>0.98663092447321432</v>
      </c>
      <c r="BB21" s="80">
        <f>_xlfn.QUARTILE.EXC($AE$16:$AE$95,3)</f>
        <v>0.9878550673375226</v>
      </c>
      <c r="BC21" s="80">
        <f>MAX($AE$16:$AE$95)</f>
        <v>0.98922038123951084</v>
      </c>
      <c r="BD21" s="80">
        <f t="shared" si="0"/>
        <v>2.4046368979876403E-3</v>
      </c>
      <c r="BE21" s="80"/>
    </row>
    <row r="22" spans="1:57" x14ac:dyDescent="0.3">
      <c r="B22" s="1" t="s">
        <v>14</v>
      </c>
      <c r="C22" s="11">
        <f>1-C21</f>
        <v>0</v>
      </c>
      <c r="D22" s="11">
        <f>1-D21</f>
        <v>3.5714285714285698E-2</v>
      </c>
      <c r="E22" s="11">
        <f>1-E21</f>
        <v>9.4466936572199511E-3</v>
      </c>
      <c r="F22" s="11">
        <f>1-F21</f>
        <v>0.24127906976744184</v>
      </c>
      <c r="G22" s="11">
        <f>1-G21</f>
        <v>7.2016460905349744E-3</v>
      </c>
      <c r="S22" s="68" t="s">
        <v>51</v>
      </c>
      <c r="T22" s="65">
        <f>N15*100</f>
        <v>84.654731457800509</v>
      </c>
      <c r="U22" s="65">
        <f>N16*100</f>
        <v>95.575221238938042</v>
      </c>
      <c r="V22" s="65">
        <f>N17*100</f>
        <v>99.323410013531799</v>
      </c>
      <c r="W22" s="65">
        <f>N18*100</f>
        <v>85.433715220949253</v>
      </c>
      <c r="X22" s="65">
        <f>N19*100</f>
        <v>97.425542655224632</v>
      </c>
      <c r="Y22" s="46"/>
      <c r="Z22" s="46"/>
      <c r="AA22" s="46"/>
      <c r="AC22" t="s">
        <v>94</v>
      </c>
      <c r="AD22" s="51">
        <f>I195</f>
        <v>0.93794835007173605</v>
      </c>
      <c r="AE22" s="55">
        <f>I206</f>
        <v>0.98789983498635214</v>
      </c>
      <c r="AF22" s="55">
        <f>J206</f>
        <v>2.3629666877319614E-3</v>
      </c>
      <c r="AH22">
        <v>195</v>
      </c>
      <c r="AI22">
        <v>206</v>
      </c>
      <c r="AW22" s="51" t="s">
        <v>213</v>
      </c>
      <c r="AX22" s="80">
        <f>MIN($AE$16:$AE$105)</f>
        <v>0.98398701596283356</v>
      </c>
      <c r="AY22" s="80">
        <f>_xlfn.QUARTILE.EXC($AE$16:$AE$105,1)</f>
        <v>0.98548215677359596</v>
      </c>
      <c r="AZ22" s="80">
        <f>MEDIAN($AE$16:$AE$105)</f>
        <v>0.98680618513025498</v>
      </c>
      <c r="BA22" s="80">
        <f>AVERAGE($AE$16:$AE$105)</f>
        <v>0.98663092447321432</v>
      </c>
      <c r="BB22" s="80">
        <f>_xlfn.QUARTILE.EXC($AE$16:$AE$105,3)</f>
        <v>0.9878550673375226</v>
      </c>
      <c r="BC22" s="80">
        <f>MAX($AE$16:$AE$105)</f>
        <v>0.98922038123951084</v>
      </c>
      <c r="BD22" s="80">
        <f t="shared" si="0"/>
        <v>2.4046368979876403E-3</v>
      </c>
      <c r="BE22" s="80"/>
    </row>
    <row r="23" spans="1:57" x14ac:dyDescent="0.3">
      <c r="C23" s="2"/>
      <c r="R23" s="16" t="s">
        <v>61</v>
      </c>
      <c r="S23" t="s">
        <v>9</v>
      </c>
      <c r="T23" s="30">
        <f>N26</f>
        <v>178.32</v>
      </c>
      <c r="U23" s="30">
        <f>N27</f>
        <v>853.08</v>
      </c>
      <c r="V23" s="30">
        <f>N28</f>
        <v>56078.28</v>
      </c>
      <c r="W23" s="30">
        <f>N29</f>
        <v>28170.51</v>
      </c>
      <c r="X23" s="30">
        <f>N30</f>
        <v>5124.42</v>
      </c>
      <c r="Z23" t="s">
        <v>36</v>
      </c>
      <c r="AA23" s="1">
        <f>N31</f>
        <v>90404.61</v>
      </c>
      <c r="AC23" t="s">
        <v>95</v>
      </c>
      <c r="AD23" s="51">
        <f>I224</f>
        <v>0.94583931133428978</v>
      </c>
      <c r="AE23" s="55">
        <f>I235</f>
        <v>0.98805063936212134</v>
      </c>
      <c r="AF23" s="55">
        <f>J235</f>
        <v>2.2517807961529501E-3</v>
      </c>
      <c r="AH23">
        <v>224</v>
      </c>
      <c r="AI23">
        <v>235</v>
      </c>
      <c r="AW23" s="51" t="s">
        <v>214</v>
      </c>
      <c r="AX23" s="80">
        <f>MIN($AE$16:$AE$115)</f>
        <v>0.98398701596283356</v>
      </c>
      <c r="AY23" s="80">
        <f>_xlfn.QUARTILE.EXC($AE$16:$AE$115,1)</f>
        <v>0.98548215677359596</v>
      </c>
      <c r="AZ23" s="126">
        <f>MEDIAN($AE$16:$AE$115)</f>
        <v>0.98680618513025498</v>
      </c>
      <c r="BA23" s="126">
        <f>AVERAGE($AE$16:$AE$115)</f>
        <v>0.98663092447321432</v>
      </c>
      <c r="BB23" s="80">
        <f>_xlfn.QUARTILE.EXC($AE$16:$AE$115,3)</f>
        <v>0.9878550673375226</v>
      </c>
      <c r="BC23" s="80">
        <f>MAX($AE$16:$AE$115)</f>
        <v>0.98922038123951084</v>
      </c>
      <c r="BD23" s="80">
        <f t="shared" si="0"/>
        <v>2.4046368979876403E-3</v>
      </c>
      <c r="BE23" s="80"/>
    </row>
    <row r="24" spans="1:57" ht="15.6" x14ac:dyDescent="0.35">
      <c r="A24" t="s">
        <v>317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318</v>
      </c>
      <c r="S24" t="s">
        <v>63</v>
      </c>
      <c r="T24" s="57">
        <f>$AA23*T16/100</f>
        <v>130.87343680709535</v>
      </c>
      <c r="U24" s="57">
        <f>$AA23*U16/100</f>
        <v>937.02474883391756</v>
      </c>
      <c r="V24" s="57">
        <f>$AA23*V16/100</f>
        <v>56105.924207076023</v>
      </c>
      <c r="W24" s="57">
        <f>$AA23*W16/100</f>
        <v>27960.554569176493</v>
      </c>
      <c r="X24" s="57">
        <f>$AA23*X16/100</f>
        <v>5270.2330381064794</v>
      </c>
      <c r="Z24" t="s">
        <v>36</v>
      </c>
      <c r="AA24" s="25">
        <f>SUM(T24:X24)</f>
        <v>90404.61</v>
      </c>
      <c r="AC24" t="s">
        <v>96</v>
      </c>
      <c r="AD24" s="51">
        <f>I253</f>
        <v>0.93436154949784789</v>
      </c>
      <c r="AE24" s="55">
        <f>I264</f>
        <v>0.98400950962801215</v>
      </c>
      <c r="AF24" s="55">
        <f>J264</f>
        <v>2.7650544079761835E-3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62</v>
      </c>
      <c r="T25" s="67">
        <f>$AA23*T17/100</f>
        <v>3.7105634518553812</v>
      </c>
      <c r="U25" s="67">
        <f>$AA23*U17/100</f>
        <v>95.896689265407204</v>
      </c>
      <c r="V25" s="67">
        <f>$AA23*V17/100</f>
        <v>170.24508953693342</v>
      </c>
      <c r="W25" s="67">
        <f>$AA23*W17/100</f>
        <v>212.81957284029019</v>
      </c>
      <c r="X25" s="67">
        <f>$AA23*X17/100</f>
        <v>142.51584966376706</v>
      </c>
      <c r="AA25" s="1"/>
      <c r="AC25" t="s">
        <v>97</v>
      </c>
      <c r="AD25" s="51">
        <f>I282</f>
        <v>0.94548063127690096</v>
      </c>
      <c r="AE25" s="55">
        <f>I293</f>
        <v>0.9859272512216638</v>
      </c>
      <c r="AF25" s="55">
        <f>J293</f>
        <v>2.552553360704729E-3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0.14476411856330704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5.2482459902105261E-2</v>
      </c>
      <c r="G26" s="32">
        <f t="shared" si="2"/>
        <v>0</v>
      </c>
      <c r="H26" s="17">
        <f>SUM(C26:G26)</f>
        <v>0.1972465784654123</v>
      </c>
      <c r="I26" s="17">
        <f>C26/H26*100</f>
        <v>73.392461197339259</v>
      </c>
      <c r="J26" s="17">
        <f>SQRT(I26*(100-I26)/(L26-1))</f>
        <v>2.0831561306669992</v>
      </c>
      <c r="K26" s="18">
        <f>100-I26</f>
        <v>26.607538802660741</v>
      </c>
      <c r="L26" s="1">
        <f>H15</f>
        <v>451</v>
      </c>
      <c r="M26">
        <v>0</v>
      </c>
      <c r="N26" s="1">
        <v>178.32</v>
      </c>
      <c r="O26" s="17">
        <f>N26/N31*100</f>
        <v>0.1972465784654123</v>
      </c>
      <c r="P26" s="52">
        <f>((O26*O26*(I26/100)*(K26/100))/(L26-1))</f>
        <v>1.688350455058305E-5</v>
      </c>
      <c r="R26" t="s">
        <v>66</v>
      </c>
      <c r="S26" s="70" t="s">
        <v>28</v>
      </c>
      <c r="T26" s="64">
        <f t="shared" ref="T26:X29" si="3">C60</f>
        <v>6.9008443259904545E-2</v>
      </c>
      <c r="U26" s="64">
        <f t="shared" si="3"/>
        <v>1.2796176672211486</v>
      </c>
      <c r="V26" s="64">
        <f t="shared" si="3"/>
        <v>62.005334018546044</v>
      </c>
      <c r="W26" s="64">
        <f t="shared" si="3"/>
        <v>30.684898868683291</v>
      </c>
      <c r="X26" s="64">
        <f t="shared" si="3"/>
        <v>5.9611410022896143</v>
      </c>
      <c r="Y26" s="13"/>
      <c r="Z26" s="74"/>
      <c r="AA26" s="12"/>
      <c r="AC26" t="s">
        <v>98</v>
      </c>
      <c r="AD26" s="51">
        <f>I311</f>
        <v>0.94225251076040173</v>
      </c>
      <c r="AE26" s="55">
        <f>I322</f>
        <v>0.98922038123951084</v>
      </c>
      <c r="AF26" s="55">
        <f>J322</f>
        <v>2.3434684555630257E-3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0.89396000118973906</v>
      </c>
      <c r="E27" s="19">
        <f t="shared" si="2"/>
        <v>4.9664444510541056E-2</v>
      </c>
      <c r="F27" s="18">
        <f t="shared" si="2"/>
        <v>0</v>
      </c>
      <c r="G27" s="20">
        <f t="shared" si="2"/>
        <v>0</v>
      </c>
      <c r="H27" s="17">
        <f>SUM(C27:G27)</f>
        <v>0.94362444570028015</v>
      </c>
      <c r="I27" s="17">
        <f>D27/H27*100</f>
        <v>94.73684210526315</v>
      </c>
      <c r="J27" s="17">
        <f>SQRT(I27*(100-I27)/(L27-1))</f>
        <v>2.9839300500728485</v>
      </c>
      <c r="K27" s="18">
        <f>100-I27</f>
        <v>5.2631578947368496</v>
      </c>
      <c r="L27" s="1">
        <f>H16</f>
        <v>57</v>
      </c>
      <c r="M27">
        <v>1</v>
      </c>
      <c r="N27" s="1">
        <v>853.08</v>
      </c>
      <c r="O27" s="17">
        <f>N27/N31*100</f>
        <v>0.94362444570028015</v>
      </c>
      <c r="P27" s="52">
        <f>((O27*O27*(I27/100)*(K27/100))/(L27-1))</f>
        <v>7.9282190845948351E-4</v>
      </c>
      <c r="S27" s="66" t="s">
        <v>39</v>
      </c>
      <c r="T27" s="67">
        <f t="shared" si="3"/>
        <v>3.9687756923926492E-3</v>
      </c>
      <c r="U27" s="67">
        <f t="shared" si="3"/>
        <v>0.14684563505516374</v>
      </c>
      <c r="V27" s="67">
        <f t="shared" si="3"/>
        <v>0.20497777998001737</v>
      </c>
      <c r="W27" s="67">
        <f t="shared" si="3"/>
        <v>0.25491143993101684</v>
      </c>
      <c r="X27" s="67">
        <f t="shared" si="3"/>
        <v>0.17679719668282234</v>
      </c>
      <c r="AC27" t="s">
        <v>99</v>
      </c>
      <c r="AD27" s="51">
        <f>I340</f>
        <v>0.93651362984218078</v>
      </c>
      <c r="AE27" s="55">
        <f>I351</f>
        <v>0.98663298708282654</v>
      </c>
      <c r="AF27" s="55">
        <f>J351</f>
        <v>2.4610758829614588E-3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8.4165986842258206E-2</v>
      </c>
      <c r="E28" s="34">
        <f t="shared" si="2"/>
        <v>61.777834342217524</v>
      </c>
      <c r="F28" s="19">
        <f t="shared" si="2"/>
        <v>0.16833197368451641</v>
      </c>
      <c r="G28" s="20">
        <f t="shared" si="2"/>
        <v>0</v>
      </c>
      <c r="H28" s="17">
        <f>SUM(C28:G28)</f>
        <v>62.030332302744299</v>
      </c>
      <c r="I28" s="17">
        <f>E28/H28*100</f>
        <v>99.592944369063773</v>
      </c>
      <c r="J28" s="17">
        <f>SQRT(I28*(100-I28)/(L28-1))</f>
        <v>0.2346941488143626</v>
      </c>
      <c r="K28" s="18">
        <f>100-I28</f>
        <v>0.40705563093622743</v>
      </c>
      <c r="L28" s="1">
        <f>H17</f>
        <v>737</v>
      </c>
      <c r="M28">
        <v>2</v>
      </c>
      <c r="N28" s="1">
        <v>56078.28</v>
      </c>
      <c r="O28" s="17">
        <f>N28/N31*100</f>
        <v>62.030332302744299</v>
      </c>
      <c r="P28" s="52">
        <f>((O28*O28*(I28/100)*(K28/100))/(L28-1))</f>
        <v>2.1193990729851685E-2</v>
      </c>
      <c r="S28" t="s">
        <v>30</v>
      </c>
      <c r="T28" s="57">
        <f t="shared" si="3"/>
        <v>100</v>
      </c>
      <c r="U28" s="57">
        <f t="shared" si="3"/>
        <v>76.868803025026381</v>
      </c>
      <c r="V28" s="57">
        <f t="shared" si="3"/>
        <v>99.578025489604443</v>
      </c>
      <c r="W28" s="57">
        <f t="shared" si="3"/>
        <v>98.303464689096344</v>
      </c>
      <c r="X28" s="57">
        <f t="shared" si="3"/>
        <v>91.225158550719286</v>
      </c>
      <c r="AC28" t="s">
        <v>100</v>
      </c>
      <c r="AD28" s="51">
        <f>I369</f>
        <v>0.94512195121951215</v>
      </c>
      <c r="AE28" s="55">
        <f>I380</f>
        <v>0.98617005311422967</v>
      </c>
      <c r="AF28" s="55">
        <f>J380</f>
        <v>2.5670857792738466E-3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5.8352957935379417E-2</v>
      </c>
      <c r="E29" s="19">
        <f t="shared" si="2"/>
        <v>0.23341183174151767</v>
      </c>
      <c r="F29" s="34">
        <f t="shared" si="2"/>
        <v>30.460244042268055</v>
      </c>
      <c r="G29" s="20">
        <f t="shared" si="2"/>
        <v>0.40847070554765597</v>
      </c>
      <c r="H29" s="17">
        <f>SUM(C29:G29)</f>
        <v>31.160479537492609</v>
      </c>
      <c r="I29" s="17">
        <f>F29/H29*100</f>
        <v>97.752808988764045</v>
      </c>
      <c r="J29" s="17">
        <f>SQRT(I29*(100-I29)/(L29-1))</f>
        <v>0.64197928239881541</v>
      </c>
      <c r="K29" s="18">
        <f>100-I29</f>
        <v>2.2471910112359552</v>
      </c>
      <c r="L29" s="1">
        <f>H18</f>
        <v>534</v>
      </c>
      <c r="M29">
        <v>3</v>
      </c>
      <c r="N29" s="1">
        <v>28170.51</v>
      </c>
      <c r="O29" s="17">
        <f>N29/N31*100</f>
        <v>31.160479537492609</v>
      </c>
      <c r="P29" s="52">
        <f>((O29*O29*(I29/100)*(K29/100))/(L29-1))</f>
        <v>4.0017531091178823E-2</v>
      </c>
      <c r="S29" s="66" t="s">
        <v>39</v>
      </c>
      <c r="T29" s="67">
        <f t="shared" si="3"/>
        <v>0</v>
      </c>
      <c r="U29" s="67">
        <f t="shared" si="3"/>
        <v>9.809787252332546</v>
      </c>
      <c r="V29" s="67">
        <f t="shared" si="3"/>
        <v>0.18913468238060005</v>
      </c>
      <c r="W29" s="67">
        <f t="shared" si="3"/>
        <v>0.4205153635578221</v>
      </c>
      <c r="X29" s="67">
        <f t="shared" si="3"/>
        <v>2.7036346820361858</v>
      </c>
      <c r="AC29" t="s">
        <v>101</v>
      </c>
      <c r="AD29" s="51">
        <f>I398</f>
        <v>0.94906743185078912</v>
      </c>
      <c r="AE29" s="55">
        <f>I409</f>
        <v>0.98523024516036029</v>
      </c>
      <c r="AF29" s="55">
        <f>J409</f>
        <v>2.7129822648238344E-3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0</v>
      </c>
      <c r="E30" s="21">
        <f t="shared" si="2"/>
        <v>0</v>
      </c>
      <c r="F30" s="21">
        <f t="shared" si="2"/>
        <v>0.24718132206767646</v>
      </c>
      <c r="G30" s="37">
        <f t="shared" si="2"/>
        <v>5.4211358135297223</v>
      </c>
      <c r="H30" s="17">
        <f>SUM(C30:G30)</f>
        <v>5.6683171355973991</v>
      </c>
      <c r="I30" s="17">
        <f>G30/H30*100</f>
        <v>95.63924677898909</v>
      </c>
      <c r="J30" s="17">
        <f>SQRT(I30*(100-I30)/(L30-1))</f>
        <v>0.64323336369097983</v>
      </c>
      <c r="K30" s="18">
        <f>100-I30</f>
        <v>4.3607532210109099</v>
      </c>
      <c r="L30" s="1">
        <f>H19</f>
        <v>1009</v>
      </c>
      <c r="M30">
        <v>4</v>
      </c>
      <c r="N30" s="1">
        <v>5124.42</v>
      </c>
      <c r="O30" s="17">
        <f>N30/N31*100</f>
        <v>5.6683171355973991</v>
      </c>
      <c r="P30" s="52">
        <f>((O30*O30*(I30/100)*(K30/100))/(L30-1))</f>
        <v>1.3293685689451471E-3</v>
      </c>
      <c r="S30" t="s">
        <v>31</v>
      </c>
      <c r="T30" s="57">
        <f>I55</f>
        <v>40.133037694013311</v>
      </c>
      <c r="U30" s="57">
        <f>I56</f>
        <v>96.491228070175438</v>
      </c>
      <c r="V30" s="57">
        <f>I57</f>
        <v>99.457259158751697</v>
      </c>
      <c r="W30" s="57">
        <f>I58</f>
        <v>97.191011235955045</v>
      </c>
      <c r="X30" s="57">
        <f>I59</f>
        <v>95.540138751238857</v>
      </c>
      <c r="AC30" t="s">
        <v>102</v>
      </c>
      <c r="AD30" s="51">
        <f>I427</f>
        <v>0.87912482065997133</v>
      </c>
      <c r="AE30" s="55">
        <f>I438</f>
        <v>0.98703296270923901</v>
      </c>
      <c r="AF30" s="55">
        <f>J438</f>
        <v>2.3754739543215154E-3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0.14476411856330704</v>
      </c>
      <c r="D31" s="17">
        <f>SUM(D26:D30)</f>
        <v>1.0364789459673767</v>
      </c>
      <c r="E31" s="17">
        <f>SUM(E26:E30)</f>
        <v>62.060910618469585</v>
      </c>
      <c r="F31" s="17">
        <f>SUM(F26:F30)</f>
        <v>30.928239797922352</v>
      </c>
      <c r="G31" s="17">
        <f>SUM(G26:G30)</f>
        <v>5.8296065190773785</v>
      </c>
      <c r="H31" s="1">
        <f>SUM(H25:H30)</f>
        <v>100</v>
      </c>
      <c r="I31" s="13" t="s">
        <v>24</v>
      </c>
      <c r="J31" s="12" t="s">
        <v>29</v>
      </c>
      <c r="N31" s="1">
        <f>SUM(N26:N30)</f>
        <v>90404.61</v>
      </c>
      <c r="O31" s="17">
        <f>SUM(O26:O30)</f>
        <v>100</v>
      </c>
      <c r="S31" s="66" t="s">
        <v>39</v>
      </c>
      <c r="T31" s="67">
        <f>J55</f>
        <v>2.3106723672040848</v>
      </c>
      <c r="U31" s="67">
        <f>J56</f>
        <v>2.4588241692166148</v>
      </c>
      <c r="V31" s="67">
        <f>J57</f>
        <v>0.27081679117169194</v>
      </c>
      <c r="W31" s="67">
        <f>J58</f>
        <v>0.71568917248320152</v>
      </c>
      <c r="X31" s="67">
        <f>J59</f>
        <v>0.65016463308686456</v>
      </c>
      <c r="AC31" t="s">
        <v>103</v>
      </c>
      <c r="AD31" s="51">
        <f>I456</f>
        <v>0.95086083213773309</v>
      </c>
      <c r="AE31" s="55">
        <f>I467</f>
        <v>0.98767001081515771</v>
      </c>
      <c r="AF31" s="55">
        <f>J467</f>
        <v>2.4883725024267608E-3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4.1043962822862479E-3</v>
      </c>
      <c r="D32" s="18">
        <f>SQRT(SUM((O26*O26*(D26/O26)*(1-D26/O26))/L26,(O27*O27*(D27/O27)*(1-D27/O27))/L27,(O28*O28*(D28/O28)*(1-D28/O28))/L28,(O29*O29*(D29/O29)*(1-D29/O29))/L29,(O30*O30*(D30/O30)*(1-D30/O30))/L30))</f>
        <v>0.10607499912383583</v>
      </c>
      <c r="E32" s="18">
        <f>SQRT(SUM((O26*O26*(E26/O26)*(1-E26/O26))/L26,(O27*O27*(E27/O27)*(1-E27/O27))/L27,(O28*O28*(E28/O28)*(1-E28/O28))/L28,(O29*O29*(E29/O29)*(1-E29/O29))/L29,(O30*O30*(E30/O30)*(1-E30/O30))/L30))</f>
        <v>0.18831461087762383</v>
      </c>
      <c r="F32" s="18">
        <f>SQRT(SUM((O26*O26*(F26/O26)*(1-F26/O26))/L26,(O27*O27*(F27/O27)*(1-F27/O27))/L27,(O28*O28*(F28/O28)*(1-F28/O28))/L28,(O29*O29*(F29/O29)*(1-F29/O29))/L29,(O30*O30*(F30/O30)*(1-F30/O30))/L30))</f>
        <v>0.23540787670041405</v>
      </c>
      <c r="G32" s="18">
        <f>SQRT(SUM((O26*O26*(G26/O26)*(1-G26/O26))/L26,(O27*O27*(G27/O27)*(1-G27/O27))/L27,(O28*O28*(G28/O28)*(1-G28/O28))/L28,(O29*O29*(G29/O29)*(1-G29/O29))/L29,(O30*O30*(G30/O30)*(1-G30/O30))/L30))</f>
        <v>0.15764223712017236</v>
      </c>
      <c r="H32" s="1"/>
      <c r="I32" s="14">
        <f>(C26+D27+E28+F29+G30)/H31</f>
        <v>0.98697938317768352</v>
      </c>
      <c r="J32" s="53">
        <f>SQRT(SUM(P26:P30))/100</f>
        <v>2.5169544255505649E-3</v>
      </c>
      <c r="M32" s="1"/>
      <c r="N32" s="9"/>
      <c r="S32" s="66" t="s">
        <v>51</v>
      </c>
      <c r="T32" s="67">
        <f>N44*100</f>
        <v>57.278481012658219</v>
      </c>
      <c r="U32" s="67">
        <f>N45*100</f>
        <v>93.220338983050837</v>
      </c>
      <c r="V32" s="67">
        <f>N46*100</f>
        <v>99.255247122545697</v>
      </c>
      <c r="W32" s="67">
        <f>N47*100</f>
        <v>75.932699341624001</v>
      </c>
      <c r="X32" s="67">
        <f>N48*100</f>
        <v>97.27547931382442</v>
      </c>
      <c r="AC32" t="s">
        <v>104</v>
      </c>
      <c r="AD32" s="51">
        <f>I485</f>
        <v>0.94799139167862267</v>
      </c>
      <c r="AE32" s="55">
        <f>I496</f>
        <v>0.98698780834830391</v>
      </c>
      <c r="AF32" s="55">
        <f>J496</f>
        <v>2.4388809416518221E-3</v>
      </c>
      <c r="AH32">
        <v>485</v>
      </c>
      <c r="AI32">
        <v>496</v>
      </c>
    </row>
    <row r="33" spans="1:35" x14ac:dyDescent="0.3">
      <c r="B33" s="1" t="s">
        <v>30</v>
      </c>
      <c r="C33" s="17">
        <f>C26/C31*100</f>
        <v>100</v>
      </c>
      <c r="D33" s="17">
        <f>D27/D31*100</f>
        <v>86.249701903532596</v>
      </c>
      <c r="E33" s="17">
        <f>E28/E31*100</f>
        <v>99.54387347296219</v>
      </c>
      <c r="F33" s="17">
        <f>F29/F31*100</f>
        <v>98.486833525890688</v>
      </c>
      <c r="G33" s="17">
        <f>G30/G31*100</f>
        <v>92.993168506125826</v>
      </c>
      <c r="H33" s="1"/>
      <c r="R33" s="16" t="s">
        <v>61</v>
      </c>
      <c r="S33" t="s">
        <v>9</v>
      </c>
      <c r="T33" s="30">
        <f>N55</f>
        <v>155.44999999999999</v>
      </c>
      <c r="U33" s="30">
        <f>N56</f>
        <v>921.58</v>
      </c>
      <c r="V33" s="30">
        <f>N57</f>
        <v>56123.74</v>
      </c>
      <c r="W33" s="30">
        <f>N58</f>
        <v>28058.080000000002</v>
      </c>
      <c r="X33" s="30">
        <f>N59</f>
        <v>5145.75</v>
      </c>
      <c r="Z33" t="s">
        <v>36</v>
      </c>
      <c r="AA33" s="1">
        <f>N60</f>
        <v>90404.6</v>
      </c>
      <c r="AC33" t="s">
        <v>105</v>
      </c>
      <c r="AD33" s="51">
        <f>I514</f>
        <v>0.93615494978479197</v>
      </c>
      <c r="AE33" s="55">
        <f>I525</f>
        <v>0.98772076439103385</v>
      </c>
      <c r="AF33" s="55">
        <f>J525</f>
        <v>2.375118089810991E-3</v>
      </c>
      <c r="AH33">
        <v>514</v>
      </c>
      <c r="AI33">
        <v>525</v>
      </c>
    </row>
    <row r="34" spans="1:35" ht="15.6" x14ac:dyDescent="0.35">
      <c r="B34" s="16" t="s">
        <v>39</v>
      </c>
      <c r="C34" s="18">
        <f>SQRT((C37+C38)/(C31*C31))</f>
        <v>0</v>
      </c>
      <c r="D34" s="18">
        <f>SQRT((D37+D38)/(D31*D31))</f>
        <v>9.3051214509573352</v>
      </c>
      <c r="E34" s="18">
        <f>SQRT((E37+E38)/(E31*E31))</f>
        <v>0.19234897724393568</v>
      </c>
      <c r="F34" s="18">
        <f>SQRT((F37+F38)/(F31*F31))</f>
        <v>0.40828826058017742</v>
      </c>
      <c r="G34" s="18">
        <f>SQRT((G37+G38)/(G31*G31))</f>
        <v>2.4877707696314206</v>
      </c>
      <c r="H34" s="1"/>
      <c r="R34" s="16" t="s">
        <v>318</v>
      </c>
      <c r="S34" t="s">
        <v>63</v>
      </c>
      <c r="T34" s="57">
        <f>$AA33*T26/100</f>
        <v>62.386807095343663</v>
      </c>
      <c r="U34" s="57">
        <f>$AA33*U26/100</f>
        <v>1156.8332335806106</v>
      </c>
      <c r="V34" s="57">
        <f>$AA33*V26/100</f>
        <v>56055.67419813048</v>
      </c>
      <c r="W34" s="57">
        <f>$AA33*W26/100</f>
        <v>27740.560082637658</v>
      </c>
      <c r="X34" s="57">
        <f>$AA33*X26/100</f>
        <v>5389.1456785559167</v>
      </c>
      <c r="Z34" t="s">
        <v>36</v>
      </c>
      <c r="AA34" s="25">
        <f>SUM(T34:X34)</f>
        <v>90404.6</v>
      </c>
      <c r="AB34" s="25"/>
      <c r="AC34" t="s">
        <v>106</v>
      </c>
      <c r="AD34" s="51">
        <f>I543</f>
        <v>0.93830703012912486</v>
      </c>
      <c r="AE34" s="55">
        <f>I554</f>
        <v>0.98880632685361547</v>
      </c>
      <c r="AF34" s="55">
        <f>J554</f>
        <v>2.3149158505211616E-3</v>
      </c>
      <c r="AH34">
        <v>543</v>
      </c>
      <c r="AI34">
        <v>554</v>
      </c>
    </row>
    <row r="35" spans="1:35" x14ac:dyDescent="0.3">
      <c r="B35" s="1" t="s">
        <v>37</v>
      </c>
      <c r="C35" s="18">
        <f>100-C33</f>
        <v>0</v>
      </c>
      <c r="D35" s="18">
        <f>100-D33</f>
        <v>13.750298096467404</v>
      </c>
      <c r="E35" s="18">
        <f>100-E33</f>
        <v>0.45612652703781009</v>
      </c>
      <c r="F35" s="18">
        <f>100-F33</f>
        <v>1.5131664741093118</v>
      </c>
      <c r="G35" s="18">
        <f>100-G33</f>
        <v>7.0068314938741736</v>
      </c>
      <c r="R35" s="66"/>
      <c r="S35" s="66" t="s">
        <v>62</v>
      </c>
      <c r="T35" s="67">
        <f>$AA33*T27/100</f>
        <v>3.5879557896048051</v>
      </c>
      <c r="U35" s="67">
        <f>$AA33*U27/100</f>
        <v>132.75520898908056</v>
      </c>
      <c r="V35" s="67">
        <f>$AA33*V27/100</f>
        <v>185.30934207981483</v>
      </c>
      <c r="W35" s="67">
        <f>$AA33*W27/100</f>
        <v>230.45166762387606</v>
      </c>
      <c r="X35" s="67">
        <f>$AA33*X27/100</f>
        <v>159.83279847231881</v>
      </c>
      <c r="AA35" s="1"/>
      <c r="AB35" s="25"/>
      <c r="AC35" s="58" t="s">
        <v>107</v>
      </c>
      <c r="AD35" s="120">
        <f>I572</f>
        <v>0.95408895265423244</v>
      </c>
      <c r="AE35" s="121">
        <f>I583</f>
        <v>0.98533379195757331</v>
      </c>
      <c r="AF35" s="121">
        <f>J583</f>
        <v>2.5895599264188452E-3</v>
      </c>
      <c r="AH35">
        <v>572</v>
      </c>
      <c r="AI35">
        <v>583</v>
      </c>
    </row>
    <row r="36" spans="1:35" ht="15.6" x14ac:dyDescent="0.35">
      <c r="B36" s="1" t="s">
        <v>25</v>
      </c>
      <c r="C36" s="1">
        <f>C20</f>
        <v>331</v>
      </c>
      <c r="D36" s="1">
        <f>D20</f>
        <v>56</v>
      </c>
      <c r="E36" s="1">
        <f>E20</f>
        <v>741</v>
      </c>
      <c r="F36" s="1">
        <f>F20</f>
        <v>688</v>
      </c>
      <c r="G36" s="1">
        <f>G20</f>
        <v>972</v>
      </c>
      <c r="R36" t="s">
        <v>67</v>
      </c>
      <c r="S36" t="s">
        <v>28</v>
      </c>
      <c r="T36" s="57">
        <f t="shared" ref="T36:X39" si="4">C89</f>
        <v>0.20942910969339879</v>
      </c>
      <c r="U36" s="57">
        <f t="shared" si="4"/>
        <v>1.1848990748639625</v>
      </c>
      <c r="V36" s="57">
        <f t="shared" si="4"/>
        <v>61.689362656962693</v>
      </c>
      <c r="W36" s="57">
        <f t="shared" si="4"/>
        <v>30.882269509530495</v>
      </c>
      <c r="X36" s="57">
        <f t="shared" si="4"/>
        <v>6.034039648949447</v>
      </c>
      <c r="Y36" s="13"/>
      <c r="Z36" s="74"/>
      <c r="AA36" s="12"/>
      <c r="AC36" t="s">
        <v>108</v>
      </c>
      <c r="AD36" s="51"/>
      <c r="AE36" s="51"/>
      <c r="AH36">
        <v>601</v>
      </c>
      <c r="AI36">
        <v>612</v>
      </c>
    </row>
    <row r="37" spans="1:3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14.989939141735272</v>
      </c>
      <c r="E37" s="18">
        <f>(O28*O28*(100-E33)*(100-E33)*(I28)*(100-I28))/((L28-1)*100)</f>
        <v>0.44094396266331504</v>
      </c>
      <c r="F37" s="18">
        <f>(O29*O29*(100-F33)*(100-F33)*(I29)*(100-I29))/((L29-1)*100)</f>
        <v>9.1627051596983531</v>
      </c>
      <c r="G37" s="18">
        <f>(O30*O30*(100-G33)*(100-G33)*(I30)*(100-I30))/((L30-1)*100)</f>
        <v>6.526626394431787</v>
      </c>
      <c r="S37" s="66" t="s">
        <v>39</v>
      </c>
      <c r="T37" s="67">
        <f t="shared" si="4"/>
        <v>3.3636207423557792E-3</v>
      </c>
      <c r="U37" s="67">
        <f t="shared" si="4"/>
        <v>0.12132754491377123</v>
      </c>
      <c r="V37" s="67">
        <f t="shared" si="4"/>
        <v>0.19634569415535544</v>
      </c>
      <c r="W37" s="67">
        <f t="shared" si="4"/>
        <v>0.24269400470340322</v>
      </c>
      <c r="X37" s="67">
        <f t="shared" si="4"/>
        <v>0.18647097996882758</v>
      </c>
      <c r="AC37" t="s">
        <v>109</v>
      </c>
      <c r="AD37" s="51"/>
      <c r="AE37" s="51"/>
      <c r="AH37">
        <v>630</v>
      </c>
      <c r="AI37">
        <v>641</v>
      </c>
    </row>
    <row r="38" spans="1:35" x14ac:dyDescent="0.3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78.027646165181253</v>
      </c>
      <c r="E38" s="18">
        <f>E33*E33*(SUM((H26*E26*(1-E15/H15))/(H15-1),(H27*E27*(1-E16/H16))/(H16-1), (H29*E29*(1-E18/H18))/(H18-1),(H30*E30*(1-E19/H19))/(H19-1)))</f>
        <v>142.05944514646075</v>
      </c>
      <c r="F38" s="18">
        <f>F33*F33*(SUM((H26*F26*(1-F15/H15))/(H15-1),(H27*F27*(1-F16/H16))/(H16-1), (H28*F28*(1-F17/H17))/(H17-1),(H30*F30*(1-F19/H19))/(H19-1)))</f>
        <v>150.29451685026663</v>
      </c>
      <c r="G38" s="18">
        <f>G33*G33*(SUM((H26*G26*(1-G15/H15))/(H15-1),(H27*G27*(1-G16/H16))/(H16-1), (H28*G28*(1-G17/H17))/(H17-1),(H29*G29*(1-G18/H18))/(H18-1)))</f>
        <v>203.8023972313307</v>
      </c>
      <c r="S38" t="s">
        <v>30</v>
      </c>
      <c r="T38" s="57">
        <f t="shared" si="4"/>
        <v>100</v>
      </c>
      <c r="U38" s="57">
        <f t="shared" si="4"/>
        <v>85.365461867290747</v>
      </c>
      <c r="V38" s="57">
        <f t="shared" si="4"/>
        <v>99.675972782783489</v>
      </c>
      <c r="W38" s="57">
        <f t="shared" si="4"/>
        <v>98.60901017445353</v>
      </c>
      <c r="X38" s="57">
        <f t="shared" si="4"/>
        <v>90.313209095445416</v>
      </c>
      <c r="Z38" s="50"/>
      <c r="AA38" s="54"/>
      <c r="AC38" t="s">
        <v>110</v>
      </c>
      <c r="AD38" s="51"/>
      <c r="AE38" s="51"/>
      <c r="AH38">
        <v>659</v>
      </c>
      <c r="AI38">
        <v>670</v>
      </c>
    </row>
    <row r="39" spans="1:35" x14ac:dyDescent="0.3">
      <c r="S39" s="66" t="s">
        <v>39</v>
      </c>
      <c r="T39" s="67">
        <f t="shared" si="4"/>
        <v>0</v>
      </c>
      <c r="U39" s="67">
        <f t="shared" si="4"/>
        <v>9.1241755072127333</v>
      </c>
      <c r="V39" s="67">
        <f t="shared" si="4"/>
        <v>0.16643809993464739</v>
      </c>
      <c r="W39" s="67">
        <f t="shared" si="4"/>
        <v>0.40963052748613815</v>
      </c>
      <c r="X39" s="67">
        <f t="shared" si="4"/>
        <v>2.8010537810309875</v>
      </c>
      <c r="AC39" t="s">
        <v>111</v>
      </c>
      <c r="AD39" s="51"/>
      <c r="AE39" s="51"/>
      <c r="AH39">
        <v>688</v>
      </c>
      <c r="AI39">
        <v>699</v>
      </c>
    </row>
    <row r="40" spans="1:35" x14ac:dyDescent="0.3">
      <c r="S40" t="s">
        <v>31</v>
      </c>
      <c r="T40" s="57">
        <f>I84</f>
        <v>89.578713968957871</v>
      </c>
      <c r="U40" s="57">
        <f>I85</f>
        <v>96.491228070175453</v>
      </c>
      <c r="V40" s="57">
        <f>I86</f>
        <v>99.457259158751697</v>
      </c>
      <c r="W40" s="57">
        <f>I87</f>
        <v>97.565543071161059</v>
      </c>
      <c r="X40" s="57">
        <f>I88</f>
        <v>95.936570862239847</v>
      </c>
      <c r="AC40" t="s">
        <v>112</v>
      </c>
      <c r="AD40" s="51"/>
      <c r="AE40" s="51"/>
      <c r="AH40">
        <v>717</v>
      </c>
      <c r="AI40">
        <v>728</v>
      </c>
    </row>
    <row r="41" spans="1:35" x14ac:dyDescent="0.3">
      <c r="A41" s="348" t="s">
        <v>382</v>
      </c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 t="s">
        <v>49</v>
      </c>
      <c r="M41" s="348"/>
      <c r="N41" s="348"/>
      <c r="O41" s="348"/>
      <c r="P41" s="348"/>
      <c r="S41" s="66" t="s">
        <v>39</v>
      </c>
      <c r="T41" s="67">
        <f>J84</f>
        <v>1.4403127751085634</v>
      </c>
      <c r="U41" s="67">
        <f>J85</f>
        <v>2.4588241692166095</v>
      </c>
      <c r="V41" s="67">
        <f>J86</f>
        <v>0.27081679117169194</v>
      </c>
      <c r="W41" s="67">
        <f>J87</f>
        <v>0.66755288362093324</v>
      </c>
      <c r="X41" s="67">
        <f>J88</f>
        <v>0.62188226937477109</v>
      </c>
      <c r="AC41" t="s">
        <v>113</v>
      </c>
      <c r="AD41" s="51"/>
      <c r="AE41" s="51"/>
      <c r="AH41">
        <v>746</v>
      </c>
      <c r="AI41">
        <v>757</v>
      </c>
    </row>
    <row r="42" spans="1:35" x14ac:dyDescent="0.3">
      <c r="A42" t="s">
        <v>315</v>
      </c>
      <c r="B42" t="s">
        <v>21</v>
      </c>
      <c r="I42" s="1" t="s">
        <v>53</v>
      </c>
      <c r="S42" s="66" t="s">
        <v>51</v>
      </c>
      <c r="T42" s="67">
        <f>N73*100</f>
        <v>94.502923976608187</v>
      </c>
      <c r="U42" s="67">
        <f>N74*100</f>
        <v>95.65217391304347</v>
      </c>
      <c r="V42" s="67">
        <f>N75*100</f>
        <v>99.322493224932245</v>
      </c>
      <c r="W42" s="67">
        <f>N76*100</f>
        <v>91.163604549431327</v>
      </c>
      <c r="X42" s="67">
        <f>N77*100</f>
        <v>97.433316557624565</v>
      </c>
      <c r="AC42" t="s">
        <v>114</v>
      </c>
      <c r="AD42" s="51"/>
      <c r="AE42" s="51"/>
      <c r="AH42">
        <v>775</v>
      </c>
      <c r="AI42">
        <v>786</v>
      </c>
    </row>
    <row r="43" spans="1:3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51</v>
      </c>
      <c r="R43" s="16" t="s">
        <v>61</v>
      </c>
      <c r="S43" t="s">
        <v>9</v>
      </c>
      <c r="T43" s="30">
        <f>N84</f>
        <v>211.36</v>
      </c>
      <c r="U43" s="30">
        <f>N85</f>
        <v>947.69</v>
      </c>
      <c r="V43" s="30">
        <f>N86</f>
        <v>55892.67</v>
      </c>
      <c r="W43" s="30">
        <f>N87</f>
        <v>28217.59</v>
      </c>
      <c r="X43" s="30">
        <f>N88</f>
        <v>5135.3</v>
      </c>
      <c r="Z43" t="s">
        <v>36</v>
      </c>
      <c r="AA43" s="1">
        <f>N89</f>
        <v>90404.61</v>
      </c>
      <c r="AC43" t="s">
        <v>115</v>
      </c>
      <c r="AD43" s="51"/>
      <c r="AE43" s="51"/>
      <c r="AH43">
        <v>804</v>
      </c>
      <c r="AI43">
        <v>815</v>
      </c>
    </row>
    <row r="44" spans="1:35" ht="15.6" x14ac:dyDescent="0.35">
      <c r="A44" t="s">
        <v>3</v>
      </c>
      <c r="B44" s="13">
        <v>0</v>
      </c>
      <c r="C44" s="26">
        <v>181</v>
      </c>
      <c r="D44" s="3">
        <v>0</v>
      </c>
      <c r="E44" s="3">
        <v>0</v>
      </c>
      <c r="F44" s="3">
        <v>270</v>
      </c>
      <c r="G44" s="4">
        <v>0</v>
      </c>
      <c r="H44" s="1">
        <f>SUM(C44:G44)</f>
        <v>451</v>
      </c>
      <c r="I44" s="10">
        <f>C44/H44</f>
        <v>0.40133037694013302</v>
      </c>
      <c r="J44" s="11">
        <f>1-I44</f>
        <v>0.59866962305986693</v>
      </c>
      <c r="K44">
        <f>H44-C49</f>
        <v>270</v>
      </c>
      <c r="N44" s="10">
        <f>2*(C50*I44)/(C50+I44)</f>
        <v>0.57278481012658222</v>
      </c>
      <c r="R44" s="16" t="s">
        <v>318</v>
      </c>
      <c r="S44" t="s">
        <v>63</v>
      </c>
      <c r="T44" s="57">
        <f>$AA43*T36/100</f>
        <v>189.33356984478939</v>
      </c>
      <c r="U44" s="57">
        <f>$AA43*U36/100</f>
        <v>1071.2033875243733</v>
      </c>
      <c r="V44" s="57">
        <f>$AA43*V36/100</f>
        <v>55770.027721512764</v>
      </c>
      <c r="W44" s="57">
        <f>$AA43*W36/100</f>
        <v>27918.995309239956</v>
      </c>
      <c r="X44" s="57">
        <f>$AA43*X36/100</f>
        <v>5455.0500118781174</v>
      </c>
      <c r="Z44" t="s">
        <v>36</v>
      </c>
      <c r="AA44" s="25">
        <f>SUM(T44:X44)</f>
        <v>90404.61</v>
      </c>
      <c r="AC44" t="s">
        <v>116</v>
      </c>
      <c r="AD44" s="51"/>
      <c r="AE44" s="51"/>
      <c r="AH44">
        <v>833</v>
      </c>
      <c r="AI44">
        <v>844</v>
      </c>
    </row>
    <row r="45" spans="1:35" x14ac:dyDescent="0.3">
      <c r="A45" t="s">
        <v>4</v>
      </c>
      <c r="B45" s="13">
        <v>1</v>
      </c>
      <c r="C45" s="5">
        <v>0</v>
      </c>
      <c r="D45" s="27">
        <v>55</v>
      </c>
      <c r="E45" s="1">
        <v>1</v>
      </c>
      <c r="F45" s="1">
        <v>1</v>
      </c>
      <c r="G45" s="6">
        <v>0</v>
      </c>
      <c r="H45" s="1">
        <f>SUM(C45:G45)</f>
        <v>57</v>
      </c>
      <c r="I45" s="10">
        <f>D45/H45</f>
        <v>0.96491228070175439</v>
      </c>
      <c r="J45" s="11">
        <f>1-I45</f>
        <v>3.5087719298245612E-2</v>
      </c>
      <c r="K45">
        <f>H45-D49</f>
        <v>-4</v>
      </c>
      <c r="N45" s="10">
        <f>2*(D50*I45)/(D50+I45)</f>
        <v>0.93220338983050843</v>
      </c>
      <c r="R45" s="66"/>
      <c r="S45" s="66" t="s">
        <v>62</v>
      </c>
      <c r="T45" s="67">
        <f>$AA43*T37/100</f>
        <v>3.0408682140058469</v>
      </c>
      <c r="U45" s="67">
        <f>$AA43*U37/100</f>
        <v>109.68569380186973</v>
      </c>
      <c r="V45" s="67">
        <f>$AA43*V37/100</f>
        <v>177.50555905294186</v>
      </c>
      <c r="W45" s="67">
        <f>$AA43*W37/100</f>
        <v>219.40656844549332</v>
      </c>
      <c r="X45" s="67">
        <f>$AA43*X37/100</f>
        <v>168.5783622039967</v>
      </c>
      <c r="AA45" s="1"/>
      <c r="AC45" t="s">
        <v>117</v>
      </c>
      <c r="AD45" s="51"/>
      <c r="AE45" s="51"/>
      <c r="AH45">
        <v>862</v>
      </c>
      <c r="AI45">
        <v>873</v>
      </c>
    </row>
    <row r="46" spans="1:35" x14ac:dyDescent="0.3">
      <c r="A46" t="s">
        <v>5</v>
      </c>
      <c r="B46" s="13">
        <v>2</v>
      </c>
      <c r="C46" s="5">
        <v>0</v>
      </c>
      <c r="D46" s="1">
        <v>2</v>
      </c>
      <c r="E46" s="27">
        <v>733</v>
      </c>
      <c r="F46" s="1">
        <v>2</v>
      </c>
      <c r="G46" s="6">
        <v>0</v>
      </c>
      <c r="H46" s="1">
        <f>SUM(C46:G46)</f>
        <v>737</v>
      </c>
      <c r="I46" s="10">
        <f>E46/H46</f>
        <v>0.99457259158751699</v>
      </c>
      <c r="J46" s="11">
        <f>1-I46</f>
        <v>5.4274084124830146E-3</v>
      </c>
      <c r="K46">
        <f>H46-E49</f>
        <v>-3</v>
      </c>
      <c r="N46" s="10">
        <f>2*(E50*I46)/(E50+I46)</f>
        <v>0.99255247122545698</v>
      </c>
      <c r="R46" t="s">
        <v>68</v>
      </c>
      <c r="S46" t="s">
        <v>28</v>
      </c>
      <c r="T46" s="57">
        <f t="shared" ref="T46:X49" si="5">C118</f>
        <v>0.15742914951745413</v>
      </c>
      <c r="U46" s="57">
        <f t="shared" si="5"/>
        <v>1.2323716211629865</v>
      </c>
      <c r="V46" s="57">
        <f t="shared" si="5"/>
        <v>61.881188499533302</v>
      </c>
      <c r="W46" s="57">
        <f t="shared" si="5"/>
        <v>30.754977832019826</v>
      </c>
      <c r="X46" s="57">
        <f t="shared" si="5"/>
        <v>5.9740328977664321</v>
      </c>
      <c r="Y46" s="60"/>
      <c r="Z46" s="74"/>
      <c r="AA46" s="12"/>
      <c r="AC46" t="s">
        <v>130</v>
      </c>
      <c r="AD46" s="51"/>
      <c r="AE46" s="51"/>
      <c r="AH46">
        <v>891</v>
      </c>
      <c r="AI46">
        <v>902</v>
      </c>
    </row>
    <row r="47" spans="1:35" x14ac:dyDescent="0.3">
      <c r="A47" t="s">
        <v>6</v>
      </c>
      <c r="B47" s="13">
        <v>3</v>
      </c>
      <c r="C47" s="5">
        <v>0</v>
      </c>
      <c r="D47" s="1">
        <v>2</v>
      </c>
      <c r="E47" s="1">
        <v>4</v>
      </c>
      <c r="F47" s="27">
        <v>519</v>
      </c>
      <c r="G47" s="6">
        <v>9</v>
      </c>
      <c r="H47" s="1">
        <f>SUM(C47:G47)</f>
        <v>534</v>
      </c>
      <c r="I47" s="10">
        <f>F47/H47</f>
        <v>0.9719101123595506</v>
      </c>
      <c r="J47" s="11">
        <f>1-I47</f>
        <v>2.8089887640449396E-2</v>
      </c>
      <c r="K47">
        <f>H47-F49</f>
        <v>-299</v>
      </c>
      <c r="N47" s="10">
        <f>2*(F50*I47)/(F50+I47)</f>
        <v>0.75932699341623999</v>
      </c>
      <c r="S47" s="66" t="s">
        <v>39</v>
      </c>
      <c r="T47" s="67">
        <f t="shared" si="5"/>
        <v>3.6241470659860845E-3</v>
      </c>
      <c r="U47" s="67">
        <f t="shared" si="5"/>
        <v>0.14960301988423794</v>
      </c>
      <c r="V47" s="67">
        <f t="shared" si="5"/>
        <v>0.20705490812804556</v>
      </c>
      <c r="W47" s="67">
        <f t="shared" si="5"/>
        <v>0.25561357591218348</v>
      </c>
      <c r="X47" s="67">
        <f t="shared" si="5"/>
        <v>0.17724748915809041</v>
      </c>
      <c r="AC47" t="s">
        <v>131</v>
      </c>
      <c r="AD47" s="51"/>
      <c r="AE47" s="51"/>
      <c r="AH47">
        <v>920</v>
      </c>
      <c r="AI47">
        <v>931</v>
      </c>
    </row>
    <row r="48" spans="1:35" x14ac:dyDescent="0.3">
      <c r="A48" t="s">
        <v>7</v>
      </c>
      <c r="B48" s="13">
        <v>4</v>
      </c>
      <c r="C48" s="7">
        <v>0</v>
      </c>
      <c r="D48" s="8">
        <v>2</v>
      </c>
      <c r="E48" s="8">
        <v>2</v>
      </c>
      <c r="F48" s="8">
        <v>41</v>
      </c>
      <c r="G48" s="28">
        <v>964</v>
      </c>
      <c r="H48" s="1">
        <f>SUM(C48:G48)</f>
        <v>1009</v>
      </c>
      <c r="I48" s="10">
        <f>G48/H48</f>
        <v>0.95540138751238846</v>
      </c>
      <c r="J48" s="11">
        <f>1-I48</f>
        <v>4.4598612487611544E-2</v>
      </c>
      <c r="K48">
        <f>H48-G49</f>
        <v>36</v>
      </c>
      <c r="N48" s="10">
        <f>2*(G50*I48)/(G50+I48)</f>
        <v>0.9727547931382442</v>
      </c>
      <c r="S48" t="s">
        <v>30</v>
      </c>
      <c r="T48" s="57">
        <f t="shared" si="5"/>
        <v>100</v>
      </c>
      <c r="U48" s="57">
        <f t="shared" si="5"/>
        <v>76.891859243149256</v>
      </c>
      <c r="V48" s="57">
        <f t="shared" si="5"/>
        <v>99.495658360626265</v>
      </c>
      <c r="W48" s="57">
        <f t="shared" si="5"/>
        <v>98.540116765338297</v>
      </c>
      <c r="X48" s="57">
        <f t="shared" si="5"/>
        <v>91.202970818250847</v>
      </c>
      <c r="AC48" t="s">
        <v>132</v>
      </c>
      <c r="AD48" s="51"/>
      <c r="AE48" s="51"/>
      <c r="AH48">
        <v>949</v>
      </c>
      <c r="AI48">
        <v>960</v>
      </c>
    </row>
    <row r="49" spans="1:35" ht="15.6" x14ac:dyDescent="0.35">
      <c r="B49" s="1" t="s">
        <v>19</v>
      </c>
      <c r="C49" s="1">
        <f>SUM(C44:C48)</f>
        <v>181</v>
      </c>
      <c r="D49" s="1">
        <f>SUM(D44:D48)</f>
        <v>61</v>
      </c>
      <c r="E49" s="1">
        <f>SUM(E44:E48)</f>
        <v>740</v>
      </c>
      <c r="F49" s="1">
        <f>SUM(F44:F48)</f>
        <v>833</v>
      </c>
      <c r="G49" s="1">
        <f>SUM(G44:G48)</f>
        <v>973</v>
      </c>
      <c r="H49" s="1">
        <f>SUM(H43:H48)</f>
        <v>2788</v>
      </c>
      <c r="I49" s="13" t="s">
        <v>12</v>
      </c>
      <c r="S49" s="66" t="s">
        <v>39</v>
      </c>
      <c r="T49" s="67">
        <f t="shared" si="5"/>
        <v>0</v>
      </c>
      <c r="U49" s="67">
        <f t="shared" si="5"/>
        <v>11.643200124533836</v>
      </c>
      <c r="V49" s="67">
        <f t="shared" si="5"/>
        <v>0.19641626714250604</v>
      </c>
      <c r="W49" s="67">
        <f t="shared" si="5"/>
        <v>0.41464839261336323</v>
      </c>
      <c r="X49" s="67">
        <f t="shared" si="5"/>
        <v>2.7047106009763082</v>
      </c>
      <c r="AC49" t="s">
        <v>133</v>
      </c>
      <c r="AD49" s="51"/>
      <c r="AE49" s="51"/>
      <c r="AH49">
        <v>978</v>
      </c>
      <c r="AI49">
        <v>989</v>
      </c>
    </row>
    <row r="50" spans="1:35" x14ac:dyDescent="0.3">
      <c r="A50" s="1" t="s">
        <v>316</v>
      </c>
      <c r="B50" s="1" t="s">
        <v>2</v>
      </c>
      <c r="C50" s="10">
        <f>C44/C49</f>
        <v>1</v>
      </c>
      <c r="D50" s="10">
        <f>D45/D49</f>
        <v>0.90163934426229508</v>
      </c>
      <c r="E50" s="10">
        <f>E46/E49</f>
        <v>0.99054054054054053</v>
      </c>
      <c r="F50" s="10">
        <f>F47/F49</f>
        <v>0.62304921968787519</v>
      </c>
      <c r="G50" s="10">
        <f>G48/G49</f>
        <v>0.99075025693730734</v>
      </c>
      <c r="H50" s="10"/>
      <c r="I50" s="14">
        <f>(C44+D45+E46+F47+G48)/H49</f>
        <v>0.87948350071736014</v>
      </c>
      <c r="S50" s="15" t="s">
        <v>31</v>
      </c>
      <c r="T50" s="71">
        <f>I113</f>
        <v>80.709534368070962</v>
      </c>
      <c r="U50" s="71">
        <f>I114</f>
        <v>91.228070175438589</v>
      </c>
      <c r="V50" s="71">
        <f>I115</f>
        <v>99.457259158751697</v>
      </c>
      <c r="W50" s="71">
        <f>I116</f>
        <v>97.191011235955045</v>
      </c>
      <c r="X50" s="71">
        <f>I117</f>
        <v>95.936570862239847</v>
      </c>
      <c r="AC50" t="s">
        <v>134</v>
      </c>
      <c r="AD50" s="51"/>
      <c r="AE50" s="51"/>
      <c r="AH50">
        <v>1007</v>
      </c>
      <c r="AI50">
        <v>1018</v>
      </c>
    </row>
    <row r="51" spans="1:35" x14ac:dyDescent="0.3">
      <c r="B51" s="1" t="s">
        <v>14</v>
      </c>
      <c r="C51" s="11">
        <f>1-C50</f>
        <v>0</v>
      </c>
      <c r="D51" s="11">
        <f>1-D50</f>
        <v>9.8360655737704916E-2</v>
      </c>
      <c r="E51" s="11">
        <f>1-E50</f>
        <v>9.4594594594594739E-3</v>
      </c>
      <c r="F51" s="11">
        <f>1-F50</f>
        <v>0.37695078031212481</v>
      </c>
      <c r="G51" s="11">
        <f>1-G50</f>
        <v>9.2497430626926613E-3</v>
      </c>
      <c r="S51" s="75" t="s">
        <v>39</v>
      </c>
      <c r="T51" s="76">
        <f>J113</f>
        <v>1.8600624236217143</v>
      </c>
      <c r="U51" s="76">
        <f>J114</f>
        <v>3.7802263481198901</v>
      </c>
      <c r="V51" s="76">
        <f>J115</f>
        <v>0.27081679117169194</v>
      </c>
      <c r="W51" s="76">
        <f>J116</f>
        <v>0.71568917248320152</v>
      </c>
      <c r="X51" s="76">
        <f>J117</f>
        <v>0.62188226937477109</v>
      </c>
      <c r="AC51" t="s">
        <v>135</v>
      </c>
      <c r="AD51" s="51"/>
      <c r="AE51" s="51"/>
      <c r="AH51">
        <v>1036</v>
      </c>
      <c r="AI51">
        <v>1047</v>
      </c>
    </row>
    <row r="52" spans="1:35" x14ac:dyDescent="0.3">
      <c r="C52" s="2"/>
      <c r="S52" s="66" t="s">
        <v>51</v>
      </c>
      <c r="T52" s="67">
        <f>N102*100</f>
        <v>89.325153374233139</v>
      </c>
      <c r="U52" s="67">
        <f>N103*100</f>
        <v>92.035398230088489</v>
      </c>
      <c r="V52" s="67">
        <f>N104*100</f>
        <v>99.121027721433393</v>
      </c>
      <c r="W52" s="67">
        <f>N105*100</f>
        <v>87.743026204564657</v>
      </c>
      <c r="X52" s="67">
        <f>N106*100</f>
        <v>97.482376636455186</v>
      </c>
      <c r="AC52" t="s">
        <v>136</v>
      </c>
      <c r="AD52" s="51"/>
      <c r="AE52" s="51"/>
      <c r="AH52">
        <v>1065</v>
      </c>
      <c r="AI52">
        <v>1076</v>
      </c>
    </row>
    <row r="53" spans="1:35" ht="15.6" x14ac:dyDescent="0.35">
      <c r="A53" t="s">
        <v>317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61</v>
      </c>
      <c r="S53" t="s">
        <v>9</v>
      </c>
      <c r="T53" s="30">
        <f>N113</f>
        <v>176.34</v>
      </c>
      <c r="U53" s="30">
        <f>N114</f>
        <v>939.04</v>
      </c>
      <c r="V53" s="30">
        <f>N115</f>
        <v>55965.04</v>
      </c>
      <c r="W53" s="30">
        <f>N116</f>
        <v>28189.86</v>
      </c>
      <c r="X53" s="30">
        <f>N117</f>
        <v>5134.32</v>
      </c>
      <c r="Z53" t="s">
        <v>36</v>
      </c>
      <c r="AA53" s="1">
        <f>N118</f>
        <v>90404.6</v>
      </c>
      <c r="AC53" t="s">
        <v>137</v>
      </c>
      <c r="AD53" s="51"/>
      <c r="AE53" s="51"/>
      <c r="AH53">
        <v>1094</v>
      </c>
      <c r="AI53">
        <v>1105</v>
      </c>
    </row>
    <row r="54" spans="1:35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318</v>
      </c>
      <c r="S54" t="s">
        <v>63</v>
      </c>
      <c r="T54" s="57">
        <f>$AA53*T46/100</f>
        <v>142.32319290465634</v>
      </c>
      <c r="U54" s="57">
        <f>$AA53*U46/100</f>
        <v>1114.1206346259135</v>
      </c>
      <c r="V54" s="57">
        <f>$AA53*V46/100</f>
        <v>55943.440938249092</v>
      </c>
      <c r="W54" s="57">
        <f>$AA53*W46/100</f>
        <v>27803.914689126195</v>
      </c>
      <c r="X54" s="57">
        <f>$AA53*X46/100</f>
        <v>5400.8005450941519</v>
      </c>
      <c r="Z54" t="s">
        <v>36</v>
      </c>
      <c r="AA54" s="25">
        <f>SUM(T54:X54)</f>
        <v>90404.60000000002</v>
      </c>
      <c r="AC54" t="s">
        <v>138</v>
      </c>
      <c r="AD54" s="51"/>
      <c r="AE54" s="51"/>
      <c r="AH54">
        <v>1123</v>
      </c>
      <c r="AI54">
        <v>1134</v>
      </c>
    </row>
    <row r="55" spans="1:35" x14ac:dyDescent="0.3">
      <c r="A55" t="s">
        <v>3</v>
      </c>
      <c r="B55" s="13">
        <v>0</v>
      </c>
      <c r="C55" s="29">
        <f>(C44/$L55)*$O55</f>
        <v>6.9008443259904545E-2</v>
      </c>
      <c r="D55" s="31">
        <f>(D44/$L55)*$O55</f>
        <v>0</v>
      </c>
      <c r="E55" s="31">
        <f>(E44/$L55)*$O55</f>
        <v>0</v>
      </c>
      <c r="F55" s="31">
        <f>(F44/$L55)*$O55</f>
        <v>0.10294077171366976</v>
      </c>
      <c r="G55" s="32">
        <f>(G44/$L55)*$O55</f>
        <v>0</v>
      </c>
      <c r="H55" s="17">
        <f>SUM(C55:G55)</f>
        <v>0.17194921497357429</v>
      </c>
      <c r="I55" s="17">
        <f>C55/H55*100</f>
        <v>40.133037694013311</v>
      </c>
      <c r="J55" s="17">
        <f>SQRT(I55*(100-I55)/(L55-1))</f>
        <v>2.3106723672040848</v>
      </c>
      <c r="K55" s="18">
        <f>100-I55</f>
        <v>59.866962305986689</v>
      </c>
      <c r="L55" s="1">
        <f>H44</f>
        <v>451</v>
      </c>
      <c r="M55">
        <v>0</v>
      </c>
      <c r="N55" s="1">
        <v>155.44999999999999</v>
      </c>
      <c r="O55" s="17">
        <f>N55/N60*100</f>
        <v>0.17194921497357432</v>
      </c>
      <c r="P55" s="52">
        <f>((O55*O55*(I55/100)*(K55/100))/(L55-1))</f>
        <v>1.5786183119852375E-5</v>
      </c>
      <c r="R55" s="66"/>
      <c r="S55" s="66" t="s">
        <v>62</v>
      </c>
      <c r="T55" s="67">
        <f>$AA53*T47/100</f>
        <v>3.276395658416456</v>
      </c>
      <c r="U55" s="67">
        <f>$AA53*U47/100</f>
        <v>135.24801171426577</v>
      </c>
      <c r="V55" s="67">
        <f>$AA53*V47/100</f>
        <v>187.18716147352708</v>
      </c>
      <c r="W55" s="67">
        <f>$AA53*W47/100</f>
        <v>231.08643084910585</v>
      </c>
      <c r="X55" s="67">
        <f>$AA53*X47/100</f>
        <v>160.23988358341501</v>
      </c>
      <c r="AA55" s="1"/>
      <c r="AC55" t="s">
        <v>139</v>
      </c>
      <c r="AD55" s="51"/>
      <c r="AE55" s="51"/>
      <c r="AH55">
        <v>1152</v>
      </c>
      <c r="AI55">
        <v>1163</v>
      </c>
    </row>
    <row r="56" spans="1:35" x14ac:dyDescent="0.3">
      <c r="A56" t="s">
        <v>4</v>
      </c>
      <c r="B56" s="13">
        <v>1</v>
      </c>
      <c r="C56" s="33">
        <f t="shared" ref="C56:G59" si="6">(C45/$L56)*$O56</f>
        <v>0</v>
      </c>
      <c r="D56" s="34">
        <f t="shared" si="6"/>
        <v>0.9836267840896622</v>
      </c>
      <c r="E56" s="19">
        <f t="shared" si="6"/>
        <v>1.7884123347084765E-2</v>
      </c>
      <c r="F56" s="18">
        <f t="shared" si="6"/>
        <v>1.7884123347084765E-2</v>
      </c>
      <c r="G56" s="20">
        <f t="shared" si="6"/>
        <v>0</v>
      </c>
      <c r="H56" s="17">
        <f>SUM(C56:G56)</f>
        <v>1.0193950307838318</v>
      </c>
      <c r="I56" s="17">
        <f>D56/H56*100</f>
        <v>96.491228070175438</v>
      </c>
      <c r="J56" s="17">
        <f>SQRT(I56*(100-I56)/(L56-1))</f>
        <v>2.4588241692166148</v>
      </c>
      <c r="K56" s="18">
        <f>100-I56</f>
        <v>3.5087719298245617</v>
      </c>
      <c r="L56" s="1">
        <f>H45</f>
        <v>57</v>
      </c>
      <c r="M56">
        <v>1</v>
      </c>
      <c r="N56" s="1">
        <v>921.58</v>
      </c>
      <c r="O56" s="17">
        <f>N56/N60*100</f>
        <v>1.0193950307838318</v>
      </c>
      <c r="P56" s="52">
        <f>((O56*O56*(I56/100)*(K56/100))/(L56-1))</f>
        <v>6.2826081193413706E-4</v>
      </c>
      <c r="R56" t="s">
        <v>71</v>
      </c>
      <c r="S56" t="s">
        <v>28</v>
      </c>
      <c r="T56" s="57">
        <f t="shared" ref="T56:X59" si="7">C147</f>
        <v>0.17228878776412476</v>
      </c>
      <c r="U56" s="57">
        <f t="shared" si="7"/>
        <v>1.1213721429210866</v>
      </c>
      <c r="V56" s="57">
        <f t="shared" si="7"/>
        <v>62.368525256277593</v>
      </c>
      <c r="W56" s="57">
        <f t="shared" si="7"/>
        <v>30.493298261209663</v>
      </c>
      <c r="X56" s="57">
        <f t="shared" si="7"/>
        <v>5.8445155518275342</v>
      </c>
      <c r="Y56" s="13"/>
      <c r="Z56" s="74"/>
      <c r="AA56" s="12"/>
      <c r="AC56" t="s">
        <v>140</v>
      </c>
      <c r="AD56" s="51"/>
      <c r="AE56" s="51"/>
      <c r="AH56">
        <v>1181</v>
      </c>
      <c r="AI56">
        <v>1192</v>
      </c>
    </row>
    <row r="57" spans="1:35" x14ac:dyDescent="0.3">
      <c r="A57" t="s">
        <v>5</v>
      </c>
      <c r="B57" s="13">
        <v>2</v>
      </c>
      <c r="C57" s="33">
        <f t="shared" si="6"/>
        <v>0</v>
      </c>
      <c r="D57" s="19">
        <f t="shared" si="6"/>
        <v>0.16846845106112457</v>
      </c>
      <c r="E57" s="34">
        <f t="shared" si="6"/>
        <v>61.743687313902157</v>
      </c>
      <c r="F57" s="19">
        <f t="shared" si="6"/>
        <v>0.16846845106112457</v>
      </c>
      <c r="G57" s="20">
        <f t="shared" si="6"/>
        <v>0</v>
      </c>
      <c r="H57" s="17">
        <f>SUM(C57:G57)</f>
        <v>62.080624216024404</v>
      </c>
      <c r="I57" s="17">
        <f>E57/H57*100</f>
        <v>99.457259158751697</v>
      </c>
      <c r="J57" s="17">
        <f>SQRT(I57*(100-I57)/(L57-1))</f>
        <v>0.27081679117169194</v>
      </c>
      <c r="K57" s="18">
        <f>100-I57</f>
        <v>0.54274084124830324</v>
      </c>
      <c r="L57" s="1">
        <f>H46</f>
        <v>737</v>
      </c>
      <c r="M57">
        <v>2</v>
      </c>
      <c r="N57" s="1">
        <v>56123.74</v>
      </c>
      <c r="O57" s="17">
        <f>N57/N60*100</f>
        <v>62.080624216024404</v>
      </c>
      <c r="P57" s="52">
        <f>((O57*O57*(I57/100)*(K57/100))/(L57-1))</f>
        <v>2.8265933055911657E-2</v>
      </c>
      <c r="S57" s="66" t="s">
        <v>39</v>
      </c>
      <c r="T57" s="67">
        <f t="shared" si="7"/>
        <v>3.5942967410300336E-3</v>
      </c>
      <c r="U57" s="67">
        <f t="shared" si="7"/>
        <v>8.3521065430975136E-2</v>
      </c>
      <c r="V57" s="67">
        <f t="shared" si="7"/>
        <v>0.15642474434480894</v>
      </c>
      <c r="W57" s="67">
        <f t="shared" si="7"/>
        <v>0.23338041674083715</v>
      </c>
      <c r="X57" s="67">
        <f t="shared" si="7"/>
        <v>0.15575579795358796</v>
      </c>
      <c r="AC57" t="s">
        <v>141</v>
      </c>
      <c r="AD57" s="51"/>
      <c r="AE57" s="51"/>
      <c r="AH57">
        <v>1210</v>
      </c>
      <c r="AI57">
        <v>1221</v>
      </c>
    </row>
    <row r="58" spans="1:35" x14ac:dyDescent="0.3">
      <c r="A58" t="s">
        <v>6</v>
      </c>
      <c r="B58" s="13">
        <v>3</v>
      </c>
      <c r="C58" s="33">
        <f t="shared" si="6"/>
        <v>0</v>
      </c>
      <c r="D58" s="19">
        <f t="shared" si="6"/>
        <v>0.1162401492264393</v>
      </c>
      <c r="E58" s="19">
        <f t="shared" si="6"/>
        <v>0.2324802984528786</v>
      </c>
      <c r="F58" s="34">
        <f t="shared" si="6"/>
        <v>30.164318724261001</v>
      </c>
      <c r="G58" s="20">
        <f t="shared" si="6"/>
        <v>0.52308067151897686</v>
      </c>
      <c r="H58" s="17">
        <f>SUM(C58:G58)</f>
        <v>31.036119843459296</v>
      </c>
      <c r="I58" s="17">
        <f>F58/H58*100</f>
        <v>97.191011235955045</v>
      </c>
      <c r="J58" s="17">
        <f>SQRT(I58*(100-I58)/(L58-1))</f>
        <v>0.71568917248320152</v>
      </c>
      <c r="K58" s="18">
        <f>100-I58</f>
        <v>2.8089887640449547</v>
      </c>
      <c r="L58" s="1">
        <f>H47</f>
        <v>534</v>
      </c>
      <c r="M58">
        <v>3</v>
      </c>
      <c r="N58" s="1">
        <v>28058.080000000002</v>
      </c>
      <c r="O58" s="17">
        <f>N58/N60*100</f>
        <v>31.036119843459293</v>
      </c>
      <c r="P58" s="52">
        <f>((O58*O58*(I58/100)*(K58/100))/(L58-1))</f>
        <v>4.9338249200121795E-2</v>
      </c>
      <c r="S58" t="s">
        <v>30</v>
      </c>
      <c r="T58" s="57">
        <f t="shared" si="7"/>
        <v>100</v>
      </c>
      <c r="U58" s="57">
        <f t="shared" si="7"/>
        <v>88.726816238682559</v>
      </c>
      <c r="V58" s="57">
        <f t="shared" si="7"/>
        <v>99.694630838023514</v>
      </c>
      <c r="W58" s="57">
        <f t="shared" si="7"/>
        <v>98.538249244250153</v>
      </c>
      <c r="X58" s="57">
        <f t="shared" si="7"/>
        <v>93.105730408900754</v>
      </c>
      <c r="AC58" t="s">
        <v>142</v>
      </c>
      <c r="AD58" s="51"/>
      <c r="AE58" s="51"/>
      <c r="AH58">
        <v>1239</v>
      </c>
      <c r="AI58">
        <v>1250</v>
      </c>
    </row>
    <row r="59" spans="1:35" x14ac:dyDescent="0.3">
      <c r="A59" t="s">
        <v>7</v>
      </c>
      <c r="B59" s="13">
        <v>4</v>
      </c>
      <c r="C59" s="35">
        <f t="shared" si="6"/>
        <v>0</v>
      </c>
      <c r="D59" s="36">
        <f t="shared" si="6"/>
        <v>1.1282282843922485E-2</v>
      </c>
      <c r="E59" s="21">
        <f t="shared" si="6"/>
        <v>1.1282282843922485E-2</v>
      </c>
      <c r="F59" s="21">
        <f t="shared" si="6"/>
        <v>0.23128679830041096</v>
      </c>
      <c r="G59" s="37">
        <f t="shared" si="6"/>
        <v>5.4380603307706377</v>
      </c>
      <c r="H59" s="17">
        <f>SUM(C59:G59)</f>
        <v>5.6919116947588932</v>
      </c>
      <c r="I59" s="17">
        <f>G59/H59*100</f>
        <v>95.540138751238857</v>
      </c>
      <c r="J59" s="17">
        <f>SQRT(I59*(100-I59)/(L59-1))</f>
        <v>0.65016463308686456</v>
      </c>
      <c r="K59" s="18">
        <f>100-I59</f>
        <v>4.4598612487611433</v>
      </c>
      <c r="L59" s="1">
        <f>H48</f>
        <v>1009</v>
      </c>
      <c r="M59">
        <v>4</v>
      </c>
      <c r="N59" s="1">
        <v>5145.75</v>
      </c>
      <c r="O59" s="17">
        <f>N59/N60*100</f>
        <v>5.6919116947588941</v>
      </c>
      <c r="P59" s="52">
        <f>((O59*O59*(I59/100)*(K59/100))/(L59-1))</f>
        <v>1.369503008349753E-3</v>
      </c>
      <c r="S59" s="66" t="s">
        <v>39</v>
      </c>
      <c r="T59" s="67">
        <f t="shared" si="7"/>
        <v>0</v>
      </c>
      <c r="U59" s="67">
        <f t="shared" si="7"/>
        <v>6.7080954573314227</v>
      </c>
      <c r="V59" s="67">
        <f t="shared" si="7"/>
        <v>0.16169176989878528</v>
      </c>
      <c r="W59" s="67">
        <f t="shared" si="7"/>
        <v>0.41479365978236882</v>
      </c>
      <c r="X59" s="67">
        <f t="shared" si="7"/>
        <v>2.4516730085476706</v>
      </c>
      <c r="AC59" t="s">
        <v>143</v>
      </c>
      <c r="AD59" s="51"/>
      <c r="AE59" s="51"/>
      <c r="AH59">
        <v>1268</v>
      </c>
      <c r="AI59">
        <v>1279</v>
      </c>
    </row>
    <row r="60" spans="1:35" x14ac:dyDescent="0.3">
      <c r="B60" t="s">
        <v>28</v>
      </c>
      <c r="C60" s="17">
        <f>SUM(C55:C59)</f>
        <v>6.9008443259904545E-2</v>
      </c>
      <c r="D60" s="17">
        <f>SUM(D55:D59)</f>
        <v>1.2796176672211486</v>
      </c>
      <c r="E60" s="17">
        <f>SUM(E55:E59)</f>
        <v>62.005334018546044</v>
      </c>
      <c r="F60" s="17">
        <f>SUM(F55:F59)</f>
        <v>30.684898868683291</v>
      </c>
      <c r="G60" s="17">
        <f>SUM(G55:G59)</f>
        <v>5.9611410022896143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90404.6</v>
      </c>
      <c r="O60" s="17">
        <f>SUM(O55:O59)</f>
        <v>100</v>
      </c>
      <c r="S60" s="15" t="s">
        <v>31</v>
      </c>
      <c r="T60" s="71">
        <f>I142</f>
        <v>83.592017738359203</v>
      </c>
      <c r="U60" s="71">
        <f>I143</f>
        <v>98.245614035087712</v>
      </c>
      <c r="V60" s="71">
        <f>I144</f>
        <v>99.728629579375848</v>
      </c>
      <c r="W60" s="71">
        <f>I145</f>
        <v>97.752808988764045</v>
      </c>
      <c r="X60" s="71">
        <f>I146</f>
        <v>95.540138751238857</v>
      </c>
      <c r="AC60" t="s">
        <v>144</v>
      </c>
      <c r="AD60" s="51"/>
      <c r="AE60" s="51"/>
      <c r="AH60">
        <v>1297</v>
      </c>
      <c r="AI60">
        <v>1308</v>
      </c>
    </row>
    <row r="61" spans="1:35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3.9687756923926492E-3</v>
      </c>
      <c r="D61" s="18">
        <f>SQRT(SUM((O55*O55*(D55/O55)*(1-D55/O55))/L55,(O56*O56*(D56/O56)*(1-D56/O56))/L56,(O57*O57*(D57/O57)*(1-D57/O57))/L57,(O58*O58*(D58/O58)*(1-D58/O58))/L58,(O59*O59*(D59/O59)*(1-D59/O59))/L59))</f>
        <v>0.14684563505516374</v>
      </c>
      <c r="E61" s="18">
        <f>SQRT(SUM((O55*O55*(E55/O55)*(1-E55/O55))/L55,(O56*O56*(E56/O56)*(1-E56/O56))/L56,(O57*O57*(E57/O57)*(1-E57/O57))/L57,(O58*O58*(E58/O58)*(1-E58/O58))/L58,(O59*O59*(E59/O59)*(1-E59/O59))/L59))</f>
        <v>0.20497777998001737</v>
      </c>
      <c r="F61" s="18">
        <f>SQRT(SUM((O55*O55*(F55/O55)*(1-F55/O55))/L55,(O56*O56*(F56/O56)*(1-F56/O56))/L56,(O57*O57*(F57/O57)*(1-F57/O57))/L57,(O58*O58*(F58/O58)*(1-F58/O58))/L58,(O59*O59*(F59/O59)*(1-F59/O59))/L59))</f>
        <v>0.25491143993101684</v>
      </c>
      <c r="G61" s="18">
        <f>SQRT(SUM((O55*O55*(G55/O55)*(1-G55/O55))/L55,(O56*O56*(G56/O56)*(1-G56/O56))/L56,(O57*O57*(G57/O57)*(1-G57/O57))/L57,(O58*O58*(G58/O58)*(1-G58/O58))/L58,(O59*O59*(G59/O59)*(1-G59/O59))/L59))</f>
        <v>0.17679719668282234</v>
      </c>
      <c r="H61" s="1"/>
      <c r="I61" s="14">
        <f>(C55+D56+E57+F58+G59)/H60</f>
        <v>0.98398701596283356</v>
      </c>
      <c r="J61" s="53">
        <f>SQRT(SUM(P55:P59))/100</f>
        <v>2.8216614300698305E-3</v>
      </c>
      <c r="M61" s="1"/>
      <c r="N61" s="9"/>
      <c r="S61" s="75" t="s">
        <v>39</v>
      </c>
      <c r="T61" s="76">
        <f>J142</f>
        <v>1.7458371721617369</v>
      </c>
      <c r="U61" s="76">
        <f>J143</f>
        <v>1.7543859649122842</v>
      </c>
      <c r="V61" s="76">
        <f>J144</f>
        <v>0.19175746172356631</v>
      </c>
      <c r="W61" s="76">
        <f>J145</f>
        <v>0.64197928239881541</v>
      </c>
      <c r="X61" s="76">
        <f>J146</f>
        <v>0.65016463308686456</v>
      </c>
      <c r="AC61" t="s">
        <v>145</v>
      </c>
      <c r="AD61" s="51"/>
      <c r="AE61" s="51"/>
      <c r="AH61">
        <v>1326</v>
      </c>
      <c r="AI61">
        <v>1337</v>
      </c>
    </row>
    <row r="62" spans="1:35" x14ac:dyDescent="0.3">
      <c r="B62" s="1" t="s">
        <v>30</v>
      </c>
      <c r="C62" s="17">
        <f>C55/C60*100</f>
        <v>100</v>
      </c>
      <c r="D62" s="17">
        <f>D56/D60*100</f>
        <v>76.868803025026381</v>
      </c>
      <c r="E62" s="17">
        <f>E57/E60*100</f>
        <v>99.578025489604443</v>
      </c>
      <c r="F62" s="17">
        <f>F58/F60*100</f>
        <v>98.303464689096344</v>
      </c>
      <c r="G62" s="17">
        <f>G59/G60*100</f>
        <v>91.225158550719286</v>
      </c>
      <c r="H62" s="1"/>
      <c r="S62" s="66" t="s">
        <v>51</v>
      </c>
      <c r="T62" s="67">
        <f>N131*100</f>
        <v>91.062801932367151</v>
      </c>
      <c r="U62" s="67">
        <f>N132*100</f>
        <v>95.726495726495713</v>
      </c>
      <c r="V62" s="67">
        <f>N133*100</f>
        <v>99.59349593495935</v>
      </c>
      <c r="W62" s="67">
        <f>N134*100</f>
        <v>88.851063829787236</v>
      </c>
      <c r="X62" s="67">
        <f>N135*100</f>
        <v>97.37373737373737</v>
      </c>
      <c r="AC62" t="s">
        <v>146</v>
      </c>
      <c r="AD62" s="51"/>
      <c r="AE62" s="51"/>
      <c r="AH62">
        <v>1355</v>
      </c>
      <c r="AI62">
        <v>1366</v>
      </c>
    </row>
    <row r="63" spans="1:35" x14ac:dyDescent="0.3">
      <c r="B63" s="16" t="s">
        <v>39</v>
      </c>
      <c r="C63" s="18">
        <f>SQRT((C66+C67)/(C60*C60))</f>
        <v>0</v>
      </c>
      <c r="D63" s="18">
        <f>SQRT((D66+D67)/(D60*D60))</f>
        <v>9.809787252332546</v>
      </c>
      <c r="E63" s="18">
        <f>SQRT((E66+E67)/(E60*E60))</f>
        <v>0.18913468238060005</v>
      </c>
      <c r="F63" s="18">
        <f>SQRT((F66+F67)/(F60*F60))</f>
        <v>0.4205153635578221</v>
      </c>
      <c r="G63" s="18">
        <f>SQRT((G66+G67)/(G60*G60))</f>
        <v>2.7036346820361858</v>
      </c>
      <c r="H63" s="1"/>
      <c r="R63" s="16" t="s">
        <v>61</v>
      </c>
      <c r="S63" t="s">
        <v>9</v>
      </c>
      <c r="T63" s="30">
        <f>N142</f>
        <v>186.33</v>
      </c>
      <c r="U63" s="30">
        <f>N143</f>
        <v>915.55</v>
      </c>
      <c r="V63" s="30">
        <f>N144</f>
        <v>56364.800000000003</v>
      </c>
      <c r="W63" s="30">
        <f>N145</f>
        <v>27788.85</v>
      </c>
      <c r="X63" s="30">
        <f>N146</f>
        <v>5149.08</v>
      </c>
      <c r="Z63" t="s">
        <v>36</v>
      </c>
      <c r="AA63" s="1">
        <f>N147</f>
        <v>90404.61</v>
      </c>
      <c r="AC63" t="s">
        <v>147</v>
      </c>
      <c r="AD63" s="51"/>
      <c r="AE63" s="51"/>
      <c r="AH63">
        <v>1384</v>
      </c>
      <c r="AI63">
        <v>1395</v>
      </c>
    </row>
    <row r="64" spans="1:35" ht="15.6" x14ac:dyDescent="0.35">
      <c r="B64" s="1" t="s">
        <v>37</v>
      </c>
      <c r="C64" s="18">
        <f>100-C62</f>
        <v>0</v>
      </c>
      <c r="D64" s="18">
        <f>100-D62</f>
        <v>23.131196974973619</v>
      </c>
      <c r="E64" s="18">
        <f>100-E62</f>
        <v>0.42197451039555745</v>
      </c>
      <c r="F64" s="18">
        <f>100-F62</f>
        <v>1.6965353109036556</v>
      </c>
      <c r="G64" s="18">
        <f>100-G62</f>
        <v>8.7748414492807143</v>
      </c>
      <c r="R64" s="16" t="s">
        <v>318</v>
      </c>
      <c r="S64" t="s">
        <v>63</v>
      </c>
      <c r="T64" s="57">
        <f>$AA63*T56/100</f>
        <v>155.75700665188472</v>
      </c>
      <c r="U64" s="57">
        <f>$AA63*U56/100</f>
        <v>1013.7721124564508</v>
      </c>
      <c r="V64" s="57">
        <f>$AA63*V56/100</f>
        <v>56384.022020689255</v>
      </c>
      <c r="W64" s="57">
        <f>$AA63*W56/100</f>
        <v>27567.347369183375</v>
      </c>
      <c r="X64" s="57">
        <f>$AA63*X56/100</f>
        <v>5283.7114910190312</v>
      </c>
      <c r="Z64" t="s">
        <v>36</v>
      </c>
      <c r="AA64" s="25">
        <f>SUM(T64:X64)</f>
        <v>90404.61</v>
      </c>
      <c r="AC64" t="s">
        <v>148</v>
      </c>
      <c r="AD64" s="51"/>
      <c r="AE64" s="51"/>
      <c r="AH64">
        <v>1413</v>
      </c>
      <c r="AI64">
        <v>1424</v>
      </c>
    </row>
    <row r="65" spans="1:51" ht="15.6" x14ac:dyDescent="0.35">
      <c r="B65" s="1" t="s">
        <v>25</v>
      </c>
      <c r="C65" s="1">
        <f>C49</f>
        <v>181</v>
      </c>
      <c r="D65" s="1">
        <f>D49</f>
        <v>61</v>
      </c>
      <c r="E65" s="1">
        <f>E49</f>
        <v>740</v>
      </c>
      <c r="F65" s="1">
        <f>F49</f>
        <v>833</v>
      </c>
      <c r="G65" s="1">
        <f>G49</f>
        <v>973</v>
      </c>
      <c r="R65" s="66"/>
      <c r="S65" s="66" t="s">
        <v>62</v>
      </c>
      <c r="T65" s="67">
        <f>$AA63*T57/100</f>
        <v>3.2494099509709122</v>
      </c>
      <c r="U65" s="67">
        <f>$AA63*U57/100</f>
        <v>75.506893470717884</v>
      </c>
      <c r="V65" s="67">
        <f>$AA63*V57/100</f>
        <v>141.41518006842159</v>
      </c>
      <c r="W65" s="67">
        <f>$AA63*W57/100</f>
        <v>210.98665557092852</v>
      </c>
      <c r="X65" s="67">
        <f>$AA63*X57/100</f>
        <v>140.81042169232919</v>
      </c>
      <c r="AA65" s="1"/>
      <c r="AC65" t="s">
        <v>149</v>
      </c>
      <c r="AD65" s="51"/>
      <c r="AE65" s="51"/>
      <c r="AH65">
        <v>1442</v>
      </c>
      <c r="AI65">
        <v>1453</v>
      </c>
    </row>
    <row r="66" spans="1:51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33.61523757731927</v>
      </c>
      <c r="E66" s="18">
        <f>(O57*O57*(100-E62)*(100-E62)*(I57)*(100-I57))/((L57-1)*100)</f>
        <v>0.50331023492837523</v>
      </c>
      <c r="F66" s="18">
        <f>(O58*O58*(100-F62)*(100-F62)*(I58)*(100-I58))/((L58-1)*100)</f>
        <v>14.200693068845171</v>
      </c>
      <c r="G66" s="18">
        <f>(O59*O59*(100-G62)*(100-G62)*(I59)*(100-I59))/((L59-1)*100)</f>
        <v>10.544877688543069</v>
      </c>
      <c r="R66" t="s">
        <v>93</v>
      </c>
      <c r="S66" t="s">
        <v>28</v>
      </c>
      <c r="T66" s="57">
        <f>C176</f>
        <v>0.16843686990732712</v>
      </c>
      <c r="U66" s="57">
        <f t="shared" ref="U66:X69" si="8">D176</f>
        <v>1.2413694689731969</v>
      </c>
      <c r="V66" s="57">
        <f t="shared" si="8"/>
        <v>61.715608184729902</v>
      </c>
      <c r="W66" s="57">
        <f t="shared" si="8"/>
        <v>31.009457803101405</v>
      </c>
      <c r="X66" s="57">
        <f t="shared" si="8"/>
        <v>5.865127673288165</v>
      </c>
      <c r="Y66" s="13"/>
      <c r="Z66" s="74"/>
      <c r="AA66" s="12"/>
      <c r="AC66" t="s">
        <v>158</v>
      </c>
      <c r="AD66" s="51"/>
      <c r="AE66" s="51"/>
      <c r="AH66" s="78"/>
    </row>
    <row r="67" spans="1:51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123.95697483696766</v>
      </c>
      <c r="E67" s="18">
        <f>E62*E62*(SUM((H55*E55*(1-E44/H44))/(H44-1),(H56*E56*(1-E45/H45))/(H45-1), (H58*E58*(1-E47/H47))/(H47-1),(H59*E59*(1-E48/H48))/(H48-1)))</f>
        <v>137.02764252717824</v>
      </c>
      <c r="F67" s="18">
        <f>F62*F62*(SUM((H55*F55*(1-F44/H44))/(H44-1),(H56*F56*(1-F45/H45))/(H45-1), (H57*F57*(1-F46/H46))/(H46-1),(H59*F59*(1-F48/H48))/(H48-1)))</f>
        <v>152.2988811920805</v>
      </c>
      <c r="G67" s="18">
        <f>G62*G62*(SUM((H55*G55*(1-G44/H44))/(H44-1),(H56*G56*(1-G45/H45))/(H45-1), (H57*G57*(1-G46/H46))/(H46-1),(H58*G58*(1-G47/H47))/(H47-1)))</f>
        <v>249.20467416936631</v>
      </c>
      <c r="S67" s="66" t="s">
        <v>39</v>
      </c>
      <c r="T67" s="67">
        <f>C177</f>
        <v>3.8775537424270974E-3</v>
      </c>
      <c r="U67" s="67">
        <f t="shared" si="8"/>
        <v>0.1222657597486118</v>
      </c>
      <c r="V67" s="67">
        <f t="shared" si="8"/>
        <v>0.18860444617884828</v>
      </c>
      <c r="W67" s="67">
        <f t="shared" si="8"/>
        <v>0.25024148833302562</v>
      </c>
      <c r="X67" s="67">
        <f t="shared" si="8"/>
        <v>0.16785243445546166</v>
      </c>
      <c r="AC67" t="s">
        <v>159</v>
      </c>
      <c r="AD67" s="51"/>
      <c r="AE67" s="51"/>
      <c r="AI67" s="78"/>
    </row>
    <row r="68" spans="1:51" x14ac:dyDescent="0.3">
      <c r="S68" t="s">
        <v>30</v>
      </c>
      <c r="T68" s="57">
        <f>C178</f>
        <v>100</v>
      </c>
      <c r="U68" s="57">
        <f t="shared" si="8"/>
        <v>82.477447951910349</v>
      </c>
      <c r="V68" s="57">
        <f t="shared" si="8"/>
        <v>99.740300746363062</v>
      </c>
      <c r="W68" s="57">
        <f t="shared" si="8"/>
        <v>98.275026146892372</v>
      </c>
      <c r="X68" s="57">
        <f t="shared" si="8"/>
        <v>92.036951618892488</v>
      </c>
      <c r="AC68" t="s">
        <v>160</v>
      </c>
      <c r="AD68" s="51"/>
      <c r="AE68" s="51"/>
      <c r="AH68" s="2"/>
      <c r="AI68" s="2"/>
    </row>
    <row r="69" spans="1:51" x14ac:dyDescent="0.3">
      <c r="S69" s="66" t="s">
        <v>39</v>
      </c>
      <c r="T69" s="67">
        <f>C179</f>
        <v>0</v>
      </c>
      <c r="U69" s="67">
        <f t="shared" si="8"/>
        <v>9.0719021683595447</v>
      </c>
      <c r="V69" s="67">
        <f t="shared" si="8"/>
        <v>0.14052154951438189</v>
      </c>
      <c r="W69" s="67">
        <f t="shared" si="8"/>
        <v>0.49005739044002317</v>
      </c>
      <c r="X69" s="67">
        <f t="shared" si="8"/>
        <v>2.6208723010692343</v>
      </c>
      <c r="AC69" t="s">
        <v>161</v>
      </c>
      <c r="AD69" s="51"/>
      <c r="AE69" s="51"/>
    </row>
    <row r="70" spans="1:51" x14ac:dyDescent="0.3">
      <c r="A70" s="348" t="s">
        <v>382</v>
      </c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 t="s">
        <v>56</v>
      </c>
      <c r="M70" s="348"/>
      <c r="N70" s="348"/>
      <c r="O70" s="348"/>
      <c r="P70" s="348"/>
      <c r="S70" s="15" t="s">
        <v>31</v>
      </c>
      <c r="T70" s="71">
        <f>I171</f>
        <v>80.709534368070948</v>
      </c>
      <c r="U70" s="71">
        <f>I172</f>
        <v>94.73684210526315</v>
      </c>
      <c r="V70" s="71">
        <f>I173</f>
        <v>99.457259158751697</v>
      </c>
      <c r="W70" s="71">
        <f>I174</f>
        <v>97.752808988764045</v>
      </c>
      <c r="X70" s="71">
        <f>I175</f>
        <v>95.63924677898909</v>
      </c>
      <c r="AC70" t="s">
        <v>162</v>
      </c>
      <c r="AD70" s="51"/>
      <c r="AE70" s="51"/>
      <c r="AH70" s="2"/>
      <c r="AI70" s="2"/>
    </row>
    <row r="71" spans="1:51" x14ac:dyDescent="0.3">
      <c r="A71" t="s">
        <v>315</v>
      </c>
      <c r="B71" t="s">
        <v>21</v>
      </c>
      <c r="I71" s="1" t="s">
        <v>53</v>
      </c>
      <c r="O71" s="142"/>
      <c r="P71" s="142"/>
      <c r="S71" s="75" t="s">
        <v>39</v>
      </c>
      <c r="T71" s="76">
        <f>J171</f>
        <v>1.8600624236217147</v>
      </c>
      <c r="U71" s="76">
        <f>J172</f>
        <v>2.9839300500728485</v>
      </c>
      <c r="V71" s="76">
        <f>J173</f>
        <v>0.27081679117169194</v>
      </c>
      <c r="W71" s="76">
        <f>J174</f>
        <v>0.64197928239881541</v>
      </c>
      <c r="X71" s="76">
        <f>J175</f>
        <v>0.64323336369097983</v>
      </c>
      <c r="AC71" t="s">
        <v>163</v>
      </c>
      <c r="AD71" s="51"/>
      <c r="AE71" s="51"/>
    </row>
    <row r="72" spans="1:51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51</v>
      </c>
      <c r="O72" s="13"/>
      <c r="P72" s="13"/>
      <c r="S72" s="66" t="s">
        <v>51</v>
      </c>
      <c r="T72" s="67">
        <f>N160*100</f>
        <v>89.325153374233139</v>
      </c>
      <c r="U72" s="67">
        <f>N161*100</f>
        <v>92.307692307692307</v>
      </c>
      <c r="V72" s="67">
        <f>N162*100</f>
        <v>99.389830508474574</v>
      </c>
      <c r="W72" s="67">
        <f>N163*100</f>
        <v>87.952822240943547</v>
      </c>
      <c r="X72" s="67">
        <f>N164*100</f>
        <v>97.376387487386481</v>
      </c>
      <c r="AC72" t="s">
        <v>154</v>
      </c>
      <c r="AD72" s="51"/>
      <c r="AE72" s="51"/>
      <c r="AH72" s="2"/>
      <c r="AI72" s="2"/>
    </row>
    <row r="73" spans="1:51" x14ac:dyDescent="0.3">
      <c r="A73" t="s">
        <v>3</v>
      </c>
      <c r="B73" s="13">
        <v>0</v>
      </c>
      <c r="C73" s="26">
        <v>404</v>
      </c>
      <c r="D73" s="3">
        <v>0</v>
      </c>
      <c r="E73" s="3">
        <v>1</v>
      </c>
      <c r="F73" s="3">
        <v>46</v>
      </c>
      <c r="G73" s="4">
        <v>0</v>
      </c>
      <c r="H73" s="1">
        <f>SUM(C73:G73)</f>
        <v>451</v>
      </c>
      <c r="I73" s="10">
        <f>C73/H73</f>
        <v>0.89578713968957868</v>
      </c>
      <c r="J73" s="11">
        <f>1-I73</f>
        <v>0.10421286031042132</v>
      </c>
      <c r="K73">
        <f>H73-C78</f>
        <v>47</v>
      </c>
      <c r="N73" s="10">
        <f>2*(C79*I73)/(C79+I73)</f>
        <v>0.94502923976608189</v>
      </c>
      <c r="O73" s="1"/>
      <c r="P73" s="1"/>
      <c r="R73" s="16" t="s">
        <v>61</v>
      </c>
      <c r="S73" t="s">
        <v>9</v>
      </c>
      <c r="T73" s="1">
        <f>N171</f>
        <v>188.67</v>
      </c>
      <c r="U73" s="1">
        <f>N172</f>
        <v>977.03</v>
      </c>
      <c r="V73" s="1">
        <f>N173</f>
        <v>55952.53</v>
      </c>
      <c r="W73" s="1">
        <f>N174</f>
        <v>28183.74</v>
      </c>
      <c r="X73" s="1">
        <f>N175</f>
        <v>5102.63</v>
      </c>
      <c r="Z73" t="s">
        <v>36</v>
      </c>
      <c r="AA73" s="1">
        <f>N176</f>
        <v>90404.6</v>
      </c>
      <c r="AC73" t="s">
        <v>164</v>
      </c>
      <c r="AD73" s="51"/>
      <c r="AE73" s="51"/>
    </row>
    <row r="74" spans="1:51" ht="15.6" x14ac:dyDescent="0.35">
      <c r="A74" t="s">
        <v>4</v>
      </c>
      <c r="B74" s="13">
        <v>1</v>
      </c>
      <c r="C74" s="5">
        <v>0</v>
      </c>
      <c r="D74" s="27">
        <v>55</v>
      </c>
      <c r="E74" s="1">
        <v>1</v>
      </c>
      <c r="F74" s="1">
        <v>1</v>
      </c>
      <c r="G74" s="6">
        <v>0</v>
      </c>
      <c r="H74" s="1">
        <f>SUM(C74:G74)</f>
        <v>57</v>
      </c>
      <c r="I74" s="10">
        <f>D74/H74</f>
        <v>0.96491228070175439</v>
      </c>
      <c r="J74" s="11">
        <f>1-I74</f>
        <v>3.5087719298245612E-2</v>
      </c>
      <c r="K74">
        <f>H74-D78</f>
        <v>-1</v>
      </c>
      <c r="N74" s="10">
        <f>2*(D79*I74)/(D79+I74)</f>
        <v>0.9565217391304347</v>
      </c>
      <c r="O74" s="1"/>
      <c r="P74" s="1"/>
      <c r="R74" s="16" t="s">
        <v>318</v>
      </c>
      <c r="S74" t="s">
        <v>63</v>
      </c>
      <c r="T74" s="57">
        <f>$AA73*T66/100</f>
        <v>152.27467849223945</v>
      </c>
      <c r="U74" s="57">
        <f>$AA73*U66/100</f>
        <v>1122.2551029473427</v>
      </c>
      <c r="V74" s="57">
        <f>$AA73*V66/100</f>
        <v>55793.748716972332</v>
      </c>
      <c r="W74" s="57">
        <f>$AA73*W66/100</f>
        <v>28033.976289062615</v>
      </c>
      <c r="X74" s="57">
        <f>$AA73*X66/100</f>
        <v>5302.3452125254726</v>
      </c>
      <c r="Z74" t="s">
        <v>36</v>
      </c>
      <c r="AA74" s="25">
        <f>SUM(T74:X74)</f>
        <v>90404.599999999991</v>
      </c>
      <c r="AC74" t="s">
        <v>165</v>
      </c>
      <c r="AD74" s="51"/>
      <c r="AE74" s="51"/>
      <c r="AH74" s="2"/>
      <c r="AI74" s="2"/>
    </row>
    <row r="75" spans="1:51" x14ac:dyDescent="0.3">
      <c r="A75" t="s">
        <v>5</v>
      </c>
      <c r="B75" s="13">
        <v>2</v>
      </c>
      <c r="C75" s="5">
        <v>0</v>
      </c>
      <c r="D75" s="1">
        <v>2</v>
      </c>
      <c r="E75" s="27">
        <v>733</v>
      </c>
      <c r="F75" s="1">
        <v>2</v>
      </c>
      <c r="G75" s="6">
        <v>0</v>
      </c>
      <c r="H75" s="1">
        <f>SUM(C75:G75)</f>
        <v>737</v>
      </c>
      <c r="I75" s="10">
        <f>E75/H75</f>
        <v>0.99457259158751699</v>
      </c>
      <c r="J75" s="11">
        <f>1-I75</f>
        <v>5.4274084124830146E-3</v>
      </c>
      <c r="K75">
        <f>H75-E78</f>
        <v>-2</v>
      </c>
      <c r="N75" s="10">
        <f>2*(E79*I75)/(E79+I75)</f>
        <v>0.99322493224932251</v>
      </c>
      <c r="O75" s="1"/>
      <c r="P75" s="1"/>
      <c r="R75" s="66"/>
      <c r="S75" s="66" t="s">
        <v>62</v>
      </c>
      <c r="T75" s="67">
        <f>$AA73*T67/100</f>
        <v>3.5054869506262478</v>
      </c>
      <c r="U75" s="67">
        <f>$AA73*U67/100</f>
        <v>110.53387103769352</v>
      </c>
      <c r="V75" s="67">
        <f>$AA73*V67/100</f>
        <v>170.5070951502031</v>
      </c>
      <c r="W75" s="67">
        <f>$AA73*W67/100</f>
        <v>226.2298165615185</v>
      </c>
      <c r="X75" s="67">
        <f>$AA73*X67/100</f>
        <v>151.74632195972231</v>
      </c>
      <c r="AA75" s="1"/>
      <c r="AC75" t="s">
        <v>166</v>
      </c>
      <c r="AD75" s="51"/>
      <c r="AE75" s="51"/>
    </row>
    <row r="76" spans="1:51" x14ac:dyDescent="0.3">
      <c r="A76" t="s">
        <v>6</v>
      </c>
      <c r="B76" s="13">
        <v>3</v>
      </c>
      <c r="C76" s="5">
        <v>0</v>
      </c>
      <c r="D76" s="1">
        <v>0</v>
      </c>
      <c r="E76" s="1">
        <v>3</v>
      </c>
      <c r="F76" s="27">
        <v>521</v>
      </c>
      <c r="G76" s="6">
        <v>10</v>
      </c>
      <c r="H76" s="1">
        <f>SUM(C76:G76)</f>
        <v>534</v>
      </c>
      <c r="I76" s="10">
        <f>F76/H76</f>
        <v>0.97565543071161054</v>
      </c>
      <c r="J76" s="11">
        <f>1-I76</f>
        <v>2.4344569288389462E-2</v>
      </c>
      <c r="K76">
        <f>H76-F78</f>
        <v>-75</v>
      </c>
      <c r="N76" s="10">
        <f>2*(F79*I76)/(F79+I76)</f>
        <v>0.91163604549431321</v>
      </c>
      <c r="O76" s="1"/>
      <c r="P76" s="1"/>
      <c r="R76" t="s">
        <v>94</v>
      </c>
      <c r="S76" t="s">
        <v>28</v>
      </c>
      <c r="T76" s="57">
        <f>C205</f>
        <v>0.14656996901947764</v>
      </c>
      <c r="U76" s="57">
        <f t="shared" ref="U76:X79" si="9">D205</f>
        <v>0.9851934352666577</v>
      </c>
      <c r="V76" s="57">
        <f t="shared" si="9"/>
        <v>62.282712374343369</v>
      </c>
      <c r="W76" s="57">
        <f t="shared" si="9"/>
        <v>30.635621259641187</v>
      </c>
      <c r="X76" s="57">
        <f t="shared" si="9"/>
        <v>5.9499029617293093</v>
      </c>
      <c r="AC76" t="s">
        <v>167</v>
      </c>
      <c r="AD76" s="51"/>
      <c r="AE76" s="51"/>
      <c r="AH76" s="78"/>
      <c r="AI76" s="78"/>
    </row>
    <row r="77" spans="1:51" x14ac:dyDescent="0.3">
      <c r="A77" t="s">
        <v>7</v>
      </c>
      <c r="B77" s="13">
        <v>4</v>
      </c>
      <c r="C77" s="7">
        <v>0</v>
      </c>
      <c r="D77" s="8">
        <v>1</v>
      </c>
      <c r="E77" s="8">
        <v>1</v>
      </c>
      <c r="F77" s="8">
        <v>39</v>
      </c>
      <c r="G77" s="28">
        <v>968</v>
      </c>
      <c r="H77" s="1">
        <f>SUM(C77:G77)</f>
        <v>1009</v>
      </c>
      <c r="I77" s="10">
        <f>G77/H77</f>
        <v>0.95936570862239845</v>
      </c>
      <c r="J77" s="11">
        <f>1-I77</f>
        <v>4.063429137760155E-2</v>
      </c>
      <c r="K77">
        <f>H77-G78</f>
        <v>31</v>
      </c>
      <c r="N77" s="10">
        <f>2*(G79*I77)/(G79+I77)</f>
        <v>0.97433316557624561</v>
      </c>
      <c r="O77" s="1"/>
      <c r="P77" s="1"/>
      <c r="S77" s="66" t="s">
        <v>39</v>
      </c>
      <c r="T77" s="67">
        <f>C206</f>
        <v>4.0141555758792446E-3</v>
      </c>
      <c r="U77" s="67">
        <f t="shared" si="9"/>
        <v>8.7640468573452188E-2</v>
      </c>
      <c r="V77" s="67">
        <f t="shared" si="9"/>
        <v>0.14728142392943741</v>
      </c>
      <c r="W77" s="67">
        <f t="shared" si="9"/>
        <v>0.23438805400006238</v>
      </c>
      <c r="X77" s="67">
        <f t="shared" si="9"/>
        <v>0.16615016413561295</v>
      </c>
      <c r="AC77" t="s">
        <v>168</v>
      </c>
      <c r="AD77" s="51"/>
      <c r="AE77" s="51"/>
    </row>
    <row r="78" spans="1:51" ht="15.6" x14ac:dyDescent="0.35">
      <c r="B78" s="1" t="s">
        <v>19</v>
      </c>
      <c r="C78" s="1">
        <f>SUM(C73:C77)</f>
        <v>404</v>
      </c>
      <c r="D78" s="1">
        <f>SUM(D73:D77)</f>
        <v>58</v>
      </c>
      <c r="E78" s="1">
        <f>SUM(E73:E77)</f>
        <v>739</v>
      </c>
      <c r="F78" s="1">
        <f>SUM(F73:F77)</f>
        <v>609</v>
      </c>
      <c r="G78" s="1">
        <f>SUM(G73:G77)</f>
        <v>978</v>
      </c>
      <c r="H78" s="1">
        <f>SUM(H72:H77)</f>
        <v>2788</v>
      </c>
      <c r="I78" s="13" t="s">
        <v>12</v>
      </c>
      <c r="N78" s="16"/>
      <c r="O78" s="1"/>
      <c r="P78" s="1"/>
      <c r="S78" s="70" t="s">
        <v>30</v>
      </c>
      <c r="T78" s="64">
        <f>C207</f>
        <v>100</v>
      </c>
      <c r="U78" s="64">
        <f t="shared" si="9"/>
        <v>87.687399685513114</v>
      </c>
      <c r="V78" s="64">
        <f t="shared" si="9"/>
        <v>99.725329489520817</v>
      </c>
      <c r="W78" s="64">
        <f t="shared" si="9"/>
        <v>98.514459129661475</v>
      </c>
      <c r="X78" s="64">
        <f t="shared" si="9"/>
        <v>92.226147962110062</v>
      </c>
      <c r="AC78" t="s">
        <v>169</v>
      </c>
      <c r="AD78" s="51"/>
      <c r="AE78" s="51"/>
      <c r="AH78" s="78"/>
      <c r="AI78" s="78"/>
    </row>
    <row r="79" spans="1:51" x14ac:dyDescent="0.3">
      <c r="A79" s="1" t="s">
        <v>316</v>
      </c>
      <c r="B79" s="1" t="s">
        <v>2</v>
      </c>
      <c r="C79" s="10">
        <f>C73/C78</f>
        <v>1</v>
      </c>
      <c r="D79" s="10">
        <f>D74/D78</f>
        <v>0.94827586206896552</v>
      </c>
      <c r="E79" s="10">
        <f>E75/E78</f>
        <v>0.99188092016238161</v>
      </c>
      <c r="F79" s="10">
        <f>F76/F78</f>
        <v>0.85550082101806235</v>
      </c>
      <c r="G79" s="10">
        <f>G77/G78</f>
        <v>0.9897750511247444</v>
      </c>
      <c r="H79" s="10"/>
      <c r="I79" s="14">
        <f>(C73+D74+E75+F76+G77)/H78</f>
        <v>0.96162123385939746</v>
      </c>
      <c r="S79" s="66" t="s">
        <v>39</v>
      </c>
      <c r="T79" s="67">
        <f>C208</f>
        <v>0</v>
      </c>
      <c r="U79" s="67">
        <f t="shared" si="9"/>
        <v>8.2962712456512726</v>
      </c>
      <c r="V79" s="67">
        <f t="shared" si="9"/>
        <v>0.13852686701777298</v>
      </c>
      <c r="W79" s="67">
        <f t="shared" si="9"/>
        <v>0.4148602594215603</v>
      </c>
      <c r="X79" s="67">
        <f t="shared" si="9"/>
        <v>2.5606372341465047</v>
      </c>
      <c r="AC79" t="s">
        <v>170</v>
      </c>
      <c r="AD79" s="51"/>
      <c r="AE79" s="51"/>
    </row>
    <row r="80" spans="1:51" x14ac:dyDescent="0.3">
      <c r="B80" s="1" t="s">
        <v>14</v>
      </c>
      <c r="C80" s="11">
        <f>1-C79</f>
        <v>0</v>
      </c>
      <c r="D80" s="11">
        <f>1-D79</f>
        <v>5.1724137931034475E-2</v>
      </c>
      <c r="E80" s="11">
        <f>1-E79</f>
        <v>8.1190798376183926E-3</v>
      </c>
      <c r="F80" s="11">
        <f>1-F79</f>
        <v>0.14449917898193765</v>
      </c>
      <c r="G80" s="11">
        <f>1-G79</f>
        <v>1.0224948875255602E-2</v>
      </c>
      <c r="S80" s="70" t="s">
        <v>31</v>
      </c>
      <c r="T80" s="64">
        <f>I200</f>
        <v>74.722838137472294</v>
      </c>
      <c r="U80" s="64">
        <f>I201</f>
        <v>92.982456140350862</v>
      </c>
      <c r="V80" s="64">
        <f>I202</f>
        <v>99.728629579375834</v>
      </c>
      <c r="W80" s="64">
        <f>I203</f>
        <v>97.752808988764045</v>
      </c>
      <c r="X80" s="64">
        <f>I204</f>
        <v>95.936570862239833</v>
      </c>
      <c r="AC80" t="s">
        <v>171</v>
      </c>
      <c r="AD80" s="51"/>
      <c r="AE80" s="51"/>
      <c r="AH80" s="78"/>
      <c r="AI80" s="78"/>
      <c r="AJ80" s="348" t="s">
        <v>383</v>
      </c>
      <c r="AK80" s="348"/>
      <c r="AL80" s="348"/>
      <c r="AM80" s="348"/>
      <c r="AN80" s="348"/>
      <c r="AO80" s="348"/>
      <c r="AP80" s="348"/>
      <c r="AQ80" s="348"/>
      <c r="AR80" s="348"/>
      <c r="AS80" s="348"/>
      <c r="AT80" s="348"/>
      <c r="AU80" s="348" t="s">
        <v>351</v>
      </c>
      <c r="AV80" s="348"/>
      <c r="AW80" s="348"/>
      <c r="AX80" s="348"/>
      <c r="AY80" s="348"/>
    </row>
    <row r="81" spans="1:51" x14ac:dyDescent="0.3">
      <c r="C81" s="2"/>
      <c r="S81" s="66" t="s">
        <v>39</v>
      </c>
      <c r="T81" s="67">
        <f>J200</f>
        <v>2.0487292942094326</v>
      </c>
      <c r="U81" s="67">
        <f>J201</f>
        <v>3.4134933513474306</v>
      </c>
      <c r="V81" s="67">
        <f>J202</f>
        <v>0.1917574617235713</v>
      </c>
      <c r="W81" s="67">
        <f>J203</f>
        <v>0.64197928239881541</v>
      </c>
      <c r="X81" s="67">
        <f>J204</f>
        <v>0.6218822693747722</v>
      </c>
      <c r="AC81" t="s">
        <v>172</v>
      </c>
      <c r="AD81" s="51"/>
      <c r="AE81" s="51"/>
      <c r="AJ81" t="s">
        <v>315</v>
      </c>
      <c r="AK81" t="s">
        <v>21</v>
      </c>
      <c r="AR81" s="1" t="s">
        <v>53</v>
      </c>
    </row>
    <row r="82" spans="1:51" ht="15.6" x14ac:dyDescent="0.35">
      <c r="A82" t="s">
        <v>317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51</v>
      </c>
      <c r="T82" s="65">
        <f>N189*100</f>
        <v>85.532994923857871</v>
      </c>
      <c r="U82" s="65">
        <f>N190*100</f>
        <v>93.805309734513273</v>
      </c>
      <c r="V82" s="65">
        <f>N191*100</f>
        <v>99.324324324324337</v>
      </c>
      <c r="W82" s="65">
        <f>N192*100</f>
        <v>86.280991735537171</v>
      </c>
      <c r="X82" s="65">
        <f>N193*100</f>
        <v>97.53148614609573</v>
      </c>
      <c r="Z82" s="46"/>
      <c r="AA82" s="46"/>
      <c r="AC82" t="s">
        <v>173</v>
      </c>
      <c r="AD82" s="51"/>
      <c r="AE82" s="51"/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51</v>
      </c>
    </row>
    <row r="83" spans="1:51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61</v>
      </c>
      <c r="S83" t="s">
        <v>9</v>
      </c>
      <c r="T83" s="30">
        <f>N200</f>
        <v>177.33</v>
      </c>
      <c r="U83" s="30">
        <f>N201</f>
        <v>839.94</v>
      </c>
      <c r="V83" s="30">
        <f>N202</f>
        <v>56304.58</v>
      </c>
      <c r="W83" s="30">
        <f>N203</f>
        <v>27911.81</v>
      </c>
      <c r="X83" s="30">
        <f>N204</f>
        <v>5170.95</v>
      </c>
      <c r="Z83" t="s">
        <v>36</v>
      </c>
      <c r="AA83" s="1">
        <f>N205</f>
        <v>90404.61</v>
      </c>
      <c r="AC83" t="s">
        <v>174</v>
      </c>
      <c r="AD83" s="51"/>
      <c r="AE83" s="51"/>
      <c r="AJ83" t="s">
        <v>3</v>
      </c>
      <c r="AK83" s="13">
        <v>0</v>
      </c>
      <c r="AL83" s="26">
        <v>363</v>
      </c>
      <c r="AM83" s="3">
        <v>0</v>
      </c>
      <c r="AN83" s="3">
        <v>0</v>
      </c>
      <c r="AO83" s="3">
        <v>88</v>
      </c>
      <c r="AP83" s="4">
        <v>0</v>
      </c>
      <c r="AQ83" s="1">
        <f>SUM(AL83:AP83)</f>
        <v>451</v>
      </c>
      <c r="AR83" s="10">
        <f>AL83/AQ83</f>
        <v>0.80487804878048785</v>
      </c>
      <c r="AS83" s="11">
        <f>1-AR83</f>
        <v>0.19512195121951215</v>
      </c>
      <c r="AT83">
        <f>AQ83-AL88</f>
        <v>88</v>
      </c>
      <c r="AW83" s="10">
        <f>2*(AL89*AR83)/(AL89+AR83)</f>
        <v>0.89189189189189189</v>
      </c>
    </row>
    <row r="84" spans="1:51" ht="15.6" x14ac:dyDescent="0.35">
      <c r="A84" t="s">
        <v>3</v>
      </c>
      <c r="B84" s="13">
        <v>0</v>
      </c>
      <c r="C84" s="29">
        <f>(C73/$L84)*$O84</f>
        <v>0.20942910969339879</v>
      </c>
      <c r="D84" s="31">
        <f>(D73/$L84)*$O84</f>
        <v>0</v>
      </c>
      <c r="E84" s="31">
        <f>(E73/$L84)*$O84</f>
        <v>5.1838888537969995E-4</v>
      </c>
      <c r="F84" s="31">
        <f>(F73/$L84)*$O84</f>
        <v>2.3845888727466198E-2</v>
      </c>
      <c r="G84" s="32">
        <f>(G73/$L84)*$O84</f>
        <v>0</v>
      </c>
      <c r="H84" s="17">
        <f>SUM(C84:G84)</f>
        <v>0.23379338730624469</v>
      </c>
      <c r="I84" s="17">
        <f>C84/H84*100</f>
        <v>89.578713968957871</v>
      </c>
      <c r="J84" s="17">
        <f>SQRT(I84*(100-I84)/(L84-1))</f>
        <v>1.4403127751085634</v>
      </c>
      <c r="K84" s="18">
        <f>100-I84</f>
        <v>10.421286031042129</v>
      </c>
      <c r="L84" s="1">
        <f>H73</f>
        <v>451</v>
      </c>
      <c r="M84">
        <v>0</v>
      </c>
      <c r="N84" s="1">
        <v>211.36</v>
      </c>
      <c r="O84" s="17">
        <f>N84/N89*100</f>
        <v>0.23379338730624469</v>
      </c>
      <c r="P84" s="52">
        <f>((O84*O84*(I84/100)*(K84/100))/(L84-1))</f>
        <v>1.1339086597291388E-5</v>
      </c>
      <c r="R84" s="16" t="s">
        <v>318</v>
      </c>
      <c r="S84" t="s">
        <v>63</v>
      </c>
      <c r="T84" s="57">
        <f>$AA83*T76/100</f>
        <v>132.5060088691796</v>
      </c>
      <c r="U84" s="57">
        <f>$AA83*U76/100</f>
        <v>890.66028289842438</v>
      </c>
      <c r="V84" s="57">
        <f>$AA83*V76/100</f>
        <v>56306.443219446868</v>
      </c>
      <c r="W84" s="57">
        <f>$AA83*W76/100</f>
        <v>27696.013920855705</v>
      </c>
      <c r="X84" s="57">
        <f>$AA83*X76/100</f>
        <v>5378.9865679298318</v>
      </c>
      <c r="Z84" t="s">
        <v>36</v>
      </c>
      <c r="AA84" s="25">
        <f>SUM(T84:X84)</f>
        <v>90404.610000000015</v>
      </c>
      <c r="AC84" t="s">
        <v>175</v>
      </c>
      <c r="AD84" s="51"/>
      <c r="AE84" s="51"/>
      <c r="AH84" s="78"/>
      <c r="AI84" s="78"/>
      <c r="AJ84" t="s">
        <v>4</v>
      </c>
      <c r="AK84" s="13">
        <v>1</v>
      </c>
      <c r="AL84" s="5">
        <v>0</v>
      </c>
      <c r="AM84" s="27">
        <v>55</v>
      </c>
      <c r="AN84" s="1">
        <v>1</v>
      </c>
      <c r="AO84" s="1">
        <v>1</v>
      </c>
      <c r="AP84" s="6">
        <v>0</v>
      </c>
      <c r="AQ84" s="1">
        <f>SUM(AL84:AP84)</f>
        <v>57</v>
      </c>
      <c r="AR84" s="10">
        <f>AM84/AQ84</f>
        <v>0.96491228070175439</v>
      </c>
      <c r="AS84" s="11">
        <f>1-AR84</f>
        <v>3.5087719298245612E-2</v>
      </c>
      <c r="AT84">
        <f>AQ84-AM88</f>
        <v>0</v>
      </c>
      <c r="AW84" s="10">
        <f>2*(AM89*AR84)/(AM89+AR84)</f>
        <v>0.96491228070175439</v>
      </c>
    </row>
    <row r="85" spans="1:51" x14ac:dyDescent="0.3">
      <c r="A85" t="s">
        <v>4</v>
      </c>
      <c r="B85" s="13">
        <v>1</v>
      </c>
      <c r="C85" s="33">
        <f t="shared" ref="C85:G88" si="10">(C74/$L85)*$O85</f>
        <v>0</v>
      </c>
      <c r="D85" s="34">
        <f t="shared" si="10"/>
        <v>1.0114945679188767</v>
      </c>
      <c r="E85" s="19">
        <f t="shared" si="10"/>
        <v>1.8390810325797761E-2</v>
      </c>
      <c r="F85" s="18">
        <f t="shared" si="10"/>
        <v>1.8390810325797761E-2</v>
      </c>
      <c r="G85" s="20">
        <f t="shared" si="10"/>
        <v>0</v>
      </c>
      <c r="H85" s="17">
        <f>SUM(C85:G85)</f>
        <v>1.0482761885704721</v>
      </c>
      <c r="I85" s="17">
        <f>D85/H85*100</f>
        <v>96.491228070175453</v>
      </c>
      <c r="J85" s="17">
        <f>SQRT(I85*(100-I85)/(L85-1))</f>
        <v>2.4588241692166095</v>
      </c>
      <c r="K85" s="18">
        <f>100-I85</f>
        <v>3.5087719298245474</v>
      </c>
      <c r="L85" s="1">
        <f>H74</f>
        <v>57</v>
      </c>
      <c r="M85">
        <v>1</v>
      </c>
      <c r="N85" s="1">
        <v>947.69</v>
      </c>
      <c r="O85" s="17">
        <f>N85/N89*100</f>
        <v>1.0482761885704723</v>
      </c>
      <c r="P85" s="52">
        <f>((O85*O85*(I85/100)*(K85/100))/(L85-1))</f>
        <v>6.6436445514895539E-4</v>
      </c>
      <c r="R85" s="66"/>
      <c r="S85" s="66" t="s">
        <v>62</v>
      </c>
      <c r="T85" s="67">
        <f>$AA83*T77/100</f>
        <v>3.6289816931668848</v>
      </c>
      <c r="U85" s="67">
        <f>$AA83*U77/100</f>
        <v>79.231023816002022</v>
      </c>
      <c r="V85" s="67">
        <f>$AA83*V77/100</f>
        <v>133.14919690585458</v>
      </c>
      <c r="W85" s="67">
        <f>$AA83*W77/100</f>
        <v>211.8976061053458</v>
      </c>
      <c r="X85" s="67">
        <f>$AA83*X77/100</f>
        <v>150.20740790116076</v>
      </c>
      <c r="AA85" s="1"/>
      <c r="AC85" t="s">
        <v>176</v>
      </c>
      <c r="AD85" s="51"/>
      <c r="AE85" s="51"/>
      <c r="AJ85" t="s">
        <v>5</v>
      </c>
      <c r="AK85" s="13">
        <v>2</v>
      </c>
      <c r="AL85" s="5">
        <v>0</v>
      </c>
      <c r="AM85" s="1">
        <v>0</v>
      </c>
      <c r="AN85" s="27">
        <v>735</v>
      </c>
      <c r="AO85" s="1">
        <v>2</v>
      </c>
      <c r="AP85" s="6">
        <v>0</v>
      </c>
      <c r="AQ85" s="1">
        <f>SUM(AL85:AP85)</f>
        <v>737</v>
      </c>
      <c r="AR85" s="10">
        <f>AN85/AQ85</f>
        <v>0.99728629579375849</v>
      </c>
      <c r="AS85" s="11">
        <f>1-AR85</f>
        <v>2.7137042062415073E-3</v>
      </c>
      <c r="AT85">
        <f>AQ85-AN88</f>
        <v>-3</v>
      </c>
      <c r="AW85" s="10">
        <f>2*(AN89*AR85)/(AN89+AR85)</f>
        <v>0.99526066350710907</v>
      </c>
    </row>
    <row r="86" spans="1:51" x14ac:dyDescent="0.3">
      <c r="A86" t="s">
        <v>5</v>
      </c>
      <c r="B86" s="13">
        <v>2</v>
      </c>
      <c r="C86" s="33">
        <f t="shared" si="10"/>
        <v>0</v>
      </c>
      <c r="D86" s="19">
        <f t="shared" si="10"/>
        <v>0.16777482218779463</v>
      </c>
      <c r="E86" s="34">
        <f t="shared" si="10"/>
        <v>61.489472331826732</v>
      </c>
      <c r="F86" s="19">
        <f t="shared" si="10"/>
        <v>0.16777482218779463</v>
      </c>
      <c r="G86" s="20">
        <f t="shared" si="10"/>
        <v>0</v>
      </c>
      <c r="H86" s="17">
        <f>SUM(C86:G86)</f>
        <v>61.825021976202322</v>
      </c>
      <c r="I86" s="17">
        <f>E86/H86*100</f>
        <v>99.457259158751697</v>
      </c>
      <c r="J86" s="17">
        <f>SQRT(I86*(100-I86)/(L86-1))</f>
        <v>0.27081679117169194</v>
      </c>
      <c r="K86" s="18">
        <f>100-I86</f>
        <v>0.54274084124830324</v>
      </c>
      <c r="L86" s="1">
        <f>H75</f>
        <v>737</v>
      </c>
      <c r="M86">
        <v>2</v>
      </c>
      <c r="N86" s="1">
        <v>55892.67</v>
      </c>
      <c r="O86" s="17">
        <f>N86/N89*100</f>
        <v>61.825021976202322</v>
      </c>
      <c r="P86" s="52">
        <f>((O86*O86*(I86/100)*(K86/100))/(L86-1))</f>
        <v>2.8033655670906342E-2</v>
      </c>
      <c r="R86" t="s">
        <v>95</v>
      </c>
      <c r="S86" s="70" t="s">
        <v>28</v>
      </c>
      <c r="T86" s="64">
        <f>C234</f>
        <v>0.16739475128766579</v>
      </c>
      <c r="U86" s="64">
        <f t="shared" ref="U86:X89" si="11">D234</f>
        <v>1.0752125410053592</v>
      </c>
      <c r="V86" s="64">
        <f t="shared" si="11"/>
        <v>61.897448317871266</v>
      </c>
      <c r="W86" s="64">
        <f t="shared" si="11"/>
        <v>31.107455991220363</v>
      </c>
      <c r="X86" s="64">
        <f t="shared" si="11"/>
        <v>5.7524883986153483</v>
      </c>
      <c r="AA86" s="12"/>
      <c r="AC86" t="s">
        <v>177</v>
      </c>
      <c r="AD86" s="51"/>
      <c r="AE86" s="51"/>
      <c r="AH86" s="78"/>
      <c r="AI86" s="78"/>
      <c r="AJ86" t="s">
        <v>6</v>
      </c>
      <c r="AK86" s="13">
        <v>3</v>
      </c>
      <c r="AL86" s="5">
        <v>0</v>
      </c>
      <c r="AM86" s="1">
        <v>2</v>
      </c>
      <c r="AN86" s="1">
        <v>3</v>
      </c>
      <c r="AO86" s="27">
        <v>522</v>
      </c>
      <c r="AP86" s="6">
        <v>7</v>
      </c>
      <c r="AQ86" s="1">
        <f>SUM(AL86:AP86)</f>
        <v>534</v>
      </c>
      <c r="AR86" s="10">
        <f>AO86/AQ86</f>
        <v>0.97752808988764039</v>
      </c>
      <c r="AS86" s="11">
        <f>1-AR86</f>
        <v>2.2471910112359605E-2</v>
      </c>
      <c r="AT86">
        <f>AQ86-AO88</f>
        <v>-119</v>
      </c>
      <c r="AW86" s="10">
        <f>2*(AO89*AR86)/(AO89+AR86)</f>
        <v>0.87952822240943551</v>
      </c>
    </row>
    <row r="87" spans="1:51" x14ac:dyDescent="0.3">
      <c r="A87" t="s">
        <v>6</v>
      </c>
      <c r="B87" s="13">
        <v>3</v>
      </c>
      <c r="C87" s="33">
        <f t="shared" si="10"/>
        <v>0</v>
      </c>
      <c r="D87" s="19">
        <f t="shared" si="10"/>
        <v>0</v>
      </c>
      <c r="E87" s="19">
        <f t="shared" si="10"/>
        <v>0.17535144116749568</v>
      </c>
      <c r="F87" s="34">
        <f t="shared" si="10"/>
        <v>30.452700282755085</v>
      </c>
      <c r="G87" s="20">
        <f t="shared" si="10"/>
        <v>0.58450480389165227</v>
      </c>
      <c r="H87" s="17">
        <f>SUM(C87:G87)</f>
        <v>31.212556527814233</v>
      </c>
      <c r="I87" s="17">
        <f>F87/H87*100</f>
        <v>97.565543071161059</v>
      </c>
      <c r="J87" s="17">
        <f>SQRT(I87*(100-I87)/(L87-1))</f>
        <v>0.66755288362093324</v>
      </c>
      <c r="K87" s="18">
        <f>100-I87</f>
        <v>2.4344569288389408</v>
      </c>
      <c r="L87" s="1">
        <f>H76</f>
        <v>534</v>
      </c>
      <c r="M87">
        <v>3</v>
      </c>
      <c r="N87" s="1">
        <v>28217.59</v>
      </c>
      <c r="O87" s="17">
        <f>N87/N89*100</f>
        <v>31.212556527814233</v>
      </c>
      <c r="P87" s="52">
        <f>((O87*O87*(I87/100)*(K87/100))/(L87-1))</f>
        <v>4.3414023431080369E-2</v>
      </c>
      <c r="S87" s="66" t="s">
        <v>39</v>
      </c>
      <c r="T87" s="67">
        <f>C235</f>
        <v>3.7710316411442148E-3</v>
      </c>
      <c r="U87" s="67">
        <f t="shared" si="11"/>
        <v>9.1942486573332344E-2</v>
      </c>
      <c r="V87" s="67">
        <f t="shared" si="11"/>
        <v>0.14833798435938628</v>
      </c>
      <c r="W87" s="67">
        <f t="shared" si="11"/>
        <v>0.22211268227288758</v>
      </c>
      <c r="X87" s="67">
        <f t="shared" si="11"/>
        <v>0.14831970099188044</v>
      </c>
      <c r="AC87" t="s">
        <v>178</v>
      </c>
      <c r="AD87" s="51"/>
      <c r="AE87" s="51"/>
      <c r="AJ87" t="s">
        <v>7</v>
      </c>
      <c r="AK87" s="13">
        <v>4</v>
      </c>
      <c r="AL87" s="7">
        <v>0</v>
      </c>
      <c r="AM87" s="8">
        <v>0</v>
      </c>
      <c r="AN87" s="8">
        <v>1</v>
      </c>
      <c r="AO87" s="8">
        <v>40</v>
      </c>
      <c r="AP87" s="28">
        <v>968</v>
      </c>
      <c r="AQ87" s="1">
        <f>SUM(AL87:AP87)</f>
        <v>1009</v>
      </c>
      <c r="AR87" s="10">
        <f>AP87/AQ87</f>
        <v>0.95936570862239845</v>
      </c>
      <c r="AS87" s="11">
        <f>1-AR87</f>
        <v>4.063429137760155E-2</v>
      </c>
      <c r="AT87">
        <f>AQ87-AP88</f>
        <v>34</v>
      </c>
      <c r="AW87" s="10">
        <f>2*(AP89*AR87)/(AP89+AR87)</f>
        <v>0.97580645161290325</v>
      </c>
    </row>
    <row r="88" spans="1:51" ht="15.6" x14ac:dyDescent="0.35">
      <c r="A88" t="s">
        <v>7</v>
      </c>
      <c r="B88" s="13">
        <v>4</v>
      </c>
      <c r="C88" s="35">
        <f t="shared" si="10"/>
        <v>0</v>
      </c>
      <c r="D88" s="36">
        <f t="shared" si="10"/>
        <v>5.6296847572911094E-3</v>
      </c>
      <c r="E88" s="21">
        <f t="shared" si="10"/>
        <v>5.6296847572911094E-3</v>
      </c>
      <c r="F88" s="21">
        <f t="shared" si="10"/>
        <v>0.21955770553435328</v>
      </c>
      <c r="G88" s="37">
        <f t="shared" si="10"/>
        <v>5.4495348450577943</v>
      </c>
      <c r="H88" s="17">
        <f>SUM(C88:G88)</f>
        <v>5.6803519201067294</v>
      </c>
      <c r="I88" s="17">
        <f>G88/H88*100</f>
        <v>95.936570862239847</v>
      </c>
      <c r="J88" s="17">
        <f>SQRT(I88*(100-I88)/(L88-1))</f>
        <v>0.62188226937477109</v>
      </c>
      <c r="K88" s="18">
        <f>100-I88</f>
        <v>4.0634291377601528</v>
      </c>
      <c r="L88" s="1">
        <f>H77</f>
        <v>1009</v>
      </c>
      <c r="M88">
        <v>4</v>
      </c>
      <c r="N88" s="1">
        <v>5135.3</v>
      </c>
      <c r="O88" s="17">
        <f>N88/N89*100</f>
        <v>5.6803519201067294</v>
      </c>
      <c r="P88" s="52">
        <f>((O88*O88*(I88/100)*(K88/100))/(L88-1))</f>
        <v>1.2478627909856073E-3</v>
      </c>
      <c r="S88" t="s">
        <v>30</v>
      </c>
      <c r="T88" s="57">
        <f>C236</f>
        <v>100</v>
      </c>
      <c r="U88" s="57">
        <f t="shared" si="11"/>
        <v>88.536234499060413</v>
      </c>
      <c r="V88" s="57">
        <f t="shared" si="11"/>
        <v>99.492511787550541</v>
      </c>
      <c r="W88" s="57">
        <f t="shared" si="11"/>
        <v>98.699192476443088</v>
      </c>
      <c r="X88" s="57">
        <f t="shared" si="11"/>
        <v>93.865162116726125</v>
      </c>
      <c r="AC88" t="s">
        <v>179</v>
      </c>
      <c r="AD88" s="51"/>
      <c r="AE88" s="51"/>
      <c r="AH88" s="78"/>
      <c r="AI88" s="78"/>
      <c r="AK88" s="1" t="s">
        <v>19</v>
      </c>
      <c r="AL88" s="1">
        <f>SUM(AL83:AL87)</f>
        <v>363</v>
      </c>
      <c r="AM88" s="1">
        <f>SUM(AM83:AM87)</f>
        <v>57</v>
      </c>
      <c r="AN88" s="1">
        <f>SUM(AN83:AN87)</f>
        <v>740</v>
      </c>
      <c r="AO88" s="1">
        <f>SUM(AO83:AO87)</f>
        <v>653</v>
      </c>
      <c r="AP88" s="1">
        <f>SUM(AP83:AP87)</f>
        <v>975</v>
      </c>
      <c r="AQ88" s="1">
        <f>SUM(AQ82:AQ87)</f>
        <v>2788</v>
      </c>
      <c r="AR88" s="13" t="s">
        <v>12</v>
      </c>
    </row>
    <row r="89" spans="1:51" x14ac:dyDescent="0.3">
      <c r="B89" t="s">
        <v>28</v>
      </c>
      <c r="C89" s="17">
        <f>SUM(C84:C88)</f>
        <v>0.20942910969339879</v>
      </c>
      <c r="D89" s="17">
        <f>SUM(D84:D88)</f>
        <v>1.1848990748639625</v>
      </c>
      <c r="E89" s="17">
        <f>SUM(E84:E88)</f>
        <v>61.689362656962693</v>
      </c>
      <c r="F89" s="17">
        <f>SUM(F84:F88)</f>
        <v>30.882269509530495</v>
      </c>
      <c r="G89" s="17">
        <f>SUM(G84:G88)</f>
        <v>6.034039648949447</v>
      </c>
      <c r="H89" s="1">
        <f>SUM(H83:H88)</f>
        <v>100</v>
      </c>
      <c r="I89" s="13" t="s">
        <v>24</v>
      </c>
      <c r="J89" s="12" t="s">
        <v>29</v>
      </c>
      <c r="N89" s="1">
        <f>SUM(N84:N88)</f>
        <v>90404.61</v>
      </c>
      <c r="O89" s="17">
        <f>SUM(O84:O88)</f>
        <v>100</v>
      </c>
      <c r="S89" s="66" t="s">
        <v>39</v>
      </c>
      <c r="T89" s="67">
        <f>C237</f>
        <v>0</v>
      </c>
      <c r="U89" s="67">
        <f t="shared" si="11"/>
        <v>8.0453670520645115</v>
      </c>
      <c r="V89" s="67">
        <f t="shared" si="11"/>
        <v>0.19737878301385478</v>
      </c>
      <c r="W89" s="67">
        <f t="shared" si="11"/>
        <v>0.30885678940132399</v>
      </c>
      <c r="X89" s="67">
        <f t="shared" si="11"/>
        <v>2.3754451188544268</v>
      </c>
      <c r="AC89" t="s">
        <v>180</v>
      </c>
      <c r="AD89" s="51"/>
      <c r="AE89" s="51"/>
      <c r="AJ89" s="1" t="s">
        <v>316</v>
      </c>
      <c r="AK89" s="1" t="s">
        <v>2</v>
      </c>
      <c r="AL89" s="10">
        <f>AL83/AL88</f>
        <v>1</v>
      </c>
      <c r="AM89" s="10">
        <f>AM84/AM88</f>
        <v>0.96491228070175439</v>
      </c>
      <c r="AN89" s="10">
        <f>AN85/AN88</f>
        <v>0.9932432432432432</v>
      </c>
      <c r="AO89" s="10">
        <f>AO86/AO88</f>
        <v>0.79938744257274119</v>
      </c>
      <c r="AP89" s="10">
        <f>AP87/AP88</f>
        <v>0.99282051282051287</v>
      </c>
      <c r="AQ89" s="10"/>
      <c r="AR89" s="14">
        <f>(AL83+AM84+AN85+AO86+AP87)/AQ88</f>
        <v>0.94799139167862267</v>
      </c>
    </row>
    <row r="90" spans="1:51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3.3636207423557792E-3</v>
      </c>
      <c r="D90" s="18">
        <f>SQRT(SUM((O84*O84*(D84/O84)*(1-D84/O84))/L84,(O85*O85*(D85/O85)*(1-D85/O85))/L85,(O86*O86*(D86/O86)*(1-D86/O86))/L86,(O87*O87*(D87/O87)*(1-D87/O87))/L87,(O88*O88*(D88/O88)*(1-D88/O88))/L88))</f>
        <v>0.12132754491377123</v>
      </c>
      <c r="E90" s="18">
        <f>SQRT(SUM((O84*O84*(E84/O84)*(1-E84/O84))/L84,(O85*O85*(E85/O85)*(1-E85/O85))/L85,(O86*O86*(E86/O86)*(1-E86/O86))/L86,(O87*O87*(E87/O87)*(1-E87/O87))/L87,(O88*O88*(E88/O88)*(1-E88/O88))/L88))</f>
        <v>0.19634569415535544</v>
      </c>
      <c r="F90" s="18">
        <f>SQRT(SUM((O84*O84*(F84/O84)*(1-F84/O84))/L84,(O85*O85*(F85/O85)*(1-F85/O85))/L85,(O86*O86*(F86/O86)*(1-F86/O86))/L86,(O87*O87*(F87/O87)*(1-F87/O87))/L87,(O88*O88*(F88/O88)*(1-F88/O88))/L88))</f>
        <v>0.24269400470340322</v>
      </c>
      <c r="G90" s="18">
        <f>SQRT(SUM((O84*O84*(G84/O84)*(1-G84/O84))/L84,(O85*O85*(G85/O85)*(1-G85/O85))/L85,(O86*O86*(G86/O86)*(1-G86/O86))/L86,(O87*O87*(G87/O87)*(1-G87/O87))/L87,(O88*O88*(G88/O88)*(1-G88/O88))/L88))</f>
        <v>0.18647097996882758</v>
      </c>
      <c r="H90" s="1"/>
      <c r="I90" s="14">
        <f>(C84+D85+E86+F87+G88)/H89</f>
        <v>0.98612631137251894</v>
      </c>
      <c r="J90" s="53">
        <f>SQRT(SUM(P84:P88))/100</f>
        <v>2.7087127096596746E-3</v>
      </c>
      <c r="M90" s="1"/>
      <c r="N90" s="9"/>
      <c r="S90" t="s">
        <v>31</v>
      </c>
      <c r="T90" s="57">
        <f>I229</f>
        <v>81.374722838137473</v>
      </c>
      <c r="U90" s="57">
        <f>I230</f>
        <v>91.228070175438589</v>
      </c>
      <c r="V90" s="57">
        <f>I231</f>
        <v>99.864314789687924</v>
      </c>
      <c r="W90" s="57">
        <f>I232</f>
        <v>97.752808988764045</v>
      </c>
      <c r="X90" s="57">
        <f>I233</f>
        <v>95.143706640237852</v>
      </c>
      <c r="AC90" t="s">
        <v>181</v>
      </c>
      <c r="AD90" s="51"/>
      <c r="AE90" s="51"/>
      <c r="AH90" s="78"/>
      <c r="AI90" s="78"/>
      <c r="AK90" s="1" t="s">
        <v>14</v>
      </c>
      <c r="AL90" s="11">
        <f>1-AL89</f>
        <v>0</v>
      </c>
      <c r="AM90" s="11">
        <f>1-AM89</f>
        <v>3.5087719298245612E-2</v>
      </c>
      <c r="AN90" s="11">
        <f>1-AN89</f>
        <v>6.7567567567567988E-3</v>
      </c>
      <c r="AO90" s="11">
        <f>1-AO89</f>
        <v>0.20061255742725881</v>
      </c>
      <c r="AP90" s="11">
        <f>1-AP89</f>
        <v>7.1794871794871318E-3</v>
      </c>
    </row>
    <row r="91" spans="1:51" x14ac:dyDescent="0.3">
      <c r="B91" s="1" t="s">
        <v>30</v>
      </c>
      <c r="C91" s="17">
        <f>C84/C89*100</f>
        <v>100</v>
      </c>
      <c r="D91" s="17">
        <f>D85/D89*100</f>
        <v>85.365461867290747</v>
      </c>
      <c r="E91" s="17">
        <f>E86/E89*100</f>
        <v>99.675972782783489</v>
      </c>
      <c r="F91" s="17">
        <f>F87/F89*100</f>
        <v>98.60901017445353</v>
      </c>
      <c r="G91" s="17">
        <f>G88/G89*100</f>
        <v>90.313209095445416</v>
      </c>
      <c r="H91" s="1"/>
      <c r="S91" s="66" t="s">
        <v>39</v>
      </c>
      <c r="T91" s="67">
        <f>J229</f>
        <v>1.8352273651633921</v>
      </c>
      <c r="U91" s="67">
        <f>J230</f>
        <v>3.7802263481198901</v>
      </c>
      <c r="V91" s="67">
        <f>J231</f>
        <v>0.13568521031207589</v>
      </c>
      <c r="W91" s="67">
        <f>J232</f>
        <v>0.64197928239881541</v>
      </c>
      <c r="X91" s="67">
        <f>J233</f>
        <v>0.67703672057876485</v>
      </c>
      <c r="AC91" t="s">
        <v>182</v>
      </c>
      <c r="AD91" s="51"/>
      <c r="AE91" s="51"/>
      <c r="AL91" s="2"/>
    </row>
    <row r="92" spans="1:51" ht="15.6" x14ac:dyDescent="0.35">
      <c r="B92" s="16" t="s">
        <v>39</v>
      </c>
      <c r="C92" s="18">
        <f>SQRT((C95+C96)/(C89*C89))</f>
        <v>0</v>
      </c>
      <c r="D92" s="18">
        <f>SQRT((D95+D96)/(D89*D89))</f>
        <v>9.1241755072127333</v>
      </c>
      <c r="E92" s="18">
        <f>SQRT((E95+E96)/(E89*E89))</f>
        <v>0.16643809993464739</v>
      </c>
      <c r="F92" s="18">
        <f>SQRT((F95+F96)/(F89*F89))</f>
        <v>0.40963052748613815</v>
      </c>
      <c r="G92" s="18">
        <f>SQRT((G95+G96)/(G89*G89))</f>
        <v>2.8010537810309875</v>
      </c>
      <c r="H92" s="1"/>
      <c r="S92" s="66" t="s">
        <v>51</v>
      </c>
      <c r="T92" s="67">
        <f>N218*100</f>
        <v>89.731051344743278</v>
      </c>
      <c r="U92" s="67">
        <f>N219*100</f>
        <v>92.857142857142847</v>
      </c>
      <c r="V92" s="67">
        <f>N220*100</f>
        <v>99.32523616734143</v>
      </c>
      <c r="W92" s="67">
        <f>N221*100</f>
        <v>87.804878048780495</v>
      </c>
      <c r="X92" s="67">
        <f>N222*100</f>
        <v>97.215189873417714</v>
      </c>
      <c r="AC92" t="s">
        <v>183</v>
      </c>
      <c r="AD92" s="51"/>
      <c r="AE92" s="51"/>
      <c r="AH92" s="78"/>
      <c r="AI92" s="78"/>
      <c r="AJ92" t="s">
        <v>317</v>
      </c>
      <c r="AK92" s="15" t="s">
        <v>23</v>
      </c>
      <c r="AW92" s="12" t="s">
        <v>17</v>
      </c>
      <c r="AX92" s="1" t="s">
        <v>27</v>
      </c>
      <c r="AY92" s="1" t="s">
        <v>33</v>
      </c>
    </row>
    <row r="93" spans="1:51" ht="15.6" x14ac:dyDescent="0.35">
      <c r="B93" s="1" t="s">
        <v>37</v>
      </c>
      <c r="C93" s="18">
        <f>100-C91</f>
        <v>0</v>
      </c>
      <c r="D93" s="18">
        <f>100-D91</f>
        <v>14.634538132709253</v>
      </c>
      <c r="E93" s="18">
        <f>100-E91</f>
        <v>0.32402721721651062</v>
      </c>
      <c r="F93" s="18">
        <f>100-F91</f>
        <v>1.3909898255464697</v>
      </c>
      <c r="G93" s="18">
        <f>100-G91</f>
        <v>9.6867909045545844</v>
      </c>
      <c r="R93" s="16" t="s">
        <v>61</v>
      </c>
      <c r="S93" t="s">
        <v>9</v>
      </c>
      <c r="T93" s="30">
        <f>N229</f>
        <v>185.97</v>
      </c>
      <c r="U93" s="30">
        <f>N230</f>
        <v>943.36</v>
      </c>
      <c r="V93" s="30">
        <f>N231</f>
        <v>55749.81</v>
      </c>
      <c r="W93" s="30">
        <f>N232</f>
        <v>28394.84</v>
      </c>
      <c r="X93" s="30">
        <f>N233</f>
        <v>5130.63</v>
      </c>
      <c r="Z93" t="s">
        <v>36</v>
      </c>
      <c r="AA93" s="1">
        <f>N234</f>
        <v>90404.61</v>
      </c>
      <c r="AC93" t="s">
        <v>184</v>
      </c>
      <c r="AD93" s="51"/>
      <c r="AE93" s="51"/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</row>
    <row r="94" spans="1:51" ht="15.6" x14ac:dyDescent="0.35">
      <c r="B94" s="1" t="s">
        <v>25</v>
      </c>
      <c r="C94" s="1">
        <f>C78</f>
        <v>404</v>
      </c>
      <c r="D94" s="1">
        <f>D78</f>
        <v>58</v>
      </c>
      <c r="E94" s="1">
        <f>E78</f>
        <v>739</v>
      </c>
      <c r="F94" s="1">
        <f>F78</f>
        <v>609</v>
      </c>
      <c r="G94" s="1">
        <f>G78</f>
        <v>978</v>
      </c>
      <c r="R94" s="16" t="s">
        <v>318</v>
      </c>
      <c r="S94" t="s">
        <v>63</v>
      </c>
      <c r="T94" s="57">
        <f>$AA93*T86/100</f>
        <v>151.33257206208424</v>
      </c>
      <c r="U94" s="57">
        <f>$AA93*U86/100</f>
        <v>972.04170436698507</v>
      </c>
      <c r="V94" s="57">
        <f>$AA93*V86/100</f>
        <v>55958.146751723078</v>
      </c>
      <c r="W94" s="57">
        <f>$AA93*W86/100</f>
        <v>28122.574269784403</v>
      </c>
      <c r="X94" s="57">
        <f>$AA93*X86/100</f>
        <v>5200.5147020634504</v>
      </c>
      <c r="Z94" t="s">
        <v>36</v>
      </c>
      <c r="AA94" s="25">
        <f>SUM(T94:X94)</f>
        <v>90404.61</v>
      </c>
      <c r="AC94" t="s">
        <v>185</v>
      </c>
      <c r="AD94" s="51"/>
      <c r="AE94" s="51"/>
      <c r="AH94" s="78"/>
      <c r="AI94" s="78"/>
      <c r="AJ94" t="s">
        <v>3</v>
      </c>
      <c r="AK94" s="13">
        <v>0</v>
      </c>
      <c r="AL94" s="29">
        <f>(AL83/$AU94)*$AX94</f>
        <v>0.16180428916773809</v>
      </c>
      <c r="AM94" s="31">
        <f t="shared" ref="AM94:AO95" si="12">(AM83/$AU94)*$AX94</f>
        <v>0</v>
      </c>
      <c r="AN94" s="31">
        <f t="shared" si="12"/>
        <v>0</v>
      </c>
      <c r="AO94" s="31">
        <f t="shared" si="12"/>
        <v>3.9225282222481964E-2</v>
      </c>
      <c r="AP94" s="32">
        <f>(AP83/$AU94)*$AX94</f>
        <v>0</v>
      </c>
      <c r="AQ94" s="17">
        <f>SUM(AL94:AP94)</f>
        <v>0.20102957139022004</v>
      </c>
      <c r="AR94" s="17">
        <f>AL94/AQ94*100</f>
        <v>80.487804878048792</v>
      </c>
      <c r="AS94" s="17">
        <f>SQRT(AR94*(100-AR94)/(AU94-1))</f>
        <v>1.8681504541587082</v>
      </c>
      <c r="AT94" s="18">
        <f>100-AR94</f>
        <v>19.512195121951208</v>
      </c>
      <c r="AU94" s="1">
        <f>AQ83</f>
        <v>451</v>
      </c>
      <c r="AV94">
        <v>0</v>
      </c>
      <c r="AW94" s="1">
        <v>181.74</v>
      </c>
      <c r="AX94" s="17">
        <f>AW94/AW99*100</f>
        <v>0.20102957139022004</v>
      </c>
      <c r="AY94" s="52">
        <f>((AX94*AX94*(AR94/100)*(AT94/100))/(AU94-1))</f>
        <v>1.4104042016472454E-5</v>
      </c>
    </row>
    <row r="95" spans="1:51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14.228674027375925</v>
      </c>
      <c r="E95" s="18">
        <f>(O86*O86*(100-E91)*(100-E91)*(I86)*(100-I86))/((L86-1)*100)</f>
        <v>0.29433554812289831</v>
      </c>
      <c r="F95" s="18">
        <f>(O87*O87*(100-F91)*(100-F91)*(I87)*(100-I87))/((L87-1)*100)</f>
        <v>8.3999740226598654</v>
      </c>
      <c r="G95" s="18">
        <f>(O88*O88*(100-G91)*(100-G91)*(I88)*(100-I88))/((L88-1)*100)</f>
        <v>11.709185484023534</v>
      </c>
      <c r="R95" s="66"/>
      <c r="S95" s="66" t="s">
        <v>62</v>
      </c>
      <c r="T95" s="67">
        <f>$AA93*T87/100</f>
        <v>3.4091864481530267</v>
      </c>
      <c r="U95" s="67">
        <f>$AA93*U87/100</f>
        <v>83.120246410923471</v>
      </c>
      <c r="V95" s="67">
        <f>$AA93*V87/100</f>
        <v>134.10437624196416</v>
      </c>
      <c r="W95" s="67">
        <f>$AA93*W87/100</f>
        <v>200.80010416934314</v>
      </c>
      <c r="X95" s="67">
        <f>$AA93*X87/100</f>
        <v>134.08784723487565</v>
      </c>
      <c r="AA95" s="1"/>
      <c r="AC95" t="s">
        <v>186</v>
      </c>
      <c r="AD95" s="51"/>
      <c r="AE95" s="51"/>
      <c r="AJ95" t="s">
        <v>4</v>
      </c>
      <c r="AK95" s="13">
        <v>1</v>
      </c>
      <c r="AL95" s="33">
        <f t="shared" ref="AL95:AO98" si="13">(AL84/$AU95)*$AX95</f>
        <v>0</v>
      </c>
      <c r="AM95" s="34">
        <f>(AM84/$AU95)*$AX95</f>
        <v>0.9281897414185778</v>
      </c>
      <c r="AN95" s="19">
        <f t="shared" si="12"/>
        <v>1.6876177116701415E-2</v>
      </c>
      <c r="AO95" s="18">
        <f t="shared" si="12"/>
        <v>1.6876177116701415E-2</v>
      </c>
      <c r="AP95" s="20">
        <f>(AP84/$AU95)*$AX95</f>
        <v>0</v>
      </c>
      <c r="AQ95" s="17">
        <f>SUM(AL95:AP95)</f>
        <v>0.96194209565198063</v>
      </c>
      <c r="AR95" s="17">
        <f>AM95/AQ95*100</f>
        <v>96.491228070175438</v>
      </c>
      <c r="AS95" s="17">
        <f>SQRT(AR95*(100-AR95)/(AU95-1))</f>
        <v>2.4588241692166148</v>
      </c>
      <c r="AT95" s="18">
        <f>100-AR95</f>
        <v>3.5087719298245617</v>
      </c>
      <c r="AU95" s="1">
        <f>AQ84</f>
        <v>57</v>
      </c>
      <c r="AV95">
        <v>1</v>
      </c>
      <c r="AW95" s="1">
        <v>869.64</v>
      </c>
      <c r="AX95" s="17">
        <f>AW95/AW99*100</f>
        <v>0.96194209565198063</v>
      </c>
      <c r="AY95" s="52">
        <f>((AX95*AX95*(AR95/100)*(AT95/100))/(AU95-1))</f>
        <v>5.5943908836018593E-4</v>
      </c>
    </row>
    <row r="96" spans="1:51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102.65395775647339</v>
      </c>
      <c r="E96" s="18">
        <f>E91*E91*(SUM((H84*E84*(1-E73/H73))/(H73-1),(H85*E85*(1-E74/H74))/(H74-1), (H87*E87*(1-E76/H76))/(H76-1),(H88*E88*(1-E77/H77))/(H77-1)))</f>
        <v>105.12640560367818</v>
      </c>
      <c r="F96" s="18">
        <f>F91*F91*(SUM((H84*F84*(1-F73/H73))/(H73-1),(H85*F85*(1-F74/H74))/(H74-1), (H86*F86*(1-F75/H75))/(H75-1),(H88*F88*(1-F77/H77))/(H77-1)))</f>
        <v>151.63063091366257</v>
      </c>
      <c r="G96" s="18">
        <f>G91*G91*(SUM((H84*G84*(1-G73/H73))/(H73-1),(H85*G85*(1-G74/H74))/(H74-1), (H86*G86*(1-G75/H75))/(H75-1),(H87*G87*(1-G76/H76))/(H76-1)))</f>
        <v>273.95724889048142</v>
      </c>
      <c r="R96" t="s">
        <v>96</v>
      </c>
      <c r="S96" t="s">
        <v>28</v>
      </c>
      <c r="T96" s="57">
        <f>C263</f>
        <v>0.13831055896810243</v>
      </c>
      <c r="U96" s="57">
        <f t="shared" ref="U96:X99" si="14">D263</f>
        <v>1.0522794179482742</v>
      </c>
      <c r="V96" s="57">
        <f t="shared" si="14"/>
        <v>62.207010757845474</v>
      </c>
      <c r="W96" s="57">
        <f t="shared" si="14"/>
        <v>30.697489790005651</v>
      </c>
      <c r="X96" s="57">
        <f t="shared" si="14"/>
        <v>5.9049094752324862</v>
      </c>
      <c r="Y96" s="13"/>
      <c r="Z96" s="74"/>
      <c r="AA96" s="12"/>
      <c r="AC96" t="s">
        <v>187</v>
      </c>
      <c r="AD96" s="51"/>
      <c r="AE96" s="51"/>
      <c r="AH96" s="78"/>
      <c r="AI96" s="78"/>
      <c r="AJ96" t="s">
        <v>5</v>
      </c>
      <c r="AK96" s="13">
        <v>2</v>
      </c>
      <c r="AL96" s="33">
        <f t="shared" si="13"/>
        <v>0</v>
      </c>
      <c r="AM96" s="19">
        <f t="shared" si="13"/>
        <v>0</v>
      </c>
      <c r="AN96" s="34">
        <f t="shared" si="13"/>
        <v>61.990791521272122</v>
      </c>
      <c r="AO96" s="19">
        <f t="shared" si="13"/>
        <v>0.16868242590822344</v>
      </c>
      <c r="AP96" s="20">
        <f>(AP85/$AU96)*$AX96</f>
        <v>0</v>
      </c>
      <c r="AQ96" s="17">
        <f>SUM(AL96:AP96)</f>
        <v>62.159473947180345</v>
      </c>
      <c r="AR96" s="17">
        <f>AN96/AQ96*100</f>
        <v>99.728629579375848</v>
      </c>
      <c r="AS96" s="17">
        <f>SQRT(AR96*(100-AR96)/(AU96-1))</f>
        <v>0.19175746172356631</v>
      </c>
      <c r="AT96" s="18">
        <f>100-AR96</f>
        <v>0.27137042062415162</v>
      </c>
      <c r="AU96" s="1">
        <f>AQ85</f>
        <v>737</v>
      </c>
      <c r="AV96">
        <v>2</v>
      </c>
      <c r="AW96" s="1">
        <v>56195.03</v>
      </c>
      <c r="AX96" s="17">
        <f>AW96/AW99*100</f>
        <v>62.159473947180345</v>
      </c>
      <c r="AY96" s="52">
        <f>((AX96*AX96*(AR96/100)*(AT96/100))/(AU96-1))</f>
        <v>1.4207550404591165E-2</v>
      </c>
    </row>
    <row r="97" spans="1:51" x14ac:dyDescent="0.3">
      <c r="S97" s="66" t="s">
        <v>39</v>
      </c>
      <c r="T97" s="67">
        <f>C264</f>
        <v>3.7434861249705121E-3</v>
      </c>
      <c r="U97" s="67">
        <f t="shared" si="14"/>
        <v>9.0137590235642204E-2</v>
      </c>
      <c r="V97" s="67">
        <f t="shared" si="14"/>
        <v>0.19652005075232651</v>
      </c>
      <c r="W97" s="67">
        <f t="shared" si="14"/>
        <v>0.27444799182133828</v>
      </c>
      <c r="X97" s="67">
        <f t="shared" si="14"/>
        <v>0.17831527432936628</v>
      </c>
      <c r="AC97" t="s">
        <v>188</v>
      </c>
      <c r="AD97" s="51"/>
      <c r="AE97" s="51"/>
      <c r="AJ97" t="s">
        <v>6</v>
      </c>
      <c r="AK97" s="13">
        <v>3</v>
      </c>
      <c r="AL97" s="33">
        <f t="shared" si="13"/>
        <v>0</v>
      </c>
      <c r="AM97" s="19">
        <f t="shared" si="13"/>
        <v>0.11646467829709922</v>
      </c>
      <c r="AN97" s="19">
        <f t="shared" si="13"/>
        <v>0.17469701744564881</v>
      </c>
      <c r="AO97" s="34">
        <f t="shared" si="13"/>
        <v>30.397281035542893</v>
      </c>
      <c r="AP97" s="20">
        <f>(AP86/$AU97)*$AX97</f>
        <v>0.40762637403984731</v>
      </c>
      <c r="AQ97" s="17">
        <f>SUM(AL97:AP97)</f>
        <v>31.096069105325487</v>
      </c>
      <c r="AR97" s="17">
        <f>AO97/AQ97*100</f>
        <v>97.752808988764045</v>
      </c>
      <c r="AS97" s="17">
        <f>SQRT(AR97*(100-AR97)/(AU97-1))</f>
        <v>0.64197928239881541</v>
      </c>
      <c r="AT97" s="18">
        <f>100-AR97</f>
        <v>2.2471910112359552</v>
      </c>
      <c r="AU97" s="1">
        <f>AQ86</f>
        <v>534</v>
      </c>
      <c r="AV97">
        <v>3</v>
      </c>
      <c r="AW97" s="1">
        <v>28112.28</v>
      </c>
      <c r="AX97" s="17">
        <f>AW97/AW99*100</f>
        <v>31.096069105325491</v>
      </c>
      <c r="AY97" s="52">
        <f>((AX97*AX97*(AR97/100)*(AT97/100))/(AU97-1))</f>
        <v>3.985226518098707E-2</v>
      </c>
    </row>
    <row r="98" spans="1:51" x14ac:dyDescent="0.3">
      <c r="S98" t="s">
        <v>30</v>
      </c>
      <c r="T98" s="57">
        <f>C265</f>
        <v>100</v>
      </c>
      <c r="U98" s="57">
        <f t="shared" si="14"/>
        <v>85.141704654579385</v>
      </c>
      <c r="V98" s="57">
        <f t="shared" si="14"/>
        <v>99.258942041042118</v>
      </c>
      <c r="W98" s="57">
        <f t="shared" si="14"/>
        <v>98.520370324509429</v>
      </c>
      <c r="X98" s="57">
        <f t="shared" si="14"/>
        <v>91.066771085668876</v>
      </c>
      <c r="AA98" s="54"/>
      <c r="AC98" t="s">
        <v>189</v>
      </c>
      <c r="AD98" s="51"/>
      <c r="AE98" s="51"/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3"/>
        <v>0</v>
      </c>
      <c r="AN98" s="21">
        <f t="shared" si="13"/>
        <v>5.5316999806263225E-3</v>
      </c>
      <c r="AO98" s="21">
        <f t="shared" si="13"/>
        <v>0.22126799922505289</v>
      </c>
      <c r="AP98" s="37">
        <f>(AP87/$AU98)*$AX98</f>
        <v>5.3546855812462804</v>
      </c>
      <c r="AQ98" s="17">
        <f>SUM(AL98:AP98)</f>
        <v>5.5814852804519592</v>
      </c>
      <c r="AR98" s="17">
        <f>AP98/AQ98*100</f>
        <v>95.936570862239847</v>
      </c>
      <c r="AS98" s="17">
        <f>SQRT(AR98*(100-AR98)/(AU98-1))</f>
        <v>0.62188226937477109</v>
      </c>
      <c r="AT98" s="18">
        <f>100-AR98</f>
        <v>4.0634291377601528</v>
      </c>
      <c r="AU98" s="1">
        <f>AQ87</f>
        <v>1009</v>
      </c>
      <c r="AV98">
        <v>4</v>
      </c>
      <c r="AW98" s="1">
        <v>5045.92</v>
      </c>
      <c r="AX98" s="17">
        <f>AW98/AW99*100</f>
        <v>5.5814852804519592</v>
      </c>
      <c r="AY98" s="52">
        <f>((AX98*AX98*(AR98/100)*(AT98/100))/(AU98-1))</f>
        <v>1.204802657904407E-3</v>
      </c>
    </row>
    <row r="99" spans="1:51" x14ac:dyDescent="0.3">
      <c r="A99" s="348" t="s">
        <v>382</v>
      </c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 t="s">
        <v>57</v>
      </c>
      <c r="M99" s="348"/>
      <c r="N99" s="348"/>
      <c r="O99" s="348"/>
      <c r="P99" s="348"/>
      <c r="S99" s="66" t="s">
        <v>39</v>
      </c>
      <c r="T99" s="67">
        <f>C266</f>
        <v>0</v>
      </c>
      <c r="U99" s="67">
        <f t="shared" si="14"/>
        <v>8.2393300091349051</v>
      </c>
      <c r="V99" s="67">
        <f t="shared" si="14"/>
        <v>0.25067678669111537</v>
      </c>
      <c r="W99" s="67">
        <f t="shared" si="14"/>
        <v>0.41780224637628921</v>
      </c>
      <c r="X99" s="67">
        <f t="shared" si="14"/>
        <v>2.7502555724486624</v>
      </c>
      <c r="AC99" t="s">
        <v>190</v>
      </c>
      <c r="AD99" s="51"/>
      <c r="AE99" s="51"/>
      <c r="AK99" t="s">
        <v>28</v>
      </c>
      <c r="AL99" s="17">
        <f t="shared" ref="AL99:AQ99" si="15">SUM(AL94:AL98)</f>
        <v>0.16180428916773809</v>
      </c>
      <c r="AM99" s="17">
        <f t="shared" si="15"/>
        <v>1.0446544197156771</v>
      </c>
      <c r="AN99" s="17">
        <f t="shared" si="15"/>
        <v>62.187896415815104</v>
      </c>
      <c r="AO99" s="17">
        <f t="shared" si="15"/>
        <v>30.843332920015353</v>
      </c>
      <c r="AP99" s="17">
        <f t="shared" si="15"/>
        <v>5.7623119552861279</v>
      </c>
      <c r="AQ99" s="18">
        <f t="shared" si="15"/>
        <v>99.999999999999986</v>
      </c>
      <c r="AR99" s="13" t="s">
        <v>24</v>
      </c>
      <c r="AS99" s="12" t="s">
        <v>29</v>
      </c>
      <c r="AW99" s="1">
        <f>SUM(AW94:AW98)</f>
        <v>90404.61</v>
      </c>
      <c r="AX99" s="17">
        <f>SUM(AX94:AX98)</f>
        <v>99.999999999999986</v>
      </c>
    </row>
    <row r="100" spans="1:51" x14ac:dyDescent="0.3">
      <c r="A100" t="s">
        <v>315</v>
      </c>
      <c r="B100" t="s">
        <v>21</v>
      </c>
      <c r="I100" s="1" t="s">
        <v>53</v>
      </c>
      <c r="O100" s="142"/>
      <c r="P100" s="142"/>
      <c r="S100" t="s">
        <v>31</v>
      </c>
      <c r="T100" s="57">
        <f>I258</f>
        <v>75.166297117516635</v>
      </c>
      <c r="U100" s="57">
        <f>I259</f>
        <v>92.982456140350891</v>
      </c>
      <c r="V100" s="57">
        <f>I260</f>
        <v>99.728629579375848</v>
      </c>
      <c r="W100" s="57">
        <f>I261</f>
        <v>96.629213483146074</v>
      </c>
      <c r="X100" s="57">
        <f>I262</f>
        <v>95.341922695738361</v>
      </c>
      <c r="AC100" t="s">
        <v>191</v>
      </c>
      <c r="AD100" s="51"/>
      <c r="AE100" s="51"/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3.7513689762587767E-3</v>
      </c>
      <c r="AM100" s="18">
        <f>SQRT(SUM((AX94*AM94-AM94*AM94)/AU94,(AX95*AM95-AM95*AM95)/AU95,(AX96*AM96-AM96*AM96)/AU96,(AX97*AM97-AM97*AM97)/AU97,(AX98*AM98-AM98*AM98)/AU98))</f>
        <v>8.5476512703788976E-2</v>
      </c>
      <c r="AN100" s="18">
        <f>SQRT(SUM((AX94*AN94-AN94*AN94)/AU94,(AX95*AN95-AN95*AN95)/AU95,(AX96*AN96-AN96*AN96)/AU96,(AX97*AN97-AN97*AN97)/AU97,(AX98*AN98-AN98*AN98)/AU98))</f>
        <v>0.15689013735670215</v>
      </c>
      <c r="AO100" s="18">
        <f>SQRT(SUM((AX94*AO94-AO94*AO94)/AU94,(AX95*AO95-AO95*AO95)/AU95,(AX96*AO96-AO96*AO96)/AU96,(AX97*AO97-AO97*AO97)/AU97,(AX98*AO98-AO98*AO98)/AU98))</f>
        <v>0.23544692657563018</v>
      </c>
      <c r="AP100" s="18">
        <f>SQRT(SUM((AX94*AP94-AP94*AP94)/AU94,(AX95*AP95-AP95*AP95)/AU95,(AX96*AP96-AP96*AP96)/AU96,(AX97*AP97-AP97*AP97)/AU97,(AX98*AP98-AP98*AP98)/AU98))</f>
        <v>0.15693784182373038</v>
      </c>
      <c r="AQ100" s="1"/>
      <c r="AR100" s="56">
        <f>(AL94+AM95+AN96+AO97+AP98)/AQ99</f>
        <v>0.98832752168647631</v>
      </c>
      <c r="AS100" s="53">
        <f>SQRT(SUM(AY94:AY98))/100</f>
        <v>2.3630099740343737E-3</v>
      </c>
      <c r="AV100" s="1"/>
      <c r="AW100" s="9"/>
    </row>
    <row r="101" spans="1:51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51</v>
      </c>
      <c r="O101" s="13"/>
      <c r="P101" s="13"/>
      <c r="S101" s="66" t="s">
        <v>39</v>
      </c>
      <c r="T101" s="67">
        <f>J258</f>
        <v>2.0366953022497958</v>
      </c>
      <c r="U101" s="67">
        <f>J259</f>
        <v>3.4134933513474244</v>
      </c>
      <c r="V101" s="67">
        <f>J260</f>
        <v>0.19175746172356631</v>
      </c>
      <c r="W101" s="67">
        <f>J261</f>
        <v>0.78172903318176867</v>
      </c>
      <c r="X101" s="67">
        <f>J262</f>
        <v>0.66376604564176922</v>
      </c>
      <c r="AC101" t="s">
        <v>192</v>
      </c>
      <c r="AD101" s="51"/>
      <c r="AE101" s="51"/>
      <c r="AK101" s="1" t="s">
        <v>30</v>
      </c>
      <c r="AL101" s="17">
        <f>AL94/AL99*100</f>
        <v>100</v>
      </c>
      <c r="AM101" s="17">
        <f>AM95/AM99*100</f>
        <v>88.851367868735252</v>
      </c>
      <c r="AN101" s="17">
        <f>AN96/AN99*100</f>
        <v>99.683049426169603</v>
      </c>
      <c r="AO101" s="17">
        <f>AO97/AO99*100</f>
        <v>98.553814253377908</v>
      </c>
      <c r="AP101" s="17">
        <f>AP98/AP99*100</f>
        <v>92.925992601530254</v>
      </c>
      <c r="AQ101" s="1"/>
    </row>
    <row r="102" spans="1:51" x14ac:dyDescent="0.3">
      <c r="A102" t="s">
        <v>3</v>
      </c>
      <c r="B102" s="13">
        <v>0</v>
      </c>
      <c r="C102" s="26">
        <v>364</v>
      </c>
      <c r="D102" s="3">
        <v>0</v>
      </c>
      <c r="E102" s="3">
        <v>0</v>
      </c>
      <c r="F102" s="3">
        <v>87</v>
      </c>
      <c r="G102" s="4">
        <v>0</v>
      </c>
      <c r="H102" s="1">
        <f>SUM(C102:G102)</f>
        <v>451</v>
      </c>
      <c r="I102" s="10">
        <f>C102/H102</f>
        <v>0.80709534368070956</v>
      </c>
      <c r="J102" s="11">
        <f>1-I102</f>
        <v>0.19290465631929044</v>
      </c>
      <c r="K102">
        <f>H102-C107</f>
        <v>87</v>
      </c>
      <c r="N102" s="10">
        <f>2*(C108*I102)/(C108+I102)</f>
        <v>0.89325153374233135</v>
      </c>
      <c r="O102" s="1"/>
      <c r="P102" s="1"/>
      <c r="S102" s="66" t="s">
        <v>51</v>
      </c>
      <c r="T102" s="67">
        <f>N247*100</f>
        <v>85.822784810126578</v>
      </c>
      <c r="U102" s="67">
        <f>N248*100</f>
        <v>89.075630252100851</v>
      </c>
      <c r="V102" s="67">
        <f>N249*100</f>
        <v>99.190283400809719</v>
      </c>
      <c r="W102" s="67">
        <f>N250*100</f>
        <v>85.643153526970963</v>
      </c>
      <c r="X102" s="67">
        <f>N251*100</f>
        <v>97.171717171717162</v>
      </c>
      <c r="AC102" t="s">
        <v>193</v>
      </c>
      <c r="AD102" s="51"/>
      <c r="AE102" s="51"/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7.4391633015745233</v>
      </c>
      <c r="AN102" s="18">
        <f>SQRT((AN105+AN106)/(AN99*AN99))</f>
        <v>0.16397476248663884</v>
      </c>
      <c r="AO102" s="18">
        <f>SQRT((AO105+AO106)/(AO99*AO99))</f>
        <v>0.41095659350023561</v>
      </c>
      <c r="AP102" s="18">
        <f>SQRT((AP105+AP106)/(AP99*AP99))</f>
        <v>2.5070381910901651</v>
      </c>
      <c r="AQ102" s="1"/>
    </row>
    <row r="103" spans="1:51" x14ac:dyDescent="0.3">
      <c r="A103" t="s">
        <v>4</v>
      </c>
      <c r="B103" s="13">
        <v>1</v>
      </c>
      <c r="C103" s="5">
        <v>0</v>
      </c>
      <c r="D103" s="27">
        <v>52</v>
      </c>
      <c r="E103" s="1">
        <v>4</v>
      </c>
      <c r="F103" s="1">
        <v>1</v>
      </c>
      <c r="G103" s="6">
        <v>0</v>
      </c>
      <c r="H103" s="1">
        <f>SUM(C103:G103)</f>
        <v>57</v>
      </c>
      <c r="I103" s="10">
        <f>D103/H103</f>
        <v>0.91228070175438591</v>
      </c>
      <c r="J103" s="11">
        <f>1-I103</f>
        <v>8.7719298245614086E-2</v>
      </c>
      <c r="K103">
        <f>H103-D107</f>
        <v>1</v>
      </c>
      <c r="N103" s="10">
        <f>2*(D108*I103)/(D108+I103)</f>
        <v>0.92035398230088494</v>
      </c>
      <c r="O103" s="1"/>
      <c r="P103" s="1"/>
      <c r="R103" s="16" t="s">
        <v>61</v>
      </c>
      <c r="S103" t="s">
        <v>9</v>
      </c>
      <c r="T103" s="30">
        <f>N258</f>
        <v>166.35</v>
      </c>
      <c r="U103" s="30">
        <f>N259</f>
        <v>871.09</v>
      </c>
      <c r="V103" s="30">
        <f>N260</f>
        <v>55973.15</v>
      </c>
      <c r="W103" s="30">
        <f>N261</f>
        <v>28295.09</v>
      </c>
      <c r="X103" s="30">
        <f>N262</f>
        <v>5098.9399999999996</v>
      </c>
      <c r="Z103" t="s">
        <v>36</v>
      </c>
      <c r="AA103" s="1">
        <f>N263</f>
        <v>90404.62000000001</v>
      </c>
      <c r="AC103" t="s">
        <v>194</v>
      </c>
      <c r="AD103" s="51"/>
      <c r="AE103" s="51"/>
      <c r="AK103" s="1" t="s">
        <v>37</v>
      </c>
      <c r="AL103" s="18">
        <f>100-AL101</f>
        <v>0</v>
      </c>
      <c r="AM103" s="18">
        <f>100-AM101</f>
        <v>11.148632131264748</v>
      </c>
      <c r="AN103" s="18">
        <f>100-AN101</f>
        <v>0.31695057383039682</v>
      </c>
      <c r="AO103" s="18">
        <f>100-AO101</f>
        <v>1.446185746622092</v>
      </c>
      <c r="AP103" s="18">
        <f>100-AP101</f>
        <v>7.074007398469746</v>
      </c>
    </row>
    <row r="104" spans="1:51" ht="15.6" x14ac:dyDescent="0.35">
      <c r="A104" t="s">
        <v>5</v>
      </c>
      <c r="B104" s="13">
        <v>2</v>
      </c>
      <c r="C104" s="5">
        <v>0</v>
      </c>
      <c r="D104" s="1">
        <v>2</v>
      </c>
      <c r="E104" s="27">
        <v>733</v>
      </c>
      <c r="F104" s="1">
        <v>2</v>
      </c>
      <c r="G104" s="6">
        <v>0</v>
      </c>
      <c r="H104" s="1">
        <f>SUM(C104:G104)</f>
        <v>737</v>
      </c>
      <c r="I104" s="10">
        <f>E104/H104</f>
        <v>0.99457259158751699</v>
      </c>
      <c r="J104" s="11">
        <f>1-I104</f>
        <v>5.4274084124830146E-3</v>
      </c>
      <c r="K104">
        <f>H104-E107</f>
        <v>-5</v>
      </c>
      <c r="N104" s="10">
        <f>2*(E108*I104)/(E108+I104)</f>
        <v>0.99121027721433397</v>
      </c>
      <c r="O104" s="1"/>
      <c r="P104" s="1"/>
      <c r="R104" s="16" t="s">
        <v>318</v>
      </c>
      <c r="S104" t="s">
        <v>63</v>
      </c>
      <c r="T104" s="57">
        <f>$AA103*T96/100</f>
        <v>125.03913525498893</v>
      </c>
      <c r="U104" s="57">
        <f>$AA103*U96/100</f>
        <v>951.3092091343492</v>
      </c>
      <c r="V104" s="57">
        <f>$AA103*V96/100</f>
        <v>56238.011688989325</v>
      </c>
      <c r="W104" s="57">
        <f>$AA103*W96/100</f>
        <v>27751.948994193408</v>
      </c>
      <c r="X104" s="57">
        <f>$AA103*X96/100</f>
        <v>5338.3109724279238</v>
      </c>
      <c r="Z104" t="s">
        <v>36</v>
      </c>
      <c r="AA104" s="25">
        <f>SUM(T104:X104)</f>
        <v>90404.62</v>
      </c>
      <c r="AC104" t="s">
        <v>195</v>
      </c>
      <c r="AD104" s="51"/>
      <c r="AE104" s="51"/>
      <c r="AH104" s="78"/>
      <c r="AI104" s="78"/>
      <c r="AK104" s="1" t="s">
        <v>25</v>
      </c>
      <c r="AL104" s="1">
        <f>AL88</f>
        <v>363</v>
      </c>
      <c r="AM104" s="1">
        <f>AM88</f>
        <v>57</v>
      </c>
      <c r="AN104" s="1">
        <f>AN88</f>
        <v>740</v>
      </c>
      <c r="AO104" s="1">
        <f>AO88</f>
        <v>653</v>
      </c>
      <c r="AP104" s="1">
        <f>AP88</f>
        <v>975</v>
      </c>
    </row>
    <row r="105" spans="1:51" x14ac:dyDescent="0.3">
      <c r="A105" t="s">
        <v>6</v>
      </c>
      <c r="B105" s="13">
        <v>3</v>
      </c>
      <c r="C105" s="5">
        <v>0</v>
      </c>
      <c r="D105" s="1">
        <v>2</v>
      </c>
      <c r="E105" s="1">
        <v>4</v>
      </c>
      <c r="F105" s="27">
        <v>519</v>
      </c>
      <c r="G105" s="6">
        <v>9</v>
      </c>
      <c r="H105" s="1">
        <f>SUM(C105:G105)</f>
        <v>534</v>
      </c>
      <c r="I105" s="10">
        <f>F105/H105</f>
        <v>0.9719101123595506</v>
      </c>
      <c r="J105" s="11">
        <f>1-I105</f>
        <v>2.8089887640449396E-2</v>
      </c>
      <c r="K105">
        <f>H105-F107</f>
        <v>-115</v>
      </c>
      <c r="N105" s="10">
        <f>2*(F108*I105)/(F108+I105)</f>
        <v>0.87743026204564656</v>
      </c>
      <c r="O105" s="1"/>
      <c r="P105" s="1"/>
      <c r="R105" s="66"/>
      <c r="S105" s="66" t="s">
        <v>62</v>
      </c>
      <c r="T105" s="67">
        <f>$AA103*T97/100</f>
        <v>3.3842844060323172</v>
      </c>
      <c r="U105" s="67">
        <f>$AA103*U97/100</f>
        <v>81.488545929689451</v>
      </c>
      <c r="V105" s="67">
        <f>$AA103*V97/100</f>
        <v>177.66320510644792</v>
      </c>
      <c r="W105" s="67">
        <f>$AA103*W97/100</f>
        <v>248.11366410371195</v>
      </c>
      <c r="X105" s="67">
        <f>$AA103*X97/100</f>
        <v>161.20524615942114</v>
      </c>
      <c r="AA105" s="1"/>
      <c r="AC105" t="s">
        <v>196</v>
      </c>
      <c r="AD105" s="51"/>
      <c r="AE105" s="51"/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6.9533802274393164</v>
      </c>
      <c r="AN105" s="18">
        <f>(AX96*AX96*(100-AN101)*(100-AN101)*(AR96)*(100-AR96))/((AU96-1)*100)</f>
        <v>0.14272573567946159</v>
      </c>
      <c r="AO105" s="18">
        <f>(AX97*AX97*(100-AO101)*(100-AO101)*(AR97)*(100-AR97))/((AU97-1)*100)</f>
        <v>8.3349148087311065</v>
      </c>
      <c r="AP105" s="18">
        <f>(AX98*AX98*(100-AP101)*(100-AP101)*(AR98)*(100-AR98))/((AU98-1)*100)</f>
        <v>6.0290229401296758</v>
      </c>
    </row>
    <row r="106" spans="1:51" x14ac:dyDescent="0.3">
      <c r="A106" t="s">
        <v>7</v>
      </c>
      <c r="B106" s="13">
        <v>4</v>
      </c>
      <c r="C106" s="7">
        <v>0</v>
      </c>
      <c r="D106" s="8">
        <v>0</v>
      </c>
      <c r="E106" s="8">
        <v>1</v>
      </c>
      <c r="F106" s="8">
        <v>40</v>
      </c>
      <c r="G106" s="28">
        <v>968</v>
      </c>
      <c r="H106" s="1">
        <f>SUM(C106:G106)</f>
        <v>1009</v>
      </c>
      <c r="I106" s="10">
        <f>G106/H106</f>
        <v>0.95936570862239845</v>
      </c>
      <c r="J106" s="11">
        <f>1-I106</f>
        <v>4.063429137760155E-2</v>
      </c>
      <c r="K106">
        <f>H106-G107</f>
        <v>32</v>
      </c>
      <c r="N106" s="10">
        <f>2*(G108*I106)/(G108+I106)</f>
        <v>0.97482376636455192</v>
      </c>
      <c r="O106" s="1"/>
      <c r="P106" s="1"/>
      <c r="R106" t="s">
        <v>97</v>
      </c>
      <c r="S106" t="s">
        <v>28</v>
      </c>
      <c r="T106" s="57">
        <f>C292</f>
        <v>0.16221530170280588</v>
      </c>
      <c r="U106" s="57">
        <f t="shared" ref="U106:X109" si="16">D292</f>
        <v>1.182446477621369</v>
      </c>
      <c r="V106" s="57">
        <f t="shared" si="16"/>
        <v>62.427198544578623</v>
      </c>
      <c r="W106" s="57">
        <f t="shared" si="16"/>
        <v>30.355046112671307</v>
      </c>
      <c r="X106" s="57">
        <f t="shared" si="16"/>
        <v>5.8730935634258987</v>
      </c>
      <c r="Y106" s="60"/>
      <c r="Z106" s="74"/>
      <c r="AA106" s="12"/>
      <c r="AC106" t="s">
        <v>197</v>
      </c>
      <c r="AD106" s="51"/>
      <c r="AE106" s="51"/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53.440575541617982</v>
      </c>
      <c r="AN106" s="18">
        <f>AN101*AN101*(SUM((AQ94*AN94*(1-AN83/AQ83))/(AQ83-1),(AQ95*AN95*(1-AN84/AQ84))/(AQ84-1), (AQ97*AN97*(1-AN86/AQ86))/(AQ86-1),(AQ98*AN98*(1-AN87/AQ87))/(AQ87-1)))</f>
        <v>103.84109095561698</v>
      </c>
      <c r="AO106" s="18">
        <f>AO101*AO101*(SUM((AQ94*AO94*(1-AO83/AQ83))/(AQ83-1),(AQ95*AO95*(1-AO84/AQ84))/(AQ84-1), (AQ96*AO96*(1-AO85/AQ85))/(AQ85-1),(AQ98*AO98*(1-AO87/AQ87))/(AQ87-1)))</f>
        <v>152.32758084995635</v>
      </c>
      <c r="AP106" s="18">
        <f>AP101*AP101*(SUM((AQ94*AP94*(1-AP83/AQ83))/(AQ83-1),(AQ95*AP95*(1-AP84/AQ84))/(AQ84-1), (AQ96*AP96*(1-AP85/AQ85))/(AQ85-1),(AQ97*AP97*(1-AP86/AQ86))/(AQ86-1)))</f>
        <v>202.66760495510147</v>
      </c>
    </row>
    <row r="107" spans="1:51" ht="15.6" x14ac:dyDescent="0.35">
      <c r="B107" s="1" t="s">
        <v>19</v>
      </c>
      <c r="C107" s="1">
        <f>SUM(C102:C106)</f>
        <v>364</v>
      </c>
      <c r="D107" s="1">
        <f>SUM(D102:D106)</f>
        <v>56</v>
      </c>
      <c r="E107" s="1">
        <f>SUM(E102:E106)</f>
        <v>742</v>
      </c>
      <c r="F107" s="1">
        <f>SUM(F102:F106)</f>
        <v>649</v>
      </c>
      <c r="G107" s="1">
        <f>SUM(G102:G106)</f>
        <v>977</v>
      </c>
      <c r="H107" s="1">
        <f>SUM(H101:H106)</f>
        <v>2788</v>
      </c>
      <c r="I107" s="13" t="s">
        <v>12</v>
      </c>
      <c r="N107" s="16"/>
      <c r="O107" s="1"/>
      <c r="P107" s="1"/>
      <c r="S107" s="66" t="s">
        <v>39</v>
      </c>
      <c r="T107" s="67">
        <f>C293</f>
        <v>3.8403693370658251E-3</v>
      </c>
      <c r="U107" s="67">
        <f t="shared" si="16"/>
        <v>0.10670103222169634</v>
      </c>
      <c r="V107" s="67">
        <f t="shared" si="16"/>
        <v>0.17707165672465691</v>
      </c>
      <c r="W107" s="67">
        <f t="shared" si="16"/>
        <v>0.25303303026184104</v>
      </c>
      <c r="X107" s="67">
        <f t="shared" si="16"/>
        <v>0.15632681477560847</v>
      </c>
      <c r="AC107" t="s">
        <v>198</v>
      </c>
      <c r="AD107" s="51"/>
      <c r="AE107" s="51"/>
    </row>
    <row r="108" spans="1:51" x14ac:dyDescent="0.3">
      <c r="A108" s="1" t="s">
        <v>316</v>
      </c>
      <c r="B108" s="1" t="s">
        <v>2</v>
      </c>
      <c r="C108" s="10">
        <f>C102/C107</f>
        <v>1</v>
      </c>
      <c r="D108" s="10">
        <f>D103/D107</f>
        <v>0.9285714285714286</v>
      </c>
      <c r="E108" s="10">
        <f>E104/E107</f>
        <v>0.9878706199460916</v>
      </c>
      <c r="F108" s="10">
        <f>F105/F107</f>
        <v>0.79969183359013862</v>
      </c>
      <c r="G108" s="10">
        <f>G106/G107</f>
        <v>0.9907881269191402</v>
      </c>
      <c r="H108" s="10"/>
      <c r="I108" s="14">
        <f>(C102+D103+E104+F105+G106)/H107</f>
        <v>0.94548063127690096</v>
      </c>
      <c r="S108" t="s">
        <v>30</v>
      </c>
      <c r="T108" s="57">
        <f>C294</f>
        <v>100</v>
      </c>
      <c r="U108" s="57">
        <f t="shared" si="16"/>
        <v>85.282284477716374</v>
      </c>
      <c r="V108" s="57">
        <f t="shared" si="16"/>
        <v>99.258098777922967</v>
      </c>
      <c r="W108" s="57">
        <f t="shared" si="16"/>
        <v>98.800760511756565</v>
      </c>
      <c r="X108" s="57">
        <f t="shared" si="16"/>
        <v>93.085962004514528</v>
      </c>
      <c r="AC108" t="s">
        <v>199</v>
      </c>
      <c r="AD108" s="51"/>
      <c r="AE108" s="51"/>
      <c r="AH108" s="78"/>
      <c r="AI108" s="78"/>
      <c r="AJ108" s="118" t="s">
        <v>352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</row>
    <row r="109" spans="1:51" x14ac:dyDescent="0.3">
      <c r="B109" s="1" t="s">
        <v>14</v>
      </c>
      <c r="C109" s="11">
        <f>1-C108</f>
        <v>0</v>
      </c>
      <c r="D109" s="11">
        <f>1-D108</f>
        <v>7.1428571428571397E-2</v>
      </c>
      <c r="E109" s="11">
        <f>1-E108</f>
        <v>1.2129380053908401E-2</v>
      </c>
      <c r="F109" s="11">
        <f>1-F108</f>
        <v>0.20030816640986138</v>
      </c>
      <c r="G109" s="11">
        <f>1-G108</f>
        <v>9.2118730808598004E-3</v>
      </c>
      <c r="S109" s="66" t="s">
        <v>39</v>
      </c>
      <c r="T109" s="67">
        <f>C295</f>
        <v>0</v>
      </c>
      <c r="U109" s="67">
        <f t="shared" si="16"/>
        <v>8.5760935891487389</v>
      </c>
      <c r="V109" s="67">
        <f t="shared" si="16"/>
        <v>0.2482489002672511</v>
      </c>
      <c r="W109" s="67">
        <f t="shared" si="16"/>
        <v>0.31681622503108248</v>
      </c>
      <c r="X109" s="67">
        <f t="shared" si="16"/>
        <v>2.4527633051867359</v>
      </c>
      <c r="AC109" t="s">
        <v>200</v>
      </c>
      <c r="AD109" s="51"/>
      <c r="AE109" s="51"/>
      <c r="AJ109" s="106" t="s">
        <v>668</v>
      </c>
      <c r="AK109" s="107" t="s">
        <v>28</v>
      </c>
      <c r="AL109" s="108">
        <f t="shared" ref="AL109:AP112" si="17">AL99</f>
        <v>0.16180428916773809</v>
      </c>
      <c r="AM109" s="108">
        <f t="shared" si="17"/>
        <v>1.0446544197156771</v>
      </c>
      <c r="AN109" s="108">
        <f t="shared" si="17"/>
        <v>62.187896415815104</v>
      </c>
      <c r="AO109" s="108">
        <f t="shared" si="17"/>
        <v>30.843332920015353</v>
      </c>
      <c r="AP109" s="108">
        <f t="shared" si="17"/>
        <v>5.7623119552861279</v>
      </c>
      <c r="AQ109" s="107"/>
      <c r="AR109" s="228" t="s">
        <v>72</v>
      </c>
      <c r="AS109" s="229">
        <f>AR100</f>
        <v>0.98832752168647631</v>
      </c>
    </row>
    <row r="110" spans="1:51" x14ac:dyDescent="0.3">
      <c r="C110" s="2"/>
      <c r="S110" s="15" t="s">
        <v>31</v>
      </c>
      <c r="T110" s="71">
        <f>I287</f>
        <v>79.822616407982267</v>
      </c>
      <c r="U110" s="71">
        <f>I288</f>
        <v>92.982456140350877</v>
      </c>
      <c r="V110" s="71">
        <f>I289</f>
        <v>99.864314789687924</v>
      </c>
      <c r="W110" s="71">
        <f>I290</f>
        <v>96.816479400749074</v>
      </c>
      <c r="X110" s="71">
        <f>I291</f>
        <v>96.134786917740328</v>
      </c>
      <c r="AC110" t="s">
        <v>201</v>
      </c>
      <c r="AD110" s="51"/>
      <c r="AE110" s="51"/>
      <c r="AH110" s="78"/>
      <c r="AI110" s="78"/>
      <c r="AJ110" s="107"/>
      <c r="AK110" s="109" t="s">
        <v>39</v>
      </c>
      <c r="AL110" s="110">
        <f t="shared" si="17"/>
        <v>3.7513689762587767E-3</v>
      </c>
      <c r="AM110" s="110">
        <f t="shared" si="17"/>
        <v>8.5476512703788976E-2</v>
      </c>
      <c r="AN110" s="110">
        <f t="shared" si="17"/>
        <v>0.15689013735670215</v>
      </c>
      <c r="AO110" s="110">
        <f t="shared" si="17"/>
        <v>0.23544692657563018</v>
      </c>
      <c r="AP110" s="110">
        <f t="shared" si="17"/>
        <v>0.15693784182373038</v>
      </c>
      <c r="AQ110" s="107"/>
      <c r="AR110" s="228" t="s">
        <v>29</v>
      </c>
      <c r="AS110" s="230">
        <f>AS100</f>
        <v>2.3630099740343737E-3</v>
      </c>
      <c r="AX110" s="103" t="s">
        <v>363</v>
      </c>
    </row>
    <row r="111" spans="1:51" ht="15.6" x14ac:dyDescent="0.35">
      <c r="A111" t="s">
        <v>317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1.8918606658715333</v>
      </c>
      <c r="U111" s="76">
        <f>J288</f>
        <v>3.4134933513474275</v>
      </c>
      <c r="V111" s="76">
        <f>J289</f>
        <v>0.13568521031207589</v>
      </c>
      <c r="W111" s="76">
        <f>J290</f>
        <v>0.76043985558181637</v>
      </c>
      <c r="X111" s="76">
        <f>J291</f>
        <v>0.60715103313622776</v>
      </c>
      <c r="AC111" t="s">
        <v>155</v>
      </c>
      <c r="AD111" s="51"/>
      <c r="AE111" s="51"/>
      <c r="AJ111" s="107"/>
      <c r="AK111" s="107" t="s">
        <v>30</v>
      </c>
      <c r="AL111" s="108">
        <f t="shared" si="17"/>
        <v>100</v>
      </c>
      <c r="AM111" s="108">
        <f t="shared" si="17"/>
        <v>88.851367868735252</v>
      </c>
      <c r="AN111" s="108">
        <f t="shared" si="17"/>
        <v>99.683049426169603</v>
      </c>
      <c r="AO111" s="108">
        <f t="shared" si="17"/>
        <v>98.553814253377908</v>
      </c>
      <c r="AP111" s="108">
        <f t="shared" si="17"/>
        <v>92.925992601530254</v>
      </c>
      <c r="AQ111" s="107"/>
      <c r="AR111" s="107"/>
      <c r="AS111" s="107"/>
      <c r="AU111" s="103" t="s">
        <v>363</v>
      </c>
      <c r="AW111" s="101"/>
      <c r="AX111" s="1" t="s">
        <v>357</v>
      </c>
      <c r="AY111" s="96"/>
    </row>
    <row r="112" spans="1:51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51</v>
      </c>
      <c r="T112" s="67">
        <f>N276*100</f>
        <v>88.779284833538824</v>
      </c>
      <c r="U112" s="67">
        <f>N277*100</f>
        <v>93.805309734513273</v>
      </c>
      <c r="V112" s="67">
        <f>N278*100</f>
        <v>99.258260283209694</v>
      </c>
      <c r="W112" s="67">
        <f>N279*100</f>
        <v>87.404902789518175</v>
      </c>
      <c r="X112" s="67">
        <f>N280*100</f>
        <v>97.683786505538777</v>
      </c>
      <c r="AC112" t="s">
        <v>202</v>
      </c>
      <c r="AD112" s="51"/>
      <c r="AE112" s="51"/>
      <c r="AH112" s="78"/>
      <c r="AI112" s="78"/>
      <c r="AJ112" s="107"/>
      <c r="AK112" s="109" t="s">
        <v>39</v>
      </c>
      <c r="AL112" s="110">
        <f t="shared" si="17"/>
        <v>0</v>
      </c>
      <c r="AM112" s="110">
        <f t="shared" si="17"/>
        <v>7.4391633015745233</v>
      </c>
      <c r="AN112" s="110">
        <f t="shared" si="17"/>
        <v>0.16397476248663884</v>
      </c>
      <c r="AO112" s="110">
        <f t="shared" si="17"/>
        <v>0.41095659350023561</v>
      </c>
      <c r="AP112" s="110">
        <f t="shared" si="17"/>
        <v>2.5070381910901651</v>
      </c>
      <c r="AQ112" s="107"/>
      <c r="AR112" s="107"/>
      <c r="AS112" s="107"/>
      <c r="AU112" s="93"/>
      <c r="AV112" s="1" t="s">
        <v>357</v>
      </c>
      <c r="AW112" s="97"/>
      <c r="AX112" s="71" t="s">
        <v>358</v>
      </c>
      <c r="AY112" s="95"/>
    </row>
    <row r="113" spans="1:51" x14ac:dyDescent="0.3">
      <c r="A113" t="s">
        <v>3</v>
      </c>
      <c r="B113" s="13">
        <v>0</v>
      </c>
      <c r="C113" s="29">
        <f>(C102/$L113)*$O113</f>
        <v>0.15742914951745413</v>
      </c>
      <c r="D113" s="31">
        <f>(D102/$L113)*$O113</f>
        <v>0</v>
      </c>
      <c r="E113" s="31">
        <f>(E102/$L113)*$O113</f>
        <v>0</v>
      </c>
      <c r="F113" s="31">
        <f>(F102/$L113)*$O113</f>
        <v>3.7627296725325568E-2</v>
      </c>
      <c r="G113" s="32">
        <f>(G102/$L113)*$O113</f>
        <v>0</v>
      </c>
      <c r="H113" s="17">
        <f>SUM(C113:G113)</f>
        <v>0.19505644624277968</v>
      </c>
      <c r="I113" s="17">
        <f>C113/H113*100</f>
        <v>80.709534368070962</v>
      </c>
      <c r="J113" s="17">
        <f>SQRT(I113*(100-I113)/(L113-1))</f>
        <v>1.8600624236217143</v>
      </c>
      <c r="K113" s="18">
        <f>100-I113</f>
        <v>19.290465631929038</v>
      </c>
      <c r="L113" s="1">
        <f>H102</f>
        <v>451</v>
      </c>
      <c r="M113">
        <v>0</v>
      </c>
      <c r="N113" s="1">
        <v>176.34</v>
      </c>
      <c r="O113" s="17">
        <f>N113/N118*100</f>
        <v>0.19505644624277968</v>
      </c>
      <c r="P113" s="52">
        <f>((O113*O113*(I113/100)*(K113/100))/(L113-1))</f>
        <v>1.3163629604686419E-5</v>
      </c>
      <c r="R113" s="16" t="s">
        <v>61</v>
      </c>
      <c r="S113" t="s">
        <v>9</v>
      </c>
      <c r="T113" s="30">
        <f>N287</f>
        <v>183.72</v>
      </c>
      <c r="U113" s="30">
        <f>N288</f>
        <v>980.46</v>
      </c>
      <c r="V113" s="30">
        <f>N289</f>
        <v>56094.47</v>
      </c>
      <c r="W113" s="30">
        <f>N290</f>
        <v>28004.799999999999</v>
      </c>
      <c r="X113" s="30">
        <f>N291</f>
        <v>5141.16</v>
      </c>
      <c r="Z113" t="s">
        <v>36</v>
      </c>
      <c r="AA113" s="1">
        <f>N292</f>
        <v>90404.61</v>
      </c>
      <c r="AC113" t="s">
        <v>156</v>
      </c>
      <c r="AD113" s="51"/>
      <c r="AE113" s="51"/>
      <c r="AJ113" s="107"/>
      <c r="AK113" s="111" t="s">
        <v>31</v>
      </c>
      <c r="AL113" s="112">
        <f>AR94</f>
        <v>80.487804878048792</v>
      </c>
      <c r="AM113" s="112">
        <f>AR95</f>
        <v>96.491228070175438</v>
      </c>
      <c r="AN113" s="112">
        <f>AR96</f>
        <v>99.728629579375848</v>
      </c>
      <c r="AO113" s="112">
        <f>AR97</f>
        <v>97.752808988764045</v>
      </c>
      <c r="AP113" s="112">
        <f>AR98</f>
        <v>95.936570862239847</v>
      </c>
      <c r="AQ113" s="107"/>
      <c r="AR113" s="107"/>
      <c r="AS113" s="107"/>
      <c r="AU113" s="94"/>
      <c r="AV113" s="71" t="s">
        <v>360</v>
      </c>
      <c r="AW113" s="98"/>
      <c r="AX113" s="71" t="s">
        <v>359</v>
      </c>
      <c r="AY113" s="93"/>
    </row>
    <row r="114" spans="1:51" ht="15.6" x14ac:dyDescent="0.35">
      <c r="A114" t="s">
        <v>4</v>
      </c>
      <c r="B114" s="13">
        <v>1</v>
      </c>
      <c r="C114" s="33">
        <f t="shared" ref="C114:G117" si="18">(C103/$L114)*$O114</f>
        <v>0</v>
      </c>
      <c r="D114" s="34">
        <f t="shared" si="18"/>
        <v>0.94759345229716008</v>
      </c>
      <c r="E114" s="19">
        <f t="shared" si="18"/>
        <v>7.289180402285847E-2</v>
      </c>
      <c r="F114" s="18">
        <f t="shared" si="18"/>
        <v>1.8222951005714617E-2</v>
      </c>
      <c r="G114" s="20">
        <f t="shared" si="18"/>
        <v>0</v>
      </c>
      <c r="H114" s="17">
        <f>SUM(C114:G114)</f>
        <v>1.0387082073257332</v>
      </c>
      <c r="I114" s="17">
        <f>D114/H114*100</f>
        <v>91.228070175438589</v>
      </c>
      <c r="J114" s="17">
        <f>SQRT(I114*(100-I114)/(L114-1))</f>
        <v>3.7802263481198901</v>
      </c>
      <c r="K114" s="18">
        <f>100-I114</f>
        <v>8.7719298245614112</v>
      </c>
      <c r="L114" s="1">
        <f>H103</f>
        <v>57</v>
      </c>
      <c r="M114">
        <v>1</v>
      </c>
      <c r="N114" s="1">
        <v>939.04</v>
      </c>
      <c r="O114" s="17">
        <f>N114/N118*100</f>
        <v>1.0387082073257332</v>
      </c>
      <c r="P114" s="52">
        <f>((O114*O114*(I114/100)*(K114/100))/(L114-1))</f>
        <v>1.5417811655845657E-3</v>
      </c>
      <c r="R114" s="16" t="s">
        <v>318</v>
      </c>
      <c r="S114" t="s">
        <v>63</v>
      </c>
      <c r="T114" s="57">
        <f>$AA113*T106/100</f>
        <v>146.65011086474502</v>
      </c>
      <c r="U114" s="57">
        <f>$AA113*U106/100</f>
        <v>1068.9861265523359</v>
      </c>
      <c r="V114" s="57">
        <f>$AA113*V106/100</f>
        <v>56437.06537815198</v>
      </c>
      <c r="W114" s="57">
        <f>$AA113*W106/100</f>
        <v>27442.361053480654</v>
      </c>
      <c r="X114" s="57">
        <f>$AA113*X106/100</f>
        <v>5309.5473309502868</v>
      </c>
      <c r="Z114" t="s">
        <v>36</v>
      </c>
      <c r="AA114" s="25">
        <f>SUM(T114:X114)</f>
        <v>90404.61</v>
      </c>
      <c r="AC114" t="s">
        <v>203</v>
      </c>
      <c r="AD114" s="51"/>
      <c r="AE114" s="51"/>
      <c r="AH114" s="78"/>
      <c r="AI114" s="78"/>
      <c r="AJ114" s="107"/>
      <c r="AK114" s="113" t="s">
        <v>39</v>
      </c>
      <c r="AL114" s="114">
        <f>AS94</f>
        <v>1.8681504541587082</v>
      </c>
      <c r="AM114" s="114">
        <f>AS95</f>
        <v>2.4588241692166148</v>
      </c>
      <c r="AN114" s="114">
        <f>AS96</f>
        <v>0.19175746172356631</v>
      </c>
      <c r="AO114" s="114">
        <f>AS97</f>
        <v>0.64197928239881541</v>
      </c>
      <c r="AP114" s="114">
        <f>AS98</f>
        <v>0.62188226937477109</v>
      </c>
      <c r="AQ114" s="107"/>
      <c r="AR114" s="107"/>
      <c r="AS114" s="107"/>
      <c r="AU114" s="95"/>
      <c r="AV114" s="1" t="s">
        <v>361</v>
      </c>
      <c r="AW114" s="99"/>
      <c r="AX114" s="1" t="s">
        <v>364</v>
      </c>
      <c r="AY114" s="99"/>
    </row>
    <row r="115" spans="1:51" x14ac:dyDescent="0.3">
      <c r="A115" t="s">
        <v>5</v>
      </c>
      <c r="B115" s="13">
        <v>2</v>
      </c>
      <c r="C115" s="33">
        <f t="shared" si="18"/>
        <v>0</v>
      </c>
      <c r="D115" s="19">
        <f t="shared" si="18"/>
        <v>0.16799207612275799</v>
      </c>
      <c r="E115" s="34">
        <f t="shared" si="18"/>
        <v>61.56909589899081</v>
      </c>
      <c r="F115" s="19">
        <f t="shared" si="18"/>
        <v>0.16799207612275799</v>
      </c>
      <c r="G115" s="20">
        <f t="shared" si="18"/>
        <v>0</v>
      </c>
      <c r="H115" s="17">
        <f>SUM(C115:G115)</f>
        <v>61.905080051236325</v>
      </c>
      <c r="I115" s="17">
        <f>E115/H115*100</f>
        <v>99.457259158751697</v>
      </c>
      <c r="J115" s="17">
        <f>SQRT(I115*(100-I115)/(L115-1))</f>
        <v>0.27081679117169194</v>
      </c>
      <c r="K115" s="18">
        <f>100-I115</f>
        <v>0.54274084124830324</v>
      </c>
      <c r="L115" s="1">
        <f>H104</f>
        <v>737</v>
      </c>
      <c r="M115">
        <v>2</v>
      </c>
      <c r="N115" s="1">
        <v>55965.04</v>
      </c>
      <c r="O115" s="17">
        <f>N115/N118*100</f>
        <v>61.905080051236325</v>
      </c>
      <c r="P115" s="52">
        <f>((O115*O115*(I115/100)*(K115/100))/(L115-1))</f>
        <v>2.8106305013784343E-2</v>
      </c>
      <c r="R115" s="66"/>
      <c r="S115" s="66" t="s">
        <v>62</v>
      </c>
      <c r="T115" s="67">
        <f>$AA113*T107/100</f>
        <v>3.4718709217339447</v>
      </c>
      <c r="U115" s="67">
        <f>$AA113*U107/100</f>
        <v>96.462652045998908</v>
      </c>
      <c r="V115" s="67">
        <f>$AA113*V107/100</f>
        <v>160.08094068246487</v>
      </c>
      <c r="W115" s="67">
        <f>$AA113*W107/100</f>
        <v>228.75352417939936</v>
      </c>
      <c r="X115" s="67">
        <f>$AA113*X107/100</f>
        <v>141.3266472233112</v>
      </c>
      <c r="AA115" s="1"/>
      <c r="AC115" t="s">
        <v>204</v>
      </c>
      <c r="AD115" s="51"/>
      <c r="AE115" s="51"/>
      <c r="AJ115" s="107"/>
      <c r="AK115" s="109" t="s">
        <v>51</v>
      </c>
      <c r="AL115" s="110">
        <f>AW83*100</f>
        <v>89.189189189189193</v>
      </c>
      <c r="AM115" s="110">
        <f>AW84*100</f>
        <v>96.491228070175438</v>
      </c>
      <c r="AN115" s="110">
        <f>AW85*100</f>
        <v>99.526066350710906</v>
      </c>
      <c r="AO115" s="110">
        <f>AW86*100</f>
        <v>87.952822240943547</v>
      </c>
      <c r="AP115" s="110">
        <f>AW87*100</f>
        <v>97.58064516129032</v>
      </c>
      <c r="AQ115" s="107"/>
      <c r="AR115" s="107"/>
      <c r="AS115" s="107"/>
      <c r="AU115" s="96"/>
      <c r="AV115" s="1" t="s">
        <v>362</v>
      </c>
      <c r="AW115" s="100"/>
      <c r="AX115" s="71" t="s">
        <v>365</v>
      </c>
      <c r="AY115" s="102"/>
    </row>
    <row r="116" spans="1:51" x14ac:dyDescent="0.3">
      <c r="A116" t="s">
        <v>6</v>
      </c>
      <c r="B116" s="13">
        <v>3</v>
      </c>
      <c r="C116" s="33">
        <f t="shared" si="18"/>
        <v>0</v>
      </c>
      <c r="D116" s="19">
        <f t="shared" si="18"/>
        <v>0.11678609274306839</v>
      </c>
      <c r="E116" s="19">
        <f t="shared" si="18"/>
        <v>0.23357218548613679</v>
      </c>
      <c r="F116" s="34">
        <f t="shared" si="18"/>
        <v>30.305991066826248</v>
      </c>
      <c r="G116" s="20">
        <f t="shared" si="18"/>
        <v>0.52553741734380777</v>
      </c>
      <c r="H116" s="17">
        <f>SUM(C116:G116)</f>
        <v>31.181886762399262</v>
      </c>
      <c r="I116" s="17">
        <f>F116/H116*100</f>
        <v>97.191011235955045</v>
      </c>
      <c r="J116" s="17">
        <f>SQRT(I116*(100-I116)/(L116-1))</f>
        <v>0.71568917248320152</v>
      </c>
      <c r="K116" s="18">
        <f>100-I116</f>
        <v>2.8089887640449547</v>
      </c>
      <c r="L116" s="1">
        <f>H105</f>
        <v>534</v>
      </c>
      <c r="M116">
        <v>3</v>
      </c>
      <c r="N116" s="1">
        <v>28189.86</v>
      </c>
      <c r="O116" s="17">
        <f>N116/N118*100</f>
        <v>31.181886762399259</v>
      </c>
      <c r="P116" s="52">
        <f>((O116*O116*(I116/100)*(K116/100))/(L116-1))</f>
        <v>4.9802790104141452E-2</v>
      </c>
      <c r="R116" t="s">
        <v>98</v>
      </c>
      <c r="S116" t="s">
        <v>28</v>
      </c>
      <c r="T116" s="57">
        <f>C321</f>
        <v>0.14567732418183907</v>
      </c>
      <c r="U116" s="57">
        <f t="shared" ref="U116:X119" si="19">D321</f>
        <v>1.0556810631462934</v>
      </c>
      <c r="V116" s="57">
        <f t="shared" si="19"/>
        <v>62.642576549171018</v>
      </c>
      <c r="W116" s="57">
        <f t="shared" si="19"/>
        <v>30.235220411558142</v>
      </c>
      <c r="X116" s="57">
        <f t="shared" si="19"/>
        <v>5.9208446519427085</v>
      </c>
      <c r="Z116" s="74"/>
      <c r="AA116" s="12"/>
      <c r="AD116" s="51"/>
      <c r="AE116" s="51"/>
      <c r="AH116" s="78"/>
      <c r="AI116" s="78"/>
      <c r="AJ116" s="115" t="s">
        <v>356</v>
      </c>
      <c r="AK116" s="107" t="s">
        <v>9</v>
      </c>
      <c r="AL116" s="116">
        <f>AW94</f>
        <v>181.74</v>
      </c>
      <c r="AM116" s="116">
        <f>AW95</f>
        <v>869.64</v>
      </c>
      <c r="AN116" s="116">
        <f>AW96</f>
        <v>56195.03</v>
      </c>
      <c r="AO116" s="116">
        <f>AW97</f>
        <v>28112.28</v>
      </c>
      <c r="AP116" s="116">
        <f>AW98</f>
        <v>5045.92</v>
      </c>
      <c r="AQ116" s="107"/>
      <c r="AR116" s="115" t="s">
        <v>36</v>
      </c>
      <c r="AS116" s="136">
        <f>AW99</f>
        <v>90404.61</v>
      </c>
      <c r="AW116" s="102"/>
      <c r="AX116" s="1" t="s">
        <v>362</v>
      </c>
      <c r="AY116" s="104"/>
    </row>
    <row r="117" spans="1:51" ht="15.6" x14ac:dyDescent="0.35">
      <c r="A117" t="s">
        <v>7</v>
      </c>
      <c r="B117" s="13">
        <v>4</v>
      </c>
      <c r="C117" s="35">
        <f t="shared" si="18"/>
        <v>0</v>
      </c>
      <c r="D117" s="36">
        <f t="shared" si="18"/>
        <v>0</v>
      </c>
      <c r="E117" s="21">
        <f t="shared" si="18"/>
        <v>5.6286110334944463E-3</v>
      </c>
      <c r="F117" s="21">
        <f t="shared" si="18"/>
        <v>0.22514444133977787</v>
      </c>
      <c r="G117" s="37">
        <f t="shared" si="18"/>
        <v>5.4484954804226247</v>
      </c>
      <c r="H117" s="17">
        <f>SUM(C117:G117)</f>
        <v>5.6792685327958967</v>
      </c>
      <c r="I117" s="17">
        <f>G117/H117*100</f>
        <v>95.936570862239847</v>
      </c>
      <c r="J117" s="17">
        <f>SQRT(I117*(100-I117)/(L117-1))</f>
        <v>0.62188226937477109</v>
      </c>
      <c r="K117" s="18">
        <f>100-I117</f>
        <v>4.0634291377601528</v>
      </c>
      <c r="L117" s="1">
        <f>H106</f>
        <v>1009</v>
      </c>
      <c r="M117">
        <v>4</v>
      </c>
      <c r="N117" s="1">
        <v>5134.32</v>
      </c>
      <c r="O117" s="17">
        <f>N117/N118*100</f>
        <v>5.6792685327958967</v>
      </c>
      <c r="P117" s="52">
        <f>((O117*O117*(I117/100)*(K117/100))/(L117-1))</f>
        <v>1.2473868381538749E-3</v>
      </c>
      <c r="S117" s="66" t="s">
        <v>39</v>
      </c>
      <c r="T117" s="67">
        <f>C322</f>
        <v>3.9897084447496015E-3</v>
      </c>
      <c r="U117" s="67">
        <f t="shared" si="19"/>
        <v>8.7719173400761866E-2</v>
      </c>
      <c r="V117" s="67">
        <f t="shared" si="19"/>
        <v>0.17784054565546631</v>
      </c>
      <c r="W117" s="67">
        <f t="shared" si="19"/>
        <v>0.21713559921353509</v>
      </c>
      <c r="X117" s="67">
        <f t="shared" si="19"/>
        <v>0.15319149403507837</v>
      </c>
      <c r="AD117" s="51"/>
      <c r="AE117" s="51"/>
      <c r="AJ117" s="115" t="s">
        <v>355</v>
      </c>
      <c r="AK117" s="107" t="s">
        <v>63</v>
      </c>
      <c r="AL117" s="108">
        <f>$AS116*AL109/100</f>
        <v>146.27853658536588</v>
      </c>
      <c r="AM117" s="108">
        <f>$AS116*AM109/100</f>
        <v>944.41575399172098</v>
      </c>
      <c r="AN117" s="108">
        <f>$AS116*AN109/100</f>
        <v>56220.725221921624</v>
      </c>
      <c r="AO117" s="108">
        <f>$AS116*AO109/100</f>
        <v>27883.794837341491</v>
      </c>
      <c r="AP117" s="108">
        <f>$AS116*AP109/100</f>
        <v>5209.3956501597977</v>
      </c>
      <c r="AQ117" s="107"/>
      <c r="AR117" s="115" t="s">
        <v>36</v>
      </c>
      <c r="AS117" s="136">
        <f>SUM(AL117:AP117)</f>
        <v>90404.61</v>
      </c>
    </row>
    <row r="118" spans="1:51" x14ac:dyDescent="0.3">
      <c r="B118" t="s">
        <v>28</v>
      </c>
      <c r="C118" s="17">
        <f t="shared" ref="C118:H118" si="20">SUM(C113:C117)</f>
        <v>0.15742914951745413</v>
      </c>
      <c r="D118" s="17">
        <f t="shared" si="20"/>
        <v>1.2323716211629865</v>
      </c>
      <c r="E118" s="17">
        <f t="shared" si="20"/>
        <v>61.881188499533302</v>
      </c>
      <c r="F118" s="17">
        <f t="shared" si="20"/>
        <v>30.754977832019826</v>
      </c>
      <c r="G118" s="17">
        <f t="shared" si="20"/>
        <v>5.9740328977664321</v>
      </c>
      <c r="H118" s="18">
        <f t="shared" si="20"/>
        <v>100</v>
      </c>
      <c r="I118" s="13" t="s">
        <v>24</v>
      </c>
      <c r="J118" s="12" t="s">
        <v>29</v>
      </c>
      <c r="N118" s="1">
        <f>SUM(N113:N117)</f>
        <v>90404.6</v>
      </c>
      <c r="O118" s="17">
        <f>SUM(O113:O117)</f>
        <v>100</v>
      </c>
      <c r="S118" t="s">
        <v>30</v>
      </c>
      <c r="T118" s="57">
        <f>C323</f>
        <v>100</v>
      </c>
      <c r="U118" s="57">
        <f t="shared" si="19"/>
        <v>88.725160133338548</v>
      </c>
      <c r="V118" s="57">
        <f t="shared" si="19"/>
        <v>99.691284254718752</v>
      </c>
      <c r="W118" s="57">
        <f t="shared" si="19"/>
        <v>98.787708768738241</v>
      </c>
      <c r="X118" s="57">
        <f t="shared" si="19"/>
        <v>93.260942867561425</v>
      </c>
      <c r="AD118" s="51"/>
      <c r="AE118" s="51"/>
      <c r="AH118" s="78"/>
      <c r="AI118" s="78"/>
      <c r="AJ118" s="109"/>
      <c r="AK118" s="109" t="s">
        <v>354</v>
      </c>
      <c r="AL118" s="110">
        <f>$AS116*AL110/100</f>
        <v>3.39141049264774</v>
      </c>
      <c r="AM118" s="110">
        <f>$AS116*AM110/100</f>
        <v>77.274707951460883</v>
      </c>
      <c r="AN118" s="110">
        <f>$AS116*AN110/100</f>
        <v>141.8359168057909</v>
      </c>
      <c r="AO118" s="110">
        <f>$AS116*AO110/100</f>
        <v>212.8548757276848</v>
      </c>
      <c r="AP118" s="110">
        <f>$AS116*AP110/100</f>
        <v>141.87904384316033</v>
      </c>
      <c r="AQ118" s="107"/>
      <c r="AR118" s="107"/>
      <c r="AS118" s="107"/>
    </row>
    <row r="119" spans="1:51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3.6241470659860845E-3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0.14960301988423794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0.20705490812804556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0.25561357591218348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0.17724748915809041</v>
      </c>
      <c r="H119" s="1"/>
      <c r="I119" s="56">
        <f>(C113+D114+E115+F116+G117)/H118</f>
        <v>0.98428605048054296</v>
      </c>
      <c r="J119" s="53">
        <f>SQRT(SUM(P113:P117))/100</f>
        <v>2.8409756554970494E-3</v>
      </c>
      <c r="M119" s="1"/>
      <c r="N119" s="9"/>
      <c r="S119" s="66" t="s">
        <v>39</v>
      </c>
      <c r="T119" s="67">
        <f>C324</f>
        <v>0</v>
      </c>
      <c r="U119" s="67">
        <f t="shared" si="19"/>
        <v>7.4614050792075908</v>
      </c>
      <c r="V119" s="67">
        <f t="shared" si="19"/>
        <v>0.15948801537959054</v>
      </c>
      <c r="W119" s="67">
        <f t="shared" si="19"/>
        <v>0.41025623344726425</v>
      </c>
      <c r="X119" s="67">
        <f t="shared" si="19"/>
        <v>2.3899458116687775</v>
      </c>
      <c r="AD119" s="51"/>
      <c r="AE119" s="51"/>
      <c r="AJ119" s="115" t="s">
        <v>376</v>
      </c>
      <c r="AK119" s="122" t="s">
        <v>9</v>
      </c>
      <c r="AL119" s="135">
        <f>AVERAGE(AR195:AR214)</f>
        <v>179.10700000000003</v>
      </c>
      <c r="AM119" s="135">
        <f>AVERAGE(AS195:AS214)</f>
        <v>922.53700000000003</v>
      </c>
      <c r="AN119" s="135">
        <f>AVERAGE(AT195:AT214)</f>
        <v>56106.523000000008</v>
      </c>
      <c r="AO119" s="139">
        <f>AVERAGE(AU195:AU214)</f>
        <v>28070.145</v>
      </c>
      <c r="AP119" s="139">
        <f>AVERAGE(AV195:AV214)</f>
        <v>5126.2970000000005</v>
      </c>
      <c r="AQ119" s="107"/>
      <c r="AR119" s="115" t="s">
        <v>36</v>
      </c>
      <c r="AS119" s="136">
        <f>SUM(AL119:AP119)</f>
        <v>90404.609000000011</v>
      </c>
    </row>
    <row r="120" spans="1:51" x14ac:dyDescent="0.3">
      <c r="B120" s="1" t="s">
        <v>30</v>
      </c>
      <c r="C120" s="17">
        <f>C113/C118*100</f>
        <v>100</v>
      </c>
      <c r="D120" s="17">
        <f>D114/D118*100</f>
        <v>76.891859243149256</v>
      </c>
      <c r="E120" s="17">
        <f>E115/E118*100</f>
        <v>99.495658360626265</v>
      </c>
      <c r="F120" s="17">
        <f>F116/F118*100</f>
        <v>98.540116765338297</v>
      </c>
      <c r="G120" s="17">
        <f>G117/G118*100</f>
        <v>91.202970818250847</v>
      </c>
      <c r="H120" s="1"/>
      <c r="S120" s="15" t="s">
        <v>31</v>
      </c>
      <c r="T120" s="71">
        <f>I316</f>
        <v>74.722838137472294</v>
      </c>
      <c r="U120" s="71">
        <f>I317</f>
        <v>98.245614035087712</v>
      </c>
      <c r="V120" s="71">
        <f>I318</f>
        <v>99.592944369063773</v>
      </c>
      <c r="W120" s="71">
        <f>I319</f>
        <v>98.12734082397003</v>
      </c>
      <c r="X120" s="71">
        <f>I320</f>
        <v>96.729435084241828</v>
      </c>
      <c r="AD120" s="51"/>
      <c r="AE120" s="51"/>
      <c r="AH120" s="78"/>
      <c r="AI120" s="78"/>
      <c r="AJ120" s="140"/>
      <c r="AK120" s="128" t="s">
        <v>368</v>
      </c>
      <c r="AL120" s="125">
        <f>_xlfn.STDEV.S(AR195:AR214)/SQRT($AK$108)</f>
        <v>2.8099834331783606</v>
      </c>
      <c r="AM120" s="125">
        <f>_xlfn.STDEV.S(AS195:AS214)/SQRT($AK$108)</f>
        <v>12.709069701760646</v>
      </c>
      <c r="AN120" s="125">
        <f>_xlfn.STDEV.S(AT195:AT214)/SQRT($AK$108)</f>
        <v>52.788375874060137</v>
      </c>
      <c r="AO120" s="125">
        <f>_xlfn.STDEV.S(AU195:AU214)/SQRT($AK$108)</f>
        <v>48.747849164428736</v>
      </c>
      <c r="AP120" s="125">
        <f>_xlfn.STDEV.S(AV195:AV214)/SQRT($AK$108)</f>
        <v>14.708807102155541</v>
      </c>
      <c r="AQ120" s="107"/>
      <c r="AR120" s="107"/>
      <c r="AS120" s="107"/>
    </row>
    <row r="121" spans="1:51" x14ac:dyDescent="0.3">
      <c r="B121" s="16" t="s">
        <v>39</v>
      </c>
      <c r="C121" s="18">
        <f>SQRT((C124+C125)/(C118*C118))</f>
        <v>0</v>
      </c>
      <c r="D121" s="18">
        <f>SQRT((D124+D125)/(D118*D118))</f>
        <v>11.643200124533836</v>
      </c>
      <c r="E121" s="18">
        <f>SQRT((E124+E125)/(E118*E118))</f>
        <v>0.19641626714250604</v>
      </c>
      <c r="F121" s="18">
        <f>SQRT((F124+F125)/(F118*F118))</f>
        <v>0.41464839261336323</v>
      </c>
      <c r="G121" s="18">
        <f>SQRT((G124+G125)/(G118*G118))</f>
        <v>2.7047106009763082</v>
      </c>
      <c r="H121" s="1"/>
      <c r="S121" s="75" t="s">
        <v>39</v>
      </c>
      <c r="T121" s="76">
        <f>J316</f>
        <v>2.0487292942094326</v>
      </c>
      <c r="U121" s="76">
        <f>J317</f>
        <v>1.7543859649122842</v>
      </c>
      <c r="V121" s="76">
        <f>J318</f>
        <v>0.2346941488143626</v>
      </c>
      <c r="W121" s="76">
        <f>J319</f>
        <v>0.58716584080058165</v>
      </c>
      <c r="X121" s="76">
        <f>J320</f>
        <v>0.56022237002516784</v>
      </c>
      <c r="AD121" s="51"/>
      <c r="AE121" s="51"/>
      <c r="AJ121" s="119" t="s">
        <v>705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</row>
    <row r="122" spans="1:51" x14ac:dyDescent="0.3">
      <c r="B122" s="1" t="s">
        <v>37</v>
      </c>
      <c r="C122" s="18">
        <f>100-C120</f>
        <v>0</v>
      </c>
      <c r="D122" s="18">
        <f>100-D120</f>
        <v>23.108140756850744</v>
      </c>
      <c r="E122" s="18">
        <f>100-E120</f>
        <v>0.50434163937373455</v>
      </c>
      <c r="F122" s="18">
        <f>100-F120</f>
        <v>1.459883234661703</v>
      </c>
      <c r="G122" s="18">
        <f>100-G120</f>
        <v>8.7970291817491528</v>
      </c>
      <c r="S122" s="66" t="s">
        <v>51</v>
      </c>
      <c r="T122" s="67">
        <f>N305*100</f>
        <v>85.532994923857871</v>
      </c>
      <c r="U122" s="67">
        <f>N306*100</f>
        <v>93.333333333333329</v>
      </c>
      <c r="V122" s="67">
        <f>N307*100</f>
        <v>99.45799457994579</v>
      </c>
      <c r="W122" s="67">
        <f>N308*100</f>
        <v>87.333333333333343</v>
      </c>
      <c r="X122" s="67">
        <f>N309*100</f>
        <v>97.99196787148594</v>
      </c>
      <c r="AD122" s="51"/>
      <c r="AE122" s="51"/>
      <c r="AH122" s="78"/>
      <c r="AI122" s="78"/>
      <c r="AJ122" s="115" t="s">
        <v>375</v>
      </c>
      <c r="AK122" s="122" t="s">
        <v>9</v>
      </c>
      <c r="AL122" s="135">
        <v>1.08</v>
      </c>
      <c r="AM122" s="135">
        <v>366.68</v>
      </c>
      <c r="AN122" s="135">
        <v>4868.8999999999996</v>
      </c>
      <c r="AO122" s="135">
        <v>820.3</v>
      </c>
      <c r="AP122" s="135">
        <v>167.32</v>
      </c>
      <c r="AQ122" s="107"/>
      <c r="AR122" s="115" t="s">
        <v>36</v>
      </c>
      <c r="AS122" s="136">
        <f>SUM(AL122:AP122)</f>
        <v>6224.28</v>
      </c>
      <c r="AU122">
        <v>1</v>
      </c>
      <c r="AV122">
        <v>68</v>
      </c>
    </row>
    <row r="123" spans="1:51" ht="15.6" x14ac:dyDescent="0.35">
      <c r="B123" s="1" t="s">
        <v>25</v>
      </c>
      <c r="C123" s="1">
        <f>C107</f>
        <v>364</v>
      </c>
      <c r="D123" s="1">
        <f>D107</f>
        <v>56</v>
      </c>
      <c r="E123" s="1">
        <f>E107</f>
        <v>742</v>
      </c>
      <c r="F123" s="1">
        <f>F107</f>
        <v>649</v>
      </c>
      <c r="G123" s="1">
        <f>G107</f>
        <v>977</v>
      </c>
      <c r="R123" s="16" t="s">
        <v>61</v>
      </c>
      <c r="S123" t="s">
        <v>9</v>
      </c>
      <c r="T123" s="30">
        <f>N316</f>
        <v>176.25</v>
      </c>
      <c r="U123" s="30">
        <f>N317</f>
        <v>861.9</v>
      </c>
      <c r="V123" s="30">
        <f>N318</f>
        <v>56687.69</v>
      </c>
      <c r="W123" s="30">
        <f>N319</f>
        <v>27517.98</v>
      </c>
      <c r="X123" s="30">
        <f>N320</f>
        <v>5160.78</v>
      </c>
      <c r="Z123" t="s">
        <v>36</v>
      </c>
      <c r="AA123" s="1">
        <f>N321</f>
        <v>90404.6</v>
      </c>
      <c r="AD123" s="51"/>
      <c r="AE123" s="51"/>
      <c r="AJ123" s="107"/>
      <c r="AK123" s="107" t="s">
        <v>367</v>
      </c>
      <c r="AL123" s="108">
        <f>(AL122/$AS122)*100</f>
        <v>1.7351404499797569E-2</v>
      </c>
      <c r="AM123" s="108">
        <f>(AM122/$AS122)*100</f>
        <v>5.891123149986826</v>
      </c>
      <c r="AN123" s="108">
        <f>(AN122/$AS122)*100</f>
        <v>78.224308675059604</v>
      </c>
      <c r="AO123" s="108">
        <f>(AO122/$AS122)*100</f>
        <v>13.179034362207357</v>
      </c>
      <c r="AP123" s="108">
        <f>(AP122/$AS122)*100</f>
        <v>2.6881824082464156</v>
      </c>
      <c r="AQ123" s="107"/>
      <c r="AR123" s="107"/>
      <c r="AS123" s="107"/>
      <c r="AU123">
        <v>2</v>
      </c>
      <c r="AV123">
        <v>97</v>
      </c>
    </row>
    <row r="124" spans="1:51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82.328981841445838</v>
      </c>
      <c r="E124" s="18">
        <f>(O115*O115*(100-E120)*(100-E120)*(I115)*(100-I115))/((L115-1)*100)</f>
        <v>0.71491334930844674</v>
      </c>
      <c r="F124" s="18">
        <f>(O116*O116*(100-F120)*(100-F120)*(I116)*(100-I116))/((L116-1)*100)</f>
        <v>10.614264756527316</v>
      </c>
      <c r="G124" s="18">
        <f>(O117*O117*(100-G120)*(100-G120)*(I117)*(100-I117))/((L117-1)*100)</f>
        <v>9.6532426387084378</v>
      </c>
      <c r="R124" s="16" t="s">
        <v>318</v>
      </c>
      <c r="S124" t="s">
        <v>63</v>
      </c>
      <c r="T124" s="57">
        <f>$AA123*T116/100</f>
        <v>131.69900221729489</v>
      </c>
      <c r="U124" s="57">
        <f>$AA123*U116/100</f>
        <v>954.38424241315397</v>
      </c>
      <c r="V124" s="57">
        <f>$AA123*V116/100</f>
        <v>56631.77075897187</v>
      </c>
      <c r="W124" s="57">
        <f>$AA123*W116/100</f>
        <v>27334.030072187492</v>
      </c>
      <c r="X124" s="57">
        <f>$AA123*X116/100</f>
        <v>5352.715924210198</v>
      </c>
      <c r="Z124" t="s">
        <v>36</v>
      </c>
      <c r="AA124" s="25">
        <f>SUM(T124:X124)</f>
        <v>90404.6</v>
      </c>
      <c r="AD124" s="51"/>
      <c r="AE124" s="51"/>
      <c r="AH124" s="78"/>
      <c r="AI124" s="78"/>
      <c r="AJ124" s="115" t="s">
        <v>376</v>
      </c>
      <c r="AK124" s="122" t="s">
        <v>9</v>
      </c>
      <c r="AL124" s="139">
        <f>AVERAGE(AR216:AR235)</f>
        <v>1.2375000000000003</v>
      </c>
      <c r="AM124" s="135">
        <f>AVERAGE(AS216:AS235)</f>
        <v>379.22950000000003</v>
      </c>
      <c r="AN124" s="135">
        <f>AVERAGE(AT216:AT235)</f>
        <v>4851.7535000000007</v>
      </c>
      <c r="AO124" s="135">
        <f>AVERAGE(AU216:AU235)</f>
        <v>825.82150000000001</v>
      </c>
      <c r="AP124" s="135">
        <f>AVERAGE(AV216:AV235)</f>
        <v>166.24</v>
      </c>
      <c r="AQ124" s="107"/>
      <c r="AR124" s="115" t="s">
        <v>36</v>
      </c>
      <c r="AS124" s="136">
        <f>SUM(AL124:AP124)</f>
        <v>6224.2820000000002</v>
      </c>
      <c r="AU124">
        <v>3</v>
      </c>
      <c r="AV124">
        <v>126</v>
      </c>
    </row>
    <row r="125" spans="1:51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123.55762787553158</v>
      </c>
      <c r="E125" s="18">
        <f>E120*E120*(SUM((H113*E113*(1-E102/H102))/(H102-1),(H114*E114*(1-E103/H103))/(H103-1), (H116*E116*(1-E105/H105))/(H105-1),(H117*E117*(1-E106/H106))/(H106-1)))</f>
        <v>147.01627749944402</v>
      </c>
      <c r="F125" s="18">
        <f>F120*F120*(SUM((H113*F113*(1-F102/H102))/(H102-1),(H114*F114*(1-F103/H103))/(H103-1), (H115*F115*(1-F104/H104))/(H104-1),(H117*F117*(1-F106/H106))/(H106-1)))</f>
        <v>152.01204563821102</v>
      </c>
      <c r="G125" s="18">
        <f>G120*G120*(SUM((H113*G113*(1-G102/H102))/(H102-1),(H114*G114*(1-G103/H103))/(H103-1), (H115*G115*(1-G104/H104))/(H104-1),(H116*G116*(1-G105/H105))/(H105-1)))</f>
        <v>251.42869437013849</v>
      </c>
      <c r="R125" s="66"/>
      <c r="S125" s="66" t="s">
        <v>62</v>
      </c>
      <c r="T125" s="67">
        <f>$AA123*T117/100</f>
        <v>3.6068799606420985</v>
      </c>
      <c r="U125" s="67">
        <f>$AA123*U117/100</f>
        <v>79.30216783626517</v>
      </c>
      <c r="V125" s="67">
        <f>$AA123*V117/100</f>
        <v>160.7760339376417</v>
      </c>
      <c r="W125" s="67">
        <f>$AA123*W117/100</f>
        <v>196.30056992659956</v>
      </c>
      <c r="X125" s="67">
        <f>$AA123*X117/100</f>
        <v>138.49215741643647</v>
      </c>
      <c r="AA125" s="1"/>
      <c r="AD125" s="51"/>
      <c r="AE125" s="51"/>
      <c r="AJ125" s="107"/>
      <c r="AK125" s="128" t="s">
        <v>368</v>
      </c>
      <c r="AL125" s="125">
        <f>_xlfn.STDEV.S(AR216:AR235)/SQRT($AK$108)</f>
        <v>6.426456418996615E-2</v>
      </c>
      <c r="AM125" s="125">
        <f>_xlfn.STDEV.S(AS216:AS235)/SQRT($AK$108)</f>
        <v>7.454360062018103</v>
      </c>
      <c r="AN125" s="125">
        <f>_xlfn.STDEV.S(AT216:AT235)/SQRT($AK$108)</f>
        <v>7.7707323801353558</v>
      </c>
      <c r="AO125" s="125">
        <f>_xlfn.STDEV.S(AU216:AU235)/SQRT($AK$108)</f>
        <v>2.6059237451985204</v>
      </c>
      <c r="AP125" s="125">
        <f>_xlfn.STDEV.S(AV216:AV235)/SQRT($AK$108)</f>
        <v>1.6326349384063976</v>
      </c>
      <c r="AQ125" s="107"/>
      <c r="AR125" s="107"/>
      <c r="AS125" s="141"/>
      <c r="AU125">
        <v>4</v>
      </c>
      <c r="AV125">
        <v>155</v>
      </c>
    </row>
    <row r="126" spans="1:51" x14ac:dyDescent="0.3">
      <c r="R126" t="s">
        <v>99</v>
      </c>
      <c r="S126" t="s">
        <v>28</v>
      </c>
      <c r="T126" s="57">
        <f>C350</f>
        <v>0.14552851514518556</v>
      </c>
      <c r="U126" s="57">
        <f t="shared" ref="U126:X129" si="21">D350</f>
        <v>1.0143853604297248</v>
      </c>
      <c r="V126" s="57">
        <f t="shared" si="21"/>
        <v>62.719938320672121</v>
      </c>
      <c r="W126" s="57">
        <f t="shared" si="21"/>
        <v>30.164596316025595</v>
      </c>
      <c r="X126" s="57">
        <f t="shared" si="21"/>
        <v>5.9555514877273783</v>
      </c>
      <c r="Y126" s="13"/>
      <c r="Z126" s="74"/>
      <c r="AA126" s="12"/>
      <c r="AD126" s="51"/>
      <c r="AE126" s="51"/>
      <c r="AH126" s="78"/>
      <c r="AI126" s="78"/>
      <c r="AJ126" s="119" t="s">
        <v>669</v>
      </c>
      <c r="AK126" s="107"/>
      <c r="AL126" s="116"/>
      <c r="AM126" s="116"/>
      <c r="AN126" s="116"/>
      <c r="AO126" s="116"/>
      <c r="AP126" s="116"/>
      <c r="AQ126" s="107"/>
      <c r="AR126" s="107"/>
      <c r="AS126" s="141"/>
      <c r="AU126">
        <v>5</v>
      </c>
      <c r="AV126">
        <v>184</v>
      </c>
    </row>
    <row r="127" spans="1:51" x14ac:dyDescent="0.3">
      <c r="S127" s="66" t="s">
        <v>39</v>
      </c>
      <c r="T127" s="67">
        <f>C351</f>
        <v>3.9856329671587969E-3</v>
      </c>
      <c r="U127" s="67">
        <f t="shared" si="21"/>
        <v>6.2746353412920147E-2</v>
      </c>
      <c r="V127" s="67">
        <f t="shared" si="21"/>
        <v>0.16552753714735111</v>
      </c>
      <c r="W127" s="67">
        <f t="shared" si="21"/>
        <v>0.24452737738346139</v>
      </c>
      <c r="X127" s="67">
        <f t="shared" si="21"/>
        <v>0.17498493459026668</v>
      </c>
      <c r="AD127" s="51"/>
      <c r="AE127" s="51"/>
      <c r="AJ127" s="115" t="s">
        <v>375</v>
      </c>
      <c r="AK127" s="122" t="s">
        <v>9</v>
      </c>
      <c r="AL127" s="135">
        <v>166.02</v>
      </c>
      <c r="AM127" s="135">
        <v>131.33000000000001</v>
      </c>
      <c r="AN127" s="135">
        <v>4314.8</v>
      </c>
      <c r="AO127" s="135">
        <v>12170.84</v>
      </c>
      <c r="AP127" s="135">
        <v>4196.13</v>
      </c>
      <c r="AQ127" s="107"/>
      <c r="AR127" s="115" t="s">
        <v>36</v>
      </c>
      <c r="AS127" s="136">
        <f>SUM(AL127:AP127)</f>
        <v>20979.120000000003</v>
      </c>
      <c r="AU127">
        <v>6</v>
      </c>
      <c r="AV127">
        <v>213</v>
      </c>
    </row>
    <row r="128" spans="1:51" x14ac:dyDescent="0.3">
      <c r="A128" s="348" t="s">
        <v>382</v>
      </c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 t="s">
        <v>59</v>
      </c>
      <c r="M128" s="348"/>
      <c r="N128" s="348"/>
      <c r="O128" s="348"/>
      <c r="P128" s="348"/>
      <c r="S128" t="s">
        <v>30</v>
      </c>
      <c r="T128" s="57">
        <f>C352</f>
        <v>100</v>
      </c>
      <c r="U128" s="57">
        <f t="shared" si="21"/>
        <v>93.217735018151274</v>
      </c>
      <c r="V128" s="57">
        <f t="shared" si="21"/>
        <v>99.38585789471486</v>
      </c>
      <c r="W128" s="57">
        <f t="shared" si="21"/>
        <v>98.790107710893409</v>
      </c>
      <c r="X128" s="57">
        <f t="shared" si="21"/>
        <v>91.306358190353592</v>
      </c>
      <c r="AD128" s="51"/>
      <c r="AE128" s="51"/>
      <c r="AH128" s="78"/>
      <c r="AI128" s="78"/>
      <c r="AJ128" s="107"/>
      <c r="AK128" s="107" t="s">
        <v>367</v>
      </c>
      <c r="AL128" s="108">
        <f>(AL127/$AS127)*100</f>
        <v>0.79135826478899018</v>
      </c>
      <c r="AM128" s="108">
        <f>(AM127/$AS127)*100</f>
        <v>0.62600337859738631</v>
      </c>
      <c r="AN128" s="108">
        <f>(AN127/$AS127)*100</f>
        <v>20.567116256544601</v>
      </c>
      <c r="AO128" s="108">
        <f>(AO127/$AS127)*100</f>
        <v>58.014063506953576</v>
      </c>
      <c r="AP128" s="108">
        <f>(AP127/$AS127)*100</f>
        <v>20.001458593115441</v>
      </c>
      <c r="AQ128" s="107"/>
      <c r="AR128" s="107"/>
      <c r="AS128" s="141"/>
      <c r="AU128">
        <v>7</v>
      </c>
      <c r="AV128">
        <v>242</v>
      </c>
    </row>
    <row r="129" spans="1:48" x14ac:dyDescent="0.3">
      <c r="A129" t="s">
        <v>315</v>
      </c>
      <c r="B129" t="s">
        <v>21</v>
      </c>
      <c r="I129" s="1" t="s">
        <v>53</v>
      </c>
      <c r="O129" s="142"/>
      <c r="P129" s="142"/>
      <c r="S129" s="66" t="s">
        <v>39</v>
      </c>
      <c r="T129" s="67">
        <f>C353</f>
        <v>0</v>
      </c>
      <c r="U129" s="67">
        <f t="shared" si="21"/>
        <v>5.5748978379524115</v>
      </c>
      <c r="V129" s="67">
        <f t="shared" si="21"/>
        <v>0.22582864572589073</v>
      </c>
      <c r="W129" s="67">
        <f t="shared" si="21"/>
        <v>0.31431975578234345</v>
      </c>
      <c r="X129" s="67">
        <f t="shared" si="21"/>
        <v>2.6797355738626187</v>
      </c>
      <c r="AD129" s="51"/>
      <c r="AE129" s="51"/>
      <c r="AJ129" s="115" t="s">
        <v>376</v>
      </c>
      <c r="AK129" s="122" t="s">
        <v>9</v>
      </c>
      <c r="AL129" s="135">
        <f>AVERAGE(AL195:AL214)</f>
        <v>163.358</v>
      </c>
      <c r="AM129" s="135">
        <f>AVERAGE(AM195:AM214)</f>
        <v>158.89400000000001</v>
      </c>
      <c r="AN129" s="135">
        <f>AVERAGE(AN195:AN214)</f>
        <v>4304.6900000000005</v>
      </c>
      <c r="AO129" s="135">
        <f>AVERAGE(AO195:AO214)</f>
        <v>12114.662999999997</v>
      </c>
      <c r="AP129" s="139">
        <f>AVERAGE(AP195:AP214)</f>
        <v>4237.5264999999999</v>
      </c>
      <c r="AQ129" s="107"/>
      <c r="AR129" s="115" t="s">
        <v>36</v>
      </c>
      <c r="AS129" s="136">
        <f>SUM(AL129:AP129)</f>
        <v>20979.131499999996</v>
      </c>
      <c r="AU129">
        <v>8</v>
      </c>
      <c r="AV129">
        <v>271</v>
      </c>
    </row>
    <row r="130" spans="1:48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51</v>
      </c>
      <c r="O130" s="13"/>
      <c r="P130" s="13"/>
      <c r="S130" s="15" t="s">
        <v>31</v>
      </c>
      <c r="T130" s="71">
        <f>I345</f>
        <v>74.72283813747228</v>
      </c>
      <c r="U130" s="71">
        <f>I346</f>
        <v>96.491228070175438</v>
      </c>
      <c r="V130" s="71">
        <f>I347</f>
        <v>99.864314789687924</v>
      </c>
      <c r="W130" s="71">
        <f>I348</f>
        <v>97.00374531835206</v>
      </c>
      <c r="X130" s="71">
        <f>I349</f>
        <v>95.63924677898909</v>
      </c>
      <c r="AD130" s="51"/>
      <c r="AE130" s="51"/>
      <c r="AH130" s="78"/>
      <c r="AI130" s="78"/>
      <c r="AJ130" s="107"/>
      <c r="AK130" s="128" t="s">
        <v>368</v>
      </c>
      <c r="AL130" s="125">
        <f>_xlfn.STDEV.S(AL195:AL214)/SQRT($AK$108)</f>
        <v>3.0654792361665777</v>
      </c>
      <c r="AM130" s="125">
        <f>_xlfn.STDEV.S(AM195:AM214)/SQRT($AK$108)</f>
        <v>5.5212246639195595</v>
      </c>
      <c r="AN130" s="125">
        <f>_xlfn.STDEV.S(AN195:AN214)/SQRT($AK$108)</f>
        <v>15.390695531631065</v>
      </c>
      <c r="AO130" s="125">
        <f>_xlfn.STDEV.S(AO195:AO214)/SQRT($AK$108)</f>
        <v>18.827839355313014</v>
      </c>
      <c r="AP130" s="125">
        <f>_xlfn.STDEV.S(AP195:AP214)/SQRT($AK$108)</f>
        <v>10.589162316528579</v>
      </c>
      <c r="AQ130" s="107"/>
      <c r="AR130" s="107"/>
      <c r="AS130" s="141"/>
      <c r="AU130">
        <v>9</v>
      </c>
      <c r="AV130">
        <v>300</v>
      </c>
    </row>
    <row r="131" spans="1:48" x14ac:dyDescent="0.3">
      <c r="A131" t="s">
        <v>3</v>
      </c>
      <c r="B131" s="13">
        <v>0</v>
      </c>
      <c r="C131" s="26">
        <v>377</v>
      </c>
      <c r="D131" s="3">
        <v>0</v>
      </c>
      <c r="E131" s="3">
        <v>0</v>
      </c>
      <c r="F131" s="3">
        <v>74</v>
      </c>
      <c r="G131" s="4">
        <v>0</v>
      </c>
      <c r="H131" s="1">
        <f>SUM(C131:G131)</f>
        <v>451</v>
      </c>
      <c r="I131" s="10">
        <f>C131/H131</f>
        <v>0.83592017738359203</v>
      </c>
      <c r="J131" s="11">
        <f>1-I131</f>
        <v>0.16407982261640797</v>
      </c>
      <c r="K131">
        <f>H131-C136</f>
        <v>74</v>
      </c>
      <c r="N131" s="10">
        <f>2*(C137*I131)/(C137+I131)</f>
        <v>0.91062801932367154</v>
      </c>
      <c r="O131" s="1"/>
      <c r="P131" s="1"/>
      <c r="S131" s="75" t="s">
        <v>39</v>
      </c>
      <c r="T131" s="76">
        <f>J345</f>
        <v>2.0487292942094326</v>
      </c>
      <c r="U131" s="76">
        <f>J346</f>
        <v>2.4588241692166148</v>
      </c>
      <c r="V131" s="76">
        <f>J347</f>
        <v>0.13568521031207589</v>
      </c>
      <c r="W131" s="76">
        <f>J348</f>
        <v>0.73844815484055726</v>
      </c>
      <c r="X131" s="76">
        <f>J349</f>
        <v>0.64323336369097983</v>
      </c>
      <c r="AD131" s="51"/>
      <c r="AE131" s="51"/>
      <c r="AJ131" s="119" t="s">
        <v>706</v>
      </c>
      <c r="AK131" s="107"/>
      <c r="AL131" s="116"/>
      <c r="AM131" s="116"/>
      <c r="AN131" s="116"/>
      <c r="AO131" s="116"/>
      <c r="AP131" s="116"/>
      <c r="AQ131" s="107"/>
      <c r="AR131" s="107"/>
      <c r="AS131" s="141"/>
      <c r="AU131">
        <v>10</v>
      </c>
      <c r="AV131">
        <v>329</v>
      </c>
    </row>
    <row r="132" spans="1:48" x14ac:dyDescent="0.3">
      <c r="A132" t="s">
        <v>4</v>
      </c>
      <c r="B132" s="13">
        <v>1</v>
      </c>
      <c r="C132" s="5">
        <v>0</v>
      </c>
      <c r="D132" s="27">
        <v>56</v>
      </c>
      <c r="E132" s="1">
        <v>1</v>
      </c>
      <c r="F132" s="1">
        <v>0</v>
      </c>
      <c r="G132" s="6">
        <v>0</v>
      </c>
      <c r="H132" s="1">
        <f>SUM(C132:G132)</f>
        <v>57</v>
      </c>
      <c r="I132" s="10">
        <f>D132/H132</f>
        <v>0.98245614035087714</v>
      </c>
      <c r="J132" s="11">
        <f>1-I132</f>
        <v>1.7543859649122862E-2</v>
      </c>
      <c r="K132">
        <f>H132-D136</f>
        <v>-3</v>
      </c>
      <c r="N132" s="10">
        <f>2*(D137*I132)/(D137+I132)</f>
        <v>0.95726495726495719</v>
      </c>
      <c r="O132" s="1"/>
      <c r="P132" s="1"/>
      <c r="S132" s="66" t="s">
        <v>51</v>
      </c>
      <c r="T132" s="67">
        <f>N334*100</f>
        <v>85.532994923857871</v>
      </c>
      <c r="U132" s="67">
        <f>N335*100</f>
        <v>95.65217391304347</v>
      </c>
      <c r="V132" s="67">
        <f>N336*100</f>
        <v>99.32523616734143</v>
      </c>
      <c r="W132" s="67">
        <f>N337*100</f>
        <v>85.761589403973517</v>
      </c>
      <c r="X132" s="67">
        <f>N338*100</f>
        <v>97.327281896116986</v>
      </c>
      <c r="AD132" s="51"/>
      <c r="AE132" s="51"/>
      <c r="AH132" s="78"/>
      <c r="AI132" s="78"/>
      <c r="AJ132" s="115" t="s">
        <v>375</v>
      </c>
      <c r="AK132" s="122" t="s">
        <v>9</v>
      </c>
      <c r="AL132" s="135">
        <v>0.79</v>
      </c>
      <c r="AM132" s="135">
        <v>41.41</v>
      </c>
      <c r="AN132" s="135">
        <v>1123.5899999999999</v>
      </c>
      <c r="AO132" s="135">
        <v>264.85000000000002</v>
      </c>
      <c r="AP132" s="135">
        <v>31.58</v>
      </c>
      <c r="AQ132" s="107"/>
      <c r="AR132" s="115" t="s">
        <v>36</v>
      </c>
      <c r="AS132" s="136">
        <f>SUM(AL132:AP132)</f>
        <v>1462.2199999999998</v>
      </c>
      <c r="AU132">
        <v>11</v>
      </c>
      <c r="AV132">
        <v>358</v>
      </c>
    </row>
    <row r="133" spans="1:48" x14ac:dyDescent="0.3">
      <c r="A133" t="s">
        <v>5</v>
      </c>
      <c r="B133" s="13">
        <v>2</v>
      </c>
      <c r="C133" s="5">
        <v>0</v>
      </c>
      <c r="D133" s="1">
        <v>0</v>
      </c>
      <c r="E133" s="27">
        <v>735</v>
      </c>
      <c r="F133" s="1">
        <v>2</v>
      </c>
      <c r="G133" s="6">
        <v>0</v>
      </c>
      <c r="H133" s="1">
        <f>SUM(C133:G133)</f>
        <v>737</v>
      </c>
      <c r="I133" s="10">
        <f>E133/H133</f>
        <v>0.99728629579375849</v>
      </c>
      <c r="J133" s="11">
        <f>1-I133</f>
        <v>2.7137042062415073E-3</v>
      </c>
      <c r="K133">
        <f>H133-E136</f>
        <v>-2</v>
      </c>
      <c r="N133" s="10">
        <f>2*(E137*I133)/(E137+I133)</f>
        <v>0.99593495934959353</v>
      </c>
      <c r="O133" s="1"/>
      <c r="P133" s="1"/>
      <c r="R133" s="16" t="s">
        <v>61</v>
      </c>
      <c r="S133" t="s">
        <v>9</v>
      </c>
      <c r="T133" s="30">
        <f>N345</f>
        <v>176.07</v>
      </c>
      <c r="U133" s="30">
        <f>N346</f>
        <v>885.94</v>
      </c>
      <c r="V133" s="30">
        <f>N347</f>
        <v>56430.06</v>
      </c>
      <c r="W133" s="30">
        <f>N348</f>
        <v>27772.38</v>
      </c>
      <c r="X133" s="30">
        <f>N349</f>
        <v>5140.17</v>
      </c>
      <c r="Z133" t="s">
        <v>36</v>
      </c>
      <c r="AA133" s="1">
        <f>N350</f>
        <v>90404.62</v>
      </c>
      <c r="AD133" s="51"/>
      <c r="AE133" s="51"/>
      <c r="AJ133" s="107"/>
      <c r="AK133" s="107" t="s">
        <v>367</v>
      </c>
      <c r="AL133" s="108">
        <f>(AL132/$AS132)*100</f>
        <v>5.40274377316683E-2</v>
      </c>
      <c r="AM133" s="108">
        <f>(AM132/$AS132)*100</f>
        <v>2.8319951854030174</v>
      </c>
      <c r="AN133" s="108">
        <f>(AN132/$AS132)*100</f>
        <v>76.841378178386293</v>
      </c>
      <c r="AO133" s="108">
        <f>(AO132/$AS132)*100</f>
        <v>18.112869472446011</v>
      </c>
      <c r="AP133" s="108">
        <f>(AP132/$AS132)*100</f>
        <v>2.1597297260330186</v>
      </c>
      <c r="AQ133" s="107"/>
      <c r="AR133" s="107"/>
      <c r="AS133" s="141"/>
      <c r="AU133">
        <v>12</v>
      </c>
      <c r="AV133">
        <v>387</v>
      </c>
    </row>
    <row r="134" spans="1:48" ht="15.6" x14ac:dyDescent="0.35">
      <c r="A134" t="s">
        <v>6</v>
      </c>
      <c r="B134" s="13">
        <v>3</v>
      </c>
      <c r="C134" s="5">
        <v>0</v>
      </c>
      <c r="D134" s="1">
        <v>2</v>
      </c>
      <c r="E134" s="1">
        <v>3</v>
      </c>
      <c r="F134" s="27">
        <v>522</v>
      </c>
      <c r="G134" s="6">
        <v>7</v>
      </c>
      <c r="H134" s="1">
        <f>SUM(C134:G134)</f>
        <v>534</v>
      </c>
      <c r="I134" s="10">
        <f>F134/H134</f>
        <v>0.97752808988764039</v>
      </c>
      <c r="J134" s="11">
        <f>1-I134</f>
        <v>2.2471910112359605E-2</v>
      </c>
      <c r="K134">
        <f>H134-F136</f>
        <v>-107</v>
      </c>
      <c r="N134" s="10">
        <f>2*(F137*I134)/(F137+I134)</f>
        <v>0.88851063829787236</v>
      </c>
      <c r="O134" s="1"/>
      <c r="P134" s="1"/>
      <c r="R134" s="16" t="s">
        <v>318</v>
      </c>
      <c r="S134" t="s">
        <v>63</v>
      </c>
      <c r="T134" s="57">
        <f>$AA133*T126/100</f>
        <v>131.56450110864745</v>
      </c>
      <c r="U134" s="57">
        <f>$AA133*U126/100</f>
        <v>917.05123043212313</v>
      </c>
      <c r="V134" s="57">
        <f>$AA133*V126/100</f>
        <v>56701.721903038007</v>
      </c>
      <c r="W134" s="57">
        <f>$AA133*W126/100</f>
        <v>27270.188674036934</v>
      </c>
      <c r="X134" s="57">
        <f>$AA133*X126/100</f>
        <v>5384.0936913842825</v>
      </c>
      <c r="Z134" t="s">
        <v>36</v>
      </c>
      <c r="AA134" s="25">
        <f>SUM(T134:X134)</f>
        <v>90404.62</v>
      </c>
      <c r="AD134" s="51"/>
      <c r="AE134" s="51"/>
      <c r="AH134" s="78"/>
      <c r="AI134" s="78"/>
      <c r="AJ134" s="115" t="s">
        <v>376</v>
      </c>
      <c r="AK134" s="122" t="s">
        <v>9</v>
      </c>
      <c r="AL134" s="139">
        <f>AVERAGE(AL216:AL235)</f>
        <v>0.93599999999999994</v>
      </c>
      <c r="AM134" s="135">
        <f>AVERAGE(AM216:AM235)</f>
        <v>44.728999999999999</v>
      </c>
      <c r="AN134" s="135">
        <f>AVERAGE(AN216:AN235)</f>
        <v>1117.7410000000004</v>
      </c>
      <c r="AO134" s="135">
        <f>AVERAGE(AO216:AO235)</f>
        <v>267.3845</v>
      </c>
      <c r="AP134" s="135">
        <f>AVERAGE(AP216:AP235)</f>
        <v>31.426499999999997</v>
      </c>
      <c r="AQ134" s="107"/>
      <c r="AR134" s="115" t="s">
        <v>36</v>
      </c>
      <c r="AS134" s="136">
        <f>SUM(AL134:AP134)</f>
        <v>1462.2170000000006</v>
      </c>
      <c r="AU134">
        <v>13</v>
      </c>
      <c r="AV134">
        <v>416</v>
      </c>
    </row>
    <row r="135" spans="1:48" x14ac:dyDescent="0.3">
      <c r="A135" t="s">
        <v>7</v>
      </c>
      <c r="B135" s="13">
        <v>4</v>
      </c>
      <c r="C135" s="7">
        <v>0</v>
      </c>
      <c r="D135" s="8">
        <v>2</v>
      </c>
      <c r="E135" s="8">
        <v>0</v>
      </c>
      <c r="F135" s="8">
        <v>43</v>
      </c>
      <c r="G135" s="28">
        <v>964</v>
      </c>
      <c r="H135" s="1">
        <f>SUM(C135:G135)</f>
        <v>1009</v>
      </c>
      <c r="I135" s="10">
        <f>G135/H135</f>
        <v>0.95540138751238846</v>
      </c>
      <c r="J135" s="11">
        <f>1-I135</f>
        <v>4.4598612487611544E-2</v>
      </c>
      <c r="K135">
        <f>H135-G136</f>
        <v>38</v>
      </c>
      <c r="N135" s="10">
        <f>2*(G137*I135)/(G137+I135)</f>
        <v>0.97373737373737368</v>
      </c>
      <c r="O135" s="1"/>
      <c r="P135" s="1"/>
      <c r="R135" s="66"/>
      <c r="S135" s="66" t="s">
        <v>62</v>
      </c>
      <c r="T135" s="67">
        <f>$AA133*T127/100</f>
        <v>3.6031963385546351</v>
      </c>
      <c r="U135" s="67">
        <f>$AA133*U127/100</f>
        <v>56.725602366807486</v>
      </c>
      <c r="V135" s="67">
        <f>$AA133*V127/100</f>
        <v>149.6445409534216</v>
      </c>
      <c r="W135" s="67">
        <f>$AA133*W127/100</f>
        <v>221.06404631948419</v>
      </c>
      <c r="X135" s="67">
        <f>$AA133*X127/100</f>
        <v>158.19446517357915</v>
      </c>
      <c r="AA135" s="1"/>
      <c r="AD135" s="51"/>
      <c r="AE135" s="51"/>
      <c r="AJ135" s="107"/>
      <c r="AK135" s="128" t="s">
        <v>368</v>
      </c>
      <c r="AL135" s="125">
        <f>_xlfn.STDEV.S(AL216:AL235)/SQRT($AK$108)</f>
        <v>5.7112078176898978E-2</v>
      </c>
      <c r="AM135" s="125">
        <f>_xlfn.STDEV.S(AM216:AM235)/SQRT($AK$108)</f>
        <v>1.1957010495939007</v>
      </c>
      <c r="AN135" s="125">
        <f>_xlfn.STDEV.S(AN216:AN235)/SQRT($AK$108)</f>
        <v>1.5765897407145373</v>
      </c>
      <c r="AO135" s="125">
        <f>_xlfn.STDEV.S(AO216:AO235)/SQRT($AK$108)</f>
        <v>0.80992607687368701</v>
      </c>
      <c r="AP135" s="125">
        <f>_xlfn.STDEV.S(AP216:AP235)/SQRT($AK$108)</f>
        <v>0.32722137605506235</v>
      </c>
      <c r="AQ135" s="107"/>
      <c r="AR135" s="107"/>
      <c r="AS135" s="107"/>
      <c r="AU135">
        <v>14</v>
      </c>
      <c r="AV135">
        <v>445</v>
      </c>
    </row>
    <row r="136" spans="1:48" ht="15.6" x14ac:dyDescent="0.35">
      <c r="B136" s="1" t="s">
        <v>19</v>
      </c>
      <c r="C136" s="1">
        <f>SUM(C131:C135)</f>
        <v>377</v>
      </c>
      <c r="D136" s="1">
        <f>SUM(D131:D135)</f>
        <v>60</v>
      </c>
      <c r="E136" s="1">
        <f>SUM(E131:E135)</f>
        <v>739</v>
      </c>
      <c r="F136" s="1">
        <f>SUM(F131:F135)</f>
        <v>641</v>
      </c>
      <c r="G136" s="1">
        <f>SUM(G131:G135)</f>
        <v>971</v>
      </c>
      <c r="H136" s="1">
        <f>SUM(H130:H135)</f>
        <v>2788</v>
      </c>
      <c r="I136" s="13" t="s">
        <v>12</v>
      </c>
      <c r="N136" s="16"/>
      <c r="O136" s="1"/>
      <c r="P136" s="1"/>
      <c r="R136" t="s">
        <v>100</v>
      </c>
      <c r="S136" t="s">
        <v>28</v>
      </c>
      <c r="T136" s="57">
        <f>C379</f>
        <v>0.15991991218316665</v>
      </c>
      <c r="U136" s="57">
        <f t="shared" ref="U136:X139" si="22">D379</f>
        <v>1.2786560338473352</v>
      </c>
      <c r="V136" s="57">
        <f t="shared" si="22"/>
        <v>61.92701705112578</v>
      </c>
      <c r="W136" s="57">
        <f t="shared" si="22"/>
        <v>30.69242379987508</v>
      </c>
      <c r="X136" s="57">
        <f t="shared" si="22"/>
        <v>5.9419832029686397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</row>
    <row r="137" spans="1:48" x14ac:dyDescent="0.3">
      <c r="A137" s="1" t="s">
        <v>316</v>
      </c>
      <c r="B137" s="1" t="s">
        <v>2</v>
      </c>
      <c r="C137" s="10">
        <f>C131/C136</f>
        <v>1</v>
      </c>
      <c r="D137" s="10">
        <f>D132/D136</f>
        <v>0.93333333333333335</v>
      </c>
      <c r="E137" s="10">
        <f>E133/E136</f>
        <v>0.99458728010825437</v>
      </c>
      <c r="F137" s="10">
        <f>F134/F136</f>
        <v>0.81435257410296413</v>
      </c>
      <c r="G137" s="10">
        <f>G135/G136</f>
        <v>0.9927909371781668</v>
      </c>
      <c r="H137" s="10"/>
      <c r="I137" s="14">
        <f>(C131+D132+E133+F134+G135)/H136</f>
        <v>0.95193687230989954</v>
      </c>
      <c r="S137" s="66" t="s">
        <v>39</v>
      </c>
      <c r="T137" s="67">
        <f>C380</f>
        <v>3.681486448398291E-3</v>
      </c>
      <c r="U137" s="67">
        <f t="shared" si="22"/>
        <v>8.8096808591009435E-2</v>
      </c>
      <c r="V137" s="67">
        <f t="shared" si="22"/>
        <v>0.15687382984704479</v>
      </c>
      <c r="W137" s="67">
        <f t="shared" si="22"/>
        <v>0.25534769886471465</v>
      </c>
      <c r="X137" s="67">
        <f t="shared" si="22"/>
        <v>0.1862745396423966</v>
      </c>
      <c r="AD137" s="51"/>
      <c r="AE137" s="51"/>
      <c r="AU137">
        <v>16</v>
      </c>
      <c r="AV137">
        <v>503</v>
      </c>
    </row>
    <row r="138" spans="1:48" x14ac:dyDescent="0.3">
      <c r="B138" s="1" t="s">
        <v>14</v>
      </c>
      <c r="C138" s="11">
        <f>1-C137</f>
        <v>0</v>
      </c>
      <c r="D138" s="11">
        <f>1-D137</f>
        <v>6.6666666666666652E-2</v>
      </c>
      <c r="E138" s="11">
        <f>1-E137</f>
        <v>5.4127198917456321E-3</v>
      </c>
      <c r="F138" s="11">
        <f>1-F137</f>
        <v>0.18564742589703587</v>
      </c>
      <c r="G138" s="11">
        <f>1-G137</f>
        <v>7.2090628218332009E-3</v>
      </c>
      <c r="S138" t="s">
        <v>30</v>
      </c>
      <c r="T138" s="57">
        <f>C381</f>
        <v>100</v>
      </c>
      <c r="U138" s="57">
        <f t="shared" si="22"/>
        <v>88.273014776249568</v>
      </c>
      <c r="V138" s="57">
        <f t="shared" si="22"/>
        <v>99.684622340454879</v>
      </c>
      <c r="W138" s="57">
        <f t="shared" si="22"/>
        <v>98.517105676980137</v>
      </c>
      <c r="X138" s="57">
        <f t="shared" si="22"/>
        <v>90.195080036466507</v>
      </c>
      <c r="AA138" s="54"/>
      <c r="AD138" s="51"/>
      <c r="AE138" s="51"/>
      <c r="AH138" s="78"/>
      <c r="AI138" s="78"/>
      <c r="AU138">
        <v>17</v>
      </c>
      <c r="AV138">
        <v>532</v>
      </c>
    </row>
    <row r="139" spans="1:48" x14ac:dyDescent="0.3">
      <c r="C139" s="2"/>
      <c r="S139" s="66" t="s">
        <v>39</v>
      </c>
      <c r="T139" s="67">
        <f>C382</f>
        <v>0</v>
      </c>
      <c r="U139" s="67">
        <f t="shared" si="22"/>
        <v>6.3352109610886069</v>
      </c>
      <c r="V139" s="67">
        <f t="shared" si="22"/>
        <v>0.16557319493584957</v>
      </c>
      <c r="W139" s="67">
        <f t="shared" si="22"/>
        <v>0.41689414791186014</v>
      </c>
      <c r="X139" s="67">
        <f t="shared" si="22"/>
        <v>2.8403969723580413</v>
      </c>
      <c r="AD139" s="51"/>
      <c r="AE139" s="51"/>
      <c r="AU139">
        <v>18</v>
      </c>
      <c r="AV139">
        <v>561</v>
      </c>
    </row>
    <row r="140" spans="1:48" ht="15.6" x14ac:dyDescent="0.35">
      <c r="A140" t="s">
        <v>317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80.709534368070962</v>
      </c>
      <c r="U140" s="57">
        <f>I375</f>
        <v>96.491228070175467</v>
      </c>
      <c r="V140" s="57">
        <f>I376</f>
        <v>99.728629579375848</v>
      </c>
      <c r="W140" s="57">
        <f>I377</f>
        <v>97.19101123595506</v>
      </c>
      <c r="X140" s="57">
        <f>I378</f>
        <v>95.341922695738347</v>
      </c>
      <c r="AD140" s="51"/>
      <c r="AE140" s="51"/>
      <c r="AH140" s="78"/>
      <c r="AI140" s="78"/>
      <c r="AU140">
        <v>19</v>
      </c>
      <c r="AV140">
        <v>590</v>
      </c>
    </row>
    <row r="141" spans="1:48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1.8600624236217143</v>
      </c>
      <c r="U141" s="67">
        <f>J375</f>
        <v>2.4588241692166051</v>
      </c>
      <c r="V141" s="67">
        <f>J376</f>
        <v>0.19175746172356631</v>
      </c>
      <c r="W141" s="67">
        <f>J377</f>
        <v>0.71568917248319974</v>
      </c>
      <c r="X141" s="67">
        <f>J378</f>
        <v>0.66376604564177011</v>
      </c>
      <c r="AD141" s="51"/>
      <c r="AE141" s="51"/>
    </row>
    <row r="142" spans="1:48" x14ac:dyDescent="0.3">
      <c r="A142" t="s">
        <v>3</v>
      </c>
      <c r="B142" s="13">
        <v>0</v>
      </c>
      <c r="C142" s="29">
        <f>(C131/$L142)*$O142</f>
        <v>0.17228878776412476</v>
      </c>
      <c r="D142" s="31">
        <f>(D131/$L142)*$O142</f>
        <v>0</v>
      </c>
      <c r="E142" s="31">
        <f>(E131/$L142)*$O142</f>
        <v>0</v>
      </c>
      <c r="F142" s="31">
        <f>(F131/$L142)*$O142</f>
        <v>3.381795834096879E-2</v>
      </c>
      <c r="G142" s="32">
        <f>(G131/$L142)*$O142</f>
        <v>0</v>
      </c>
      <c r="H142" s="17">
        <f>SUM(C142:G142)</f>
        <v>0.20610674610509355</v>
      </c>
      <c r="I142" s="17">
        <f>C142/H142*100</f>
        <v>83.592017738359203</v>
      </c>
      <c r="J142" s="17">
        <f>SQRT(I142*(100-I142)/(L142-1))</f>
        <v>1.7458371721617369</v>
      </c>
      <c r="K142" s="18">
        <f>100-I142</f>
        <v>16.407982261640797</v>
      </c>
      <c r="L142" s="1">
        <f>H131</f>
        <v>451</v>
      </c>
      <c r="M142">
        <v>0</v>
      </c>
      <c r="N142" s="1">
        <v>186.33</v>
      </c>
      <c r="O142" s="17">
        <f>N142/N147*100</f>
        <v>0.20610674610509355</v>
      </c>
      <c r="P142" s="52">
        <f>((O142*O142*(I142/100)*(K142/100))/(L142-1))</f>
        <v>1.2947677882718185E-5</v>
      </c>
      <c r="S142" s="66" t="s">
        <v>51</v>
      </c>
      <c r="T142" s="67">
        <f>N363*100</f>
        <v>89.325153374233139</v>
      </c>
      <c r="U142" s="67">
        <f>N364*100</f>
        <v>91.666666666666671</v>
      </c>
      <c r="V142" s="67">
        <f>N365*100</f>
        <v>99.59349593495935</v>
      </c>
      <c r="W142" s="67">
        <f>N366*100</f>
        <v>87.668918918918919</v>
      </c>
      <c r="X142" s="67">
        <f>N367*100</f>
        <v>97.122665320545181</v>
      </c>
      <c r="AD142" s="51"/>
      <c r="AE142" s="51"/>
      <c r="AH142" s="78"/>
      <c r="AI142" s="78"/>
    </row>
    <row r="143" spans="1:48" x14ac:dyDescent="0.3">
      <c r="A143" t="s">
        <v>4</v>
      </c>
      <c r="B143" s="13">
        <v>1</v>
      </c>
      <c r="C143" s="33">
        <f t="shared" ref="C143:G146" si="23">(C132/$L143)*$O143</f>
        <v>0</v>
      </c>
      <c r="D143" s="34">
        <f t="shared" si="23"/>
        <v>0.99495780060136929</v>
      </c>
      <c r="E143" s="19">
        <f t="shared" si="23"/>
        <v>1.776710358216731E-2</v>
      </c>
      <c r="F143" s="18">
        <f t="shared" si="23"/>
        <v>0</v>
      </c>
      <c r="G143" s="20">
        <f t="shared" si="23"/>
        <v>0</v>
      </c>
      <c r="H143" s="17">
        <f>SUM(C143:G143)</f>
        <v>1.0127249041835367</v>
      </c>
      <c r="I143" s="17">
        <f>D143/H143*100</f>
        <v>98.245614035087712</v>
      </c>
      <c r="J143" s="17">
        <f>SQRT(I143*(100-I143)/(L143-1))</f>
        <v>1.7543859649122842</v>
      </c>
      <c r="K143" s="18">
        <f>100-I143</f>
        <v>1.7543859649122879</v>
      </c>
      <c r="L143" s="1">
        <f>H132</f>
        <v>57</v>
      </c>
      <c r="M143">
        <v>1</v>
      </c>
      <c r="N143" s="1">
        <v>915.55</v>
      </c>
      <c r="O143" s="17">
        <f>N143/N147*100</f>
        <v>1.0127249041835367</v>
      </c>
      <c r="P143" s="52">
        <f>((O143*O143*(I143/100)*(K143/100))/(L143-1))</f>
        <v>3.1566996969946371E-4</v>
      </c>
      <c r="R143" s="16" t="s">
        <v>61</v>
      </c>
      <c r="S143" t="s">
        <v>9</v>
      </c>
      <c r="T143" s="30">
        <f>N374</f>
        <v>179.13</v>
      </c>
      <c r="U143" s="30">
        <f>N375</f>
        <v>1057.51</v>
      </c>
      <c r="V143" s="30">
        <f>N376</f>
        <v>55960.18</v>
      </c>
      <c r="W143" s="30">
        <f>N377</f>
        <v>28125.96</v>
      </c>
      <c r="X143" s="30">
        <f>N378</f>
        <v>5081.84</v>
      </c>
      <c r="Z143" t="s">
        <v>36</v>
      </c>
      <c r="AA143" s="1">
        <f>N379</f>
        <v>90404.62</v>
      </c>
      <c r="AD143" s="51"/>
      <c r="AE143" s="51"/>
    </row>
    <row r="144" spans="1:48" ht="15.6" x14ac:dyDescent="0.35">
      <c r="A144" t="s">
        <v>5</v>
      </c>
      <c r="B144" s="13">
        <v>2</v>
      </c>
      <c r="C144" s="33">
        <f t="shared" si="23"/>
        <v>0</v>
      </c>
      <c r="D144" s="19">
        <f t="shared" si="23"/>
        <v>0</v>
      </c>
      <c r="E144" s="34">
        <f t="shared" si="23"/>
        <v>62.178071013365404</v>
      </c>
      <c r="F144" s="19">
        <f t="shared" si="23"/>
        <v>0.16919202996834123</v>
      </c>
      <c r="G144" s="20">
        <f t="shared" si="23"/>
        <v>0</v>
      </c>
      <c r="H144" s="17">
        <f>SUM(C144:G144)</f>
        <v>62.347263043333747</v>
      </c>
      <c r="I144" s="17">
        <f>E144/H144*100</f>
        <v>99.728629579375848</v>
      </c>
      <c r="J144" s="17">
        <f>SQRT(I144*(100-I144)/(L144-1))</f>
        <v>0.19175746172356631</v>
      </c>
      <c r="K144" s="18">
        <f>100-I144</f>
        <v>0.27137042062415162</v>
      </c>
      <c r="L144" s="1">
        <f>H133</f>
        <v>737</v>
      </c>
      <c r="M144">
        <v>2</v>
      </c>
      <c r="N144" s="1">
        <v>56364.800000000003</v>
      </c>
      <c r="O144" s="17">
        <f>N144/N147*100</f>
        <v>62.347263043333747</v>
      </c>
      <c r="P144" s="52">
        <f>((O144*O144*(I144/100)*(K144/100))/(L144-1))</f>
        <v>1.4293524530254016E-2</v>
      </c>
      <c r="R144" s="16" t="s">
        <v>318</v>
      </c>
      <c r="S144" t="s">
        <v>63</v>
      </c>
      <c r="T144" s="57">
        <f>$AA143*T136/100</f>
        <v>144.57498891352552</v>
      </c>
      <c r="U144" s="57">
        <f>$AA143*U136/100</f>
        <v>1155.9641285067546</v>
      </c>
      <c r="V144" s="57">
        <f>$AA143*V136/100</f>
        <v>55984.88444240547</v>
      </c>
      <c r="W144" s="57">
        <f>$AA143*W136/100</f>
        <v>27747.369105066624</v>
      </c>
      <c r="X144" s="57">
        <f>$AA143*X136/100</f>
        <v>5371.8273351076268</v>
      </c>
      <c r="Z144" t="s">
        <v>36</v>
      </c>
      <c r="AA144" s="25">
        <f>SUM(T144:X144)</f>
        <v>90404.62</v>
      </c>
      <c r="AD144" s="51"/>
      <c r="AE144" s="51"/>
      <c r="AH144" s="78"/>
      <c r="AI144" s="78"/>
    </row>
    <row r="145" spans="1:35" x14ac:dyDescent="0.3">
      <c r="A145" t="s">
        <v>6</v>
      </c>
      <c r="B145" s="13">
        <v>3</v>
      </c>
      <c r="C145" s="33">
        <f t="shared" si="23"/>
        <v>0</v>
      </c>
      <c r="D145" s="19">
        <f t="shared" si="23"/>
        <v>0.11512475955334628</v>
      </c>
      <c r="E145" s="19">
        <f t="shared" si="23"/>
        <v>0.17268713933001942</v>
      </c>
      <c r="F145" s="34">
        <f t="shared" si="23"/>
        <v>30.047562243423375</v>
      </c>
      <c r="G145" s="20">
        <f t="shared" si="23"/>
        <v>0.402936658436712</v>
      </c>
      <c r="H145" s="17">
        <f>SUM(C145:G145)</f>
        <v>30.738310800743452</v>
      </c>
      <c r="I145" s="17">
        <f>F145/H145*100</f>
        <v>97.752808988764045</v>
      </c>
      <c r="J145" s="17">
        <f>SQRT(I145*(100-I145)/(L145-1))</f>
        <v>0.64197928239881541</v>
      </c>
      <c r="K145" s="18">
        <f>100-I145</f>
        <v>2.2471910112359552</v>
      </c>
      <c r="L145" s="1">
        <f>H134</f>
        <v>534</v>
      </c>
      <c r="M145">
        <v>3</v>
      </c>
      <c r="N145" s="1">
        <v>27788.85</v>
      </c>
      <c r="O145" s="17">
        <f>N145/N147*100</f>
        <v>30.738310800743456</v>
      </c>
      <c r="P145" s="52">
        <f>((O145*O145*(I145/100)*(K145/100))/(L145-1))</f>
        <v>3.8940544597804758E-2</v>
      </c>
      <c r="R145" s="66"/>
      <c r="S145" s="66" t="s">
        <v>62</v>
      </c>
      <c r="T145" s="67">
        <f>$AA143*T137/100</f>
        <v>3.3282338340259709</v>
      </c>
      <c r="U145" s="67">
        <f>$AA143*U137/100</f>
        <v>79.643585038829428</v>
      </c>
      <c r="V145" s="67">
        <f>$AA143*V137/100</f>
        <v>141.82118975266741</v>
      </c>
      <c r="W145" s="67">
        <f>$AA143*W137/100</f>
        <v>230.84611683738956</v>
      </c>
      <c r="X145" s="67">
        <f>$AA143*X137/100</f>
        <v>168.40078972045796</v>
      </c>
      <c r="AA145" s="1"/>
      <c r="AD145" s="51"/>
      <c r="AE145" s="51"/>
    </row>
    <row r="146" spans="1:35" x14ac:dyDescent="0.3">
      <c r="A146" t="s">
        <v>7</v>
      </c>
      <c r="B146" s="13">
        <v>4</v>
      </c>
      <c r="C146" s="35">
        <f t="shared" si="23"/>
        <v>0</v>
      </c>
      <c r="D146" s="36">
        <f t="shared" si="23"/>
        <v>1.1289582766371001E-2</v>
      </c>
      <c r="E146" s="21">
        <f t="shared" si="23"/>
        <v>0</v>
      </c>
      <c r="F146" s="21">
        <f t="shared" si="23"/>
        <v>0.24272602947697652</v>
      </c>
      <c r="G146" s="37">
        <f t="shared" si="23"/>
        <v>5.4415788933908225</v>
      </c>
      <c r="H146" s="17">
        <f>SUM(C146:G146)</f>
        <v>5.6955945056341699</v>
      </c>
      <c r="I146" s="17">
        <f>G146/H146*100</f>
        <v>95.540138751238857</v>
      </c>
      <c r="J146" s="17">
        <f>SQRT(I146*(100-I146)/(L146-1))</f>
        <v>0.65016463308686456</v>
      </c>
      <c r="K146" s="18">
        <f>100-I146</f>
        <v>4.4598612487611433</v>
      </c>
      <c r="L146" s="1">
        <f>H135</f>
        <v>1009</v>
      </c>
      <c r="M146">
        <v>4</v>
      </c>
      <c r="N146" s="1">
        <v>5149.08</v>
      </c>
      <c r="O146" s="17">
        <f>N146/N147*100</f>
        <v>5.6955945056341699</v>
      </c>
      <c r="P146" s="52">
        <f>((O146*O146*(I146/100)*(K146/100))/(L146-1))</f>
        <v>1.3712757878721678E-3</v>
      </c>
      <c r="R146" t="s">
        <v>101</v>
      </c>
      <c r="S146" t="s">
        <v>28</v>
      </c>
      <c r="T146" s="57">
        <f>C408</f>
        <v>0.18219760392686118</v>
      </c>
      <c r="U146" s="57">
        <f t="shared" ref="U146:X149" si="24">D408</f>
        <v>1.3023299598755147</v>
      </c>
      <c r="V146" s="57">
        <f t="shared" si="24"/>
        <v>61.932922957460811</v>
      </c>
      <c r="W146" s="57">
        <f t="shared" si="24"/>
        <v>30.930122016297727</v>
      </c>
      <c r="X146" s="57">
        <f t="shared" si="24"/>
        <v>5.652427462439106</v>
      </c>
      <c r="Y146" s="60"/>
      <c r="Z146" s="74"/>
      <c r="AA146" s="12"/>
      <c r="AD146" s="51"/>
      <c r="AE146" s="51"/>
      <c r="AH146" s="78"/>
      <c r="AI146" s="78"/>
    </row>
    <row r="147" spans="1:35" x14ac:dyDescent="0.3">
      <c r="B147" t="s">
        <v>28</v>
      </c>
      <c r="C147" s="17">
        <f t="shared" ref="C147:H147" si="25">SUM(C142:C146)</f>
        <v>0.17228878776412476</v>
      </c>
      <c r="D147" s="17">
        <f t="shared" si="25"/>
        <v>1.1213721429210866</v>
      </c>
      <c r="E147" s="17">
        <f t="shared" si="25"/>
        <v>62.368525256277593</v>
      </c>
      <c r="F147" s="17">
        <f t="shared" si="25"/>
        <v>30.493298261209663</v>
      </c>
      <c r="G147" s="17">
        <f t="shared" si="25"/>
        <v>5.8445155518275342</v>
      </c>
      <c r="H147" s="18">
        <f t="shared" si="25"/>
        <v>100</v>
      </c>
      <c r="I147" s="13" t="s">
        <v>24</v>
      </c>
      <c r="J147" s="12" t="s">
        <v>29</v>
      </c>
      <c r="N147" s="1">
        <f>SUM(N142:N146)</f>
        <v>90404.61</v>
      </c>
      <c r="O147" s="17">
        <f>SUM(O142:O146)</f>
        <v>100</v>
      </c>
      <c r="S147" s="66" t="s">
        <v>39</v>
      </c>
      <c r="T147" s="67">
        <f>C409</f>
        <v>3.457075006122625E-3</v>
      </c>
      <c r="U147" s="67">
        <f t="shared" si="24"/>
        <v>0.14589891767606369</v>
      </c>
      <c r="V147" s="67">
        <f t="shared" si="24"/>
        <v>0.19680531823944919</v>
      </c>
      <c r="W147" s="67">
        <f t="shared" si="24"/>
        <v>0.24296399140698355</v>
      </c>
      <c r="X147" s="67">
        <f t="shared" si="24"/>
        <v>0.16899832015823044</v>
      </c>
      <c r="AD147" s="51"/>
      <c r="AE147" s="51"/>
    </row>
    <row r="148" spans="1:35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3.5942967410300336E-3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8.3521065430975136E-2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0.15642474434480894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0.23338041674083715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0.15575579795358796</v>
      </c>
      <c r="H148" s="1"/>
      <c r="I148" s="56">
        <f>(C142+D143+E144+F145+G146)/H147</f>
        <v>0.98834458738545095</v>
      </c>
      <c r="J148" s="53">
        <f>SQRT(SUM(P142:P146))/100</f>
        <v>2.3437995341648384E-3</v>
      </c>
      <c r="M148" s="1"/>
      <c r="N148" s="9"/>
      <c r="S148" t="s">
        <v>30</v>
      </c>
      <c r="T148" s="57">
        <f>C410</f>
        <v>100</v>
      </c>
      <c r="U148" s="57">
        <f t="shared" si="24"/>
        <v>77.682510776572968</v>
      </c>
      <c r="V148" s="57">
        <f t="shared" si="24"/>
        <v>99.679269740352012</v>
      </c>
      <c r="W148" s="57">
        <f t="shared" si="24"/>
        <v>98.316359671572613</v>
      </c>
      <c r="X148" s="57">
        <f t="shared" si="24"/>
        <v>91.739150902671412</v>
      </c>
      <c r="AD148" s="51"/>
      <c r="AE148" s="51"/>
      <c r="AH148" s="78"/>
      <c r="AI148" s="78"/>
    </row>
    <row r="149" spans="1:35" x14ac:dyDescent="0.3">
      <c r="B149" s="1" t="s">
        <v>30</v>
      </c>
      <c r="C149" s="17">
        <f>C142/C147*100</f>
        <v>100</v>
      </c>
      <c r="D149" s="17">
        <f>D143/D147*100</f>
        <v>88.726816238682559</v>
      </c>
      <c r="E149" s="17">
        <f>E144/E147*100</f>
        <v>99.694630838023514</v>
      </c>
      <c r="F149" s="17">
        <f>F145/F147*100</f>
        <v>98.538249244250153</v>
      </c>
      <c r="G149" s="17">
        <f>G146/G147*100</f>
        <v>93.105730408900754</v>
      </c>
      <c r="H149" s="1"/>
      <c r="S149" s="66" t="s">
        <v>39</v>
      </c>
      <c r="T149" s="67">
        <f>C411</f>
        <v>0</v>
      </c>
      <c r="U149" s="67">
        <f t="shared" si="24"/>
        <v>9.1811959510983261</v>
      </c>
      <c r="V149" s="67">
        <f t="shared" si="24"/>
        <v>0.16545042688317815</v>
      </c>
      <c r="W149" s="67">
        <f t="shared" si="24"/>
        <v>0.41581477961496099</v>
      </c>
      <c r="X149" s="67">
        <f t="shared" si="24"/>
        <v>2.7297287774265722</v>
      </c>
      <c r="AD149" s="51"/>
      <c r="AE149" s="51"/>
    </row>
    <row r="150" spans="1:35" x14ac:dyDescent="0.3">
      <c r="B150" s="16" t="s">
        <v>39</v>
      </c>
      <c r="C150" s="18">
        <f>SQRT((C153+C154)/(C147*C147))</f>
        <v>0</v>
      </c>
      <c r="D150" s="18">
        <f>SQRT((D153+D154)/(D147*D147))</f>
        <v>6.7080954573314227</v>
      </c>
      <c r="E150" s="18">
        <f>SQRT((E153+E154)/(E147*E147))</f>
        <v>0.16169176989878528</v>
      </c>
      <c r="F150" s="18">
        <f>SQRT((F153+F154)/(F147*F147))</f>
        <v>0.41479365978236882</v>
      </c>
      <c r="G150" s="18">
        <f>SQRT((G153+G154)/(G147*G147))</f>
        <v>2.4516730085476706</v>
      </c>
      <c r="H150" s="1"/>
      <c r="S150" s="15" t="s">
        <v>31</v>
      </c>
      <c r="T150" s="71">
        <f>I403</f>
        <v>86.031042128603104</v>
      </c>
      <c r="U150" s="71">
        <f>I404</f>
        <v>98.245614035087726</v>
      </c>
      <c r="V150" s="71">
        <f>I405</f>
        <v>99.457259158751711</v>
      </c>
      <c r="W150" s="71">
        <f>I406</f>
        <v>97.565543071161045</v>
      </c>
      <c r="X150" s="71">
        <f>I407</f>
        <v>93.95441030723488</v>
      </c>
      <c r="AD150" s="51"/>
      <c r="AE150" s="51"/>
      <c r="AH150" s="78"/>
      <c r="AI150" s="78"/>
    </row>
    <row r="151" spans="1:35" x14ac:dyDescent="0.3">
      <c r="B151" s="1" t="s">
        <v>37</v>
      </c>
      <c r="C151" s="18">
        <f>100-C149</f>
        <v>0</v>
      </c>
      <c r="D151" s="18">
        <f>100-D149</f>
        <v>11.273183761317441</v>
      </c>
      <c r="E151" s="18">
        <f>100-E149</f>
        <v>0.30536916197648623</v>
      </c>
      <c r="F151" s="18">
        <f>100-F149</f>
        <v>1.461750755749847</v>
      </c>
      <c r="G151" s="18">
        <f>100-G149</f>
        <v>6.8942695910992455</v>
      </c>
      <c r="S151" s="75" t="s">
        <v>39</v>
      </c>
      <c r="T151" s="76">
        <f>J403</f>
        <v>1.6341929731874305</v>
      </c>
      <c r="U151" s="76">
        <f>J404</f>
        <v>1.7543859649122773</v>
      </c>
      <c r="V151" s="76">
        <f>J405</f>
        <v>0.27081679117168844</v>
      </c>
      <c r="W151" s="76">
        <f>J406</f>
        <v>0.66755288362093512</v>
      </c>
      <c r="X151" s="76">
        <f>J407</f>
        <v>0.75066756966190251</v>
      </c>
      <c r="AD151" s="51"/>
      <c r="AE151" s="51"/>
    </row>
    <row r="152" spans="1:35" ht="15.6" x14ac:dyDescent="0.35">
      <c r="B152" s="1" t="s">
        <v>25</v>
      </c>
      <c r="C152" s="1">
        <f>C136</f>
        <v>377</v>
      </c>
      <c r="D152" s="1">
        <f>D136</f>
        <v>60</v>
      </c>
      <c r="E152" s="1">
        <f>E136</f>
        <v>739</v>
      </c>
      <c r="F152" s="1">
        <f>F136</f>
        <v>641</v>
      </c>
      <c r="G152" s="1">
        <f>G136</f>
        <v>971</v>
      </c>
      <c r="S152" s="66" t="s">
        <v>51</v>
      </c>
      <c r="T152" s="67">
        <f>N392*100</f>
        <v>92.491060786650777</v>
      </c>
      <c r="U152" s="67">
        <f>N393*100</f>
        <v>94.915254237288124</v>
      </c>
      <c r="V152" s="67">
        <f>N394*100</f>
        <v>99.389830508474574</v>
      </c>
      <c r="W152" s="67">
        <f>N395*100</f>
        <v>88.379983036471586</v>
      </c>
      <c r="X152" s="67">
        <f>N396*100</f>
        <v>96.488549618320619</v>
      </c>
      <c r="AD152" s="51"/>
      <c r="AE152" s="51"/>
      <c r="AH152" s="78"/>
      <c r="AI152" s="78"/>
    </row>
    <row r="153" spans="1:35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4.0116814596260131</v>
      </c>
      <c r="E153" s="18">
        <f>(O144*O144*(100-E149)*(100-E149)*(I144)*(100-I144))/((L144-1)*100)</f>
        <v>0.13328758090740683</v>
      </c>
      <c r="F153" s="18">
        <f>(O145*O145*(100-F149)*(100-F149)*(I145)*(100-I145))/((L145-1)*100)</f>
        <v>8.3204856339605087</v>
      </c>
      <c r="G153" s="18">
        <f>(O146*O146*(100-G149)*(100-G149)*(I146)*(100-I146))/((L146-1)*100)</f>
        <v>6.5178045290453852</v>
      </c>
      <c r="R153" s="16" t="s">
        <v>61</v>
      </c>
      <c r="S153" t="s">
        <v>9</v>
      </c>
      <c r="T153" s="30">
        <f>N403</f>
        <v>191.46</v>
      </c>
      <c r="U153" s="30">
        <f>N404</f>
        <v>930.94</v>
      </c>
      <c r="V153" s="30">
        <f>N405</f>
        <v>56115.199999999997</v>
      </c>
      <c r="W153" s="30">
        <f>N406</f>
        <v>28177.439999999999</v>
      </c>
      <c r="X153" s="30">
        <f>N407</f>
        <v>4989.57</v>
      </c>
      <c r="Z153" t="s">
        <v>36</v>
      </c>
      <c r="AA153" s="1">
        <f>N408</f>
        <v>90404.609999999986</v>
      </c>
      <c r="AD153" s="51"/>
      <c r="AE153" s="51"/>
    </row>
    <row r="154" spans="1:35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52.572885223252008</v>
      </c>
      <c r="E154" s="18">
        <f>E149*E149*(SUM((H142*E142*(1-E131/H131))/(H131-1),(H143*E143*(1-E132/H132))/(H132-1), (H145*E145*(1-E134/H134))/(H134-1),(H146*E146*(1-E135/H135))/(H135-1)))</f>
        <v>101.56339351556147</v>
      </c>
      <c r="F154" s="18">
        <f>F149*F149*(SUM((H142*F142*(1-F131/H131))/(H131-1),(H143*F143*(1-F132/H132))/(H132-1), (H144*F144*(1-F133/H133))/(H133-1),(H146*F146*(1-F135/H135))/(H135-1)))</f>
        <v>151.66221449148941</v>
      </c>
      <c r="G154" s="18">
        <f>G149*G149*(SUM((H142*G142*(1-G131/H131))/(H131-1),(H143*G143*(1-G132/H132))/(H132-1), (H144*G144*(1-G133/H133))/(H133-1),(H145*G145*(1-G134/H134))/(H134-1)))</f>
        <v>198.79788063230757</v>
      </c>
      <c r="R154" s="16" t="s">
        <v>318</v>
      </c>
      <c r="S154" t="s">
        <v>63</v>
      </c>
      <c r="T154" s="57">
        <f>$AA153*T146/100</f>
        <v>164.71503325942351</v>
      </c>
      <c r="U154" s="57">
        <f>$AA153*U146/100</f>
        <v>1177.3663211386154</v>
      </c>
      <c r="V154" s="57">
        <f>$AA153*V146/100</f>
        <v>55990.217461292901</v>
      </c>
      <c r="W154" s="57">
        <f>$AA153*W146/100</f>
        <v>27962.256181358091</v>
      </c>
      <c r="X154" s="57">
        <f>$AA153*X146/100</f>
        <v>5110.0550029509695</v>
      </c>
      <c r="Z154" t="s">
        <v>36</v>
      </c>
      <c r="AA154" s="25">
        <f>SUM(T154:X154)</f>
        <v>90404.610000000015</v>
      </c>
      <c r="AD154" s="51"/>
      <c r="AE154" s="51"/>
      <c r="AH154" s="78"/>
      <c r="AI154" s="78"/>
    </row>
    <row r="155" spans="1:35" x14ac:dyDescent="0.3">
      <c r="R155" s="66"/>
      <c r="S155" s="66" t="s">
        <v>62</v>
      </c>
      <c r="T155" s="67">
        <f>$AA153*T147/100</f>
        <v>3.1253551766926346</v>
      </c>
      <c r="U155" s="67">
        <f>$AA153*U147/100</f>
        <v>131.89934751926643</v>
      </c>
      <c r="V155" s="67">
        <f>$AA153*V147/100</f>
        <v>177.92108041363289</v>
      </c>
      <c r="W155" s="67">
        <f>$AA153*W147/100</f>
        <v>219.65064887191696</v>
      </c>
      <c r="X155" s="67">
        <f>$AA153*X147/100</f>
        <v>152.78227224559959</v>
      </c>
      <c r="AA155" s="1"/>
      <c r="AD155" s="51"/>
      <c r="AE155" s="51"/>
    </row>
    <row r="156" spans="1:35" x14ac:dyDescent="0.3">
      <c r="R156" t="s">
        <v>102</v>
      </c>
      <c r="S156" t="s">
        <v>28</v>
      </c>
      <c r="T156" s="57">
        <f>C437</f>
        <v>6.8706744623246385E-2</v>
      </c>
      <c r="U156" s="57">
        <f t="shared" ref="U156:X159" si="26">D437</f>
        <v>0.99932286150765304</v>
      </c>
      <c r="V156" s="57">
        <f t="shared" si="26"/>
        <v>62.083108520247094</v>
      </c>
      <c r="W156" s="57">
        <f t="shared" si="26"/>
        <v>31.040328822373233</v>
      </c>
      <c r="X156" s="57">
        <f t="shared" si="26"/>
        <v>5.8085330512487729</v>
      </c>
      <c r="Z156" s="74"/>
      <c r="AA156" s="12"/>
      <c r="AD156" s="51"/>
      <c r="AE156" s="51"/>
      <c r="AH156" s="78"/>
      <c r="AI156" s="78"/>
    </row>
    <row r="157" spans="1:35" x14ac:dyDescent="0.3">
      <c r="A157" s="348" t="s">
        <v>382</v>
      </c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 t="s">
        <v>78</v>
      </c>
      <c r="M157" s="348"/>
      <c r="N157" s="348"/>
      <c r="O157" s="348"/>
      <c r="P157" s="348"/>
      <c r="S157" s="66" t="s">
        <v>39</v>
      </c>
      <c r="T157" s="67">
        <f>C438</f>
        <v>3.9332499598537267E-3</v>
      </c>
      <c r="U157" s="67">
        <f t="shared" si="26"/>
        <v>2.707483256612235E-2</v>
      </c>
      <c r="V157" s="67">
        <f t="shared" si="26"/>
        <v>0.16814364063899254</v>
      </c>
      <c r="W157" s="67">
        <f t="shared" si="26"/>
        <v>0.23579827047510521</v>
      </c>
      <c r="X157" s="67">
        <f t="shared" si="26"/>
        <v>0.16865200414538012</v>
      </c>
      <c r="AD157" s="51"/>
      <c r="AE157" s="51"/>
    </row>
    <row r="158" spans="1:35" x14ac:dyDescent="0.3">
      <c r="A158" t="s">
        <v>315</v>
      </c>
      <c r="B158" t="s">
        <v>21</v>
      </c>
      <c r="I158" s="1" t="s">
        <v>53</v>
      </c>
      <c r="O158" s="142"/>
      <c r="P158" s="142"/>
      <c r="S158" t="s">
        <v>30</v>
      </c>
      <c r="T158" s="57">
        <f>C439</f>
        <v>100</v>
      </c>
      <c r="U158" s="57">
        <f t="shared" si="26"/>
        <v>97.766069802559414</v>
      </c>
      <c r="V158" s="57">
        <f t="shared" si="26"/>
        <v>99.566284127982257</v>
      </c>
      <c r="W158" s="57">
        <f t="shared" si="26"/>
        <v>98.267927120192951</v>
      </c>
      <c r="X158" s="57">
        <f t="shared" si="26"/>
        <v>91.951941446336832</v>
      </c>
      <c r="AD158" s="51"/>
      <c r="AE158" s="51"/>
      <c r="AH158" s="78"/>
      <c r="AI158" s="78"/>
    </row>
    <row r="159" spans="1:35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51</v>
      </c>
      <c r="O159" s="13"/>
      <c r="P159" s="13"/>
      <c r="S159" s="66" t="s">
        <v>39</v>
      </c>
      <c r="T159" s="67">
        <f>C440</f>
        <v>0</v>
      </c>
      <c r="U159" s="67">
        <f t="shared" si="26"/>
        <v>1.2242063783186758</v>
      </c>
      <c r="V159" s="67">
        <f t="shared" si="26"/>
        <v>0.19129819568490944</v>
      </c>
      <c r="W159" s="67">
        <f t="shared" si="26"/>
        <v>0.41050955339863765</v>
      </c>
      <c r="X159" s="67">
        <f t="shared" si="26"/>
        <v>2.6553620639614786</v>
      </c>
      <c r="AD159" s="51"/>
      <c r="AE159" s="51"/>
    </row>
    <row r="160" spans="1:35" x14ac:dyDescent="0.3">
      <c r="A160" t="s">
        <v>3</v>
      </c>
      <c r="B160" s="13">
        <v>0</v>
      </c>
      <c r="C160" s="26">
        <v>364</v>
      </c>
      <c r="D160" s="3">
        <v>0</v>
      </c>
      <c r="E160" s="3">
        <v>0</v>
      </c>
      <c r="F160" s="3">
        <v>87</v>
      </c>
      <c r="G160" s="4">
        <v>0</v>
      </c>
      <c r="H160" s="1">
        <f>SUM(C160:G160)</f>
        <v>451</v>
      </c>
      <c r="I160" s="10">
        <f>C160/H160</f>
        <v>0.80709534368070956</v>
      </c>
      <c r="J160" s="11">
        <f>1-I160</f>
        <v>0.19290465631929044</v>
      </c>
      <c r="K160">
        <f>H160-C165</f>
        <v>87</v>
      </c>
      <c r="N160" s="10">
        <f>2*(C166*I160)/(C166+I160)</f>
        <v>0.89325153374233135</v>
      </c>
      <c r="O160" s="1"/>
      <c r="P160" s="1"/>
      <c r="S160" s="15" t="s">
        <v>31</v>
      </c>
      <c r="T160" s="71">
        <f>I432</f>
        <v>40.354767184035481</v>
      </c>
      <c r="U160" s="71">
        <f>I433</f>
        <v>96.491228070175438</v>
      </c>
      <c r="V160" s="71">
        <f>I434</f>
        <v>99.728629579375834</v>
      </c>
      <c r="W160" s="71">
        <f>I435</f>
        <v>97.752808988764045</v>
      </c>
      <c r="X160" s="71">
        <f>I436</f>
        <v>94.846382556987109</v>
      </c>
      <c r="AD160" s="51"/>
      <c r="AE160" s="51"/>
      <c r="AH160" s="78"/>
      <c r="AI160" s="78"/>
    </row>
    <row r="161" spans="1:35" x14ac:dyDescent="0.3">
      <c r="A161" t="s">
        <v>4</v>
      </c>
      <c r="B161" s="13">
        <v>1</v>
      </c>
      <c r="C161" s="5">
        <v>0</v>
      </c>
      <c r="D161" s="27">
        <v>54</v>
      </c>
      <c r="E161" s="1">
        <v>2</v>
      </c>
      <c r="F161" s="1">
        <v>1</v>
      </c>
      <c r="G161" s="6">
        <v>0</v>
      </c>
      <c r="H161" s="1">
        <f>SUM(C161:G161)</f>
        <v>57</v>
      </c>
      <c r="I161" s="10">
        <f>D161/H161</f>
        <v>0.94736842105263153</v>
      </c>
      <c r="J161" s="11">
        <f>1-I161</f>
        <v>5.2631578947368474E-2</v>
      </c>
      <c r="K161">
        <f>H161-D165</f>
        <v>-3</v>
      </c>
      <c r="N161" s="10">
        <f>2*(D166*I161)/(D166+I161)</f>
        <v>0.92307692307692313</v>
      </c>
      <c r="O161" s="1"/>
      <c r="P161" s="1"/>
      <c r="S161" s="75" t="s">
        <v>39</v>
      </c>
      <c r="T161" s="76">
        <f>J432</f>
        <v>2.3127518404253316</v>
      </c>
      <c r="U161" s="76">
        <f>J433</f>
        <v>2.4588241692166148</v>
      </c>
      <c r="V161" s="76">
        <f>J434</f>
        <v>0.1917574617235713</v>
      </c>
      <c r="W161" s="76">
        <f>J435</f>
        <v>0.64197928239881541</v>
      </c>
      <c r="X161" s="76">
        <f>J436</f>
        <v>0.69636383509323363</v>
      </c>
      <c r="AD161" s="51"/>
      <c r="AE161" s="51"/>
    </row>
    <row r="162" spans="1:35" x14ac:dyDescent="0.3">
      <c r="A162" t="s">
        <v>5</v>
      </c>
      <c r="B162" s="13">
        <v>2</v>
      </c>
      <c r="C162" s="5">
        <v>0</v>
      </c>
      <c r="D162" s="1">
        <v>1</v>
      </c>
      <c r="E162" s="27">
        <v>733</v>
      </c>
      <c r="F162" s="1">
        <v>3</v>
      </c>
      <c r="G162" s="6">
        <v>0</v>
      </c>
      <c r="H162" s="1">
        <f>SUM(C162:G162)</f>
        <v>737</v>
      </c>
      <c r="I162" s="10">
        <f>E162/H162</f>
        <v>0.99457259158751699</v>
      </c>
      <c r="J162" s="11">
        <f>1-I162</f>
        <v>5.4274084124830146E-3</v>
      </c>
      <c r="K162">
        <f>H162-E165</f>
        <v>-1</v>
      </c>
      <c r="N162" s="10">
        <f>2*(E166*I162)/(E166+I162)</f>
        <v>0.99389830508474575</v>
      </c>
      <c r="O162" s="1"/>
      <c r="P162" s="1"/>
      <c r="S162" s="66" t="s">
        <v>51</v>
      </c>
      <c r="T162" s="67">
        <f>N421*100</f>
        <v>57.50394944707741</v>
      </c>
      <c r="U162" s="67">
        <f>N422*100</f>
        <v>94.827586206896541</v>
      </c>
      <c r="V162" s="67">
        <f>N423*100</f>
        <v>99.458728010825453</v>
      </c>
      <c r="W162" s="67">
        <f>N424*100</f>
        <v>75.927272727272737</v>
      </c>
      <c r="X162" s="67">
        <f>N425*100</f>
        <v>96.960486322188459</v>
      </c>
      <c r="AD162" s="51"/>
      <c r="AE162" s="51"/>
      <c r="AH162" s="78"/>
      <c r="AI162" s="78"/>
    </row>
    <row r="163" spans="1:35" x14ac:dyDescent="0.3">
      <c r="A163" t="s">
        <v>6</v>
      </c>
      <c r="B163" s="13">
        <v>3</v>
      </c>
      <c r="C163" s="5">
        <v>0</v>
      </c>
      <c r="D163" s="1">
        <v>2</v>
      </c>
      <c r="E163" s="1">
        <v>2</v>
      </c>
      <c r="F163" s="27">
        <v>522</v>
      </c>
      <c r="G163" s="6">
        <v>8</v>
      </c>
      <c r="H163" s="1">
        <f>SUM(C163:G163)</f>
        <v>534</v>
      </c>
      <c r="I163" s="10">
        <f>F163/H163</f>
        <v>0.97752808988764039</v>
      </c>
      <c r="J163" s="11">
        <f>1-I163</f>
        <v>2.2471910112359605E-2</v>
      </c>
      <c r="K163">
        <f>H163-F165</f>
        <v>-119</v>
      </c>
      <c r="N163" s="10">
        <f>2*(F166*I163)/(F166+I163)</f>
        <v>0.87952822240943551</v>
      </c>
      <c r="O163" s="1"/>
      <c r="P163" s="1"/>
      <c r="R163" s="16" t="s">
        <v>61</v>
      </c>
      <c r="S163" t="s">
        <v>9</v>
      </c>
      <c r="T163" s="30">
        <f>N432</f>
        <v>153.91999999999999</v>
      </c>
      <c r="U163" s="30">
        <f>N433</f>
        <v>915.37</v>
      </c>
      <c r="V163" s="30">
        <f>N434</f>
        <v>56034.62</v>
      </c>
      <c r="W163" s="30">
        <f>N435</f>
        <v>28209.759999999998</v>
      </c>
      <c r="X163" s="30">
        <f>N436</f>
        <v>5090.93</v>
      </c>
      <c r="Z163" t="s">
        <v>36</v>
      </c>
      <c r="AA163" s="1">
        <f>N437</f>
        <v>90404.6</v>
      </c>
      <c r="AD163" s="51"/>
      <c r="AE163" s="51"/>
    </row>
    <row r="164" spans="1:35" ht="15.6" x14ac:dyDescent="0.35">
      <c r="A164" t="s">
        <v>7</v>
      </c>
      <c r="B164" s="13">
        <v>4</v>
      </c>
      <c r="C164" s="7">
        <v>0</v>
      </c>
      <c r="D164" s="8">
        <v>3</v>
      </c>
      <c r="E164" s="8">
        <v>1</v>
      </c>
      <c r="F164" s="8">
        <v>40</v>
      </c>
      <c r="G164" s="28">
        <v>965</v>
      </c>
      <c r="H164" s="1">
        <f>SUM(C164:G164)</f>
        <v>1009</v>
      </c>
      <c r="I164" s="10">
        <f>G164/H164</f>
        <v>0.95639246778989095</v>
      </c>
      <c r="J164" s="11">
        <f>1-I164</f>
        <v>4.3607532210109046E-2</v>
      </c>
      <c r="K164">
        <f>H164-G165</f>
        <v>36</v>
      </c>
      <c r="N164" s="10">
        <f>2*(G166*I164)/(G166+I164)</f>
        <v>0.97376387487386484</v>
      </c>
      <c r="O164" s="1"/>
      <c r="P164" s="1"/>
      <c r="R164" s="16" t="s">
        <v>318</v>
      </c>
      <c r="S164" t="s">
        <v>63</v>
      </c>
      <c r="T164" s="57">
        <f>$AA163*T156/100</f>
        <v>62.114057649667402</v>
      </c>
      <c r="U164" s="57">
        <f>$AA163*U156/100</f>
        <v>903.43383565454769</v>
      </c>
      <c r="V164" s="57">
        <f>$AA163*V156/100</f>
        <v>56125.985925295303</v>
      </c>
      <c r="W164" s="57">
        <f>$AA163*W156/100</f>
        <v>28061.885110551237</v>
      </c>
      <c r="X164" s="57">
        <f>$AA163*X156/100</f>
        <v>5251.1810708492485</v>
      </c>
      <c r="Z164" t="s">
        <v>36</v>
      </c>
      <c r="AA164" s="25">
        <f>SUM(T164:X164)</f>
        <v>90404.6</v>
      </c>
      <c r="AD164" s="51"/>
      <c r="AE164" s="51"/>
      <c r="AH164" s="78"/>
      <c r="AI164" s="78"/>
    </row>
    <row r="165" spans="1:35" ht="15.6" x14ac:dyDescent="0.35">
      <c r="B165" s="1" t="s">
        <v>19</v>
      </c>
      <c r="C165" s="1">
        <f>SUM(C160:C164)</f>
        <v>364</v>
      </c>
      <c r="D165" s="1">
        <f>SUM(D160:D164)</f>
        <v>60</v>
      </c>
      <c r="E165" s="1">
        <f>SUM(E160:E164)</f>
        <v>738</v>
      </c>
      <c r="F165" s="1">
        <f>SUM(F160:F164)</f>
        <v>653</v>
      </c>
      <c r="G165" s="1">
        <f>SUM(G160:G164)</f>
        <v>973</v>
      </c>
      <c r="H165" s="1">
        <f>SUM(H159:H164)</f>
        <v>2788</v>
      </c>
      <c r="I165" s="13" t="s">
        <v>12</v>
      </c>
      <c r="N165" s="16"/>
      <c r="O165" s="1"/>
      <c r="P165" s="1"/>
      <c r="R165" s="66"/>
      <c r="S165" s="66" t="s">
        <v>62</v>
      </c>
      <c r="T165" s="67">
        <f>$AA163*T157/100</f>
        <v>3.5558388932059222</v>
      </c>
      <c r="U165" s="67">
        <f>$AA163*U157/100</f>
        <v>24.476894082072651</v>
      </c>
      <c r="V165" s="67">
        <f>$AA163*V157/100</f>
        <v>152.00958574511867</v>
      </c>
      <c r="W165" s="67">
        <f>$AA163*W157/100</f>
        <v>213.172483229937</v>
      </c>
      <c r="X165" s="67">
        <f>$AA163*X157/100</f>
        <v>152.46916973961433</v>
      </c>
      <c r="AA165" s="1"/>
      <c r="AD165" s="51"/>
      <c r="AE165" s="51"/>
    </row>
    <row r="166" spans="1:35" x14ac:dyDescent="0.3">
      <c r="A166" s="1" t="s">
        <v>316</v>
      </c>
      <c r="B166" s="1" t="s">
        <v>2</v>
      </c>
      <c r="C166" s="10">
        <f>C160/C165</f>
        <v>1</v>
      </c>
      <c r="D166" s="10">
        <f>D161/D165</f>
        <v>0.9</v>
      </c>
      <c r="E166" s="10">
        <f>E162/E165</f>
        <v>0.99322493224932251</v>
      </c>
      <c r="F166" s="10">
        <f>F163/F165</f>
        <v>0.79938744257274119</v>
      </c>
      <c r="G166" s="10">
        <f>G164/G165</f>
        <v>0.99177800616649536</v>
      </c>
      <c r="H166" s="10"/>
      <c r="I166" s="14">
        <f>(C160+D161+E162+F163+G164)/H165</f>
        <v>0.94619799139167859</v>
      </c>
      <c r="R166" t="s">
        <v>103</v>
      </c>
      <c r="S166" t="s">
        <v>28</v>
      </c>
      <c r="T166" s="57">
        <f>C466</f>
        <v>0.15624450950880625</v>
      </c>
      <c r="U166" s="57">
        <f t="shared" ref="U166:X169" si="27">D466</f>
        <v>1.1038776226245937</v>
      </c>
      <c r="V166" s="57">
        <f t="shared" si="27"/>
        <v>61.829382262977056</v>
      </c>
      <c r="W166" s="57">
        <f t="shared" si="27"/>
        <v>30.539127644484388</v>
      </c>
      <c r="X166" s="57">
        <f t="shared" si="27"/>
        <v>6.3713679604051521</v>
      </c>
      <c r="Z166" s="74"/>
      <c r="AA166" s="12"/>
      <c r="AD166" s="51"/>
      <c r="AE166" s="51"/>
      <c r="AH166" s="78"/>
      <c r="AI166" s="78"/>
    </row>
    <row r="167" spans="1:35" x14ac:dyDescent="0.3">
      <c r="B167" s="1" t="s">
        <v>14</v>
      </c>
      <c r="C167" s="11">
        <f>1-C166</f>
        <v>0</v>
      </c>
      <c r="D167" s="11">
        <f>1-D166</f>
        <v>9.9999999999999978E-2</v>
      </c>
      <c r="E167" s="11">
        <f>1-E166</f>
        <v>6.7750677506774881E-3</v>
      </c>
      <c r="F167" s="11">
        <f>1-F166</f>
        <v>0.20061255742725881</v>
      </c>
      <c r="G167" s="11">
        <f>1-G166</f>
        <v>8.2219938335046372E-3</v>
      </c>
      <c r="S167" s="66" t="s">
        <v>39</v>
      </c>
      <c r="T167" s="67">
        <f>C467</f>
        <v>3.6480200124183178E-3</v>
      </c>
      <c r="U167" s="67">
        <f t="shared" si="27"/>
        <v>8.7649039083415037E-2</v>
      </c>
      <c r="V167" s="67">
        <f t="shared" si="27"/>
        <v>0.15738896838192221</v>
      </c>
      <c r="W167" s="67">
        <f t="shared" si="27"/>
        <v>0.2326763167558924</v>
      </c>
      <c r="X167" s="67">
        <f t="shared" si="27"/>
        <v>0.19348119567423794</v>
      </c>
      <c r="AD167" s="51"/>
      <c r="AE167" s="51"/>
    </row>
    <row r="168" spans="1:35" x14ac:dyDescent="0.3">
      <c r="C168" s="2"/>
      <c r="S168" t="s">
        <v>30</v>
      </c>
      <c r="T168" s="57">
        <f>C468</f>
        <v>100</v>
      </c>
      <c r="U168" s="57">
        <f t="shared" si="27"/>
        <v>92.405519559152935</v>
      </c>
      <c r="V168" s="57">
        <f t="shared" si="27"/>
        <v>99.657830627581461</v>
      </c>
      <c r="W168" s="57">
        <f t="shared" si="27"/>
        <v>99.024578057376857</v>
      </c>
      <c r="X168" s="57">
        <f t="shared" si="27"/>
        <v>89.959478232474098</v>
      </c>
      <c r="AD168" s="51"/>
      <c r="AE168" s="51"/>
      <c r="AH168" s="78"/>
      <c r="AI168" s="78"/>
    </row>
    <row r="169" spans="1:35" ht="15.6" x14ac:dyDescent="0.35">
      <c r="A169" t="s">
        <v>317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27"/>
        <v>7.2419837300108636</v>
      </c>
      <c r="V169" s="67">
        <f t="shared" si="27"/>
        <v>0.16750958568945462</v>
      </c>
      <c r="W169" s="67">
        <f t="shared" si="27"/>
        <v>0.29874351308572672</v>
      </c>
      <c r="X169" s="67">
        <f t="shared" si="27"/>
        <v>2.7432862158089488</v>
      </c>
      <c r="AD169" s="51"/>
      <c r="AE169" s="51"/>
    </row>
    <row r="170" spans="1:35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80.266075388026607</v>
      </c>
      <c r="U170" s="71">
        <f>I462</f>
        <v>96.491228070175438</v>
      </c>
      <c r="V170" s="71">
        <f>I463</f>
        <v>99.728629579375848</v>
      </c>
      <c r="W170" s="71">
        <f>I464</f>
        <v>97.378277153558045</v>
      </c>
      <c r="X170" s="71">
        <f>I465</f>
        <v>97.026759167492557</v>
      </c>
      <c r="AD170" s="51"/>
      <c r="AE170" s="51"/>
      <c r="AH170" s="78"/>
      <c r="AI170" s="78"/>
    </row>
    <row r="171" spans="1:35" x14ac:dyDescent="0.3">
      <c r="A171" t="s">
        <v>3</v>
      </c>
      <c r="B171" s="13">
        <v>0</v>
      </c>
      <c r="C171" s="29">
        <f>(C160/$L171)*$O171</f>
        <v>0.16843686990732712</v>
      </c>
      <c r="D171" s="31">
        <f>(D160/$L171)*$O171</f>
        <v>0</v>
      </c>
      <c r="E171" s="31">
        <f>(E160/$L171)*$O171</f>
        <v>0</v>
      </c>
      <c r="F171" s="31">
        <f>(F160/$L171)*$O171</f>
        <v>4.0258262862465546E-2</v>
      </c>
      <c r="G171" s="32">
        <f>(G160/$L171)*$O171</f>
        <v>0</v>
      </c>
      <c r="H171" s="17">
        <f>SUM(C171:G171)</f>
        <v>0.20869513276979268</v>
      </c>
      <c r="I171" s="17">
        <f>C171/H171*100</f>
        <v>80.709534368070948</v>
      </c>
      <c r="J171" s="17">
        <f>SQRT(I171*(100-I171)/(L171-1))</f>
        <v>1.8600624236217147</v>
      </c>
      <c r="K171" s="18">
        <f>100-I171</f>
        <v>19.290465631929052</v>
      </c>
      <c r="L171" s="1">
        <f>H160</f>
        <v>451</v>
      </c>
      <c r="M171">
        <v>0</v>
      </c>
      <c r="N171" s="1">
        <v>188.67</v>
      </c>
      <c r="O171" s="17">
        <f>N171/N176*100</f>
        <v>0.20869513276979265</v>
      </c>
      <c r="P171" s="52">
        <f>((O171*O171*(I171/100)*(K171/100))/(L171-1))</f>
        <v>1.5068835076577975E-5</v>
      </c>
      <c r="S171" s="75" t="s">
        <v>39</v>
      </c>
      <c r="T171" s="76">
        <f>J461</f>
        <v>1.8761453868126592</v>
      </c>
      <c r="U171" s="76">
        <f>J462</f>
        <v>2.4588241692166148</v>
      </c>
      <c r="V171" s="76">
        <f>J463</f>
        <v>0.19175746172356631</v>
      </c>
      <c r="W171" s="76">
        <f>J464</f>
        <v>0.69208721749797519</v>
      </c>
      <c r="X171" s="76">
        <f>J465</f>
        <v>0.5349713705092437</v>
      </c>
      <c r="AD171" s="51"/>
      <c r="AE171" s="51"/>
    </row>
    <row r="172" spans="1:35" x14ac:dyDescent="0.3">
      <c r="A172" t="s">
        <v>4</v>
      </c>
      <c r="B172" s="13">
        <v>1</v>
      </c>
      <c r="C172" s="33">
        <f t="shared" ref="C172:G175" si="28">(C161/$L172)*$O172</f>
        <v>0</v>
      </c>
      <c r="D172" s="34">
        <f t="shared" si="28"/>
        <v>1.0238498576632744</v>
      </c>
      <c r="E172" s="19">
        <f t="shared" si="28"/>
        <v>3.7920365098639788E-2</v>
      </c>
      <c r="F172" s="18">
        <f t="shared" si="28"/>
        <v>1.8960182549319894E-2</v>
      </c>
      <c r="G172" s="20">
        <f t="shared" si="28"/>
        <v>0</v>
      </c>
      <c r="H172" s="17">
        <f>SUM(C172:G172)</f>
        <v>1.0807304053112341</v>
      </c>
      <c r="I172" s="17">
        <f>D172/H172*100</f>
        <v>94.73684210526315</v>
      </c>
      <c r="J172" s="17">
        <f>SQRT(I172*(100-I172)/(L172-1))</f>
        <v>2.9839300500728485</v>
      </c>
      <c r="K172" s="18">
        <f>100-I172</f>
        <v>5.2631578947368496</v>
      </c>
      <c r="L172" s="1">
        <f>H161</f>
        <v>57</v>
      </c>
      <c r="M172">
        <v>1</v>
      </c>
      <c r="N172" s="1">
        <v>977.03</v>
      </c>
      <c r="O172" s="17">
        <f>N172/N176*100</f>
        <v>1.0807304053112341</v>
      </c>
      <c r="P172" s="52">
        <f>((O172*O172*(I172/100)*(K172/100))/(L172-1))</f>
        <v>1.0399489395209413E-3</v>
      </c>
      <c r="S172" s="66" t="s">
        <v>51</v>
      </c>
      <c r="T172" s="67">
        <f>N450*100</f>
        <v>89.05289052890528</v>
      </c>
      <c r="U172" s="67">
        <f>N451*100</f>
        <v>97.345132743362825</v>
      </c>
      <c r="V172" s="67">
        <f>N452*100</f>
        <v>99.526066350710906</v>
      </c>
      <c r="W172" s="67">
        <f>N453*100</f>
        <v>88.586030664395224</v>
      </c>
      <c r="X172" s="67">
        <f>N454*100</f>
        <v>97.948974487243632</v>
      </c>
      <c r="AD172" s="51"/>
      <c r="AE172" s="51"/>
      <c r="AH172" s="78"/>
      <c r="AI172" s="78"/>
    </row>
    <row r="173" spans="1:35" x14ac:dyDescent="0.3">
      <c r="A173" t="s">
        <v>5</v>
      </c>
      <c r="B173" s="13">
        <v>2</v>
      </c>
      <c r="C173" s="33">
        <f t="shared" si="28"/>
        <v>0</v>
      </c>
      <c r="D173" s="19">
        <f t="shared" si="28"/>
        <v>8.3977262224961338E-2</v>
      </c>
      <c r="E173" s="34">
        <f t="shared" si="28"/>
        <v>61.555333210896663</v>
      </c>
      <c r="F173" s="19">
        <f t="shared" si="28"/>
        <v>0.25193178667488397</v>
      </c>
      <c r="G173" s="20">
        <f t="shared" si="28"/>
        <v>0</v>
      </c>
      <c r="H173" s="17">
        <f>SUM(C173:G173)</f>
        <v>61.891242259796506</v>
      </c>
      <c r="I173" s="17">
        <f>E173/H173*100</f>
        <v>99.457259158751697</v>
      </c>
      <c r="J173" s="17">
        <f>SQRT(I173*(100-I173)/(L173-1))</f>
        <v>0.27081679117169194</v>
      </c>
      <c r="K173" s="18">
        <f>100-I173</f>
        <v>0.54274084124830324</v>
      </c>
      <c r="L173" s="1">
        <f>H162</f>
        <v>737</v>
      </c>
      <c r="M173">
        <v>2</v>
      </c>
      <c r="N173" s="1">
        <v>55952.53</v>
      </c>
      <c r="O173" s="17">
        <f>N173/N176*100</f>
        <v>61.891242259796506</v>
      </c>
      <c r="P173" s="52">
        <f>((O173*O173*(I173/100)*(K173/100))/(L173-1))</f>
        <v>2.8093741078240943E-2</v>
      </c>
      <c r="R173" s="16" t="s">
        <v>61</v>
      </c>
      <c r="S173" t="s">
        <v>9</v>
      </c>
      <c r="T173" s="1">
        <f>N461</f>
        <v>175.98</v>
      </c>
      <c r="U173" s="1">
        <f>N462</f>
        <v>955.7</v>
      </c>
      <c r="V173" s="1">
        <f>N463</f>
        <v>55856.93</v>
      </c>
      <c r="W173" s="1">
        <f>N464</f>
        <v>28075.54</v>
      </c>
      <c r="X173" s="1">
        <f>N465</f>
        <v>5340.46</v>
      </c>
      <c r="Z173" t="s">
        <v>36</v>
      </c>
      <c r="AA173" s="1">
        <f>N466</f>
        <v>90404.61</v>
      </c>
      <c r="AD173" s="51"/>
      <c r="AE173" s="51"/>
    </row>
    <row r="174" spans="1:35" ht="15.6" x14ac:dyDescent="0.35">
      <c r="A174" t="s">
        <v>6</v>
      </c>
      <c r="B174" s="13">
        <v>3</v>
      </c>
      <c r="C174" s="33">
        <f t="shared" si="28"/>
        <v>0</v>
      </c>
      <c r="D174" s="19">
        <f t="shared" si="28"/>
        <v>0.11676073855941557</v>
      </c>
      <c r="E174" s="19">
        <f t="shared" si="28"/>
        <v>0.11676073855941557</v>
      </c>
      <c r="F174" s="34">
        <f t="shared" si="28"/>
        <v>30.474552764007463</v>
      </c>
      <c r="G174" s="20">
        <f t="shared" si="28"/>
        <v>0.46704295423766229</v>
      </c>
      <c r="H174" s="17">
        <f>SUM(C174:G174)</f>
        <v>31.175117195363956</v>
      </c>
      <c r="I174" s="17">
        <f>F174/H174*100</f>
        <v>97.752808988764045</v>
      </c>
      <c r="J174" s="17">
        <f>SQRT(I174*(100-I174)/(L174-1))</f>
        <v>0.64197928239881541</v>
      </c>
      <c r="K174" s="18">
        <f>100-I174</f>
        <v>2.2471910112359552</v>
      </c>
      <c r="L174" s="1">
        <f>H163</f>
        <v>534</v>
      </c>
      <c r="M174">
        <v>3</v>
      </c>
      <c r="N174" s="1">
        <v>28183.74</v>
      </c>
      <c r="O174" s="17">
        <f>N174/N176*100</f>
        <v>31.175117195363956</v>
      </c>
      <c r="P174" s="52">
        <f>((O174*O174*(I174/100)*(K174/100))/(L174-1))</f>
        <v>4.0055136450207023E-2</v>
      </c>
      <c r="R174" s="16" t="s">
        <v>318</v>
      </c>
      <c r="S174" t="s">
        <v>63</v>
      </c>
      <c r="T174" s="57">
        <f>$AA173*T166/100</f>
        <v>141.25223946784922</v>
      </c>
      <c r="U174" s="57">
        <f>$AA173*U166/100</f>
        <v>997.95625961103565</v>
      </c>
      <c r="V174" s="57">
        <f>$AA173*V166/100</f>
        <v>55896.611900253585</v>
      </c>
      <c r="W174" s="57">
        <f>$AA173*W166/100</f>
        <v>27608.779244398298</v>
      </c>
      <c r="X174" s="57">
        <f>$AA173*X166/100</f>
        <v>5760.010356269232</v>
      </c>
      <c r="Z174" t="s">
        <v>36</v>
      </c>
      <c r="AA174" s="25">
        <f>SUM(T174:X174)</f>
        <v>90404.61</v>
      </c>
      <c r="AD174" s="51"/>
      <c r="AE174" s="51"/>
      <c r="AH174" s="78"/>
      <c r="AI174" s="78"/>
    </row>
    <row r="175" spans="1:35" x14ac:dyDescent="0.3">
      <c r="A175" t="s">
        <v>7</v>
      </c>
      <c r="B175" s="13">
        <v>4</v>
      </c>
      <c r="C175" s="35">
        <f t="shared" si="28"/>
        <v>0</v>
      </c>
      <c r="D175" s="36">
        <f t="shared" si="28"/>
        <v>1.6781610525545602E-2</v>
      </c>
      <c r="E175" s="21">
        <f t="shared" si="28"/>
        <v>5.5938701751818681E-3</v>
      </c>
      <c r="F175" s="21">
        <f t="shared" si="28"/>
        <v>0.22375480700727471</v>
      </c>
      <c r="G175" s="37">
        <f t="shared" si="28"/>
        <v>5.3980847190505026</v>
      </c>
      <c r="H175" s="17">
        <f>SUM(C175:G175)</f>
        <v>5.6442150067585048</v>
      </c>
      <c r="I175" s="17">
        <f>G175/H175*100</f>
        <v>95.63924677898909</v>
      </c>
      <c r="J175" s="17">
        <f>SQRT(I175*(100-I175)/(L175-1))</f>
        <v>0.64323336369097983</v>
      </c>
      <c r="K175" s="18">
        <f>100-I175</f>
        <v>4.3607532210109099</v>
      </c>
      <c r="L175" s="1">
        <f>H164</f>
        <v>1009</v>
      </c>
      <c r="M175">
        <v>4</v>
      </c>
      <c r="N175" s="1">
        <v>5102.63</v>
      </c>
      <c r="O175" s="17">
        <f>N175/N176*100</f>
        <v>5.6442150067585048</v>
      </c>
      <c r="P175" s="52">
        <f>((O175*O175*(I175/100)*(K175/100))/(L175-1))</f>
        <v>1.3180874454088024E-3</v>
      </c>
      <c r="R175" s="66"/>
      <c r="S175" s="66" t="s">
        <v>62</v>
      </c>
      <c r="T175" s="67">
        <f>$AA173*T167/100</f>
        <v>3.2979782649487315</v>
      </c>
      <c r="U175" s="67">
        <f>$AA173*U167/100</f>
        <v>79.238771952108934</v>
      </c>
      <c r="V175" s="67">
        <f>$AA173*V167/100</f>
        <v>142.28688304870008</v>
      </c>
      <c r="W175" s="67">
        <f>$AA173*W167/100</f>
        <v>210.35011672552918</v>
      </c>
      <c r="X175" s="67">
        <f>$AA173*X167/100</f>
        <v>174.91592037263166</v>
      </c>
      <c r="AA175" s="1"/>
      <c r="AD175" s="51"/>
      <c r="AE175" s="51"/>
    </row>
    <row r="176" spans="1:35" x14ac:dyDescent="0.3">
      <c r="B176" t="s">
        <v>28</v>
      </c>
      <c r="C176" s="17">
        <f t="shared" ref="C176:H176" si="29">SUM(C171:C175)</f>
        <v>0.16843686990732712</v>
      </c>
      <c r="D176" s="17">
        <f t="shared" si="29"/>
        <v>1.2413694689731969</v>
      </c>
      <c r="E176" s="17">
        <f t="shared" si="29"/>
        <v>61.715608184729902</v>
      </c>
      <c r="F176" s="17">
        <f t="shared" si="29"/>
        <v>31.009457803101405</v>
      </c>
      <c r="G176" s="17">
        <f t="shared" si="29"/>
        <v>5.865127673288165</v>
      </c>
      <c r="H176" s="18">
        <f t="shared" si="29"/>
        <v>99.999999999999986</v>
      </c>
      <c r="I176" s="13" t="s">
        <v>24</v>
      </c>
      <c r="J176" s="12" t="s">
        <v>29</v>
      </c>
      <c r="N176" s="1">
        <f>SUM(N171:N175)</f>
        <v>90404.6</v>
      </c>
      <c r="O176" s="17">
        <f>SUM(O171:O175)</f>
        <v>99.999999999999986</v>
      </c>
      <c r="R176" t="s">
        <v>104</v>
      </c>
      <c r="S176" t="s">
        <v>28</v>
      </c>
      <c r="T176" s="57">
        <f>C495</f>
        <v>0.16055624143773092</v>
      </c>
      <c r="U176" s="57">
        <f t="shared" ref="U176:X179" si="30">D495</f>
        <v>1.1659514419236972</v>
      </c>
      <c r="V176" s="57">
        <f t="shared" si="30"/>
        <v>62.007174324530908</v>
      </c>
      <c r="W176" s="57">
        <f t="shared" si="30"/>
        <v>30.667019477875296</v>
      </c>
      <c r="X176" s="57">
        <f t="shared" si="30"/>
        <v>5.9992985142323683</v>
      </c>
      <c r="AD176" s="51"/>
      <c r="AE176" s="51"/>
      <c r="AH176" s="78"/>
      <c r="AI176" s="78"/>
    </row>
    <row r="177" spans="1:41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3.8775537424270974E-3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0.1222657597486118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0.18860444617884828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0.25024148833302562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0.16785243445546166</v>
      </c>
      <c r="H177" s="1"/>
      <c r="I177" s="14">
        <f>(C171+D172+E173+F174+G175)/H176</f>
        <v>0.98620257421525237</v>
      </c>
      <c r="J177" s="53">
        <f>SQRT(SUM(P171:P175))/100</f>
        <v>2.6555975363080587E-3</v>
      </c>
      <c r="M177" s="1"/>
      <c r="N177" s="9"/>
      <c r="S177" s="66" t="s">
        <v>39</v>
      </c>
      <c r="T177" s="67">
        <f>C496</f>
        <v>3.6434082898747495E-3</v>
      </c>
      <c r="U177" s="67">
        <f t="shared" si="30"/>
        <v>9.0878846649539144E-2</v>
      </c>
      <c r="V177" s="67">
        <f t="shared" si="30"/>
        <v>0.14592237131133698</v>
      </c>
      <c r="W177" s="67">
        <f t="shared" si="30"/>
        <v>0.24213323093340663</v>
      </c>
      <c r="X177" s="67">
        <f t="shared" si="30"/>
        <v>0.1770790257627981</v>
      </c>
      <c r="AD177" s="51"/>
      <c r="AE177" s="51"/>
    </row>
    <row r="178" spans="1:41" x14ac:dyDescent="0.3">
      <c r="B178" s="1" t="s">
        <v>30</v>
      </c>
      <c r="C178" s="17">
        <f>C171/C176*100</f>
        <v>100</v>
      </c>
      <c r="D178" s="17">
        <f>D172/D176*100</f>
        <v>82.477447951910349</v>
      </c>
      <c r="E178" s="17">
        <f>E173/E176*100</f>
        <v>99.740300746363062</v>
      </c>
      <c r="F178" s="17">
        <f>F174/F176*100</f>
        <v>98.275026146892372</v>
      </c>
      <c r="G178" s="17">
        <f>G175/G176*100</f>
        <v>92.036951618892488</v>
      </c>
      <c r="H178" s="1"/>
      <c r="S178" s="70" t="s">
        <v>30</v>
      </c>
      <c r="T178" s="64">
        <f>C497</f>
        <v>100</v>
      </c>
      <c r="U178" s="64">
        <f t="shared" si="30"/>
        <v>89.505662816540081</v>
      </c>
      <c r="V178" s="64">
        <f t="shared" si="30"/>
        <v>99.560050682230795</v>
      </c>
      <c r="W178" s="64">
        <f t="shared" si="30"/>
        <v>98.758057497552684</v>
      </c>
      <c r="X178" s="64">
        <f t="shared" si="30"/>
        <v>91.245753171399784</v>
      </c>
      <c r="AD178" s="51"/>
      <c r="AE178" s="51"/>
      <c r="AH178" s="78"/>
      <c r="AI178" s="78"/>
    </row>
    <row r="179" spans="1:41" x14ac:dyDescent="0.3">
      <c r="B179" s="16" t="s">
        <v>39</v>
      </c>
      <c r="C179" s="18">
        <f>SQRT((C182+C183)/(C176*C176))</f>
        <v>0</v>
      </c>
      <c r="D179" s="18">
        <f>SQRT((D182+D183)/(D176*D176))</f>
        <v>9.0719021683595447</v>
      </c>
      <c r="E179" s="18">
        <f>SQRT((E182+E183)/(E176*E176))</f>
        <v>0.14052154951438189</v>
      </c>
      <c r="F179" s="18">
        <f>SQRT((F182+F183)/(F176*F176))</f>
        <v>0.49005739044002317</v>
      </c>
      <c r="G179" s="18">
        <f>SQRT((G182+G183)/(G176*G176))</f>
        <v>2.6208723010692343</v>
      </c>
      <c r="H179" s="1"/>
      <c r="S179" s="66" t="s">
        <v>39</v>
      </c>
      <c r="T179" s="67">
        <f>C498</f>
        <v>0</v>
      </c>
      <c r="U179" s="67">
        <f t="shared" si="30"/>
        <v>7.2206988715327087</v>
      </c>
      <c r="V179" s="67">
        <f t="shared" si="30"/>
        <v>0.19213722514894874</v>
      </c>
      <c r="W179" s="67">
        <f t="shared" si="30"/>
        <v>0.31871122852329864</v>
      </c>
      <c r="X179" s="67">
        <f t="shared" si="30"/>
        <v>2.6915548189191889</v>
      </c>
      <c r="AD179" s="51"/>
      <c r="AE179" s="51"/>
    </row>
    <row r="180" spans="1:41" x14ac:dyDescent="0.3">
      <c r="B180" s="1" t="s">
        <v>37</v>
      </c>
      <c r="C180" s="18">
        <f>100-C178</f>
        <v>0</v>
      </c>
      <c r="D180" s="18">
        <f>100-D178</f>
        <v>17.522552048089651</v>
      </c>
      <c r="E180" s="18">
        <f>100-E178</f>
        <v>0.25969925363693847</v>
      </c>
      <c r="F180" s="18">
        <f>100-F178</f>
        <v>1.7249738531076275</v>
      </c>
      <c r="G180" s="18">
        <f>100-G178</f>
        <v>7.9630483811075123</v>
      </c>
      <c r="S180" s="70" t="s">
        <v>31</v>
      </c>
      <c r="T180" s="64">
        <f>I490</f>
        <v>81.152993348115288</v>
      </c>
      <c r="U180" s="64">
        <f>I491</f>
        <v>92.982456140350848</v>
      </c>
      <c r="V180" s="64">
        <f>I492</f>
        <v>99.864314789687924</v>
      </c>
      <c r="W180" s="64">
        <f>I493</f>
        <v>97.191011235955045</v>
      </c>
      <c r="X180" s="64">
        <f>I494</f>
        <v>96.035678889990095</v>
      </c>
      <c r="AD180" s="51"/>
      <c r="AE180" s="51"/>
      <c r="AH180" s="78"/>
      <c r="AI180" s="78"/>
    </row>
    <row r="181" spans="1:41" ht="15.6" x14ac:dyDescent="0.35">
      <c r="B181" s="1" t="s">
        <v>25</v>
      </c>
      <c r="C181" s="1">
        <f>C165</f>
        <v>364</v>
      </c>
      <c r="D181" s="1">
        <f>D165</f>
        <v>60</v>
      </c>
      <c r="E181" s="1">
        <f>E165</f>
        <v>738</v>
      </c>
      <c r="F181" s="1">
        <f>F165</f>
        <v>653</v>
      </c>
      <c r="G181" s="1">
        <f>G165</f>
        <v>973</v>
      </c>
      <c r="S181" s="66" t="s">
        <v>39</v>
      </c>
      <c r="T181" s="67">
        <f>J490</f>
        <v>1.8436021536668579</v>
      </c>
      <c r="U181" s="67">
        <f>J491</f>
        <v>3.4134933513474341</v>
      </c>
      <c r="V181" s="67">
        <f>J492</f>
        <v>0.13568521031207589</v>
      </c>
      <c r="W181" s="67">
        <f>J493</f>
        <v>0.71568917248320152</v>
      </c>
      <c r="X181" s="67">
        <f>J494</f>
        <v>0.614568719872848</v>
      </c>
      <c r="AD181" s="51"/>
      <c r="AE181" s="51"/>
      <c r="AN181" s="2"/>
      <c r="AO181" s="2"/>
    </row>
    <row r="182" spans="1:41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31.930574588830712</v>
      </c>
      <c r="E182" s="18">
        <f>(O173*O173*(100-E178)*(100-E178)*(I173)*(100-I173))/((L173-1)*100)</f>
        <v>0.18947459108861953</v>
      </c>
      <c r="F182" s="18">
        <f>(O174*O174*(100-F178)*(100-F178)*(I174)*(100-I174))/((L174-1)*100)</f>
        <v>11.91854521822024</v>
      </c>
      <c r="G182" s="18">
        <f>(O175*O175*(100-G178)*(100-G178)*(I175)*(100-I175))/((L175-1)*100)</f>
        <v>8.3580108812746658</v>
      </c>
      <c r="S182" s="68" t="s">
        <v>51</v>
      </c>
      <c r="T182" s="65">
        <f>N479*100</f>
        <v>89.596083231334148</v>
      </c>
      <c r="U182" s="65">
        <f>N480*100</f>
        <v>93.805309734513273</v>
      </c>
      <c r="V182" s="65">
        <f>N481*100</f>
        <v>99.526707234618002</v>
      </c>
      <c r="W182" s="65">
        <f>N482*100</f>
        <v>87.966101694915253</v>
      </c>
      <c r="X182" s="65">
        <f>N483*100</f>
        <v>97.533970810266737</v>
      </c>
      <c r="AD182" s="51"/>
      <c r="AE182" s="51"/>
      <c r="AH182" s="78"/>
      <c r="AI182" s="78"/>
    </row>
    <row r="183" spans="1:41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94.892663052182328</v>
      </c>
      <c r="E183" s="18">
        <f>E178*E178*(SUM((H171*E171*(1-E160/H160))/(H160-1),(H172*E172*(1-E161/H161))/(H161-1), (H174*E174*(1-E163/H163))/(H163-1),(H175*E175*(1-E164/H164))/(H164-1)))</f>
        <v>75.020576975372691</v>
      </c>
      <c r="F183" s="18">
        <f>F178*F178*(SUM((H171*F171*(1-F160/H160))/(H160-1),(H172*F172*(1-F161/H161))/(H161-1), (H173*F173*(1-F162/H162))/(H162-1),(H175*F175*(1-F164/H164))/(H164-1)))</f>
        <v>219.0124523278071</v>
      </c>
      <c r="G183" s="18">
        <f>G178*G178*(SUM((H171*G171*(1-G160/H160))/(H160-1),(H172*G172*(1-G161/H161))/(H161-1), (H173*G173*(1-G162/H162))/(H162-1),(H174*G174*(1-G163/H163))/(H163-1)))</f>
        <v>227.93270750746291</v>
      </c>
      <c r="R183" s="16" t="s">
        <v>61</v>
      </c>
      <c r="S183" t="s">
        <v>9</v>
      </c>
      <c r="T183" s="1">
        <f>N490</f>
        <v>178.86</v>
      </c>
      <c r="U183" s="1">
        <f>N491</f>
        <v>1014.66</v>
      </c>
      <c r="V183" s="1">
        <f>N492</f>
        <v>55886.55</v>
      </c>
      <c r="W183" s="1">
        <f>N493</f>
        <v>28171.41</v>
      </c>
      <c r="X183" s="1">
        <f>N494</f>
        <v>5153.13</v>
      </c>
      <c r="Z183" t="s">
        <v>36</v>
      </c>
      <c r="AA183" s="1">
        <f>N495</f>
        <v>90404.61</v>
      </c>
      <c r="AD183" s="51"/>
      <c r="AE183" s="51"/>
      <c r="AN183" s="78"/>
      <c r="AO183" s="78"/>
    </row>
    <row r="184" spans="1:41" ht="15.6" x14ac:dyDescent="0.35">
      <c r="R184" s="16" t="s">
        <v>318</v>
      </c>
      <c r="S184" t="s">
        <v>63</v>
      </c>
      <c r="T184" s="57">
        <f>$AA183*T176/100</f>
        <v>145.15024390243903</v>
      </c>
      <c r="U184" s="57">
        <f>$AA183*U176/100</f>
        <v>1054.0738538604949</v>
      </c>
      <c r="V184" s="57">
        <f>$AA183*V176/100</f>
        <v>56057.344120112306</v>
      </c>
      <c r="W184" s="57">
        <f>$AA183*W176/100</f>
        <v>27724.399357597198</v>
      </c>
      <c r="X184" s="57">
        <f>$AA183*X176/100</f>
        <v>5423.6424245275675</v>
      </c>
      <c r="Z184" t="s">
        <v>36</v>
      </c>
      <c r="AA184" s="25">
        <f>SUM(T184:X184)</f>
        <v>90404.61</v>
      </c>
      <c r="AD184" s="51"/>
      <c r="AE184" s="51"/>
      <c r="AH184" s="78"/>
      <c r="AI184" s="78"/>
    </row>
    <row r="185" spans="1:41" x14ac:dyDescent="0.3">
      <c r="R185" s="66"/>
      <c r="S185" s="66" t="s">
        <v>62</v>
      </c>
      <c r="T185" s="67">
        <f>$AA183*T177/100</f>
        <v>3.293809055168937</v>
      </c>
      <c r="U185" s="67">
        <f>$AA183*U177/100</f>
        <v>82.158666886013918</v>
      </c>
      <c r="V185" s="67">
        <f>$AA183*V177/100</f>
        <v>131.92055068676609</v>
      </c>
      <c r="W185" s="67">
        <f>$AA183*W177/100</f>
        <v>218.89960310574563</v>
      </c>
      <c r="X185" s="67">
        <f>$AA183*X177/100</f>
        <v>160.08760263265714</v>
      </c>
      <c r="AA185" s="1"/>
      <c r="AD185" s="51"/>
      <c r="AE185" s="51"/>
      <c r="AN185" s="78"/>
      <c r="AO185" s="78"/>
    </row>
    <row r="186" spans="1:41" x14ac:dyDescent="0.3">
      <c r="A186" s="348" t="s">
        <v>382</v>
      </c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 t="s">
        <v>79</v>
      </c>
      <c r="M186" s="348"/>
      <c r="N186" s="348"/>
      <c r="O186" s="348"/>
      <c r="P186" s="348"/>
      <c r="R186" t="s">
        <v>105</v>
      </c>
      <c r="S186" s="70" t="s">
        <v>28</v>
      </c>
      <c r="T186" s="64">
        <f>C524</f>
        <v>0.13957745823221787</v>
      </c>
      <c r="U186" s="64">
        <f t="shared" ref="U186:X189" si="31">D524</f>
        <v>1.1511107235750786</v>
      </c>
      <c r="V186" s="64">
        <f t="shared" si="31"/>
        <v>62.20507873323259</v>
      </c>
      <c r="W186" s="64">
        <f t="shared" si="31"/>
        <v>30.818512303120404</v>
      </c>
      <c r="X186" s="64">
        <f t="shared" si="31"/>
        <v>5.6857207818397235</v>
      </c>
      <c r="AA186" s="12"/>
      <c r="AD186" s="51"/>
      <c r="AE186" s="51"/>
    </row>
    <row r="187" spans="1:41" x14ac:dyDescent="0.3">
      <c r="A187" t="s">
        <v>315</v>
      </c>
      <c r="B187" t="s">
        <v>21</v>
      </c>
      <c r="I187" s="1" t="s">
        <v>53</v>
      </c>
      <c r="O187" s="142"/>
      <c r="P187" s="142"/>
      <c r="S187" s="66" t="s">
        <v>39</v>
      </c>
      <c r="T187" s="67">
        <f>C525</f>
        <v>3.8226495917144752E-3</v>
      </c>
      <c r="U187" s="67">
        <f t="shared" si="31"/>
        <v>0.12177474450601539</v>
      </c>
      <c r="V187" s="67">
        <f t="shared" si="31"/>
        <v>0.16883005704726042</v>
      </c>
      <c r="W187" s="67">
        <f t="shared" si="31"/>
        <v>0.21973059321253827</v>
      </c>
      <c r="X187" s="67">
        <f t="shared" si="31"/>
        <v>0.14684834517055814</v>
      </c>
      <c r="AD187" s="51"/>
      <c r="AE187" s="51"/>
      <c r="AN187" s="78"/>
      <c r="AO187" s="78"/>
    </row>
    <row r="188" spans="1:41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51</v>
      </c>
      <c r="O188" s="13"/>
      <c r="P188" s="13"/>
      <c r="S188" t="s">
        <v>30</v>
      </c>
      <c r="T188" s="57">
        <f>C526</f>
        <v>100</v>
      </c>
      <c r="U188" s="57">
        <f t="shared" si="31"/>
        <v>80.619300794591069</v>
      </c>
      <c r="V188" s="57">
        <f t="shared" si="31"/>
        <v>99.541362027838005</v>
      </c>
      <c r="W188" s="57">
        <f t="shared" si="31"/>
        <v>98.800895966124813</v>
      </c>
      <c r="X188" s="57">
        <f t="shared" si="31"/>
        <v>93.844437115760286</v>
      </c>
      <c r="AD188" s="51"/>
      <c r="AE188" s="51"/>
    </row>
    <row r="189" spans="1:41" x14ac:dyDescent="0.3">
      <c r="A189" t="s">
        <v>3</v>
      </c>
      <c r="B189" s="13">
        <v>0</v>
      </c>
      <c r="C189" s="26">
        <v>337</v>
      </c>
      <c r="D189" s="3">
        <v>0</v>
      </c>
      <c r="E189" s="3">
        <v>2</v>
      </c>
      <c r="F189" s="3">
        <v>112</v>
      </c>
      <c r="G189" s="4">
        <v>0</v>
      </c>
      <c r="H189" s="1">
        <f>SUM(C189:G189)</f>
        <v>451</v>
      </c>
      <c r="I189" s="10">
        <f>C189/H189</f>
        <v>0.74722838137472281</v>
      </c>
      <c r="J189" s="11">
        <f>1-I189</f>
        <v>0.25277161862527719</v>
      </c>
      <c r="K189">
        <f>H189-C194</f>
        <v>114</v>
      </c>
      <c r="N189" s="10">
        <f>2*(C195*I189)/(C195+I189)</f>
        <v>0.85532994923857875</v>
      </c>
      <c r="O189" s="1"/>
      <c r="P189" s="1"/>
      <c r="S189" s="66" t="s">
        <v>39</v>
      </c>
      <c r="T189" s="67">
        <f>C527</f>
        <v>0</v>
      </c>
      <c r="U189" s="67">
        <f t="shared" si="31"/>
        <v>9.6410299450073325</v>
      </c>
      <c r="V189" s="67">
        <f t="shared" si="31"/>
        <v>0.19214702477998119</v>
      </c>
      <c r="W189" s="67">
        <f t="shared" si="31"/>
        <v>0.30360410721849534</v>
      </c>
      <c r="X189" s="67">
        <f t="shared" si="31"/>
        <v>2.3814253873487718</v>
      </c>
      <c r="AD189" s="51"/>
      <c r="AE189" s="51"/>
      <c r="AN189" s="78"/>
      <c r="AO189" s="78"/>
    </row>
    <row r="190" spans="1:41" x14ac:dyDescent="0.3">
      <c r="A190" t="s">
        <v>4</v>
      </c>
      <c r="B190" s="13">
        <v>1</v>
      </c>
      <c r="C190" s="5">
        <v>0</v>
      </c>
      <c r="D190" s="27">
        <v>53</v>
      </c>
      <c r="E190" s="1">
        <v>3</v>
      </c>
      <c r="F190" s="1">
        <v>1</v>
      </c>
      <c r="G190" s="6">
        <v>0</v>
      </c>
      <c r="H190" s="1">
        <f>SUM(C190:G190)</f>
        <v>57</v>
      </c>
      <c r="I190" s="10">
        <f>D190/H190</f>
        <v>0.92982456140350878</v>
      </c>
      <c r="J190" s="11">
        <f>1-I190</f>
        <v>7.0175438596491224E-2</v>
      </c>
      <c r="K190">
        <f>H190-D194</f>
        <v>1</v>
      </c>
      <c r="N190" s="10">
        <f>2*(D195*I190)/(D195+I190)</f>
        <v>0.93805309734513276</v>
      </c>
      <c r="O190" s="1"/>
      <c r="P190" s="1"/>
      <c r="S190" t="s">
        <v>31</v>
      </c>
      <c r="T190" s="57">
        <f>I519</f>
        <v>74.722838137472294</v>
      </c>
      <c r="U190" s="57">
        <f>I520</f>
        <v>94.73684210526315</v>
      </c>
      <c r="V190" s="57">
        <f>I521</f>
        <v>99.728629579375834</v>
      </c>
      <c r="W190" s="57">
        <f>I522</f>
        <v>97.752808988764045</v>
      </c>
      <c r="X190" s="57">
        <f>I523</f>
        <v>95.341922695738347</v>
      </c>
      <c r="AD190" s="51"/>
      <c r="AE190" s="51"/>
    </row>
    <row r="191" spans="1:41" x14ac:dyDescent="0.3">
      <c r="A191" t="s">
        <v>5</v>
      </c>
      <c r="B191" s="13">
        <v>2</v>
      </c>
      <c r="C191" s="5">
        <v>0</v>
      </c>
      <c r="D191" s="1">
        <v>0</v>
      </c>
      <c r="E191" s="27">
        <v>735</v>
      </c>
      <c r="F191" s="1">
        <v>2</v>
      </c>
      <c r="G191" s="6">
        <v>0</v>
      </c>
      <c r="H191" s="1">
        <f>SUM(C191:G191)</f>
        <v>737</v>
      </c>
      <c r="I191" s="10">
        <f>E191/H191</f>
        <v>0.99728629579375849</v>
      </c>
      <c r="J191" s="11">
        <f>1-I191</f>
        <v>2.7137042062415073E-3</v>
      </c>
      <c r="K191">
        <f>H191-E194</f>
        <v>-6</v>
      </c>
      <c r="N191" s="10">
        <f>2*(E195*I191)/(E195+I191)</f>
        <v>0.99324324324324331</v>
      </c>
      <c r="O191" s="1"/>
      <c r="P191" s="1"/>
      <c r="S191" s="66" t="s">
        <v>39</v>
      </c>
      <c r="T191" s="67">
        <f>J519</f>
        <v>2.0487292942094326</v>
      </c>
      <c r="U191" s="67">
        <f>J520</f>
        <v>2.9839300500728485</v>
      </c>
      <c r="V191" s="67">
        <f>J521</f>
        <v>0.1917574617235713</v>
      </c>
      <c r="W191" s="67">
        <f>J522</f>
        <v>0.64197928239881541</v>
      </c>
      <c r="X191" s="67">
        <f>J523</f>
        <v>0.66376604564177011</v>
      </c>
      <c r="AD191" s="51"/>
      <c r="AE191" s="51"/>
      <c r="AN191" s="78"/>
      <c r="AO191" s="78"/>
    </row>
    <row r="192" spans="1:41" x14ac:dyDescent="0.3">
      <c r="A192" t="s">
        <v>6</v>
      </c>
      <c r="B192" s="13">
        <v>3</v>
      </c>
      <c r="C192" s="5">
        <v>0</v>
      </c>
      <c r="D192" s="1">
        <v>2</v>
      </c>
      <c r="E192" s="1">
        <v>2</v>
      </c>
      <c r="F192" s="27">
        <v>522</v>
      </c>
      <c r="G192" s="6">
        <v>8</v>
      </c>
      <c r="H192" s="1">
        <f>SUM(C192:G192)</f>
        <v>534</v>
      </c>
      <c r="I192" s="10">
        <f>F192/H192</f>
        <v>0.97752808988764039</v>
      </c>
      <c r="J192" s="11">
        <f>1-I192</f>
        <v>2.2471910112359605E-2</v>
      </c>
      <c r="K192">
        <f>H192-F194</f>
        <v>-142</v>
      </c>
      <c r="N192" s="10">
        <f>2*(F195*I192)/(F195+I192)</f>
        <v>0.86280991735537171</v>
      </c>
      <c r="O192" s="1"/>
      <c r="P192" s="1"/>
      <c r="S192" s="66" t="s">
        <v>51</v>
      </c>
      <c r="T192" s="67">
        <f>N508*100</f>
        <v>85.532994923857871</v>
      </c>
      <c r="U192" s="67">
        <f>N509*100</f>
        <v>91.525423728813564</v>
      </c>
      <c r="V192" s="67">
        <f>N510*100</f>
        <v>99.324324324324337</v>
      </c>
      <c r="W192" s="67">
        <f>N511*100</f>
        <v>86.067600989282781</v>
      </c>
      <c r="X192" s="67">
        <f>N512*100</f>
        <v>97.319170460293364</v>
      </c>
      <c r="AD192" s="51"/>
      <c r="AE192" s="51"/>
    </row>
    <row r="193" spans="1:48" x14ac:dyDescent="0.3">
      <c r="A193" t="s">
        <v>7</v>
      </c>
      <c r="B193" s="13">
        <v>4</v>
      </c>
      <c r="C193" s="7">
        <v>0</v>
      </c>
      <c r="D193" s="8">
        <v>1</v>
      </c>
      <c r="E193" s="8">
        <v>1</v>
      </c>
      <c r="F193" s="8">
        <v>39</v>
      </c>
      <c r="G193" s="28">
        <v>968</v>
      </c>
      <c r="H193" s="1">
        <f>SUM(C193:G193)</f>
        <v>1009</v>
      </c>
      <c r="I193" s="10">
        <f>G193/H193</f>
        <v>0.95936570862239845</v>
      </c>
      <c r="J193" s="11">
        <f>1-I193</f>
        <v>4.063429137760155E-2</v>
      </c>
      <c r="K193">
        <f>H193-G194</f>
        <v>33</v>
      </c>
      <c r="N193" s="10">
        <f>2*(G195*I193)/(G195+I193)</f>
        <v>0.97531486146095725</v>
      </c>
      <c r="O193" s="1"/>
      <c r="P193" s="1"/>
      <c r="R193" s="16" t="s">
        <v>61</v>
      </c>
      <c r="S193" t="s">
        <v>9</v>
      </c>
      <c r="T193" s="1">
        <f>N519</f>
        <v>168.87</v>
      </c>
      <c r="U193" s="1">
        <f>N520</f>
        <v>885.58</v>
      </c>
      <c r="V193" s="1">
        <f>N521</f>
        <v>56130.66</v>
      </c>
      <c r="W193" s="1">
        <f>N522</f>
        <v>28160.080000000002</v>
      </c>
      <c r="X193" s="1">
        <f>N523</f>
        <v>5059.42</v>
      </c>
      <c r="Z193" t="s">
        <v>36</v>
      </c>
      <c r="AA193" s="1">
        <f>N524</f>
        <v>90404.61</v>
      </c>
      <c r="AD193" s="51"/>
      <c r="AE193" s="51"/>
      <c r="AL193" s="131">
        <v>0</v>
      </c>
      <c r="AM193" s="132">
        <v>1</v>
      </c>
      <c r="AN193" s="132">
        <v>2</v>
      </c>
      <c r="AO193" s="132">
        <v>3</v>
      </c>
      <c r="AP193" s="133">
        <v>4</v>
      </c>
    </row>
    <row r="194" spans="1:48" ht="15.6" x14ac:dyDescent="0.35">
      <c r="B194" s="1" t="s">
        <v>19</v>
      </c>
      <c r="C194" s="1">
        <f>SUM(C189:C193)</f>
        <v>337</v>
      </c>
      <c r="D194" s="1">
        <f>SUM(D189:D193)</f>
        <v>56</v>
      </c>
      <c r="E194" s="1">
        <f>SUM(E189:E193)</f>
        <v>743</v>
      </c>
      <c r="F194" s="1">
        <f>SUM(F189:F193)</f>
        <v>676</v>
      </c>
      <c r="G194" s="1">
        <f>SUM(G189:G193)</f>
        <v>976</v>
      </c>
      <c r="H194" s="1">
        <f>SUM(H188:H193)</f>
        <v>2788</v>
      </c>
      <c r="I194" s="13" t="s">
        <v>12</v>
      </c>
      <c r="N194" s="16"/>
      <c r="O194" s="1"/>
      <c r="P194" s="1"/>
      <c r="R194" s="16" t="s">
        <v>318</v>
      </c>
      <c r="S194" t="s">
        <v>63</v>
      </c>
      <c r="T194" s="57">
        <f>$AA193*T186/100</f>
        <v>126.18445676274946</v>
      </c>
      <c r="U194" s="57">
        <f>$AA193*U186/100</f>
        <v>1040.6571603162279</v>
      </c>
      <c r="V194" s="57">
        <f>$AA193*V186/100</f>
        <v>56236.258828971862</v>
      </c>
      <c r="W194" s="57">
        <f>$AA193*W186/100</f>
        <v>27861.355855438022</v>
      </c>
      <c r="X194" s="57">
        <f>$AA193*X186/100</f>
        <v>5140.1536985111525</v>
      </c>
      <c r="Z194" t="s">
        <v>36</v>
      </c>
      <c r="AA194" s="25">
        <f>SUM(T194:X194)</f>
        <v>90404.610000000015</v>
      </c>
      <c r="AD194" s="51"/>
      <c r="AE194" s="51"/>
      <c r="AJ194" t="s">
        <v>2</v>
      </c>
      <c r="AQ194" t="s">
        <v>633</v>
      </c>
    </row>
    <row r="195" spans="1:48" x14ac:dyDescent="0.3">
      <c r="A195" s="1" t="s">
        <v>316</v>
      </c>
      <c r="B195" s="1" t="s">
        <v>2</v>
      </c>
      <c r="C195" s="10">
        <f>C189/C194</f>
        <v>1</v>
      </c>
      <c r="D195" s="10">
        <f>D190/D194</f>
        <v>0.9464285714285714</v>
      </c>
      <c r="E195" s="10">
        <f>E191/E194</f>
        <v>0.98923283983849264</v>
      </c>
      <c r="F195" s="10">
        <f>F192/F194</f>
        <v>0.77218934911242598</v>
      </c>
      <c r="G195" s="10">
        <f>G193/G194</f>
        <v>0.99180327868852458</v>
      </c>
      <c r="H195" s="10"/>
      <c r="I195" s="14">
        <f>(C189+D190+E191+F192+G193)/H194</f>
        <v>0.93794835007173605</v>
      </c>
      <c r="R195" s="66"/>
      <c r="S195" s="66" t="s">
        <v>62</v>
      </c>
      <c r="T195" s="67">
        <f>$AA193*T187/100</f>
        <v>3.4558514550560635</v>
      </c>
      <c r="U195" s="67">
        <f>$AA193*U187/100</f>
        <v>110.08998284915964</v>
      </c>
      <c r="V195" s="67">
        <f>$AA193*V187/100</f>
        <v>152.6301546363533</v>
      </c>
      <c r="W195" s="67">
        <f>$AA193*W187/100</f>
        <v>198.64658584448171</v>
      </c>
      <c r="X195" s="67">
        <f>$AA193*X187/100</f>
        <v>132.75767374289694</v>
      </c>
      <c r="AA195" s="1"/>
      <c r="AD195" s="51"/>
      <c r="AE195" s="51"/>
      <c r="AJ195" t="s">
        <v>633</v>
      </c>
      <c r="AK195">
        <v>0</v>
      </c>
      <c r="AL195" s="1">
        <v>158.51</v>
      </c>
      <c r="AM195" s="1">
        <v>122.63</v>
      </c>
      <c r="AN195" s="1">
        <v>4301.78</v>
      </c>
      <c r="AO195" s="1">
        <v>12164.98</v>
      </c>
      <c r="AP195">
        <v>4231.2299999999996</v>
      </c>
      <c r="AR195" s="1">
        <v>178.32</v>
      </c>
      <c r="AS195" s="1">
        <v>853.08</v>
      </c>
      <c r="AT195" s="1">
        <v>56078.28</v>
      </c>
      <c r="AU195" s="1">
        <v>28170.51</v>
      </c>
      <c r="AV195" s="1">
        <v>5124.42</v>
      </c>
    </row>
    <row r="196" spans="1:48" x14ac:dyDescent="0.3">
      <c r="B196" s="1" t="s">
        <v>14</v>
      </c>
      <c r="C196" s="11">
        <f>1-C195</f>
        <v>0</v>
      </c>
      <c r="D196" s="11">
        <f>1-D195</f>
        <v>5.3571428571428603E-2</v>
      </c>
      <c r="E196" s="11">
        <f>1-E195</f>
        <v>1.0767160161507361E-2</v>
      </c>
      <c r="F196" s="11">
        <f>1-F195</f>
        <v>0.22781065088757402</v>
      </c>
      <c r="G196" s="11">
        <f>1-G195</f>
        <v>8.1967213114754189E-3</v>
      </c>
      <c r="R196" t="s">
        <v>106</v>
      </c>
      <c r="S196" t="s">
        <v>28</v>
      </c>
      <c r="T196" s="57">
        <f>C553</f>
        <v>0.15252104202991151</v>
      </c>
      <c r="U196" s="57">
        <f t="shared" ref="U196:X199" si="32">D553</f>
        <v>1.0390287761192345</v>
      </c>
      <c r="V196" s="57">
        <f t="shared" si="32"/>
        <v>62.015402274117605</v>
      </c>
      <c r="W196" s="57">
        <f t="shared" si="32"/>
        <v>31.184982064539462</v>
      </c>
      <c r="X196" s="57">
        <f t="shared" si="32"/>
        <v>5.608065843193776</v>
      </c>
      <c r="Y196" s="13"/>
      <c r="Z196" s="74"/>
      <c r="AA196" s="12"/>
      <c r="AD196" s="51"/>
      <c r="AE196" s="51"/>
      <c r="AJ196" t="s">
        <v>633</v>
      </c>
      <c r="AK196">
        <v>1</v>
      </c>
      <c r="AL196" s="1">
        <v>134.38</v>
      </c>
      <c r="AM196" s="1">
        <v>167.06</v>
      </c>
      <c r="AN196" s="1">
        <v>4318.0600000000004</v>
      </c>
      <c r="AO196" s="1">
        <v>12130.76</v>
      </c>
      <c r="AP196">
        <v>4228.87</v>
      </c>
      <c r="AR196" s="1">
        <v>155.44999999999999</v>
      </c>
      <c r="AS196" s="1">
        <v>921.58</v>
      </c>
      <c r="AT196" s="1">
        <v>56123.74</v>
      </c>
      <c r="AU196" s="1">
        <v>28058.080000000002</v>
      </c>
      <c r="AV196" s="1">
        <v>5145.75</v>
      </c>
    </row>
    <row r="197" spans="1:48" x14ac:dyDescent="0.3">
      <c r="C197" s="2"/>
      <c r="S197" s="66" t="s">
        <v>39</v>
      </c>
      <c r="T197" s="67">
        <f>C554</f>
        <v>4.1771393921896851E-3</v>
      </c>
      <c r="U197" s="67">
        <f t="shared" si="32"/>
        <v>0.10614089045732054</v>
      </c>
      <c r="V197" s="67">
        <f t="shared" si="32"/>
        <v>0.18724322760515216</v>
      </c>
      <c r="W197" s="67">
        <f t="shared" si="32"/>
        <v>0.21482327849080568</v>
      </c>
      <c r="X197" s="67">
        <f t="shared" si="32"/>
        <v>0.12187258279340005</v>
      </c>
      <c r="AD197" s="51"/>
      <c r="AE197" s="51"/>
      <c r="AJ197" t="s">
        <v>633</v>
      </c>
      <c r="AK197">
        <v>2</v>
      </c>
      <c r="AL197" s="1">
        <v>197.43</v>
      </c>
      <c r="AM197" s="1">
        <v>152.01</v>
      </c>
      <c r="AN197" s="1">
        <v>4269.95</v>
      </c>
      <c r="AO197" s="1">
        <v>12068.36</v>
      </c>
      <c r="AP197">
        <v>4291.38</v>
      </c>
      <c r="AR197" s="1">
        <v>211.36</v>
      </c>
      <c r="AS197" s="1">
        <v>947.69</v>
      </c>
      <c r="AT197" s="1">
        <v>55892.67</v>
      </c>
      <c r="AU197" s="1">
        <v>28217.59</v>
      </c>
      <c r="AV197" s="1">
        <v>5135.3</v>
      </c>
    </row>
    <row r="198" spans="1:48" ht="15.6" x14ac:dyDescent="0.35">
      <c r="A198" t="s">
        <v>317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32"/>
        <v>86.274043194053945</v>
      </c>
      <c r="V198" s="57">
        <f t="shared" si="32"/>
        <v>99.578071423045259</v>
      </c>
      <c r="W198" s="57">
        <f t="shared" si="32"/>
        <v>98.457090480655324</v>
      </c>
      <c r="X198" s="57">
        <f t="shared" si="32"/>
        <v>95.828616871122762</v>
      </c>
      <c r="AD198" s="51"/>
      <c r="AE198" s="51"/>
      <c r="AJ198" t="s">
        <v>633</v>
      </c>
      <c r="AK198">
        <v>3</v>
      </c>
      <c r="AL198" s="1">
        <v>163.27000000000001</v>
      </c>
      <c r="AM198" s="1">
        <v>137.43</v>
      </c>
      <c r="AN198" s="1">
        <v>4291.72</v>
      </c>
      <c r="AO198" s="1">
        <v>12153.81</v>
      </c>
      <c r="AP198">
        <v>4232.91</v>
      </c>
      <c r="AR198" s="1">
        <v>176.34</v>
      </c>
      <c r="AS198" s="1">
        <v>939.04</v>
      </c>
      <c r="AT198" s="1">
        <v>55965.04</v>
      </c>
      <c r="AU198" s="1">
        <v>28189.86</v>
      </c>
      <c r="AV198" s="1">
        <v>5134.32</v>
      </c>
    </row>
    <row r="199" spans="1:48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32"/>
        <v>9.28954149323115</v>
      </c>
      <c r="V199" s="67">
        <f t="shared" si="32"/>
        <v>0.18985101835757381</v>
      </c>
      <c r="W199" s="67">
        <f t="shared" si="32"/>
        <v>0.40750495897450284</v>
      </c>
      <c r="X199" s="67">
        <f t="shared" si="32"/>
        <v>2.0106810702646127</v>
      </c>
      <c r="AD199" s="51"/>
      <c r="AE199" s="51"/>
      <c r="AJ199" t="s">
        <v>633</v>
      </c>
      <c r="AK199">
        <v>4</v>
      </c>
      <c r="AL199" s="1">
        <v>172.45</v>
      </c>
      <c r="AM199" s="1">
        <v>160.74</v>
      </c>
      <c r="AN199" s="1">
        <v>4395.07</v>
      </c>
      <c r="AO199" s="1">
        <v>12014.27</v>
      </c>
      <c r="AP199">
        <v>4236.6099999999997</v>
      </c>
      <c r="AR199" s="1">
        <v>186.33</v>
      </c>
      <c r="AS199" s="1">
        <v>915.55</v>
      </c>
      <c r="AT199" s="1">
        <v>56364.800000000003</v>
      </c>
      <c r="AU199" s="1">
        <v>27788.85</v>
      </c>
      <c r="AV199" s="1">
        <v>5149.08</v>
      </c>
    </row>
    <row r="200" spans="1:48" x14ac:dyDescent="0.3">
      <c r="A200" t="s">
        <v>3</v>
      </c>
      <c r="B200" s="13">
        <v>0</v>
      </c>
      <c r="C200" s="29">
        <f>(C189/$L200)*$O200</f>
        <v>0.14656996901947764</v>
      </c>
      <c r="D200" s="31">
        <f>(D189/$L200)*$O200</f>
        <v>0</v>
      </c>
      <c r="E200" s="31">
        <f>(E189/$L200)*$O200</f>
        <v>8.6985144818681095E-4</v>
      </c>
      <c r="F200" s="31">
        <f>(F189/$L200)*$O200</f>
        <v>4.8711681098461419E-2</v>
      </c>
      <c r="G200" s="32">
        <f>(G189/$L200)*$O200</f>
        <v>0</v>
      </c>
      <c r="H200" s="17">
        <f>SUM(C200:G200)</f>
        <v>0.19615150156612585</v>
      </c>
      <c r="I200" s="17">
        <f>C200/H200*100</f>
        <v>74.722838137472294</v>
      </c>
      <c r="J200" s="17">
        <f>SQRT(I200*(100-I200)/(L200-1))</f>
        <v>2.0487292942094326</v>
      </c>
      <c r="K200" s="18">
        <f>100-I200</f>
        <v>25.277161862527706</v>
      </c>
      <c r="L200" s="1">
        <f>H189</f>
        <v>451</v>
      </c>
      <c r="M200">
        <v>0</v>
      </c>
      <c r="N200" s="1">
        <v>177.33</v>
      </c>
      <c r="O200" s="17">
        <f>N200/N205*100</f>
        <v>0.19615150156612587</v>
      </c>
      <c r="P200" s="52">
        <f>((O200*O200*(I200/100)*(K200/100))/(L200-1))</f>
        <v>1.6149252642889892E-5</v>
      </c>
      <c r="S200" t="s">
        <v>31</v>
      </c>
      <c r="T200" s="57">
        <f>I548</f>
        <v>74.72283813747228</v>
      </c>
      <c r="U200" s="57">
        <f>I549</f>
        <v>94.736842105263165</v>
      </c>
      <c r="V200" s="57">
        <f>I550</f>
        <v>99.592944369063773</v>
      </c>
      <c r="W200" s="57">
        <f>I551</f>
        <v>98.314606741573044</v>
      </c>
      <c r="X200" s="57">
        <f>I552</f>
        <v>95.738354806739352</v>
      </c>
      <c r="AD200" s="51"/>
      <c r="AE200" s="51"/>
      <c r="AJ200" t="s">
        <v>633</v>
      </c>
      <c r="AK200">
        <v>5</v>
      </c>
      <c r="AL200" s="1">
        <v>169.31</v>
      </c>
      <c r="AM200" s="1">
        <v>174.03</v>
      </c>
      <c r="AN200" s="1">
        <v>4245.33</v>
      </c>
      <c r="AO200" s="1">
        <v>12168.84</v>
      </c>
      <c r="AP200">
        <v>4221.62</v>
      </c>
      <c r="AR200" s="1">
        <v>188.67</v>
      </c>
      <c r="AS200" s="1">
        <v>977.03</v>
      </c>
      <c r="AT200" s="1">
        <v>55952.53</v>
      </c>
      <c r="AU200" s="1">
        <v>28183.74</v>
      </c>
      <c r="AV200" s="1">
        <v>5102.63</v>
      </c>
    </row>
    <row r="201" spans="1:48" x14ac:dyDescent="0.3">
      <c r="A201" t="s">
        <v>4</v>
      </c>
      <c r="B201" s="13">
        <v>1</v>
      </c>
      <c r="C201" s="33">
        <f t="shared" ref="C201:G204" si="33">(C190/$L201)*$O201</f>
        <v>0</v>
      </c>
      <c r="D201" s="34">
        <f t="shared" si="33"/>
        <v>0.86389050525771105</v>
      </c>
      <c r="E201" s="19">
        <f t="shared" si="33"/>
        <v>4.8899462561757222E-2</v>
      </c>
      <c r="F201" s="18">
        <f t="shared" si="33"/>
        <v>1.6299820853919074E-2</v>
      </c>
      <c r="G201" s="20">
        <f t="shared" si="33"/>
        <v>0</v>
      </c>
      <c r="H201" s="17">
        <f>SUM(C201:G201)</f>
        <v>0.92908978867338743</v>
      </c>
      <c r="I201" s="17">
        <f>D201/H201*100</f>
        <v>92.982456140350862</v>
      </c>
      <c r="J201" s="17">
        <f>SQRT(I201*(100-I201)/(L201-1))</f>
        <v>3.4134933513474306</v>
      </c>
      <c r="K201" s="18">
        <f>100-I201</f>
        <v>7.0175438596491375</v>
      </c>
      <c r="L201" s="1">
        <f>H190</f>
        <v>57</v>
      </c>
      <c r="M201">
        <v>1</v>
      </c>
      <c r="N201" s="1">
        <v>839.94</v>
      </c>
      <c r="O201" s="17">
        <f>N201/N205*100</f>
        <v>0.92908978867338732</v>
      </c>
      <c r="P201" s="52">
        <f>((O201*O201*(I201/100)*(K201/100))/(L201-1))</f>
        <v>1.0058043195073109E-3</v>
      </c>
      <c r="S201" s="66" t="s">
        <v>39</v>
      </c>
      <c r="T201" s="67">
        <f>J548</f>
        <v>2.0487292942094326</v>
      </c>
      <c r="U201" s="67">
        <f>J549</f>
        <v>2.983930050072845</v>
      </c>
      <c r="V201" s="67">
        <f>J550</f>
        <v>0.2346941488143626</v>
      </c>
      <c r="W201" s="67">
        <f>J551</f>
        <v>0.55756569440571968</v>
      </c>
      <c r="X201" s="67">
        <f>J552</f>
        <v>0.63621127098020291</v>
      </c>
      <c r="AD201" s="51"/>
      <c r="AE201" s="51"/>
      <c r="AJ201" t="s">
        <v>633</v>
      </c>
      <c r="AK201">
        <v>6</v>
      </c>
      <c r="AL201" s="1">
        <v>160.53</v>
      </c>
      <c r="AM201" s="1">
        <v>128.6</v>
      </c>
      <c r="AN201" s="1">
        <v>4389.45</v>
      </c>
      <c r="AO201" s="1">
        <v>11983.15</v>
      </c>
      <c r="AP201">
        <v>4317.3999999999996</v>
      </c>
      <c r="AR201" s="1">
        <v>177.33</v>
      </c>
      <c r="AS201" s="1">
        <v>839.94</v>
      </c>
      <c r="AT201" s="1">
        <v>56304.58</v>
      </c>
      <c r="AU201" s="1">
        <v>27911.81</v>
      </c>
      <c r="AV201" s="1">
        <v>5170.95</v>
      </c>
    </row>
    <row r="202" spans="1:48" x14ac:dyDescent="0.3">
      <c r="A202" t="s">
        <v>5</v>
      </c>
      <c r="B202" s="13">
        <v>2</v>
      </c>
      <c r="C202" s="33">
        <f t="shared" si="33"/>
        <v>0</v>
      </c>
      <c r="D202" s="19">
        <f t="shared" si="33"/>
        <v>0</v>
      </c>
      <c r="E202" s="34">
        <f t="shared" si="33"/>
        <v>62.111640130324481</v>
      </c>
      <c r="F202" s="19">
        <f t="shared" si="33"/>
        <v>0.1690112656607469</v>
      </c>
      <c r="G202" s="20">
        <f t="shared" si="33"/>
        <v>0</v>
      </c>
      <c r="H202" s="17">
        <f>SUM(C202:G202)</f>
        <v>62.280651395985231</v>
      </c>
      <c r="I202" s="17">
        <f>E202/H202*100</f>
        <v>99.728629579375834</v>
      </c>
      <c r="J202" s="17">
        <f>SQRT(I202*(100-I202)/(L202-1))</f>
        <v>0.1917574617235713</v>
      </c>
      <c r="K202" s="18">
        <f>100-I202</f>
        <v>0.27137042062416583</v>
      </c>
      <c r="L202" s="1">
        <f>H191</f>
        <v>737</v>
      </c>
      <c r="M202">
        <v>2</v>
      </c>
      <c r="N202" s="1">
        <v>56304.58</v>
      </c>
      <c r="O202" s="17">
        <f>N202/N205*100</f>
        <v>62.280651395985231</v>
      </c>
      <c r="P202" s="52">
        <f>((O202*O202*(I202/100)*(K202/100))/(L202-1))</f>
        <v>1.4262998519961297E-2</v>
      </c>
      <c r="S202" s="66" t="s">
        <v>51</v>
      </c>
      <c r="T202" s="67">
        <f>N537*100</f>
        <v>85.532994923857871</v>
      </c>
      <c r="U202" s="67">
        <f>N538*100</f>
        <v>95.575221238938042</v>
      </c>
      <c r="V202" s="67">
        <f>N539*100</f>
        <v>99.323410013531799</v>
      </c>
      <c r="W202" s="67">
        <f>N540*100</f>
        <v>86.206896551724128</v>
      </c>
      <c r="X202" s="67">
        <f>N541*100</f>
        <v>97.625063163213738</v>
      </c>
      <c r="AD202" s="51"/>
      <c r="AE202" s="51"/>
      <c r="AJ202" t="s">
        <v>633</v>
      </c>
      <c r="AK202">
        <v>7</v>
      </c>
      <c r="AL202" s="1">
        <v>169.98</v>
      </c>
      <c r="AM202" s="1">
        <v>156.38999999999999</v>
      </c>
      <c r="AN202" s="1">
        <v>4194.57</v>
      </c>
      <c r="AO202" s="1">
        <v>12257.06</v>
      </c>
      <c r="AP202">
        <v>4201.13</v>
      </c>
      <c r="AR202" s="1">
        <v>185.97</v>
      </c>
      <c r="AS202" s="1">
        <v>943.36</v>
      </c>
      <c r="AT202" s="1">
        <v>55749.81</v>
      </c>
      <c r="AU202" s="1">
        <v>28394.84</v>
      </c>
      <c r="AV202" s="1">
        <v>5130.63</v>
      </c>
    </row>
    <row r="203" spans="1:48" x14ac:dyDescent="0.3">
      <c r="A203" t="s">
        <v>6</v>
      </c>
      <c r="B203" s="13">
        <v>3</v>
      </c>
      <c r="C203" s="33">
        <f t="shared" si="33"/>
        <v>0</v>
      </c>
      <c r="D203" s="19">
        <f t="shared" si="33"/>
        <v>0.11563416316071685</v>
      </c>
      <c r="E203" s="19">
        <f t="shared" si="33"/>
        <v>0.11563416316071685</v>
      </c>
      <c r="F203" s="34">
        <f t="shared" si="33"/>
        <v>30.1805165849471</v>
      </c>
      <c r="G203" s="20">
        <f t="shared" si="33"/>
        <v>0.46253665264286742</v>
      </c>
      <c r="H203" s="17">
        <f>SUM(C203:G203)</f>
        <v>30.874321563911401</v>
      </c>
      <c r="I203" s="17">
        <f>F203/H203*100</f>
        <v>97.752808988764045</v>
      </c>
      <c r="J203" s="17">
        <f>SQRT(I203*(100-I203)/(L203-1))</f>
        <v>0.64197928239881541</v>
      </c>
      <c r="K203" s="18">
        <f>100-I203</f>
        <v>2.2471910112359552</v>
      </c>
      <c r="L203" s="1">
        <f>H192</f>
        <v>534</v>
      </c>
      <c r="M203">
        <v>3</v>
      </c>
      <c r="N203" s="1">
        <v>27911.81</v>
      </c>
      <c r="O203" s="17">
        <f>N203/N205*100</f>
        <v>30.874321563911401</v>
      </c>
      <c r="P203" s="52">
        <f>((O203*O203*(I203/100)*(K203/100))/(L203-1))</f>
        <v>3.9285914961258848E-2</v>
      </c>
      <c r="R203" s="16" t="s">
        <v>61</v>
      </c>
      <c r="S203" t="s">
        <v>9</v>
      </c>
      <c r="T203" s="1">
        <f>N548</f>
        <v>184.53</v>
      </c>
      <c r="U203" s="1">
        <f>N549</f>
        <v>855.42</v>
      </c>
      <c r="V203" s="1">
        <f>N550</f>
        <v>56056.41</v>
      </c>
      <c r="W203" s="1">
        <f>N551</f>
        <v>28233.52</v>
      </c>
      <c r="X203" s="1">
        <f>N552</f>
        <v>5074.7299999999996</v>
      </c>
      <c r="Z203" t="s">
        <v>36</v>
      </c>
      <c r="AA203" s="1">
        <f>N553</f>
        <v>90404.61</v>
      </c>
      <c r="AD203" s="51"/>
      <c r="AE203" s="51"/>
      <c r="AJ203" t="s">
        <v>633</v>
      </c>
      <c r="AK203">
        <v>8</v>
      </c>
      <c r="AL203" s="1">
        <v>153</v>
      </c>
      <c r="AM203" s="1">
        <v>159.58000000000001</v>
      </c>
      <c r="AN203" s="1">
        <v>4260.1499999999996</v>
      </c>
      <c r="AO203" s="1">
        <v>12170.73</v>
      </c>
      <c r="AP203">
        <v>4235.66</v>
      </c>
      <c r="AR203" s="1">
        <v>166.35</v>
      </c>
      <c r="AS203" s="1">
        <v>871.09</v>
      </c>
      <c r="AT203" s="1">
        <v>55973.15</v>
      </c>
      <c r="AU203" s="1">
        <v>28295.09</v>
      </c>
      <c r="AV203" s="1">
        <v>5098.9399999999996</v>
      </c>
    </row>
    <row r="204" spans="1:48" ht="15.6" x14ac:dyDescent="0.35">
      <c r="A204" t="s">
        <v>7</v>
      </c>
      <c r="B204" s="13">
        <v>4</v>
      </c>
      <c r="C204" s="35">
        <f t="shared" si="33"/>
        <v>0</v>
      </c>
      <c r="D204" s="36">
        <f t="shared" si="33"/>
        <v>5.6687668482297941E-3</v>
      </c>
      <c r="E204" s="21">
        <f t="shared" si="33"/>
        <v>5.6687668482297941E-3</v>
      </c>
      <c r="F204" s="21">
        <f t="shared" si="33"/>
        <v>0.22108190708096198</v>
      </c>
      <c r="G204" s="37">
        <f t="shared" si="33"/>
        <v>5.4873663090864415</v>
      </c>
      <c r="H204" s="17">
        <f>SUM(C204:G204)</f>
        <v>5.7197857498638633</v>
      </c>
      <c r="I204" s="17">
        <f>G204/H204*100</f>
        <v>95.936570862239833</v>
      </c>
      <c r="J204" s="17">
        <f>SQRT(I204*(100-I204)/(L204-1))</f>
        <v>0.6218822693747722</v>
      </c>
      <c r="K204" s="18">
        <f>100-I204</f>
        <v>4.063429137760167</v>
      </c>
      <c r="L204" s="1">
        <f>H193</f>
        <v>1009</v>
      </c>
      <c r="M204">
        <v>4</v>
      </c>
      <c r="N204" s="1">
        <v>5170.95</v>
      </c>
      <c r="O204" s="17">
        <f>N204/N205*100</f>
        <v>5.7197857498638625</v>
      </c>
      <c r="P204" s="52">
        <f>((O204*O204*(I204/100)*(K204/100))/(L204-1))</f>
        <v>1.2652486199392231E-3</v>
      </c>
      <c r="R204" s="16" t="s">
        <v>318</v>
      </c>
      <c r="S204" t="s">
        <v>63</v>
      </c>
      <c r="T204" s="57">
        <f>$AA203*T196/100</f>
        <v>137.8860532150776</v>
      </c>
      <c r="U204" s="57">
        <f>$AA203*U196/100</f>
        <v>939.32991283836702</v>
      </c>
      <c r="V204" s="57">
        <f>$AA203*V196/100</f>
        <v>56064.782565847148</v>
      </c>
      <c r="W204" s="57">
        <f>$AA203*W196/100</f>
        <v>28192.661414016849</v>
      </c>
      <c r="X204" s="57">
        <f>$AA203*X196/100</f>
        <v>5069.9500540825447</v>
      </c>
      <c r="Z204" t="s">
        <v>36</v>
      </c>
      <c r="AA204" s="25">
        <f>SUM(T204:X204)</f>
        <v>90404.609999999986</v>
      </c>
      <c r="AD204" s="51"/>
      <c r="AE204" s="51"/>
      <c r="AJ204" t="s">
        <v>633</v>
      </c>
      <c r="AK204">
        <v>9</v>
      </c>
      <c r="AL204" s="1">
        <v>167.19</v>
      </c>
      <c r="AM204" s="1">
        <v>173</v>
      </c>
      <c r="AN204" s="1">
        <v>4237.1400000000003</v>
      </c>
      <c r="AO204" s="1">
        <v>12150.06</v>
      </c>
      <c r="AP204">
        <v>4251.74</v>
      </c>
      <c r="AR204" s="1">
        <v>183.72</v>
      </c>
      <c r="AS204" s="1">
        <v>980.46</v>
      </c>
      <c r="AT204" s="1">
        <v>56094.47</v>
      </c>
      <c r="AU204" s="1">
        <v>28004.799999999999</v>
      </c>
      <c r="AV204" s="1">
        <v>5141.16</v>
      </c>
    </row>
    <row r="205" spans="1:48" x14ac:dyDescent="0.3">
      <c r="B205" t="s">
        <v>28</v>
      </c>
      <c r="C205" s="17">
        <f t="shared" ref="C205:H205" si="34">SUM(C200:C204)</f>
        <v>0.14656996901947764</v>
      </c>
      <c r="D205" s="17">
        <f t="shared" si="34"/>
        <v>0.9851934352666577</v>
      </c>
      <c r="E205" s="17">
        <f t="shared" si="34"/>
        <v>62.282712374343369</v>
      </c>
      <c r="F205" s="17">
        <f t="shared" si="34"/>
        <v>30.635621259641187</v>
      </c>
      <c r="G205" s="17">
        <f t="shared" si="34"/>
        <v>5.9499029617293093</v>
      </c>
      <c r="H205" s="18">
        <f t="shared" si="34"/>
        <v>100</v>
      </c>
      <c r="I205" s="13" t="s">
        <v>24</v>
      </c>
      <c r="J205" s="12" t="s">
        <v>29</v>
      </c>
      <c r="N205" s="1">
        <f>SUM(N200:N204)</f>
        <v>90404.61</v>
      </c>
      <c r="O205" s="17">
        <f>SUM(O200:O204)</f>
        <v>100</v>
      </c>
      <c r="R205" s="66"/>
      <c r="S205" s="66" t="s">
        <v>62</v>
      </c>
      <c r="T205" s="67">
        <f>$AA203*T197/100</f>
        <v>3.7763265766654555</v>
      </c>
      <c r="U205" s="67">
        <f>$AA203*U197/100</f>
        <v>95.956258068467847</v>
      </c>
      <c r="V205" s="67">
        <f>$AA203*V197/100</f>
        <v>169.27650966785015</v>
      </c>
      <c r="W205" s="67">
        <f>$AA203*W197/100</f>
        <v>194.21014710882676</v>
      </c>
      <c r="X205" s="67">
        <f>$AA203*X197/100</f>
        <v>110.17843317130043</v>
      </c>
      <c r="AA205" s="1"/>
      <c r="AD205" s="51"/>
      <c r="AE205" s="51"/>
      <c r="AJ205" t="s">
        <v>633</v>
      </c>
      <c r="AK205">
        <v>10</v>
      </c>
      <c r="AL205" s="1">
        <v>159.18</v>
      </c>
      <c r="AM205" s="1">
        <v>173.89</v>
      </c>
      <c r="AN205" s="1">
        <v>4446.88</v>
      </c>
      <c r="AO205" s="1">
        <v>11952.21</v>
      </c>
      <c r="AP205">
        <v>4246.97</v>
      </c>
      <c r="AR205" s="1">
        <v>176.25</v>
      </c>
      <c r="AS205" s="1">
        <v>861.9</v>
      </c>
      <c r="AT205" s="1">
        <v>56687.69</v>
      </c>
      <c r="AU205" s="1">
        <v>27517.98</v>
      </c>
      <c r="AV205" s="1">
        <v>5160.78</v>
      </c>
    </row>
    <row r="206" spans="1:48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4.0141555758792446E-3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8.7640468573452188E-2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0.14728142392943741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0.23438805400006238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0.16615016413561295</v>
      </c>
      <c r="H206" s="1"/>
      <c r="I206" s="14">
        <f>(C200+D201+E202+F203+G204)/H205</f>
        <v>0.98789983498635214</v>
      </c>
      <c r="J206" s="53">
        <f>SQRT(SUM(P200:P204))/100</f>
        <v>2.3629666877319614E-3</v>
      </c>
      <c r="M206" s="1"/>
      <c r="N206" s="9"/>
      <c r="R206" t="s">
        <v>107</v>
      </c>
      <c r="S206" t="s">
        <v>28</v>
      </c>
      <c r="T206" s="57">
        <f>C582</f>
        <v>0.1804682756755725</v>
      </c>
      <c r="U206" s="57">
        <f t="shared" ref="U206:X209" si="35">D582</f>
        <v>1.0680990279188272</v>
      </c>
      <c r="V206" s="57">
        <f t="shared" si="35"/>
        <v>62.767581720422271</v>
      </c>
      <c r="W206" s="57">
        <f t="shared" si="35"/>
        <v>30.034402774704997</v>
      </c>
      <c r="X206" s="57">
        <f>G582</f>
        <v>5.9494482012783472</v>
      </c>
      <c r="Y206" s="60"/>
      <c r="Z206" s="74"/>
      <c r="AA206" s="12"/>
      <c r="AD206" s="51"/>
      <c r="AE206" s="51"/>
      <c r="AJ206" t="s">
        <v>633</v>
      </c>
      <c r="AK206">
        <v>11</v>
      </c>
      <c r="AL206" s="1">
        <v>159.15</v>
      </c>
      <c r="AM206" s="1">
        <v>180.65</v>
      </c>
      <c r="AN206" s="1">
        <v>4429.55</v>
      </c>
      <c r="AO206" s="1">
        <v>11981.77</v>
      </c>
      <c r="AP206">
        <v>4228.0200000000004</v>
      </c>
      <c r="AR206" s="1">
        <v>176.07</v>
      </c>
      <c r="AS206" s="1">
        <v>885.94</v>
      </c>
      <c r="AT206" s="1">
        <v>56430.06</v>
      </c>
      <c r="AU206" s="1">
        <v>27772.38</v>
      </c>
      <c r="AV206" s="1">
        <v>5140.17</v>
      </c>
    </row>
    <row r="207" spans="1:48" x14ac:dyDescent="0.3">
      <c r="B207" s="1" t="s">
        <v>30</v>
      </c>
      <c r="C207" s="17">
        <f>C200/C205*100</f>
        <v>100</v>
      </c>
      <c r="D207" s="17">
        <f>D201/D205*100</f>
        <v>87.687399685513114</v>
      </c>
      <c r="E207" s="17">
        <f>E202/E205*100</f>
        <v>99.725329489520817</v>
      </c>
      <c r="F207" s="17">
        <f>F203/F205*100</f>
        <v>98.514459129661475</v>
      </c>
      <c r="G207" s="17">
        <f>G204/G205*100</f>
        <v>92.226147962110062</v>
      </c>
      <c r="H207" s="1"/>
      <c r="S207" s="66" t="s">
        <v>39</v>
      </c>
      <c r="T207" s="67">
        <f>C583</f>
        <v>3.2646025795085697E-3</v>
      </c>
      <c r="U207" s="67">
        <f t="shared" si="35"/>
        <v>8.6647849563944973E-2</v>
      </c>
      <c r="V207" s="67">
        <f t="shared" si="35"/>
        <v>0.16548731666205607</v>
      </c>
      <c r="W207" s="67">
        <f t="shared" si="35"/>
        <v>0.25743490055340956</v>
      </c>
      <c r="X207" s="67">
        <f t="shared" si="35"/>
        <v>0.18395149228741439</v>
      </c>
      <c r="AD207" s="51"/>
      <c r="AE207" s="51"/>
      <c r="AJ207" t="s">
        <v>633</v>
      </c>
      <c r="AK207">
        <v>12</v>
      </c>
      <c r="AL207" s="1">
        <v>164.71</v>
      </c>
      <c r="AM207" s="1">
        <v>212.21</v>
      </c>
      <c r="AN207" s="1">
        <v>4277.92</v>
      </c>
      <c r="AO207" s="1">
        <v>12121.04</v>
      </c>
      <c r="AP207">
        <v>4203.25</v>
      </c>
      <c r="AR207" s="1">
        <v>179.13</v>
      </c>
      <c r="AS207" s="1">
        <v>1057.51</v>
      </c>
      <c r="AT207" s="1">
        <v>55960.18</v>
      </c>
      <c r="AU207" s="1">
        <v>28125.96</v>
      </c>
      <c r="AV207" s="1">
        <v>5081.84</v>
      </c>
    </row>
    <row r="208" spans="1:48" x14ac:dyDescent="0.3">
      <c r="B208" s="16" t="s">
        <v>39</v>
      </c>
      <c r="C208" s="18">
        <f>SQRT((C211+C212)/(C205*C205))</f>
        <v>0</v>
      </c>
      <c r="D208" s="18">
        <f>SQRT((D211+D212)/(D205*D205))</f>
        <v>8.2962712456512726</v>
      </c>
      <c r="E208" s="18">
        <f>SQRT((E211+E212)/(E205*E205))</f>
        <v>0.13852686701777298</v>
      </c>
      <c r="F208" s="18">
        <f>SQRT((F211+F212)/(F205*F205))</f>
        <v>0.4148602594215603</v>
      </c>
      <c r="G208" s="18">
        <f>SQRT((G211+G212)/(G205*G205))</f>
        <v>2.5606372341465047</v>
      </c>
      <c r="H208" s="1"/>
      <c r="S208" t="s">
        <v>30</v>
      </c>
      <c r="T208" s="57">
        <f>C584</f>
        <v>100</v>
      </c>
      <c r="U208" s="57">
        <f t="shared" si="35"/>
        <v>88.19179615932434</v>
      </c>
      <c r="V208" s="57">
        <f t="shared" si="35"/>
        <v>99.38615843445352</v>
      </c>
      <c r="W208" s="57">
        <f t="shared" si="35"/>
        <v>98.733065320776248</v>
      </c>
      <c r="X208" s="57">
        <f t="shared" si="35"/>
        <v>90.340486989306569</v>
      </c>
      <c r="AD208" s="51"/>
      <c r="AE208" s="51"/>
      <c r="AJ208" t="s">
        <v>633</v>
      </c>
      <c r="AK208">
        <v>13</v>
      </c>
      <c r="AL208" s="1">
        <v>178.8</v>
      </c>
      <c r="AM208" s="1">
        <v>159.1</v>
      </c>
      <c r="AN208" s="1">
        <v>4288.25</v>
      </c>
      <c r="AO208" s="1">
        <v>12183.18</v>
      </c>
      <c r="AP208">
        <v>4169.8100000000004</v>
      </c>
      <c r="AR208" s="1">
        <v>191.46</v>
      </c>
      <c r="AS208" s="1">
        <v>930.94</v>
      </c>
      <c r="AT208" s="1">
        <v>56115.199999999997</v>
      </c>
      <c r="AU208" s="1">
        <v>28177.439999999999</v>
      </c>
      <c r="AV208" s="1">
        <v>4989.57</v>
      </c>
    </row>
    <row r="209" spans="1:48" x14ac:dyDescent="0.3">
      <c r="B209" s="1" t="s">
        <v>37</v>
      </c>
      <c r="C209" s="18">
        <f>100-C207</f>
        <v>0</v>
      </c>
      <c r="D209" s="18">
        <f>100-D207</f>
        <v>12.312600314486886</v>
      </c>
      <c r="E209" s="18">
        <f>100-E207</f>
        <v>0.27467051047918289</v>
      </c>
      <c r="F209" s="18">
        <f>100-F207</f>
        <v>1.4855408703385251</v>
      </c>
      <c r="G209" s="18">
        <f>100-G207</f>
        <v>7.7738520378899381</v>
      </c>
      <c r="S209" s="66" t="s">
        <v>39</v>
      </c>
      <c r="T209" s="67">
        <f>C585</f>
        <v>0</v>
      </c>
      <c r="U209" s="67">
        <f t="shared" si="35"/>
        <v>7.4921966837884071</v>
      </c>
      <c r="V209" s="67">
        <f t="shared" si="35"/>
        <v>0.22552451869490839</v>
      </c>
      <c r="W209" s="67">
        <f t="shared" si="35"/>
        <v>0.32530963442521155</v>
      </c>
      <c r="X209" s="67">
        <f t="shared" si="35"/>
        <v>2.8042556226739701</v>
      </c>
      <c r="AD209" s="51"/>
      <c r="AE209" s="51"/>
      <c r="AJ209" t="s">
        <v>633</v>
      </c>
      <c r="AK209">
        <v>14</v>
      </c>
      <c r="AL209" s="1">
        <v>135.97</v>
      </c>
      <c r="AM209" s="1">
        <v>152.47999999999999</v>
      </c>
      <c r="AN209" s="1">
        <v>4260.51</v>
      </c>
      <c r="AO209" s="1">
        <v>12208.59</v>
      </c>
      <c r="AP209">
        <v>4221.58</v>
      </c>
      <c r="AR209" s="1">
        <v>153.91999999999999</v>
      </c>
      <c r="AS209" s="1">
        <v>915.37</v>
      </c>
      <c r="AT209" s="1">
        <v>56034.62</v>
      </c>
      <c r="AU209" s="1">
        <v>28209.759999999998</v>
      </c>
      <c r="AV209" s="1">
        <v>5090.93</v>
      </c>
    </row>
    <row r="210" spans="1:48" ht="15.6" x14ac:dyDescent="0.35">
      <c r="B210" s="1" t="s">
        <v>25</v>
      </c>
      <c r="C210" s="1">
        <f>C194</f>
        <v>337</v>
      </c>
      <c r="D210" s="1">
        <f>D194</f>
        <v>56</v>
      </c>
      <c r="E210" s="1">
        <f>E194</f>
        <v>743</v>
      </c>
      <c r="F210" s="1">
        <f>F194</f>
        <v>676</v>
      </c>
      <c r="G210" s="1">
        <f>G194</f>
        <v>976</v>
      </c>
      <c r="S210" s="15" t="s">
        <v>31</v>
      </c>
      <c r="T210" s="71">
        <f>I577</f>
        <v>87.13968957871397</v>
      </c>
      <c r="U210" s="71">
        <f>I578</f>
        <v>94.736842105263165</v>
      </c>
      <c r="V210" s="71">
        <f>I579</f>
        <v>99.864314789687924</v>
      </c>
      <c r="W210" s="71">
        <f>I580</f>
        <v>96.629213483146074</v>
      </c>
      <c r="X210" s="71">
        <f>I581</f>
        <v>95.242814667988114</v>
      </c>
      <c r="AD210" s="51"/>
      <c r="AE210" s="51"/>
      <c r="AJ210" t="s">
        <v>633</v>
      </c>
      <c r="AK210">
        <v>15</v>
      </c>
      <c r="AL210" s="1">
        <v>162.46</v>
      </c>
      <c r="AM210" s="1">
        <v>126.55</v>
      </c>
      <c r="AN210" s="1">
        <v>4237.26</v>
      </c>
      <c r="AO210" s="1">
        <v>12086.5</v>
      </c>
      <c r="AP210">
        <v>4366.3599999999997</v>
      </c>
      <c r="AR210" s="1">
        <v>175.98</v>
      </c>
      <c r="AS210" s="1">
        <v>955.7</v>
      </c>
      <c r="AT210" s="1">
        <v>55856.93</v>
      </c>
      <c r="AU210" s="1">
        <v>28075.54</v>
      </c>
      <c r="AV210" s="1">
        <v>5340.46</v>
      </c>
    </row>
    <row r="211" spans="1:48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15.248006207588226</v>
      </c>
      <c r="E211" s="18">
        <f>(O202*O202*(100-E207)*(100-E207)*(I202)*(100-I202))/((L202-1)*100)</f>
        <v>0.10760560818096261</v>
      </c>
      <c r="F211" s="18">
        <f>(O203*O203*(100-F207)*(100-F207)*(I203)*(100-I203))/((L203-1)*100)</f>
        <v>8.6697401613961382</v>
      </c>
      <c r="G211" s="18">
        <f>(O204*O204*(100-G207)*(100-G207)*(I204)*(100-I204))/((L204-1)*100)</f>
        <v>7.6462485809335643</v>
      </c>
      <c r="S211" s="75" t="s">
        <v>39</v>
      </c>
      <c r="T211" s="76">
        <f>J577</f>
        <v>1.5780743948079148</v>
      </c>
      <c r="U211" s="76">
        <f>J578</f>
        <v>2.983930050072845</v>
      </c>
      <c r="V211" s="76">
        <f>J579</f>
        <v>0.13568521031207589</v>
      </c>
      <c r="W211" s="76">
        <f>J580</f>
        <v>0.78172903318176867</v>
      </c>
      <c r="X211" s="76">
        <f>J581</f>
        <v>0.67044148635438638</v>
      </c>
      <c r="AD211" s="51"/>
      <c r="AE211" s="51"/>
      <c r="AJ211" t="s">
        <v>633</v>
      </c>
      <c r="AK211">
        <v>16</v>
      </c>
      <c r="AL211" s="1">
        <v>164.89</v>
      </c>
      <c r="AM211" s="1">
        <v>212.74</v>
      </c>
      <c r="AN211" s="1">
        <v>4259.92</v>
      </c>
      <c r="AO211" s="1">
        <v>12056.3</v>
      </c>
      <c r="AP211">
        <v>4285.28</v>
      </c>
      <c r="AR211" s="1">
        <v>178.86</v>
      </c>
      <c r="AS211" s="1">
        <v>1014.66</v>
      </c>
      <c r="AT211" s="1">
        <v>55886.55</v>
      </c>
      <c r="AU211" s="1">
        <v>28171.41</v>
      </c>
      <c r="AV211" s="1">
        <v>5153.13</v>
      </c>
    </row>
    <row r="212" spans="1:48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51.556983934592097</v>
      </c>
      <c r="E212" s="18">
        <f>E207*E207*(SUM((H200*E200*(1-E189/H189))/(H189-1),(H201*E201*(1-E190/H190))/(H190-1), (H203*E203*(1-E192/H192))/(H192-1),(H204*E204*(1-E193/H193))/(H193-1)))</f>
        <v>74.331827896766015</v>
      </c>
      <c r="F212" s="18">
        <f>F207*F207*(SUM((H200*F200*(1-F189/H189))/(H189-1),(H201*F201*(1-F190/H190))/(H190-1), (H202*F202*(1-F191/H191))/(H191-1),(H204*F204*(1-F193/H193))/(H193-1)))</f>
        <v>152.86169541870146</v>
      </c>
      <c r="G212" s="18">
        <f>G207*G207*(SUM((H200*G200*(1-G189/H189))/(H189-1),(H201*G201*(1-G190/H190))/(H190-1), (H202*G202*(1-G191/H191))/(H191-1),(H203*G203*(1-G192/H192))/(H192-1)))</f>
        <v>224.4755238546438</v>
      </c>
      <c r="S212" s="66" t="s">
        <v>51</v>
      </c>
      <c r="T212" s="67">
        <f>N566*100</f>
        <v>93.127962085308056</v>
      </c>
      <c r="U212" s="67">
        <f>N567*100</f>
        <v>93.913043478260875</v>
      </c>
      <c r="V212" s="67">
        <f>N568*100</f>
        <v>99.32523616734143</v>
      </c>
      <c r="W212" s="67">
        <f>N569*100</f>
        <v>89.350649350649363</v>
      </c>
      <c r="X212" s="67">
        <f>N570*100</f>
        <v>97.070707070707059</v>
      </c>
      <c r="AD212" s="51"/>
      <c r="AE212" s="51"/>
      <c r="AJ212" t="s">
        <v>633</v>
      </c>
      <c r="AK212">
        <v>17</v>
      </c>
      <c r="AL212" s="1">
        <v>154.97999999999999</v>
      </c>
      <c r="AM212" s="1">
        <v>143.82</v>
      </c>
      <c r="AN212" s="1">
        <v>4293.6899999999996</v>
      </c>
      <c r="AO212" s="1">
        <v>12211.89</v>
      </c>
      <c r="AP212">
        <v>4174.75</v>
      </c>
      <c r="AR212" s="1">
        <v>168.87</v>
      </c>
      <c r="AS212" s="1">
        <v>885.58</v>
      </c>
      <c r="AT212" s="1">
        <v>56130.66</v>
      </c>
      <c r="AU212" s="1">
        <v>28160.080000000002</v>
      </c>
      <c r="AV212" s="1">
        <v>5059.42</v>
      </c>
    </row>
    <row r="213" spans="1:48" x14ac:dyDescent="0.3">
      <c r="R213" s="16" t="s">
        <v>61</v>
      </c>
      <c r="S213" t="s">
        <v>9</v>
      </c>
      <c r="T213" s="1">
        <f>N577</f>
        <v>187.23</v>
      </c>
      <c r="U213" s="1">
        <f>N578</f>
        <v>898.9</v>
      </c>
      <c r="V213" s="1">
        <f>N579</f>
        <v>56473.09</v>
      </c>
      <c r="W213" s="1">
        <f>N580</f>
        <v>27743.66</v>
      </c>
      <c r="X213" s="1">
        <f>N581</f>
        <v>5101.7299999999996</v>
      </c>
      <c r="Z213" t="s">
        <v>36</v>
      </c>
      <c r="AA213" s="1">
        <f>N582</f>
        <v>90404.609999999986</v>
      </c>
      <c r="AD213" s="51"/>
      <c r="AE213" s="51"/>
      <c r="AJ213" t="s">
        <v>633</v>
      </c>
      <c r="AK213">
        <v>18</v>
      </c>
      <c r="AL213" s="1">
        <v>165.27</v>
      </c>
      <c r="AM213" s="1">
        <v>147.22</v>
      </c>
      <c r="AN213" s="1">
        <v>4319.34</v>
      </c>
      <c r="AO213" s="1">
        <v>12146.45</v>
      </c>
      <c r="AP213">
        <v>4200.8500000000004</v>
      </c>
      <c r="AR213" s="1">
        <v>184.53</v>
      </c>
      <c r="AS213" s="1">
        <v>855.42</v>
      </c>
      <c r="AT213" s="1">
        <v>56056.41</v>
      </c>
      <c r="AU213" s="1">
        <v>28233.52</v>
      </c>
      <c r="AV213" s="1">
        <v>5074.7299999999996</v>
      </c>
    </row>
    <row r="214" spans="1:48" ht="15.6" x14ac:dyDescent="0.35">
      <c r="R214" s="16" t="s">
        <v>318</v>
      </c>
      <c r="S214" t="s">
        <v>63</v>
      </c>
      <c r="T214" s="57">
        <f>$AA213*T206/100</f>
        <v>163.15164079822617</v>
      </c>
      <c r="U214" s="57">
        <f>$AA213*U206/100</f>
        <v>965.61076060380674</v>
      </c>
      <c r="V214" s="57">
        <f>$AA213*V206/100</f>
        <v>56744.787460779036</v>
      </c>
      <c r="W214" s="57">
        <f>$AA213*W206/100</f>
        <v>27152.484694301223</v>
      </c>
      <c r="X214" s="57">
        <f>$AA213*X206/100</f>
        <v>5378.5754435177041</v>
      </c>
      <c r="Z214" t="s">
        <v>36</v>
      </c>
      <c r="AA214" s="25">
        <f>SUM(T214:X214)</f>
        <v>90404.61</v>
      </c>
      <c r="AD214" s="51"/>
      <c r="AE214" s="51"/>
      <c r="AJ214" t="s">
        <v>633</v>
      </c>
      <c r="AK214">
        <v>19</v>
      </c>
      <c r="AL214" s="1">
        <v>175.7</v>
      </c>
      <c r="AM214" s="1">
        <v>137.75</v>
      </c>
      <c r="AN214" s="1">
        <v>4377.26</v>
      </c>
      <c r="AO214" s="1">
        <v>12083.31</v>
      </c>
      <c r="AP214">
        <v>4205.1099999999997</v>
      </c>
      <c r="AR214" s="1">
        <v>187.23</v>
      </c>
      <c r="AS214" s="1">
        <v>898.9</v>
      </c>
      <c r="AT214" s="1">
        <v>56473.09</v>
      </c>
      <c r="AU214" s="1">
        <v>27743.66</v>
      </c>
      <c r="AV214" s="1">
        <v>5101.7299999999996</v>
      </c>
    </row>
    <row r="215" spans="1:48" x14ac:dyDescent="0.3">
      <c r="A215" s="348" t="s">
        <v>382</v>
      </c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 t="s">
        <v>80</v>
      </c>
      <c r="M215" s="348"/>
      <c r="N215" s="348"/>
      <c r="O215" s="348"/>
      <c r="P215" s="348"/>
      <c r="R215" s="66"/>
      <c r="S215" s="66" t="s">
        <v>62</v>
      </c>
      <c r="T215" s="67">
        <f>$AA213*T207/100</f>
        <v>2.9513512300546618</v>
      </c>
      <c r="U215" s="67">
        <f>$AA213*U207/100</f>
        <v>78.333650471671149</v>
      </c>
      <c r="V215" s="67">
        <f>$AA213*V207/100</f>
        <v>149.60816322779681</v>
      </c>
      <c r="W215" s="67">
        <f>$AA213*W207/100</f>
        <v>232.73301784919772</v>
      </c>
      <c r="X215" s="67">
        <f>$AA213*X207/100</f>
        <v>166.30062919161705</v>
      </c>
      <c r="AA215" s="1"/>
      <c r="AD215" s="51"/>
      <c r="AE215" s="51"/>
      <c r="AQ215" t="s">
        <v>644</v>
      </c>
    </row>
    <row r="216" spans="1:48" x14ac:dyDescent="0.3">
      <c r="A216" t="s">
        <v>315</v>
      </c>
      <c r="B216" t="s">
        <v>21</v>
      </c>
      <c r="I216" s="1" t="s">
        <v>53</v>
      </c>
      <c r="O216" s="142"/>
      <c r="P216" s="142"/>
      <c r="AJ216" t="s">
        <v>644</v>
      </c>
      <c r="AK216">
        <v>0</v>
      </c>
      <c r="AL216" s="1">
        <v>0.7</v>
      </c>
      <c r="AM216" s="1">
        <v>41.16</v>
      </c>
      <c r="AN216" s="1">
        <v>1115.99</v>
      </c>
      <c r="AO216" s="1">
        <v>271.54000000000002</v>
      </c>
      <c r="AP216">
        <v>32.83</v>
      </c>
      <c r="AR216" s="1">
        <v>0.99</v>
      </c>
      <c r="AS216" s="1">
        <v>348.77</v>
      </c>
      <c r="AT216" s="1">
        <v>4860.8900000000003</v>
      </c>
      <c r="AU216" s="1">
        <v>839.02</v>
      </c>
      <c r="AV216">
        <v>174.61</v>
      </c>
    </row>
    <row r="217" spans="1:48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51</v>
      </c>
      <c r="O217" s="13"/>
      <c r="P217" s="13"/>
      <c r="AJ217" t="s">
        <v>644</v>
      </c>
      <c r="AK217">
        <v>1</v>
      </c>
      <c r="AL217" s="1">
        <v>0.79</v>
      </c>
      <c r="AM217" s="1">
        <v>36.33</v>
      </c>
      <c r="AN217" s="1">
        <v>1128.51</v>
      </c>
      <c r="AO217" s="1">
        <v>264.55</v>
      </c>
      <c r="AP217">
        <v>32.04</v>
      </c>
      <c r="AR217" s="1">
        <v>1.08</v>
      </c>
      <c r="AS217" s="1">
        <v>318.16000000000003</v>
      </c>
      <c r="AT217" s="1">
        <v>4905.99</v>
      </c>
      <c r="AU217" s="1">
        <v>824.62</v>
      </c>
      <c r="AV217">
        <v>174.43</v>
      </c>
    </row>
    <row r="218" spans="1:48" x14ac:dyDescent="0.3">
      <c r="A218" t="s">
        <v>3</v>
      </c>
      <c r="B218" s="13">
        <v>0</v>
      </c>
      <c r="C218" s="26">
        <v>367</v>
      </c>
      <c r="D218" s="3">
        <v>0</v>
      </c>
      <c r="E218" s="3">
        <v>0</v>
      </c>
      <c r="F218" s="3">
        <v>84</v>
      </c>
      <c r="G218" s="4">
        <v>0</v>
      </c>
      <c r="H218" s="1">
        <f>SUM(C218:G218)</f>
        <v>451</v>
      </c>
      <c r="I218" s="10">
        <f>C218/H218</f>
        <v>0.8137472283813747</v>
      </c>
      <c r="J218" s="11">
        <f>1-I218</f>
        <v>0.1862527716186253</v>
      </c>
      <c r="K218">
        <f>H218-C223</f>
        <v>84</v>
      </c>
      <c r="N218" s="10">
        <f>2*(C224*I218)/(C224+I218)</f>
        <v>0.89731051344743273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644</v>
      </c>
      <c r="AK218">
        <v>2</v>
      </c>
      <c r="AL218" s="1">
        <v>1.53</v>
      </c>
      <c r="AM218" s="1">
        <v>52.29</v>
      </c>
      <c r="AN218" s="1">
        <v>1111.3699999999999</v>
      </c>
      <c r="AO218" s="1">
        <v>267.04000000000002</v>
      </c>
      <c r="AP218">
        <v>29.99</v>
      </c>
      <c r="AR218" s="1">
        <v>1.98</v>
      </c>
      <c r="AS218" s="1">
        <v>430.67</v>
      </c>
      <c r="AT218" s="1">
        <v>4816.07</v>
      </c>
      <c r="AU218" s="1">
        <v>822.1</v>
      </c>
      <c r="AV218">
        <v>153.46</v>
      </c>
    </row>
    <row r="219" spans="1:48" x14ac:dyDescent="0.3">
      <c r="A219" t="s">
        <v>4</v>
      </c>
      <c r="B219" s="13">
        <v>1</v>
      </c>
      <c r="C219" s="5">
        <v>0</v>
      </c>
      <c r="D219" s="27">
        <v>52</v>
      </c>
      <c r="E219" s="1">
        <v>4</v>
      </c>
      <c r="F219" s="1">
        <v>1</v>
      </c>
      <c r="G219" s="6">
        <v>0</v>
      </c>
      <c r="H219" s="1">
        <f>SUM(C219:G219)</f>
        <v>57</v>
      </c>
      <c r="I219" s="10">
        <f>D219/H219</f>
        <v>0.91228070175438591</v>
      </c>
      <c r="J219" s="11">
        <f>1-I219</f>
        <v>8.7719298245614086E-2</v>
      </c>
      <c r="K219">
        <f>H219-D223</f>
        <v>2</v>
      </c>
      <c r="N219" s="10">
        <f>2*(D224*I219)/(D224+I219)</f>
        <v>0.92857142857142849</v>
      </c>
      <c r="O219" s="1"/>
      <c r="P219" s="1"/>
      <c r="R219" t="s">
        <v>348</v>
      </c>
      <c r="S219" t="s">
        <v>28</v>
      </c>
      <c r="T219" s="57">
        <f>AVERAGE(T16,T26,T36,T46,T56,T66,T76,T86,T96,T106,T116,T126,T136,T146,T156,T166,T176,T186,T196,T206)</f>
        <v>0.15136223433140533</v>
      </c>
      <c r="U219" s="57">
        <f>AVERAGE(U16,U26,U36,U46,U56,U66,U76,U86,U96,U106,U116,U126,U136,U146,U156,U166,U176,U186,U196,U206)</f>
        <v>1.1284841831959684</v>
      </c>
      <c r="V219" s="57">
        <f>AVERAGE(V16,V26,V36,V46,V56,V66,V76,V86,V96,V106,V116,V126,V136,V146,V156,V166,V176,V186,V196,V206)</f>
        <v>62.133274097155756</v>
      </c>
      <c r="W219" s="57">
        <f>AVERAGE(W16,W26,W36,W46,W56,W66,W76,W86,W96,W106,W116,W126,W136,W146,W156,W166,W176,W186,W196,W206)</f>
        <v>30.692774542842994</v>
      </c>
      <c r="X219" s="57">
        <f>AVERAGE(X16,X26,X36,X46,X56,X66,X76,X86,X96,X106,X116,X126,X136,X146,X156,X166,X176,X186,X196,X206)</f>
        <v>5.8941049424738789</v>
      </c>
      <c r="AJ219" t="s">
        <v>644</v>
      </c>
      <c r="AK219">
        <v>3</v>
      </c>
      <c r="AL219" s="1">
        <v>0.88</v>
      </c>
      <c r="AM219" s="1">
        <v>47.58</v>
      </c>
      <c r="AN219" s="1">
        <v>1112.8399999999999</v>
      </c>
      <c r="AO219" s="1">
        <v>270.75</v>
      </c>
      <c r="AP219">
        <v>30.16</v>
      </c>
      <c r="AR219" s="1">
        <v>1.08</v>
      </c>
      <c r="AS219" s="1">
        <v>385.4</v>
      </c>
      <c r="AT219" s="1">
        <v>4849.28</v>
      </c>
      <c r="AU219" s="1">
        <v>828.22</v>
      </c>
      <c r="AV219">
        <v>160.30000000000001</v>
      </c>
    </row>
    <row r="220" spans="1:48" x14ac:dyDescent="0.3">
      <c r="A220" t="s">
        <v>5</v>
      </c>
      <c r="B220" s="13">
        <v>2</v>
      </c>
      <c r="C220" s="5">
        <v>0</v>
      </c>
      <c r="D220" s="1">
        <v>0</v>
      </c>
      <c r="E220" s="27">
        <v>736</v>
      </c>
      <c r="F220" s="1">
        <v>1</v>
      </c>
      <c r="G220" s="6">
        <v>0</v>
      </c>
      <c r="H220" s="1">
        <f>SUM(C220:G220)</f>
        <v>737</v>
      </c>
      <c r="I220" s="10">
        <f>E220/H220</f>
        <v>0.99864314789687925</v>
      </c>
      <c r="J220" s="11">
        <f>1-I220</f>
        <v>1.3568521031207537E-3</v>
      </c>
      <c r="K220">
        <f>H220-E223</f>
        <v>-8</v>
      </c>
      <c r="N220" s="10">
        <f>2*(E224*I220)/(E224+I220)</f>
        <v>0.99325236167341435</v>
      </c>
      <c r="O220" s="1"/>
      <c r="P220" s="1"/>
      <c r="S220" s="66" t="s">
        <v>39</v>
      </c>
      <c r="T220" s="67">
        <f t="shared" ref="T220:X228" si="36">AVERAGE(T17,T27,T37,T47,T57,T67,T77,T87,T97,T107,T117,T127,T137,T147,T157,T167,T177,T187,T197,T207)</f>
        <v>3.7752402818763257E-3</v>
      </c>
      <c r="U220" s="67">
        <f t="shared" si="36"/>
        <v>0.10053435288339156</v>
      </c>
      <c r="V220" s="67">
        <f t="shared" si="36"/>
        <v>0.17504980559832695</v>
      </c>
      <c r="W220" s="67">
        <f t="shared" si="36"/>
        <v>0.24094009089834309</v>
      </c>
      <c r="X220" s="67">
        <f t="shared" si="36"/>
        <v>0.16731060119155955</v>
      </c>
      <c r="AC220" t="s">
        <v>118</v>
      </c>
      <c r="AD220" t="s">
        <v>157</v>
      </c>
      <c r="AE220" t="s">
        <v>119</v>
      </c>
      <c r="AJ220" t="s">
        <v>644</v>
      </c>
      <c r="AK220">
        <v>4</v>
      </c>
      <c r="AL220" s="1">
        <v>0.79</v>
      </c>
      <c r="AM220" s="1">
        <v>39.82</v>
      </c>
      <c r="AN220" s="1">
        <v>1124.8</v>
      </c>
      <c r="AO220" s="1">
        <v>265.20999999999998</v>
      </c>
      <c r="AP220">
        <v>31.6</v>
      </c>
      <c r="AR220" s="1">
        <v>1.17</v>
      </c>
      <c r="AS220" s="1">
        <v>361.73</v>
      </c>
      <c r="AT220" s="1">
        <v>4889.6099999999997</v>
      </c>
      <c r="AU220" s="1">
        <v>810.13</v>
      </c>
      <c r="AV220">
        <v>161.65</v>
      </c>
    </row>
    <row r="221" spans="1:48" x14ac:dyDescent="0.3">
      <c r="A221" t="s">
        <v>6</v>
      </c>
      <c r="B221" s="13">
        <v>3</v>
      </c>
      <c r="C221" s="5">
        <v>0</v>
      </c>
      <c r="D221" s="1">
        <v>2</v>
      </c>
      <c r="E221" s="1">
        <v>4</v>
      </c>
      <c r="F221" s="27">
        <v>522</v>
      </c>
      <c r="G221" s="6">
        <v>6</v>
      </c>
      <c r="H221" s="1">
        <f>SUM(C221:G221)</f>
        <v>534</v>
      </c>
      <c r="I221" s="10">
        <f>F221/H221</f>
        <v>0.97752808988764039</v>
      </c>
      <c r="J221" s="11">
        <f>1-I221</f>
        <v>2.2471910112359605E-2</v>
      </c>
      <c r="K221">
        <f>H221-F223</f>
        <v>-121</v>
      </c>
      <c r="N221" s="10">
        <f>2*(F224*I221)/(F224+I221)</f>
        <v>0.87804878048780488</v>
      </c>
      <c r="O221" s="1"/>
      <c r="P221" s="1"/>
      <c r="S221" t="s">
        <v>30</v>
      </c>
      <c r="T221" s="57">
        <f t="shared" si="36"/>
        <v>100</v>
      </c>
      <c r="U221" s="57">
        <f t="shared" si="36"/>
        <v>86.294426328849767</v>
      </c>
      <c r="V221" s="57">
        <f t="shared" si="36"/>
        <v>99.559706766988569</v>
      </c>
      <c r="W221" s="57">
        <f t="shared" si="36"/>
        <v>98.587018962957771</v>
      </c>
      <c r="X221" s="57">
        <f t="shared" si="36"/>
        <v>92.039673899540361</v>
      </c>
      <c r="AB221">
        <v>0</v>
      </c>
      <c r="AC221">
        <v>31</v>
      </c>
      <c r="AD221">
        <v>26</v>
      </c>
      <c r="AE221">
        <v>15</v>
      </c>
      <c r="AJ221" t="s">
        <v>644</v>
      </c>
      <c r="AK221">
        <v>5</v>
      </c>
      <c r="AL221" s="1">
        <v>0.7</v>
      </c>
      <c r="AM221" s="1">
        <v>49.68</v>
      </c>
      <c r="AN221" s="1">
        <v>1110.5999999999999</v>
      </c>
      <c r="AO221" s="1">
        <v>268.39999999999998</v>
      </c>
      <c r="AP221">
        <v>32.83</v>
      </c>
      <c r="AR221" s="1">
        <v>0.99</v>
      </c>
      <c r="AS221" s="1">
        <v>411.59</v>
      </c>
      <c r="AT221" s="1">
        <v>4815.53</v>
      </c>
      <c r="AU221" s="1">
        <v>821.38</v>
      </c>
      <c r="AV221">
        <v>174.79</v>
      </c>
    </row>
    <row r="222" spans="1:48" x14ac:dyDescent="0.3">
      <c r="A222" t="s">
        <v>7</v>
      </c>
      <c r="B222" s="13">
        <v>4</v>
      </c>
      <c r="C222" s="7">
        <v>0</v>
      </c>
      <c r="D222" s="8">
        <v>1</v>
      </c>
      <c r="E222" s="8">
        <v>1</v>
      </c>
      <c r="F222" s="8">
        <v>47</v>
      </c>
      <c r="G222" s="28">
        <v>960</v>
      </c>
      <c r="H222" s="1">
        <f>SUM(C222:G222)</f>
        <v>1009</v>
      </c>
      <c r="I222" s="10">
        <f>G222/H222</f>
        <v>0.95143706640237857</v>
      </c>
      <c r="J222" s="11">
        <f>1-I222</f>
        <v>4.8562933597621427E-2</v>
      </c>
      <c r="K222">
        <f>H222-G223</f>
        <v>43</v>
      </c>
      <c r="N222" s="10">
        <f>2*(G224*I222)/(G224+I222)</f>
        <v>0.97215189873417718</v>
      </c>
      <c r="O222" s="1"/>
      <c r="P222" s="1"/>
      <c r="S222" s="66" t="s">
        <v>39</v>
      </c>
      <c r="T222" s="67">
        <f t="shared" si="36"/>
        <v>0</v>
      </c>
      <c r="U222" s="67">
        <f t="shared" si="36"/>
        <v>7.9740855393981462</v>
      </c>
      <c r="V222" s="67">
        <f t="shared" si="36"/>
        <v>0.18780952671925677</v>
      </c>
      <c r="W222" s="67">
        <f t="shared" si="36"/>
        <v>0.3818968513536225</v>
      </c>
      <c r="X222" s="67">
        <f t="shared" si="36"/>
        <v>2.5917594344110553</v>
      </c>
      <c r="AB222">
        <v>1</v>
      </c>
      <c r="AC222">
        <v>60</v>
      </c>
      <c r="AD222">
        <v>55</v>
      </c>
      <c r="AE222">
        <v>44</v>
      </c>
      <c r="AJ222" t="s">
        <v>644</v>
      </c>
      <c r="AK222">
        <v>6</v>
      </c>
      <c r="AL222" s="1">
        <v>0.79</v>
      </c>
      <c r="AM222" s="1">
        <v>40</v>
      </c>
      <c r="AN222" s="1">
        <v>1122.99</v>
      </c>
      <c r="AO222" s="1">
        <v>269.42</v>
      </c>
      <c r="AP222">
        <v>29.02</v>
      </c>
      <c r="AR222" s="1">
        <v>1.08</v>
      </c>
      <c r="AS222" s="1">
        <v>358.49</v>
      </c>
      <c r="AT222" s="1">
        <v>4877.55</v>
      </c>
      <c r="AU222" s="1">
        <v>831.1</v>
      </c>
      <c r="AV222">
        <v>156.07</v>
      </c>
    </row>
    <row r="223" spans="1:48" ht="15.6" x14ac:dyDescent="0.35">
      <c r="B223" s="1" t="s">
        <v>19</v>
      </c>
      <c r="C223" s="1">
        <f>SUM(C218:C222)</f>
        <v>367</v>
      </c>
      <c r="D223" s="1">
        <f>SUM(D218:D222)</f>
        <v>55</v>
      </c>
      <c r="E223" s="1">
        <f>SUM(E218:E222)</f>
        <v>745</v>
      </c>
      <c r="F223" s="1">
        <f>SUM(F218:F222)</f>
        <v>655</v>
      </c>
      <c r="G223" s="1">
        <f>SUM(G218:G222)</f>
        <v>966</v>
      </c>
      <c r="H223" s="1">
        <f>SUM(H217:H222)</f>
        <v>2788</v>
      </c>
      <c r="I223" s="13" t="s">
        <v>12</v>
      </c>
      <c r="N223" s="16"/>
      <c r="O223" s="1"/>
      <c r="P223" s="1"/>
      <c r="S223" s="15" t="s">
        <v>31</v>
      </c>
      <c r="T223" s="71">
        <f t="shared" si="36"/>
        <v>75.68736141906875</v>
      </c>
      <c r="U223" s="71">
        <f t="shared" si="36"/>
        <v>95.087719298245617</v>
      </c>
      <c r="V223" s="71">
        <f t="shared" si="36"/>
        <v>99.674355495251035</v>
      </c>
      <c r="W223" s="71">
        <f t="shared" si="36"/>
        <v>97.453183520599254</v>
      </c>
      <c r="X223" s="71">
        <f t="shared" si="36"/>
        <v>95.634291377601571</v>
      </c>
      <c r="AB223">
        <v>2</v>
      </c>
      <c r="AC223">
        <v>89</v>
      </c>
      <c r="AD223">
        <v>84</v>
      </c>
      <c r="AE223">
        <v>73</v>
      </c>
      <c r="AJ223" t="s">
        <v>644</v>
      </c>
      <c r="AK223">
        <v>7</v>
      </c>
      <c r="AL223" s="1">
        <v>0.97</v>
      </c>
      <c r="AM223" s="1">
        <v>48</v>
      </c>
      <c r="AN223" s="1">
        <v>1113.73</v>
      </c>
      <c r="AO223" s="1">
        <v>266.63</v>
      </c>
      <c r="AP223">
        <v>32.880000000000003</v>
      </c>
      <c r="AR223" s="1">
        <v>1.26</v>
      </c>
      <c r="AS223" s="1">
        <v>394.67</v>
      </c>
      <c r="AT223" s="1">
        <v>4829.66</v>
      </c>
      <c r="AU223" s="1">
        <v>827.59</v>
      </c>
      <c r="AV223">
        <v>171.1</v>
      </c>
    </row>
    <row r="224" spans="1:48" x14ac:dyDescent="0.3">
      <c r="A224" s="1" t="s">
        <v>316</v>
      </c>
      <c r="B224" s="1" t="s">
        <v>2</v>
      </c>
      <c r="C224" s="10">
        <f>C218/C223</f>
        <v>1</v>
      </c>
      <c r="D224" s="10">
        <f>D219/D223</f>
        <v>0.94545454545454544</v>
      </c>
      <c r="E224" s="10">
        <f>E220/E223</f>
        <v>0.98791946308724832</v>
      </c>
      <c r="F224" s="10">
        <f>F221/F223</f>
        <v>0.7969465648854962</v>
      </c>
      <c r="G224" s="10">
        <f>G222/G223</f>
        <v>0.99378881987577639</v>
      </c>
      <c r="H224" s="10"/>
      <c r="I224" s="14">
        <f>(C218+D219+E220+F221+G222)/H223</f>
        <v>0.94583931133428978</v>
      </c>
      <c r="S224" s="75" t="s">
        <v>39</v>
      </c>
      <c r="T224" s="76">
        <f t="shared" si="36"/>
        <v>1.92061811346193</v>
      </c>
      <c r="U224" s="76">
        <f t="shared" si="36"/>
        <v>2.8075089631015118</v>
      </c>
      <c r="V224" s="76">
        <f t="shared" si="36"/>
        <v>0.20394473429634513</v>
      </c>
      <c r="W224" s="76">
        <f t="shared" si="36"/>
        <v>0.67954411317282848</v>
      </c>
      <c r="X224" s="76">
        <f t="shared" si="36"/>
        <v>0.64173043392541351</v>
      </c>
      <c r="AB224">
        <v>3</v>
      </c>
      <c r="AC224">
        <v>118</v>
      </c>
      <c r="AD224">
        <v>113</v>
      </c>
      <c r="AE224">
        <v>102</v>
      </c>
      <c r="AJ224" t="s">
        <v>644</v>
      </c>
      <c r="AK224">
        <v>8</v>
      </c>
      <c r="AL224" s="1">
        <v>0.79</v>
      </c>
      <c r="AM224" s="1">
        <v>42.02</v>
      </c>
      <c r="AN224" s="1">
        <v>1115.0999999999999</v>
      </c>
      <c r="AO224" s="1">
        <v>272.95</v>
      </c>
      <c r="AP224">
        <v>31.35</v>
      </c>
      <c r="AR224" s="1">
        <v>1.08</v>
      </c>
      <c r="AS224" s="1">
        <v>365.6</v>
      </c>
      <c r="AT224" s="1">
        <v>4850.99</v>
      </c>
      <c r="AU224" s="1">
        <v>837.22</v>
      </c>
      <c r="AV224">
        <v>169.39</v>
      </c>
    </row>
    <row r="225" spans="1:48" x14ac:dyDescent="0.3">
      <c r="B225" s="1" t="s">
        <v>14</v>
      </c>
      <c r="C225" s="11">
        <f>1-C224</f>
        <v>0</v>
      </c>
      <c r="D225" s="11">
        <f>1-D224</f>
        <v>5.4545454545454564E-2</v>
      </c>
      <c r="E225" s="11">
        <f>1-E224</f>
        <v>1.2080536912751683E-2</v>
      </c>
      <c r="F225" s="11">
        <f>1-F224</f>
        <v>0.2030534351145038</v>
      </c>
      <c r="G225" s="11">
        <f>1-G224</f>
        <v>6.2111801242236142E-3</v>
      </c>
      <c r="S225" s="66" t="s">
        <v>51</v>
      </c>
      <c r="T225" s="67">
        <f t="shared" si="36"/>
        <v>85.46222200945536</v>
      </c>
      <c r="U225" s="67">
        <f t="shared" si="36"/>
        <v>93.830992912934789</v>
      </c>
      <c r="V225" s="67">
        <f t="shared" si="36"/>
        <v>99.367731899681772</v>
      </c>
      <c r="W225" s="67">
        <f t="shared" si="36"/>
        <v>86.3729617079522</v>
      </c>
      <c r="X225" s="67">
        <f t="shared" si="36"/>
        <v>97.367892837070201</v>
      </c>
      <c r="AB225">
        <v>4</v>
      </c>
      <c r="AC225">
        <v>147</v>
      </c>
      <c r="AD225">
        <v>142</v>
      </c>
      <c r="AE225">
        <v>131</v>
      </c>
      <c r="AJ225" t="s">
        <v>644</v>
      </c>
      <c r="AK225">
        <v>9</v>
      </c>
      <c r="AL225" s="1">
        <v>0.79</v>
      </c>
      <c r="AM225" s="1">
        <v>45.77</v>
      </c>
      <c r="AN225" s="1">
        <v>1122.82</v>
      </c>
      <c r="AO225" s="1">
        <v>261.52</v>
      </c>
      <c r="AP225">
        <v>31.32</v>
      </c>
      <c r="AR225" s="1">
        <v>1.08</v>
      </c>
      <c r="AS225" s="1">
        <v>385.67</v>
      </c>
      <c r="AT225" s="1">
        <v>4848.5600000000004</v>
      </c>
      <c r="AU225" s="1">
        <v>819.67</v>
      </c>
      <c r="AV225">
        <v>169.3</v>
      </c>
    </row>
    <row r="226" spans="1:48" x14ac:dyDescent="0.3">
      <c r="C226" s="2"/>
      <c r="R226" s="16" t="s">
        <v>61</v>
      </c>
      <c r="S226" t="s">
        <v>9</v>
      </c>
      <c r="T226" s="1">
        <f t="shared" si="36"/>
        <v>179.10700000000003</v>
      </c>
      <c r="U226" s="1">
        <f t="shared" si="36"/>
        <v>922.53700000000003</v>
      </c>
      <c r="V226" s="1">
        <f t="shared" si="36"/>
        <v>56106.523000000008</v>
      </c>
      <c r="W226" s="1">
        <f t="shared" si="36"/>
        <v>28070.145</v>
      </c>
      <c r="X226" s="1">
        <f t="shared" si="36"/>
        <v>5126.2970000000005</v>
      </c>
      <c r="AB226">
        <v>5</v>
      </c>
      <c r="AC226">
        <v>176</v>
      </c>
      <c r="AD226">
        <v>171</v>
      </c>
      <c r="AE226">
        <v>160</v>
      </c>
      <c r="AJ226" t="s">
        <v>644</v>
      </c>
      <c r="AK226">
        <v>10</v>
      </c>
      <c r="AL226" s="1">
        <v>0.79</v>
      </c>
      <c r="AM226" s="1">
        <v>41.34</v>
      </c>
      <c r="AN226" s="1">
        <v>1129.9100000000001</v>
      </c>
      <c r="AO226" s="1">
        <v>259.33999999999997</v>
      </c>
      <c r="AP226">
        <v>30.83</v>
      </c>
      <c r="AR226" s="1">
        <v>1.08</v>
      </c>
      <c r="AS226" s="1">
        <v>363.53</v>
      </c>
      <c r="AT226" s="1">
        <v>4905.3599999999997</v>
      </c>
      <c r="AU226" s="1">
        <v>797.17</v>
      </c>
      <c r="AV226">
        <v>157.15</v>
      </c>
    </row>
    <row r="227" spans="1:48" ht="15.6" x14ac:dyDescent="0.35">
      <c r="A227" t="s">
        <v>317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318</v>
      </c>
      <c r="S227" t="s">
        <v>63</v>
      </c>
      <c r="T227" s="57">
        <f>AVERAGE(T24,T34,T44,T54,T64,T74,T84,T94,T104,T114,T124,T134,T144,T154,T164,T174,T184,T194,T204,T214)</f>
        <v>136.83843680709532</v>
      </c>
      <c r="U227" s="57">
        <f t="shared" si="36"/>
        <v>1020.2017124147917</v>
      </c>
      <c r="V227" s="57">
        <f t="shared" si="36"/>
        <v>56171.343510395425</v>
      </c>
      <c r="W227" s="57">
        <f t="shared" si="36"/>
        <v>27747.682812784624</v>
      </c>
      <c r="X227" s="57">
        <f t="shared" si="36"/>
        <v>5328.5425275980606</v>
      </c>
      <c r="AB227">
        <v>6</v>
      </c>
      <c r="AC227">
        <v>205</v>
      </c>
      <c r="AD227">
        <v>200</v>
      </c>
      <c r="AE227">
        <v>189</v>
      </c>
      <c r="AJ227" t="s">
        <v>644</v>
      </c>
      <c r="AK227">
        <v>11</v>
      </c>
      <c r="AL227" s="1">
        <v>0.79</v>
      </c>
      <c r="AM227" s="1">
        <v>42.64</v>
      </c>
      <c r="AN227" s="1">
        <v>1122.4000000000001</v>
      </c>
      <c r="AO227" s="1">
        <v>265.10000000000002</v>
      </c>
      <c r="AP227">
        <v>31.29</v>
      </c>
      <c r="AR227" s="1">
        <v>1.08</v>
      </c>
      <c r="AS227" s="1">
        <v>362.63</v>
      </c>
      <c r="AT227" s="1">
        <v>4879.62</v>
      </c>
      <c r="AU227" s="1">
        <v>818.86</v>
      </c>
      <c r="AV227">
        <v>162.1</v>
      </c>
    </row>
    <row r="228" spans="1:48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62</v>
      </c>
      <c r="T228" s="67">
        <f>AVERAGE(T25,T35,T45,T55,T65,T75,T85,T95,T105,T115,T125,T135,T145,T155,T165,T175,T185,T195,T205,T215)</f>
        <v>3.4129912134790468</v>
      </c>
      <c r="U228" s="67">
        <f t="shared" si="36"/>
        <v>90.887688177615544</v>
      </c>
      <c r="V228" s="67">
        <f t="shared" si="36"/>
        <v>158.25309191842612</v>
      </c>
      <c r="W228" s="67">
        <f t="shared" si="36"/>
        <v>217.82094731340598</v>
      </c>
      <c r="X228" s="67">
        <f t="shared" si="36"/>
        <v>151.25649497505546</v>
      </c>
      <c r="AB228">
        <v>7</v>
      </c>
      <c r="AC228">
        <v>234</v>
      </c>
      <c r="AD228">
        <v>229</v>
      </c>
      <c r="AE228">
        <v>218</v>
      </c>
      <c r="AJ228" t="s">
        <v>644</v>
      </c>
      <c r="AK228">
        <v>12</v>
      </c>
      <c r="AL228" s="1">
        <v>0.79</v>
      </c>
      <c r="AM228" s="1">
        <v>50.85</v>
      </c>
      <c r="AN228" s="1">
        <v>1109.4100000000001</v>
      </c>
      <c r="AO228" s="1">
        <v>268.04000000000002</v>
      </c>
      <c r="AP228">
        <v>33.130000000000003</v>
      </c>
      <c r="AR228" s="1">
        <v>1.08</v>
      </c>
      <c r="AS228" s="1">
        <v>392.42</v>
      </c>
      <c r="AT228" s="1">
        <v>4820.57</v>
      </c>
      <c r="AU228" s="1">
        <v>844.15</v>
      </c>
      <c r="AV228">
        <v>166.06</v>
      </c>
    </row>
    <row r="229" spans="1:48" x14ac:dyDescent="0.3">
      <c r="A229" t="s">
        <v>3</v>
      </c>
      <c r="B229" s="13">
        <v>0</v>
      </c>
      <c r="C229" s="29">
        <f>(C218/$L229)*$O229</f>
        <v>0.16739475128766579</v>
      </c>
      <c r="D229" s="31">
        <f>(D218/$L229)*$O229</f>
        <v>0</v>
      </c>
      <c r="E229" s="31">
        <f>(E218/$L229)*$O229</f>
        <v>0</v>
      </c>
      <c r="F229" s="31">
        <f>(F218/$L229)*$O229</f>
        <v>3.8313785035869012E-2</v>
      </c>
      <c r="G229" s="32">
        <f>(G218/$L229)*$O229</f>
        <v>0</v>
      </c>
      <c r="H229" s="17">
        <f>SUM(C229:G229)</f>
        <v>0.20570853632353481</v>
      </c>
      <c r="I229" s="17">
        <f>C229/H229*100</f>
        <v>81.374722838137473</v>
      </c>
      <c r="J229" s="17">
        <f>SQRT(I229*(100-I229)/(L229-1))</f>
        <v>1.8352273651633921</v>
      </c>
      <c r="K229" s="18">
        <f>100-I229</f>
        <v>18.625277161862527</v>
      </c>
      <c r="L229" s="1">
        <f>H218</f>
        <v>451</v>
      </c>
      <c r="M229">
        <v>0</v>
      </c>
      <c r="N229" s="1">
        <v>185.97</v>
      </c>
      <c r="O229" s="17">
        <f>N229/N234*100</f>
        <v>0.20570853632353481</v>
      </c>
      <c r="P229" s="52">
        <f>((O229*O229*(I229/100)*(K229/100))/(L229-1))</f>
        <v>1.4252281148818631E-5</v>
      </c>
      <c r="AB229">
        <v>8</v>
      </c>
      <c r="AC229">
        <v>263</v>
      </c>
      <c r="AD229">
        <v>258</v>
      </c>
      <c r="AE229">
        <v>247</v>
      </c>
      <c r="AJ229" t="s">
        <v>644</v>
      </c>
      <c r="AK229">
        <v>13</v>
      </c>
      <c r="AL229" s="1">
        <v>1.1499999999999999</v>
      </c>
      <c r="AM229" s="1">
        <v>37.770000000000003</v>
      </c>
      <c r="AN229" s="1">
        <v>1124.17</v>
      </c>
      <c r="AO229" s="1">
        <v>270.89</v>
      </c>
      <c r="AP229">
        <v>28.23</v>
      </c>
      <c r="AR229" s="1">
        <v>1.53</v>
      </c>
      <c r="AS229" s="1">
        <v>335.53</v>
      </c>
      <c r="AT229" s="1">
        <v>4892.13</v>
      </c>
      <c r="AU229" s="1">
        <v>835.78</v>
      </c>
      <c r="AV229">
        <v>159.31</v>
      </c>
    </row>
    <row r="230" spans="1:48" x14ac:dyDescent="0.3">
      <c r="A230" t="s">
        <v>4</v>
      </c>
      <c r="B230" s="13">
        <v>1</v>
      </c>
      <c r="C230" s="33">
        <f t="shared" ref="C230:G233" si="37">(C219/$L230)*$O230</f>
        <v>0</v>
      </c>
      <c r="D230" s="34">
        <f t="shared" si="37"/>
        <v>0.9519526966678109</v>
      </c>
      <c r="E230" s="19">
        <f t="shared" si="37"/>
        <v>7.3227130512908523E-2</v>
      </c>
      <c r="F230" s="18">
        <f t="shared" si="37"/>
        <v>1.8306782628227131E-2</v>
      </c>
      <c r="G230" s="20">
        <f t="shared" si="37"/>
        <v>0</v>
      </c>
      <c r="H230" s="17">
        <f>SUM(C230:G230)</f>
        <v>1.0434866098089466</v>
      </c>
      <c r="I230" s="17">
        <f>D230/H230*100</f>
        <v>91.228070175438589</v>
      </c>
      <c r="J230" s="17">
        <f>SQRT(I230*(100-I230)/(L230-1))</f>
        <v>3.7802263481198901</v>
      </c>
      <c r="K230" s="18">
        <f>100-I230</f>
        <v>8.7719298245614112</v>
      </c>
      <c r="L230" s="1">
        <f>H219</f>
        <v>57</v>
      </c>
      <c r="M230">
        <v>1</v>
      </c>
      <c r="N230" s="1">
        <v>943.36</v>
      </c>
      <c r="O230" s="17">
        <f>N230/N234*100</f>
        <v>1.0434866098089466</v>
      </c>
      <c r="P230" s="52">
        <f>((O230*O230*(I230/100)*(K230/100))/(L230-1))</f>
        <v>1.5559992044868098E-3</v>
      </c>
      <c r="S230" t="s">
        <v>64</v>
      </c>
      <c r="T230" s="1" t="s">
        <v>639</v>
      </c>
      <c r="U230" s="1" t="s">
        <v>640</v>
      </c>
      <c r="V230" s="1" t="s">
        <v>641</v>
      </c>
      <c r="W230" s="1" t="s">
        <v>642</v>
      </c>
      <c r="X230" s="1" t="s">
        <v>643</v>
      </c>
      <c r="AB230">
        <v>9</v>
      </c>
      <c r="AC230">
        <v>292</v>
      </c>
      <c r="AD230">
        <v>287</v>
      </c>
      <c r="AE230">
        <v>276</v>
      </c>
      <c r="AJ230" t="s">
        <v>644</v>
      </c>
      <c r="AK230">
        <v>14</v>
      </c>
      <c r="AL230" s="1">
        <v>1.1499999999999999</v>
      </c>
      <c r="AM230" s="1">
        <v>44.95</v>
      </c>
      <c r="AN230" s="1">
        <v>1113.33</v>
      </c>
      <c r="AO230" s="1">
        <v>269.58</v>
      </c>
      <c r="AP230">
        <v>33.21</v>
      </c>
      <c r="AR230" s="1">
        <v>1.35</v>
      </c>
      <c r="AS230" s="1">
        <v>370.64</v>
      </c>
      <c r="AT230" s="1">
        <v>4846.67</v>
      </c>
      <c r="AU230" s="1">
        <v>828.49</v>
      </c>
      <c r="AV230">
        <v>177.13</v>
      </c>
    </row>
    <row r="231" spans="1:48" x14ac:dyDescent="0.3">
      <c r="A231" t="s">
        <v>5</v>
      </c>
      <c r="B231" s="13">
        <v>2</v>
      </c>
      <c r="C231" s="33">
        <f t="shared" si="37"/>
        <v>0</v>
      </c>
      <c r="D231" s="19">
        <f t="shared" si="37"/>
        <v>0</v>
      </c>
      <c r="E231" s="34">
        <f t="shared" si="37"/>
        <v>61.583326063851075</v>
      </c>
      <c r="F231" s="19">
        <f t="shared" si="37"/>
        <v>8.3672997369362873E-2</v>
      </c>
      <c r="G231" s="20">
        <f t="shared" si="37"/>
        <v>0</v>
      </c>
      <c r="H231" s="17">
        <f>SUM(C231:G231)</f>
        <v>61.666999061220437</v>
      </c>
      <c r="I231" s="17">
        <f>E231/H231*100</f>
        <v>99.864314789687924</v>
      </c>
      <c r="J231" s="17">
        <f>SQRT(I231*(100-I231)/(L231-1))</f>
        <v>0.13568521031207589</v>
      </c>
      <c r="K231" s="18">
        <f>100-I231</f>
        <v>0.13568521031207581</v>
      </c>
      <c r="L231" s="1">
        <f>H220</f>
        <v>737</v>
      </c>
      <c r="M231">
        <v>2</v>
      </c>
      <c r="N231" s="1">
        <v>55749.81</v>
      </c>
      <c r="O231" s="17">
        <f>N231/N234*100</f>
        <v>61.666999061220437</v>
      </c>
      <c r="P231" s="52">
        <f>((O231*O231*(I231/100)*(K231/100))/(L231-1))</f>
        <v>7.0011704887733969E-3</v>
      </c>
      <c r="T231" s="57">
        <f>T24</f>
        <v>130.87343680709535</v>
      </c>
      <c r="U231" s="57">
        <f>U24</f>
        <v>937.02474883391756</v>
      </c>
      <c r="V231" s="57">
        <f>V24</f>
        <v>56105.924207076023</v>
      </c>
      <c r="W231" s="57">
        <f>W24</f>
        <v>27960.554569176493</v>
      </c>
      <c r="X231" s="57">
        <f>X24</f>
        <v>5270.2330381064794</v>
      </c>
      <c r="AB231">
        <v>10</v>
      </c>
      <c r="AC231">
        <v>321</v>
      </c>
      <c r="AD231">
        <v>316</v>
      </c>
      <c r="AE231">
        <v>305</v>
      </c>
      <c r="AJ231" t="s">
        <v>644</v>
      </c>
      <c r="AK231">
        <v>15</v>
      </c>
      <c r="AL231" s="1">
        <v>0.97</v>
      </c>
      <c r="AM231" s="1">
        <v>56.76</v>
      </c>
      <c r="AN231" s="1">
        <v>1102.74</v>
      </c>
      <c r="AO231" s="1">
        <v>268.44</v>
      </c>
      <c r="AP231">
        <v>33.31</v>
      </c>
      <c r="AR231" s="1">
        <v>1.26</v>
      </c>
      <c r="AS231" s="1">
        <v>459.38</v>
      </c>
      <c r="AT231" s="1">
        <v>4771.5200000000004</v>
      </c>
      <c r="AU231" s="1">
        <v>818.32</v>
      </c>
      <c r="AV231">
        <v>173.8</v>
      </c>
    </row>
    <row r="232" spans="1:48" x14ac:dyDescent="0.3">
      <c r="A232" t="s">
        <v>6</v>
      </c>
      <c r="B232" s="13">
        <v>3</v>
      </c>
      <c r="C232" s="33">
        <f t="shared" si="37"/>
        <v>0</v>
      </c>
      <c r="D232" s="19">
        <f t="shared" si="37"/>
        <v>0.11763527916972956</v>
      </c>
      <c r="E232" s="19">
        <f t="shared" si="37"/>
        <v>0.23527055833945912</v>
      </c>
      <c r="F232" s="34">
        <f t="shared" si="37"/>
        <v>30.702807863299412</v>
      </c>
      <c r="G232" s="20">
        <f t="shared" si="37"/>
        <v>0.35290583750918864</v>
      </c>
      <c r="H232" s="17">
        <f>SUM(C232:G232)</f>
        <v>31.408619538317787</v>
      </c>
      <c r="I232" s="17">
        <f>F232/H232*100</f>
        <v>97.752808988764045</v>
      </c>
      <c r="J232" s="17">
        <f>SQRT(I232*(100-I232)/(L232-1))</f>
        <v>0.64197928239881541</v>
      </c>
      <c r="K232" s="18">
        <f>100-I232</f>
        <v>2.2471910112359552</v>
      </c>
      <c r="L232" s="1">
        <f>H221</f>
        <v>534</v>
      </c>
      <c r="M232">
        <v>3</v>
      </c>
      <c r="N232" s="1">
        <v>28394.84</v>
      </c>
      <c r="O232" s="17">
        <f>N232/N234*100</f>
        <v>31.40861953831779</v>
      </c>
      <c r="P232" s="52">
        <f>((O232*O232*(I232/100)*(K232/100))/(L232-1))</f>
        <v>4.0657411342894488E-2</v>
      </c>
      <c r="T232" s="57">
        <f>T34</f>
        <v>62.386807095343663</v>
      </c>
      <c r="U232" s="57">
        <f>U34</f>
        <v>1156.8332335806106</v>
      </c>
      <c r="V232" s="57">
        <f>V34</f>
        <v>56055.67419813048</v>
      </c>
      <c r="W232" s="57">
        <f>W34</f>
        <v>27740.560082637658</v>
      </c>
      <c r="X232" s="57">
        <f>X34</f>
        <v>5389.1456785559167</v>
      </c>
      <c r="AB232">
        <v>11</v>
      </c>
      <c r="AC232">
        <v>350</v>
      </c>
      <c r="AD232">
        <v>345</v>
      </c>
      <c r="AE232">
        <v>334</v>
      </c>
      <c r="AJ232" t="s">
        <v>644</v>
      </c>
      <c r="AK232">
        <v>16</v>
      </c>
      <c r="AL232" s="1">
        <v>0.88</v>
      </c>
      <c r="AM232" s="1">
        <v>41.92</v>
      </c>
      <c r="AN232" s="1">
        <v>1118.82</v>
      </c>
      <c r="AO232" s="1">
        <v>270.23</v>
      </c>
      <c r="AP232">
        <v>30.37</v>
      </c>
      <c r="AR232" s="1">
        <v>1.17</v>
      </c>
      <c r="AS232" s="1">
        <v>361.91</v>
      </c>
      <c r="AT232" s="1">
        <v>4854.41</v>
      </c>
      <c r="AU232" s="1">
        <v>839.2</v>
      </c>
      <c r="AV232">
        <v>167.59</v>
      </c>
    </row>
    <row r="233" spans="1:48" x14ac:dyDescent="0.3">
      <c r="A233" t="s">
        <v>7</v>
      </c>
      <c r="B233" s="13">
        <v>4</v>
      </c>
      <c r="C233" s="35">
        <f t="shared" si="37"/>
        <v>0</v>
      </c>
      <c r="D233" s="36">
        <f t="shared" si="37"/>
        <v>5.6245651678189165E-3</v>
      </c>
      <c r="E233" s="21">
        <f t="shared" si="37"/>
        <v>5.6245651678189165E-3</v>
      </c>
      <c r="F233" s="21">
        <f t="shared" si="37"/>
        <v>0.26435456288748904</v>
      </c>
      <c r="G233" s="37">
        <f t="shared" si="37"/>
        <v>5.3995825611061594</v>
      </c>
      <c r="H233" s="17">
        <f>SUM(C233:G233)</f>
        <v>5.6751862543292866</v>
      </c>
      <c r="I233" s="17">
        <f>G233/H233*100</f>
        <v>95.143706640237852</v>
      </c>
      <c r="J233" s="17">
        <f>SQRT(I233*(100-I233)/(L233-1))</f>
        <v>0.67703672057876485</v>
      </c>
      <c r="K233" s="18">
        <f>100-I233</f>
        <v>4.856293359762148</v>
      </c>
      <c r="L233" s="1">
        <f>H222</f>
        <v>1009</v>
      </c>
      <c r="M233">
        <v>4</v>
      </c>
      <c r="N233" s="1">
        <v>5130.63</v>
      </c>
      <c r="O233" s="17">
        <f>N233/N234*100</f>
        <v>5.6751862543292866</v>
      </c>
      <c r="P233" s="52">
        <f>((O233*O233*(I233/100)*(K233/100))/(L233-1))</f>
        <v>1.4763342219286212E-3</v>
      </c>
      <c r="T233" s="57">
        <f>T44</f>
        <v>189.33356984478939</v>
      </c>
      <c r="U233" s="57">
        <f>U44</f>
        <v>1071.2033875243733</v>
      </c>
      <c r="V233" s="57">
        <f>V44</f>
        <v>55770.027721512764</v>
      </c>
      <c r="W233" s="57">
        <f>W44</f>
        <v>27918.995309239956</v>
      </c>
      <c r="X233" s="57">
        <f>X44</f>
        <v>5455.0500118781174</v>
      </c>
      <c r="AB233">
        <v>12</v>
      </c>
      <c r="AC233">
        <v>379</v>
      </c>
      <c r="AD233">
        <v>374</v>
      </c>
      <c r="AE233">
        <v>363</v>
      </c>
      <c r="AJ233" t="s">
        <v>644</v>
      </c>
      <c r="AK233">
        <v>17</v>
      </c>
      <c r="AL233" s="1">
        <v>1.06</v>
      </c>
      <c r="AM233" s="1">
        <v>49.65</v>
      </c>
      <c r="AN233" s="1">
        <v>1116.67</v>
      </c>
      <c r="AO233" s="1">
        <v>263.64999999999998</v>
      </c>
      <c r="AP233">
        <v>31.19</v>
      </c>
      <c r="AR233" s="1">
        <v>1.35</v>
      </c>
      <c r="AS233" s="1">
        <v>422.12</v>
      </c>
      <c r="AT233" s="1">
        <v>4814.8999999999996</v>
      </c>
      <c r="AU233" s="1">
        <v>823.54</v>
      </c>
      <c r="AV233">
        <v>162.37</v>
      </c>
    </row>
    <row r="234" spans="1:48" x14ac:dyDescent="0.3">
      <c r="B234" t="s">
        <v>28</v>
      </c>
      <c r="C234" s="17">
        <f>SUM(C229:C233)</f>
        <v>0.16739475128766579</v>
      </c>
      <c r="D234" s="17">
        <f>SUM(D229:D233)</f>
        <v>1.0752125410053592</v>
      </c>
      <c r="E234" s="17">
        <f>SUM(E229:E233)</f>
        <v>61.897448317871266</v>
      </c>
      <c r="F234" s="17">
        <f>SUM(F229:F233)</f>
        <v>31.107455991220363</v>
      </c>
      <c r="G234" s="17">
        <f>SUM(G229:G233)</f>
        <v>5.7524883986153483</v>
      </c>
      <c r="H234" s="1">
        <f>SUM(H228:H233)</f>
        <v>99.999999999999986</v>
      </c>
      <c r="I234" s="13" t="s">
        <v>24</v>
      </c>
      <c r="J234" s="12" t="s">
        <v>29</v>
      </c>
      <c r="N234" s="1">
        <f>SUM(N229:N233)</f>
        <v>90404.61</v>
      </c>
      <c r="O234" s="17">
        <f>SUM(O229:O233)</f>
        <v>100</v>
      </c>
      <c r="T234" s="57">
        <f>T54</f>
        <v>142.32319290465634</v>
      </c>
      <c r="U234" s="57">
        <f>U54</f>
        <v>1114.1206346259135</v>
      </c>
      <c r="V234" s="57">
        <f>V54</f>
        <v>55943.440938249092</v>
      </c>
      <c r="W234" s="57">
        <f>W54</f>
        <v>27803.914689126195</v>
      </c>
      <c r="X234" s="57">
        <f>X54</f>
        <v>5400.8005450941519</v>
      </c>
      <c r="AB234">
        <v>13</v>
      </c>
      <c r="AC234">
        <v>408</v>
      </c>
      <c r="AD234">
        <v>403</v>
      </c>
      <c r="AE234">
        <v>392</v>
      </c>
      <c r="AJ234" t="s">
        <v>644</v>
      </c>
      <c r="AK234">
        <v>18</v>
      </c>
      <c r="AL234" s="1">
        <v>0.79</v>
      </c>
      <c r="AM234" s="1">
        <v>46.2</v>
      </c>
      <c r="AN234" s="1">
        <v>1114.24</v>
      </c>
      <c r="AO234" s="1">
        <v>270.81</v>
      </c>
      <c r="AP234">
        <v>30.18</v>
      </c>
      <c r="AR234" s="1">
        <v>1.08</v>
      </c>
      <c r="AS234" s="1">
        <v>389.63</v>
      </c>
      <c r="AT234" s="1">
        <v>4834.88</v>
      </c>
      <c r="AU234" s="1">
        <v>838.48</v>
      </c>
      <c r="AV234">
        <v>160.21</v>
      </c>
    </row>
    <row r="235" spans="1:48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3.7710316411442148E-3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9.1942486573332344E-2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0.14833798435938628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0.22211268227288758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0.14831970099188044</v>
      </c>
      <c r="H235" s="1"/>
      <c r="I235" s="14">
        <f>(C229+D230+E231+F232+G233)/H234</f>
        <v>0.98805063936212134</v>
      </c>
      <c r="J235" s="53">
        <f>SQRT(SUM(P229:P233))/100</f>
        <v>2.2517807961529501E-3</v>
      </c>
      <c r="M235" s="1"/>
      <c r="N235" s="9"/>
      <c r="T235" s="57">
        <f>T64</f>
        <v>155.75700665188472</v>
      </c>
      <c r="U235" s="57">
        <f>U64</f>
        <v>1013.7721124564508</v>
      </c>
      <c r="V235" s="57">
        <f>V64</f>
        <v>56384.022020689255</v>
      </c>
      <c r="W235" s="57">
        <f>W64</f>
        <v>27567.347369183375</v>
      </c>
      <c r="X235" s="57">
        <f>X64</f>
        <v>5283.7114910190312</v>
      </c>
      <c r="AB235">
        <v>14</v>
      </c>
      <c r="AC235">
        <v>437</v>
      </c>
      <c r="AD235">
        <v>432</v>
      </c>
      <c r="AE235">
        <v>421</v>
      </c>
      <c r="AJ235" t="s">
        <v>644</v>
      </c>
      <c r="AK235">
        <v>19</v>
      </c>
      <c r="AL235" s="1">
        <v>1.62</v>
      </c>
      <c r="AM235" s="1">
        <v>39.85</v>
      </c>
      <c r="AN235" s="1">
        <v>1124.3800000000001</v>
      </c>
      <c r="AO235" s="1">
        <v>263.60000000000002</v>
      </c>
      <c r="AP235">
        <v>32.770000000000003</v>
      </c>
      <c r="AR235" s="1">
        <v>1.98</v>
      </c>
      <c r="AS235" s="1">
        <v>366.05</v>
      </c>
      <c r="AT235" s="1">
        <v>4870.88</v>
      </c>
      <c r="AU235" s="1">
        <v>811.39</v>
      </c>
      <c r="AV235">
        <v>173.98</v>
      </c>
    </row>
    <row r="236" spans="1:48" x14ac:dyDescent="0.3">
      <c r="B236" s="1" t="s">
        <v>30</v>
      </c>
      <c r="C236" s="17">
        <f>C229/C234*100</f>
        <v>100</v>
      </c>
      <c r="D236" s="17">
        <f>D230/D234*100</f>
        <v>88.536234499060413</v>
      </c>
      <c r="E236" s="17">
        <f>E231/E234*100</f>
        <v>99.492511787550541</v>
      </c>
      <c r="F236" s="17">
        <f>F232/F234*100</f>
        <v>98.699192476443088</v>
      </c>
      <c r="G236" s="17">
        <f>G233/G234*100</f>
        <v>93.865162116726125</v>
      </c>
      <c r="H236" s="1"/>
      <c r="T236" s="57">
        <f>T74</f>
        <v>152.27467849223945</v>
      </c>
      <c r="U236" s="57">
        <f>U74</f>
        <v>1122.2551029473427</v>
      </c>
      <c r="V236" s="57">
        <f>V74</f>
        <v>55793.748716972332</v>
      </c>
      <c r="W236" s="57">
        <f>W74</f>
        <v>28033.976289062615</v>
      </c>
      <c r="X236" s="57">
        <f>X74</f>
        <v>5302.3452125254726</v>
      </c>
      <c r="AB236">
        <v>15</v>
      </c>
      <c r="AC236">
        <v>466</v>
      </c>
      <c r="AD236">
        <v>461</v>
      </c>
      <c r="AE236">
        <v>450</v>
      </c>
    </row>
    <row r="237" spans="1:48" x14ac:dyDescent="0.3">
      <c r="B237" s="16" t="s">
        <v>39</v>
      </c>
      <c r="C237" s="18">
        <f>SQRT((C240+C241)/(C234*C234))</f>
        <v>0</v>
      </c>
      <c r="D237" s="18">
        <f>SQRT((D240+D241)/(D234*D234))</f>
        <v>8.0453670520645115</v>
      </c>
      <c r="E237" s="18">
        <f>SQRT((E240+E241)/(E234*E234))</f>
        <v>0.19737878301385478</v>
      </c>
      <c r="F237" s="18">
        <f>SQRT((F240+F241)/(F234*F234))</f>
        <v>0.30885678940132399</v>
      </c>
      <c r="G237" s="18">
        <f>SQRT((G240+G241)/(G234*G234))</f>
        <v>2.3754451188544268</v>
      </c>
      <c r="H237" s="1"/>
      <c r="T237" s="57">
        <f>T84</f>
        <v>132.5060088691796</v>
      </c>
      <c r="U237" s="57">
        <f>U84</f>
        <v>890.66028289842438</v>
      </c>
      <c r="V237" s="57">
        <f>V84</f>
        <v>56306.443219446868</v>
      </c>
      <c r="W237" s="57">
        <f>W84</f>
        <v>27696.013920855705</v>
      </c>
      <c r="X237" s="57">
        <f>X84</f>
        <v>5378.9865679298318</v>
      </c>
      <c r="AB237">
        <v>16</v>
      </c>
      <c r="AC237">
        <v>495</v>
      </c>
      <c r="AD237">
        <v>490</v>
      </c>
      <c r="AE237">
        <v>479</v>
      </c>
      <c r="AN237" s="78"/>
      <c r="AO237" s="78"/>
    </row>
    <row r="238" spans="1:48" x14ac:dyDescent="0.3">
      <c r="B238" s="1" t="s">
        <v>37</v>
      </c>
      <c r="C238" s="18">
        <f>100-C236</f>
        <v>0</v>
      </c>
      <c r="D238" s="18">
        <f>100-D236</f>
        <v>11.463765500939587</v>
      </c>
      <c r="E238" s="18">
        <f>100-E236</f>
        <v>0.5074882124494593</v>
      </c>
      <c r="F238" s="18">
        <f>100-F236</f>
        <v>1.3008075235569123</v>
      </c>
      <c r="G238" s="18">
        <f>100-G236</f>
        <v>6.1348378832738746</v>
      </c>
      <c r="T238" s="57">
        <f>T94</f>
        <v>151.33257206208424</v>
      </c>
      <c r="U238" s="57">
        <f>U94</f>
        <v>972.04170436698507</v>
      </c>
      <c r="V238" s="57">
        <f>V94</f>
        <v>55958.146751723078</v>
      </c>
      <c r="W238" s="57">
        <f>W94</f>
        <v>28122.574269784403</v>
      </c>
      <c r="X238" s="57">
        <f>X94</f>
        <v>5200.5147020634504</v>
      </c>
      <c r="AB238">
        <v>17</v>
      </c>
      <c r="AC238">
        <v>524</v>
      </c>
      <c r="AD238">
        <v>519</v>
      </c>
      <c r="AE238">
        <v>508</v>
      </c>
    </row>
    <row r="239" spans="1:48" ht="15.6" x14ac:dyDescent="0.35">
      <c r="B239" s="1" t="s">
        <v>25</v>
      </c>
      <c r="C239" s="1">
        <f>C223</f>
        <v>367</v>
      </c>
      <c r="D239" s="1">
        <f>D223</f>
        <v>55</v>
      </c>
      <c r="E239" s="1">
        <f>E223</f>
        <v>745</v>
      </c>
      <c r="F239" s="1">
        <f>F223</f>
        <v>655</v>
      </c>
      <c r="G239" s="1">
        <f>G223</f>
        <v>966</v>
      </c>
      <c r="T239" s="57">
        <f>T104</f>
        <v>125.03913525498893</v>
      </c>
      <c r="U239" s="57">
        <f>U104</f>
        <v>951.3092091343492</v>
      </c>
      <c r="V239" s="57">
        <f>V104</f>
        <v>56238.011688989325</v>
      </c>
      <c r="W239" s="57">
        <f>W104</f>
        <v>27751.948994193408</v>
      </c>
      <c r="X239" s="57">
        <f>X104</f>
        <v>5338.3109724279238</v>
      </c>
      <c r="AB239">
        <v>18</v>
      </c>
      <c r="AC239">
        <v>553</v>
      </c>
      <c r="AD239">
        <v>548</v>
      </c>
      <c r="AE239">
        <v>537</v>
      </c>
      <c r="AN239" s="78"/>
      <c r="AO239" s="78"/>
    </row>
    <row r="240" spans="1:48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20.448617813590047</v>
      </c>
      <c r="E240" s="18">
        <f>(O231*O231*(100-E236)*(100-E236)*(I231)*(100-I231))/((L231-1)*100)</f>
        <v>0.1803111453121185</v>
      </c>
      <c r="F240" s="18">
        <f>(O232*O232*(100-F236)*(100-F236)*(I232)*(100-I232))/((L232-1)*100)</f>
        <v>6.8796414407256075</v>
      </c>
      <c r="G240" s="18">
        <f>(O233*O233*(100-G236)*(100-G236)*(I233)*(100-I233))/((L233-1)*100)</f>
        <v>5.5563662975914339</v>
      </c>
      <c r="T240" s="57">
        <f>T114</f>
        <v>146.65011086474502</v>
      </c>
      <c r="U240" s="57">
        <f>U114</f>
        <v>1068.9861265523359</v>
      </c>
      <c r="V240" s="57">
        <f>V114</f>
        <v>56437.06537815198</v>
      </c>
      <c r="W240" s="57">
        <f>W114</f>
        <v>27442.361053480654</v>
      </c>
      <c r="X240" s="57">
        <f>X114</f>
        <v>5309.5473309502868</v>
      </c>
      <c r="AB240">
        <v>19</v>
      </c>
      <c r="AC240">
        <v>582</v>
      </c>
      <c r="AD240">
        <v>577</v>
      </c>
      <c r="AE240">
        <v>566</v>
      </c>
    </row>
    <row r="241" spans="1:41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54.382178655099153</v>
      </c>
      <c r="E241" s="18">
        <f>E236*E236*(SUM((H229*E229*(1-E218/H218))/(H218-1),(H230*E230*(1-E219/H219))/(H219-1), (H232*E232*(1-E221/H221))/(H221-1),(H233*E233*(1-E222/H222))/(H222-1)))</f>
        <v>149.08071588017225</v>
      </c>
      <c r="F241" s="18">
        <f>F236*F236*(SUM((H229*F229*(1-F218/H218))/(H218-1),(H230*F230*(1-F219/H219))/(H219-1), (H231*F231*(1-F220/H220))/(H220-1),(H233*F233*(1-F222/H222))/(H222-1)))</f>
        <v>85.429199096738742</v>
      </c>
      <c r="G241" s="18">
        <f>G236*G236*(SUM((H229*G229*(1-G218/H218))/(H218-1),(H230*G230*(1-G219/H219))/(H219-1), (H231*G231*(1-G220/H220))/(H220-1),(H232*G232*(1-G221/H221))/(H221-1)))</f>
        <v>181.16821971094942</v>
      </c>
      <c r="T241" s="57">
        <f>T124</f>
        <v>131.69900221729489</v>
      </c>
      <c r="U241" s="57">
        <f>U124</f>
        <v>954.38424241315397</v>
      </c>
      <c r="V241" s="57">
        <f>V124</f>
        <v>56631.77075897187</v>
      </c>
      <c r="W241" s="57">
        <f>W124</f>
        <v>27334.030072187492</v>
      </c>
      <c r="X241" s="57">
        <f>X124</f>
        <v>5352.715924210198</v>
      </c>
      <c r="AB241">
        <v>20</v>
      </c>
      <c r="AC241">
        <v>611</v>
      </c>
      <c r="AD241">
        <v>606</v>
      </c>
      <c r="AE241">
        <v>595</v>
      </c>
      <c r="AN241" s="78"/>
      <c r="AO241" s="78"/>
    </row>
    <row r="242" spans="1:41" x14ac:dyDescent="0.3">
      <c r="T242" s="57">
        <f>T134</f>
        <v>131.56450110864745</v>
      </c>
      <c r="U242" s="57">
        <f>U134</f>
        <v>917.05123043212313</v>
      </c>
      <c r="V242" s="57">
        <f>V134</f>
        <v>56701.721903038007</v>
      </c>
      <c r="W242" s="57">
        <f>W134</f>
        <v>27270.188674036934</v>
      </c>
      <c r="X242" s="57">
        <f>X134</f>
        <v>5384.0936913842825</v>
      </c>
      <c r="AB242">
        <v>21</v>
      </c>
      <c r="AC242">
        <v>640</v>
      </c>
      <c r="AD242">
        <v>635</v>
      </c>
      <c r="AE242">
        <v>624</v>
      </c>
    </row>
    <row r="243" spans="1:41" x14ac:dyDescent="0.3">
      <c r="T243" s="57">
        <f>T144</f>
        <v>144.57498891352552</v>
      </c>
      <c r="U243" s="57">
        <f>U144</f>
        <v>1155.9641285067546</v>
      </c>
      <c r="V243" s="57">
        <f>V144</f>
        <v>55984.88444240547</v>
      </c>
      <c r="W243" s="57">
        <f>W144</f>
        <v>27747.369105066624</v>
      </c>
      <c r="X243" s="57">
        <f>X144</f>
        <v>5371.8273351076268</v>
      </c>
      <c r="AB243">
        <v>22</v>
      </c>
      <c r="AC243">
        <v>669</v>
      </c>
      <c r="AD243">
        <v>664</v>
      </c>
      <c r="AE243">
        <v>653</v>
      </c>
      <c r="AN243" s="78"/>
      <c r="AO243" s="78"/>
    </row>
    <row r="244" spans="1:41" x14ac:dyDescent="0.3">
      <c r="A244" s="348" t="s">
        <v>382</v>
      </c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 t="s">
        <v>81</v>
      </c>
      <c r="M244" s="348"/>
      <c r="N244" s="348"/>
      <c r="O244" s="348"/>
      <c r="P244" s="348"/>
      <c r="T244" s="57">
        <f>T154</f>
        <v>164.71503325942351</v>
      </c>
      <c r="U244" s="57">
        <f>U154</f>
        <v>1177.3663211386154</v>
      </c>
      <c r="V244" s="57">
        <f>V154</f>
        <v>55990.217461292901</v>
      </c>
      <c r="W244" s="57">
        <f>W154</f>
        <v>27962.256181358091</v>
      </c>
      <c r="X244" s="57">
        <f>X154</f>
        <v>5110.0550029509695</v>
      </c>
      <c r="AB244">
        <v>23</v>
      </c>
      <c r="AC244">
        <v>698</v>
      </c>
      <c r="AD244">
        <v>693</v>
      </c>
      <c r="AE244">
        <v>682</v>
      </c>
    </row>
    <row r="245" spans="1:41" x14ac:dyDescent="0.3">
      <c r="A245" t="s">
        <v>315</v>
      </c>
      <c r="B245" t="s">
        <v>21</v>
      </c>
      <c r="I245" s="1" t="s">
        <v>53</v>
      </c>
      <c r="O245" s="142"/>
      <c r="P245" s="142"/>
      <c r="T245" s="57">
        <f>T164</f>
        <v>62.114057649667402</v>
      </c>
      <c r="U245" s="57">
        <f>U164</f>
        <v>903.43383565454769</v>
      </c>
      <c r="V245" s="57">
        <f>V164</f>
        <v>56125.985925295303</v>
      </c>
      <c r="W245" s="57">
        <f>W164</f>
        <v>28061.885110551237</v>
      </c>
      <c r="X245" s="57">
        <f>X164</f>
        <v>5251.1810708492485</v>
      </c>
      <c r="AB245">
        <v>24</v>
      </c>
      <c r="AC245">
        <v>727</v>
      </c>
      <c r="AD245">
        <v>722</v>
      </c>
      <c r="AE245">
        <v>711</v>
      </c>
      <c r="AN245" s="78"/>
      <c r="AO245" s="78"/>
    </row>
    <row r="246" spans="1:41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51</v>
      </c>
      <c r="O246" s="13"/>
      <c r="P246" s="13"/>
      <c r="T246" s="57">
        <f>T174</f>
        <v>141.25223946784922</v>
      </c>
      <c r="U246" s="57">
        <f>U174</f>
        <v>997.95625961103565</v>
      </c>
      <c r="V246" s="57">
        <f>V174</f>
        <v>55896.611900253585</v>
      </c>
      <c r="W246" s="57">
        <f>W174</f>
        <v>27608.779244398298</v>
      </c>
      <c r="X246" s="57">
        <f>X174</f>
        <v>5760.010356269232</v>
      </c>
      <c r="AB246">
        <v>25</v>
      </c>
      <c r="AC246">
        <v>756</v>
      </c>
      <c r="AD246">
        <v>751</v>
      </c>
      <c r="AE246">
        <v>740</v>
      </c>
    </row>
    <row r="247" spans="1:41" x14ac:dyDescent="0.3">
      <c r="A247" t="s">
        <v>3</v>
      </c>
      <c r="B247" s="13">
        <v>0</v>
      </c>
      <c r="C247" s="26">
        <v>339</v>
      </c>
      <c r="D247" s="3">
        <v>0</v>
      </c>
      <c r="E247" s="3">
        <v>0</v>
      </c>
      <c r="F247" s="3">
        <v>112</v>
      </c>
      <c r="G247" s="4">
        <v>0</v>
      </c>
      <c r="H247" s="1">
        <f>SUM(C247:G247)</f>
        <v>451</v>
      </c>
      <c r="I247" s="10">
        <f>C247/H247</f>
        <v>0.75166297117516634</v>
      </c>
      <c r="J247" s="11">
        <f>1-I247</f>
        <v>0.24833702882483366</v>
      </c>
      <c r="K247">
        <f>H247-C252</f>
        <v>112</v>
      </c>
      <c r="N247" s="10">
        <f>2*(C253*I247)/(C253+I247)</f>
        <v>0.85822784810126584</v>
      </c>
      <c r="O247" s="1"/>
      <c r="P247" s="1"/>
      <c r="T247" s="57">
        <f>T184</f>
        <v>145.15024390243903</v>
      </c>
      <c r="U247" s="57">
        <f>U184</f>
        <v>1054.0738538604949</v>
      </c>
      <c r="V247" s="57">
        <f>V184</f>
        <v>56057.344120112306</v>
      </c>
      <c r="W247" s="57">
        <f>W184</f>
        <v>27724.399357597198</v>
      </c>
      <c r="X247" s="57">
        <f>X184</f>
        <v>5423.6424245275675</v>
      </c>
      <c r="AB247">
        <v>26</v>
      </c>
      <c r="AC247">
        <v>785</v>
      </c>
      <c r="AD247">
        <v>780</v>
      </c>
      <c r="AE247">
        <v>769</v>
      </c>
      <c r="AN247" s="78"/>
      <c r="AO247" s="78"/>
    </row>
    <row r="248" spans="1:41" x14ac:dyDescent="0.3">
      <c r="A248" t="s">
        <v>4</v>
      </c>
      <c r="B248" s="13">
        <v>1</v>
      </c>
      <c r="C248" s="5">
        <v>0</v>
      </c>
      <c r="D248" s="27">
        <v>53</v>
      </c>
      <c r="E248" s="1">
        <v>3</v>
      </c>
      <c r="F248" s="1">
        <v>1</v>
      </c>
      <c r="G248" s="6">
        <v>0</v>
      </c>
      <c r="H248" s="1">
        <f>SUM(C248:G248)</f>
        <v>57</v>
      </c>
      <c r="I248" s="10">
        <f>D248/H248</f>
        <v>0.92982456140350878</v>
      </c>
      <c r="J248" s="11">
        <f>1-I248</f>
        <v>7.0175438596491224E-2</v>
      </c>
      <c r="K248">
        <f>H248-D252</f>
        <v>-5</v>
      </c>
      <c r="N248" s="10">
        <f>2*(D253*I248)/(D253+I248)</f>
        <v>0.89075630252100846</v>
      </c>
      <c r="O248" s="1"/>
      <c r="P248" s="1"/>
      <c r="T248" s="57">
        <f>T194</f>
        <v>126.18445676274946</v>
      </c>
      <c r="U248" s="57">
        <f>U194</f>
        <v>1040.6571603162279</v>
      </c>
      <c r="V248" s="57">
        <f>V194</f>
        <v>56236.258828971862</v>
      </c>
      <c r="W248" s="57">
        <f>W194</f>
        <v>27861.355855438022</v>
      </c>
      <c r="X248" s="57">
        <f>X194</f>
        <v>5140.1536985111525</v>
      </c>
      <c r="AB248">
        <v>27</v>
      </c>
      <c r="AC248">
        <v>814</v>
      </c>
      <c r="AD248">
        <v>809</v>
      </c>
      <c r="AE248">
        <v>798</v>
      </c>
    </row>
    <row r="249" spans="1:41" x14ac:dyDescent="0.3">
      <c r="A249" t="s">
        <v>5</v>
      </c>
      <c r="B249" s="13">
        <v>2</v>
      </c>
      <c r="C249" s="5">
        <v>0</v>
      </c>
      <c r="D249" s="1">
        <v>0</v>
      </c>
      <c r="E249" s="27">
        <v>735</v>
      </c>
      <c r="F249" s="1">
        <v>2</v>
      </c>
      <c r="G249" s="6">
        <v>0</v>
      </c>
      <c r="H249" s="1">
        <f>SUM(C249:G249)</f>
        <v>737</v>
      </c>
      <c r="I249" s="10">
        <f>E249/H249</f>
        <v>0.99728629579375849</v>
      </c>
      <c r="J249" s="11">
        <f>1-I249</f>
        <v>2.7137042062415073E-3</v>
      </c>
      <c r="K249">
        <f>H249-E252</f>
        <v>-8</v>
      </c>
      <c r="N249" s="10">
        <f>2*(E253*I249)/(E253+I249)</f>
        <v>0.9919028340080972</v>
      </c>
      <c r="O249" s="1"/>
      <c r="P249" s="1"/>
      <c r="T249" s="57">
        <f>T204</f>
        <v>137.8860532150776</v>
      </c>
      <c r="U249" s="57">
        <f>U204</f>
        <v>939.32991283836702</v>
      </c>
      <c r="V249" s="57">
        <f>V204</f>
        <v>56064.782565847148</v>
      </c>
      <c r="W249" s="57">
        <f>W204</f>
        <v>28192.661414016849</v>
      </c>
      <c r="X249" s="57">
        <f>X204</f>
        <v>5069.9500540825447</v>
      </c>
      <c r="AB249">
        <v>28</v>
      </c>
      <c r="AC249">
        <v>843</v>
      </c>
      <c r="AD249">
        <v>838</v>
      </c>
      <c r="AE249">
        <v>827</v>
      </c>
      <c r="AN249" s="78"/>
      <c r="AO249" s="78"/>
    </row>
    <row r="250" spans="1:41" x14ac:dyDescent="0.3">
      <c r="A250" t="s">
        <v>6</v>
      </c>
      <c r="B250" s="13">
        <v>3</v>
      </c>
      <c r="C250" s="5">
        <v>0</v>
      </c>
      <c r="D250" s="1">
        <v>2</v>
      </c>
      <c r="E250" s="1">
        <v>7</v>
      </c>
      <c r="F250" s="27">
        <v>516</v>
      </c>
      <c r="G250" s="6">
        <v>9</v>
      </c>
      <c r="H250" s="1">
        <f>SUM(C250:G250)</f>
        <v>534</v>
      </c>
      <c r="I250" s="10">
        <f>F250/H250</f>
        <v>0.9662921348314607</v>
      </c>
      <c r="J250" s="11">
        <f>1-I250</f>
        <v>3.3707865168539297E-2</v>
      </c>
      <c r="K250">
        <f>H250-F252</f>
        <v>-137</v>
      </c>
      <c r="N250" s="10">
        <f>2*(F253*I250)/(F253+I250)</f>
        <v>0.85643153526970961</v>
      </c>
      <c r="O250" s="1"/>
      <c r="P250" s="1"/>
      <c r="T250" s="57">
        <f>T214</f>
        <v>163.15164079822617</v>
      </c>
      <c r="U250" s="57">
        <f>U214</f>
        <v>965.61076060380674</v>
      </c>
      <c r="V250" s="57">
        <f>V214</f>
        <v>56744.787460779036</v>
      </c>
      <c r="W250" s="57">
        <f>W214</f>
        <v>27152.484694301223</v>
      </c>
      <c r="X250" s="57">
        <f>X214</f>
        <v>5378.5754435177041</v>
      </c>
      <c r="AB250">
        <v>29</v>
      </c>
      <c r="AC250">
        <v>872</v>
      </c>
      <c r="AD250">
        <v>867</v>
      </c>
      <c r="AE250">
        <v>856</v>
      </c>
    </row>
    <row r="251" spans="1:41" x14ac:dyDescent="0.3">
      <c r="A251" t="s">
        <v>7</v>
      </c>
      <c r="B251" s="13">
        <v>4</v>
      </c>
      <c r="C251" s="7">
        <v>0</v>
      </c>
      <c r="D251" s="8">
        <v>7</v>
      </c>
      <c r="E251" s="8">
        <v>0</v>
      </c>
      <c r="F251" s="8">
        <v>40</v>
      </c>
      <c r="G251" s="28">
        <v>962</v>
      </c>
      <c r="H251" s="1">
        <f>SUM(C251:G251)</f>
        <v>1009</v>
      </c>
      <c r="I251" s="10">
        <f>G251/H251</f>
        <v>0.95341922695738357</v>
      </c>
      <c r="J251" s="11">
        <f>1-I251</f>
        <v>4.658077304261643E-2</v>
      </c>
      <c r="K251">
        <f>H251-G252</f>
        <v>38</v>
      </c>
      <c r="N251" s="10">
        <f>2*(G253*I251)/(G253+I251)</f>
        <v>0.97171717171717165</v>
      </c>
      <c r="O251" s="1"/>
      <c r="P251" s="1"/>
      <c r="AN251" s="78"/>
      <c r="AO251" s="78"/>
    </row>
    <row r="252" spans="1:41" ht="15.6" x14ac:dyDescent="0.35">
      <c r="B252" s="1" t="s">
        <v>19</v>
      </c>
      <c r="C252" s="1">
        <f>SUM(C247:C251)</f>
        <v>339</v>
      </c>
      <c r="D252" s="1">
        <f>SUM(D247:D251)</f>
        <v>62</v>
      </c>
      <c r="E252" s="1">
        <f>SUM(E247:E251)</f>
        <v>745</v>
      </c>
      <c r="F252" s="1">
        <f>SUM(F247:F251)</f>
        <v>671</v>
      </c>
      <c r="G252" s="1">
        <f>SUM(G247:G251)</f>
        <v>971</v>
      </c>
      <c r="H252" s="1">
        <f>SUM(H246:H251)</f>
        <v>2788</v>
      </c>
      <c r="I252" s="13" t="s">
        <v>12</v>
      </c>
      <c r="N252" s="16"/>
      <c r="O252" s="1"/>
      <c r="P252" s="1"/>
    </row>
    <row r="253" spans="1:41" x14ac:dyDescent="0.3">
      <c r="A253" s="1" t="s">
        <v>316</v>
      </c>
      <c r="B253" s="1" t="s">
        <v>2</v>
      </c>
      <c r="C253" s="10">
        <f>C247/C252</f>
        <v>1</v>
      </c>
      <c r="D253" s="10">
        <f>D248/D252</f>
        <v>0.85483870967741937</v>
      </c>
      <c r="E253" s="10">
        <f>E249/E252</f>
        <v>0.98657718120805371</v>
      </c>
      <c r="F253" s="10">
        <f>F250/F252</f>
        <v>0.76900149031296572</v>
      </c>
      <c r="G253" s="10">
        <f>G251/G252</f>
        <v>0.99073120494335731</v>
      </c>
      <c r="H253" s="10"/>
      <c r="I253" s="14">
        <f>(C247+D248+E249+F250+G251)/H252</f>
        <v>0.93436154949784789</v>
      </c>
      <c r="AN253" s="78"/>
      <c r="AO253" s="78"/>
    </row>
    <row r="254" spans="1:41" x14ac:dyDescent="0.3">
      <c r="B254" s="1" t="s">
        <v>14</v>
      </c>
      <c r="C254" s="11">
        <f>1-C253</f>
        <v>0</v>
      </c>
      <c r="D254" s="11">
        <f>1-D253</f>
        <v>0.14516129032258063</v>
      </c>
      <c r="E254" s="11">
        <f>1-E253</f>
        <v>1.3422818791946289E-2</v>
      </c>
      <c r="F254" s="11">
        <f>1-F253</f>
        <v>0.23099850968703428</v>
      </c>
      <c r="G254" s="11">
        <f>1-G253</f>
        <v>9.2687950566426869E-3</v>
      </c>
    </row>
    <row r="255" spans="1:41" x14ac:dyDescent="0.3">
      <c r="C255" s="2"/>
      <c r="AN255" s="78"/>
      <c r="AO255" s="78"/>
    </row>
    <row r="256" spans="1:41" ht="15.6" x14ac:dyDescent="0.35">
      <c r="A256" t="s">
        <v>317</v>
      </c>
      <c r="B256" s="15" t="s">
        <v>23</v>
      </c>
      <c r="N256" s="12" t="s">
        <v>17</v>
      </c>
      <c r="O256" s="1" t="s">
        <v>27</v>
      </c>
      <c r="P256" s="1" t="s">
        <v>33</v>
      </c>
    </row>
    <row r="257" spans="1:41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</row>
    <row r="258" spans="1:41" x14ac:dyDescent="0.3">
      <c r="A258" t="s">
        <v>3</v>
      </c>
      <c r="B258" s="13">
        <v>0</v>
      </c>
      <c r="C258" s="29">
        <f>(C247/$L258)*$O258</f>
        <v>0.13831055896810243</v>
      </c>
      <c r="D258" s="31">
        <f>(D247/$L258)*$O258</f>
        <v>0</v>
      </c>
      <c r="E258" s="31">
        <f>(E247/$L258)*$O258</f>
        <v>0</v>
      </c>
      <c r="F258" s="31">
        <f>(F247/$L258)*$O258</f>
        <v>4.5695523906865695E-2</v>
      </c>
      <c r="G258" s="32">
        <f>(G247/$L258)*$O258</f>
        <v>0</v>
      </c>
      <c r="H258" s="17">
        <f>SUM(C258:G258)</f>
        <v>0.18400608287496811</v>
      </c>
      <c r="I258" s="17">
        <f>C258/H258*100</f>
        <v>75.166297117516635</v>
      </c>
      <c r="J258" s="17">
        <f>SQRT(I258*(100-I258)/(L258-1))</f>
        <v>2.0366953022497958</v>
      </c>
      <c r="K258" s="18">
        <f>100-I258</f>
        <v>24.833702882483365</v>
      </c>
      <c r="L258" s="1">
        <f>H247</f>
        <v>451</v>
      </c>
      <c r="M258">
        <v>0</v>
      </c>
      <c r="N258" s="1">
        <v>166.35</v>
      </c>
      <c r="O258" s="17">
        <f>N258/N263*100</f>
        <v>0.18400608287496811</v>
      </c>
      <c r="P258" s="52">
        <f>((O258*O258*(I258/100)*(K258/100))/(L258-1))</f>
        <v>1.4044829897553068E-5</v>
      </c>
    </row>
    <row r="259" spans="1:41" x14ac:dyDescent="0.3">
      <c r="A259" t="s">
        <v>4</v>
      </c>
      <c r="B259" s="13">
        <v>1</v>
      </c>
      <c r="C259" s="33">
        <f t="shared" ref="C259:G262" si="38">(C248/$L259)*$O259</f>
        <v>0</v>
      </c>
      <c r="D259" s="34">
        <f t="shared" si="38"/>
        <v>0.89592863417044666</v>
      </c>
      <c r="E259" s="19">
        <f t="shared" si="38"/>
        <v>5.0712941556817735E-2</v>
      </c>
      <c r="F259" s="18">
        <f t="shared" si="38"/>
        <v>1.690431385227258E-2</v>
      </c>
      <c r="G259" s="20">
        <f t="shared" si="38"/>
        <v>0</v>
      </c>
      <c r="H259" s="17">
        <f>SUM(C259:G259)</f>
        <v>0.96354588957953691</v>
      </c>
      <c r="I259" s="17">
        <f>D259/H259*100</f>
        <v>92.982456140350891</v>
      </c>
      <c r="J259" s="17">
        <f>SQRT(I259*(100-I259)/(L259-1))</f>
        <v>3.4134933513474244</v>
      </c>
      <c r="K259" s="18">
        <f>100-I259</f>
        <v>7.0175438596491091</v>
      </c>
      <c r="L259" s="1">
        <f>H248</f>
        <v>57</v>
      </c>
      <c r="M259">
        <v>1</v>
      </c>
      <c r="N259" s="1">
        <v>871.09</v>
      </c>
      <c r="O259" s="17">
        <f>N259/N263*100</f>
        <v>0.96354588957953702</v>
      </c>
      <c r="P259" s="52">
        <f>((O259*O259*(I259/100)*(K259/100))/(L259-1))</f>
        <v>1.0817899158039363E-3</v>
      </c>
      <c r="AN259" s="78"/>
      <c r="AO259" s="78"/>
    </row>
    <row r="260" spans="1:41" x14ac:dyDescent="0.3">
      <c r="A260" t="s">
        <v>5</v>
      </c>
      <c r="B260" s="13">
        <v>2</v>
      </c>
      <c r="C260" s="33">
        <f t="shared" si="38"/>
        <v>0</v>
      </c>
      <c r="D260" s="19">
        <f t="shared" si="38"/>
        <v>0</v>
      </c>
      <c r="E260" s="34">
        <f t="shared" si="38"/>
        <v>61.746020753594678</v>
      </c>
      <c r="F260" s="19">
        <f t="shared" si="38"/>
        <v>0.16801638300297869</v>
      </c>
      <c r="G260" s="20">
        <f t="shared" si="38"/>
        <v>0</v>
      </c>
      <c r="H260" s="17">
        <f>SUM(C260:G260)</f>
        <v>61.914037136597656</v>
      </c>
      <c r="I260" s="17">
        <f>E260/H260*100</f>
        <v>99.728629579375848</v>
      </c>
      <c r="J260" s="17">
        <f>SQRT(I260*(100-I260)/(L260-1))</f>
        <v>0.19175746172356631</v>
      </c>
      <c r="K260" s="18">
        <f>100-I260</f>
        <v>0.27137042062415162</v>
      </c>
      <c r="L260" s="1">
        <f>H249</f>
        <v>737</v>
      </c>
      <c r="M260">
        <v>2</v>
      </c>
      <c r="N260" s="1">
        <v>55973.15</v>
      </c>
      <c r="O260" s="17">
        <f>N260/N263*100</f>
        <v>61.914037136597656</v>
      </c>
      <c r="P260" s="52">
        <f>((O260*O260*(I260/100)*(K260/100))/(L260-1))</f>
        <v>1.4095574825877475E-2</v>
      </c>
    </row>
    <row r="261" spans="1:41" x14ac:dyDescent="0.3">
      <c r="A261" t="s">
        <v>6</v>
      </c>
      <c r="B261" s="13">
        <v>3</v>
      </c>
      <c r="C261" s="33">
        <f t="shared" si="38"/>
        <v>0</v>
      </c>
      <c r="D261" s="19">
        <f t="shared" si="38"/>
        <v>0.11722201791256603</v>
      </c>
      <c r="E261" s="19">
        <f t="shared" si="38"/>
        <v>0.41027706269398118</v>
      </c>
      <c r="F261" s="34">
        <f t="shared" si="38"/>
        <v>30.24328062144204</v>
      </c>
      <c r="G261" s="20">
        <f t="shared" si="38"/>
        <v>0.52749908060654715</v>
      </c>
      <c r="H261" s="17">
        <f>SUM(C261:G261)</f>
        <v>31.298278782655132</v>
      </c>
      <c r="I261" s="17">
        <f>F261/H261*100</f>
        <v>96.629213483146074</v>
      </c>
      <c r="J261" s="17">
        <f>SQRT(I261*(100-I261)/(L261-1))</f>
        <v>0.78172903318176867</v>
      </c>
      <c r="K261" s="18">
        <f>100-I261</f>
        <v>3.3707865168539257</v>
      </c>
      <c r="L261" s="1">
        <f>H250</f>
        <v>534</v>
      </c>
      <c r="M261">
        <v>3</v>
      </c>
      <c r="N261" s="1">
        <v>28295.09</v>
      </c>
      <c r="O261" s="17">
        <f>N261/N263*100</f>
        <v>31.298278782655132</v>
      </c>
      <c r="P261" s="52">
        <f>((O261*O261*(I261/100)*(K261/100))/(L261-1))</f>
        <v>5.986229914572775E-2</v>
      </c>
      <c r="AN261" s="78"/>
      <c r="AO261" s="78"/>
    </row>
    <row r="262" spans="1:41" x14ac:dyDescent="0.3">
      <c r="A262" t="s">
        <v>7</v>
      </c>
      <c r="B262" s="13">
        <v>4</v>
      </c>
      <c r="C262" s="35">
        <f t="shared" si="38"/>
        <v>0</v>
      </c>
      <c r="D262" s="36">
        <f t="shared" si="38"/>
        <v>3.9128765865261511E-2</v>
      </c>
      <c r="E262" s="21">
        <f t="shared" si="38"/>
        <v>0</v>
      </c>
      <c r="F262" s="21">
        <f t="shared" si="38"/>
        <v>0.22359294780149436</v>
      </c>
      <c r="G262" s="37">
        <f t="shared" si="38"/>
        <v>5.3774103946259393</v>
      </c>
      <c r="H262" s="17">
        <f>SUM(C262:G262)</f>
        <v>5.6401321082926952</v>
      </c>
      <c r="I262" s="17">
        <f>G262/H262*100</f>
        <v>95.341922695738361</v>
      </c>
      <c r="J262" s="17">
        <f>SQRT(I262*(100-I262)/(L262-1))</f>
        <v>0.66376604564176922</v>
      </c>
      <c r="K262" s="18">
        <f>100-I262</f>
        <v>4.6580773042616386</v>
      </c>
      <c r="L262" s="1">
        <f>H251</f>
        <v>1009</v>
      </c>
      <c r="M262">
        <v>4</v>
      </c>
      <c r="N262" s="1">
        <v>5098.9399999999996</v>
      </c>
      <c r="O262" s="17">
        <f>N262/N263*100</f>
        <v>5.6401321082926952</v>
      </c>
      <c r="P262" s="52">
        <f>((O262*O262*(I262/100)*(K262/100))/(L262-1))</f>
        <v>1.4015500733785228E-3</v>
      </c>
    </row>
    <row r="263" spans="1:41" x14ac:dyDescent="0.3">
      <c r="B263" t="s">
        <v>28</v>
      </c>
      <c r="C263" s="17">
        <f>SUM(C258:C262)</f>
        <v>0.13831055896810243</v>
      </c>
      <c r="D263" s="17">
        <f>SUM(D258:D262)</f>
        <v>1.0522794179482742</v>
      </c>
      <c r="E263" s="17">
        <f>SUM(E258:E262)</f>
        <v>62.207010757845474</v>
      </c>
      <c r="F263" s="17">
        <f>SUM(F258:F262)</f>
        <v>30.697489790005651</v>
      </c>
      <c r="G263" s="17">
        <f>SUM(G258:G262)</f>
        <v>5.9049094752324862</v>
      </c>
      <c r="H263" s="1">
        <f>SUM(H257:H262)</f>
        <v>99.999999999999986</v>
      </c>
      <c r="I263" s="13" t="s">
        <v>24</v>
      </c>
      <c r="J263" s="12" t="s">
        <v>29</v>
      </c>
      <c r="N263" s="1">
        <f>SUM(N258:N262)</f>
        <v>90404.62000000001</v>
      </c>
      <c r="O263" s="17">
        <f>SUM(O258:O262)</f>
        <v>99.999999999999986</v>
      </c>
      <c r="AM263" s="78"/>
      <c r="AN263" s="78"/>
      <c r="AO263" s="78"/>
    </row>
    <row r="264" spans="1:41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3.7434861249705121E-3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9.0137590235642204E-2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0.19652005075232651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0.27444799182133828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0.17831527432936628</v>
      </c>
      <c r="H264" s="1"/>
      <c r="I264" s="56">
        <f>(C258+D259+E260+F261+G262)/H263</f>
        <v>0.98400950962801215</v>
      </c>
      <c r="J264" s="53">
        <f>SQRT(SUM(P258:P262))/100</f>
        <v>2.7650544079761835E-3</v>
      </c>
      <c r="M264" s="1"/>
      <c r="N264" s="9"/>
    </row>
    <row r="265" spans="1:41" x14ac:dyDescent="0.3">
      <c r="B265" s="1" t="s">
        <v>30</v>
      </c>
      <c r="C265" s="17">
        <f>C258/C263*100</f>
        <v>100</v>
      </c>
      <c r="D265" s="17">
        <f>D259/D263*100</f>
        <v>85.141704654579385</v>
      </c>
      <c r="E265" s="17">
        <f>E260/E263*100</f>
        <v>99.258942041042118</v>
      </c>
      <c r="F265" s="17">
        <f>F261/F263*100</f>
        <v>98.520370324509429</v>
      </c>
      <c r="G265" s="17">
        <f>G262/G263*100</f>
        <v>91.066771085668876</v>
      </c>
      <c r="H265" s="1"/>
      <c r="AM265" s="78"/>
      <c r="AN265" s="78"/>
      <c r="AO265" s="78"/>
    </row>
    <row r="266" spans="1:41" x14ac:dyDescent="0.3">
      <c r="B266" s="16" t="s">
        <v>39</v>
      </c>
      <c r="C266" s="18">
        <f>SQRT((C269+C270)/(C263*C263))</f>
        <v>0</v>
      </c>
      <c r="D266" s="18">
        <f>SQRT((D269+D270)/(D263*D263))</f>
        <v>8.2393300091349051</v>
      </c>
      <c r="E266" s="18">
        <f>SQRT((E269+E270)/(E263*E263))</f>
        <v>0.25067678669111537</v>
      </c>
      <c r="F266" s="18">
        <f>SQRT((F269+F270)/(F263*F263))</f>
        <v>0.41780224637628921</v>
      </c>
      <c r="G266" s="18">
        <f>SQRT((G269+G270)/(G263*G263))</f>
        <v>2.7502555724486624</v>
      </c>
      <c r="H266" s="1"/>
    </row>
    <row r="267" spans="1:41" x14ac:dyDescent="0.3">
      <c r="B267" s="1" t="s">
        <v>37</v>
      </c>
      <c r="C267" s="18">
        <f>100-C265</f>
        <v>0</v>
      </c>
      <c r="D267" s="18">
        <f>100-D265</f>
        <v>14.858295345420615</v>
      </c>
      <c r="E267" s="18">
        <f>100-E265</f>
        <v>0.74105795895788162</v>
      </c>
      <c r="F267" s="18">
        <f>100-F265</f>
        <v>1.4796296754905711</v>
      </c>
      <c r="G267" s="18">
        <f>100-G265</f>
        <v>8.9332289143311243</v>
      </c>
      <c r="AM267" s="78"/>
      <c r="AN267" s="78"/>
      <c r="AO267" s="78"/>
    </row>
    <row r="268" spans="1:41" ht="15.6" x14ac:dyDescent="0.35">
      <c r="B268" s="1" t="s">
        <v>25</v>
      </c>
      <c r="C268" s="1">
        <f>C252</f>
        <v>339</v>
      </c>
      <c r="D268" s="1">
        <f>D252</f>
        <v>62</v>
      </c>
      <c r="E268" s="1">
        <f>E252</f>
        <v>745</v>
      </c>
      <c r="F268" s="1">
        <f>F252</f>
        <v>671</v>
      </c>
      <c r="G268" s="1">
        <f>G252</f>
        <v>971</v>
      </c>
    </row>
    <row r="269" spans="1:41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23.882561363323539</v>
      </c>
      <c r="E269" s="18">
        <f>(O260*O260*(100-E265)*(100-E265)*(I260)*(100-I260))/((L260-1)*100)</f>
        <v>0.77408231101926384</v>
      </c>
      <c r="F269" s="18">
        <f>(O261*O261*(100-F265)*(100-F265)*(I261)*(100-I261))/((L261-1)*100)</f>
        <v>13.105676956770159</v>
      </c>
      <c r="G269" s="18">
        <f>(O262*O262*(100-G265)*(100-G265)*(I262)*(100-I262))/((L262-1)*100)</f>
        <v>11.184731022316919</v>
      </c>
      <c r="AM269" s="78"/>
      <c r="AN269" s="78"/>
      <c r="AO269" s="78"/>
    </row>
    <row r="270" spans="1:41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51.287680521041651</v>
      </c>
      <c r="E270" s="18">
        <f>E265*E265*(SUM((H258*E258*(1-E247/H247))/(H247-1),(H259*E259*(1-E248/H248))/(H248-1), (H261*E261*(1-E250/H250))/(H250-1),(H262*E262*(1-E251/H251))/(H251-1)))</f>
        <v>242.3941867404404</v>
      </c>
      <c r="F270" s="18">
        <f>F265*F265*(SUM((H258*F258*(1-F247/H247))/(H247-1),(H259*F259*(1-F248/H248))/(H248-1), (H260*F260*(1-F249/H249))/(H249-1),(H262*F262*(1-F251/H251))/(H251-1)))</f>
        <v>151.38726520829906</v>
      </c>
      <c r="G270" s="18">
        <f>G265*G265*(SUM((H258*G258*(1-G247/H247))/(H247-1),(H259*G259*(1-G248/H248))/(H248-1), (H260*G260*(1-G249/H249))/(H249-1),(H261*G261*(1-G250/H250))/(H250-1)))</f>
        <v>252.55319991855487</v>
      </c>
    </row>
    <row r="271" spans="1:41" x14ac:dyDescent="0.3">
      <c r="AM271" s="78"/>
      <c r="AN271" s="78"/>
      <c r="AO271" s="78"/>
    </row>
    <row r="272" spans="1:41" x14ac:dyDescent="0.3">
      <c r="T272" s="2"/>
    </row>
    <row r="273" spans="1:41" x14ac:dyDescent="0.3">
      <c r="A273" s="348" t="s">
        <v>382</v>
      </c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 t="s">
        <v>82</v>
      </c>
      <c r="M273" s="348"/>
      <c r="N273" s="348"/>
      <c r="O273" s="348"/>
      <c r="P273" s="348"/>
      <c r="AM273" s="78"/>
      <c r="AN273" s="78"/>
      <c r="AO273" s="78"/>
    </row>
    <row r="274" spans="1:41" ht="15" thickBot="1" x14ac:dyDescent="0.35">
      <c r="A274" t="s">
        <v>315</v>
      </c>
      <c r="B274" t="s">
        <v>21</v>
      </c>
      <c r="I274" s="1" t="s">
        <v>53</v>
      </c>
      <c r="O274" s="142"/>
      <c r="P274" s="142"/>
      <c r="R274" s="59" t="s">
        <v>73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72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51</v>
      </c>
      <c r="O275" s="13"/>
      <c r="P275" s="13"/>
      <c r="S275" t="s">
        <v>28</v>
      </c>
      <c r="T275" s="57">
        <f t="shared" ref="T275:X276" si="39">AVERAGE(T16,T26,T36,T46,T56)</f>
        <v>0.15058392175963786</v>
      </c>
      <c r="U275" s="57">
        <f t="shared" si="39"/>
        <v>1.1709478904273121</v>
      </c>
      <c r="V275" s="57">
        <f t="shared" si="39"/>
        <v>62.001064209957846</v>
      </c>
      <c r="W275" s="57">
        <f t="shared" si="39"/>
        <v>30.74873685387313</v>
      </c>
      <c r="X275" s="57">
        <f t="shared" si="39"/>
        <v>5.9286671239820814</v>
      </c>
      <c r="Z275" s="14">
        <f>AVERAGE(AE16,AE17,AE18,AE19,AE20)</f>
        <v>0.98594466967580596</v>
      </c>
      <c r="AA275" s="72">
        <f>AVERAGE(AF16,AF17,AF18,AF19,AF20)</f>
        <v>2.6464207509883917E-3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360</v>
      </c>
      <c r="D276" s="3">
        <v>0</v>
      </c>
      <c r="E276" s="3">
        <v>0</v>
      </c>
      <c r="F276" s="3">
        <v>91</v>
      </c>
      <c r="G276" s="4">
        <v>0</v>
      </c>
      <c r="H276" s="1">
        <f>SUM(C276:G276)</f>
        <v>451</v>
      </c>
      <c r="I276" s="10">
        <f>C276/H276</f>
        <v>0.79822616407982261</v>
      </c>
      <c r="J276" s="11">
        <f>1-I276</f>
        <v>0.20177383592017739</v>
      </c>
      <c r="K276">
        <f>H276-C281</f>
        <v>91</v>
      </c>
      <c r="N276" s="10">
        <f>2*(C282*I276)/(C282+I276)</f>
        <v>0.8877928483353883</v>
      </c>
      <c r="O276" s="1"/>
      <c r="P276" s="1"/>
      <c r="S276" t="s">
        <v>39</v>
      </c>
      <c r="T276" s="57">
        <f t="shared" si="39"/>
        <v>3.7310473048101588E-3</v>
      </c>
      <c r="U276" s="57">
        <f t="shared" si="39"/>
        <v>0.12147445288159678</v>
      </c>
      <c r="V276" s="57">
        <f t="shared" si="39"/>
        <v>0.19062354749717023</v>
      </c>
      <c r="W276" s="57">
        <f t="shared" si="39"/>
        <v>0.24440146279757094</v>
      </c>
      <c r="X276" s="57">
        <f t="shared" si="39"/>
        <v>0.17078274017670012</v>
      </c>
    </row>
    <row r="277" spans="1:41" x14ac:dyDescent="0.3">
      <c r="A277" t="s">
        <v>4</v>
      </c>
      <c r="B277" s="13">
        <v>1</v>
      </c>
      <c r="C277" s="5">
        <v>0</v>
      </c>
      <c r="D277" s="27">
        <v>53</v>
      </c>
      <c r="E277" s="1">
        <v>3</v>
      </c>
      <c r="F277" s="1">
        <v>1</v>
      </c>
      <c r="G277" s="6">
        <v>0</v>
      </c>
      <c r="H277" s="1">
        <f>SUM(C277:G277)</f>
        <v>57</v>
      </c>
      <c r="I277" s="10">
        <f>D277/H277</f>
        <v>0.92982456140350878</v>
      </c>
      <c r="J277" s="11">
        <f>1-I277</f>
        <v>7.0175438596491224E-2</v>
      </c>
      <c r="K277">
        <f>H277-D281</f>
        <v>1</v>
      </c>
      <c r="N277" s="10">
        <f>2*(D282*I277)/(D282+I277)</f>
        <v>0.93805309734513276</v>
      </c>
      <c r="O277" s="1"/>
      <c r="P277" s="1"/>
      <c r="S277" s="66" t="s">
        <v>60</v>
      </c>
      <c r="T277" s="67">
        <f>1.96*T276</f>
        <v>7.3128527174279112E-3</v>
      </c>
      <c r="U277" s="67">
        <f>1.96*U276</f>
        <v>0.23808992764792969</v>
      </c>
      <c r="V277" s="67">
        <f>1.96*V276</f>
        <v>0.37362215309445362</v>
      </c>
      <c r="W277" s="67">
        <f>1.96*W276</f>
        <v>0.47902686708323905</v>
      </c>
      <c r="X277" s="67">
        <f>1.96*X276</f>
        <v>0.33473417074633222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0</v>
      </c>
      <c r="E278" s="27">
        <v>736</v>
      </c>
      <c r="F278" s="1">
        <v>1</v>
      </c>
      <c r="G278" s="6">
        <v>0</v>
      </c>
      <c r="H278" s="1">
        <f>SUM(C278:G278)</f>
        <v>737</v>
      </c>
      <c r="I278" s="10">
        <f>E278/H278</f>
        <v>0.99864314789687925</v>
      </c>
      <c r="J278" s="11">
        <f>1-I278</f>
        <v>1.3568521031207537E-3</v>
      </c>
      <c r="K278">
        <f>H278-E281</f>
        <v>-9</v>
      </c>
      <c r="N278" s="10">
        <f>2*(E282*I278)/(E282+I278)</f>
        <v>0.99258260283209698</v>
      </c>
      <c r="O278" s="1"/>
      <c r="P278" s="1"/>
      <c r="S278" t="s">
        <v>30</v>
      </c>
      <c r="T278" s="57">
        <f t="shared" ref="T278:X279" si="40">AVERAGE(T18,T28,T38,T48,T58)</f>
        <v>100</v>
      </c>
      <c r="U278" s="57">
        <f t="shared" si="40"/>
        <v>82.820528455536305</v>
      </c>
      <c r="V278" s="57">
        <f t="shared" si="40"/>
        <v>99.597632188799977</v>
      </c>
      <c r="W278" s="57">
        <f t="shared" si="40"/>
        <v>98.495534879805803</v>
      </c>
      <c r="X278" s="57">
        <f t="shared" si="40"/>
        <v>91.768047475888423</v>
      </c>
    </row>
    <row r="279" spans="1:41" x14ac:dyDescent="0.3">
      <c r="A279" t="s">
        <v>6</v>
      </c>
      <c r="B279" s="13">
        <v>3</v>
      </c>
      <c r="C279" s="5">
        <v>0</v>
      </c>
      <c r="D279" s="1">
        <v>3</v>
      </c>
      <c r="E279" s="1">
        <v>7</v>
      </c>
      <c r="F279" s="27">
        <v>517</v>
      </c>
      <c r="G279" s="6">
        <v>7</v>
      </c>
      <c r="H279" s="1">
        <f>SUM(C279:G279)</f>
        <v>534</v>
      </c>
      <c r="I279" s="10">
        <f>F279/H279</f>
        <v>0.96816479400749067</v>
      </c>
      <c r="J279" s="11">
        <f>1-I279</f>
        <v>3.183520599250933E-2</v>
      </c>
      <c r="K279">
        <f>H279-F281</f>
        <v>-115</v>
      </c>
      <c r="N279" s="10">
        <f>2*(F282*I279)/(F282+I279)</f>
        <v>0.87404902789518168</v>
      </c>
      <c r="O279" s="1"/>
      <c r="P279" s="1"/>
      <c r="S279" t="s">
        <v>39</v>
      </c>
      <c r="T279" s="57">
        <f t="shared" si="40"/>
        <v>0</v>
      </c>
      <c r="U279" s="57">
        <f t="shared" si="40"/>
        <v>9.3180759584735746</v>
      </c>
      <c r="V279" s="57">
        <f t="shared" si="40"/>
        <v>0.18120595932009489</v>
      </c>
      <c r="W279" s="57">
        <f t="shared" si="40"/>
        <v>0.4135752408039739</v>
      </c>
      <c r="X279" s="57">
        <f t="shared" si="40"/>
        <v>2.6297685684445145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0</v>
      </c>
      <c r="E280" s="8">
        <v>0</v>
      </c>
      <c r="F280" s="8">
        <v>39</v>
      </c>
      <c r="G280" s="28">
        <v>970</v>
      </c>
      <c r="H280" s="1">
        <f>SUM(C280:G280)</f>
        <v>1009</v>
      </c>
      <c r="I280" s="10">
        <f>G280/H280</f>
        <v>0.96134786917740334</v>
      </c>
      <c r="J280" s="11">
        <f>1-I280</f>
        <v>3.8652130822596664E-2</v>
      </c>
      <c r="K280">
        <f>H280-G281</f>
        <v>32</v>
      </c>
      <c r="N280" s="10">
        <f>2*(G282*I280)/(G282+I280)</f>
        <v>0.97683786505538772</v>
      </c>
      <c r="O280" s="1"/>
      <c r="P280" s="1"/>
      <c r="S280" s="66" t="s">
        <v>60</v>
      </c>
      <c r="T280" s="67">
        <f>1.96*T279</f>
        <v>0</v>
      </c>
      <c r="U280" s="67">
        <f>1.96*U279</f>
        <v>18.263428878608206</v>
      </c>
      <c r="V280" s="67">
        <f>1.96*V279</f>
        <v>0.35516368026738598</v>
      </c>
      <c r="W280" s="67">
        <f>1.96*W279</f>
        <v>0.81060747197578886</v>
      </c>
      <c r="X280" s="67">
        <f>1.96*X279</f>
        <v>5.154346394151248</v>
      </c>
    </row>
    <row r="281" spans="1:41" ht="15.6" x14ac:dyDescent="0.35">
      <c r="B281" s="1" t="s">
        <v>19</v>
      </c>
      <c r="C281" s="1">
        <f>SUM(C276:C280)</f>
        <v>360</v>
      </c>
      <c r="D281" s="1">
        <f>SUM(D276:D280)</f>
        <v>56</v>
      </c>
      <c r="E281" s="1">
        <f>SUM(E276:E280)</f>
        <v>746</v>
      </c>
      <c r="F281" s="1">
        <f>SUM(F276:F280)</f>
        <v>649</v>
      </c>
      <c r="G281" s="1">
        <f>SUM(G276:G280)</f>
        <v>977</v>
      </c>
      <c r="H281" s="1">
        <f>SUM(H275:H280)</f>
        <v>2788</v>
      </c>
      <c r="I281" s="13" t="s">
        <v>12</v>
      </c>
      <c r="N281" s="16"/>
      <c r="O281" s="1"/>
      <c r="P281" s="1"/>
      <c r="S281" t="s">
        <v>31</v>
      </c>
      <c r="T281" s="57">
        <f t="shared" ref="T281:X282" si="41">AVERAGE(T20,T30,T40,T50,T60)</f>
        <v>73.481152993348132</v>
      </c>
      <c r="U281" s="57">
        <f t="shared" si="41"/>
        <v>95.438596491228068</v>
      </c>
      <c r="V281" s="57">
        <f t="shared" si="41"/>
        <v>99.538670284938945</v>
      </c>
      <c r="W281" s="57">
        <f t="shared" si="41"/>
        <v>97.490636704119851</v>
      </c>
      <c r="X281" s="57">
        <f t="shared" si="41"/>
        <v>95.718533201189274</v>
      </c>
      <c r="AM281" s="78"/>
      <c r="AN281" s="78"/>
      <c r="AO281" s="78"/>
    </row>
    <row r="282" spans="1:41" x14ac:dyDescent="0.3">
      <c r="A282" s="1" t="s">
        <v>316</v>
      </c>
      <c r="B282" s="1" t="s">
        <v>2</v>
      </c>
      <c r="C282" s="10">
        <f>C276/C281</f>
        <v>1</v>
      </c>
      <c r="D282" s="10">
        <f>D277/D281</f>
        <v>0.9464285714285714</v>
      </c>
      <c r="E282" s="10">
        <f>E278/E281</f>
        <v>0.98659517426273458</v>
      </c>
      <c r="F282" s="10">
        <f>F279/F281</f>
        <v>0.79661016949152541</v>
      </c>
      <c r="G282" s="10">
        <f>G280/G281</f>
        <v>0.99283520982599793</v>
      </c>
      <c r="H282" s="10"/>
      <c r="I282" s="14">
        <f>(C276+D277+E278+F279+G280)/H281</f>
        <v>0.94548063127690096</v>
      </c>
      <c r="S282" t="s">
        <v>39</v>
      </c>
      <c r="T282" s="57">
        <f t="shared" si="41"/>
        <v>1.8880081737526198</v>
      </c>
      <c r="U282" s="57">
        <f t="shared" si="41"/>
        <v>2.6872381403076497</v>
      </c>
      <c r="V282" s="57">
        <f t="shared" si="41"/>
        <v>0.24778039681060093</v>
      </c>
      <c r="W282" s="57">
        <f t="shared" si="41"/>
        <v>0.67657795867699344</v>
      </c>
      <c r="X282" s="57">
        <f t="shared" si="41"/>
        <v>0.63746543372285025</v>
      </c>
    </row>
    <row r="283" spans="1:41" x14ac:dyDescent="0.3">
      <c r="B283" s="1" t="s">
        <v>14</v>
      </c>
      <c r="C283" s="11">
        <f>1-C282</f>
        <v>0</v>
      </c>
      <c r="D283" s="11">
        <f>1-D282</f>
        <v>5.3571428571428603E-2</v>
      </c>
      <c r="E283" s="11">
        <f>1-E282</f>
        <v>1.3404825737265424E-2</v>
      </c>
      <c r="F283" s="11">
        <f>1-F282</f>
        <v>0.20338983050847459</v>
      </c>
      <c r="G283" s="11">
        <f>1-G282</f>
        <v>7.164790174002067E-3</v>
      </c>
      <c r="S283" s="66" t="s">
        <v>60</v>
      </c>
      <c r="T283" s="67">
        <f>1.96*T282</f>
        <v>3.7004960205551347</v>
      </c>
      <c r="U283" s="67">
        <f>1.96*U282</f>
        <v>5.2669867550029936</v>
      </c>
      <c r="V283" s="67">
        <f>1.96*V282</f>
        <v>0.48564957774877782</v>
      </c>
      <c r="W283" s="67">
        <f>1.96*W282</f>
        <v>1.3260927990069071</v>
      </c>
      <c r="X283" s="67">
        <f>1.96*X282</f>
        <v>1.2494322500967865</v>
      </c>
      <c r="AM283" s="78"/>
      <c r="AN283" s="78"/>
      <c r="AO283" s="78"/>
    </row>
    <row r="284" spans="1:41" x14ac:dyDescent="0.3">
      <c r="C284" s="2"/>
      <c r="S284" t="s">
        <v>51</v>
      </c>
      <c r="T284" s="57">
        <f>AVERAGE(T22,T32,T42,T52,T62)</f>
        <v>83.364818350733444</v>
      </c>
      <c r="U284" s="57">
        <f>AVERAGE(U22,U32,U42,U52,U62)</f>
        <v>94.44192561832331</v>
      </c>
      <c r="V284" s="57">
        <f>AVERAGE(V22,V32,V42,V52,V62)</f>
        <v>99.323134803480499</v>
      </c>
      <c r="W284" s="57">
        <f>AVERAGE(W22,W32,W42,W52,W62)</f>
        <v>85.824821829271301</v>
      </c>
      <c r="X284" s="57">
        <f>AVERAGE(X22,X32,X42,X52,X62)</f>
        <v>97.398090507373226</v>
      </c>
    </row>
    <row r="285" spans="1:41" ht="15.6" x14ac:dyDescent="0.35">
      <c r="A285" t="s">
        <v>317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15.0083544508404</v>
      </c>
      <c r="U285" s="57">
        <f>_xlfn.STDEV.S(U22,U32,U42,U52,U62)</f>
        <v>1.709007624265342</v>
      </c>
      <c r="V285" s="57">
        <f>_xlfn.STDEV.S(V22,V32,V42,V52,V62)</f>
        <v>0.1721566427809508</v>
      </c>
      <c r="W285" s="57">
        <f>_xlfn.STDEV.S(W22,W32,W42,W52,W62)</f>
        <v>5.9022728946959733</v>
      </c>
      <c r="X285" s="57">
        <f>_xlfn.STDEV.S(X22,X32,X42,X52,X62)</f>
        <v>7.8621286072753233E-2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60</v>
      </c>
      <c r="T286" s="67">
        <f>1.96*T285</f>
        <v>29.416374723647184</v>
      </c>
      <c r="U286" s="67">
        <f>1.96*U285</f>
        <v>3.3496549435600702</v>
      </c>
      <c r="V286" s="67">
        <f>1.96*V285</f>
        <v>0.33742701985066359</v>
      </c>
      <c r="W286" s="67">
        <f>1.96*W285</f>
        <v>11.568454873604107</v>
      </c>
      <c r="X286" s="67">
        <f>1.96*X285</f>
        <v>0.15409772070259634</v>
      </c>
    </row>
    <row r="287" spans="1:41" x14ac:dyDescent="0.3">
      <c r="A287" t="s">
        <v>3</v>
      </c>
      <c r="B287" s="13">
        <v>0</v>
      </c>
      <c r="C287" s="29">
        <f>(C276/$L287)*$O287</f>
        <v>0.16221530170280588</v>
      </c>
      <c r="D287" s="31">
        <f>(D276/$L287)*$O287</f>
        <v>0</v>
      </c>
      <c r="E287" s="31">
        <f>(E276/$L287)*$O287</f>
        <v>0</v>
      </c>
      <c r="F287" s="31">
        <f>(F276/$L287)*$O287</f>
        <v>4.100442348598704E-2</v>
      </c>
      <c r="G287" s="32">
        <f>(G276/$L287)*$O287</f>
        <v>0</v>
      </c>
      <c r="H287" s="17">
        <f>SUM(C287:G287)</f>
        <v>0.20321972518879292</v>
      </c>
      <c r="I287" s="17">
        <f>C287/H287*100</f>
        <v>79.822616407982267</v>
      </c>
      <c r="J287" s="17">
        <f>SQRT(I287*(100-I287)/(L287-1))</f>
        <v>1.8918606658715333</v>
      </c>
      <c r="K287" s="18">
        <f>100-I287</f>
        <v>20.177383592017733</v>
      </c>
      <c r="L287" s="1">
        <f>H276</f>
        <v>451</v>
      </c>
      <c r="M287">
        <v>0</v>
      </c>
      <c r="N287" s="1">
        <v>183.72</v>
      </c>
      <c r="O287" s="17">
        <f>N287/N292*100</f>
        <v>0.20321972518879292</v>
      </c>
      <c r="P287" s="52">
        <f>((O287*O287*(I287/100)*(K287/100))/(L287-1))</f>
        <v>1.4781210948731124E-5</v>
      </c>
      <c r="R287" s="16" t="s">
        <v>70</v>
      </c>
      <c r="S287" t="s">
        <v>9</v>
      </c>
      <c r="T287" s="57">
        <f>AVERAGE(T23,T33,T43,T53,T63)</f>
        <v>181.56</v>
      </c>
      <c r="U287" s="57">
        <f>AVERAGE(U23,U33,U43,U53,U63)</f>
        <v>915.38800000000015</v>
      </c>
      <c r="V287" s="57">
        <f>AVERAGE(V23,V33,V43,V53,V63)</f>
        <v>56084.906000000003</v>
      </c>
      <c r="W287" s="57">
        <f>AVERAGE(W23,W33,W43,W53,W63)</f>
        <v>28084.977999999996</v>
      </c>
      <c r="X287" s="57">
        <f>AVERAGE(X23,X33,X43,X53,X63)</f>
        <v>5137.7740000000003</v>
      </c>
      <c r="Z287" t="s">
        <v>36</v>
      </c>
      <c r="AA287" s="57">
        <f>AVERAGE(AA23,AA33,AA43,AA53,AA63)</f>
        <v>90404.606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42">(C277/$L288)*$O288</f>
        <v>0</v>
      </c>
      <c r="D288" s="34">
        <f t="shared" si="42"/>
        <v>1.0084173688417928</v>
      </c>
      <c r="E288" s="19">
        <f t="shared" si="42"/>
        <v>5.7080228425007137E-2</v>
      </c>
      <c r="F288" s="18">
        <f t="shared" si="42"/>
        <v>1.9026742808335714E-2</v>
      </c>
      <c r="G288" s="20">
        <f t="shared" si="42"/>
        <v>0</v>
      </c>
      <c r="H288" s="17">
        <f>SUM(C288:G288)</f>
        <v>1.0845243400751357</v>
      </c>
      <c r="I288" s="17">
        <f>D288/H288*100</f>
        <v>92.982456140350877</v>
      </c>
      <c r="J288" s="17">
        <f>SQRT(I288*(100-I288)/(L288-1))</f>
        <v>3.4134933513474275</v>
      </c>
      <c r="K288" s="18">
        <f>100-I288</f>
        <v>7.0175438596491233</v>
      </c>
      <c r="L288" s="1">
        <f>H277</f>
        <v>57</v>
      </c>
      <c r="M288">
        <v>1</v>
      </c>
      <c r="N288" s="1">
        <v>980.46</v>
      </c>
      <c r="O288" s="17">
        <f>N288/N292*100</f>
        <v>1.0845243400751357</v>
      </c>
      <c r="P288" s="52">
        <f>((O288*O288*(I288/100)*(K288/100))/(L288-1))</f>
        <v>1.3704927086008148E-3</v>
      </c>
      <c r="S288" t="s">
        <v>29</v>
      </c>
      <c r="T288" s="57">
        <f>_xlfn.STDEV.S(T23,T33,T43,T53,T63)</f>
        <v>20.188307259401427</v>
      </c>
      <c r="U288" s="57">
        <f>_xlfn.STDEV.S(U23,U33,U43,U53,U63)</f>
        <v>37.160093783519969</v>
      </c>
      <c r="V288" s="57">
        <f>_xlfn.STDEV.S(V23,V33,V43,V53,V63)</f>
        <v>181.11817435034092</v>
      </c>
      <c r="W288" s="57">
        <f>_xlfn.STDEV.S(W23,W33,W43,W53,W63)</f>
        <v>176.2932175950061</v>
      </c>
      <c r="X288" s="57">
        <f>_xlfn.STDEV.S(X23,X33,X43,X53,X63)</f>
        <v>9.8466024597319546</v>
      </c>
      <c r="Z288" t="s">
        <v>29</v>
      </c>
      <c r="AA288" s="57">
        <f>_xlfn.STDEV.S(AA23,AA33,AA43,AA53,AA63)</f>
        <v>5.4772255721823133E-3</v>
      </c>
    </row>
    <row r="289" spans="1:41" x14ac:dyDescent="0.3">
      <c r="A289" t="s">
        <v>5</v>
      </c>
      <c r="B289" s="13">
        <v>2</v>
      </c>
      <c r="C289" s="33">
        <f t="shared" si="42"/>
        <v>0</v>
      </c>
      <c r="D289" s="19">
        <f t="shared" si="42"/>
        <v>0</v>
      </c>
      <c r="E289" s="34">
        <f t="shared" si="42"/>
        <v>61.96405039566794</v>
      </c>
      <c r="F289" s="19">
        <f t="shared" si="42"/>
        <v>8.4190285863679257E-2</v>
      </c>
      <c r="G289" s="20">
        <f t="shared" si="42"/>
        <v>0</v>
      </c>
      <c r="H289" s="17">
        <f>SUM(C289:G289)</f>
        <v>62.048240681531617</v>
      </c>
      <c r="I289" s="17">
        <f>E289/H289*100</f>
        <v>99.864314789687924</v>
      </c>
      <c r="J289" s="17">
        <f>SQRT(I289*(100-I289)/(L289-1))</f>
        <v>0.13568521031207589</v>
      </c>
      <c r="K289" s="18">
        <f>100-I289</f>
        <v>0.13568521031207581</v>
      </c>
      <c r="L289" s="1">
        <f>H278</f>
        <v>737</v>
      </c>
      <c r="M289">
        <v>2</v>
      </c>
      <c r="N289" s="1">
        <v>56094.47</v>
      </c>
      <c r="O289" s="17">
        <f>N289/N292*100</f>
        <v>62.048240681531617</v>
      </c>
      <c r="P289" s="52">
        <f>((O289*O289*(I289/100)*(K289/100))/(L289-1))</f>
        <v>7.0880042338080226E-3</v>
      </c>
      <c r="S289" t="s">
        <v>60</v>
      </c>
      <c r="T289" s="57">
        <f>1.96*T288</f>
        <v>39.569082228426794</v>
      </c>
      <c r="U289" s="57">
        <f>1.96*U288</f>
        <v>72.833783815699135</v>
      </c>
      <c r="V289" s="57">
        <f>1.96*V288</f>
        <v>354.9916217266682</v>
      </c>
      <c r="W289" s="57">
        <f>1.96*W288</f>
        <v>345.53470648621197</v>
      </c>
      <c r="X289" s="57">
        <f>1.96*X288</f>
        <v>19.29934082107463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42"/>
        <v>0</v>
      </c>
      <c r="D290" s="19">
        <f t="shared" si="42"/>
        <v>0.17402910877957628</v>
      </c>
      <c r="E290" s="19">
        <f t="shared" si="42"/>
        <v>0.40606792048567802</v>
      </c>
      <c r="F290" s="34">
        <f t="shared" si="42"/>
        <v>29.991016413013647</v>
      </c>
      <c r="G290" s="20">
        <f t="shared" si="42"/>
        <v>0.40606792048567802</v>
      </c>
      <c r="H290" s="17">
        <f>SUM(C290:G290)</f>
        <v>30.977181362764579</v>
      </c>
      <c r="I290" s="17">
        <f>F290/H290*100</f>
        <v>96.816479400749074</v>
      </c>
      <c r="J290" s="17">
        <f>SQRT(I290*(100-I290)/(L290-1))</f>
        <v>0.76043985558181637</v>
      </c>
      <c r="K290" s="18">
        <f>100-I290</f>
        <v>3.1835205992509259</v>
      </c>
      <c r="L290" s="1">
        <f>H279</f>
        <v>534</v>
      </c>
      <c r="M290">
        <v>3</v>
      </c>
      <c r="N290" s="1">
        <v>28004.799999999999</v>
      </c>
      <c r="O290" s="17">
        <f>N290/N292*100</f>
        <v>30.977181362764579</v>
      </c>
      <c r="P290" s="52">
        <f>((O290*O290*(I290/100)*(K290/100))/(L290-1))</f>
        <v>5.5489848393844084E-2</v>
      </c>
      <c r="R290" s="16" t="s">
        <v>69</v>
      </c>
      <c r="S290" t="s">
        <v>9</v>
      </c>
      <c r="T290" s="57">
        <f>AVERAGE(T24,T34,T44,T54,T64)</f>
        <v>136.13480266075391</v>
      </c>
      <c r="U290" s="57">
        <f>AVERAGE(U24,U34,U44,U54,U64)</f>
        <v>1058.5908234042531</v>
      </c>
      <c r="V290" s="57">
        <f>AVERAGE(V24,V34,V44,V54,V64)</f>
        <v>56051.817817131523</v>
      </c>
      <c r="W290" s="57">
        <f>AVERAGE(W24,W34,W44,W54,W64)</f>
        <v>27798.274403872732</v>
      </c>
      <c r="X290" s="57">
        <f>AVERAGE(X24,X34,X44,X54,X64)</f>
        <v>5359.7881529307397</v>
      </c>
      <c r="Z290" t="s">
        <v>36</v>
      </c>
      <c r="AA290" s="24">
        <f>SUM(T290:X290)</f>
        <v>90404.606</v>
      </c>
    </row>
    <row r="291" spans="1:41" x14ac:dyDescent="0.3">
      <c r="A291" t="s">
        <v>7</v>
      </c>
      <c r="B291" s="13">
        <v>4</v>
      </c>
      <c r="C291" s="35">
        <f t="shared" si="42"/>
        <v>0</v>
      </c>
      <c r="D291" s="36">
        <f t="shared" si="42"/>
        <v>0</v>
      </c>
      <c r="E291" s="21">
        <f t="shared" si="42"/>
        <v>0</v>
      </c>
      <c r="F291" s="21">
        <f t="shared" si="42"/>
        <v>0.21980824749965835</v>
      </c>
      <c r="G291" s="37">
        <f t="shared" si="42"/>
        <v>5.4670256429402206</v>
      </c>
      <c r="H291" s="17">
        <f>SUM(C291:G291)</f>
        <v>5.6868338904398792</v>
      </c>
      <c r="I291" s="17">
        <f>G291/H291*100</f>
        <v>96.134786917740328</v>
      </c>
      <c r="J291" s="17">
        <f>SQRT(I291*(100-I291)/(L291-1))</f>
        <v>0.60715103313622776</v>
      </c>
      <c r="K291" s="18">
        <f>100-I291</f>
        <v>3.8652130822596718</v>
      </c>
      <c r="L291" s="1">
        <f>H280</f>
        <v>1009</v>
      </c>
      <c r="M291">
        <v>4</v>
      </c>
      <c r="N291" s="1">
        <v>5141.16</v>
      </c>
      <c r="O291" s="17">
        <f>N291/N292*100</f>
        <v>5.6868338904398792</v>
      </c>
      <c r="P291" s="52">
        <f>((O291*O291*(I291/100)*(K291/100))/(L291-1))</f>
        <v>1.1921600452483984E-3</v>
      </c>
      <c r="S291" t="s">
        <v>29</v>
      </c>
      <c r="T291" s="57">
        <f>_xlfn.STDEV.S(T24,T34,T44,T54,T64)</f>
        <v>46.69016147365361</v>
      </c>
      <c r="U291" s="57">
        <f>_xlfn.STDEV.S(U24,U34,U44,U54,U64)</f>
        <v>86.141214297686915</v>
      </c>
      <c r="V291" s="57">
        <f>_xlfn.STDEV.S(V24,V34,V44,V54,V64)</f>
        <v>226.08251360608861</v>
      </c>
      <c r="W291" s="57">
        <f>_xlfn.STDEV.S(W24,W34,W44,W54,W64)</f>
        <v>156.20374522357275</v>
      </c>
      <c r="X291" s="57">
        <f>_xlfn.STDEV.S(X24,X34,X44,X54,X64)</f>
        <v>79.72841317673921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0.16221530170280588</v>
      </c>
      <c r="D292" s="17">
        <f>SUM(D287:D291)</f>
        <v>1.182446477621369</v>
      </c>
      <c r="E292" s="17">
        <f>SUM(E287:E291)</f>
        <v>62.427198544578623</v>
      </c>
      <c r="F292" s="17">
        <f>SUM(F287:F291)</f>
        <v>30.355046112671307</v>
      </c>
      <c r="G292" s="17">
        <f>SUM(G287:G291)</f>
        <v>5.8730935634258987</v>
      </c>
      <c r="H292" s="1">
        <f>SUM(H286:H291)</f>
        <v>100.00000000000001</v>
      </c>
      <c r="I292" s="13" t="s">
        <v>24</v>
      </c>
      <c r="J292" s="12" t="s">
        <v>29</v>
      </c>
      <c r="N292" s="1">
        <f>SUM(N287:N291)</f>
        <v>90404.61</v>
      </c>
      <c r="O292" s="17">
        <f>SUM(O287:O291)</f>
        <v>100.00000000000001</v>
      </c>
      <c r="S292" s="66" t="s">
        <v>60</v>
      </c>
      <c r="T292" s="67">
        <f>1.96*T291</f>
        <v>91.512716488361079</v>
      </c>
      <c r="U292" s="67">
        <f>1.96*U291</f>
        <v>168.83678002346636</v>
      </c>
      <c r="V292" s="67">
        <f>1.96*V291</f>
        <v>443.12172666793367</v>
      </c>
      <c r="W292" s="67">
        <f>1.96*W291</f>
        <v>306.15934063820259</v>
      </c>
      <c r="X292" s="67">
        <f>1.96*X291</f>
        <v>156.26768982640885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3.8403693370658251E-3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0.10670103222169634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0.17707165672465691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0.25303303026184104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0.15632681477560847</v>
      </c>
      <c r="H293" s="1"/>
      <c r="I293" s="56">
        <f>(C287+D288+E289+F290+G291)/H292</f>
        <v>0.9859272512216638</v>
      </c>
      <c r="J293" s="53">
        <f>SQRT(SUM(P287:P291))/100</f>
        <v>2.552553360704729E-3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100</v>
      </c>
      <c r="D294" s="17">
        <f>D288/D292*100</f>
        <v>85.282284477716374</v>
      </c>
      <c r="E294" s="17">
        <f>E289/E292*100</f>
        <v>99.258098777922967</v>
      </c>
      <c r="F294" s="17">
        <f>F290/F292*100</f>
        <v>98.800760511756565</v>
      </c>
      <c r="G294" s="17">
        <f>G291/G292*100</f>
        <v>93.085962004514528</v>
      </c>
      <c r="H294" s="1"/>
    </row>
    <row r="295" spans="1:41" x14ac:dyDescent="0.3">
      <c r="B295" s="16" t="s">
        <v>39</v>
      </c>
      <c r="C295" s="18">
        <f>SQRT((C298+C299)/(C292*C292))</f>
        <v>0</v>
      </c>
      <c r="D295" s="18">
        <f>SQRT((D298+D299)/(D292*D292))</f>
        <v>8.5760935891487389</v>
      </c>
      <c r="E295" s="18">
        <f>SQRT((E298+E299)/(E292*E292))</f>
        <v>0.2482489002672511</v>
      </c>
      <c r="F295" s="18">
        <f>SQRT((F298+F299)/(F292*F292))</f>
        <v>0.31681622503108248</v>
      </c>
      <c r="G295" s="18">
        <f>SQRT((G298+G299)/(G292*G292))</f>
        <v>2.4527633051867359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0</v>
      </c>
      <c r="D296" s="18">
        <f>100-D294</f>
        <v>14.717715522283626</v>
      </c>
      <c r="E296" s="18">
        <f>100-E294</f>
        <v>0.74190122207703268</v>
      </c>
      <c r="F296" s="18">
        <f>100-F294</f>
        <v>1.1992394882434354</v>
      </c>
      <c r="G296" s="18">
        <f>100-G294</f>
        <v>6.9140379954854723</v>
      </c>
    </row>
    <row r="297" spans="1:41" ht="15.6" x14ac:dyDescent="0.35">
      <c r="B297" s="1" t="s">
        <v>25</v>
      </c>
      <c r="C297" s="1">
        <f>C281</f>
        <v>360</v>
      </c>
      <c r="D297" s="1">
        <f>D281</f>
        <v>56</v>
      </c>
      <c r="E297" s="1">
        <f>E281</f>
        <v>746</v>
      </c>
      <c r="F297" s="1">
        <f>F281</f>
        <v>649</v>
      </c>
      <c r="G297" s="1">
        <f>G281</f>
        <v>977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29.686400194370304</v>
      </c>
      <c r="E298" s="18">
        <f>(O289*O289*(100-E294)*(100-E294)*(I289)*(100-I289))/((L289-1)*100)</f>
        <v>0.39013610268495708</v>
      </c>
      <c r="F298" s="18">
        <f>(O290*O290*(100-F294)*(100-F294)*(I290)*(100-I290))/((L290-1)*100)</f>
        <v>7.9804132144273927</v>
      </c>
      <c r="G298" s="18">
        <f>(O291*O291*(100-G294)*(100-G294)*(I291)*(100-I291))/((L291-1)*100)</f>
        <v>5.6989925102871348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73.148849589632874</v>
      </c>
      <c r="E299" s="18">
        <f>E294*E294*(SUM((H287*E287*(1-E276/H276))/(H276-1),(H288*E288*(1-E277/H277))/(H277-1), (H290*E290*(1-E279/H279))/(H279-1),(H291*E291*(1-E280/H280))/(H280-1)))</f>
        <v>239.78185517983022</v>
      </c>
      <c r="F299" s="18">
        <f>F294*F294*(SUM((H287*F287*(1-F276/H276))/(H276-1),(H288*F288*(1-F277/H277))/(H277-1), (H289*F289*(1-F278/H278))/(H278-1),(H291*F291*(1-F280/H280))/(H280-1)))</f>
        <v>84.505720309659154</v>
      </c>
      <c r="G299" s="18">
        <f>G294*G294*(SUM((H287*G287*(1-G276/H276))/(H276-1),(H288*G288*(1-G277/H277))/(H277-1), (H289*G289*(1-G278/H278))/(H278-1),(H290*G290*(1-G279/H279))/(H279-1)))</f>
        <v>201.81391702123847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48" t="s">
        <v>382</v>
      </c>
      <c r="B302" s="348"/>
      <c r="C302" s="348"/>
      <c r="D302" s="348"/>
      <c r="E302" s="348"/>
      <c r="F302" s="348"/>
      <c r="G302" s="348"/>
      <c r="H302" s="348"/>
      <c r="I302" s="348"/>
      <c r="J302" s="348"/>
      <c r="K302" s="348"/>
      <c r="L302" s="348" t="s">
        <v>83</v>
      </c>
      <c r="M302" s="348"/>
      <c r="N302" s="348"/>
      <c r="O302" s="348"/>
      <c r="P302" s="348"/>
    </row>
    <row r="303" spans="1:41" x14ac:dyDescent="0.3">
      <c r="A303" t="s">
        <v>315</v>
      </c>
      <c r="B303" t="s">
        <v>21</v>
      </c>
      <c r="I303" s="1" t="s">
        <v>53</v>
      </c>
      <c r="O303" s="142"/>
      <c r="P303" s="142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51</v>
      </c>
      <c r="O304" s="13"/>
      <c r="P304" s="13"/>
    </row>
    <row r="305" spans="1:41" x14ac:dyDescent="0.3">
      <c r="A305" t="s">
        <v>3</v>
      </c>
      <c r="B305" s="13">
        <v>0</v>
      </c>
      <c r="C305" s="26">
        <v>337</v>
      </c>
      <c r="D305" s="3">
        <v>0</v>
      </c>
      <c r="E305" s="3">
        <v>0</v>
      </c>
      <c r="F305" s="3">
        <v>114</v>
      </c>
      <c r="G305" s="4">
        <v>0</v>
      </c>
      <c r="H305" s="1">
        <f>SUM(C305:G305)</f>
        <v>451</v>
      </c>
      <c r="I305" s="10">
        <f>C305/H305</f>
        <v>0.74722838137472281</v>
      </c>
      <c r="J305" s="11">
        <f>1-I305</f>
        <v>0.25277161862527719</v>
      </c>
      <c r="K305">
        <f>H305-C310</f>
        <v>114</v>
      </c>
      <c r="N305" s="10">
        <f>2*(C311*I305)/(C311+I305)</f>
        <v>0.85532994923857875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56</v>
      </c>
      <c r="E306" s="1">
        <v>1</v>
      </c>
      <c r="F306" s="1">
        <v>0</v>
      </c>
      <c r="G306" s="6">
        <v>0</v>
      </c>
      <c r="H306" s="1">
        <f>SUM(C306:G306)</f>
        <v>57</v>
      </c>
      <c r="I306" s="10">
        <f>D306/H306</f>
        <v>0.98245614035087714</v>
      </c>
      <c r="J306" s="11">
        <f>1-I306</f>
        <v>1.7543859649122862E-2</v>
      </c>
      <c r="K306">
        <f>H306-D310</f>
        <v>-6</v>
      </c>
      <c r="N306" s="10">
        <f>2*(D311*I306)/(D311+I306)</f>
        <v>0.93333333333333335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1</v>
      </c>
      <c r="E307" s="27">
        <v>734</v>
      </c>
      <c r="F307" s="1">
        <v>2</v>
      </c>
      <c r="G307" s="6">
        <v>0</v>
      </c>
      <c r="H307" s="1">
        <f>SUM(C307:G307)</f>
        <v>737</v>
      </c>
      <c r="I307" s="10">
        <f>E307/H307</f>
        <v>0.99592944369063774</v>
      </c>
      <c r="J307" s="11">
        <f>1-I307</f>
        <v>4.070556309362261E-3</v>
      </c>
      <c r="K307">
        <f>H307-E310</f>
        <v>-2</v>
      </c>
      <c r="N307" s="10">
        <f>2*(E311*I307)/(E311+I307)</f>
        <v>0.99457994579945797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0</v>
      </c>
      <c r="D308" s="1">
        <v>0</v>
      </c>
      <c r="E308" s="1">
        <v>3</v>
      </c>
      <c r="F308" s="27">
        <v>524</v>
      </c>
      <c r="G308" s="6">
        <v>7</v>
      </c>
      <c r="H308" s="1">
        <f>SUM(C308:G308)</f>
        <v>534</v>
      </c>
      <c r="I308" s="10">
        <f>F308/H308</f>
        <v>0.98127340823970033</v>
      </c>
      <c r="J308" s="11">
        <f>1-I308</f>
        <v>1.8726591760299671E-2</v>
      </c>
      <c r="K308">
        <f>H308-F310</f>
        <v>-132</v>
      </c>
      <c r="N308" s="10">
        <f>2*(F311*I308)/(F311+I308)</f>
        <v>0.87333333333333341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6</v>
      </c>
      <c r="E309" s="8">
        <v>1</v>
      </c>
      <c r="F309" s="8">
        <v>26</v>
      </c>
      <c r="G309" s="28">
        <v>976</v>
      </c>
      <c r="H309" s="1">
        <f>SUM(C309:G309)</f>
        <v>1009</v>
      </c>
      <c r="I309" s="10">
        <f>G309/H309</f>
        <v>0.96729435084241822</v>
      </c>
      <c r="J309" s="11">
        <f>1-I309</f>
        <v>3.2705649157581784E-2</v>
      </c>
      <c r="K309">
        <f>H309-G310</f>
        <v>26</v>
      </c>
      <c r="N309" s="10">
        <f>2*(G311*I309)/(G311+I309)</f>
        <v>0.97991967871485941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337</v>
      </c>
      <c r="D310" s="1">
        <f>SUM(D305:D309)</f>
        <v>63</v>
      </c>
      <c r="E310" s="1">
        <f>SUM(E305:E309)</f>
        <v>739</v>
      </c>
      <c r="F310" s="1">
        <f>SUM(F305:F309)</f>
        <v>666</v>
      </c>
      <c r="G310" s="1">
        <f>SUM(G305:G309)</f>
        <v>983</v>
      </c>
      <c r="H310" s="1">
        <f>SUM(H304:H309)</f>
        <v>2788</v>
      </c>
      <c r="I310" s="13" t="s">
        <v>12</v>
      </c>
      <c r="N310" s="16" t="s">
        <v>36</v>
      </c>
      <c r="O310" s="1"/>
      <c r="P310" s="1"/>
    </row>
    <row r="311" spans="1:41" x14ac:dyDescent="0.3">
      <c r="A311" s="1" t="s">
        <v>316</v>
      </c>
      <c r="B311" s="1" t="s">
        <v>2</v>
      </c>
      <c r="C311" s="10">
        <f>C305/C310</f>
        <v>1</v>
      </c>
      <c r="D311" s="10">
        <f>D306/D310</f>
        <v>0.88888888888888884</v>
      </c>
      <c r="E311" s="10">
        <f>E307/E310</f>
        <v>0.99323410013531799</v>
      </c>
      <c r="F311" s="10">
        <f>F308/F310</f>
        <v>0.78678678678678682</v>
      </c>
      <c r="G311" s="10">
        <f>G309/G310</f>
        <v>0.99287894201424209</v>
      </c>
      <c r="H311" s="10"/>
      <c r="I311" s="14">
        <f>(C305+D306+E307+F308+G309)/H310</f>
        <v>0.94225251076040173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0</v>
      </c>
      <c r="D312" s="11">
        <f>1-D311</f>
        <v>0.11111111111111116</v>
      </c>
      <c r="E312" s="11">
        <f>1-E311</f>
        <v>6.7658998646820123E-3</v>
      </c>
      <c r="F312" s="11">
        <f>1-F311</f>
        <v>0.21321321321321318</v>
      </c>
      <c r="G312" s="11">
        <f>1-G311</f>
        <v>7.1210579857579059E-3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317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0.14567732418183907</v>
      </c>
      <c r="D316" s="31">
        <f>(D305/$L316)*$O316</f>
        <v>0</v>
      </c>
      <c r="E316" s="31">
        <f>(E305/$L316)*$O316</f>
        <v>0</v>
      </c>
      <c r="F316" s="31">
        <f>(F305/$L316)*$O316</f>
        <v>4.9279569604539025E-2</v>
      </c>
      <c r="G316" s="32">
        <f>(G305/$L316)*$O316</f>
        <v>0</v>
      </c>
      <c r="H316" s="17">
        <f>SUM(C316:G316)</f>
        <v>0.19495689378637809</v>
      </c>
      <c r="I316" s="17">
        <f>C316/H316*100</f>
        <v>74.722838137472294</v>
      </c>
      <c r="J316" s="17">
        <f>SQRT(I316*(100-I316)/(L316-1))</f>
        <v>2.0487292942094326</v>
      </c>
      <c r="K316" s="18">
        <f>100-I316</f>
        <v>25.277161862527706</v>
      </c>
      <c r="L316" s="1">
        <f>H305</f>
        <v>451</v>
      </c>
      <c r="M316">
        <v>0</v>
      </c>
      <c r="N316" s="1">
        <v>176.25</v>
      </c>
      <c r="O316" s="17">
        <f>N316/N321*100</f>
        <v>0.19495689378637809</v>
      </c>
      <c r="P316" s="52">
        <f>((O316*O316*(I316/100)*(K316/100))/(L316-1))</f>
        <v>1.5953146304048742E-5</v>
      </c>
    </row>
    <row r="317" spans="1:41" x14ac:dyDescent="0.3">
      <c r="A317" t="s">
        <v>4</v>
      </c>
      <c r="B317" s="13">
        <v>1</v>
      </c>
      <c r="C317" s="33">
        <f t="shared" ref="C317:G320" si="43">(C306/$L317)*$O317</f>
        <v>0</v>
      </c>
      <c r="D317" s="34">
        <f t="shared" si="43"/>
        <v>0.93665471377387977</v>
      </c>
      <c r="E317" s="19">
        <f t="shared" si="43"/>
        <v>1.6725977031676425E-2</v>
      </c>
      <c r="F317" s="18">
        <f t="shared" si="43"/>
        <v>0</v>
      </c>
      <c r="G317" s="20">
        <f t="shared" si="43"/>
        <v>0</v>
      </c>
      <c r="H317" s="17">
        <f>SUM(C317:G317)</f>
        <v>0.95338069080555621</v>
      </c>
      <c r="I317" s="17">
        <f>D317/H317*100</f>
        <v>98.245614035087712</v>
      </c>
      <c r="J317" s="17">
        <f>SQRT(I317*(100-I317)/(L317-1))</f>
        <v>1.7543859649122842</v>
      </c>
      <c r="K317" s="18">
        <f>100-I317</f>
        <v>1.7543859649122879</v>
      </c>
      <c r="L317" s="1">
        <f>H306</f>
        <v>57</v>
      </c>
      <c r="M317">
        <v>1</v>
      </c>
      <c r="N317" s="1">
        <v>861.9</v>
      </c>
      <c r="O317" s="17">
        <f>N317/N321*100</f>
        <v>0.95338069080555621</v>
      </c>
      <c r="P317" s="52">
        <f>((O317*O317*(I317/100)*(K317/100))/(L317-1))</f>
        <v>2.7975830766416846E-4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43"/>
        <v>0</v>
      </c>
      <c r="D318" s="19">
        <f t="shared" si="43"/>
        <v>8.5080639035577457E-2</v>
      </c>
      <c r="E318" s="34">
        <f t="shared" si="43"/>
        <v>62.449189052113866</v>
      </c>
      <c r="F318" s="19">
        <f t="shared" si="43"/>
        <v>0.17016127807115491</v>
      </c>
      <c r="G318" s="20">
        <f t="shared" si="43"/>
        <v>0</v>
      </c>
      <c r="H318" s="17">
        <f>SUM(C318:G318)</f>
        <v>62.704430969220596</v>
      </c>
      <c r="I318" s="17">
        <f>E318/H318*100</f>
        <v>99.592944369063773</v>
      </c>
      <c r="J318" s="17">
        <f>SQRT(I318*(100-I318)/(L318-1))</f>
        <v>0.2346941488143626</v>
      </c>
      <c r="K318" s="18">
        <f>100-I318</f>
        <v>0.40705563093622743</v>
      </c>
      <c r="L318" s="1">
        <f>H307</f>
        <v>737</v>
      </c>
      <c r="M318">
        <v>2</v>
      </c>
      <c r="N318" s="1">
        <v>56687.69</v>
      </c>
      <c r="O318" s="17">
        <f>N318/N321*100</f>
        <v>62.704430969220596</v>
      </c>
      <c r="P318" s="52">
        <f>((O318*O318*(I318/100)*(K318/100))/(L318-1))</f>
        <v>2.1657134151388976E-2</v>
      </c>
    </row>
    <row r="319" spans="1:41" x14ac:dyDescent="0.3">
      <c r="A319" t="s">
        <v>6</v>
      </c>
      <c r="B319" s="13">
        <v>3</v>
      </c>
      <c r="C319" s="33">
        <f t="shared" si="43"/>
        <v>0</v>
      </c>
      <c r="D319" s="19">
        <f t="shared" si="43"/>
        <v>0</v>
      </c>
      <c r="E319" s="19">
        <f t="shared" si="43"/>
        <v>0.17100390163600851</v>
      </c>
      <c r="F319" s="34">
        <f t="shared" si="43"/>
        <v>29.868681485756156</v>
      </c>
      <c r="G319" s="20">
        <f t="shared" si="43"/>
        <v>0.39900910381735327</v>
      </c>
      <c r="H319" s="17">
        <f>SUM(C319:G319)</f>
        <v>30.438694491209517</v>
      </c>
      <c r="I319" s="17">
        <f>F319/H319*100</f>
        <v>98.12734082397003</v>
      </c>
      <c r="J319" s="17">
        <f>SQRT(I319*(100-I319)/(L319-1))</f>
        <v>0.58716584080058165</v>
      </c>
      <c r="K319" s="18">
        <f>100-I319</f>
        <v>1.8726591760299698</v>
      </c>
      <c r="L319" s="1">
        <f>H308</f>
        <v>534</v>
      </c>
      <c r="M319">
        <v>3</v>
      </c>
      <c r="N319" s="1">
        <v>27517.98</v>
      </c>
      <c r="O319" s="17">
        <f>N319/N321*100</f>
        <v>30.438694491209517</v>
      </c>
      <c r="P319" s="52">
        <f>((O319*O319*(I319/100)*(K319/100))/(L319-1))</f>
        <v>3.1942845971154057E-2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43"/>
        <v>0</v>
      </c>
      <c r="D320" s="36">
        <f t="shared" si="43"/>
        <v>3.3945710336836195E-2</v>
      </c>
      <c r="E320" s="21">
        <f t="shared" si="43"/>
        <v>5.6576183894726994E-3</v>
      </c>
      <c r="F320" s="21">
        <f t="shared" si="43"/>
        <v>0.14709807812629019</v>
      </c>
      <c r="G320" s="37">
        <f t="shared" si="43"/>
        <v>5.5218355481253552</v>
      </c>
      <c r="H320" s="17">
        <f>SUM(C320:G320)</f>
        <v>5.7085369549779541</v>
      </c>
      <c r="I320" s="17">
        <f>G320/H320*100</f>
        <v>96.729435084241828</v>
      </c>
      <c r="J320" s="17">
        <f>SQRT(I320*(100-I320)/(L320-1))</f>
        <v>0.56022237002516784</v>
      </c>
      <c r="K320" s="18">
        <f>100-I320</f>
        <v>3.2705649157581718</v>
      </c>
      <c r="L320" s="1">
        <f>H309</f>
        <v>1009</v>
      </c>
      <c r="M320">
        <v>4</v>
      </c>
      <c r="N320" s="1">
        <v>5160.78</v>
      </c>
      <c r="O320" s="17">
        <f>N320/N321*100</f>
        <v>5.7085369549779541</v>
      </c>
      <c r="P320" s="52">
        <f>((O320*O320*(I320/100)*(K320/100))/(L320-1))</f>
        <v>1.0227524456782688E-3</v>
      </c>
    </row>
    <row r="321" spans="1:41" x14ac:dyDescent="0.3">
      <c r="B321" t="s">
        <v>28</v>
      </c>
      <c r="C321" s="17">
        <f t="shared" ref="C321:H321" si="44">SUM(C316:C320)</f>
        <v>0.14567732418183907</v>
      </c>
      <c r="D321" s="17">
        <f t="shared" si="44"/>
        <v>1.0556810631462934</v>
      </c>
      <c r="E321" s="17">
        <f t="shared" si="44"/>
        <v>62.642576549171018</v>
      </c>
      <c r="F321" s="17">
        <f t="shared" si="44"/>
        <v>30.235220411558142</v>
      </c>
      <c r="G321" s="17">
        <f t="shared" si="44"/>
        <v>5.9208446519427085</v>
      </c>
      <c r="H321" s="18">
        <f t="shared" si="44"/>
        <v>100.00000000000001</v>
      </c>
      <c r="I321" s="13" t="s">
        <v>24</v>
      </c>
      <c r="J321" s="12" t="s">
        <v>29</v>
      </c>
      <c r="N321" s="1">
        <f>SUM(N316:N320)</f>
        <v>90404.6</v>
      </c>
      <c r="O321" s="17">
        <f>SUM(O316:O320)</f>
        <v>100.00000000000001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3.9897084447496015E-3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8.7719173400761866E-2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0.17784054565546631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0.21713559921353509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0.15319149403507837</v>
      </c>
      <c r="H322" s="1"/>
      <c r="I322" s="14">
        <f>(C316+D317+E318+F319+G320)/H321</f>
        <v>0.98922038123951084</v>
      </c>
      <c r="J322" s="53">
        <f>SQRT(SUM(P316:P320))/100</f>
        <v>2.3434684555630257E-3</v>
      </c>
      <c r="M322" s="1"/>
      <c r="N322" s="9"/>
    </row>
    <row r="323" spans="1:41" x14ac:dyDescent="0.3">
      <c r="B323" s="1" t="s">
        <v>30</v>
      </c>
      <c r="C323" s="17">
        <f>C316/C321*100</f>
        <v>100</v>
      </c>
      <c r="D323" s="17">
        <f>D317/D321*100</f>
        <v>88.725160133338548</v>
      </c>
      <c r="E323" s="17">
        <f>E318/E321*100</f>
        <v>99.691284254718752</v>
      </c>
      <c r="F323" s="17">
        <f>F319/F321*100</f>
        <v>98.787708768738241</v>
      </c>
      <c r="G323" s="17">
        <f>G320/G321*100</f>
        <v>93.260942867561425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0</v>
      </c>
      <c r="D324" s="18">
        <f>SQRT((D327+D328)/(D321*D321))</f>
        <v>7.4614050792075908</v>
      </c>
      <c r="E324" s="18">
        <f>SQRT((E327+E328)/(E321*E321))</f>
        <v>0.15948801537959054</v>
      </c>
      <c r="F324" s="18">
        <f>SQRT((F327+F328)/(F321*F321))</f>
        <v>0.41025623344726425</v>
      </c>
      <c r="G324" s="18">
        <f>SQRT((G327+G328)/(G321*G321))</f>
        <v>2.3899458116687775</v>
      </c>
      <c r="H324" s="1"/>
    </row>
    <row r="325" spans="1:41" x14ac:dyDescent="0.3">
      <c r="B325" s="1" t="s">
        <v>37</v>
      </c>
      <c r="C325" s="18">
        <f>100-C323</f>
        <v>0</v>
      </c>
      <c r="D325" s="18">
        <f>100-D323</f>
        <v>11.274839866661452</v>
      </c>
      <c r="E325" s="18">
        <f>100-E323</f>
        <v>0.30871574528124768</v>
      </c>
      <c r="F325" s="18">
        <f>100-F323</f>
        <v>1.2122912312617586</v>
      </c>
      <c r="G325" s="18">
        <f>100-G323</f>
        <v>6.7390571324385746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337</v>
      </c>
      <c r="D326" s="1">
        <f>D310</f>
        <v>63</v>
      </c>
      <c r="E326" s="1">
        <f>E310</f>
        <v>739</v>
      </c>
      <c r="F326" s="1">
        <f>F310</f>
        <v>666</v>
      </c>
      <c r="G326" s="1">
        <f>G310</f>
        <v>983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3.5563439508776531</v>
      </c>
      <c r="E327" s="18">
        <f>(O318*O318*(100-E323)*(100-E323)*(I318)*(100-I318))/((L318-1)*100)</f>
        <v>0.20640420797086476</v>
      </c>
      <c r="F327" s="18">
        <f>(O319*O319*(100-F323)*(100-F323)*(I319)*(100-I319))/((L319-1)*100)</f>
        <v>4.6944804520439396</v>
      </c>
      <c r="G327" s="18">
        <f>(O320*O320*(100-G323)*(100-G323)*(I320)*(100-I320))/((L320-1)*100)</f>
        <v>4.6448190875512978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58.488643257474628</v>
      </c>
      <c r="E328" s="18">
        <f>E323*E323*(SUM((H316*E316*(1-E305/H305))/(H305-1),(H317*E317*(1-E306/H306))/(H306-1), (H319*E319*(1-E308/H308))/(H308-1),(H320*E320*(1-E309/H309))/(H309-1)))</f>
        <v>99.608485777528557</v>
      </c>
      <c r="F328" s="18">
        <f>F323*F323*(SUM((H316*F316*(1-F305/H305))/(H305-1),(H317*F317*(1-F306/H306))/(H306-1), (H318*F318*(1-F307/H307))/(H307-1),(H320*F320*(1-F309/H309))/(H309-1)))</f>
        <v>149.1693906429575</v>
      </c>
      <c r="G328" s="18">
        <f>G323*G323*(SUM((H316*G316*(1-G305/H305))/(H305-1),(H317*G317*(1-G306/H306))/(H306-1), (H318*G318*(1-G307/H307))/(H307-1),(H319*G319*(1-G308/H308))/(H308-1)))</f>
        <v>195.59177109222108</v>
      </c>
    </row>
    <row r="329" spans="1:41" x14ac:dyDescent="0.3">
      <c r="AM329" s="78"/>
    </row>
    <row r="331" spans="1:41" x14ac:dyDescent="0.3">
      <c r="A331" s="348" t="s">
        <v>382</v>
      </c>
      <c r="B331" s="348"/>
      <c r="C331" s="348"/>
      <c r="D331" s="348"/>
      <c r="E331" s="348"/>
      <c r="F331" s="348"/>
      <c r="G331" s="348"/>
      <c r="H331" s="348"/>
      <c r="I331" s="348"/>
      <c r="J331" s="348"/>
      <c r="K331" s="348"/>
      <c r="L331" s="348" t="s">
        <v>84</v>
      </c>
      <c r="M331" s="348"/>
      <c r="N331" s="348"/>
      <c r="O331" s="348"/>
      <c r="P331" s="348"/>
      <c r="AM331" s="78"/>
    </row>
    <row r="332" spans="1:41" x14ac:dyDescent="0.3">
      <c r="A332" t="s">
        <v>315</v>
      </c>
      <c r="B332" t="s">
        <v>21</v>
      </c>
      <c r="I332" s="1" t="s">
        <v>53</v>
      </c>
      <c r="O332" s="142"/>
      <c r="P332" s="142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51</v>
      </c>
      <c r="O333" s="13"/>
      <c r="P333" s="13"/>
      <c r="AM333" s="78"/>
    </row>
    <row r="334" spans="1:41" x14ac:dyDescent="0.3">
      <c r="A334" t="s">
        <v>3</v>
      </c>
      <c r="B334" s="13">
        <v>0</v>
      </c>
      <c r="C334" s="26">
        <v>337</v>
      </c>
      <c r="D334" s="3">
        <v>0</v>
      </c>
      <c r="E334" s="3">
        <v>0</v>
      </c>
      <c r="F334" s="3">
        <v>114</v>
      </c>
      <c r="G334" s="4">
        <v>0</v>
      </c>
      <c r="H334" s="1">
        <f>SUM(C334:G334)</f>
        <v>451</v>
      </c>
      <c r="I334" s="10">
        <f>C334/H334</f>
        <v>0.74722838137472281</v>
      </c>
      <c r="J334" s="11">
        <f>1-I334</f>
        <v>0.25277161862527719</v>
      </c>
      <c r="K334">
        <f>H334-C339</f>
        <v>114</v>
      </c>
      <c r="N334" s="10">
        <f>2*(C340*I334)/(C340+I334)</f>
        <v>0.85532994923857875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55</v>
      </c>
      <c r="E335" s="1">
        <v>2</v>
      </c>
      <c r="F335" s="1">
        <v>0</v>
      </c>
      <c r="G335" s="6">
        <v>0</v>
      </c>
      <c r="H335" s="1">
        <f>SUM(C335:G335)</f>
        <v>57</v>
      </c>
      <c r="I335" s="10">
        <f>D335/H335</f>
        <v>0.96491228070175439</v>
      </c>
      <c r="J335" s="11">
        <f>1-I335</f>
        <v>3.5087719298245612E-2</v>
      </c>
      <c r="K335">
        <f>H335-D339</f>
        <v>-1</v>
      </c>
      <c r="N335" s="10">
        <f>2*(D340*I335)/(D340+I335)</f>
        <v>0.9565217391304347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0</v>
      </c>
      <c r="E336" s="27">
        <v>736</v>
      </c>
      <c r="F336" s="1">
        <v>1</v>
      </c>
      <c r="G336" s="6">
        <v>0</v>
      </c>
      <c r="H336" s="1">
        <f>SUM(C336:G336)</f>
        <v>737</v>
      </c>
      <c r="I336" s="10">
        <f>E336/H336</f>
        <v>0.99864314789687925</v>
      </c>
      <c r="J336" s="11">
        <f>1-I336</f>
        <v>1.3568521031207537E-3</v>
      </c>
      <c r="K336">
        <f>H336-E339</f>
        <v>-8</v>
      </c>
      <c r="N336" s="10">
        <f>2*(E340*I336)/(E340+I336)</f>
        <v>0.99325236167341435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1</v>
      </c>
      <c r="E337" s="1">
        <v>6</v>
      </c>
      <c r="F337" s="27">
        <v>518</v>
      </c>
      <c r="G337" s="6">
        <v>9</v>
      </c>
      <c r="H337" s="1">
        <f>SUM(C337:G337)</f>
        <v>534</v>
      </c>
      <c r="I337" s="10">
        <f>F337/H337</f>
        <v>0.97003745318352064</v>
      </c>
      <c r="J337" s="11">
        <f>1-I337</f>
        <v>2.9962546816479363E-2</v>
      </c>
      <c r="K337">
        <f>H337-F339</f>
        <v>-140</v>
      </c>
      <c r="N337" s="10">
        <f>2*(F340*I337)/(F340+I337)</f>
        <v>0.85761589403973515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2</v>
      </c>
      <c r="E338" s="8">
        <v>1</v>
      </c>
      <c r="F338" s="8">
        <v>41</v>
      </c>
      <c r="G338" s="28">
        <v>965</v>
      </c>
      <c r="H338" s="1">
        <f>SUM(C338:G338)</f>
        <v>1009</v>
      </c>
      <c r="I338" s="10">
        <f>G338/H338</f>
        <v>0.95639246778989095</v>
      </c>
      <c r="J338" s="11">
        <f>1-I338</f>
        <v>4.3607532210109046E-2</v>
      </c>
      <c r="K338">
        <f>H338-G339</f>
        <v>35</v>
      </c>
      <c r="N338" s="10">
        <f>2*(G340*I338)/(G340+I338)</f>
        <v>0.97327281896116991</v>
      </c>
      <c r="O338" s="1"/>
      <c r="P338" s="1"/>
    </row>
    <row r="339" spans="1:40" ht="15.6" x14ac:dyDescent="0.35">
      <c r="B339" s="1" t="s">
        <v>19</v>
      </c>
      <c r="C339" s="1">
        <f>SUM(C334:C338)</f>
        <v>337</v>
      </c>
      <c r="D339" s="1">
        <f>SUM(D334:D338)</f>
        <v>58</v>
      </c>
      <c r="E339" s="1">
        <f>SUM(E334:E338)</f>
        <v>745</v>
      </c>
      <c r="F339" s="1">
        <f>SUM(F334:F338)</f>
        <v>674</v>
      </c>
      <c r="G339" s="1">
        <f>SUM(G334:G338)</f>
        <v>974</v>
      </c>
      <c r="H339" s="1">
        <f>SUM(H333:H338)</f>
        <v>2788</v>
      </c>
      <c r="I339" s="13" t="s">
        <v>12</v>
      </c>
      <c r="N339" s="16"/>
      <c r="O339" s="1"/>
      <c r="P339" s="1"/>
      <c r="AM339" s="78"/>
    </row>
    <row r="340" spans="1:40" x14ac:dyDescent="0.3">
      <c r="A340" s="1" t="s">
        <v>316</v>
      </c>
      <c r="B340" s="1" t="s">
        <v>2</v>
      </c>
      <c r="C340" s="10">
        <f>C334/C339</f>
        <v>1</v>
      </c>
      <c r="D340" s="10">
        <f>D335/D339</f>
        <v>0.94827586206896552</v>
      </c>
      <c r="E340" s="10">
        <f>E336/E339</f>
        <v>0.98791946308724832</v>
      </c>
      <c r="F340" s="10">
        <f>F337/F339</f>
        <v>0.7685459940652819</v>
      </c>
      <c r="G340" s="10">
        <f>G338/G339</f>
        <v>0.99075975359342916</v>
      </c>
      <c r="H340" s="10"/>
      <c r="I340" s="14">
        <f>(C334+D335+E336+F337+G338)/H339</f>
        <v>0.93651362984218078</v>
      </c>
    </row>
    <row r="341" spans="1:40" x14ac:dyDescent="0.3">
      <c r="B341" s="1" t="s">
        <v>14</v>
      </c>
      <c r="C341" s="11">
        <f>1-C340</f>
        <v>0</v>
      </c>
      <c r="D341" s="11">
        <f>1-D340</f>
        <v>5.1724137931034475E-2</v>
      </c>
      <c r="E341" s="11">
        <f>1-E340</f>
        <v>1.2080536912751683E-2</v>
      </c>
      <c r="F341" s="11">
        <f>1-F340</f>
        <v>0.2314540059347181</v>
      </c>
      <c r="G341" s="11">
        <f>1-G340</f>
        <v>9.2402464065708401E-3</v>
      </c>
      <c r="AM341" s="78"/>
      <c r="AN341" s="78"/>
    </row>
    <row r="342" spans="1:40" x14ac:dyDescent="0.3">
      <c r="C342" s="2"/>
    </row>
    <row r="343" spans="1:40" ht="15.6" x14ac:dyDescent="0.35">
      <c r="A343" t="s">
        <v>317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0.14552851514518556</v>
      </c>
      <c r="D345" s="31">
        <f>(D334/$L345)*$O345</f>
        <v>0</v>
      </c>
      <c r="E345" s="31">
        <f>(E334/$L345)*$O345</f>
        <v>0</v>
      </c>
      <c r="F345" s="31">
        <f>(F334/$L345)*$O345</f>
        <v>4.9229230642585019E-2</v>
      </c>
      <c r="G345" s="32">
        <f>(G334/$L345)*$O345</f>
        <v>0</v>
      </c>
      <c r="H345" s="17">
        <f>SUM(C345:G345)</f>
        <v>0.19475774578777058</v>
      </c>
      <c r="I345" s="17">
        <f>C345/H345*100</f>
        <v>74.72283813747228</v>
      </c>
      <c r="J345" s="17">
        <f>SQRT(I345*(100-I345)/(L345-1))</f>
        <v>2.0487292942094326</v>
      </c>
      <c r="K345" s="18">
        <f>100-I345</f>
        <v>25.27716186252772</v>
      </c>
      <c r="L345" s="1">
        <f>H334</f>
        <v>451</v>
      </c>
      <c r="M345">
        <v>0</v>
      </c>
      <c r="N345" s="1">
        <v>176.07</v>
      </c>
      <c r="O345" s="17">
        <f>N345/N350*100</f>
        <v>0.19475774578777058</v>
      </c>
      <c r="P345" s="52">
        <f>((O345*O345*(I345/100)*(K345/100))/(L345-1))</f>
        <v>1.592057074923393E-5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45">(C335/$L346)*$O346</f>
        <v>0</v>
      </c>
      <c r="D346" s="34">
        <f t="shared" si="45"/>
        <v>0.94558705734829962</v>
      </c>
      <c r="E346" s="19">
        <f t="shared" si="45"/>
        <v>3.4384983903574529E-2</v>
      </c>
      <c r="F346" s="18">
        <f t="shared" si="45"/>
        <v>0</v>
      </c>
      <c r="G346" s="20">
        <f t="shared" si="45"/>
        <v>0</v>
      </c>
      <c r="H346" s="17">
        <f>SUM(C346:G346)</f>
        <v>0.9799720412518742</v>
      </c>
      <c r="I346" s="17">
        <f>D346/H346*100</f>
        <v>96.491228070175438</v>
      </c>
      <c r="J346" s="17">
        <f>SQRT(I346*(100-I346)/(L346-1))</f>
        <v>2.4588241692166148</v>
      </c>
      <c r="K346" s="18">
        <f>100-I346</f>
        <v>3.5087719298245617</v>
      </c>
      <c r="L346" s="1">
        <f>H335</f>
        <v>57</v>
      </c>
      <c r="M346">
        <v>1</v>
      </c>
      <c r="N346" s="1">
        <v>885.94</v>
      </c>
      <c r="O346" s="17">
        <f>N346/N350*100</f>
        <v>0.97997204125187409</v>
      </c>
      <c r="P346" s="52">
        <f>((O346*O346*(I346/100)*(K346/100))/(L346-1))</f>
        <v>5.8060706689910173E-4</v>
      </c>
    </row>
    <row r="347" spans="1:40" x14ac:dyDescent="0.3">
      <c r="A347" t="s">
        <v>5</v>
      </c>
      <c r="B347" s="13">
        <v>2</v>
      </c>
      <c r="C347" s="33">
        <f t="shared" si="45"/>
        <v>0</v>
      </c>
      <c r="D347" s="19">
        <f t="shared" si="45"/>
        <v>0</v>
      </c>
      <c r="E347" s="34">
        <f t="shared" si="45"/>
        <v>62.334748771036004</v>
      </c>
      <c r="F347" s="19">
        <f t="shared" si="45"/>
        <v>8.4693952134559783E-2</v>
      </c>
      <c r="G347" s="20">
        <f t="shared" si="45"/>
        <v>0</v>
      </c>
      <c r="H347" s="17">
        <f>SUM(C347:G347)</f>
        <v>62.419442723170562</v>
      </c>
      <c r="I347" s="17">
        <f>E347/H347*100</f>
        <v>99.864314789687924</v>
      </c>
      <c r="J347" s="17">
        <f>SQRT(I347*(100-I347)/(L347-1))</f>
        <v>0.13568521031207589</v>
      </c>
      <c r="K347" s="18">
        <f>100-I347</f>
        <v>0.13568521031207581</v>
      </c>
      <c r="L347" s="1">
        <f>H336</f>
        <v>737</v>
      </c>
      <c r="M347">
        <v>2</v>
      </c>
      <c r="N347" s="1">
        <v>56430.06</v>
      </c>
      <c r="O347" s="17">
        <f>N347/N350*100</f>
        <v>62.419442723170562</v>
      </c>
      <c r="P347" s="52">
        <f>((O347*O347*(I347/100)*(K347/100))/(L347-1))</f>
        <v>7.1730655281710938E-3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45"/>
        <v>0</v>
      </c>
      <c r="D348" s="19">
        <f t="shared" si="45"/>
        <v>5.7528257125787394E-2</v>
      </c>
      <c r="E348" s="19">
        <f t="shared" si="45"/>
        <v>0.34516954275472433</v>
      </c>
      <c r="F348" s="34">
        <f t="shared" si="45"/>
        <v>29.799637191157871</v>
      </c>
      <c r="G348" s="20">
        <f t="shared" si="45"/>
        <v>0.5177543141320865</v>
      </c>
      <c r="H348" s="17">
        <f>SUM(C348:G348)</f>
        <v>30.720089305170468</v>
      </c>
      <c r="I348" s="17">
        <f>F348/H348*100</f>
        <v>97.00374531835206</v>
      </c>
      <c r="J348" s="17">
        <f>SQRT(I348*(100-I348)/(L348-1))</f>
        <v>0.73844815484055726</v>
      </c>
      <c r="K348" s="18">
        <f>100-I348</f>
        <v>2.9962546816479403</v>
      </c>
      <c r="L348" s="1">
        <f>H337</f>
        <v>534</v>
      </c>
      <c r="M348">
        <v>3</v>
      </c>
      <c r="N348" s="1">
        <v>27772.38</v>
      </c>
      <c r="O348" s="17">
        <f>N348/N350*100</f>
        <v>30.720089305170468</v>
      </c>
      <c r="P348" s="52">
        <f>((O348*O348*(I348/100)*(K348/100))/(L348-1))</f>
        <v>5.1461799342232106E-2</v>
      </c>
    </row>
    <row r="349" spans="1:40" x14ac:dyDescent="0.3">
      <c r="A349" t="s">
        <v>7</v>
      </c>
      <c r="B349" s="13">
        <v>4</v>
      </c>
      <c r="C349" s="35">
        <f t="shared" si="45"/>
        <v>0</v>
      </c>
      <c r="D349" s="36">
        <f t="shared" si="45"/>
        <v>1.127004595563791E-2</v>
      </c>
      <c r="E349" s="21">
        <f t="shared" si="45"/>
        <v>5.6350229778189551E-3</v>
      </c>
      <c r="F349" s="21">
        <f t="shared" si="45"/>
        <v>0.23103594209057715</v>
      </c>
      <c r="G349" s="37">
        <f t="shared" si="45"/>
        <v>5.4377971735952917</v>
      </c>
      <c r="H349" s="17">
        <f>SUM(C349:G349)</f>
        <v>5.6857381846193258</v>
      </c>
      <c r="I349" s="17">
        <f>G349/H349*100</f>
        <v>95.63924677898909</v>
      </c>
      <c r="J349" s="17">
        <f>SQRT(I349*(100-I349)/(L349-1))</f>
        <v>0.64323336369097983</v>
      </c>
      <c r="K349" s="18">
        <f>100-I349</f>
        <v>4.3607532210109099</v>
      </c>
      <c r="L349" s="1">
        <f>H338</f>
        <v>1009</v>
      </c>
      <c r="M349">
        <v>4</v>
      </c>
      <c r="N349" s="1">
        <v>5140.17</v>
      </c>
      <c r="O349" s="17">
        <f>N349/N350*100</f>
        <v>5.6857381846193258</v>
      </c>
      <c r="P349" s="52">
        <f>((O349*O349*(I349/100)*(K349/100))/(L349-1))</f>
        <v>1.3375525088937044E-3</v>
      </c>
      <c r="AM349" s="78"/>
      <c r="AN349" s="78"/>
    </row>
    <row r="350" spans="1:40" x14ac:dyDescent="0.3">
      <c r="B350" t="s">
        <v>28</v>
      </c>
      <c r="C350" s="17">
        <f t="shared" ref="C350:H350" si="46">SUM(C345:C349)</f>
        <v>0.14552851514518556</v>
      </c>
      <c r="D350" s="17">
        <f t="shared" si="46"/>
        <v>1.0143853604297248</v>
      </c>
      <c r="E350" s="17">
        <f t="shared" si="46"/>
        <v>62.719938320672121</v>
      </c>
      <c r="F350" s="17">
        <f t="shared" si="46"/>
        <v>30.164596316025595</v>
      </c>
      <c r="G350" s="17">
        <f t="shared" si="46"/>
        <v>5.9555514877273783</v>
      </c>
      <c r="H350" s="18">
        <f t="shared" si="46"/>
        <v>100</v>
      </c>
      <c r="I350" s="13" t="s">
        <v>24</v>
      </c>
      <c r="J350" s="12" t="s">
        <v>29</v>
      </c>
      <c r="N350" s="1">
        <f>SUM(N345:N349)</f>
        <v>90404.62</v>
      </c>
      <c r="O350" s="17">
        <f>SUM(O345:O349)</f>
        <v>100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3.9856329671587969E-3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6.2746353412920147E-2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0.16552753714735111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0.24452737738346139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0.17498493459026668</v>
      </c>
      <c r="H351" s="1"/>
      <c r="I351" s="14">
        <f>(C345+D346+E347+F348+G349)/H350</f>
        <v>0.98663298708282654</v>
      </c>
      <c r="J351" s="53">
        <f>SQRT(SUM(P345:P349))/100</f>
        <v>2.4610758829614588E-3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93.217735018151274</v>
      </c>
      <c r="E352" s="17">
        <f>E347/E350*100</f>
        <v>99.38585789471486</v>
      </c>
      <c r="F352" s="17">
        <f>F348/F350*100</f>
        <v>98.790107710893409</v>
      </c>
      <c r="G352" s="17">
        <f>G349/G350*100</f>
        <v>91.306358190353592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5.5748978379524115</v>
      </c>
      <c r="E353" s="18">
        <f>SQRT((E356+E357)/(E350*E350))</f>
        <v>0.22582864572589073</v>
      </c>
      <c r="F353" s="18">
        <f>SQRT((F356+F357)/(F350*F350))</f>
        <v>0.31431975578234345</v>
      </c>
      <c r="G353" s="18">
        <f>SQRT((G356+G357)/(G350*G350))</f>
        <v>2.6797355738626187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6.7822649818487264</v>
      </c>
      <c r="E354" s="18">
        <f>100-E352</f>
        <v>0.61414210528513991</v>
      </c>
      <c r="F354" s="18">
        <f>100-F352</f>
        <v>1.2098922891065911</v>
      </c>
      <c r="G354" s="18">
        <f>100-G352</f>
        <v>8.6936418096464081</v>
      </c>
    </row>
    <row r="355" spans="1:40" ht="15.6" x14ac:dyDescent="0.35">
      <c r="B355" s="1" t="s">
        <v>25</v>
      </c>
      <c r="C355" s="1">
        <f>C339</f>
        <v>337</v>
      </c>
      <c r="D355" s="1">
        <f>D339</f>
        <v>58</v>
      </c>
      <c r="E355" s="1">
        <f>E339</f>
        <v>745</v>
      </c>
      <c r="F355" s="1">
        <f>F339</f>
        <v>674</v>
      </c>
      <c r="G355" s="1">
        <f>G339</f>
        <v>974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2.6707413146824757</v>
      </c>
      <c r="E356" s="18">
        <f>(O347*O347*(100-E352)*(100-E352)*(I347)*(100-I347))/((L347-1)*100)</f>
        <v>0.27054688945919159</v>
      </c>
      <c r="F356" s="18">
        <f>(O348*O348*(100-F352)*(100-F352)*(I348)*(100-I348))/((L348-1)*100)</f>
        <v>7.5331806962754841</v>
      </c>
      <c r="G356" s="18">
        <f>(O349*O349*(100-G352)*(100-G352)*(I349)*(100-I349))/((L349-1)*100)</f>
        <v>10.10914266766493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29.309355347448527</v>
      </c>
      <c r="E357" s="18">
        <f>E352*E352*(SUM((H345*E345*(1-E334/H334))/(H334-1),(H346*E346*(1-E335/H335))/(H335-1), (H348*E348*(1-E337/H337))/(H337-1),(H349*E349*(1-E338/H338))/(H338-1)))</f>
        <v>200.34718004312765</v>
      </c>
      <c r="F357" s="18">
        <f>F352*F352*(SUM((H345*F345*(1-F334/H334))/(H334-1),(H346*F346*(1-F335/H335))/(H335-1), (H347*F347*(1-F336/H336))/(H336-1),(H349*F349*(1-F338/H338))/(H338-1)))</f>
        <v>82.362410326066168</v>
      </c>
      <c r="G357" s="18">
        <f>G352*G352*(SUM((H345*G345*(1-G334/H334))/(H334-1),(H346*G346*(1-G335/H335))/(H335-1), (H347*G347*(1-G336/H336))/(H336-1),(H348*G348*(1-G337/H337))/(H337-1)))</f>
        <v>244.5902154394694</v>
      </c>
      <c r="AM357" s="78"/>
      <c r="AN357" s="78"/>
    </row>
    <row r="359" spans="1:40" x14ac:dyDescent="0.3">
      <c r="AM359" s="78"/>
      <c r="AN359" s="78"/>
    </row>
    <row r="360" spans="1:40" x14ac:dyDescent="0.3">
      <c r="A360" s="348" t="s">
        <v>382</v>
      </c>
      <c r="B360" s="348"/>
      <c r="C360" s="348"/>
      <c r="D360" s="348"/>
      <c r="E360" s="348"/>
      <c r="F360" s="348"/>
      <c r="G360" s="348"/>
      <c r="H360" s="348"/>
      <c r="I360" s="348"/>
      <c r="J360" s="348"/>
      <c r="K360" s="348"/>
      <c r="L360" s="348" t="s">
        <v>85</v>
      </c>
      <c r="M360" s="348"/>
      <c r="N360" s="348"/>
      <c r="O360" s="348"/>
      <c r="P360" s="348"/>
    </row>
    <row r="361" spans="1:40" x14ac:dyDescent="0.3">
      <c r="A361" t="s">
        <v>15</v>
      </c>
      <c r="B361" t="s">
        <v>21</v>
      </c>
      <c r="I361" s="1" t="s">
        <v>53</v>
      </c>
      <c r="O361" s="142"/>
      <c r="P361" s="142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51</v>
      </c>
      <c r="O362" s="13"/>
      <c r="P362" s="13"/>
    </row>
    <row r="363" spans="1:40" x14ac:dyDescent="0.3">
      <c r="A363" t="s">
        <v>3</v>
      </c>
      <c r="B363" s="13">
        <v>0</v>
      </c>
      <c r="C363" s="26">
        <v>364</v>
      </c>
      <c r="D363" s="3">
        <v>0</v>
      </c>
      <c r="E363" s="3">
        <v>0</v>
      </c>
      <c r="F363" s="3">
        <v>87</v>
      </c>
      <c r="G363" s="4">
        <v>0</v>
      </c>
      <c r="H363" s="1">
        <f>SUM(C363:G363)</f>
        <v>451</v>
      </c>
      <c r="I363" s="10">
        <f>C363/H363</f>
        <v>0.80709534368070956</v>
      </c>
      <c r="J363" s="11">
        <f>1-I363</f>
        <v>0.19290465631929044</v>
      </c>
      <c r="K363">
        <f>H363-C368</f>
        <v>87</v>
      </c>
      <c r="N363" s="10">
        <f>2*(C369*I363)/(C369+I363)</f>
        <v>0.89325153374233135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55</v>
      </c>
      <c r="E364" s="1">
        <v>1</v>
      </c>
      <c r="F364" s="1">
        <v>1</v>
      </c>
      <c r="G364" s="6">
        <v>0</v>
      </c>
      <c r="H364" s="1">
        <f>SUM(C364:G364)</f>
        <v>57</v>
      </c>
      <c r="I364" s="10">
        <f>D364/H364</f>
        <v>0.96491228070175439</v>
      </c>
      <c r="J364" s="11">
        <f>1-I364</f>
        <v>3.5087719298245612E-2</v>
      </c>
      <c r="K364">
        <f>H364-D368</f>
        <v>-6</v>
      </c>
      <c r="N364" s="10">
        <f>2*(D369*I364)/(D369+I364)</f>
        <v>0.91666666666666674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0</v>
      </c>
      <c r="E365" s="27">
        <v>735</v>
      </c>
      <c r="F365" s="1">
        <v>2</v>
      </c>
      <c r="G365" s="6">
        <v>0</v>
      </c>
      <c r="H365" s="1">
        <f>SUM(C365:G365)</f>
        <v>737</v>
      </c>
      <c r="I365" s="10">
        <f>E365/H365</f>
        <v>0.99728629579375849</v>
      </c>
      <c r="J365" s="11">
        <f>1-I365</f>
        <v>2.7137042062415073E-3</v>
      </c>
      <c r="K365">
        <f>H365-E368</f>
        <v>-2</v>
      </c>
      <c r="N365" s="10">
        <f>2*(E369*I365)/(E369+I365)</f>
        <v>0.99593495934959353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2</v>
      </c>
      <c r="E366" s="1">
        <v>3</v>
      </c>
      <c r="F366" s="27">
        <v>519</v>
      </c>
      <c r="G366" s="6">
        <v>10</v>
      </c>
      <c r="H366" s="1">
        <f>SUM(C366:G366)</f>
        <v>534</v>
      </c>
      <c r="I366" s="10">
        <f>F366/H366</f>
        <v>0.9719101123595506</v>
      </c>
      <c r="J366" s="11">
        <f>1-I366</f>
        <v>2.8089887640449396E-2</v>
      </c>
      <c r="K366">
        <f>H366-F368</f>
        <v>-116</v>
      </c>
      <c r="N366" s="10">
        <f>2*(F369*I366)/(F369+I366)</f>
        <v>0.87668918918918926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6</v>
      </c>
      <c r="E367" s="8">
        <v>0</v>
      </c>
      <c r="F367" s="8">
        <v>41</v>
      </c>
      <c r="G367" s="28">
        <v>962</v>
      </c>
      <c r="H367" s="1">
        <f>SUM(C367:G367)</f>
        <v>1009</v>
      </c>
      <c r="I367" s="10">
        <f>G367/H367</f>
        <v>0.95341922695738357</v>
      </c>
      <c r="J367" s="11">
        <f>1-I367</f>
        <v>4.658077304261643E-2</v>
      </c>
      <c r="K367">
        <f>H367-G368</f>
        <v>37</v>
      </c>
      <c r="N367" s="10">
        <f>2*(G369*I367)/(G369+I367)</f>
        <v>0.97122665320545187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364</v>
      </c>
      <c r="D368" s="1">
        <f>SUM(D363:D367)</f>
        <v>63</v>
      </c>
      <c r="E368" s="1">
        <f>SUM(E363:E367)</f>
        <v>739</v>
      </c>
      <c r="F368" s="1">
        <f>SUM(F363:F367)</f>
        <v>650</v>
      </c>
      <c r="G368" s="1">
        <f>SUM(G363:G367)</f>
        <v>972</v>
      </c>
      <c r="H368" s="1">
        <f>SUM(H362:H367)</f>
        <v>2788</v>
      </c>
      <c r="I368" s="13" t="s">
        <v>12</v>
      </c>
      <c r="N368" s="16"/>
      <c r="O368" s="1"/>
      <c r="P368" s="1"/>
    </row>
    <row r="369" spans="1:40" x14ac:dyDescent="0.3">
      <c r="A369" s="1" t="s">
        <v>52</v>
      </c>
      <c r="B369" s="1" t="s">
        <v>2</v>
      </c>
      <c r="C369" s="10">
        <f>C363/C368</f>
        <v>1</v>
      </c>
      <c r="D369" s="10">
        <f>D364/D368</f>
        <v>0.87301587301587302</v>
      </c>
      <c r="E369" s="10">
        <f>E365/E368</f>
        <v>0.99458728010825437</v>
      </c>
      <c r="F369" s="10">
        <f>F366/F368</f>
        <v>0.79846153846153844</v>
      </c>
      <c r="G369" s="10">
        <f>G367/G368</f>
        <v>0.98971193415637859</v>
      </c>
      <c r="H369" s="10"/>
      <c r="I369" s="14">
        <f>(C363+D364+E365+F366+G367)/H368</f>
        <v>0.94512195121951215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0.12698412698412698</v>
      </c>
      <c r="E370" s="11">
        <f>1-E369</f>
        <v>5.4127198917456321E-3</v>
      </c>
      <c r="F370" s="11">
        <f>1-F369</f>
        <v>0.20153846153846156</v>
      </c>
      <c r="G370" s="11">
        <f>1-G369</f>
        <v>1.0288065843621408E-2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0.15991991218316665</v>
      </c>
      <c r="D374" s="31">
        <f>(D363/$L374)*$O374</f>
        <v>0</v>
      </c>
      <c r="E374" s="31">
        <f>(E363/$L374)*$O374</f>
        <v>0</v>
      </c>
      <c r="F374" s="31">
        <f>(F363/$L374)*$O374</f>
        <v>3.8222616373449168E-2</v>
      </c>
      <c r="G374" s="32">
        <f>(G363/$L374)*$O374</f>
        <v>0</v>
      </c>
      <c r="H374" s="17">
        <f>SUM(C374:G374)</f>
        <v>0.19814252855661582</v>
      </c>
      <c r="I374" s="17">
        <f>C374/H374*100</f>
        <v>80.709534368070962</v>
      </c>
      <c r="J374" s="17">
        <f>SQRT(I374*(100-I374)/(L374-1))</f>
        <v>1.8600624236217143</v>
      </c>
      <c r="K374" s="18">
        <f>100-I374</f>
        <v>19.290465631929038</v>
      </c>
      <c r="L374" s="1">
        <f>H363</f>
        <v>451</v>
      </c>
      <c r="M374">
        <v>0</v>
      </c>
      <c r="N374" s="1">
        <v>179.13</v>
      </c>
      <c r="O374" s="17">
        <f>N374/N379*100</f>
        <v>0.19814252855661582</v>
      </c>
      <c r="P374" s="52">
        <f>((O374*O374*(I374/100)*(K374/100))/(L374-1))</f>
        <v>1.3583461008561904E-5</v>
      </c>
    </row>
    <row r="375" spans="1:40" x14ac:dyDescent="0.3">
      <c r="A375" t="s">
        <v>4</v>
      </c>
      <c r="B375" s="13">
        <v>1</v>
      </c>
      <c r="C375" s="33">
        <f t="shared" ref="C375:G378" si="47">(C364/$L375)*$O375</f>
        <v>0</v>
      </c>
      <c r="D375" s="34">
        <f t="shared" si="47"/>
        <v>1.1287082296954649</v>
      </c>
      <c r="E375" s="19">
        <f t="shared" si="47"/>
        <v>2.0521967812644815E-2</v>
      </c>
      <c r="F375" s="18">
        <f t="shared" si="47"/>
        <v>2.0521967812644815E-2</v>
      </c>
      <c r="G375" s="20">
        <f t="shared" si="47"/>
        <v>0</v>
      </c>
      <c r="H375" s="17">
        <f>SUM(C375:G375)</f>
        <v>1.1697521653207543</v>
      </c>
      <c r="I375" s="17">
        <f>D375/H375*100</f>
        <v>96.491228070175467</v>
      </c>
      <c r="J375" s="17">
        <f>SQRT(I375*(100-I375)/(L375-1))</f>
        <v>2.4588241692166051</v>
      </c>
      <c r="K375" s="18">
        <f>100-I375</f>
        <v>3.5087719298245332</v>
      </c>
      <c r="L375" s="1">
        <f>H364</f>
        <v>57</v>
      </c>
      <c r="M375">
        <v>1</v>
      </c>
      <c r="N375" s="1">
        <v>1057.51</v>
      </c>
      <c r="O375" s="17">
        <f>N375/N379*100</f>
        <v>1.1697521653207545</v>
      </c>
      <c r="P375" s="52">
        <f>((O375*O375*(I375/100)*(K375/100))/(L375-1))</f>
        <v>8.2726121284562376E-4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47"/>
        <v>0</v>
      </c>
      <c r="D376" s="19">
        <f t="shared" si="47"/>
        <v>0</v>
      </c>
      <c r="E376" s="34">
        <f t="shared" si="47"/>
        <v>61.731713074123832</v>
      </c>
      <c r="F376" s="19">
        <f t="shared" si="47"/>
        <v>0.16797745054183355</v>
      </c>
      <c r="G376" s="20">
        <f t="shared" si="47"/>
        <v>0</v>
      </c>
      <c r="H376" s="17">
        <f>SUM(C376:G376)</f>
        <v>61.899690524665665</v>
      </c>
      <c r="I376" s="17">
        <f>E376/H376*100</f>
        <v>99.728629579375848</v>
      </c>
      <c r="J376" s="17">
        <f>SQRT(I376*(100-I376)/(L376-1))</f>
        <v>0.19175746172356631</v>
      </c>
      <c r="K376" s="18">
        <f>100-I376</f>
        <v>0.27137042062415162</v>
      </c>
      <c r="L376" s="1">
        <f>H365</f>
        <v>737</v>
      </c>
      <c r="M376">
        <v>2</v>
      </c>
      <c r="N376" s="1">
        <v>55960.18</v>
      </c>
      <c r="O376" s="17">
        <f>N376/N379*100</f>
        <v>61.899690524665665</v>
      </c>
      <c r="P376" s="52">
        <f>((O376*O376*(I376/100)*(K376/100))/(L376-1))</f>
        <v>1.4089043179037069E-2</v>
      </c>
    </row>
    <row r="377" spans="1:40" x14ac:dyDescent="0.3">
      <c r="A377" t="s">
        <v>6</v>
      </c>
      <c r="B377" s="13">
        <v>3</v>
      </c>
      <c r="C377" s="33">
        <f t="shared" si="47"/>
        <v>0</v>
      </c>
      <c r="D377" s="19">
        <f t="shared" si="47"/>
        <v>0.11652133945953577</v>
      </c>
      <c r="E377" s="19">
        <f t="shared" si="47"/>
        <v>0.17478200918930364</v>
      </c>
      <c r="F377" s="34">
        <f t="shared" si="47"/>
        <v>30.237287589749535</v>
      </c>
      <c r="G377" s="20">
        <f t="shared" si="47"/>
        <v>0.58260669729767889</v>
      </c>
      <c r="H377" s="17">
        <f>SUM(C377:G377)</f>
        <v>31.111197635696051</v>
      </c>
      <c r="I377" s="17">
        <f>F377/H377*100</f>
        <v>97.19101123595506</v>
      </c>
      <c r="J377" s="17">
        <f>SQRT(I377*(100-I377)/(L377-1))</f>
        <v>0.71568917248319974</v>
      </c>
      <c r="K377" s="18">
        <f>100-I377</f>
        <v>2.8089887640449405</v>
      </c>
      <c r="L377" s="1">
        <f>H366</f>
        <v>534</v>
      </c>
      <c r="M377">
        <v>3</v>
      </c>
      <c r="N377" s="1">
        <v>28125.96</v>
      </c>
      <c r="O377" s="17">
        <f>N377/N379*100</f>
        <v>31.111197635696051</v>
      </c>
      <c r="P377" s="52">
        <f>((O377*O377*(I377/100)*(K377/100))/(L377-1))</f>
        <v>4.9577240875902581E-2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47"/>
        <v>0</v>
      </c>
      <c r="D378" s="36">
        <f t="shared" si="47"/>
        <v>3.342646469233447E-2</v>
      </c>
      <c r="E378" s="21">
        <f t="shared" si="47"/>
        <v>0</v>
      </c>
      <c r="F378" s="21">
        <f t="shared" si="47"/>
        <v>0.22841417539761891</v>
      </c>
      <c r="G378" s="37">
        <f t="shared" si="47"/>
        <v>5.3593765056709612</v>
      </c>
      <c r="H378" s="17">
        <f>SUM(C378:G378)</f>
        <v>5.621217145760915</v>
      </c>
      <c r="I378" s="17">
        <f>G378/H378*100</f>
        <v>95.341922695738347</v>
      </c>
      <c r="J378" s="17">
        <f>SQRT(I378*(100-I378)/(L378-1))</f>
        <v>0.66376604564177011</v>
      </c>
      <c r="K378" s="18">
        <f>100-I378</f>
        <v>4.6580773042616528</v>
      </c>
      <c r="L378" s="1">
        <f>H367</f>
        <v>1009</v>
      </c>
      <c r="M378">
        <v>4</v>
      </c>
      <c r="N378" s="1">
        <v>5081.84</v>
      </c>
      <c r="O378" s="17">
        <f>N378/N379*100</f>
        <v>5.6212171457609141</v>
      </c>
      <c r="P378" s="52">
        <f>((O378*O378*(I378/100)*(K378/100))/(L378-1))</f>
        <v>1.3921652527062937E-3</v>
      </c>
    </row>
    <row r="379" spans="1:40" x14ac:dyDescent="0.3">
      <c r="B379" t="s">
        <v>28</v>
      </c>
      <c r="C379" s="17">
        <f t="shared" ref="C379:H379" si="48">SUM(C374:C378)</f>
        <v>0.15991991218316665</v>
      </c>
      <c r="D379" s="17">
        <f t="shared" si="48"/>
        <v>1.2786560338473352</v>
      </c>
      <c r="E379" s="17">
        <f t="shared" si="48"/>
        <v>61.92701705112578</v>
      </c>
      <c r="F379" s="17">
        <f t="shared" si="48"/>
        <v>30.69242379987508</v>
      </c>
      <c r="G379" s="17">
        <f t="shared" si="48"/>
        <v>5.9419832029686397</v>
      </c>
      <c r="H379" s="18">
        <f t="shared" si="48"/>
        <v>100</v>
      </c>
      <c r="I379" s="13" t="s">
        <v>24</v>
      </c>
      <c r="J379" s="12" t="s">
        <v>29</v>
      </c>
      <c r="N379" s="1">
        <f>SUM(N374:N378)</f>
        <v>90404.62</v>
      </c>
      <c r="O379" s="17">
        <f>SUM(O374:O378)</f>
        <v>100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3.681486448398291E-3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8.8096808591009435E-2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0.15687382984704479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0.25534769886471465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0.1862745396423966</v>
      </c>
      <c r="H380" s="1"/>
      <c r="I380" s="14">
        <f>(C374+D375+E376+F377+G378)/H379</f>
        <v>0.98617005311422967</v>
      </c>
      <c r="J380" s="53">
        <f>SQRT(SUM(P374:P378))/100</f>
        <v>2.5670857792738466E-3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88.273014776249568</v>
      </c>
      <c r="E381" s="17">
        <f>E376/E379*100</f>
        <v>99.684622340454879</v>
      </c>
      <c r="F381" s="17">
        <f>F377/F379*100</f>
        <v>98.517105676980137</v>
      </c>
      <c r="G381" s="17">
        <f>G378/G379*100</f>
        <v>90.195080036466507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6.3352109610886069</v>
      </c>
      <c r="E382" s="18">
        <f>SQRT((E385+E386)/(E379*E379))</f>
        <v>0.16557319493584957</v>
      </c>
      <c r="F382" s="18">
        <f>SQRT((F385+F386)/(F379*F379))</f>
        <v>0.41689414791186014</v>
      </c>
      <c r="G382" s="18">
        <f>SQRT((G385+G386)/(G379*G379))</f>
        <v>2.8403969723580413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11.726985223750432</v>
      </c>
      <c r="E383" s="18">
        <f>100-E381</f>
        <v>0.31537765954512054</v>
      </c>
      <c r="F383" s="18">
        <f>100-F381</f>
        <v>1.4828943230198632</v>
      </c>
      <c r="G383" s="18">
        <f>100-G381</f>
        <v>9.8049199635334929</v>
      </c>
      <c r="AM383" s="78"/>
      <c r="AN383" s="78"/>
    </row>
    <row r="384" spans="1:40" ht="15.6" x14ac:dyDescent="0.35">
      <c r="B384" s="1" t="s">
        <v>25</v>
      </c>
      <c r="C384" s="1">
        <f>C368</f>
        <v>364</v>
      </c>
      <c r="D384" s="1">
        <f>D368</f>
        <v>63</v>
      </c>
      <c r="E384" s="1">
        <f>E368</f>
        <v>739</v>
      </c>
      <c r="F384" s="1">
        <f>F368</f>
        <v>650</v>
      </c>
      <c r="G384" s="1">
        <f>G368</f>
        <v>972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11.376676743688744</v>
      </c>
      <c r="E385" s="18">
        <f>(O376*O376*(100-E381)*(100-E381)*(I376)*(100-I376))/((L376-1)*100)</f>
        <v>0.14013394617461916</v>
      </c>
      <c r="F385" s="18">
        <f>(O377*O377*(100-F381)*(100-F381)*(I377)*(100-I377))/((L377-1)*100)</f>
        <v>10.90191416749704</v>
      </c>
      <c r="G385" s="18">
        <f>(O378*O378*(100-G381)*(100-G381)*(I378)*(100-I378))/((L378-1)*100)</f>
        <v>13.383783285332974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54.242326246823104</v>
      </c>
      <c r="E386" s="18">
        <f>E381*E381*(SUM((H374*E374*(1-E363/H363))/(H363-1),(H375*E375*(1-E364/H364))/(H364-1), (H377*E377*(1-E366/H366))/(H366-1),(H378*E378*(1-E367/H367))/(H367-1)))</f>
        <v>104.99318633743277</v>
      </c>
      <c r="F386" s="18">
        <f>F381*F381*(SUM((H374*F374*(1-F363/H363))/(H363-1),(H375*F375*(1-F364/H364))/(H364-1), (H376*F376*(1-F365/H365))/(H365-1),(H378*F378*(1-F367/H367))/(H367-1)))</f>
        <v>152.82269796116714</v>
      </c>
      <c r="G386" s="18">
        <f>G381*G381*(SUM((H374*G374*(1-G363/H363))/(H363-1),(H375*G375*(1-G364/H364))/(H364-1), (H376*G376*(1-G365/H365))/(H365-1),(H377*G377*(1-G366/H366))/(H366-1)))</f>
        <v>271.46929803707678</v>
      </c>
    </row>
    <row r="387" spans="1:40" x14ac:dyDescent="0.3">
      <c r="AM387" s="78"/>
      <c r="AN387" s="78"/>
    </row>
    <row r="389" spans="1:40" x14ac:dyDescent="0.3">
      <c r="A389" s="348" t="s">
        <v>382</v>
      </c>
      <c r="B389" s="348"/>
      <c r="C389" s="348"/>
      <c r="D389" s="348"/>
      <c r="E389" s="348"/>
      <c r="F389" s="348"/>
      <c r="G389" s="348"/>
      <c r="H389" s="348"/>
      <c r="I389" s="348"/>
      <c r="J389" s="348"/>
      <c r="K389" s="348"/>
      <c r="L389" s="348" t="s">
        <v>86</v>
      </c>
      <c r="M389" s="348"/>
      <c r="N389" s="348"/>
      <c r="O389" s="348"/>
      <c r="P389" s="348"/>
      <c r="AM389" s="78"/>
      <c r="AN389" s="78"/>
    </row>
    <row r="390" spans="1:40" x14ac:dyDescent="0.3">
      <c r="A390" t="s">
        <v>15</v>
      </c>
      <c r="B390" t="s">
        <v>21</v>
      </c>
      <c r="I390" s="1" t="s">
        <v>53</v>
      </c>
      <c r="O390" s="142"/>
      <c r="P390" s="142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51</v>
      </c>
      <c r="O391" s="13"/>
      <c r="P391" s="13"/>
      <c r="AM391" s="78"/>
      <c r="AN391" s="78"/>
    </row>
    <row r="392" spans="1:40" x14ac:dyDescent="0.3">
      <c r="A392" t="s">
        <v>3</v>
      </c>
      <c r="B392" s="13">
        <v>0</v>
      </c>
      <c r="C392" s="26">
        <v>388</v>
      </c>
      <c r="D392" s="3">
        <v>0</v>
      </c>
      <c r="E392" s="3">
        <v>0</v>
      </c>
      <c r="F392" s="3">
        <v>63</v>
      </c>
      <c r="G392" s="4">
        <v>0</v>
      </c>
      <c r="H392" s="1">
        <f>SUM(C392:G392)</f>
        <v>451</v>
      </c>
      <c r="I392" s="10">
        <f>C392/H392</f>
        <v>0.86031042128603108</v>
      </c>
      <c r="J392" s="11">
        <f>1-I392</f>
        <v>0.13968957871396892</v>
      </c>
      <c r="K392">
        <f>H392-C397</f>
        <v>63</v>
      </c>
      <c r="N392" s="10">
        <f>2*(C398*I392)/(C398+I392)</f>
        <v>0.92491060786650781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56</v>
      </c>
      <c r="E393" s="1">
        <v>1</v>
      </c>
      <c r="F393" s="1">
        <v>0</v>
      </c>
      <c r="G393" s="6">
        <v>0</v>
      </c>
      <c r="H393" s="1">
        <f>SUM(C393:G393)</f>
        <v>57</v>
      </c>
      <c r="I393" s="10">
        <f>D393/H393</f>
        <v>0.98245614035087714</v>
      </c>
      <c r="J393" s="11">
        <f>1-I393</f>
        <v>1.7543859649122862E-2</v>
      </c>
      <c r="K393">
        <f>H393-D397</f>
        <v>-4</v>
      </c>
      <c r="N393" s="10">
        <f>2*(D398*I393)/(D398+I393)</f>
        <v>0.94915254237288127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2</v>
      </c>
      <c r="E394" s="27">
        <v>733</v>
      </c>
      <c r="F394" s="1">
        <v>2</v>
      </c>
      <c r="G394" s="6">
        <v>0</v>
      </c>
      <c r="H394" s="1">
        <f>SUM(C394:G394)</f>
        <v>737</v>
      </c>
      <c r="I394" s="10">
        <f>E394/H394</f>
        <v>0.99457259158751699</v>
      </c>
      <c r="J394" s="11">
        <f>1-I394</f>
        <v>5.4274084124830146E-3</v>
      </c>
      <c r="K394">
        <f>H394-E397</f>
        <v>-1</v>
      </c>
      <c r="N394" s="10">
        <f>2*(E398*I394)/(E398+I394)</f>
        <v>0.99389830508474575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2</v>
      </c>
      <c r="E395" s="1">
        <v>3</v>
      </c>
      <c r="F395" s="27">
        <v>521</v>
      </c>
      <c r="G395" s="6">
        <v>8</v>
      </c>
      <c r="H395" s="1">
        <f>SUM(C395:G395)</f>
        <v>534</v>
      </c>
      <c r="I395" s="10">
        <f>F395/H395</f>
        <v>0.97565543071161054</v>
      </c>
      <c r="J395" s="11">
        <f>1-I395</f>
        <v>2.4344569288389462E-2</v>
      </c>
      <c r="K395">
        <f>H395-F397</f>
        <v>-111</v>
      </c>
      <c r="N395" s="10">
        <f>2*(F398*I395)/(F398+I395)</f>
        <v>0.88379983036471588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1</v>
      </c>
      <c r="E396" s="8">
        <v>1</v>
      </c>
      <c r="F396" s="8">
        <v>59</v>
      </c>
      <c r="G396" s="28">
        <v>948</v>
      </c>
      <c r="H396" s="1">
        <f>SUM(C396:G396)</f>
        <v>1009</v>
      </c>
      <c r="I396" s="10">
        <f>G396/H396</f>
        <v>0.93954410307234881</v>
      </c>
      <c r="J396" s="11">
        <f>1-I396</f>
        <v>6.0455896927651187E-2</v>
      </c>
      <c r="K396">
        <f>H396-G397</f>
        <v>53</v>
      </c>
      <c r="N396" s="10">
        <f>2*(G398*I396)/(G398+I396)</f>
        <v>0.96488549618320618</v>
      </c>
      <c r="O396" s="1"/>
      <c r="P396" s="1"/>
    </row>
    <row r="397" spans="1:40" ht="15.6" x14ac:dyDescent="0.35">
      <c r="B397" s="1" t="s">
        <v>19</v>
      </c>
      <c r="C397" s="1">
        <f>SUM(C392:C396)</f>
        <v>388</v>
      </c>
      <c r="D397" s="1">
        <f>SUM(D392:D396)</f>
        <v>61</v>
      </c>
      <c r="E397" s="1">
        <f>SUM(E392:E396)</f>
        <v>738</v>
      </c>
      <c r="F397" s="1">
        <f>SUM(F392:F396)</f>
        <v>645</v>
      </c>
      <c r="G397" s="1">
        <f>SUM(G392:G396)</f>
        <v>956</v>
      </c>
      <c r="H397" s="1">
        <f>SUM(H391:H396)</f>
        <v>2788</v>
      </c>
      <c r="I397" s="13" t="s">
        <v>12</v>
      </c>
      <c r="N397" s="16"/>
      <c r="O397" s="1"/>
      <c r="P397" s="1"/>
      <c r="AM397" s="78"/>
      <c r="AN397" s="78"/>
    </row>
    <row r="398" spans="1:40" x14ac:dyDescent="0.3">
      <c r="A398" s="1" t="s">
        <v>52</v>
      </c>
      <c r="B398" s="1" t="s">
        <v>2</v>
      </c>
      <c r="C398" s="10">
        <f>C392/C397</f>
        <v>1</v>
      </c>
      <c r="D398" s="10">
        <f>D393/D397</f>
        <v>0.91803278688524592</v>
      </c>
      <c r="E398" s="10">
        <f>E394/E397</f>
        <v>0.99322493224932251</v>
      </c>
      <c r="F398" s="10">
        <f>F395/F397</f>
        <v>0.80775193798449607</v>
      </c>
      <c r="G398" s="10">
        <f>G396/G397</f>
        <v>0.99163179916317989</v>
      </c>
      <c r="H398" s="10"/>
      <c r="I398" s="14">
        <f>(C392+D393+E394+F395+G396)/H397</f>
        <v>0.94906743185078912</v>
      </c>
    </row>
    <row r="399" spans="1:40" x14ac:dyDescent="0.3">
      <c r="B399" s="1" t="s">
        <v>14</v>
      </c>
      <c r="C399" s="11">
        <f>1-C398</f>
        <v>0</v>
      </c>
      <c r="D399" s="11">
        <f>1-D398</f>
        <v>8.1967213114754078E-2</v>
      </c>
      <c r="E399" s="11">
        <f>1-E398</f>
        <v>6.7750677506774881E-3</v>
      </c>
      <c r="F399" s="11">
        <f>1-F398</f>
        <v>0.19224806201550393</v>
      </c>
      <c r="G399" s="11">
        <f>1-G398</f>
        <v>8.3682008368201055E-3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0.18219760392686118</v>
      </c>
      <c r="D403" s="31">
        <f>(D392/$L403)*$O403</f>
        <v>0</v>
      </c>
      <c r="E403" s="31">
        <f>(E392/$L403)*$O403</f>
        <v>0</v>
      </c>
      <c r="F403" s="31">
        <f>(F392/$L403)*$O403</f>
        <v>2.9583631565443951E-2</v>
      </c>
      <c r="G403" s="32">
        <f>(G392/$L403)*$O403</f>
        <v>0</v>
      </c>
      <c r="H403" s="17">
        <f>SUM(C403:G403)</f>
        <v>0.21178123549230513</v>
      </c>
      <c r="I403" s="17">
        <f>C403/H403*100</f>
        <v>86.031042128603104</v>
      </c>
      <c r="J403" s="17">
        <f>SQRT(I403*(100-I403)/(L403-1))</f>
        <v>1.6341929731874305</v>
      </c>
      <c r="K403" s="18">
        <f>100-I403</f>
        <v>13.968957871396896</v>
      </c>
      <c r="L403" s="1">
        <f>H392</f>
        <v>451</v>
      </c>
      <c r="M403">
        <v>0</v>
      </c>
      <c r="N403" s="1">
        <v>191.46</v>
      </c>
      <c r="O403" s="17">
        <f>N403/N408*100</f>
        <v>0.21178123549230513</v>
      </c>
      <c r="P403" s="52">
        <f>((O403*O403*(I403/100)*(K403/100))/(L403-1))</f>
        <v>1.1977926192619877E-5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49">(C393/$L404)*$O404</f>
        <v>0</v>
      </c>
      <c r="D404" s="34">
        <f t="shared" si="49"/>
        <v>1.0116826114268351</v>
      </c>
      <c r="E404" s="19">
        <f t="shared" si="49"/>
        <v>1.8065760918336341E-2</v>
      </c>
      <c r="F404" s="18">
        <f t="shared" si="49"/>
        <v>0</v>
      </c>
      <c r="G404" s="20">
        <f t="shared" si="49"/>
        <v>0</v>
      </c>
      <c r="H404" s="17">
        <f>SUM(C404:G404)</f>
        <v>1.0297483723451715</v>
      </c>
      <c r="I404" s="17">
        <f>D404/H404*100</f>
        <v>98.245614035087726</v>
      </c>
      <c r="J404" s="17">
        <f>SQRT(I404*(100-I404)/(L404-1))</f>
        <v>1.7543859649122773</v>
      </c>
      <c r="K404" s="18">
        <f>100-I404</f>
        <v>1.7543859649122737</v>
      </c>
      <c r="L404" s="1">
        <f>H393</f>
        <v>57</v>
      </c>
      <c r="M404">
        <v>1</v>
      </c>
      <c r="N404" s="1">
        <v>930.94</v>
      </c>
      <c r="O404" s="17">
        <f>N404/N408*100</f>
        <v>1.0297483723451715</v>
      </c>
      <c r="P404" s="52">
        <f>((O404*O404*(I404/100)*(K404/100))/(L404-1))</f>
        <v>3.2637171755848751E-4</v>
      </c>
    </row>
    <row r="405" spans="1:40" x14ac:dyDescent="0.3">
      <c r="A405" t="s">
        <v>5</v>
      </c>
      <c r="B405" s="13">
        <v>2</v>
      </c>
      <c r="C405" s="33">
        <f t="shared" si="49"/>
        <v>0</v>
      </c>
      <c r="D405" s="19">
        <f t="shared" si="49"/>
        <v>0.16844279763397479</v>
      </c>
      <c r="E405" s="34">
        <f t="shared" si="49"/>
        <v>61.734285332851762</v>
      </c>
      <c r="F405" s="19">
        <f t="shared" si="49"/>
        <v>0.16844279763397479</v>
      </c>
      <c r="G405" s="20">
        <f t="shared" si="49"/>
        <v>0</v>
      </c>
      <c r="H405" s="17">
        <f>SUM(C405:G405)</f>
        <v>62.071170928119706</v>
      </c>
      <c r="I405" s="17">
        <f>E405/H405*100</f>
        <v>99.457259158751711</v>
      </c>
      <c r="J405" s="17">
        <f>SQRT(I405*(100-I405)/(L405-1))</f>
        <v>0.27081679117168844</v>
      </c>
      <c r="K405" s="18">
        <f>100-I405</f>
        <v>0.54274084124828903</v>
      </c>
      <c r="L405" s="1">
        <f>H394</f>
        <v>737</v>
      </c>
      <c r="M405">
        <v>2</v>
      </c>
      <c r="N405" s="1">
        <v>56115.199999999997</v>
      </c>
      <c r="O405" s="17">
        <f>N405/N408*100</f>
        <v>62.071170928119713</v>
      </c>
      <c r="P405" s="52">
        <f>((O405*O405*(I405/100)*(K405/100))/(L405-1))</f>
        <v>2.8257325357063382E-2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49"/>
        <v>0</v>
      </c>
      <c r="D406" s="19">
        <f t="shared" si="49"/>
        <v>0.11673462575201357</v>
      </c>
      <c r="E406" s="19">
        <f t="shared" si="49"/>
        <v>0.17510193862802034</v>
      </c>
      <c r="F406" s="34">
        <f t="shared" si="49"/>
        <v>30.409370008399538</v>
      </c>
      <c r="G406" s="20">
        <f t="shared" si="49"/>
        <v>0.46693850300805428</v>
      </c>
      <c r="H406" s="17">
        <f>SUM(C406:G406)</f>
        <v>31.168145075787628</v>
      </c>
      <c r="I406" s="17">
        <f>F406/H406*100</f>
        <v>97.565543071161045</v>
      </c>
      <c r="J406" s="17">
        <f>SQRT(I406*(100-I406)/(L406-1))</f>
        <v>0.66755288362093512</v>
      </c>
      <c r="K406" s="18">
        <f>100-I406</f>
        <v>2.434456928838955</v>
      </c>
      <c r="L406" s="1">
        <f>H395</f>
        <v>534</v>
      </c>
      <c r="M406">
        <v>3</v>
      </c>
      <c r="N406" s="1">
        <v>28177.439999999999</v>
      </c>
      <c r="O406" s="17">
        <f>N406/N408*100</f>
        <v>31.168145075787624</v>
      </c>
      <c r="P406" s="52">
        <f>((O406*O406*(I406/100)*(K406/100))/(L406-1))</f>
        <v>4.3290566186402819E-2</v>
      </c>
    </row>
    <row r="407" spans="1:40" x14ac:dyDescent="0.3">
      <c r="A407" t="s">
        <v>7</v>
      </c>
      <c r="B407" s="13">
        <v>4</v>
      </c>
      <c r="C407" s="35">
        <f t="shared" si="49"/>
        <v>0</v>
      </c>
      <c r="D407" s="36">
        <f t="shared" si="49"/>
        <v>5.4699250626909831E-3</v>
      </c>
      <c r="E407" s="21">
        <f t="shared" si="49"/>
        <v>5.4699250626909831E-3</v>
      </c>
      <c r="F407" s="21">
        <f t="shared" si="49"/>
        <v>0.322725578698768</v>
      </c>
      <c r="G407" s="37">
        <f t="shared" si="49"/>
        <v>5.1854889594310514</v>
      </c>
      <c r="H407" s="17">
        <f>SUM(C407:G407)</f>
        <v>5.5191543882552017</v>
      </c>
      <c r="I407" s="17">
        <f>G407/H407*100</f>
        <v>93.95441030723488</v>
      </c>
      <c r="J407" s="17">
        <f>SQRT(I407*(100-I407)/(L407-1))</f>
        <v>0.75066756966190251</v>
      </c>
      <c r="K407" s="18">
        <f>100-I407</f>
        <v>6.0455896927651196</v>
      </c>
      <c r="L407" s="1">
        <f>H396</f>
        <v>1009</v>
      </c>
      <c r="M407">
        <v>4</v>
      </c>
      <c r="N407" s="1">
        <v>4989.57</v>
      </c>
      <c r="O407" s="17">
        <f>N407/N408*100</f>
        <v>5.5191543882552017</v>
      </c>
      <c r="P407" s="52">
        <f>((O407*O407*(I407/100)*(K407/100))/(L407-1))</f>
        <v>1.716486505269304E-3</v>
      </c>
      <c r="AM407" s="78"/>
      <c r="AN407" s="78"/>
    </row>
    <row r="408" spans="1:40" x14ac:dyDescent="0.3">
      <c r="B408" t="s">
        <v>28</v>
      </c>
      <c r="C408" s="17">
        <f t="shared" ref="C408:H408" si="50">SUM(C403:C407)</f>
        <v>0.18219760392686118</v>
      </c>
      <c r="D408" s="17">
        <f t="shared" si="50"/>
        <v>1.3023299598755147</v>
      </c>
      <c r="E408" s="17">
        <f t="shared" si="50"/>
        <v>61.932922957460811</v>
      </c>
      <c r="F408" s="17">
        <f t="shared" si="50"/>
        <v>30.930122016297727</v>
      </c>
      <c r="G408" s="17">
        <f t="shared" si="50"/>
        <v>5.652427462439106</v>
      </c>
      <c r="H408" s="18">
        <f t="shared" si="50"/>
        <v>100.00000000000001</v>
      </c>
      <c r="I408" s="13" t="s">
        <v>24</v>
      </c>
      <c r="J408" s="12" t="s">
        <v>29</v>
      </c>
      <c r="N408" s="1">
        <f>SUM(N403:N407)</f>
        <v>90404.609999999986</v>
      </c>
      <c r="O408" s="17">
        <f>SUM(O403:O407)</f>
        <v>100.00000000000001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3.457075006122625E-3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0.14589891767606369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0.19680531823944919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0.24296399140698355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0.16899832015823044</v>
      </c>
      <c r="H409" s="1"/>
      <c r="I409" s="56">
        <f>(C403+D404+E405+F406+G407)/H408</f>
        <v>0.98523024516036029</v>
      </c>
      <c r="J409" s="53">
        <f>SQRT(SUM(P403:P407))/100</f>
        <v>2.7129822648238344E-3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77.682510776572968</v>
      </c>
      <c r="E410" s="17">
        <f>E405/E408*100</f>
        <v>99.679269740352012</v>
      </c>
      <c r="F410" s="17">
        <f>F406/F408*100</f>
        <v>98.316359671572613</v>
      </c>
      <c r="G410" s="17">
        <f>G407/G408*100</f>
        <v>91.739150902671412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9.1811959510983261</v>
      </c>
      <c r="E411" s="18">
        <f>SQRT((E414+E415)/(E408*E408))</f>
        <v>0.16545042688317815</v>
      </c>
      <c r="F411" s="18">
        <f>SQRT((F414+F415)/(F408*F408))</f>
        <v>0.41581477961496099</v>
      </c>
      <c r="G411" s="18">
        <f>SQRT((G414+G415)/(G408*G408))</f>
        <v>2.7297287774265722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22.317489223427032</v>
      </c>
      <c r="E412" s="18">
        <f>100-E410</f>
        <v>0.32073025964798774</v>
      </c>
      <c r="F412" s="18">
        <f>100-F410</f>
        <v>1.6836403284273871</v>
      </c>
      <c r="G412" s="18">
        <f>100-G410</f>
        <v>8.2608490973285882</v>
      </c>
    </row>
    <row r="413" spans="1:40" ht="15.6" x14ac:dyDescent="0.35">
      <c r="B413" s="1" t="s">
        <v>25</v>
      </c>
      <c r="C413" s="1">
        <f>C397</f>
        <v>388</v>
      </c>
      <c r="D413" s="1">
        <f>D397</f>
        <v>61</v>
      </c>
      <c r="E413" s="1">
        <f>E397</f>
        <v>738</v>
      </c>
      <c r="F413" s="1">
        <f>F397</f>
        <v>645</v>
      </c>
      <c r="G413" s="1">
        <f>G397</f>
        <v>956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16.255606751276925</v>
      </c>
      <c r="E414" s="18">
        <f>(O405*O405*(100-E410)*(100-E410)*(I405)*(100-I405))/((L405-1)*100)</f>
        <v>0.29067717036655638</v>
      </c>
      <c r="F414" s="18">
        <f>(O406*O406*(100-F410)*(100-F410)*(I406)*(100-I406))/((L406-1)*100)</f>
        <v>12.271337640321889</v>
      </c>
      <c r="G414" s="18">
        <f>(O407*O407*(100-G410)*(100-G410)*(I407)*(100-I407))/((L407-1)*100)</f>
        <v>11.7135833231475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126.71296415835853</v>
      </c>
      <c r="E415" s="18">
        <f>E410*E410*(SUM((H403*E403*(1-E392/H392))/(H392-1),(H404*E404*(1-E393/H393))/(H393-1), (H406*E406*(1-E395/H395))/(H395-1),(H407*E407*(1-E396/H396))/(H396-1)))</f>
        <v>104.70681798719782</v>
      </c>
      <c r="F415" s="18">
        <f>F410*F410*(SUM((H403*F403*(1-F392/H392))/(H392-1),(H404*F404*(1-F393/H393))/(H393-1), (H405*F405*(1-F394/H394))/(H394-1),(H407*F407*(1-F396/H396))/(H396-1)))</f>
        <v>153.13917589209902</v>
      </c>
      <c r="G415" s="18">
        <f>G410*G410*(SUM((H403*G403*(1-G392/H392))/(H392-1),(H404*G404*(1-G393/H393))/(H393-1), (H405*G405*(1-G394/H394))/(H394-1),(H406*G406*(1-G395/H395))/(H395-1)))</f>
        <v>226.3587847974741</v>
      </c>
      <c r="AM415" s="78"/>
      <c r="AN415" s="78"/>
    </row>
    <row r="417" spans="1:40" x14ac:dyDescent="0.3">
      <c r="AM417" s="78"/>
      <c r="AN417" s="78"/>
    </row>
    <row r="418" spans="1:40" x14ac:dyDescent="0.3">
      <c r="A418" s="348" t="s">
        <v>382</v>
      </c>
      <c r="B418" s="348"/>
      <c r="C418" s="348"/>
      <c r="D418" s="348"/>
      <c r="E418" s="348"/>
      <c r="F418" s="348"/>
      <c r="G418" s="348"/>
      <c r="H418" s="348"/>
      <c r="I418" s="348"/>
      <c r="J418" s="348"/>
      <c r="K418" s="348"/>
      <c r="L418" s="348" t="s">
        <v>87</v>
      </c>
      <c r="M418" s="348"/>
      <c r="N418" s="348"/>
      <c r="O418" s="348"/>
      <c r="P418" s="348"/>
    </row>
    <row r="419" spans="1:40" x14ac:dyDescent="0.3">
      <c r="A419" t="s">
        <v>15</v>
      </c>
      <c r="B419" t="s">
        <v>21</v>
      </c>
      <c r="I419" s="1" t="s">
        <v>53</v>
      </c>
      <c r="O419" s="142"/>
      <c r="P419" s="142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51</v>
      </c>
      <c r="O420" s="13"/>
      <c r="P420" s="13"/>
    </row>
    <row r="421" spans="1:40" x14ac:dyDescent="0.3">
      <c r="A421" t="s">
        <v>3</v>
      </c>
      <c r="B421" s="13">
        <v>0</v>
      </c>
      <c r="C421" s="26">
        <v>182</v>
      </c>
      <c r="D421" s="3">
        <v>0</v>
      </c>
      <c r="E421" s="3">
        <v>0</v>
      </c>
      <c r="F421" s="3">
        <v>269</v>
      </c>
      <c r="G421" s="4">
        <v>0</v>
      </c>
      <c r="H421" s="1">
        <f>SUM(C421:G421)</f>
        <v>451</v>
      </c>
      <c r="I421" s="10">
        <f>C421/H421</f>
        <v>0.40354767184035478</v>
      </c>
      <c r="J421" s="11">
        <f>1-I421</f>
        <v>0.59645232815964522</v>
      </c>
      <c r="K421">
        <f>H421-C426</f>
        <v>269</v>
      </c>
      <c r="N421" s="10">
        <f>2*(C427*I421)/(C427+I421)</f>
        <v>0.57503949447077407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55</v>
      </c>
      <c r="E422" s="1">
        <v>2</v>
      </c>
      <c r="F422" s="1">
        <v>0</v>
      </c>
      <c r="G422" s="6">
        <v>0</v>
      </c>
      <c r="H422" s="1">
        <f>SUM(C422:G422)</f>
        <v>57</v>
      </c>
      <c r="I422" s="10">
        <f>D422/H422</f>
        <v>0.96491228070175439</v>
      </c>
      <c r="J422" s="11">
        <f>1-I422</f>
        <v>3.5087719298245612E-2</v>
      </c>
      <c r="K422">
        <f>H422-D426</f>
        <v>-2</v>
      </c>
      <c r="N422" s="10">
        <f>2*(D427*I422)/(D427+I422)</f>
        <v>0.94827586206896541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0</v>
      </c>
      <c r="E423" s="27">
        <v>735</v>
      </c>
      <c r="F423" s="1">
        <v>2</v>
      </c>
      <c r="G423" s="6">
        <v>0</v>
      </c>
      <c r="H423" s="1">
        <f>SUM(C423:G423)</f>
        <v>737</v>
      </c>
      <c r="I423" s="10">
        <f>E423/H423</f>
        <v>0.99728629579375849</v>
      </c>
      <c r="J423" s="11">
        <f>1-I423</f>
        <v>2.7137042062415073E-3</v>
      </c>
      <c r="K423">
        <f>H423-E426</f>
        <v>-4</v>
      </c>
      <c r="N423" s="10">
        <f>2*(E427*I423)/(E427+I423)</f>
        <v>0.99458728010825448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0</v>
      </c>
      <c r="E424" s="1">
        <v>4</v>
      </c>
      <c r="F424" s="27">
        <v>522</v>
      </c>
      <c r="G424" s="6">
        <v>8</v>
      </c>
      <c r="H424" s="1">
        <f>SUM(C424:G424)</f>
        <v>534</v>
      </c>
      <c r="I424" s="10">
        <f>F424/H424</f>
        <v>0.97752808988764039</v>
      </c>
      <c r="J424" s="11">
        <f>1-I424</f>
        <v>2.2471910112359605E-2</v>
      </c>
      <c r="K424">
        <f>H424-F426</f>
        <v>-307</v>
      </c>
      <c r="N424" s="10">
        <f>2*(F427*I424)/(F427+I424)</f>
        <v>0.75927272727272743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4</v>
      </c>
      <c r="E425" s="8">
        <v>0</v>
      </c>
      <c r="F425" s="8">
        <v>48</v>
      </c>
      <c r="G425" s="28">
        <v>957</v>
      </c>
      <c r="H425" s="1">
        <f>SUM(C425:G425)</f>
        <v>1009</v>
      </c>
      <c r="I425" s="10">
        <f>G425/H425</f>
        <v>0.94846382556987119</v>
      </c>
      <c r="J425" s="11">
        <f>1-I425</f>
        <v>5.1536174430128812E-2</v>
      </c>
      <c r="K425">
        <f>H425-G426</f>
        <v>44</v>
      </c>
      <c r="N425" s="10">
        <f>2*(G427*I425)/(G427+I425)</f>
        <v>0.96960486322188455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182</v>
      </c>
      <c r="D426" s="1">
        <f>SUM(D421:D425)</f>
        <v>59</v>
      </c>
      <c r="E426" s="1">
        <f>SUM(E421:E425)</f>
        <v>741</v>
      </c>
      <c r="F426" s="1">
        <f>SUM(F421:F425)</f>
        <v>841</v>
      </c>
      <c r="G426" s="1">
        <f>SUM(G421:G425)</f>
        <v>965</v>
      </c>
      <c r="H426" s="1">
        <f>SUM(H420:H425)</f>
        <v>2788</v>
      </c>
      <c r="I426" s="13" t="s">
        <v>12</v>
      </c>
      <c r="N426" s="16"/>
      <c r="O426" s="1"/>
      <c r="P426" s="1"/>
    </row>
    <row r="427" spans="1:40" x14ac:dyDescent="0.3">
      <c r="A427" s="1" t="s">
        <v>52</v>
      </c>
      <c r="B427" s="1" t="s">
        <v>2</v>
      </c>
      <c r="C427" s="10">
        <f>C421/C426</f>
        <v>1</v>
      </c>
      <c r="D427" s="10">
        <f>D422/D426</f>
        <v>0.93220338983050843</v>
      </c>
      <c r="E427" s="10">
        <f>E423/E426</f>
        <v>0.9919028340080972</v>
      </c>
      <c r="F427" s="10">
        <f>F424/F426</f>
        <v>0.62068965517241381</v>
      </c>
      <c r="G427" s="10">
        <f>G425/G426</f>
        <v>0.99170984455958544</v>
      </c>
      <c r="H427" s="10"/>
      <c r="I427" s="14">
        <f>(C421+D422+E423+F424+G425)/H426</f>
        <v>0.87912482065997133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6.7796610169491567E-2</v>
      </c>
      <c r="E428" s="11">
        <f>1-E427</f>
        <v>8.0971659919027994E-3</v>
      </c>
      <c r="F428" s="11">
        <f>1-F427</f>
        <v>0.37931034482758619</v>
      </c>
      <c r="G428" s="11">
        <f>1-G427</f>
        <v>8.2901554404145594E-3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6.8706744623246385E-2</v>
      </c>
      <c r="D432" s="31">
        <f>(D421/$L432)*$O432</f>
        <v>0</v>
      </c>
      <c r="E432" s="31">
        <f>(E421/$L432)*$O432</f>
        <v>0</v>
      </c>
      <c r="F432" s="31">
        <f>(F421/$L432)*$O432</f>
        <v>0.1015500785915015</v>
      </c>
      <c r="G432" s="32">
        <f>(G421/$L432)*$O432</f>
        <v>0</v>
      </c>
      <c r="H432" s="17">
        <f>SUM(C432:G432)</f>
        <v>0.17025682321474789</v>
      </c>
      <c r="I432" s="17">
        <f>C432/H432*100</f>
        <v>40.354767184035481</v>
      </c>
      <c r="J432" s="17">
        <f>SQRT(I432*(100-I432)/(L432-1))</f>
        <v>2.3127518404253316</v>
      </c>
      <c r="K432" s="18">
        <f>100-I432</f>
        <v>59.645232815964519</v>
      </c>
      <c r="L432" s="1">
        <f>H421</f>
        <v>451</v>
      </c>
      <c r="M432">
        <v>0</v>
      </c>
      <c r="N432" s="1">
        <v>153.91999999999999</v>
      </c>
      <c r="O432" s="17">
        <f>N432/N437*100</f>
        <v>0.17025682321474789</v>
      </c>
      <c r="P432" s="52">
        <f>((O432*O432*(I432/100)*(K432/100))/(L432-1))</f>
        <v>1.5504834036126427E-5</v>
      </c>
    </row>
    <row r="433" spans="1:40" x14ac:dyDescent="0.3">
      <c r="A433" t="s">
        <v>4</v>
      </c>
      <c r="B433" s="13">
        <v>1</v>
      </c>
      <c r="C433" s="33">
        <f t="shared" ref="C433:G436" si="51">(C422/$L433)*$O433</f>
        <v>0</v>
      </c>
      <c r="D433" s="34">
        <f t="shared" si="51"/>
        <v>0.97699868633450615</v>
      </c>
      <c r="E433" s="19">
        <f t="shared" si="51"/>
        <v>3.5527224957618404E-2</v>
      </c>
      <c r="F433" s="18">
        <f t="shared" si="51"/>
        <v>0</v>
      </c>
      <c r="G433" s="20">
        <f t="shared" si="51"/>
        <v>0</v>
      </c>
      <c r="H433" s="17">
        <f>SUM(C433:G433)</f>
        <v>1.0125259112921245</v>
      </c>
      <c r="I433" s="17">
        <f>D433/H433*100</f>
        <v>96.491228070175438</v>
      </c>
      <c r="J433" s="17">
        <f>SQRT(I433*(100-I433)/(L433-1))</f>
        <v>2.4588241692166148</v>
      </c>
      <c r="K433" s="18">
        <f>100-I433</f>
        <v>3.5087719298245617</v>
      </c>
      <c r="L433" s="1">
        <f>H422</f>
        <v>57</v>
      </c>
      <c r="M433">
        <v>1</v>
      </c>
      <c r="N433" s="1">
        <v>915.37</v>
      </c>
      <c r="O433" s="17">
        <f>N433/N437*100</f>
        <v>1.0125259112921245</v>
      </c>
      <c r="P433" s="52">
        <f>((O433*O433*(I433/100)*(K433/100))/(L433-1))</f>
        <v>6.1982235915542254E-4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51"/>
        <v>0</v>
      </c>
      <c r="D434" s="19">
        <f t="shared" si="51"/>
        <v>0</v>
      </c>
      <c r="E434" s="34">
        <f t="shared" si="51"/>
        <v>61.813844224752785</v>
      </c>
      <c r="F434" s="19">
        <f t="shared" si="51"/>
        <v>0.16820093666599395</v>
      </c>
      <c r="G434" s="20">
        <f t="shared" si="51"/>
        <v>0</v>
      </c>
      <c r="H434" s="17">
        <f>SUM(C434:G434)</f>
        <v>61.982045161418782</v>
      </c>
      <c r="I434" s="17">
        <f>E434/H434*100</f>
        <v>99.728629579375834</v>
      </c>
      <c r="J434" s="17">
        <f>SQRT(I434*(100-I434)/(L434-1))</f>
        <v>0.1917574617235713</v>
      </c>
      <c r="K434" s="18">
        <f>100-I434</f>
        <v>0.27137042062416583</v>
      </c>
      <c r="L434" s="1">
        <f>H423</f>
        <v>737</v>
      </c>
      <c r="M434">
        <v>2</v>
      </c>
      <c r="N434" s="1">
        <v>56034.62</v>
      </c>
      <c r="O434" s="17">
        <f>N434/N437*100</f>
        <v>61.982045161418775</v>
      </c>
      <c r="P434" s="52">
        <f>((O434*O434*(I434/100)*(K434/100))/(L434-1))</f>
        <v>1.4126557741208953E-2</v>
      </c>
    </row>
    <row r="435" spans="1:40" x14ac:dyDescent="0.3">
      <c r="A435" t="s">
        <v>6</v>
      </c>
      <c r="B435" s="13">
        <v>3</v>
      </c>
      <c r="C435" s="33">
        <f t="shared" si="51"/>
        <v>0</v>
      </c>
      <c r="D435" s="19">
        <f t="shared" si="51"/>
        <v>0</v>
      </c>
      <c r="E435" s="19">
        <f t="shared" si="51"/>
        <v>0.23373707053668946</v>
      </c>
      <c r="F435" s="34">
        <f t="shared" si="51"/>
        <v>30.502687705037975</v>
      </c>
      <c r="G435" s="20">
        <f t="shared" si="51"/>
        <v>0.46747414107337892</v>
      </c>
      <c r="H435" s="17">
        <f>SUM(C435:G435)</f>
        <v>31.203898916648043</v>
      </c>
      <c r="I435" s="17">
        <f>F435/H435*100</f>
        <v>97.752808988764045</v>
      </c>
      <c r="J435" s="17">
        <f>SQRT(I435*(100-I435)/(L435-1))</f>
        <v>0.64197928239881541</v>
      </c>
      <c r="K435" s="18">
        <f>100-I435</f>
        <v>2.2471910112359552</v>
      </c>
      <c r="L435" s="1">
        <f>H424</f>
        <v>534</v>
      </c>
      <c r="M435">
        <v>3</v>
      </c>
      <c r="N435" s="1">
        <v>28209.759999999998</v>
      </c>
      <c r="O435" s="17">
        <f>N435/N437*100</f>
        <v>31.203898916648043</v>
      </c>
      <c r="P435" s="52">
        <f>((O435*O435*(I435/100)*(K435/100))/(L435-1))</f>
        <v>4.0129130587266824E-2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51"/>
        <v>0</v>
      </c>
      <c r="D436" s="36">
        <f t="shared" si="51"/>
        <v>2.2324175173146891E-2</v>
      </c>
      <c r="E436" s="21">
        <f t="shared" si="51"/>
        <v>0</v>
      </c>
      <c r="F436" s="21">
        <f t="shared" si="51"/>
        <v>0.2678901020777627</v>
      </c>
      <c r="G436" s="37">
        <f t="shared" si="51"/>
        <v>5.341058910175394</v>
      </c>
      <c r="H436" s="17">
        <f>SUM(C436:G436)</f>
        <v>5.631273187426304</v>
      </c>
      <c r="I436" s="17">
        <f>G436/H436*100</f>
        <v>94.846382556987109</v>
      </c>
      <c r="J436" s="17">
        <f>SQRT(I436*(100-I436)/(L436-1))</f>
        <v>0.69636383509323363</v>
      </c>
      <c r="K436" s="18">
        <f>100-I436</f>
        <v>5.1536174430128909</v>
      </c>
      <c r="L436" s="1">
        <f>H425</f>
        <v>1009</v>
      </c>
      <c r="M436">
        <v>4</v>
      </c>
      <c r="N436" s="1">
        <v>5090.93</v>
      </c>
      <c r="O436" s="17">
        <f>N436/N437*100</f>
        <v>5.6312731874263031</v>
      </c>
      <c r="P436" s="52">
        <f>((O436*O436*(I436/100)*(K436/100))/(L436-1))</f>
        <v>1.5377495549316316E-3</v>
      </c>
    </row>
    <row r="437" spans="1:40" x14ac:dyDescent="0.3">
      <c r="B437" t="s">
        <v>28</v>
      </c>
      <c r="C437" s="17">
        <f t="shared" ref="C437:H437" si="52">SUM(C432:C436)</f>
        <v>6.8706744623246385E-2</v>
      </c>
      <c r="D437" s="17">
        <f t="shared" si="52"/>
        <v>0.99932286150765304</v>
      </c>
      <c r="E437" s="17">
        <f t="shared" si="52"/>
        <v>62.083108520247094</v>
      </c>
      <c r="F437" s="17">
        <f t="shared" si="52"/>
        <v>31.040328822373233</v>
      </c>
      <c r="G437" s="17">
        <f t="shared" si="52"/>
        <v>5.8085330512487729</v>
      </c>
      <c r="H437" s="18">
        <f t="shared" si="52"/>
        <v>100</v>
      </c>
      <c r="I437" s="13" t="s">
        <v>24</v>
      </c>
      <c r="J437" s="12" t="s">
        <v>29</v>
      </c>
      <c r="N437" s="1">
        <f>SUM(N432:N436)</f>
        <v>90404.6</v>
      </c>
      <c r="O437" s="17">
        <f>SUM(O432:O436)</f>
        <v>100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3.9332499598537267E-3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2.707483256612235E-2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0.16814364063899254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0.23579827047510521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0.16865200414538012</v>
      </c>
      <c r="H438" s="1"/>
      <c r="I438" s="56">
        <f>(C432+D433+E434+F435+G436)/H437</f>
        <v>0.98703296270923901</v>
      </c>
      <c r="J438" s="53">
        <f>SQRT(SUM(P432:P436))/100</f>
        <v>2.3754739543215154E-3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97.766069802559414</v>
      </c>
      <c r="E439" s="17">
        <f>E434/E437*100</f>
        <v>99.566284127982257</v>
      </c>
      <c r="F439" s="17">
        <f>F435/F437*100</f>
        <v>98.267927120192951</v>
      </c>
      <c r="G439" s="17">
        <f>G436/G437*100</f>
        <v>91.951941446336832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1.2242063783186758</v>
      </c>
      <c r="E440" s="18">
        <f>SQRT((E443+E444)/(E437*E437))</f>
        <v>0.19129819568490944</v>
      </c>
      <c r="F440" s="18">
        <f>SQRT((F443+F444)/(F437*F437))</f>
        <v>0.41050955339863765</v>
      </c>
      <c r="G440" s="18">
        <f>SQRT((G443+G444)/(G437*G437))</f>
        <v>2.6553620639614786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2.2339301974405856</v>
      </c>
      <c r="E441" s="18">
        <f>100-E439</f>
        <v>0.43371587201774275</v>
      </c>
      <c r="F441" s="18">
        <f>100-F439</f>
        <v>1.732072879807049</v>
      </c>
      <c r="G441" s="18">
        <f>100-G439</f>
        <v>8.0480585536631679</v>
      </c>
      <c r="AM441" s="78"/>
      <c r="AN441" s="78"/>
    </row>
    <row r="442" spans="1:40" ht="15.6" x14ac:dyDescent="0.35">
      <c r="B442" s="1" t="s">
        <v>25</v>
      </c>
      <c r="C442" s="1">
        <f>C426</f>
        <v>182</v>
      </c>
      <c r="D442" s="1">
        <f>D426</f>
        <v>59</v>
      </c>
      <c r="E442" s="1">
        <f>E426</f>
        <v>741</v>
      </c>
      <c r="F442" s="1">
        <f>F426</f>
        <v>841</v>
      </c>
      <c r="G442" s="1">
        <f>G426</f>
        <v>965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0.30931888520533557</v>
      </c>
      <c r="E443" s="18">
        <f>(O434*O434*(100-E439)*(100-E439)*(I434)*(100-I434))/((L434-1)*100)</f>
        <v>0.26573391150205278</v>
      </c>
      <c r="F443" s="18">
        <f>(O435*O435*(100-F439)*(100-F439)*(I435)*(100-I435))/((L435-1)*100)</f>
        <v>12.039046007377291</v>
      </c>
      <c r="G443" s="18">
        <f>(O436*O436*(100-G439)*(100-G439)*(I436)*(100-I436))/((L436-1)*100)</f>
        <v>9.9601955451893787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1.1873334291475717</v>
      </c>
      <c r="E444" s="18">
        <f>E439*E439*(SUM((H432*E432*(1-E421/H421))/(H421-1),(H433*E433*(1-E422/H422))/(H422-1), (H435*E435*(1-E424/H424))/(H424-1),(H436*E436*(1-E425/H425))/(H425-1)))</f>
        <v>140.78282576907549</v>
      </c>
      <c r="F444" s="18">
        <f>F439*F439*(SUM((H432*F432*(1-F421/H421))/(H421-1),(H433*F433*(1-F422/H422))/(H422-1), (H434*F434*(1-F423/H423))/(H423-1),(H436*F436*(1-F425/H425))/(H425-1)))</f>
        <v>150.3284763084271</v>
      </c>
      <c r="G444" s="18">
        <f>G439*G439*(SUM((H432*G432*(1-G421/H421))/(H421-1),(H433*G433*(1-G422/H422))/(H422-1), (H434*G434*(1-G423/H423))/(H423-1),(H435*G435*(1-G424/H424))/(H424-1)))</f>
        <v>227.9321249079926</v>
      </c>
    </row>
    <row r="445" spans="1:40" x14ac:dyDescent="0.3">
      <c r="AM445" s="78"/>
      <c r="AN445" s="78"/>
    </row>
    <row r="447" spans="1:40" x14ac:dyDescent="0.3">
      <c r="A447" s="348" t="s">
        <v>382</v>
      </c>
      <c r="B447" s="348"/>
      <c r="C447" s="348"/>
      <c r="D447" s="348"/>
      <c r="E447" s="348"/>
      <c r="F447" s="348"/>
      <c r="G447" s="348"/>
      <c r="H447" s="348"/>
      <c r="I447" s="348"/>
      <c r="J447" s="348"/>
      <c r="K447" s="348"/>
      <c r="L447" s="348" t="s">
        <v>88</v>
      </c>
      <c r="M447" s="348"/>
      <c r="N447" s="348"/>
      <c r="O447" s="348"/>
      <c r="P447" s="348"/>
      <c r="AM447" s="78"/>
      <c r="AN447" s="78"/>
    </row>
    <row r="448" spans="1:40" x14ac:dyDescent="0.3">
      <c r="A448" t="s">
        <v>15</v>
      </c>
      <c r="B448" t="s">
        <v>21</v>
      </c>
      <c r="I448" s="1" t="s">
        <v>53</v>
      </c>
      <c r="O448" s="142"/>
      <c r="P448" s="142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51</v>
      </c>
      <c r="O449" s="13"/>
      <c r="P449" s="13"/>
      <c r="AM449" s="78"/>
      <c r="AN449" s="78"/>
    </row>
    <row r="450" spans="1:40" x14ac:dyDescent="0.3">
      <c r="A450" t="s">
        <v>3</v>
      </c>
      <c r="B450" s="13">
        <v>0</v>
      </c>
      <c r="C450" s="26">
        <v>362</v>
      </c>
      <c r="D450" s="3">
        <v>0</v>
      </c>
      <c r="E450" s="3">
        <v>0</v>
      </c>
      <c r="F450" s="3">
        <v>89</v>
      </c>
      <c r="G450" s="4">
        <v>0</v>
      </c>
      <c r="H450" s="1">
        <f>SUM(C450:G450)</f>
        <v>451</v>
      </c>
      <c r="I450" s="10">
        <f>C450/H450</f>
        <v>0.80266075388026603</v>
      </c>
      <c r="J450" s="11">
        <f>1-I450</f>
        <v>0.19733924611973397</v>
      </c>
      <c r="K450">
        <f>H450-C455</f>
        <v>89</v>
      </c>
      <c r="N450" s="10">
        <f>2*(C456*I450)/(C456+I450)</f>
        <v>0.89052890528905282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55</v>
      </c>
      <c r="E451" s="1">
        <v>2</v>
      </c>
      <c r="F451" s="1">
        <v>0</v>
      </c>
      <c r="G451" s="6">
        <v>0</v>
      </c>
      <c r="H451" s="1">
        <f>SUM(C451:G451)</f>
        <v>57</v>
      </c>
      <c r="I451" s="10">
        <f>D451/H451</f>
        <v>0.96491228070175439</v>
      </c>
      <c r="J451" s="11">
        <f>1-I451</f>
        <v>3.5087719298245612E-2</v>
      </c>
      <c r="K451">
        <f>H451-D455</f>
        <v>1</v>
      </c>
      <c r="N451" s="10">
        <f>2*(D456*I451)/(D456+I451)</f>
        <v>0.97345132743362828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1</v>
      </c>
      <c r="E452" s="27">
        <v>735</v>
      </c>
      <c r="F452" s="1">
        <v>1</v>
      </c>
      <c r="G452" s="6">
        <v>0</v>
      </c>
      <c r="H452" s="1">
        <f>SUM(C452:G452)</f>
        <v>737</v>
      </c>
      <c r="I452" s="10">
        <f>E452/H452</f>
        <v>0.99728629579375849</v>
      </c>
      <c r="J452" s="11">
        <f>1-I452</f>
        <v>2.7137042062415073E-3</v>
      </c>
      <c r="K452">
        <f>H452-E455</f>
        <v>-3</v>
      </c>
      <c r="N452" s="10">
        <f>2*(E456*I452)/(E456+I452)</f>
        <v>0.99526066350710907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0</v>
      </c>
      <c r="E453" s="1">
        <v>3</v>
      </c>
      <c r="F453" s="27">
        <v>520</v>
      </c>
      <c r="G453" s="6">
        <v>11</v>
      </c>
      <c r="H453" s="1">
        <f>SUM(C453:G453)</f>
        <v>534</v>
      </c>
      <c r="I453" s="10">
        <f>F453/H453</f>
        <v>0.97378277153558057</v>
      </c>
      <c r="J453" s="11">
        <f>1-I453</f>
        <v>2.6217228464419429E-2</v>
      </c>
      <c r="K453">
        <f>H453-F455</f>
        <v>-106</v>
      </c>
      <c r="N453" s="10">
        <f>2*(F456*I453)/(F456+I453)</f>
        <v>0.88586030664395221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0</v>
      </c>
      <c r="E454" s="8">
        <v>0</v>
      </c>
      <c r="F454" s="8">
        <v>30</v>
      </c>
      <c r="G454" s="28">
        <v>979</v>
      </c>
      <c r="H454" s="1">
        <f>SUM(C454:G454)</f>
        <v>1009</v>
      </c>
      <c r="I454" s="10">
        <f>G454/H454</f>
        <v>0.97026759167492571</v>
      </c>
      <c r="J454" s="11">
        <f>1-I454</f>
        <v>2.9732408325074289E-2</v>
      </c>
      <c r="K454">
        <f>H454-G455</f>
        <v>19</v>
      </c>
      <c r="N454" s="10">
        <f>2*(G456*I454)/(G456+I454)</f>
        <v>0.97948974487243634</v>
      </c>
      <c r="O454" s="1"/>
      <c r="P454" s="1"/>
    </row>
    <row r="455" spans="1:40" ht="15.6" x14ac:dyDescent="0.35">
      <c r="B455" s="1" t="s">
        <v>19</v>
      </c>
      <c r="C455" s="1">
        <f>SUM(C450:C454)</f>
        <v>362</v>
      </c>
      <c r="D455" s="1">
        <f>SUM(D450:D454)</f>
        <v>56</v>
      </c>
      <c r="E455" s="1">
        <f>SUM(E450:E454)</f>
        <v>740</v>
      </c>
      <c r="F455" s="1">
        <f>SUM(F450:F454)</f>
        <v>640</v>
      </c>
      <c r="G455" s="1">
        <f>SUM(G450:G454)</f>
        <v>990</v>
      </c>
      <c r="H455" s="1">
        <f>SUM(H449:H454)</f>
        <v>2788</v>
      </c>
      <c r="I455" s="13" t="s">
        <v>12</v>
      </c>
      <c r="N455" s="16"/>
      <c r="O455" s="1"/>
      <c r="P455" s="1"/>
      <c r="AM455" s="78"/>
      <c r="AN455" s="78"/>
    </row>
    <row r="456" spans="1:40" x14ac:dyDescent="0.3">
      <c r="A456" s="1" t="s">
        <v>52</v>
      </c>
      <c r="B456" s="1" t="s">
        <v>2</v>
      </c>
      <c r="C456" s="10">
        <f>C450/C455</f>
        <v>1</v>
      </c>
      <c r="D456" s="10">
        <f>D451/D455</f>
        <v>0.9821428571428571</v>
      </c>
      <c r="E456" s="10">
        <f>E452/E455</f>
        <v>0.9932432432432432</v>
      </c>
      <c r="F456" s="10">
        <f>F453/F455</f>
        <v>0.8125</v>
      </c>
      <c r="G456" s="10">
        <f>G454/G455</f>
        <v>0.98888888888888893</v>
      </c>
      <c r="H456" s="10"/>
      <c r="I456" s="14">
        <f>(C450+D451+E452+F453+G454)/H455</f>
        <v>0.95086083213773309</v>
      </c>
    </row>
    <row r="457" spans="1:40" x14ac:dyDescent="0.3">
      <c r="B457" s="1" t="s">
        <v>14</v>
      </c>
      <c r="C457" s="11">
        <f>1-C456</f>
        <v>0</v>
      </c>
      <c r="D457" s="11">
        <f>1-D456</f>
        <v>1.7857142857142905E-2</v>
      </c>
      <c r="E457" s="11">
        <f>1-E456</f>
        <v>6.7567567567567988E-3</v>
      </c>
      <c r="F457" s="11">
        <f>1-F456</f>
        <v>0.1875</v>
      </c>
      <c r="G457" s="11">
        <f>1-G456</f>
        <v>1.1111111111111072E-2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0.15624450950880625</v>
      </c>
      <c r="D461" s="31">
        <f>(D450/$L461)*$O461</f>
        <v>0</v>
      </c>
      <c r="E461" s="31">
        <f>(E450/$L461)*$O461</f>
        <v>0</v>
      </c>
      <c r="F461" s="31">
        <f>(F450/$L461)*$O461</f>
        <v>3.8413705376474469E-2</v>
      </c>
      <c r="G461" s="32">
        <f>(G450/$L461)*$O461</f>
        <v>0</v>
      </c>
      <c r="H461" s="17">
        <f>SUM(C461:G461)</f>
        <v>0.19465821488528073</v>
      </c>
      <c r="I461" s="17">
        <f>C461/H461*100</f>
        <v>80.266075388026607</v>
      </c>
      <c r="J461" s="17">
        <f>SQRT(I461*(100-I461)/(L461-1))</f>
        <v>1.8761453868126592</v>
      </c>
      <c r="K461" s="18">
        <f>100-I461</f>
        <v>19.733924611973393</v>
      </c>
      <c r="L461" s="1">
        <f>H450</f>
        <v>451</v>
      </c>
      <c r="M461">
        <v>0</v>
      </c>
      <c r="N461" s="1">
        <v>175.98</v>
      </c>
      <c r="O461" s="17">
        <f>N461/N466*100</f>
        <v>0.19465821488528073</v>
      </c>
      <c r="P461" s="52">
        <f>((O461*O461*(I461/100)*(K461/100))/(L461-1))</f>
        <v>1.333762345547344E-5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53">(C451/$L462)*$O462</f>
        <v>0</v>
      </c>
      <c r="D462" s="34">
        <f t="shared" si="53"/>
        <v>1.0200438524834814</v>
      </c>
      <c r="E462" s="19">
        <f t="shared" si="53"/>
        <v>3.7092503726672048E-2</v>
      </c>
      <c r="F462" s="18">
        <f t="shared" si="53"/>
        <v>0</v>
      </c>
      <c r="G462" s="20">
        <f t="shared" si="53"/>
        <v>0</v>
      </c>
      <c r="H462" s="17">
        <f>SUM(C462:G462)</f>
        <v>1.0571363562101534</v>
      </c>
      <c r="I462" s="17">
        <f>D462/H462*100</f>
        <v>96.491228070175438</v>
      </c>
      <c r="J462" s="17">
        <f>SQRT(I462*(100-I462)/(L462-1))</f>
        <v>2.4588241692166148</v>
      </c>
      <c r="K462" s="18">
        <f>100-I462</f>
        <v>3.5087719298245617</v>
      </c>
      <c r="L462" s="1">
        <f>H451</f>
        <v>57</v>
      </c>
      <c r="M462">
        <v>1</v>
      </c>
      <c r="N462" s="1">
        <v>955.7</v>
      </c>
      <c r="O462" s="17">
        <f>N462/N466*100</f>
        <v>1.0571363562101534</v>
      </c>
      <c r="P462" s="52">
        <f>((O462*O462*(I462/100)*(K462/100))/(L462-1))</f>
        <v>6.7564250713593682E-4</v>
      </c>
    </row>
    <row r="463" spans="1:40" x14ac:dyDescent="0.3">
      <c r="A463" t="s">
        <v>5</v>
      </c>
      <c r="B463" s="13">
        <v>2</v>
      </c>
      <c r="C463" s="33">
        <f t="shared" si="53"/>
        <v>0</v>
      </c>
      <c r="D463" s="19">
        <f t="shared" si="53"/>
        <v>8.3833770141112332E-2</v>
      </c>
      <c r="E463" s="34">
        <f t="shared" si="53"/>
        <v>61.61782105371757</v>
      </c>
      <c r="F463" s="19">
        <f t="shared" si="53"/>
        <v>8.3833770141112332E-2</v>
      </c>
      <c r="G463" s="20">
        <f t="shared" si="53"/>
        <v>0</v>
      </c>
      <c r="H463" s="17">
        <f>SUM(C463:G463)</f>
        <v>61.785488593999794</v>
      </c>
      <c r="I463" s="17">
        <f>E463/H463*100</f>
        <v>99.728629579375848</v>
      </c>
      <c r="J463" s="17">
        <f>SQRT(I463*(100-I463)/(L463-1))</f>
        <v>0.19175746172356631</v>
      </c>
      <c r="K463" s="18">
        <f>100-I463</f>
        <v>0.27137042062415162</v>
      </c>
      <c r="L463" s="1">
        <f>H452</f>
        <v>737</v>
      </c>
      <c r="M463">
        <v>2</v>
      </c>
      <c r="N463" s="1">
        <v>55856.93</v>
      </c>
      <c r="O463" s="17">
        <f>N463/N466*100</f>
        <v>61.785488593999794</v>
      </c>
      <c r="P463" s="52">
        <f>((O463*O463*(I463/100)*(K463/100))/(L463-1))</f>
        <v>1.4037103931558543E-2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53"/>
        <v>0</v>
      </c>
      <c r="D464" s="19">
        <f t="shared" si="53"/>
        <v>0</v>
      </c>
      <c r="E464" s="19">
        <f t="shared" si="53"/>
        <v>0.17446870553281379</v>
      </c>
      <c r="F464" s="34">
        <f t="shared" si="53"/>
        <v>30.241242292354396</v>
      </c>
      <c r="G464" s="20">
        <f t="shared" si="53"/>
        <v>0.63971858695365058</v>
      </c>
      <c r="H464" s="17">
        <f>SUM(C464:G464)</f>
        <v>31.055429584840862</v>
      </c>
      <c r="I464" s="17">
        <f>F464/H464*100</f>
        <v>97.378277153558045</v>
      </c>
      <c r="J464" s="17">
        <f>SQRT(I464*(100-I464)/(L464-1))</f>
        <v>0.69208721749797519</v>
      </c>
      <c r="K464" s="18">
        <f>100-I464</f>
        <v>2.6217228464419549</v>
      </c>
      <c r="L464" s="1">
        <f>H453</f>
        <v>534</v>
      </c>
      <c r="M464">
        <v>3</v>
      </c>
      <c r="N464" s="1">
        <v>28075.54</v>
      </c>
      <c r="O464" s="17">
        <f>N464/N466*100</f>
        <v>31.055429584840859</v>
      </c>
      <c r="P464" s="52">
        <f>((O464*O464*(I464/100)*(K464/100))/(L464-1))</f>
        <v>4.6195187961424494E-2</v>
      </c>
    </row>
    <row r="465" spans="1:40" x14ac:dyDescent="0.3">
      <c r="A465" t="s">
        <v>7</v>
      </c>
      <c r="B465" s="13">
        <v>4</v>
      </c>
      <c r="C465" s="35">
        <f t="shared" si="53"/>
        <v>0</v>
      </c>
      <c r="D465" s="36">
        <f t="shared" si="53"/>
        <v>0</v>
      </c>
      <c r="E465" s="21">
        <f t="shared" si="53"/>
        <v>0</v>
      </c>
      <c r="F465" s="21">
        <f t="shared" si="53"/>
        <v>0.17563787661240554</v>
      </c>
      <c r="G465" s="37">
        <f t="shared" si="53"/>
        <v>5.7316493734515017</v>
      </c>
      <c r="H465" s="17">
        <f>SUM(C465:G465)</f>
        <v>5.9072872500639075</v>
      </c>
      <c r="I465" s="17">
        <f>G465/H465*100</f>
        <v>97.026759167492557</v>
      </c>
      <c r="J465" s="17">
        <f>SQRT(I465*(100-I465)/(L465-1))</f>
        <v>0.5349713705092437</v>
      </c>
      <c r="K465" s="18">
        <f>100-I465</f>
        <v>2.9732408325074431</v>
      </c>
      <c r="L465" s="1">
        <f>H454</f>
        <v>1009</v>
      </c>
      <c r="M465">
        <v>4</v>
      </c>
      <c r="N465" s="1">
        <v>5340.46</v>
      </c>
      <c r="O465" s="17">
        <f>N465/N466*100</f>
        <v>5.9072872500639066</v>
      </c>
      <c r="P465" s="52">
        <f>((O465*O465*(I465/100)*(K465/100))/(L465-1))</f>
        <v>9.9870508476175546E-4</v>
      </c>
      <c r="AM465" s="78"/>
      <c r="AN465" s="78"/>
    </row>
    <row r="466" spans="1:40" x14ac:dyDescent="0.3">
      <c r="B466" t="s">
        <v>28</v>
      </c>
      <c r="C466" s="17">
        <f t="shared" ref="C466:H466" si="54">SUM(C461:C465)</f>
        <v>0.15624450950880625</v>
      </c>
      <c r="D466" s="17">
        <f t="shared" si="54"/>
        <v>1.1038776226245937</v>
      </c>
      <c r="E466" s="17">
        <f t="shared" si="54"/>
        <v>61.829382262977056</v>
      </c>
      <c r="F466" s="17">
        <f t="shared" si="54"/>
        <v>30.539127644484388</v>
      </c>
      <c r="G466" s="17">
        <f t="shared" si="54"/>
        <v>6.3713679604051521</v>
      </c>
      <c r="H466" s="18">
        <f t="shared" si="54"/>
        <v>99.999999999999986</v>
      </c>
      <c r="I466" s="13" t="s">
        <v>24</v>
      </c>
      <c r="J466" s="12" t="s">
        <v>29</v>
      </c>
      <c r="N466" s="1">
        <f>SUM(N461:N465)</f>
        <v>90404.61</v>
      </c>
      <c r="O466" s="17">
        <f>SUM(O461:O465)</f>
        <v>99.999999999999986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3.6480200124183178E-3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8.7649039083415037E-2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0.15738896838192221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0.2326763167558924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0.19348119567423794</v>
      </c>
      <c r="H467" s="1"/>
      <c r="I467" s="14">
        <f>(C461+D462+E463+F464+G465)/H466</f>
        <v>0.98767001081515771</v>
      </c>
      <c r="J467" s="53">
        <f>SQRT(SUM(P461:P465))/100</f>
        <v>2.4883725024267608E-3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92.405519559152935</v>
      </c>
      <c r="E468" s="17">
        <f>E463/E466*100</f>
        <v>99.657830627581461</v>
      </c>
      <c r="F468" s="17">
        <f>F464/F466*100</f>
        <v>99.024578057376857</v>
      </c>
      <c r="G468" s="17">
        <f>G465/G466*100</f>
        <v>89.959478232474098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7.2419837300108636</v>
      </c>
      <c r="E469" s="18">
        <f>SQRT((E472+E473)/(E466*E466))</f>
        <v>0.16750958568945462</v>
      </c>
      <c r="F469" s="18">
        <f>SQRT((F472+F473)/(F466*F466))</f>
        <v>0.29874351308572672</v>
      </c>
      <c r="G469" s="18">
        <f>SQRT((G472+G473)/(G466*G466))</f>
        <v>2.7432862158089488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7.5944804408470645</v>
      </c>
      <c r="E470" s="18">
        <f>100-E468</f>
        <v>0.34216937241853884</v>
      </c>
      <c r="F470" s="18">
        <f>100-F468</f>
        <v>0.97542194262314297</v>
      </c>
      <c r="G470" s="18">
        <f>100-G468</f>
        <v>10.040521767525902</v>
      </c>
    </row>
    <row r="471" spans="1:40" ht="15.6" x14ac:dyDescent="0.35">
      <c r="B471" s="1" t="s">
        <v>25</v>
      </c>
      <c r="C471" s="1">
        <f>C455</f>
        <v>362</v>
      </c>
      <c r="D471" s="1">
        <f>D455</f>
        <v>56</v>
      </c>
      <c r="E471" s="1">
        <f>E455</f>
        <v>740</v>
      </c>
      <c r="F471" s="1">
        <f>F455</f>
        <v>640</v>
      </c>
      <c r="G471" s="1">
        <f>G455</f>
        <v>990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3.8968447214458468</v>
      </c>
      <c r="E472" s="18">
        <f>(O463*O463*(100-E468)*(100-E468)*(I463)*(100-I463))/((L463-1)*100)</f>
        <v>0.16434624357310848</v>
      </c>
      <c r="F472" s="18">
        <f>(O464*O464*(100-F468)*(100-F468)*(I464)*(100-I464))/((L464-1)*100)</f>
        <v>4.3952317631846913</v>
      </c>
      <c r="G472" s="18">
        <f>(O465*O465*(100-G468)*(100-G468)*(I465)*(100-I465))/((L465-1)*100)</f>
        <v>10.068153426898354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60.011408710266039</v>
      </c>
      <c r="E473" s="18">
        <f>E468*E468*(SUM((H461*E461*(1-E450/H450))/(H450-1),(H462*E462*(1-E451/H451))/(H451-1), (H464*E464*(1-E453/H453))/(H453-1),(H465*E465*(1-E454/H454))/(H454-1)))</f>
        <v>107.10339702605536</v>
      </c>
      <c r="F473" s="18">
        <f>F468*F468*(SUM((H461*F461*(1-F450/H450))/(H450-1),(H462*F462*(1-F451/H451))/(H451-1), (H463*F463*(1-F452/H452))/(H452-1),(H465*F465*(1-F454/H454))/(H454-1)))</f>
        <v>78.840580499191617</v>
      </c>
      <c r="G473" s="18">
        <f>G468*G468*(SUM((H461*G461*(1-G450/H450))/(H450-1),(H462*G462*(1-G451/H451))/(H451-1), (H463*G463*(1-G452/H452))/(H452-1),(H464*G464*(1-G453/H453))/(H453-1)))</f>
        <v>295.42931598644861</v>
      </c>
      <c r="AM473" s="78"/>
      <c r="AN473" s="78"/>
    </row>
    <row r="475" spans="1:40" x14ac:dyDescent="0.3">
      <c r="AM475" s="78"/>
      <c r="AN475" s="78"/>
    </row>
    <row r="476" spans="1:40" x14ac:dyDescent="0.3">
      <c r="A476" s="348" t="s">
        <v>382</v>
      </c>
      <c r="B476" s="348"/>
      <c r="C476" s="348"/>
      <c r="D476" s="348"/>
      <c r="E476" s="348"/>
      <c r="F476" s="348"/>
      <c r="G476" s="348"/>
      <c r="H476" s="348"/>
      <c r="I476" s="348"/>
      <c r="J476" s="348"/>
      <c r="K476" s="348"/>
      <c r="L476" s="348" t="s">
        <v>89</v>
      </c>
      <c r="M476" s="348"/>
      <c r="N476" s="348"/>
      <c r="O476" s="348"/>
      <c r="P476" s="348"/>
    </row>
    <row r="477" spans="1:40" x14ac:dyDescent="0.3">
      <c r="A477" t="s">
        <v>15</v>
      </c>
      <c r="B477" t="s">
        <v>21</v>
      </c>
      <c r="I477" s="1" t="s">
        <v>53</v>
      </c>
      <c r="O477" s="142"/>
      <c r="P477" s="142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51</v>
      </c>
      <c r="O478" s="13"/>
      <c r="P478" s="13"/>
    </row>
    <row r="479" spans="1:40" x14ac:dyDescent="0.3">
      <c r="A479" t="s">
        <v>3</v>
      </c>
      <c r="B479" s="13">
        <v>0</v>
      </c>
      <c r="C479" s="26">
        <v>366</v>
      </c>
      <c r="D479" s="3">
        <v>0</v>
      </c>
      <c r="E479" s="3">
        <v>0</v>
      </c>
      <c r="F479" s="3">
        <v>85</v>
      </c>
      <c r="G479" s="4">
        <v>0</v>
      </c>
      <c r="H479" s="1">
        <f>SUM(C479:G479)</f>
        <v>451</v>
      </c>
      <c r="I479" s="10">
        <f>C479/H479</f>
        <v>0.81152993348115299</v>
      </c>
      <c r="J479" s="11">
        <f>1-I479</f>
        <v>0.18847006651884701</v>
      </c>
      <c r="K479">
        <f>H479-C484</f>
        <v>85</v>
      </c>
      <c r="N479" s="10">
        <f>2*(C485*I479)/(C485+I479)</f>
        <v>0.89596083231334145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53</v>
      </c>
      <c r="E480" s="1">
        <v>2</v>
      </c>
      <c r="F480" s="1">
        <v>2</v>
      </c>
      <c r="G480" s="6">
        <v>0</v>
      </c>
      <c r="H480" s="1">
        <f>SUM(C480:G480)</f>
        <v>57</v>
      </c>
      <c r="I480" s="10">
        <f>D480/H480</f>
        <v>0.92982456140350878</v>
      </c>
      <c r="J480" s="11">
        <f>1-I480</f>
        <v>7.0175438596491224E-2</v>
      </c>
      <c r="K480">
        <f>H480-D484</f>
        <v>1</v>
      </c>
      <c r="N480" s="10">
        <f>2*(D485*I480)/(D485+I480)</f>
        <v>0.93805309734513276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0</v>
      </c>
      <c r="E481" s="27">
        <v>736</v>
      </c>
      <c r="F481" s="1">
        <v>1</v>
      </c>
      <c r="G481" s="6">
        <v>0</v>
      </c>
      <c r="H481" s="1">
        <f>SUM(C481:G481)</f>
        <v>737</v>
      </c>
      <c r="I481" s="10">
        <f>E481/H481</f>
        <v>0.99864314789687925</v>
      </c>
      <c r="J481" s="11">
        <f>1-I481</f>
        <v>1.3568521031207537E-3</v>
      </c>
      <c r="K481">
        <f>H481-E484</f>
        <v>-5</v>
      </c>
      <c r="N481" s="10">
        <f>2*(E485*I481)/(E485+I481)</f>
        <v>0.99526707234617995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2</v>
      </c>
      <c r="E482" s="1">
        <v>4</v>
      </c>
      <c r="F482" s="27">
        <v>519</v>
      </c>
      <c r="G482" s="6">
        <v>9</v>
      </c>
      <c r="H482" s="1">
        <f>SUM(C482:G482)</f>
        <v>534</v>
      </c>
      <c r="I482" s="10">
        <f>F482/H482</f>
        <v>0.9719101123595506</v>
      </c>
      <c r="J482" s="11">
        <f>1-I482</f>
        <v>2.8089887640449396E-2</v>
      </c>
      <c r="K482">
        <f>H482-F484</f>
        <v>-112</v>
      </c>
      <c r="N482" s="10">
        <f>2*(F485*I482)/(F485+I482)</f>
        <v>0.87966101694915255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1</v>
      </c>
      <c r="E483" s="8">
        <v>0</v>
      </c>
      <c r="F483" s="8">
        <v>39</v>
      </c>
      <c r="G483" s="28">
        <v>969</v>
      </c>
      <c r="H483" s="1">
        <f>SUM(C483:G483)</f>
        <v>1009</v>
      </c>
      <c r="I483" s="10">
        <f>G483/H483</f>
        <v>0.96035678889990084</v>
      </c>
      <c r="J483" s="11">
        <f>1-I483</f>
        <v>3.9643211100099163E-2</v>
      </c>
      <c r="K483">
        <f>H483-G484</f>
        <v>31</v>
      </c>
      <c r="N483" s="10">
        <f>2*(G485*I483)/(G485+I483)</f>
        <v>0.97533970810266735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366</v>
      </c>
      <c r="D484" s="1">
        <f>SUM(D479:D483)</f>
        <v>56</v>
      </c>
      <c r="E484" s="1">
        <f>SUM(E479:E483)</f>
        <v>742</v>
      </c>
      <c r="F484" s="1">
        <f>SUM(F479:F483)</f>
        <v>646</v>
      </c>
      <c r="G484" s="1">
        <f>SUM(G479:G483)</f>
        <v>978</v>
      </c>
      <c r="H484" s="1">
        <f>SUM(H478:H483)</f>
        <v>2788</v>
      </c>
      <c r="I484" s="13" t="s">
        <v>12</v>
      </c>
      <c r="N484" s="16"/>
      <c r="O484" s="1"/>
      <c r="P484" s="1"/>
    </row>
    <row r="485" spans="1:40" x14ac:dyDescent="0.3">
      <c r="A485" s="1" t="s">
        <v>52</v>
      </c>
      <c r="B485" s="1" t="s">
        <v>2</v>
      </c>
      <c r="C485" s="10">
        <f>C479/C484</f>
        <v>1</v>
      </c>
      <c r="D485" s="10">
        <f>D480/D484</f>
        <v>0.9464285714285714</v>
      </c>
      <c r="E485" s="10">
        <f>E481/E484</f>
        <v>0.99191374663072773</v>
      </c>
      <c r="F485" s="10">
        <f>F482/F484</f>
        <v>0.80340557275541791</v>
      </c>
      <c r="G485" s="10">
        <f>G483/G484</f>
        <v>0.99079754601226999</v>
      </c>
      <c r="H485" s="10"/>
      <c r="I485" s="14">
        <f>(C479+D480+E481+F482+G483)/H484</f>
        <v>0.94799139167862267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5.3571428571428603E-2</v>
      </c>
      <c r="E486" s="11">
        <f>1-E485</f>
        <v>8.0862533692722671E-3</v>
      </c>
      <c r="F486" s="11">
        <f>1-F485</f>
        <v>0.19659442724458209</v>
      </c>
      <c r="G486" s="11">
        <f>1-G485</f>
        <v>9.2024539877300082E-3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0.16055624143773092</v>
      </c>
      <c r="D490" s="31">
        <f>(D479/$L490)*$O490</f>
        <v>0</v>
      </c>
      <c r="E490" s="31">
        <f>(E479/$L490)*$O490</f>
        <v>0</v>
      </c>
      <c r="F490" s="31">
        <f>(F479/$L490)*$O490</f>
        <v>3.7287651700019478E-2</v>
      </c>
      <c r="G490" s="32">
        <f>(G479/$L490)*$O490</f>
        <v>0</v>
      </c>
      <c r="H490" s="17">
        <f>SUM(C490:G490)</f>
        <v>0.19784389313775042</v>
      </c>
      <c r="I490" s="17">
        <f>C490/H490*100</f>
        <v>81.152993348115288</v>
      </c>
      <c r="J490" s="17">
        <f>SQRT(I490*(100-I490)/(L490-1))</f>
        <v>1.8436021536668579</v>
      </c>
      <c r="K490" s="18">
        <f>100-I490</f>
        <v>18.847006651884712</v>
      </c>
      <c r="L490" s="1">
        <f>H479</f>
        <v>451</v>
      </c>
      <c r="M490">
        <v>0</v>
      </c>
      <c r="N490" s="1">
        <v>178.86</v>
      </c>
      <c r="O490" s="17">
        <f>N490/N495*100</f>
        <v>0.19784389313775042</v>
      </c>
      <c r="P490" s="52">
        <f>((O490*O490*(I490/100)*(K490/100))/(L490-1))</f>
        <v>1.3303922686654109E-5</v>
      </c>
    </row>
    <row r="491" spans="1:40" x14ac:dyDescent="0.3">
      <c r="A491" t="s">
        <v>4</v>
      </c>
      <c r="B491" s="13">
        <v>1</v>
      </c>
      <c r="C491" s="33">
        <f t="shared" ref="C491:G494" si="55">(C480/$L491)*$O491</f>
        <v>0</v>
      </c>
      <c r="D491" s="34">
        <f t="shared" si="55"/>
        <v>1.0435925662128116</v>
      </c>
      <c r="E491" s="19">
        <f t="shared" si="55"/>
        <v>3.9380851555200436E-2</v>
      </c>
      <c r="F491" s="18">
        <f t="shared" si="55"/>
        <v>3.9380851555200436E-2</v>
      </c>
      <c r="G491" s="20">
        <f t="shared" si="55"/>
        <v>0</v>
      </c>
      <c r="H491" s="17">
        <f>SUM(C491:G491)</f>
        <v>1.1223542693232127</v>
      </c>
      <c r="I491" s="17">
        <f>D491/H491*100</f>
        <v>92.982456140350848</v>
      </c>
      <c r="J491" s="17">
        <f>SQRT(I491*(100-I491)/(L491-1))</f>
        <v>3.4134933513474341</v>
      </c>
      <c r="K491" s="18">
        <f>100-I491</f>
        <v>7.0175438596491517</v>
      </c>
      <c r="L491" s="1">
        <f>H480</f>
        <v>57</v>
      </c>
      <c r="M491">
        <v>1</v>
      </c>
      <c r="N491" s="1">
        <v>1014.66</v>
      </c>
      <c r="O491" s="17">
        <f>N491/N495*100</f>
        <v>1.1223542693232125</v>
      </c>
      <c r="P491" s="52">
        <f>((O491*O491*(I491/100)*(K491/100))/(L491-1))</f>
        <v>1.4677701405049132E-3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55"/>
        <v>0</v>
      </c>
      <c r="D492" s="19">
        <f t="shared" si="55"/>
        <v>0</v>
      </c>
      <c r="E492" s="34">
        <f t="shared" si="55"/>
        <v>61.734374184122174</v>
      </c>
      <c r="F492" s="19">
        <f t="shared" si="55"/>
        <v>8.3878225793644262E-2</v>
      </c>
      <c r="G492" s="20">
        <f t="shared" si="55"/>
        <v>0</v>
      </c>
      <c r="H492" s="17">
        <f>SUM(C492:G492)</f>
        <v>61.818252409915821</v>
      </c>
      <c r="I492" s="17">
        <f>E492/H492*100</f>
        <v>99.864314789687924</v>
      </c>
      <c r="J492" s="17">
        <f>SQRT(I492*(100-I492)/(L492-1))</f>
        <v>0.13568521031207589</v>
      </c>
      <c r="K492" s="18">
        <f>100-I492</f>
        <v>0.13568521031207581</v>
      </c>
      <c r="L492" s="1">
        <f>H481</f>
        <v>737</v>
      </c>
      <c r="M492">
        <v>2</v>
      </c>
      <c r="N492" s="1">
        <v>55886.55</v>
      </c>
      <c r="O492" s="17">
        <f>N492/N495*100</f>
        <v>61.818252409915821</v>
      </c>
      <c r="P492" s="52">
        <f>((O492*O492*(I492/100)*(K492/100))/(L492-1))</f>
        <v>7.0355567622895597E-3</v>
      </c>
    </row>
    <row r="493" spans="1:40" x14ac:dyDescent="0.3">
      <c r="A493" t="s">
        <v>6</v>
      </c>
      <c r="B493" s="13">
        <v>3</v>
      </c>
      <c r="C493" s="33">
        <f t="shared" si="55"/>
        <v>0</v>
      </c>
      <c r="D493" s="19">
        <f t="shared" si="55"/>
        <v>0.11670964442676594</v>
      </c>
      <c r="E493" s="19">
        <f t="shared" si="55"/>
        <v>0.23341928885353189</v>
      </c>
      <c r="F493" s="34">
        <f t="shared" si="55"/>
        <v>30.286152728745765</v>
      </c>
      <c r="G493" s="20">
        <f t="shared" si="55"/>
        <v>0.52519339992044678</v>
      </c>
      <c r="H493" s="17">
        <f>SUM(C493:G493)</f>
        <v>31.161475061946511</v>
      </c>
      <c r="I493" s="17">
        <f>F493/H493*100</f>
        <v>97.191011235955045</v>
      </c>
      <c r="J493" s="17">
        <f>SQRT(I493*(100-I493)/(L493-1))</f>
        <v>0.71568917248320152</v>
      </c>
      <c r="K493" s="18">
        <f>100-I493</f>
        <v>2.8089887640449547</v>
      </c>
      <c r="L493" s="1">
        <f>H482</f>
        <v>534</v>
      </c>
      <c r="M493">
        <v>3</v>
      </c>
      <c r="N493" s="1">
        <v>28171.41</v>
      </c>
      <c r="O493" s="17">
        <f>N493/N495*100</f>
        <v>31.161475061946508</v>
      </c>
      <c r="P493" s="52">
        <f>((O493*O493*(I493/100)*(K493/100))/(L493-1))</f>
        <v>4.9737609512570245E-2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55"/>
        <v>0</v>
      </c>
      <c r="D494" s="36">
        <f t="shared" si="55"/>
        <v>5.64923128411963E-3</v>
      </c>
      <c r="E494" s="21">
        <f t="shared" si="55"/>
        <v>0</v>
      </c>
      <c r="F494" s="21">
        <f t="shared" si="55"/>
        <v>0.22032002008066556</v>
      </c>
      <c r="G494" s="37">
        <f t="shared" si="55"/>
        <v>5.4741051143119215</v>
      </c>
      <c r="H494" s="17">
        <f>SUM(C494:G494)</f>
        <v>5.7000743656767066</v>
      </c>
      <c r="I494" s="17">
        <f>G494/H494*100</f>
        <v>96.035678889990095</v>
      </c>
      <c r="J494" s="17">
        <f>SQRT(I494*(100-I494)/(L494-1))</f>
        <v>0.614568719872848</v>
      </c>
      <c r="K494" s="18">
        <f>100-I494</f>
        <v>3.9643211100099052</v>
      </c>
      <c r="L494" s="1">
        <f>H483</f>
        <v>1009</v>
      </c>
      <c r="M494">
        <v>4</v>
      </c>
      <c r="N494" s="1">
        <v>5153.13</v>
      </c>
      <c r="O494" s="17">
        <f>N494/N495*100</f>
        <v>5.7000743656767066</v>
      </c>
      <c r="P494" s="52">
        <f>((O494*O494*(I494/100)*(K494/100))/(L494-1))</f>
        <v>1.2271621374734176E-3</v>
      </c>
    </row>
    <row r="495" spans="1:40" x14ac:dyDescent="0.3">
      <c r="B495" t="s">
        <v>28</v>
      </c>
      <c r="C495" s="17">
        <f t="shared" ref="C495:H495" si="56">SUM(C490:C494)</f>
        <v>0.16055624143773092</v>
      </c>
      <c r="D495" s="17">
        <f t="shared" si="56"/>
        <v>1.1659514419236972</v>
      </c>
      <c r="E495" s="17">
        <f t="shared" si="56"/>
        <v>62.007174324530908</v>
      </c>
      <c r="F495" s="17">
        <f t="shared" si="56"/>
        <v>30.667019477875296</v>
      </c>
      <c r="G495" s="17">
        <f t="shared" si="56"/>
        <v>5.9992985142323683</v>
      </c>
      <c r="H495" s="18">
        <f t="shared" si="56"/>
        <v>100.00000000000001</v>
      </c>
      <c r="I495" s="13" t="s">
        <v>24</v>
      </c>
      <c r="J495" s="12" t="s">
        <v>29</v>
      </c>
      <c r="N495" s="1">
        <f>SUM(N490:N494)</f>
        <v>90404.61</v>
      </c>
      <c r="O495" s="17">
        <f>SUM(O490:O494)</f>
        <v>100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3.6434082898747495E-3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9.0878846649539144E-2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0.14592237131133698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0.24213323093340663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0.1770790257627981</v>
      </c>
      <c r="H496" s="1"/>
      <c r="I496" s="14">
        <f>(C490+D491+E492+F493+G494)/H495</f>
        <v>0.98698780834830391</v>
      </c>
      <c r="J496" s="53">
        <f>SQRT(SUM(P490:P494))/100</f>
        <v>2.4388809416518221E-3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89.505662816540081</v>
      </c>
      <c r="E497" s="17">
        <f>E492/E495*100</f>
        <v>99.560050682230795</v>
      </c>
      <c r="F497" s="17">
        <f>F493/F495*100</f>
        <v>98.758057497552684</v>
      </c>
      <c r="G497" s="17">
        <f>G494/G495*100</f>
        <v>91.245753171399784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7.2206988715327087</v>
      </c>
      <c r="E498" s="18">
        <f>SQRT((E501+E502)/(E495*E495))</f>
        <v>0.19213722514894874</v>
      </c>
      <c r="F498" s="18">
        <f>SQRT((F501+F502)/(F495*F495))</f>
        <v>0.31871122852329864</v>
      </c>
      <c r="G498" s="18">
        <f>SQRT((G501+G502)/(G495*G495))</f>
        <v>2.6915548189191889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10.494337183459919</v>
      </c>
      <c r="E499" s="18">
        <f>100-E497</f>
        <v>0.43994931776920509</v>
      </c>
      <c r="F499" s="18">
        <f>100-F497</f>
        <v>1.2419425024473156</v>
      </c>
      <c r="G499" s="18">
        <f>100-G497</f>
        <v>8.7542468286002162</v>
      </c>
      <c r="AM499" s="78"/>
      <c r="AN499" s="78"/>
    </row>
    <row r="500" spans="1:40" ht="15.6" x14ac:dyDescent="0.35">
      <c r="B500" s="1" t="s">
        <v>25</v>
      </c>
      <c r="C500" s="1">
        <f>C484</f>
        <v>366</v>
      </c>
      <c r="D500" s="1">
        <f>D484</f>
        <v>56</v>
      </c>
      <c r="E500" s="1">
        <f>E484</f>
        <v>742</v>
      </c>
      <c r="F500" s="1">
        <f>F484</f>
        <v>646</v>
      </c>
      <c r="G500" s="1">
        <f>G484</f>
        <v>978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16.164715908477024</v>
      </c>
      <c r="E501" s="18">
        <f>(O492*O492*(100-E497)*(100-E497)*(I492)*(100-I492))/((L492-1)*100)</f>
        <v>0.13617700188652074</v>
      </c>
      <c r="F501" s="18">
        <f>(O493*O493*(100-F497)*(100-F497)*(I493)*(100-I493))/((L493-1)*100)</f>
        <v>7.6716342324174196</v>
      </c>
      <c r="G501" s="18">
        <f>(O494*O494*(100-G497)*(100-G497)*(I494)*(100-I494))/((L494-1)*100)</f>
        <v>9.4045825359950683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54.714580077821481</v>
      </c>
      <c r="E502" s="18">
        <f>E497*E497*(SUM((H490*E490*(1-E479/H479))/(H479-1),(H491*E491*(1-E480/H480))/(H480-1), (H493*E493*(1-E482/H482))/(H482-1),(H494*E494*(1-E483/H483))/(H483-1)))</f>
        <v>141.80451248482012</v>
      </c>
      <c r="F502" s="18">
        <f>F497*F497*(SUM((H490*F490*(1-F479/H479))/(H479-1),(H491*F491*(1-F480/H480))/(H480-1), (H492*F492*(1-F481/H481))/(H481-1),(H494*F494*(1-F483/H483))/(H483-1)))</f>
        <v>87.85794543154374</v>
      </c>
      <c r="G502" s="18">
        <f>G497*G497*(SUM((H490*G490*(1-G479/H479))/(H479-1),(H491*G491*(1-G480/H480))/(H480-1), (H492*G492*(1-G481/H481))/(H481-1),(H493*G493*(1-G482/H482))/(H482-1)))</f>
        <v>251.33526269695054</v>
      </c>
    </row>
    <row r="503" spans="1:40" x14ac:dyDescent="0.3">
      <c r="AM503" s="78"/>
      <c r="AN503" s="78"/>
    </row>
    <row r="505" spans="1:40" x14ac:dyDescent="0.3">
      <c r="A505" s="348" t="s">
        <v>382</v>
      </c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 t="s">
        <v>90</v>
      </c>
      <c r="M505" s="348"/>
      <c r="N505" s="348"/>
      <c r="O505" s="348"/>
      <c r="P505" s="348"/>
      <c r="AM505" s="78"/>
      <c r="AN505" s="78"/>
    </row>
    <row r="506" spans="1:40" x14ac:dyDescent="0.3">
      <c r="A506" t="s">
        <v>15</v>
      </c>
      <c r="B506" t="s">
        <v>21</v>
      </c>
      <c r="I506" s="1" t="s">
        <v>53</v>
      </c>
      <c r="O506" s="142"/>
      <c r="P506" s="142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51</v>
      </c>
      <c r="O507" s="13"/>
      <c r="P507" s="13"/>
      <c r="AM507" s="78"/>
      <c r="AN507" s="78"/>
    </row>
    <row r="508" spans="1:40" x14ac:dyDescent="0.3">
      <c r="A508" t="s">
        <v>3</v>
      </c>
      <c r="B508" s="13">
        <v>0</v>
      </c>
      <c r="C508" s="26">
        <v>337</v>
      </c>
      <c r="D508" s="3">
        <v>0</v>
      </c>
      <c r="E508" s="3">
        <v>1</v>
      </c>
      <c r="F508" s="3">
        <v>113</v>
      </c>
      <c r="G508" s="4">
        <v>0</v>
      </c>
      <c r="H508" s="1">
        <f>SUM(C508:G508)</f>
        <v>451</v>
      </c>
      <c r="I508" s="10">
        <f>C508/H508</f>
        <v>0.74722838137472281</v>
      </c>
      <c r="J508" s="11">
        <f>1-I508</f>
        <v>0.25277161862527719</v>
      </c>
      <c r="K508">
        <f>H508-C513</f>
        <v>114</v>
      </c>
      <c r="N508" s="10">
        <f>2*(C514*I508)/(C514+I508)</f>
        <v>0.85532994923857875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54</v>
      </c>
      <c r="E509" s="1">
        <v>3</v>
      </c>
      <c r="F509" s="1">
        <v>0</v>
      </c>
      <c r="G509" s="6">
        <v>0</v>
      </c>
      <c r="H509" s="1">
        <f>SUM(C509:G509)</f>
        <v>57</v>
      </c>
      <c r="I509" s="10">
        <f>D509/H509</f>
        <v>0.94736842105263153</v>
      </c>
      <c r="J509" s="11">
        <f>1-I509</f>
        <v>5.2631578947368474E-2</v>
      </c>
      <c r="K509">
        <f>H509-D513</f>
        <v>-4</v>
      </c>
      <c r="N509" s="10">
        <f>2*(D514*I509)/(D514+I509)</f>
        <v>0.9152542372881356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1</v>
      </c>
      <c r="E510" s="27">
        <v>735</v>
      </c>
      <c r="F510" s="1">
        <v>1</v>
      </c>
      <c r="G510" s="6">
        <v>0</v>
      </c>
      <c r="H510" s="1">
        <f>SUM(C510:G510)</f>
        <v>737</v>
      </c>
      <c r="I510" s="10">
        <f>E510/H510</f>
        <v>0.99728629579375849</v>
      </c>
      <c r="J510" s="11">
        <f>1-I510</f>
        <v>2.7137042062415073E-3</v>
      </c>
      <c r="K510">
        <f>H510-E513</f>
        <v>-6</v>
      </c>
      <c r="N510" s="10">
        <f>2*(E514*I510)/(E514+I510)</f>
        <v>0.99324324324324331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2</v>
      </c>
      <c r="E511" s="1">
        <v>4</v>
      </c>
      <c r="F511" s="27">
        <v>522</v>
      </c>
      <c r="G511" s="6">
        <v>6</v>
      </c>
      <c r="H511" s="1">
        <f>SUM(C511:G511)</f>
        <v>534</v>
      </c>
      <c r="I511" s="10">
        <f>F511/H511</f>
        <v>0.97752808988764039</v>
      </c>
      <c r="J511" s="11">
        <f>1-I511</f>
        <v>2.2471910112359605E-2</v>
      </c>
      <c r="K511">
        <f>H511-F513</f>
        <v>-145</v>
      </c>
      <c r="N511" s="10">
        <f>2*(F514*I511)/(F514+I511)</f>
        <v>0.86067600989282778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4</v>
      </c>
      <c r="E512" s="8">
        <v>0</v>
      </c>
      <c r="F512" s="8">
        <v>43</v>
      </c>
      <c r="G512" s="28">
        <v>962</v>
      </c>
      <c r="H512" s="1">
        <f>SUM(C512:G512)</f>
        <v>1009</v>
      </c>
      <c r="I512" s="10">
        <f>G512/H512</f>
        <v>0.95341922695738357</v>
      </c>
      <c r="J512" s="11">
        <f>1-I512</f>
        <v>4.658077304261643E-2</v>
      </c>
      <c r="K512">
        <f>H512-G513</f>
        <v>41</v>
      </c>
      <c r="N512" s="10">
        <f>2*(G514*I512)/(G514+I512)</f>
        <v>0.97319170460293369</v>
      </c>
      <c r="O512" s="1"/>
      <c r="P512" s="1"/>
    </row>
    <row r="513" spans="1:40" ht="15.6" x14ac:dyDescent="0.35">
      <c r="B513" s="1" t="s">
        <v>19</v>
      </c>
      <c r="C513" s="1">
        <f>SUM(C508:C512)</f>
        <v>337</v>
      </c>
      <c r="D513" s="1">
        <f>SUM(D508:D512)</f>
        <v>61</v>
      </c>
      <c r="E513" s="1">
        <f>SUM(E508:E512)</f>
        <v>743</v>
      </c>
      <c r="F513" s="1">
        <f>SUM(F508:F512)</f>
        <v>679</v>
      </c>
      <c r="G513" s="1">
        <f>SUM(G508:G512)</f>
        <v>968</v>
      </c>
      <c r="H513" s="1">
        <f>SUM(H507:H512)</f>
        <v>2788</v>
      </c>
      <c r="I513" s="13" t="s">
        <v>12</v>
      </c>
      <c r="N513" s="16"/>
      <c r="O513" s="1"/>
      <c r="P513" s="1"/>
      <c r="AM513" s="78"/>
      <c r="AN513" s="78"/>
    </row>
    <row r="514" spans="1:40" x14ac:dyDescent="0.3">
      <c r="A514" s="1" t="s">
        <v>52</v>
      </c>
      <c r="B514" s="1" t="s">
        <v>2</v>
      </c>
      <c r="C514" s="10">
        <f>C508/C513</f>
        <v>1</v>
      </c>
      <c r="D514" s="10">
        <f>D509/D513</f>
        <v>0.88524590163934425</v>
      </c>
      <c r="E514" s="10">
        <f>E510/E513</f>
        <v>0.98923283983849264</v>
      </c>
      <c r="F514" s="10">
        <f>F511/F513</f>
        <v>0.76877761413843893</v>
      </c>
      <c r="G514" s="10">
        <f>G512/G513</f>
        <v>0.99380165289256195</v>
      </c>
      <c r="H514" s="10"/>
      <c r="I514" s="14">
        <f>(C508+D509+E510+F511+G512)/H513</f>
        <v>0.93615494978479197</v>
      </c>
    </row>
    <row r="515" spans="1:40" x14ac:dyDescent="0.3">
      <c r="B515" s="1" t="s">
        <v>14</v>
      </c>
      <c r="C515" s="11">
        <f>1-C514</f>
        <v>0</v>
      </c>
      <c r="D515" s="11">
        <f>1-D514</f>
        <v>0.11475409836065575</v>
      </c>
      <c r="E515" s="11">
        <f>1-E514</f>
        <v>1.0767160161507361E-2</v>
      </c>
      <c r="F515" s="11">
        <f>1-F514</f>
        <v>0.23122238586156107</v>
      </c>
      <c r="G515" s="11">
        <f>1-G514</f>
        <v>6.1983471074380514E-3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0.13957745823221787</v>
      </c>
      <c r="D519" s="31">
        <f>(D508/$L519)*$O519</f>
        <v>0</v>
      </c>
      <c r="E519" s="31">
        <f>(E508/$L519)*$O519</f>
        <v>4.1417643392349516E-4</v>
      </c>
      <c r="F519" s="31">
        <f>(F508/$L519)*$O519</f>
        <v>4.6801937033354953E-2</v>
      </c>
      <c r="G519" s="32">
        <f>(G508/$L519)*$O519</f>
        <v>0</v>
      </c>
      <c r="H519" s="17">
        <f>SUM(C519:G519)</f>
        <v>0.18679357169949631</v>
      </c>
      <c r="I519" s="17">
        <f>C519/H519*100</f>
        <v>74.722838137472294</v>
      </c>
      <c r="J519" s="17">
        <f>SQRT(I519*(100-I519)/(L519-1))</f>
        <v>2.0487292942094326</v>
      </c>
      <c r="K519" s="18">
        <f>100-I519</f>
        <v>25.277161862527706</v>
      </c>
      <c r="L519" s="1">
        <f>H508</f>
        <v>451</v>
      </c>
      <c r="M519">
        <v>0</v>
      </c>
      <c r="N519" s="1">
        <v>168.87</v>
      </c>
      <c r="O519" s="17">
        <f>N519/N524*100</f>
        <v>0.18679357169949631</v>
      </c>
      <c r="P519" s="52">
        <f>((O519*O519*(I519/100)*(K519/100))/(L519-1))</f>
        <v>1.4645122456370479E-5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57">(C509/$L520)*$O520</f>
        <v>0</v>
      </c>
      <c r="D520" s="34">
        <f t="shared" si="57"/>
        <v>0.92801741671778626</v>
      </c>
      <c r="E520" s="19">
        <f t="shared" si="57"/>
        <v>5.1556523150988125E-2</v>
      </c>
      <c r="F520" s="18">
        <f t="shared" si="57"/>
        <v>0</v>
      </c>
      <c r="G520" s="20">
        <f t="shared" si="57"/>
        <v>0</v>
      </c>
      <c r="H520" s="17">
        <f>SUM(C520:G520)</f>
        <v>0.97957393986877439</v>
      </c>
      <c r="I520" s="17">
        <f>D520/H520*100</f>
        <v>94.73684210526315</v>
      </c>
      <c r="J520" s="17">
        <f>SQRT(I520*(100-I520)/(L520-1))</f>
        <v>2.9839300500728485</v>
      </c>
      <c r="K520" s="18">
        <f>100-I520</f>
        <v>5.2631578947368496</v>
      </c>
      <c r="L520" s="1">
        <f>H509</f>
        <v>57</v>
      </c>
      <c r="M520">
        <v>1</v>
      </c>
      <c r="N520" s="1">
        <v>885.58</v>
      </c>
      <c r="O520" s="17">
        <f>N520/N524*100</f>
        <v>0.97957393986877439</v>
      </c>
      <c r="P520" s="52">
        <f>((O520*O520*(I520/100)*(K520/100))/(L520-1))</f>
        <v>8.5438127552733584E-4</v>
      </c>
    </row>
    <row r="521" spans="1:40" x14ac:dyDescent="0.3">
      <c r="A521" t="s">
        <v>5</v>
      </c>
      <c r="B521" s="13">
        <v>2</v>
      </c>
      <c r="C521" s="33">
        <f t="shared" si="57"/>
        <v>0</v>
      </c>
      <c r="D521" s="19">
        <f t="shared" si="57"/>
        <v>8.4244602206188721E-2</v>
      </c>
      <c r="E521" s="34">
        <f t="shared" si="57"/>
        <v>61.91978262154872</v>
      </c>
      <c r="F521" s="19">
        <f t="shared" si="57"/>
        <v>8.4244602206188721E-2</v>
      </c>
      <c r="G521" s="20">
        <f t="shared" si="57"/>
        <v>0</v>
      </c>
      <c r="H521" s="17">
        <f>SUM(C521:G521)</f>
        <v>62.088271825961101</v>
      </c>
      <c r="I521" s="17">
        <f>E521/H521*100</f>
        <v>99.728629579375834</v>
      </c>
      <c r="J521" s="17">
        <f>SQRT(I521*(100-I521)/(L521-1))</f>
        <v>0.1917574617235713</v>
      </c>
      <c r="K521" s="18">
        <f>100-I521</f>
        <v>0.27137042062416583</v>
      </c>
      <c r="L521" s="1">
        <f>H510</f>
        <v>737</v>
      </c>
      <c r="M521">
        <v>2</v>
      </c>
      <c r="N521" s="1">
        <v>56130.66</v>
      </c>
      <c r="O521" s="17">
        <f>N521/N524*100</f>
        <v>62.088271825961094</v>
      </c>
      <c r="P521" s="52">
        <f>((O521*O521*(I521/100)*(K521/100))/(L521-1))</f>
        <v>1.4175020259908466E-2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57"/>
        <v>0</v>
      </c>
      <c r="D522" s="19">
        <f t="shared" si="57"/>
        <v>0.11666270604947651</v>
      </c>
      <c r="E522" s="19">
        <f t="shared" si="57"/>
        <v>0.23332541209895302</v>
      </c>
      <c r="F522" s="34">
        <f t="shared" si="57"/>
        <v>30.448966278913367</v>
      </c>
      <c r="G522" s="20">
        <f t="shared" si="57"/>
        <v>0.34998811814842956</v>
      </c>
      <c r="H522" s="17">
        <f>SUM(C522:G522)</f>
        <v>31.14894251521023</v>
      </c>
      <c r="I522" s="17">
        <f>F522/H522*100</f>
        <v>97.752808988764045</v>
      </c>
      <c r="J522" s="17">
        <f>SQRT(I522*(100-I522)/(L522-1))</f>
        <v>0.64197928239881541</v>
      </c>
      <c r="K522" s="18">
        <f>100-I522</f>
        <v>2.2471910112359552</v>
      </c>
      <c r="L522" s="1">
        <f>H511</f>
        <v>534</v>
      </c>
      <c r="M522">
        <v>3</v>
      </c>
      <c r="N522" s="1">
        <v>28160.080000000002</v>
      </c>
      <c r="O522" s="17">
        <f>N522/N524*100</f>
        <v>31.14894251521023</v>
      </c>
      <c r="P522" s="52">
        <f>((O522*O522*(I522/100)*(K522/100))/(L522-1))</f>
        <v>3.9987903968187175E-2</v>
      </c>
    </row>
    <row r="523" spans="1:40" x14ac:dyDescent="0.3">
      <c r="A523" t="s">
        <v>7</v>
      </c>
      <c r="B523" s="13">
        <v>4</v>
      </c>
      <c r="C523" s="35">
        <f t="shared" si="57"/>
        <v>0</v>
      </c>
      <c r="D523" s="36">
        <f t="shared" si="57"/>
        <v>2.2185998601627E-2</v>
      </c>
      <c r="E523" s="21">
        <f t="shared" si="57"/>
        <v>0</v>
      </c>
      <c r="F523" s="21">
        <f t="shared" si="57"/>
        <v>0.23849948496749024</v>
      </c>
      <c r="G523" s="37">
        <f t="shared" si="57"/>
        <v>5.3357326636912941</v>
      </c>
      <c r="H523" s="17">
        <f>SUM(C523:G523)</f>
        <v>5.5964181472604118</v>
      </c>
      <c r="I523" s="17">
        <f>G523/H523*100</f>
        <v>95.341922695738347</v>
      </c>
      <c r="J523" s="17">
        <f>SQRT(I523*(100-I523)/(L523-1))</f>
        <v>0.66376604564177011</v>
      </c>
      <c r="K523" s="18">
        <f>100-I523</f>
        <v>4.6580773042616528</v>
      </c>
      <c r="L523" s="1">
        <f>H512</f>
        <v>1009</v>
      </c>
      <c r="M523">
        <v>4</v>
      </c>
      <c r="N523" s="1">
        <v>5059.42</v>
      </c>
      <c r="O523" s="17">
        <f>N523/N524*100</f>
        <v>5.5964181472604109</v>
      </c>
      <c r="P523" s="52">
        <f>((O523*O523*(I523/100)*(K523/100))/(L523-1))</f>
        <v>1.3799087793947432E-3</v>
      </c>
      <c r="AM523" s="78"/>
      <c r="AN523" s="78"/>
    </row>
    <row r="524" spans="1:40" x14ac:dyDescent="0.3">
      <c r="B524" t="s">
        <v>28</v>
      </c>
      <c r="C524" s="17">
        <f>SUM(C519:C523)</f>
        <v>0.13957745823221787</v>
      </c>
      <c r="D524" s="17">
        <f>SUM(D519:D523)</f>
        <v>1.1511107235750786</v>
      </c>
      <c r="E524" s="17">
        <f>SUM(E519:E523)</f>
        <v>62.20507873323259</v>
      </c>
      <c r="F524" s="17">
        <f>SUM(F519:F523)</f>
        <v>30.818512303120404</v>
      </c>
      <c r="G524" s="17">
        <f>SUM(G519:G523)</f>
        <v>5.6857207818397235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90404.61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3.8226495917144752E-3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0.12177474450601539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0.16883005704726042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0.21973059321253827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0.14684834517055814</v>
      </c>
      <c r="H525" s="1"/>
      <c r="I525" s="14">
        <f>(C519+D520+E521+F522+G523)/H524</f>
        <v>0.98772076439103385</v>
      </c>
      <c r="J525" s="53">
        <f>SQRT(SUM(P519:P523))/100</f>
        <v>2.375118089810991E-3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80.619300794591069</v>
      </c>
      <c r="E526" s="17">
        <f>E521/E524*100</f>
        <v>99.541362027838005</v>
      </c>
      <c r="F526" s="17">
        <f>F522/F524*100</f>
        <v>98.800895966124813</v>
      </c>
      <c r="G526" s="17">
        <f>G523/G524*100</f>
        <v>93.844437115760286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9.6410299450073325</v>
      </c>
      <c r="E527" s="18">
        <f>SQRT((E530+E531)/(E524*E524))</f>
        <v>0.19214702477998119</v>
      </c>
      <c r="F527" s="18">
        <f>SQRT((F530+F531)/(F524*F524))</f>
        <v>0.30360410721849534</v>
      </c>
      <c r="G527" s="18">
        <f>SQRT((G530+G531)/(G524*G524))</f>
        <v>2.3814253873487718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19.380699205408931</v>
      </c>
      <c r="E528" s="18">
        <f>100-E526</f>
        <v>0.45863797216199487</v>
      </c>
      <c r="F528" s="18">
        <f>100-F526</f>
        <v>1.1991040338751873</v>
      </c>
      <c r="G528" s="18">
        <f>100-G526</f>
        <v>6.1555628842397141</v>
      </c>
    </row>
    <row r="529" spans="1:40" ht="15.6" x14ac:dyDescent="0.35">
      <c r="B529" s="1" t="s">
        <v>25</v>
      </c>
      <c r="C529" s="1">
        <f>C513</f>
        <v>337</v>
      </c>
      <c r="D529" s="1">
        <f>D513</f>
        <v>61</v>
      </c>
      <c r="E529" s="1">
        <f>E513</f>
        <v>743</v>
      </c>
      <c r="F529" s="1">
        <f>F513</f>
        <v>679</v>
      </c>
      <c r="G529" s="1">
        <f>G513</f>
        <v>968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32.091543391710026</v>
      </c>
      <c r="E530" s="18">
        <f>(O521*O521*(100-E526)*(100-E526)*(I521)*(100-I521))/((L521-1)*100)</f>
        <v>0.2981698352935408</v>
      </c>
      <c r="F530" s="18">
        <f>(O522*O522*(100-F526)*(100-F526)*(I522)*(100-I522))/((L522-1)*100)</f>
        <v>5.749662707703262</v>
      </c>
      <c r="G530" s="18">
        <f>(O523*O523*(100-G526)*(100-G526)*(I523)*(100-I523))/((L523-1)*100)</f>
        <v>5.2286060666328646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91.071684671266226</v>
      </c>
      <c r="E531" s="18">
        <f>E526*E526*(SUM((H519*E519*(1-E508/H508))/(H508-1),(H520*E520*(1-E509/H509))/(H509-1), (H522*E522*(1-E511/H511))/(H511-1),(H523*E523*(1-E512/H512))/(H512-1)))</f>
        <v>142.5645837537667</v>
      </c>
      <c r="F531" s="18">
        <f>F526*F526*(SUM((H519*F519*(1-F508/H508))/(H508-1),(H520*F520*(1-F509/H509))/(H509-1), (H521*F521*(1-F510/H510))/(H510-1),(H523*F523*(1-F512/H512))/(H512-1)))</f>
        <v>81.796804492433765</v>
      </c>
      <c r="G531" s="18">
        <f>G526*G526*(SUM((H519*G519*(1-G508/H508))/(H508-1),(H520*G520*(1-G509/H509))/(H509-1), (H521*G521*(1-G510/H510))/(H510-1),(H522*G522*(1-G511/H511))/(H511-1)))</f>
        <v>178.1062385446827</v>
      </c>
      <c r="AM531" s="78"/>
      <c r="AN531" s="78"/>
    </row>
    <row r="533" spans="1:40" x14ac:dyDescent="0.3">
      <c r="AM533" s="78"/>
      <c r="AN533" s="78"/>
    </row>
    <row r="534" spans="1:40" x14ac:dyDescent="0.3">
      <c r="A534" s="348" t="s">
        <v>382</v>
      </c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 t="s">
        <v>91</v>
      </c>
      <c r="M534" s="348"/>
      <c r="N534" s="348"/>
      <c r="O534" s="348"/>
      <c r="P534" s="348"/>
    </row>
    <row r="535" spans="1:40" x14ac:dyDescent="0.3">
      <c r="A535" t="s">
        <v>15</v>
      </c>
      <c r="B535" t="s">
        <v>21</v>
      </c>
      <c r="I535" s="1" t="s">
        <v>53</v>
      </c>
      <c r="O535" s="142"/>
      <c r="P535" s="142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51</v>
      </c>
      <c r="O536" s="13"/>
      <c r="P536" s="13"/>
    </row>
    <row r="537" spans="1:40" x14ac:dyDescent="0.3">
      <c r="A537" t="s">
        <v>3</v>
      </c>
      <c r="B537" s="13">
        <v>0</v>
      </c>
      <c r="C537" s="26">
        <v>337</v>
      </c>
      <c r="D537" s="3">
        <v>0</v>
      </c>
      <c r="E537" s="3">
        <v>0</v>
      </c>
      <c r="F537" s="3">
        <v>114</v>
      </c>
      <c r="G537" s="4">
        <v>0</v>
      </c>
      <c r="H537" s="1">
        <f>SUM(C537:G537)</f>
        <v>451</v>
      </c>
      <c r="I537" s="10">
        <f>C537/H537</f>
        <v>0.74722838137472281</v>
      </c>
      <c r="J537" s="11">
        <f>1-I537</f>
        <v>0.25277161862527719</v>
      </c>
      <c r="K537">
        <f>H537-C542</f>
        <v>114</v>
      </c>
      <c r="N537" s="10">
        <f>2*(C543*I537)/(C543+I537)</f>
        <v>0.85532994923857875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54</v>
      </c>
      <c r="E538" s="1">
        <v>1</v>
      </c>
      <c r="F538" s="1">
        <v>2</v>
      </c>
      <c r="G538" s="6">
        <v>0</v>
      </c>
      <c r="H538" s="1">
        <f>SUM(C538:G538)</f>
        <v>57</v>
      </c>
      <c r="I538" s="10">
        <f>D538/H538</f>
        <v>0.94736842105263153</v>
      </c>
      <c r="J538" s="11">
        <f>1-I538</f>
        <v>5.2631578947368474E-2</v>
      </c>
      <c r="K538">
        <f>H538-D542</f>
        <v>1</v>
      </c>
      <c r="N538" s="10">
        <f>2*(D543*I538)/(D543+I538)</f>
        <v>0.95575221238938046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1</v>
      </c>
      <c r="E539" s="27">
        <v>734</v>
      </c>
      <c r="F539" s="1">
        <v>2</v>
      </c>
      <c r="G539" s="6">
        <v>0</v>
      </c>
      <c r="H539" s="1">
        <f>SUM(C539:G539)</f>
        <v>737</v>
      </c>
      <c r="I539" s="10">
        <f>E539/H539</f>
        <v>0.99592944369063774</v>
      </c>
      <c r="J539" s="11">
        <f>1-I539</f>
        <v>4.070556309362261E-3</v>
      </c>
      <c r="K539">
        <f>H539-E542</f>
        <v>-4</v>
      </c>
      <c r="N539" s="10">
        <f>2*(E543*I539)/(E543+I539)</f>
        <v>0.99323410013531799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1</v>
      </c>
      <c r="E540" s="1">
        <v>4</v>
      </c>
      <c r="F540" s="27">
        <v>525</v>
      </c>
      <c r="G540" s="6">
        <v>4</v>
      </c>
      <c r="H540" s="1">
        <f>SUM(C540:G540)</f>
        <v>534</v>
      </c>
      <c r="I540" s="10">
        <f>F540/H540</f>
        <v>0.9831460674157303</v>
      </c>
      <c r="J540" s="11">
        <f>1-I540</f>
        <v>1.6853932584269704E-2</v>
      </c>
      <c r="K540">
        <f>H540-F542</f>
        <v>-150</v>
      </c>
      <c r="N540" s="10">
        <f>2*(F543*I540)/(F543+I540)</f>
        <v>0.86206896551724133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0</v>
      </c>
      <c r="E541" s="8">
        <v>2</v>
      </c>
      <c r="F541" s="8">
        <v>41</v>
      </c>
      <c r="G541" s="28">
        <v>966</v>
      </c>
      <c r="H541" s="1">
        <f>SUM(C541:G541)</f>
        <v>1009</v>
      </c>
      <c r="I541" s="10">
        <f>G541/H541</f>
        <v>0.95738354806739345</v>
      </c>
      <c r="J541" s="11">
        <f>1-I541</f>
        <v>4.2616451932606547E-2</v>
      </c>
      <c r="K541">
        <f>H541-G542</f>
        <v>39</v>
      </c>
      <c r="N541" s="10">
        <f>2*(G543*I541)/(G543+I541)</f>
        <v>0.97625063163213743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337</v>
      </c>
      <c r="D542" s="1">
        <f>SUM(D537:D541)</f>
        <v>56</v>
      </c>
      <c r="E542" s="1">
        <f>SUM(E537:E541)</f>
        <v>741</v>
      </c>
      <c r="F542" s="1">
        <f>SUM(F537:F541)</f>
        <v>684</v>
      </c>
      <c r="G542" s="1">
        <f>SUM(G537:G541)</f>
        <v>970</v>
      </c>
      <c r="H542" s="1">
        <f>SUM(H536:H541)</f>
        <v>2788</v>
      </c>
      <c r="I542" s="13" t="s">
        <v>12</v>
      </c>
      <c r="N542" s="16"/>
      <c r="O542" s="1"/>
      <c r="P542" s="1"/>
    </row>
    <row r="543" spans="1:40" x14ac:dyDescent="0.3">
      <c r="A543" s="1" t="s">
        <v>52</v>
      </c>
      <c r="B543" s="1" t="s">
        <v>2</v>
      </c>
      <c r="C543" s="10">
        <f>C537/C542</f>
        <v>1</v>
      </c>
      <c r="D543" s="10">
        <f>D538/D542</f>
        <v>0.9642857142857143</v>
      </c>
      <c r="E543" s="10">
        <f>E539/E542</f>
        <v>0.99055330634278005</v>
      </c>
      <c r="F543" s="10">
        <f>F540/F542</f>
        <v>0.76754385964912286</v>
      </c>
      <c r="G543" s="10">
        <f>G541/G542</f>
        <v>0.99587628865979383</v>
      </c>
      <c r="H543" s="10"/>
      <c r="I543" s="14">
        <f>(C537+D538+E539+F540+G541)/H542</f>
        <v>0.93830703012912486</v>
      </c>
    </row>
    <row r="544" spans="1:40" x14ac:dyDescent="0.3">
      <c r="B544" s="1" t="s">
        <v>14</v>
      </c>
      <c r="C544" s="11">
        <f>1-C543</f>
        <v>0</v>
      </c>
      <c r="D544" s="11">
        <f>1-D543</f>
        <v>3.5714285714285698E-2</v>
      </c>
      <c r="E544" s="11">
        <f>1-E543</f>
        <v>9.4466936572199511E-3</v>
      </c>
      <c r="F544" s="11">
        <f>1-F543</f>
        <v>0.23245614035087714</v>
      </c>
      <c r="G544" s="11">
        <f>1-G543</f>
        <v>4.1237113402061709E-3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0.15252104202991151</v>
      </c>
      <c r="D548" s="31">
        <f>(D537/$L548)*$O548</f>
        <v>0</v>
      </c>
      <c r="E548" s="31">
        <f>(E537/$L548)*$O548</f>
        <v>0</v>
      </c>
      <c r="F548" s="31">
        <f>(F537/$L548)*$O548</f>
        <v>5.1594655167388467E-2</v>
      </c>
      <c r="G548" s="32">
        <f>(G537/$L548)*$O548</f>
        <v>0</v>
      </c>
      <c r="H548" s="17">
        <f>SUM(C548:G548)</f>
        <v>0.20411569719729999</v>
      </c>
      <c r="I548" s="17">
        <f>C548/H548*100</f>
        <v>74.72283813747228</v>
      </c>
      <c r="J548" s="17">
        <f>SQRT(I548*(100-I548)/(L548-1))</f>
        <v>2.0487292942094326</v>
      </c>
      <c r="K548" s="18">
        <f>100-I548</f>
        <v>25.27716186252772</v>
      </c>
      <c r="L548" s="1">
        <f>H537</f>
        <v>451</v>
      </c>
      <c r="M548">
        <v>0</v>
      </c>
      <c r="N548" s="1">
        <v>184.53</v>
      </c>
      <c r="O548" s="17">
        <f>N548/N553*100</f>
        <v>0.20411569719729999</v>
      </c>
      <c r="P548" s="52">
        <f>((O548*O548*(I548/100)*(K548/100))/(L548-1))</f>
        <v>1.7487267931786777E-5</v>
      </c>
    </row>
    <row r="549" spans="1:16" x14ac:dyDescent="0.3">
      <c r="A549" t="s">
        <v>4</v>
      </c>
      <c r="B549" s="13">
        <v>1</v>
      </c>
      <c r="C549" s="33">
        <f t="shared" ref="C549:G552" si="58">(C538/$L549)*$O549</f>
        <v>0</v>
      </c>
      <c r="D549" s="34">
        <f t="shared" si="58"/>
        <v>0.89641213510775841</v>
      </c>
      <c r="E549" s="19">
        <f t="shared" si="58"/>
        <v>1.6600224724217749E-2</v>
      </c>
      <c r="F549" s="18">
        <f t="shared" si="58"/>
        <v>3.3200449448435497E-2</v>
      </c>
      <c r="G549" s="20">
        <f t="shared" si="58"/>
        <v>0</v>
      </c>
      <c r="H549" s="17">
        <f>SUM(C549:G549)</f>
        <v>0.94621280928041163</v>
      </c>
      <c r="I549" s="17">
        <f>D549/H549*100</f>
        <v>94.736842105263165</v>
      </c>
      <c r="J549" s="17">
        <f>SQRT(I549*(100-I549)/(L549-1))</f>
        <v>2.983930050072845</v>
      </c>
      <c r="K549" s="18">
        <f>100-I549</f>
        <v>5.2631578947368354</v>
      </c>
      <c r="L549" s="1">
        <f>H538</f>
        <v>57</v>
      </c>
      <c r="M549">
        <v>1</v>
      </c>
      <c r="N549" s="1">
        <v>855.42</v>
      </c>
      <c r="O549" s="17">
        <f>N549/N553*100</f>
        <v>0.94621280928041174</v>
      </c>
      <c r="P549" s="52">
        <f>((O549*O549*(I549/100)*(K549/100))/(L549-1))</f>
        <v>7.9717729758774735E-4</v>
      </c>
    </row>
    <row r="550" spans="1:16" x14ac:dyDescent="0.3">
      <c r="A550" t="s">
        <v>5</v>
      </c>
      <c r="B550" s="13">
        <v>2</v>
      </c>
      <c r="C550" s="33">
        <f t="shared" si="58"/>
        <v>0</v>
      </c>
      <c r="D550" s="19">
        <f t="shared" si="58"/>
        <v>8.4133162901648031E-2</v>
      </c>
      <c r="E550" s="34">
        <f t="shared" si="58"/>
        <v>61.753741569809662</v>
      </c>
      <c r="F550" s="19">
        <f t="shared" si="58"/>
        <v>0.16826632580329606</v>
      </c>
      <c r="G550" s="20">
        <f t="shared" si="58"/>
        <v>0</v>
      </c>
      <c r="H550" s="17">
        <f>SUM(C550:G550)</f>
        <v>62.006141058514608</v>
      </c>
      <c r="I550" s="17">
        <f>E550/H550*100</f>
        <v>99.592944369063773</v>
      </c>
      <c r="J550" s="17">
        <f>SQRT(I550*(100-I550)/(L550-1))</f>
        <v>0.2346941488143626</v>
      </c>
      <c r="K550" s="18">
        <f>100-I550</f>
        <v>0.40705563093622743</v>
      </c>
      <c r="L550" s="1">
        <f>H539</f>
        <v>737</v>
      </c>
      <c r="M550">
        <v>2</v>
      </c>
      <c r="N550" s="1">
        <v>56056.41</v>
      </c>
      <c r="O550" s="17">
        <f>N550/N553*100</f>
        <v>62.006141058514608</v>
      </c>
      <c r="P550" s="52">
        <f>((O550*O550*(I550/100)*(K550/100))/(L550-1))</f>
        <v>2.1177463040539662E-2</v>
      </c>
    </row>
    <row r="551" spans="1:16" x14ac:dyDescent="0.3">
      <c r="A551" t="s">
        <v>6</v>
      </c>
      <c r="B551" s="13">
        <v>3</v>
      </c>
      <c r="C551" s="33">
        <f t="shared" si="58"/>
        <v>0</v>
      </c>
      <c r="D551" s="19">
        <f t="shared" si="58"/>
        <v>5.8483478109828103E-2</v>
      </c>
      <c r="E551" s="19">
        <f t="shared" si="58"/>
        <v>0.23393391243931241</v>
      </c>
      <c r="F551" s="34">
        <f t="shared" si="58"/>
        <v>30.70382600765975</v>
      </c>
      <c r="G551" s="20">
        <f t="shared" si="58"/>
        <v>0.23393391243931241</v>
      </c>
      <c r="H551" s="17">
        <f>SUM(C551:G551)</f>
        <v>31.230177310648202</v>
      </c>
      <c r="I551" s="17">
        <f>F551/H551*100</f>
        <v>98.314606741573044</v>
      </c>
      <c r="J551" s="17">
        <f>SQRT(I551*(100-I551)/(L551-1))</f>
        <v>0.55756569440571968</v>
      </c>
      <c r="K551" s="18">
        <f>100-I551</f>
        <v>1.6853932584269558</v>
      </c>
      <c r="L551" s="1">
        <f>H540</f>
        <v>534</v>
      </c>
      <c r="M551">
        <v>3</v>
      </c>
      <c r="N551" s="1">
        <v>28233.52</v>
      </c>
      <c r="O551" s="17">
        <f>N551/N553*100</f>
        <v>31.230177310648205</v>
      </c>
      <c r="P551" s="52">
        <f>((O551*O551*(I551/100)*(K551/100))/(L551-1))</f>
        <v>3.032082331306259E-2</v>
      </c>
    </row>
    <row r="552" spans="1:16" x14ac:dyDescent="0.3">
      <c r="A552" t="s">
        <v>7</v>
      </c>
      <c r="B552" s="13">
        <v>4</v>
      </c>
      <c r="C552" s="35">
        <f t="shared" si="58"/>
        <v>0</v>
      </c>
      <c r="D552" s="36">
        <f t="shared" si="58"/>
        <v>0</v>
      </c>
      <c r="E552" s="21">
        <f t="shared" si="58"/>
        <v>1.112656714441918E-2</v>
      </c>
      <c r="F552" s="21">
        <f t="shared" si="58"/>
        <v>0.2280946264605932</v>
      </c>
      <c r="G552" s="37">
        <f t="shared" si="58"/>
        <v>5.3741319307544639</v>
      </c>
      <c r="H552" s="17">
        <f>SUM(C552:G552)</f>
        <v>5.6133531243594765</v>
      </c>
      <c r="I552" s="17">
        <f>G552/H552*100</f>
        <v>95.738354806739352</v>
      </c>
      <c r="J552" s="17">
        <f>SQRT(I552*(100-I552)/(L552-1))</f>
        <v>0.63621127098020291</v>
      </c>
      <c r="K552" s="18">
        <f>100-I552</f>
        <v>4.2616451932606481</v>
      </c>
      <c r="L552" s="1">
        <f>H541</f>
        <v>1009</v>
      </c>
      <c r="M552">
        <v>4</v>
      </c>
      <c r="N552" s="1">
        <v>5074.7299999999996</v>
      </c>
      <c r="O552" s="17">
        <f>N552/N553*100</f>
        <v>5.6133531243594765</v>
      </c>
      <c r="P552" s="52">
        <f>((O552*O552*(I552/100)*(K552/100))/(L552-1))</f>
        <v>1.2754030308193361E-3</v>
      </c>
    </row>
    <row r="553" spans="1:16" x14ac:dyDescent="0.3">
      <c r="B553" t="s">
        <v>28</v>
      </c>
      <c r="C553" s="17">
        <f>SUM(C548:C552)</f>
        <v>0.15252104202991151</v>
      </c>
      <c r="D553" s="17">
        <f>SUM(D548:D552)</f>
        <v>1.0390287761192345</v>
      </c>
      <c r="E553" s="17">
        <f>SUM(E548:E552)</f>
        <v>62.015402274117605</v>
      </c>
      <c r="F553" s="17">
        <f>SUM(F548:F552)</f>
        <v>31.184982064539462</v>
      </c>
      <c r="G553" s="17">
        <f>SUM(G548:G552)</f>
        <v>5.608065843193776</v>
      </c>
      <c r="H553" s="1">
        <f>SUM(H547:H552)</f>
        <v>100</v>
      </c>
      <c r="I553" s="13" t="s">
        <v>24</v>
      </c>
      <c r="J553" s="12" t="s">
        <v>29</v>
      </c>
      <c r="N553" s="1">
        <f>SUM(N548:N552)</f>
        <v>90404.61</v>
      </c>
      <c r="O553" s="17">
        <f>SUM(O548:O552)</f>
        <v>100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4.1771393921896851E-3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0.10614089045732054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0.18724322760515216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0.21482327849080568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0.12187258279340005</v>
      </c>
      <c r="H554" s="1"/>
      <c r="I554" s="56">
        <f>(C548+D549+E550+F551+G552)/H553</f>
        <v>0.98880632685361547</v>
      </c>
      <c r="J554" s="53">
        <f>SQRT(SUM(P548:P552))/100</f>
        <v>2.3149158505211616E-3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86.274043194053945</v>
      </c>
      <c r="E555" s="17">
        <f>E550/E553*100</f>
        <v>99.578071423045259</v>
      </c>
      <c r="F555" s="17">
        <f>F551/F553*100</f>
        <v>98.457090480655324</v>
      </c>
      <c r="G555" s="17">
        <f>G552/G553*100</f>
        <v>95.828616871122762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9.28954149323115</v>
      </c>
      <c r="E556" s="18">
        <f>SQRT((E559+E560)/(E553*E553))</f>
        <v>0.18985101835757381</v>
      </c>
      <c r="F556" s="18">
        <f>SQRT((F559+F560)/(F553*F553))</f>
        <v>0.40750495897450284</v>
      </c>
      <c r="G556" s="18">
        <f>SQRT((G559+G560)/(G553*G553))</f>
        <v>2.0106810702646127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13.725956805946055</v>
      </c>
      <c r="E557" s="18">
        <f>100-E555</f>
        <v>0.42192857695474117</v>
      </c>
      <c r="F557" s="18">
        <f>100-F555</f>
        <v>1.5429095193446756</v>
      </c>
      <c r="G557" s="18">
        <f>100-G555</f>
        <v>4.1713831288772383</v>
      </c>
    </row>
    <row r="558" spans="1:16" ht="15.6" x14ac:dyDescent="0.35">
      <c r="B558" s="1" t="s">
        <v>25</v>
      </c>
      <c r="C558" s="1">
        <f>C542</f>
        <v>337</v>
      </c>
      <c r="D558" s="1">
        <f>D542</f>
        <v>56</v>
      </c>
      <c r="E558" s="1">
        <f>E542</f>
        <v>741</v>
      </c>
      <c r="F558" s="1">
        <f>F542</f>
        <v>684</v>
      </c>
      <c r="G558" s="1">
        <f>G542</f>
        <v>970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15.018970972090772</v>
      </c>
      <c r="E559" s="18">
        <f>(O550*O550*(100-E555)*(100-E555)*(I550)*(100-I550))/((L550-1)*100)</f>
        <v>0.37700908364304059</v>
      </c>
      <c r="F559" s="18">
        <f>(O551*O551*(100-F555)*(100-F555)*(I551)*(100-I551))/((L551-1)*100)</f>
        <v>7.2180835831895855</v>
      </c>
      <c r="G559" s="18">
        <f>(O552*O552*(100-G555)*(100-G555)*(I552)*(100-I552))/((L552-1)*100)</f>
        <v>2.2192570352513816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78.144081360331043</v>
      </c>
      <c r="E560" s="18">
        <f>E555*E555*(SUM((H548*E548*(1-E537/H537))/(H537-1),(H549*E549*(1-E538/H538))/(H538-1), (H551*E551*(1-E540/H540))/(H540-1),(H552*E552*(1-E541/H541))/(H541-1)))</f>
        <v>138.24270297988403</v>
      </c>
      <c r="F560" s="18">
        <f>F555*F555*(SUM((H548*F548*(1-F537/H537))/(H537-1),(H549*F549*(1-F538/H538))/(H538-1), (H550*F550*(1-F539/H539))/(H539-1),(H552*F552*(1-F541/H541))/(H541-1)))</f>
        <v>154.2760658309146</v>
      </c>
      <c r="G560" s="18">
        <f>G555*G555*(SUM((H548*G548*(1-G537/H537))/(H537-1),(H549*G549*(1-G538/H538))/(H538-1), (H550*G550*(1-G539/H539))/(H539-1),(H551*G551*(1-G540/H540))/(H540-1)))</f>
        <v>124.92963683442443</v>
      </c>
    </row>
    <row r="563" spans="1:16" x14ac:dyDescent="0.3">
      <c r="A563" s="348" t="s">
        <v>382</v>
      </c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 t="s">
        <v>92</v>
      </c>
      <c r="M563" s="348"/>
      <c r="N563" s="348"/>
      <c r="O563" s="348"/>
      <c r="P563" s="348"/>
    </row>
    <row r="564" spans="1:16" x14ac:dyDescent="0.3">
      <c r="A564" t="s">
        <v>15</v>
      </c>
      <c r="B564" t="s">
        <v>21</v>
      </c>
      <c r="I564" s="1" t="s">
        <v>53</v>
      </c>
      <c r="O564" s="142"/>
      <c r="P564" s="142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51</v>
      </c>
      <c r="O565" s="13"/>
      <c r="P565" s="13"/>
    </row>
    <row r="566" spans="1:16" x14ac:dyDescent="0.3">
      <c r="A566" t="s">
        <v>3</v>
      </c>
      <c r="B566" s="13">
        <v>0</v>
      </c>
      <c r="C566" s="26">
        <v>393</v>
      </c>
      <c r="D566" s="3">
        <v>0</v>
      </c>
      <c r="E566" s="3">
        <v>0</v>
      </c>
      <c r="F566" s="3">
        <v>58</v>
      </c>
      <c r="G566" s="4">
        <v>0</v>
      </c>
      <c r="H566" s="1">
        <f>SUM(C566:G566)</f>
        <v>451</v>
      </c>
      <c r="I566" s="10">
        <f>C566/H566</f>
        <v>0.87139689578713964</v>
      </c>
      <c r="J566" s="11">
        <f>1-I566</f>
        <v>0.12860310421286036</v>
      </c>
      <c r="K566">
        <f>H566-C571</f>
        <v>58</v>
      </c>
      <c r="N566" s="10">
        <f>2*(C572*I566)/(C572+I566)</f>
        <v>0.93127962085308058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54</v>
      </c>
      <c r="E567" s="1">
        <v>2</v>
      </c>
      <c r="F567" s="1">
        <v>1</v>
      </c>
      <c r="G567" s="6">
        <v>0</v>
      </c>
      <c r="H567" s="1">
        <f>SUM(C567:G567)</f>
        <v>57</v>
      </c>
      <c r="I567" s="10">
        <f>D567/H567</f>
        <v>0.94736842105263153</v>
      </c>
      <c r="J567" s="11">
        <f>1-I567</f>
        <v>5.2631578947368474E-2</v>
      </c>
      <c r="K567">
        <f>H567-D571</f>
        <v>-1</v>
      </c>
      <c r="N567" s="10">
        <f>2*(D572*I567)/(D572+I567)</f>
        <v>0.93913043478260871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0</v>
      </c>
      <c r="E568" s="27">
        <v>736</v>
      </c>
      <c r="F568" s="1">
        <v>1</v>
      </c>
      <c r="G568" s="6">
        <v>0</v>
      </c>
      <c r="H568" s="1">
        <f>SUM(C568:G568)</f>
        <v>737</v>
      </c>
      <c r="I568" s="10">
        <f>E568/H568</f>
        <v>0.99864314789687925</v>
      </c>
      <c r="J568" s="11">
        <f>1-I568</f>
        <v>1.3568521031207537E-3</v>
      </c>
      <c r="K568">
        <f>H568-E571</f>
        <v>-8</v>
      </c>
      <c r="N568" s="10">
        <f>2*(E572*I568)/(E572+I568)</f>
        <v>0.99325236167341435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2</v>
      </c>
      <c r="E569" s="1">
        <v>6</v>
      </c>
      <c r="F569" s="27">
        <v>516</v>
      </c>
      <c r="G569" s="6">
        <v>10</v>
      </c>
      <c r="H569" s="1">
        <f>SUM(C569:G569)</f>
        <v>534</v>
      </c>
      <c r="I569" s="10">
        <f>F569/H569</f>
        <v>0.9662921348314607</v>
      </c>
      <c r="J569" s="11">
        <f>1-I569</f>
        <v>3.3707865168539297E-2</v>
      </c>
      <c r="K569">
        <f>H569-F571</f>
        <v>-87</v>
      </c>
      <c r="N569" s="10">
        <f>2*(F572*I569)/(F572+I569)</f>
        <v>0.89350649350649358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2</v>
      </c>
      <c r="E570" s="8">
        <v>1</v>
      </c>
      <c r="F570" s="8">
        <v>45</v>
      </c>
      <c r="G570" s="28">
        <v>961</v>
      </c>
      <c r="H570" s="1">
        <f>SUM(C570:G570)</f>
        <v>1009</v>
      </c>
      <c r="I570" s="10">
        <f>G570/H570</f>
        <v>0.95242814667988107</v>
      </c>
      <c r="J570" s="11">
        <f>1-I570</f>
        <v>4.7571853320118929E-2</v>
      </c>
      <c r="K570">
        <f>H570-G571</f>
        <v>38</v>
      </c>
      <c r="N570" s="10">
        <f>2*(G572*I570)/(G572+I570)</f>
        <v>0.97070707070707063</v>
      </c>
      <c r="O570" s="1"/>
      <c r="P570" s="1"/>
    </row>
    <row r="571" spans="1:16" ht="15.6" x14ac:dyDescent="0.35">
      <c r="B571" s="1" t="s">
        <v>19</v>
      </c>
      <c r="C571" s="1">
        <f>SUM(C566:C570)</f>
        <v>393</v>
      </c>
      <c r="D571" s="1">
        <f>SUM(D566:D570)</f>
        <v>58</v>
      </c>
      <c r="E571" s="1">
        <f>SUM(E566:E570)</f>
        <v>745</v>
      </c>
      <c r="F571" s="1">
        <f>SUM(F566:F570)</f>
        <v>621</v>
      </c>
      <c r="G571" s="1">
        <f>SUM(G566:G570)</f>
        <v>971</v>
      </c>
      <c r="H571" s="1">
        <f>SUM(H565:H570)</f>
        <v>2788</v>
      </c>
      <c r="I571" s="13" t="s">
        <v>12</v>
      </c>
      <c r="N571" s="16"/>
      <c r="O571" s="1"/>
      <c r="P571" s="1"/>
    </row>
    <row r="572" spans="1:16" x14ac:dyDescent="0.3">
      <c r="A572" s="1" t="s">
        <v>52</v>
      </c>
      <c r="B572" s="1" t="s">
        <v>2</v>
      </c>
      <c r="C572" s="10">
        <f>C566/C571</f>
        <v>1</v>
      </c>
      <c r="D572" s="10">
        <f>D567/D571</f>
        <v>0.93103448275862066</v>
      </c>
      <c r="E572" s="10">
        <f>E568/E571</f>
        <v>0.98791946308724832</v>
      </c>
      <c r="F572" s="10">
        <f>F569/F571</f>
        <v>0.83091787439613529</v>
      </c>
      <c r="G572" s="10">
        <f>G570/G571</f>
        <v>0.98970133882595268</v>
      </c>
      <c r="H572" s="10"/>
      <c r="I572" s="14">
        <f>(C566+D567+E568+F569+G570)/H571</f>
        <v>0.95408895265423244</v>
      </c>
    </row>
    <row r="573" spans="1:16" x14ac:dyDescent="0.3">
      <c r="B573" s="1" t="s">
        <v>14</v>
      </c>
      <c r="C573" s="11">
        <f>1-C572</f>
        <v>0</v>
      </c>
      <c r="D573" s="11">
        <f>1-D572</f>
        <v>6.8965517241379337E-2</v>
      </c>
      <c r="E573" s="11">
        <f>1-E572</f>
        <v>1.2080536912751683E-2</v>
      </c>
      <c r="F573" s="11">
        <f>1-F572</f>
        <v>0.16908212560386471</v>
      </c>
      <c r="G573" s="11">
        <f>1-G572</f>
        <v>1.0298661174047319E-2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0.1804682756755725</v>
      </c>
      <c r="D577" s="31">
        <f>(D566/$L577)*$O577</f>
        <v>0</v>
      </c>
      <c r="E577" s="31">
        <f>(E566/$L577)*$O577</f>
        <v>0</v>
      </c>
      <c r="F577" s="31">
        <f>(F566/$L577)*$O577</f>
        <v>2.6633994883417826E-2</v>
      </c>
      <c r="G577" s="32">
        <f>(G566/$L577)*$O577</f>
        <v>0</v>
      </c>
      <c r="H577" s="17">
        <f>SUM(C577:G577)</f>
        <v>0.20710227055899033</v>
      </c>
      <c r="I577" s="17">
        <f>C577/H577*100</f>
        <v>87.13968957871397</v>
      </c>
      <c r="J577" s="17">
        <f>SQRT(I577*(100-I577)/(L577-1))</f>
        <v>1.5780743948079148</v>
      </c>
      <c r="K577" s="18">
        <f>100-I577</f>
        <v>12.86031042128603</v>
      </c>
      <c r="L577" s="1">
        <f>H566</f>
        <v>451</v>
      </c>
      <c r="M577">
        <v>0</v>
      </c>
      <c r="N577" s="1">
        <v>187.23</v>
      </c>
      <c r="O577" s="17">
        <f>N577/N582*100</f>
        <v>0.20710227055899033</v>
      </c>
      <c r="P577" s="52">
        <f>((O577*O577*(I577/100)*(K577/100))/(L577-1))</f>
        <v>1.0681313624360968E-5</v>
      </c>
    </row>
    <row r="578" spans="1:16" x14ac:dyDescent="0.3">
      <c r="A578" t="s">
        <v>4</v>
      </c>
      <c r="B578" s="13">
        <v>1</v>
      </c>
      <c r="C578" s="33">
        <f t="shared" ref="C578:G581" si="59">(C567/$L578)*$O578</f>
        <v>0</v>
      </c>
      <c r="D578" s="34">
        <f t="shared" si="59"/>
        <v>0.94197571748189679</v>
      </c>
      <c r="E578" s="19">
        <f t="shared" si="59"/>
        <v>3.488798953636655E-2</v>
      </c>
      <c r="F578" s="18">
        <f t="shared" si="59"/>
        <v>1.7443994768183275E-2</v>
      </c>
      <c r="G578" s="20">
        <f t="shared" si="59"/>
        <v>0</v>
      </c>
      <c r="H578" s="17">
        <f>SUM(C578:G578)</f>
        <v>0.99430770178644656</v>
      </c>
      <c r="I578" s="17">
        <f>D578/H578*100</f>
        <v>94.736842105263165</v>
      </c>
      <c r="J578" s="17">
        <f>SQRT(I578*(100-I578)/(L578-1))</f>
        <v>2.983930050072845</v>
      </c>
      <c r="K578" s="18">
        <f>100-I578</f>
        <v>5.2631578947368354</v>
      </c>
      <c r="L578" s="1">
        <f>H567</f>
        <v>57</v>
      </c>
      <c r="M578">
        <v>1</v>
      </c>
      <c r="N578" s="1">
        <v>898.9</v>
      </c>
      <c r="O578" s="17">
        <f>N578/N582*100</f>
        <v>0.99430770178644667</v>
      </c>
      <c r="P578" s="52">
        <f>((O578*O578*(I578/100)*(K578/100))/(L578-1))</f>
        <v>8.8027604397374331E-4</v>
      </c>
    </row>
    <row r="579" spans="1:16" x14ac:dyDescent="0.3">
      <c r="A579" t="s">
        <v>5</v>
      </c>
      <c r="B579" s="13">
        <v>2</v>
      </c>
      <c r="C579" s="33">
        <f t="shared" si="59"/>
        <v>0</v>
      </c>
      <c r="D579" s="19">
        <f t="shared" si="59"/>
        <v>0</v>
      </c>
      <c r="E579" s="34">
        <f t="shared" si="59"/>
        <v>62.382288214133965</v>
      </c>
      <c r="F579" s="19">
        <f t="shared" si="59"/>
        <v>8.4758543769203748E-2</v>
      </c>
      <c r="G579" s="20">
        <f t="shared" si="59"/>
        <v>0</v>
      </c>
      <c r="H579" s="17">
        <f>SUM(C579:G579)</f>
        <v>62.467046757903169</v>
      </c>
      <c r="I579" s="17">
        <f>E579/H579*100</f>
        <v>99.864314789687924</v>
      </c>
      <c r="J579" s="17">
        <f>SQRT(I579*(100-I579)/(L579-1))</f>
        <v>0.13568521031207589</v>
      </c>
      <c r="K579" s="18">
        <f>100-I579</f>
        <v>0.13568521031207581</v>
      </c>
      <c r="L579" s="1">
        <f>H568</f>
        <v>737</v>
      </c>
      <c r="M579">
        <v>2</v>
      </c>
      <c r="N579" s="1">
        <v>56473.09</v>
      </c>
      <c r="O579" s="17">
        <f>N579/N582*100</f>
        <v>62.467046757903169</v>
      </c>
      <c r="P579" s="52">
        <f>((O579*O579*(I579/100)*(K579/100))/(L579-1))</f>
        <v>7.1840107418760183E-3</v>
      </c>
    </row>
    <row r="580" spans="1:16" x14ac:dyDescent="0.3">
      <c r="A580" t="s">
        <v>6</v>
      </c>
      <c r="B580" s="13">
        <v>3</v>
      </c>
      <c r="C580" s="33">
        <f t="shared" si="59"/>
        <v>0</v>
      </c>
      <c r="D580" s="19">
        <f t="shared" si="59"/>
        <v>0.11493754461338961</v>
      </c>
      <c r="E580" s="19">
        <f t="shared" si="59"/>
        <v>0.3448126338401688</v>
      </c>
      <c r="F580" s="34">
        <f t="shared" si="59"/>
        <v>29.653886510254519</v>
      </c>
      <c r="G580" s="20">
        <f t="shared" si="59"/>
        <v>0.57468772306694804</v>
      </c>
      <c r="H580" s="17">
        <f>SUM(C580:G580)</f>
        <v>30.688324411775024</v>
      </c>
      <c r="I580" s="17">
        <f>F580/H580*100</f>
        <v>96.629213483146074</v>
      </c>
      <c r="J580" s="17">
        <f>SQRT(I580*(100-I580)/(L580-1))</f>
        <v>0.78172903318176867</v>
      </c>
      <c r="K580" s="18">
        <f>100-I580</f>
        <v>3.3707865168539257</v>
      </c>
      <c r="L580" s="1">
        <f>H569</f>
        <v>534</v>
      </c>
      <c r="M580">
        <v>3</v>
      </c>
      <c r="N580" s="1">
        <v>27743.66</v>
      </c>
      <c r="O580" s="17">
        <f>N580/N582*100</f>
        <v>30.688324411775024</v>
      </c>
      <c r="P580" s="52">
        <f>((O580*O580*(I580/100)*(K580/100))/(L580-1))</f>
        <v>5.7551790119314966E-2</v>
      </c>
    </row>
    <row r="581" spans="1:16" x14ac:dyDescent="0.3">
      <c r="A581" t="s">
        <v>7</v>
      </c>
      <c r="B581" s="13">
        <v>4</v>
      </c>
      <c r="C581" s="35">
        <f t="shared" si="59"/>
        <v>0</v>
      </c>
      <c r="D581" s="36">
        <f t="shared" si="59"/>
        <v>1.1185765823540892E-2</v>
      </c>
      <c r="E581" s="21">
        <f t="shared" si="59"/>
        <v>5.592882911770446E-3</v>
      </c>
      <c r="F581" s="21">
        <f t="shared" si="59"/>
        <v>0.25167973102967006</v>
      </c>
      <c r="G581" s="37">
        <f t="shared" si="59"/>
        <v>5.3747604782113987</v>
      </c>
      <c r="H581" s="17">
        <f>SUM(C581:G581)</f>
        <v>5.6432188579763798</v>
      </c>
      <c r="I581" s="17">
        <f>G581/H581*100</f>
        <v>95.242814667988114</v>
      </c>
      <c r="J581" s="17">
        <f>SQRT(I581*(100-I581)/(L581-1))</f>
        <v>0.67044148635438638</v>
      </c>
      <c r="K581" s="18">
        <f>100-I581</f>
        <v>4.7571853320118862</v>
      </c>
      <c r="L581" s="1">
        <f>H570</f>
        <v>1009</v>
      </c>
      <c r="M581">
        <v>4</v>
      </c>
      <c r="N581" s="1">
        <v>5101.7299999999996</v>
      </c>
      <c r="O581" s="17">
        <f>N581/N582*100</f>
        <v>5.6432188579763798</v>
      </c>
      <c r="P581" s="52">
        <f>((O581*O581*(I581/100)*(K581/100))/(L581-1))</f>
        <v>1.4314479063546495E-3</v>
      </c>
    </row>
    <row r="582" spans="1:16" x14ac:dyDescent="0.3">
      <c r="B582" t="s">
        <v>28</v>
      </c>
      <c r="C582" s="17">
        <f t="shared" ref="C582:H582" si="60">SUM(C577:C581)</f>
        <v>0.1804682756755725</v>
      </c>
      <c r="D582" s="17">
        <f t="shared" si="60"/>
        <v>1.0680990279188272</v>
      </c>
      <c r="E582" s="17">
        <f t="shared" si="60"/>
        <v>62.767581720422271</v>
      </c>
      <c r="F582" s="17">
        <f t="shared" si="60"/>
        <v>30.034402774704997</v>
      </c>
      <c r="G582" s="17">
        <f t="shared" si="60"/>
        <v>5.9494482012783472</v>
      </c>
      <c r="H582" s="18">
        <f t="shared" si="60"/>
        <v>100.00000000000001</v>
      </c>
      <c r="I582" s="13" t="s">
        <v>24</v>
      </c>
      <c r="J582" s="12" t="s">
        <v>29</v>
      </c>
      <c r="N582" s="1">
        <f>SUM(N577:N581)</f>
        <v>90404.609999999986</v>
      </c>
      <c r="O582" s="17">
        <f>SUM(O577:O581)</f>
        <v>100.00000000000001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3.2646025795085697E-3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8.6647849563944973E-2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0.16548731666205607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0.25743490055340956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0.18395149228741439</v>
      </c>
      <c r="H583" s="1"/>
      <c r="I583" s="56">
        <f>(C577+D578+E579+F580+G581)/H582</f>
        <v>0.98533379195757331</v>
      </c>
      <c r="J583" s="53">
        <f>SQRT(SUM(P577:P581))/100</f>
        <v>2.5895599264188452E-3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88.19179615932434</v>
      </c>
      <c r="E584" s="17">
        <f>E579/E582*100</f>
        <v>99.38615843445352</v>
      </c>
      <c r="F584" s="17">
        <f>F580/F582*100</f>
        <v>98.733065320776248</v>
      </c>
      <c r="G584" s="17">
        <f>G581/G582*100</f>
        <v>90.340486989306569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7.4921966837884071</v>
      </c>
      <c r="E585" s="18">
        <f>SQRT((E588+E589)/(E582*E582))</f>
        <v>0.22552451869490839</v>
      </c>
      <c r="F585" s="18">
        <f>SQRT((F588+F589)/(F582*F582))</f>
        <v>0.32530963442521155</v>
      </c>
      <c r="G585" s="18">
        <f>SQRT((G588+G589)/(G582*G582))</f>
        <v>2.8042556226739701</v>
      </c>
      <c r="H585" s="1"/>
    </row>
    <row r="586" spans="1:16" x14ac:dyDescent="0.3">
      <c r="B586" s="1" t="s">
        <v>37</v>
      </c>
      <c r="C586" s="18">
        <f>100-C584</f>
        <v>0</v>
      </c>
      <c r="D586" s="18">
        <f>100-D584</f>
        <v>11.80820384067566</v>
      </c>
      <c r="E586" s="18">
        <f>100-E584</f>
        <v>0.61384156554647973</v>
      </c>
      <c r="F586" s="18">
        <f>100-F584</f>
        <v>1.2669346792237519</v>
      </c>
      <c r="G586" s="18">
        <f>100-G584</f>
        <v>9.6595130106934306</v>
      </c>
    </row>
    <row r="587" spans="1:16" ht="15.6" x14ac:dyDescent="0.35">
      <c r="B587" s="1" t="s">
        <v>25</v>
      </c>
      <c r="C587" s="1">
        <f>C571</f>
        <v>393</v>
      </c>
      <c r="D587" s="1">
        <f>D571</f>
        <v>58</v>
      </c>
      <c r="E587" s="1">
        <f>E571</f>
        <v>745</v>
      </c>
      <c r="F587" s="1">
        <f>F571</f>
        <v>621</v>
      </c>
      <c r="G587" s="1">
        <f>G571</f>
        <v>971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12.274012641632673</v>
      </c>
      <c r="E588" s="18">
        <f>(O579*O579*(100-E584)*(100-E584)*(I579)*(100-I579))/((L579-1)*100)</f>
        <v>0.27069457907395511</v>
      </c>
      <c r="F588" s="18">
        <f>(O580*O580*(100-F584)*(100-F584)*(I580)*(100-I580))/((L580-1)*100)</f>
        <v>9.2377729718255974</v>
      </c>
      <c r="G588" s="18">
        <f>(O581*O581*(100-G584)*(100-G584)*(I581)*(100-I581))/((L581-1)*100)</f>
        <v>13.356295262112184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51.764521075703847</v>
      </c>
      <c r="E589" s="18">
        <f>E584*E584*(SUM((H577*E577*(1-E566/H566))/(H566-1),(H578*E578*(1-E567/H567))/(H567-1), (H580*E580*(1-E569/H569))/(H569-1),(H581*E581*(1-E570/H570))/(H570-1)))</f>
        <v>200.11112809981347</v>
      </c>
      <c r="F589" s="18">
        <f>F584*F584*(SUM((H577*F577*(1-F566/H566))/(H566-1),(H578*F578*(1-F567/H567))/(H567-1), (H579*F579*(1-F568/H568))/(H568-1),(H581*F581*(1-F570/H570))/(H570-1)))</f>
        <v>86.224517925578269</v>
      </c>
      <c r="G589" s="18">
        <f>G584*G584*(SUM((H577*G577*(1-G566/H566))/(H566-1),(H578*G578*(1-G567/H567))/(H567-1), (H579*G579*(1-G568/H568))/(H568-1),(H580*G580*(1-G569/H569))/(H569-1)))</f>
        <v>264.99200528100477</v>
      </c>
    </row>
    <row r="592" spans="1:16" x14ac:dyDescent="0.3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48"/>
      <c r="B998" s="348"/>
      <c r="C998" s="348"/>
      <c r="D998" s="348"/>
      <c r="E998" s="348"/>
      <c r="F998" s="348"/>
      <c r="G998" s="348"/>
      <c r="H998" s="348"/>
      <c r="I998" s="348"/>
      <c r="J998" s="348"/>
      <c r="K998" s="348"/>
      <c r="L998" s="348"/>
      <c r="M998" s="348"/>
      <c r="N998" s="348"/>
      <c r="O998" s="348"/>
      <c r="P998" s="348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48"/>
      <c r="B1027" s="348"/>
      <c r="C1027" s="348"/>
      <c r="D1027" s="348"/>
      <c r="E1027" s="348"/>
      <c r="F1027" s="348"/>
      <c r="G1027" s="348"/>
      <c r="H1027" s="348"/>
      <c r="I1027" s="348"/>
      <c r="J1027" s="348"/>
      <c r="K1027" s="348"/>
      <c r="L1027" s="348"/>
      <c r="M1027" s="348"/>
      <c r="N1027" s="348"/>
      <c r="O1027" s="348"/>
      <c r="P1027" s="348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48"/>
      <c r="B1056" s="348"/>
      <c r="C1056" s="348"/>
      <c r="D1056" s="348"/>
      <c r="E1056" s="348"/>
      <c r="F1056" s="348"/>
      <c r="G1056" s="348"/>
      <c r="H1056" s="348"/>
      <c r="I1056" s="348"/>
      <c r="J1056" s="348"/>
      <c r="K1056" s="348"/>
      <c r="L1056" s="348"/>
      <c r="M1056" s="348"/>
      <c r="N1056" s="348"/>
      <c r="O1056" s="348"/>
      <c r="P1056" s="348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48"/>
      <c r="B1085" s="348"/>
      <c r="C1085" s="348"/>
      <c r="D1085" s="348"/>
      <c r="E1085" s="348"/>
      <c r="F1085" s="348"/>
      <c r="G1085" s="348"/>
      <c r="H1085" s="348"/>
      <c r="I1085" s="348"/>
      <c r="J1085" s="348"/>
      <c r="K1085" s="348"/>
      <c r="L1085" s="348"/>
      <c r="M1085" s="348"/>
      <c r="N1085" s="348"/>
      <c r="O1085" s="348"/>
      <c r="P1085" s="348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48"/>
      <c r="B1114" s="348"/>
      <c r="C1114" s="348"/>
      <c r="D1114" s="348"/>
      <c r="E1114" s="348"/>
      <c r="F1114" s="348"/>
      <c r="G1114" s="348"/>
      <c r="H1114" s="348"/>
      <c r="I1114" s="348"/>
      <c r="J1114" s="348"/>
      <c r="K1114" s="348"/>
      <c r="L1114" s="348"/>
      <c r="M1114" s="348"/>
      <c r="N1114" s="348"/>
      <c r="O1114" s="348"/>
      <c r="P1114" s="348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48"/>
      <c r="B1143" s="348"/>
      <c r="C1143" s="348"/>
      <c r="D1143" s="348"/>
      <c r="E1143" s="348"/>
      <c r="F1143" s="348"/>
      <c r="G1143" s="348"/>
      <c r="H1143" s="348"/>
      <c r="I1143" s="348"/>
      <c r="J1143" s="348"/>
      <c r="K1143" s="348"/>
      <c r="L1143" s="348"/>
      <c r="M1143" s="348"/>
      <c r="N1143" s="348"/>
      <c r="O1143" s="348"/>
      <c r="P1143" s="348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48"/>
      <c r="B1172" s="348"/>
      <c r="C1172" s="348"/>
      <c r="D1172" s="348"/>
      <c r="E1172" s="348"/>
      <c r="F1172" s="348"/>
      <c r="G1172" s="348"/>
      <c r="H1172" s="348"/>
      <c r="I1172" s="348"/>
      <c r="J1172" s="348"/>
      <c r="K1172" s="348"/>
      <c r="L1172" s="348"/>
      <c r="M1172" s="348"/>
      <c r="N1172" s="348"/>
      <c r="O1172" s="348"/>
      <c r="P1172" s="348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48"/>
      <c r="B1201" s="348"/>
      <c r="C1201" s="348"/>
      <c r="D1201" s="348"/>
      <c r="E1201" s="348"/>
      <c r="F1201" s="348"/>
      <c r="G1201" s="348"/>
      <c r="H1201" s="348"/>
      <c r="I1201" s="348"/>
      <c r="J1201" s="348"/>
      <c r="K1201" s="348"/>
      <c r="L1201" s="348"/>
      <c r="M1201" s="348"/>
      <c r="N1201" s="348"/>
      <c r="O1201" s="348"/>
      <c r="P1201" s="348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48"/>
      <c r="B1230" s="348"/>
      <c r="C1230" s="348"/>
      <c r="D1230" s="348"/>
      <c r="E1230" s="348"/>
      <c r="F1230" s="348"/>
      <c r="G1230" s="348"/>
      <c r="H1230" s="348"/>
      <c r="I1230" s="348"/>
      <c r="J1230" s="348"/>
      <c r="K1230" s="348"/>
      <c r="L1230" s="348"/>
      <c r="M1230" s="348"/>
      <c r="N1230" s="348"/>
      <c r="O1230" s="348"/>
      <c r="P1230" s="348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48"/>
      <c r="B1259" s="348"/>
      <c r="C1259" s="348"/>
      <c r="D1259" s="348"/>
      <c r="E1259" s="348"/>
      <c r="F1259" s="348"/>
      <c r="G1259" s="348"/>
      <c r="H1259" s="348"/>
      <c r="I1259" s="348"/>
      <c r="J1259" s="348"/>
      <c r="K1259" s="348"/>
      <c r="L1259" s="348"/>
      <c r="M1259" s="348"/>
      <c r="N1259" s="348"/>
      <c r="O1259" s="348"/>
      <c r="P1259" s="348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48"/>
      <c r="B1288" s="348"/>
      <c r="C1288" s="348"/>
      <c r="D1288" s="348"/>
      <c r="E1288" s="348"/>
      <c r="F1288" s="348"/>
      <c r="G1288" s="348"/>
      <c r="H1288" s="348"/>
      <c r="I1288" s="348"/>
      <c r="J1288" s="348"/>
      <c r="K1288" s="348"/>
      <c r="L1288" s="348"/>
      <c r="M1288" s="348"/>
      <c r="N1288" s="348"/>
      <c r="O1288" s="348"/>
      <c r="P1288" s="348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48"/>
      <c r="B1317" s="348"/>
      <c r="C1317" s="348"/>
      <c r="D1317" s="348"/>
      <c r="E1317" s="348"/>
      <c r="F1317" s="348"/>
      <c r="G1317" s="348"/>
      <c r="H1317" s="348"/>
      <c r="I1317" s="348"/>
      <c r="J1317" s="348"/>
      <c r="K1317" s="348"/>
      <c r="L1317" s="348"/>
      <c r="M1317" s="348"/>
      <c r="N1317" s="348"/>
      <c r="O1317" s="348"/>
      <c r="P1317" s="348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48"/>
      <c r="B1346" s="348"/>
      <c r="C1346" s="348"/>
      <c r="D1346" s="348"/>
      <c r="E1346" s="348"/>
      <c r="F1346" s="348"/>
      <c r="G1346" s="348"/>
      <c r="H1346" s="348"/>
      <c r="I1346" s="348"/>
      <c r="J1346" s="348"/>
      <c r="K1346" s="348"/>
      <c r="L1346" s="348"/>
      <c r="M1346" s="348"/>
      <c r="N1346" s="348"/>
      <c r="O1346" s="348"/>
      <c r="P1346" s="348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48"/>
      <c r="B1375" s="348"/>
      <c r="C1375" s="348"/>
      <c r="D1375" s="348"/>
      <c r="E1375" s="348"/>
      <c r="F1375" s="348"/>
      <c r="G1375" s="348"/>
      <c r="H1375" s="348"/>
      <c r="I1375" s="348"/>
      <c r="J1375" s="348"/>
      <c r="K1375" s="348"/>
      <c r="L1375" s="348"/>
      <c r="M1375" s="348"/>
      <c r="N1375" s="348"/>
      <c r="O1375" s="348"/>
      <c r="P1375" s="348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48"/>
      <c r="B1404" s="348"/>
      <c r="C1404" s="348"/>
      <c r="D1404" s="348"/>
      <c r="E1404" s="348"/>
      <c r="F1404" s="348"/>
      <c r="G1404" s="348"/>
      <c r="H1404" s="348"/>
      <c r="I1404" s="348"/>
      <c r="J1404" s="348"/>
      <c r="K1404" s="348"/>
      <c r="L1404" s="348"/>
      <c r="M1404" s="348"/>
      <c r="N1404" s="348"/>
      <c r="O1404" s="348"/>
      <c r="P1404" s="348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48"/>
      <c r="B1433" s="348"/>
      <c r="C1433" s="348"/>
      <c r="D1433" s="348"/>
      <c r="E1433" s="348"/>
      <c r="F1433" s="348"/>
      <c r="G1433" s="348"/>
      <c r="H1433" s="348"/>
      <c r="I1433" s="348"/>
      <c r="J1433" s="348"/>
      <c r="K1433" s="348"/>
      <c r="L1433" s="348"/>
      <c r="M1433" s="348"/>
      <c r="N1433" s="348"/>
      <c r="O1433" s="348"/>
      <c r="P1433" s="348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02"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5DA8B-3E49-4A28-8642-29DC7DDC0866}">
  <dimension ref="A1:BE1459"/>
  <sheetViews>
    <sheetView topLeftCell="AB122" zoomScale="80" zoomScaleNormal="80" workbookViewId="0">
      <selection activeCell="AL109" sqref="AL109:AS135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</cols>
  <sheetData>
    <row r="1" spans="1:57" x14ac:dyDescent="0.3">
      <c r="A1" s="12"/>
      <c r="B1" s="12" t="s">
        <v>10</v>
      </c>
      <c r="C1" s="12"/>
      <c r="D1" s="12"/>
      <c r="E1" s="12"/>
      <c r="F1" s="12"/>
    </row>
    <row r="2" spans="1:57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AG2" s="51" t="s">
        <v>122</v>
      </c>
      <c r="AH2" s="51" t="s">
        <v>126</v>
      </c>
    </row>
    <row r="3" spans="1:57" x14ac:dyDescent="0.3">
      <c r="A3" s="12" t="s">
        <v>3</v>
      </c>
      <c r="B3" s="103">
        <v>51.51</v>
      </c>
      <c r="C3" s="22">
        <f>B3/$B$8</f>
        <v>7.4793088427472038E-2</v>
      </c>
      <c r="D3" s="85">
        <v>0.01</v>
      </c>
      <c r="E3" s="86">
        <f>D3-C3</f>
        <v>-6.4793088427472043E-2</v>
      </c>
      <c r="F3" s="12"/>
      <c r="G3" t="s">
        <v>46</v>
      </c>
      <c r="AG3" s="51" t="s">
        <v>123</v>
      </c>
      <c r="AH3" s="51" t="s">
        <v>129</v>
      </c>
    </row>
    <row r="4" spans="1:57" x14ac:dyDescent="0.3">
      <c r="A4" s="12" t="s">
        <v>4</v>
      </c>
      <c r="B4" s="103">
        <v>20.98</v>
      </c>
      <c r="C4" s="22">
        <f>B4/$B$8</f>
        <v>3.0463191520255551E-2</v>
      </c>
      <c r="D4" s="85">
        <v>0.01</v>
      </c>
      <c r="E4" s="86">
        <f>D4-C4</f>
        <v>-2.0463191520255553E-2</v>
      </c>
      <c r="F4" s="12"/>
      <c r="G4" t="s">
        <v>635</v>
      </c>
      <c r="AG4" s="51" t="s">
        <v>124</v>
      </c>
      <c r="AH4" s="51" t="s">
        <v>127</v>
      </c>
    </row>
    <row r="5" spans="1:57" x14ac:dyDescent="0.3">
      <c r="A5" s="12" t="s">
        <v>5</v>
      </c>
      <c r="B5" s="103">
        <v>234.23</v>
      </c>
      <c r="C5" s="22">
        <f>B5/$B$8</f>
        <v>0.34010454479454039</v>
      </c>
      <c r="D5" s="85">
        <v>0.42</v>
      </c>
      <c r="E5" s="86">
        <f>D5-C5</f>
        <v>7.9895455205459598E-2</v>
      </c>
      <c r="F5" s="12" t="s">
        <v>45</v>
      </c>
      <c r="AG5" s="51" t="s">
        <v>125</v>
      </c>
      <c r="AH5" s="51" t="s">
        <v>128</v>
      </c>
    </row>
    <row r="6" spans="1:57" x14ac:dyDescent="0.3">
      <c r="A6" s="12" t="s">
        <v>6</v>
      </c>
      <c r="B6" s="103">
        <v>206.92</v>
      </c>
      <c r="C6" s="22">
        <f>B6/$B$8</f>
        <v>0.30045012342093796</v>
      </c>
      <c r="D6" s="85">
        <v>0.35</v>
      </c>
      <c r="E6" s="86">
        <f>D6-C6</f>
        <v>4.9549876579062013E-2</v>
      </c>
      <c r="F6" s="12" t="s">
        <v>45</v>
      </c>
      <c r="I6" s="12"/>
      <c r="J6" s="12" t="s">
        <v>50</v>
      </c>
      <c r="K6" s="12"/>
      <c r="AG6" s="51" t="s">
        <v>150</v>
      </c>
      <c r="AH6" s="51" t="s">
        <v>152</v>
      </c>
    </row>
    <row r="7" spans="1:57" x14ac:dyDescent="0.3">
      <c r="A7" s="12" t="s">
        <v>7</v>
      </c>
      <c r="B7" s="103">
        <v>175.06</v>
      </c>
      <c r="C7" s="22">
        <f>B7/$B$8</f>
        <v>0.25418905183679397</v>
      </c>
      <c r="D7" s="85">
        <v>0.21</v>
      </c>
      <c r="E7" s="86">
        <f>D7-C7</f>
        <v>-4.4189051836793974E-2</v>
      </c>
      <c r="F7" s="12"/>
      <c r="I7" s="12"/>
      <c r="J7" s="12">
        <v>8592</v>
      </c>
      <c r="K7" s="12"/>
      <c r="AG7" s="51" t="s">
        <v>151</v>
      </c>
      <c r="AH7" s="51" t="s">
        <v>153</v>
      </c>
    </row>
    <row r="8" spans="1:57" x14ac:dyDescent="0.3">
      <c r="A8" s="12"/>
      <c r="B8" s="103">
        <f>SUM(B3:B7)</f>
        <v>688.7</v>
      </c>
      <c r="C8" s="61">
        <f>SUM(C3:C7)</f>
        <v>0.99999999999999989</v>
      </c>
      <c r="D8" s="12"/>
      <c r="E8" s="12" t="s">
        <v>16</v>
      </c>
      <c r="F8" s="134">
        <v>92704.02</v>
      </c>
      <c r="I8" s="12" t="s">
        <v>55</v>
      </c>
      <c r="J8" s="12" t="s">
        <v>50</v>
      </c>
      <c r="K8" s="12" t="s">
        <v>54</v>
      </c>
      <c r="AG8" s="51" t="s">
        <v>205</v>
      </c>
      <c r="AH8" s="51" t="s">
        <v>210</v>
      </c>
    </row>
    <row r="9" spans="1:57" x14ac:dyDescent="0.3">
      <c r="A9" s="12"/>
      <c r="B9" s="87">
        <f>B8/0.36</f>
        <v>1913.0555555555557</v>
      </c>
      <c r="C9" s="12" t="s">
        <v>44</v>
      </c>
      <c r="D9" s="12"/>
      <c r="E9" s="12" t="s">
        <v>47</v>
      </c>
      <c r="F9" s="88">
        <f>B8/F8</f>
        <v>7.4290197987099162E-3</v>
      </c>
      <c r="G9" s="46"/>
      <c r="I9" s="12">
        <v>2759</v>
      </c>
      <c r="J9" s="12">
        <v>8256</v>
      </c>
      <c r="K9" s="89">
        <f>(J7-J9)/J7</f>
        <v>3.9106145251396648E-2</v>
      </c>
      <c r="AG9" s="51" t="s">
        <v>206</v>
      </c>
      <c r="AH9" s="51" t="s">
        <v>211</v>
      </c>
    </row>
    <row r="10" spans="1:57" x14ac:dyDescent="0.3">
      <c r="A10" s="129" t="s">
        <v>636</v>
      </c>
      <c r="B10" s="130">
        <v>24756</v>
      </c>
      <c r="F10" s="46"/>
      <c r="I10" s="89">
        <f>I9/(I9+J9)</f>
        <v>0.25047662278710847</v>
      </c>
      <c r="J10" s="89">
        <f>J9/(J9+I9)</f>
        <v>0.74952337721289153</v>
      </c>
      <c r="K10" s="12"/>
      <c r="AG10" s="51" t="s">
        <v>207</v>
      </c>
      <c r="AH10" s="51" t="s">
        <v>212</v>
      </c>
    </row>
    <row r="11" spans="1:57" x14ac:dyDescent="0.3">
      <c r="B11" s="18"/>
      <c r="F11" s="46"/>
      <c r="I11" s="45"/>
      <c r="J11" s="45"/>
      <c r="AG11" s="51" t="s">
        <v>208</v>
      </c>
      <c r="AH11" s="51" t="s">
        <v>213</v>
      </c>
    </row>
    <row r="12" spans="1:57" x14ac:dyDescent="0.3">
      <c r="A12" s="348" t="s">
        <v>384</v>
      </c>
      <c r="B12" s="348"/>
      <c r="C12" s="348"/>
      <c r="D12" s="348"/>
      <c r="E12" s="348"/>
      <c r="F12" s="348"/>
      <c r="G12" s="348"/>
      <c r="H12" s="348"/>
      <c r="I12" s="348"/>
      <c r="J12" s="348"/>
      <c r="K12" s="348"/>
      <c r="L12" s="348" t="s">
        <v>48</v>
      </c>
      <c r="M12" s="348"/>
      <c r="N12" s="348"/>
      <c r="O12" s="348"/>
      <c r="P12" s="348"/>
      <c r="R12" s="47" t="s">
        <v>384</v>
      </c>
      <c r="S12" s="47" t="s">
        <v>633</v>
      </c>
      <c r="T12" s="47"/>
      <c r="U12" s="47"/>
      <c r="V12" s="47"/>
      <c r="W12" s="47"/>
      <c r="X12" s="47"/>
      <c r="Y12" s="47"/>
      <c r="Z12" s="47"/>
      <c r="AA12" s="47"/>
      <c r="AB12" s="47" t="s">
        <v>58</v>
      </c>
      <c r="AC12" s="47"/>
      <c r="AD12" s="47"/>
      <c r="AE12" s="47"/>
      <c r="AF12" s="47"/>
      <c r="AG12" s="51" t="s">
        <v>209</v>
      </c>
      <c r="AH12" s="51" t="s">
        <v>214</v>
      </c>
      <c r="AW12" s="66"/>
      <c r="AX12" s="77" t="s">
        <v>323</v>
      </c>
      <c r="AY12" s="77" t="s">
        <v>326</v>
      </c>
      <c r="AZ12" s="77" t="s">
        <v>324</v>
      </c>
      <c r="BA12" s="77" t="s">
        <v>325</v>
      </c>
      <c r="BB12" s="77" t="s">
        <v>327</v>
      </c>
      <c r="BC12" s="77" t="s">
        <v>328</v>
      </c>
      <c r="BD12" s="77" t="s">
        <v>349</v>
      </c>
      <c r="BE12" s="13"/>
    </row>
    <row r="13" spans="1:57" x14ac:dyDescent="0.3">
      <c r="A13" t="s">
        <v>315</v>
      </c>
      <c r="B13" t="s">
        <v>21</v>
      </c>
      <c r="I13" s="1" t="s">
        <v>53</v>
      </c>
      <c r="AG13" s="51" t="s">
        <v>319</v>
      </c>
      <c r="AH13" s="51" t="s">
        <v>321</v>
      </c>
      <c r="AW13" s="51" t="s">
        <v>126</v>
      </c>
      <c r="AX13" s="80">
        <f>MIN($AE$16:$AE$20)</f>
        <v>0.98136141796547438</v>
      </c>
      <c r="AY13" s="80">
        <f>_xlfn.QUARTILE.EXC($AE$16:$AE$20,1)</f>
        <v>0.98153178726117729</v>
      </c>
      <c r="AZ13" s="80">
        <f>MEDIAN($AE$16:$AE$20)</f>
        <v>0.98466670517969346</v>
      </c>
      <c r="BA13" s="80">
        <f>AVERAGE($AE$16:$AE$20)</f>
        <v>0.98360673826530343</v>
      </c>
      <c r="BB13" s="80">
        <f>_xlfn.QUARTILE.EXC(AE16:AE20,3)</f>
        <v>0.98515170581223477</v>
      </c>
      <c r="BC13" s="80">
        <f>MAX(AE16:AE20)</f>
        <v>0.98538135011071515</v>
      </c>
      <c r="BD13" s="80">
        <f>(BB13-AY13)/AZ13</f>
        <v>3.676288161278767E-3</v>
      </c>
      <c r="BE13" s="80"/>
    </row>
    <row r="14" spans="1:57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51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320</v>
      </c>
      <c r="AH14" s="51" t="s">
        <v>322</v>
      </c>
      <c r="AW14" s="51" t="s">
        <v>129</v>
      </c>
      <c r="AX14" s="80">
        <f>MIN($AE$16:$AE$25)</f>
        <v>0.98136141796547438</v>
      </c>
      <c r="AY14" s="80">
        <f>_xlfn.QUARTILE.EXC($AE$16:$AE$25,1)</f>
        <v>0.98308906729022871</v>
      </c>
      <c r="AZ14" s="80">
        <f>MEDIAN($AE$16:$AE$25)</f>
        <v>0.98443148648263912</v>
      </c>
      <c r="BA14" s="80">
        <f>AVERAGE($AE$16:$AE$25)</f>
        <v>0.98409552899913177</v>
      </c>
      <c r="BB14" s="80">
        <f>_xlfn.QUARTILE.EXC($AE$16:$AE$25,3)</f>
        <v>0.98515400663659869</v>
      </c>
      <c r="BC14" s="80">
        <f>MAX($AE$16:$AE$25)</f>
        <v>0.98620510497217295</v>
      </c>
      <c r="BD14" s="80">
        <f t="shared" ref="BD14:BD23" si="0">(BB14-AY14)/AZ14</f>
        <v>2.0975957948561534E-3</v>
      </c>
      <c r="BE14" s="80"/>
    </row>
    <row r="15" spans="1:57" x14ac:dyDescent="0.3">
      <c r="A15" t="s">
        <v>3</v>
      </c>
      <c r="B15" s="13">
        <v>0</v>
      </c>
      <c r="C15" s="26">
        <v>33</v>
      </c>
      <c r="D15" s="3">
        <v>0</v>
      </c>
      <c r="E15" s="3">
        <v>376</v>
      </c>
      <c r="F15" s="3">
        <v>42</v>
      </c>
      <c r="G15" s="4">
        <v>0</v>
      </c>
      <c r="H15" s="1">
        <f>SUM(C15:G15)</f>
        <v>451</v>
      </c>
      <c r="I15" s="10">
        <f>C15/H15</f>
        <v>7.3170731707317069E-2</v>
      </c>
      <c r="J15" s="11">
        <f>1-I15</f>
        <v>0.92682926829268297</v>
      </c>
      <c r="K15">
        <f>H15-C20</f>
        <v>416</v>
      </c>
      <c r="N15" s="10">
        <f>2*(C21*I15)/(C21+I15)</f>
        <v>0.13580246913580246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72</v>
      </c>
      <c r="AF15" s="12" t="s">
        <v>29</v>
      </c>
      <c r="AH15" t="s">
        <v>120</v>
      </c>
      <c r="AI15" t="s">
        <v>121</v>
      </c>
      <c r="AW15" s="51" t="s">
        <v>127</v>
      </c>
      <c r="AX15" s="80">
        <f>MIN($AE$16:$AE$35)</f>
        <v>0.98136141796547438</v>
      </c>
      <c r="AY15" s="80">
        <f>_xlfn.QUARTILE.EXC($AE$16:$AE$35,1)</f>
        <v>0.98372946674320283</v>
      </c>
      <c r="AZ15" s="126">
        <f>MEDIAN($AE$16:$AE$35)</f>
        <v>0.98499139861077467</v>
      </c>
      <c r="BA15" s="126">
        <f>AVERAGE($AE$16:$AE$35)</f>
        <v>0.98445551455345159</v>
      </c>
      <c r="BB15" s="80">
        <f>_xlfn.QUARTILE.EXC($AE$16:$AE$35,3)</f>
        <v>0.98539028790323024</v>
      </c>
      <c r="BC15" s="80">
        <f>MAX($AE$16:$AE$35)</f>
        <v>0.98620510497217295</v>
      </c>
      <c r="BD15" s="80">
        <f t="shared" si="0"/>
        <v>1.6861275767177521E-3</v>
      </c>
      <c r="BE15" s="80"/>
    </row>
    <row r="16" spans="1:57" x14ac:dyDescent="0.3">
      <c r="A16" t="s">
        <v>4</v>
      </c>
      <c r="B16" s="13">
        <v>1</v>
      </c>
      <c r="C16" s="5">
        <v>0</v>
      </c>
      <c r="D16" s="27">
        <v>55</v>
      </c>
      <c r="E16" s="1">
        <v>2</v>
      </c>
      <c r="F16" s="1">
        <v>0</v>
      </c>
      <c r="G16" s="6">
        <v>0</v>
      </c>
      <c r="H16" s="1">
        <f>SUM(C16:G16)</f>
        <v>57</v>
      </c>
      <c r="I16" s="10">
        <f>D16/H16</f>
        <v>0.96491228070175439</v>
      </c>
      <c r="J16" s="11">
        <f>1-I16</f>
        <v>3.5087719298245612E-2</v>
      </c>
      <c r="K16">
        <f>H16-D20</f>
        <v>-3</v>
      </c>
      <c r="N16" s="10">
        <f>2*(D21*I16)/(D21+I16)</f>
        <v>0.94017094017094016</v>
      </c>
      <c r="R16" t="s">
        <v>65</v>
      </c>
      <c r="S16" t="s">
        <v>28</v>
      </c>
      <c r="T16" s="57">
        <f t="shared" ref="T16:X19" si="1">C31</f>
        <v>0.13150507513858503</v>
      </c>
      <c r="U16" s="57">
        <f t="shared" si="1"/>
        <v>1.0895458383169103</v>
      </c>
      <c r="V16" s="57">
        <f t="shared" si="1"/>
        <v>59.852206270299725</v>
      </c>
      <c r="W16" s="57">
        <f t="shared" si="1"/>
        <v>32.498271474117942</v>
      </c>
      <c r="X16" s="57">
        <f t="shared" si="1"/>
        <v>6.428471342126846</v>
      </c>
      <c r="AC16" t="s">
        <v>65</v>
      </c>
      <c r="AD16" s="51">
        <f>I21</f>
        <v>0.82167451975353389</v>
      </c>
      <c r="AE16" s="55">
        <f>I32</f>
        <v>0.98538135011071515</v>
      </c>
      <c r="AF16" s="55">
        <f>J32</f>
        <v>2.3046474639349624E-3</v>
      </c>
      <c r="AH16">
        <v>21</v>
      </c>
      <c r="AI16">
        <v>32</v>
      </c>
      <c r="AW16" s="51" t="s">
        <v>128</v>
      </c>
      <c r="AX16" s="80">
        <f>MIN($AE$16:$AE$45)</f>
        <v>0.98136141796547438</v>
      </c>
      <c r="AY16" s="80">
        <f>_xlfn.QUARTILE.EXC($AE$16:$AE$45,1)</f>
        <v>0.98372946674320283</v>
      </c>
      <c r="AZ16" s="80">
        <f>MEDIAN($AE$16:$AE$45)</f>
        <v>0.98499139861077467</v>
      </c>
      <c r="BA16" s="80">
        <f>AVERAGE($AE$16:$AE$45)</f>
        <v>0.98445551455345159</v>
      </c>
      <c r="BB16" s="80">
        <f>_xlfn.QUARTILE.EXC($AE$16:$AE$45,3)</f>
        <v>0.98539028790323024</v>
      </c>
      <c r="BC16" s="80">
        <f>MAX($AE$16:$AE$45)</f>
        <v>0.98620510497217295</v>
      </c>
      <c r="BD16" s="80">
        <f t="shared" si="0"/>
        <v>1.6861275767177521E-3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1</v>
      </c>
      <c r="E17" s="27">
        <v>658</v>
      </c>
      <c r="F17" s="1">
        <v>1</v>
      </c>
      <c r="G17" s="6">
        <v>0</v>
      </c>
      <c r="H17" s="1">
        <f>SUM(C17:G17)</f>
        <v>660</v>
      </c>
      <c r="I17" s="10">
        <f>E17/H17</f>
        <v>0.99696969696969695</v>
      </c>
      <c r="J17" s="11">
        <f>1-I17</f>
        <v>3.0303030303030498E-3</v>
      </c>
      <c r="K17">
        <f>H17-E20</f>
        <v>-379</v>
      </c>
      <c r="N17" s="10">
        <f>2*(E21*I17)/(E21+I17)</f>
        <v>0.77457327839905832</v>
      </c>
      <c r="S17" s="66" t="s">
        <v>39</v>
      </c>
      <c r="T17" s="67">
        <f t="shared" si="1"/>
        <v>7.9188529530074145E-2</v>
      </c>
      <c r="U17" s="67">
        <f t="shared" si="1"/>
        <v>0.13415364092109588</v>
      </c>
      <c r="V17" s="67">
        <f t="shared" si="1"/>
        <v>0.16154477193927988</v>
      </c>
      <c r="W17" s="67">
        <f t="shared" si="1"/>
        <v>0.2107844507955933</v>
      </c>
      <c r="X17" s="67">
        <f t="shared" si="1"/>
        <v>0.10856551125800851</v>
      </c>
      <c r="AC17" t="s">
        <v>66</v>
      </c>
      <c r="AD17" s="51">
        <f>I50</f>
        <v>0.83798477709314967</v>
      </c>
      <c r="AE17" s="55">
        <f>I61</f>
        <v>0.98492206151375428</v>
      </c>
      <c r="AF17" s="55">
        <f>J61</f>
        <v>2.3288650974231493E-3</v>
      </c>
      <c r="AH17">
        <v>50</v>
      </c>
      <c r="AI17">
        <v>61</v>
      </c>
      <c r="AW17" s="51" t="s">
        <v>152</v>
      </c>
      <c r="AX17" s="80">
        <f>MIN($AE$16:$AE$55)</f>
        <v>0.98136141796547438</v>
      </c>
      <c r="AY17" s="80">
        <f>_xlfn.QUARTILE.EXC($AE$16:$AE$55,1)</f>
        <v>0.98372946674320283</v>
      </c>
      <c r="AZ17" s="80">
        <f>MEDIAN($AE$16:$AE$55)</f>
        <v>0.98499139861077467</v>
      </c>
      <c r="BA17" s="80">
        <f>AVERAGE($AE$16:$AE$55)</f>
        <v>0.98445551455345159</v>
      </c>
      <c r="BB17" s="80">
        <f>_xlfn.QUARTILE.EXC($AE$16:$AE$55,3)</f>
        <v>0.98539028790323024</v>
      </c>
      <c r="BC17" s="80">
        <f>MAX($AE$16:$AE$55)</f>
        <v>0.98620510497217295</v>
      </c>
      <c r="BD17" s="80">
        <f t="shared" si="0"/>
        <v>1.6861275767177521E-3</v>
      </c>
      <c r="BE17" s="80"/>
    </row>
    <row r="18" spans="1:57" x14ac:dyDescent="0.3">
      <c r="A18" t="s">
        <v>6</v>
      </c>
      <c r="B18" s="13">
        <v>3</v>
      </c>
      <c r="C18" s="5">
        <v>2</v>
      </c>
      <c r="D18" s="1">
        <v>3</v>
      </c>
      <c r="E18" s="1">
        <v>3</v>
      </c>
      <c r="F18" s="27">
        <v>571</v>
      </c>
      <c r="G18" s="6">
        <v>3</v>
      </c>
      <c r="H18" s="1">
        <f>SUM(C18:G18)</f>
        <v>582</v>
      </c>
      <c r="I18" s="10">
        <f>F18/H18</f>
        <v>0.98109965635738827</v>
      </c>
      <c r="J18" s="11">
        <f>1-I18</f>
        <v>1.8900343642611728E-2</v>
      </c>
      <c r="K18">
        <f>H18-F20</f>
        <v>-90</v>
      </c>
      <c r="N18" s="10">
        <f>2*(F21*I18)/(F21+I18)</f>
        <v>0.91068580542264743</v>
      </c>
      <c r="S18" s="70" t="s">
        <v>30</v>
      </c>
      <c r="T18" s="64">
        <f t="shared" si="1"/>
        <v>14.765531281522767</v>
      </c>
      <c r="U18" s="64">
        <f t="shared" si="1"/>
        <v>75.673828159583692</v>
      </c>
      <c r="V18" s="64">
        <f t="shared" si="1"/>
        <v>99.29935034738358</v>
      </c>
      <c r="W18" s="64">
        <f t="shared" si="1"/>
        <v>98.469928498293228</v>
      </c>
      <c r="X18" s="64">
        <f t="shared" si="1"/>
        <v>97.384580730779376</v>
      </c>
      <c r="AC18" t="s">
        <v>67</v>
      </c>
      <c r="AD18" s="51">
        <f>I79</f>
        <v>0.81333816600217468</v>
      </c>
      <c r="AE18" s="55">
        <f>I90</f>
        <v>0.98136141796547438</v>
      </c>
      <c r="AF18" s="55">
        <f>J90</f>
        <v>2.6654869891896719E-3</v>
      </c>
      <c r="AH18">
        <v>79</v>
      </c>
      <c r="AI18">
        <v>90</v>
      </c>
      <c r="AW18" s="51" t="s">
        <v>153</v>
      </c>
      <c r="AX18" s="80">
        <f>MIN($AE$16:$AE$65)</f>
        <v>0.98136141796547438</v>
      </c>
      <c r="AY18" s="80">
        <f>_xlfn.QUARTILE.EXC($AE$16:$AE$65,1)</f>
        <v>0.98372946674320283</v>
      </c>
      <c r="AZ18" s="80">
        <f>MEDIAN($AE$16:$AE$65)</f>
        <v>0.98499139861077467</v>
      </c>
      <c r="BA18" s="80">
        <f>AVERAGE($AE$16:$AE$65)</f>
        <v>0.98445551455345159</v>
      </c>
      <c r="BB18" s="80">
        <f>_xlfn.QUARTILE.EXC($AE$16:$AE$65,3)</f>
        <v>0.98539028790323024</v>
      </c>
      <c r="BC18" s="80">
        <f>MAX($AE$16:$AE$65)</f>
        <v>0.98620510497217295</v>
      </c>
      <c r="BD18" s="80">
        <f t="shared" si="0"/>
        <v>1.6861275767177521E-3</v>
      </c>
      <c r="BE18" s="80"/>
    </row>
    <row r="19" spans="1:57" x14ac:dyDescent="0.3">
      <c r="A19" t="s">
        <v>7</v>
      </c>
      <c r="B19" s="13">
        <v>4</v>
      </c>
      <c r="C19" s="7">
        <v>0</v>
      </c>
      <c r="D19" s="8">
        <v>1</v>
      </c>
      <c r="E19" s="8">
        <v>0</v>
      </c>
      <c r="F19" s="8">
        <v>58</v>
      </c>
      <c r="G19" s="28">
        <v>950</v>
      </c>
      <c r="H19" s="1">
        <f>SUM(C19:G19)</f>
        <v>1009</v>
      </c>
      <c r="I19" s="10">
        <f>G19/H19</f>
        <v>0.94152626362735381</v>
      </c>
      <c r="J19" s="11">
        <f>1-I19</f>
        <v>5.847373637264619E-2</v>
      </c>
      <c r="K19">
        <f>H19-G20</f>
        <v>56</v>
      </c>
      <c r="N19" s="10">
        <f>2*(G21*I19)/(G21+I19)</f>
        <v>0.96839959225280325</v>
      </c>
      <c r="S19" s="66" t="s">
        <v>39</v>
      </c>
      <c r="T19" s="67">
        <f t="shared" si="1"/>
        <v>211.33623578541145</v>
      </c>
      <c r="U19" s="67">
        <f t="shared" si="1"/>
        <v>10.337676407939563</v>
      </c>
      <c r="V19" s="67">
        <f t="shared" si="1"/>
        <v>0.16536361802754998</v>
      </c>
      <c r="W19" s="67">
        <f t="shared" si="1"/>
        <v>0.32305671830613902</v>
      </c>
      <c r="X19" s="67">
        <f t="shared" si="1"/>
        <v>1.4815378861441575</v>
      </c>
      <c r="AC19" t="s">
        <v>68</v>
      </c>
      <c r="AD19" s="51">
        <f>I108</f>
        <v>0.81551286698079017</v>
      </c>
      <c r="AE19" s="73">
        <f>I119</f>
        <v>0.98466670517969346</v>
      </c>
      <c r="AF19" s="73">
        <f>J119</f>
        <v>2.2061788874205069E-3</v>
      </c>
      <c r="AH19">
        <v>108</v>
      </c>
      <c r="AI19">
        <v>119</v>
      </c>
      <c r="AW19" s="51" t="s">
        <v>210</v>
      </c>
      <c r="AX19" s="80">
        <f>MIN($AE$16:$AE$75)</f>
        <v>0.98136141796547438</v>
      </c>
      <c r="AY19" s="80">
        <f>_xlfn.QUARTILE.EXC($AE$16:$AE$75,1)</f>
        <v>0.98372946674320283</v>
      </c>
      <c r="AZ19" s="80">
        <f>MEDIAN($AE$16:$AE$75)</f>
        <v>0.98499139861077467</v>
      </c>
      <c r="BA19" s="80">
        <f>AVERAGE($AE$16:$AE$75)</f>
        <v>0.98445551455345159</v>
      </c>
      <c r="BB19" s="80">
        <f>_xlfn.QUARTILE.EXC($AE$16:$AE$75,3)</f>
        <v>0.98539028790323024</v>
      </c>
      <c r="BC19" s="80">
        <f>MAX($AE$16:$AE$75)</f>
        <v>0.98620510497217295</v>
      </c>
      <c r="BD19" s="80">
        <f t="shared" si="0"/>
        <v>1.6861275767177521E-3</v>
      </c>
      <c r="BE19" s="80"/>
    </row>
    <row r="20" spans="1:57" ht="15.6" x14ac:dyDescent="0.35">
      <c r="B20" s="1" t="s">
        <v>19</v>
      </c>
      <c r="C20" s="1">
        <f>SUM(C15:C19)</f>
        <v>35</v>
      </c>
      <c r="D20" s="1">
        <f>SUM(D15:D19)</f>
        <v>60</v>
      </c>
      <c r="E20" s="1">
        <f>SUM(E15:E19)</f>
        <v>1039</v>
      </c>
      <c r="F20" s="1">
        <f>SUM(F15:F19)</f>
        <v>672</v>
      </c>
      <c r="G20" s="1">
        <f>SUM(G15:G19)</f>
        <v>953</v>
      </c>
      <c r="H20" s="1">
        <f>SUM(H14:H19)</f>
        <v>2759</v>
      </c>
      <c r="I20" s="13" t="s">
        <v>12</v>
      </c>
      <c r="N20" s="16"/>
      <c r="S20" s="70" t="s">
        <v>31</v>
      </c>
      <c r="T20" s="64">
        <f>I26</f>
        <v>7.3170731707317067</v>
      </c>
      <c r="U20" s="64">
        <f>I27</f>
        <v>96.491228070175438</v>
      </c>
      <c r="V20" s="64">
        <f>I28</f>
        <v>99.696969696969703</v>
      </c>
      <c r="W20" s="64">
        <f>I29</f>
        <v>98.109965635738831</v>
      </c>
      <c r="X20" s="64">
        <f>I30</f>
        <v>94.152626362735376</v>
      </c>
      <c r="AC20" t="s">
        <v>71</v>
      </c>
      <c r="AD20" s="51">
        <f>I137</f>
        <v>0.8202247191011236</v>
      </c>
      <c r="AE20" s="73">
        <f>I148</f>
        <v>0.98170215655688009</v>
      </c>
      <c r="AF20" s="73">
        <f>J148</f>
        <v>2.667782991170702E-3</v>
      </c>
      <c r="AH20">
        <v>137</v>
      </c>
      <c r="AI20">
        <v>148</v>
      </c>
      <c r="AW20" s="51" t="s">
        <v>211</v>
      </c>
      <c r="AX20" s="80">
        <f>MIN($AE$16:$AE$85)</f>
        <v>0.98136141796547438</v>
      </c>
      <c r="AY20" s="80">
        <f>_xlfn.QUARTILE.EXC($AE$16:$AE$85,1)</f>
        <v>0.98372946674320283</v>
      </c>
      <c r="AZ20" s="80">
        <f>MEDIAN($AE$16:$AE$85)</f>
        <v>0.98499139861077467</v>
      </c>
      <c r="BA20" s="80">
        <f>AVERAGE($AE$16:$AE$85)</f>
        <v>0.98445551455345159</v>
      </c>
      <c r="BB20" s="80">
        <f>_xlfn.QUARTILE.EXC($AE$16:$AE$85,3)</f>
        <v>0.98539028790323024</v>
      </c>
      <c r="BC20" s="80">
        <f>MAX($AE$16:$AE$85)</f>
        <v>0.98620510497217295</v>
      </c>
      <c r="BD20" s="80">
        <f t="shared" si="0"/>
        <v>1.6861275767177521E-3</v>
      </c>
      <c r="BE20" s="80"/>
    </row>
    <row r="21" spans="1:57" x14ac:dyDescent="0.3">
      <c r="A21" s="1" t="s">
        <v>316</v>
      </c>
      <c r="B21" s="1" t="s">
        <v>2</v>
      </c>
      <c r="C21" s="10">
        <f>C15/C20</f>
        <v>0.94285714285714284</v>
      </c>
      <c r="D21" s="10">
        <f>D16/D20</f>
        <v>0.91666666666666663</v>
      </c>
      <c r="E21" s="10">
        <f>E17/E20</f>
        <v>0.6333012512030799</v>
      </c>
      <c r="F21" s="10">
        <f>F18/F20</f>
        <v>0.84970238095238093</v>
      </c>
      <c r="G21" s="10">
        <f>G19/G20</f>
        <v>0.99685204616998946</v>
      </c>
      <c r="H21" s="10"/>
      <c r="I21" s="14">
        <f>(C15+D16+E17+F18+G19)/H20</f>
        <v>0.82167451975353389</v>
      </c>
      <c r="S21" s="66" t="s">
        <v>39</v>
      </c>
      <c r="T21" s="67">
        <f>J26</f>
        <v>1.2276153553285771</v>
      </c>
      <c r="U21" s="67">
        <f>J27</f>
        <v>2.4588241692166148</v>
      </c>
      <c r="V21" s="67">
        <f>J28</f>
        <v>0.21411214474847939</v>
      </c>
      <c r="W21" s="67">
        <f>J29</f>
        <v>0.5649413271715471</v>
      </c>
      <c r="X21" s="67">
        <f>J30</f>
        <v>0.73903733049539455</v>
      </c>
      <c r="AC21" t="s">
        <v>93</v>
      </c>
      <c r="AD21" s="51">
        <f>I166</f>
        <v>0.83109822399420075</v>
      </c>
      <c r="AE21" s="55">
        <f>I177</f>
        <v>0.98507822547855994</v>
      </c>
      <c r="AF21" s="55">
        <f>J177</f>
        <v>2.4693269520805563E-3</v>
      </c>
      <c r="AH21">
        <v>166</v>
      </c>
      <c r="AI21">
        <v>177</v>
      </c>
      <c r="AW21" s="51" t="s">
        <v>212</v>
      </c>
      <c r="AX21" s="80">
        <f>MIN($AE$16:$AE$95)</f>
        <v>0.98136141796547438</v>
      </c>
      <c r="AY21" s="80">
        <f>_xlfn.QUARTILE.EXC($AE$16:$AE$95,1)</f>
        <v>0.98372946674320283</v>
      </c>
      <c r="AZ21" s="80">
        <f>MEDIAN($AE$16:$AE$95)</f>
        <v>0.98499139861077467</v>
      </c>
      <c r="BA21" s="80">
        <f>AVERAGE($AE$16:$AE$95)</f>
        <v>0.98445551455345159</v>
      </c>
      <c r="BB21" s="80">
        <f>_xlfn.QUARTILE.EXC($AE$16:$AE$95,3)</f>
        <v>0.98539028790323024</v>
      </c>
      <c r="BC21" s="80">
        <f>MAX($AE$16:$AE$95)</f>
        <v>0.98620510497217295</v>
      </c>
      <c r="BD21" s="80">
        <f t="shared" si="0"/>
        <v>1.6861275767177521E-3</v>
      </c>
      <c r="BE21" s="80"/>
    </row>
    <row r="22" spans="1:57" x14ac:dyDescent="0.3">
      <c r="B22" s="1" t="s">
        <v>14</v>
      </c>
      <c r="C22" s="11">
        <f>1-C21</f>
        <v>5.7142857142857162E-2</v>
      </c>
      <c r="D22" s="11">
        <f>1-D21</f>
        <v>8.333333333333337E-2</v>
      </c>
      <c r="E22" s="11">
        <f>1-E21</f>
        <v>0.3666987487969201</v>
      </c>
      <c r="F22" s="11">
        <f>1-F21</f>
        <v>0.15029761904761907</v>
      </c>
      <c r="G22" s="11">
        <f>1-G21</f>
        <v>3.1479538300105414E-3</v>
      </c>
      <c r="S22" s="68" t="s">
        <v>51</v>
      </c>
      <c r="T22" s="65">
        <f>N15*100</f>
        <v>13.580246913580247</v>
      </c>
      <c r="U22" s="65">
        <f>N16*100</f>
        <v>94.01709401709401</v>
      </c>
      <c r="V22" s="65">
        <f>N17*100</f>
        <v>77.45732783990583</v>
      </c>
      <c r="W22" s="65">
        <f>N18*100</f>
        <v>91.068580542264741</v>
      </c>
      <c r="X22" s="65">
        <f>N19*100</f>
        <v>96.839959225280325</v>
      </c>
      <c r="Y22" s="46"/>
      <c r="Z22" s="46"/>
      <c r="AA22" s="46"/>
      <c r="AC22" t="s">
        <v>94</v>
      </c>
      <c r="AD22" s="51">
        <f>I195</f>
        <v>0.81587531714389272</v>
      </c>
      <c r="AE22" s="55">
        <f>I206</f>
        <v>0.98620510497217295</v>
      </c>
      <c r="AF22" s="55">
        <f>J206</f>
        <v>2.0632098441670252E-3</v>
      </c>
      <c r="AH22">
        <v>195</v>
      </c>
      <c r="AI22">
        <v>206</v>
      </c>
      <c r="AW22" s="51" t="s">
        <v>213</v>
      </c>
      <c r="AX22" s="80">
        <f>MIN($AE$16:$AE$105)</f>
        <v>0.98136141796547438</v>
      </c>
      <c r="AY22" s="80">
        <f>_xlfn.QUARTILE.EXC($AE$16:$AE$105,1)</f>
        <v>0.98372946674320283</v>
      </c>
      <c r="AZ22" s="80">
        <f>MEDIAN($AE$16:$AE$105)</f>
        <v>0.98499139861077467</v>
      </c>
      <c r="BA22" s="80">
        <f>AVERAGE($AE$16:$AE$105)</f>
        <v>0.98445551455345159</v>
      </c>
      <c r="BB22" s="80">
        <f>_xlfn.QUARTILE.EXC($AE$16:$AE$105,3)</f>
        <v>0.98539028790323024</v>
      </c>
      <c r="BC22" s="80">
        <f>MAX($AE$16:$AE$105)</f>
        <v>0.98620510497217295</v>
      </c>
      <c r="BD22" s="80">
        <f t="shared" si="0"/>
        <v>1.6861275767177521E-3</v>
      </c>
      <c r="BE22" s="80"/>
    </row>
    <row r="23" spans="1:57" x14ac:dyDescent="0.3">
      <c r="C23" s="2"/>
      <c r="R23" s="16" t="s">
        <v>61</v>
      </c>
      <c r="S23" t="s">
        <v>9</v>
      </c>
      <c r="T23" s="30">
        <f>N26</f>
        <v>246.01</v>
      </c>
      <c r="U23" s="30">
        <f>N27</f>
        <v>792.14</v>
      </c>
      <c r="V23" s="30">
        <f>N28</f>
        <v>55264.11</v>
      </c>
      <c r="W23" s="30">
        <f>N29</f>
        <v>30237.74</v>
      </c>
      <c r="X23" s="30">
        <f>N30</f>
        <v>6164.02</v>
      </c>
      <c r="Z23" t="s">
        <v>36</v>
      </c>
      <c r="AA23" s="1">
        <f>N31</f>
        <v>92704.02</v>
      </c>
      <c r="AC23" t="s">
        <v>95</v>
      </c>
      <c r="AD23" s="51">
        <f>I224</f>
        <v>0.82638637187386732</v>
      </c>
      <c r="AE23" s="55">
        <f>I235</f>
        <v>0.98419626778558467</v>
      </c>
      <c r="AF23" s="55">
        <f>J235</f>
        <v>2.3128066001077176E-3</v>
      </c>
      <c r="AH23">
        <v>224</v>
      </c>
      <c r="AI23">
        <v>235</v>
      </c>
      <c r="AW23" s="51" t="s">
        <v>214</v>
      </c>
      <c r="AX23" s="80">
        <f>MIN($AE$16:$AE$115)</f>
        <v>0.98136141796547438</v>
      </c>
      <c r="AY23" s="80">
        <f>_xlfn.QUARTILE.EXC($AE$16:$AE$115,1)</f>
        <v>0.98372946674320283</v>
      </c>
      <c r="AZ23" s="126">
        <f>MEDIAN($AE$16:$AE$115)</f>
        <v>0.98499139861077467</v>
      </c>
      <c r="BA23" s="126">
        <f>AVERAGE($AE$16:$AE$115)</f>
        <v>0.98445551455345159</v>
      </c>
      <c r="BB23" s="80">
        <f>_xlfn.QUARTILE.EXC($AE$16:$AE$115,3)</f>
        <v>0.98539028790323024</v>
      </c>
      <c r="BC23" s="80">
        <f>MAX($AE$16:$AE$115)</f>
        <v>0.98620510497217295</v>
      </c>
      <c r="BD23" s="80">
        <f t="shared" si="0"/>
        <v>1.6861275767177521E-3</v>
      </c>
      <c r="BE23" s="80"/>
    </row>
    <row r="24" spans="1:57" ht="15.6" x14ac:dyDescent="0.35">
      <c r="A24" t="s">
        <v>317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318</v>
      </c>
      <c r="S24" t="s">
        <v>63</v>
      </c>
      <c r="T24" s="57">
        <f>$AA23*T16/100</f>
        <v>121.91049115748891</v>
      </c>
      <c r="U24" s="57">
        <f>$AA23*U16/100</f>
        <v>1010.0527918624763</v>
      </c>
      <c r="V24" s="57">
        <f>$AA23*V16/100</f>
        <v>55485.401271259914</v>
      </c>
      <c r="W24" s="57">
        <f>$AA23*W16/100</f>
        <v>30127.204087020593</v>
      </c>
      <c r="X24" s="57">
        <f>$AA23*X16/100</f>
        <v>5959.4513586995399</v>
      </c>
      <c r="Z24" t="s">
        <v>36</v>
      </c>
      <c r="AA24" s="25">
        <f>SUM(T24:X24)</f>
        <v>92704.020000000019</v>
      </c>
      <c r="AC24" t="s">
        <v>96</v>
      </c>
      <c r="AD24" s="51">
        <f>I253</f>
        <v>0.82747372236317507</v>
      </c>
      <c r="AE24" s="55">
        <f>I264</f>
        <v>0.98389062956047046</v>
      </c>
      <c r="AF24" s="55">
        <f>J264</f>
        <v>2.5427964009121472E-3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62</v>
      </c>
      <c r="T25" s="67">
        <f>$AA23*T17/100</f>
        <v>73.410950253265852</v>
      </c>
      <c r="U25" s="67">
        <f>$AA23*U17/100</f>
        <v>124.36581811022091</v>
      </c>
      <c r="V25" s="67">
        <f>$AA23*V17/100</f>
        <v>149.75849768754443</v>
      </c>
      <c r="W25" s="67">
        <f>$AA23*W17/100</f>
        <v>195.405659422437</v>
      </c>
      <c r="X25" s="67">
        <f>$AA23*X17/100</f>
        <v>100.64459326972647</v>
      </c>
      <c r="AA25" s="1"/>
      <c r="AC25" t="s">
        <v>97</v>
      </c>
      <c r="AD25" s="51">
        <f>I282</f>
        <v>0.83037332366799566</v>
      </c>
      <c r="AE25" s="55">
        <f>I293</f>
        <v>0.98355137086801159</v>
      </c>
      <c r="AF25" s="55">
        <f>J293</f>
        <v>2.6866841356473666E-3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1.9417423006377794E-2</v>
      </c>
      <c r="D26" s="31">
        <f t="shared" ref="C26:G30" si="2">(D15/$L26)*$O26</f>
        <v>0</v>
      </c>
      <c r="E26" s="31">
        <f t="shared" si="2"/>
        <v>0.22124094092115307</v>
      </c>
      <c r="F26" s="31">
        <f t="shared" si="2"/>
        <v>2.4713083826299012E-2</v>
      </c>
      <c r="G26" s="32">
        <f t="shared" si="2"/>
        <v>0</v>
      </c>
      <c r="H26" s="17">
        <f>SUM(C26:G26)</f>
        <v>0.26537144775382987</v>
      </c>
      <c r="I26" s="17">
        <f>C26/H26*100</f>
        <v>7.3170731707317067</v>
      </c>
      <c r="J26" s="17">
        <f>SQRT(I26*(100-I26)/(L26-1))</f>
        <v>1.2276153553285771</v>
      </c>
      <c r="K26" s="18">
        <f>100-I26</f>
        <v>92.682926829268297</v>
      </c>
      <c r="L26" s="1">
        <f>H15</f>
        <v>451</v>
      </c>
      <c r="M26">
        <v>0</v>
      </c>
      <c r="N26" s="1">
        <v>246.01</v>
      </c>
      <c r="O26" s="17">
        <f>N26/N31*100</f>
        <v>0.26537144775382987</v>
      </c>
      <c r="P26" s="52">
        <f>((O26*O26*(I26/100)*(K26/100))/(L26-1))</f>
        <v>1.0612874085871977E-5</v>
      </c>
      <c r="R26" t="s">
        <v>66</v>
      </c>
      <c r="S26" s="70" t="s">
        <v>28</v>
      </c>
      <c r="T26" s="64">
        <f t="shared" ref="T26:X29" si="3">C60</f>
        <v>0.163546277892401</v>
      </c>
      <c r="U26" s="64">
        <f t="shared" si="3"/>
        <v>1.1007118973526293</v>
      </c>
      <c r="V26" s="64">
        <f t="shared" si="3"/>
        <v>60.047570082781327</v>
      </c>
      <c r="W26" s="64">
        <f t="shared" si="3"/>
        <v>32.403933003672911</v>
      </c>
      <c r="X26" s="64">
        <f t="shared" si="3"/>
        <v>6.2842387383007292</v>
      </c>
      <c r="Y26" s="13"/>
      <c r="Z26" s="74"/>
      <c r="AA26" s="12"/>
      <c r="AC26" t="s">
        <v>98</v>
      </c>
      <c r="AD26" s="51">
        <f>I311</f>
        <v>0.82167451975353389</v>
      </c>
      <c r="AE26" s="55">
        <f>I322</f>
        <v>0.98586882301629331</v>
      </c>
      <c r="AF26" s="55">
        <f>J322</f>
        <v>2.1761156831742435E-3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0.8245010454078342</v>
      </c>
      <c r="E27" s="19">
        <f t="shared" si="2"/>
        <v>2.9981856196648515E-2</v>
      </c>
      <c r="F27" s="18">
        <f t="shared" si="2"/>
        <v>0</v>
      </c>
      <c r="G27" s="20">
        <f t="shared" si="2"/>
        <v>0</v>
      </c>
      <c r="H27" s="17">
        <f>SUM(C27:G27)</f>
        <v>0.8544829016044827</v>
      </c>
      <c r="I27" s="17">
        <f>D27/H27*100</f>
        <v>96.491228070175438</v>
      </c>
      <c r="J27" s="17">
        <f>SQRT(I27*(100-I27)/(L27-1))</f>
        <v>2.4588241692166148</v>
      </c>
      <c r="K27" s="18">
        <f>100-I27</f>
        <v>3.5087719298245617</v>
      </c>
      <c r="L27" s="1">
        <f>H16</f>
        <v>57</v>
      </c>
      <c r="M27">
        <v>1</v>
      </c>
      <c r="N27" s="1">
        <v>792.14</v>
      </c>
      <c r="O27" s="17">
        <f>N27/N31*100</f>
        <v>0.8544829016044827</v>
      </c>
      <c r="P27" s="52">
        <f>((O27*O27*(I27/100)*(K27/100))/(L27-1))</f>
        <v>4.4142985316792961E-4</v>
      </c>
      <c r="S27" s="66" t="s">
        <v>39</v>
      </c>
      <c r="T27" s="67">
        <f t="shared" si="3"/>
        <v>7.9189875641045251E-2</v>
      </c>
      <c r="U27" s="67">
        <f t="shared" si="3"/>
        <v>0.10564786083335134</v>
      </c>
      <c r="V27" s="67">
        <f t="shared" si="3"/>
        <v>0.16508108100292965</v>
      </c>
      <c r="W27" s="67">
        <f t="shared" si="3"/>
        <v>0.20999394641263633</v>
      </c>
      <c r="X27" s="67">
        <f t="shared" si="3"/>
        <v>0.14153786421487258</v>
      </c>
      <c r="AC27" t="s">
        <v>99</v>
      </c>
      <c r="AD27" s="51">
        <f>I340</f>
        <v>0.8180500181225081</v>
      </c>
      <c r="AE27" s="55">
        <f>I351</f>
        <v>0.98367574580411354</v>
      </c>
      <c r="AF27" s="55">
        <f>J351</f>
        <v>2.5007316522899958E-3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9.0323483275051075E-2</v>
      </c>
      <c r="E28" s="34">
        <f t="shared" si="2"/>
        <v>59.432851994983608</v>
      </c>
      <c r="F28" s="19">
        <f t="shared" si="2"/>
        <v>9.0323483275051075E-2</v>
      </c>
      <c r="G28" s="20">
        <f t="shared" si="2"/>
        <v>0</v>
      </c>
      <c r="H28" s="17">
        <f>SUM(C28:G28)</f>
        <v>59.613498961533708</v>
      </c>
      <c r="I28" s="17">
        <f>E28/H28*100</f>
        <v>99.696969696969703</v>
      </c>
      <c r="J28" s="17">
        <f>SQRT(I28*(100-I28)/(L28-1))</f>
        <v>0.21411214474847939</v>
      </c>
      <c r="K28" s="18">
        <f>100-I28</f>
        <v>0.30303030303029743</v>
      </c>
      <c r="L28" s="1">
        <f>H17</f>
        <v>660</v>
      </c>
      <c r="M28">
        <v>2</v>
      </c>
      <c r="N28" s="1">
        <v>55264.11</v>
      </c>
      <c r="O28" s="17">
        <f>N28/N31*100</f>
        <v>59.613498961533708</v>
      </c>
      <c r="P28" s="52">
        <f>((O28*O28*(I28/100)*(K28/100))/(L28-1))</f>
        <v>1.6291903530067948E-2</v>
      </c>
      <c r="S28" t="s">
        <v>30</v>
      </c>
      <c r="T28" s="57">
        <f t="shared" si="3"/>
        <v>31.552821791047954</v>
      </c>
      <c r="U28" s="57">
        <f t="shared" si="3"/>
        <v>84.171023910201896</v>
      </c>
      <c r="V28" s="57">
        <f t="shared" si="3"/>
        <v>99.166023911253916</v>
      </c>
      <c r="W28" s="57">
        <f t="shared" si="3"/>
        <v>98.62899328673501</v>
      </c>
      <c r="X28" s="57">
        <f t="shared" si="3"/>
        <v>95.598875987944552</v>
      </c>
      <c r="AC28" t="s">
        <v>100</v>
      </c>
      <c r="AD28" s="51">
        <f>I369</f>
        <v>0.82131206959043135</v>
      </c>
      <c r="AE28" s="55">
        <f>I380</f>
        <v>0.98539326716740194</v>
      </c>
      <c r="AF28" s="55">
        <f>J380</f>
        <v>2.3036765051300955E-3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0.11208765213220723</v>
      </c>
      <c r="D29" s="19">
        <f t="shared" si="2"/>
        <v>0.16813147819831084</v>
      </c>
      <c r="E29" s="19">
        <f t="shared" si="2"/>
        <v>0.16813147819831084</v>
      </c>
      <c r="F29" s="34">
        <f t="shared" si="2"/>
        <v>32.001024683745165</v>
      </c>
      <c r="G29" s="20">
        <f t="shared" si="2"/>
        <v>0.16813147819831084</v>
      </c>
      <c r="H29" s="17">
        <f>SUM(C29:G29)</f>
        <v>32.617506770472303</v>
      </c>
      <c r="I29" s="17">
        <f>F29/H29*100</f>
        <v>98.109965635738831</v>
      </c>
      <c r="J29" s="17">
        <f>SQRT(I29*(100-I29)/(L29-1))</f>
        <v>0.5649413271715471</v>
      </c>
      <c r="K29" s="18">
        <f>100-I29</f>
        <v>1.8900343642611688</v>
      </c>
      <c r="L29" s="1">
        <f>H18</f>
        <v>582</v>
      </c>
      <c r="M29">
        <v>3</v>
      </c>
      <c r="N29" s="1">
        <v>30237.74</v>
      </c>
      <c r="O29" s="17">
        <f>N29/N31*100</f>
        <v>32.617506770472303</v>
      </c>
      <c r="P29" s="52">
        <f>((O29*O29*(I29/100)*(K29/100))/(L29-1))</f>
        <v>3.3955350214185769E-2</v>
      </c>
      <c r="S29" s="66" t="s">
        <v>39</v>
      </c>
      <c r="T29" s="67">
        <f t="shared" si="3"/>
        <v>218.12778449387326</v>
      </c>
      <c r="U29" s="67">
        <f t="shared" si="3"/>
        <v>9.6070270321074478</v>
      </c>
      <c r="V29" s="67">
        <f t="shared" si="3"/>
        <v>0.17384176859905109</v>
      </c>
      <c r="W29" s="67">
        <f t="shared" si="3"/>
        <v>0.31860388118994715</v>
      </c>
      <c r="X29" s="67">
        <f t="shared" si="3"/>
        <v>2.0606332208874485</v>
      </c>
      <c r="AC29" t="s">
        <v>101</v>
      </c>
      <c r="AD29" s="51">
        <f>I398</f>
        <v>0.82747372236317507</v>
      </c>
      <c r="AE29" s="55">
        <f>I409</f>
        <v>0.98572004805877778</v>
      </c>
      <c r="AF29" s="55">
        <f>J409</f>
        <v>2.1343723284656477E-3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6.5898314357142477E-3</v>
      </c>
      <c r="E30" s="21">
        <f t="shared" si="2"/>
        <v>0</v>
      </c>
      <c r="F30" s="21">
        <f t="shared" si="2"/>
        <v>0.38221022327142634</v>
      </c>
      <c r="G30" s="37">
        <f t="shared" si="2"/>
        <v>6.260339863928535</v>
      </c>
      <c r="H30" s="17">
        <f>SUM(C30:G30)</f>
        <v>6.6491399186356759</v>
      </c>
      <c r="I30" s="17">
        <f>G30/H30*100</f>
        <v>94.152626362735376</v>
      </c>
      <c r="J30" s="17">
        <f>SQRT(I30*(100-I30)/(L30-1))</f>
        <v>0.73903733049539455</v>
      </c>
      <c r="K30" s="18">
        <f>100-I30</f>
        <v>5.8473736372646243</v>
      </c>
      <c r="L30" s="1">
        <f>H19</f>
        <v>1009</v>
      </c>
      <c r="M30">
        <v>4</v>
      </c>
      <c r="N30" s="1">
        <v>6164.02</v>
      </c>
      <c r="O30" s="17">
        <f>N30/N31*100</f>
        <v>6.6491399186356759</v>
      </c>
      <c r="P30" s="52">
        <f>((O30*O30*(I30/100)*(K30/100))/(L30-1))</f>
        <v>2.4147028587110219E-3</v>
      </c>
      <c r="S30" t="s">
        <v>31</v>
      </c>
      <c r="T30" s="57">
        <f>I55</f>
        <v>17.96008869179601</v>
      </c>
      <c r="U30" s="57">
        <f>I56</f>
        <v>89.473684210526315</v>
      </c>
      <c r="V30" s="57">
        <f>I57</f>
        <v>99.696969696969688</v>
      </c>
      <c r="W30" s="57">
        <f>I58</f>
        <v>98.109965635738845</v>
      </c>
      <c r="X30" s="57">
        <f>I59</f>
        <v>94.251734390485638</v>
      </c>
      <c r="AC30" t="s">
        <v>102</v>
      </c>
      <c r="AD30" s="51">
        <f>I427</f>
        <v>0.82602392171076477</v>
      </c>
      <c r="AE30" s="55">
        <f>I438</f>
        <v>0.98256076408248361</v>
      </c>
      <c r="AF30" s="55">
        <f>J438</f>
        <v>2.7908537864662834E-3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0.13150507513858503</v>
      </c>
      <c r="D31" s="17">
        <f>SUM(D26:D30)</f>
        <v>1.0895458383169103</v>
      </c>
      <c r="E31" s="17">
        <f>SUM(E26:E30)</f>
        <v>59.852206270299725</v>
      </c>
      <c r="F31" s="17">
        <f>SUM(F26:F30)</f>
        <v>32.498271474117942</v>
      </c>
      <c r="G31" s="17">
        <f>SUM(G26:G30)</f>
        <v>6.428471342126846</v>
      </c>
      <c r="H31" s="1">
        <f>SUM(H25:H30)</f>
        <v>100</v>
      </c>
      <c r="I31" s="13" t="s">
        <v>24</v>
      </c>
      <c r="J31" s="12" t="s">
        <v>29</v>
      </c>
      <c r="N31" s="1">
        <f>SUM(N26:N30)</f>
        <v>92704.02</v>
      </c>
      <c r="O31" s="17">
        <f>SUM(O26:O30)</f>
        <v>100</v>
      </c>
      <c r="S31" s="66" t="s">
        <v>39</v>
      </c>
      <c r="T31" s="67">
        <f>J55</f>
        <v>1.8095082716721209</v>
      </c>
      <c r="U31" s="67">
        <f>J56</f>
        <v>4.1010195919683134</v>
      </c>
      <c r="V31" s="67">
        <f>J57</f>
        <v>0.21411214474848439</v>
      </c>
      <c r="W31" s="67">
        <f>J58</f>
        <v>0.56494132717154499</v>
      </c>
      <c r="X31" s="67">
        <f>J59</f>
        <v>0.73313309186721642</v>
      </c>
      <c r="AC31" t="s">
        <v>103</v>
      </c>
      <c r="AD31" s="51">
        <f>I456</f>
        <v>0.82058716926422615</v>
      </c>
      <c r="AE31" s="55">
        <f>I467</f>
        <v>0.98389364735524754</v>
      </c>
      <c r="AF31" s="55">
        <f>J467</f>
        <v>2.5263967472369925E-3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7.9188529530074145E-2</v>
      </c>
      <c r="D32" s="18">
        <f>SQRT(SUM((O26*O26*(D26/O26)*(1-D26/O26))/L26,(O27*O27*(D27/O27)*(1-D27/O27))/L27,(O28*O28*(D28/O28)*(1-D28/O28))/L28,(O29*O29*(D29/O29)*(1-D29/O29))/L29,(O30*O30*(D30/O30)*(1-D30/O30))/L30))</f>
        <v>0.13415364092109588</v>
      </c>
      <c r="E32" s="18">
        <f>SQRT(SUM((O26*O26*(E26/O26)*(1-E26/O26))/L26,(O27*O27*(E27/O27)*(1-E27/O27))/L27,(O28*O28*(E28/O28)*(1-E28/O28))/L28,(O29*O29*(E29/O29)*(1-E29/O29))/L29,(O30*O30*(E30/O30)*(1-E30/O30))/L30))</f>
        <v>0.16154477193927988</v>
      </c>
      <c r="F32" s="18">
        <f>SQRT(SUM((O26*O26*(F26/O26)*(1-F26/O26))/L26,(O27*O27*(F27/O27)*(1-F27/O27))/L27,(O28*O28*(F28/O28)*(1-F28/O28))/L28,(O29*O29*(F29/O29)*(1-F29/O29))/L29,(O30*O30*(F30/O30)*(1-F30/O30))/L30))</f>
        <v>0.2107844507955933</v>
      </c>
      <c r="G32" s="18">
        <f>SQRT(SUM((O26*O26*(G26/O26)*(1-G26/O26))/L26,(O27*O27*(G27/O27)*(1-G27/O27))/L27,(O28*O28*(G28/O28)*(1-G28/O28))/L28,(O29*O29*(G29/O29)*(1-G29/O29))/L29,(O30*O30*(G30/O30)*(1-G30/O30))/L30))</f>
        <v>0.10856551125800851</v>
      </c>
      <c r="H32" s="1"/>
      <c r="I32" s="14">
        <f>(C26+D27+E28+F29+G30)/H31</f>
        <v>0.98538135011071515</v>
      </c>
      <c r="J32" s="53">
        <f>SQRT(SUM(P26:P30))/100</f>
        <v>2.3046474639349624E-3</v>
      </c>
      <c r="M32" s="1"/>
      <c r="N32" s="9"/>
      <c r="S32" s="66" t="s">
        <v>51</v>
      </c>
      <c r="T32" s="67">
        <f>N44*100</f>
        <v>30.337078651685388</v>
      </c>
      <c r="U32" s="67">
        <f>N45*100</f>
        <v>91.071428571428555</v>
      </c>
      <c r="V32" s="67">
        <f>N46*100</f>
        <v>77.548615203299931</v>
      </c>
      <c r="W32" s="67">
        <f>N47*100</f>
        <v>94.380165289256198</v>
      </c>
      <c r="X32" s="67">
        <f>N48*100</f>
        <v>96.793893129770993</v>
      </c>
      <c r="AC32" t="s">
        <v>104</v>
      </c>
      <c r="AD32" s="51">
        <f>I485</f>
        <v>0.82312432040594419</v>
      </c>
      <c r="AE32" s="55">
        <f>I496</f>
        <v>0.98570274171437555</v>
      </c>
      <c r="AF32" s="55">
        <f>J496</f>
        <v>2.1333676555396843E-3</v>
      </c>
      <c r="AH32">
        <v>485</v>
      </c>
      <c r="AI32">
        <v>496</v>
      </c>
    </row>
    <row r="33" spans="1:35" x14ac:dyDescent="0.3">
      <c r="B33" s="1" t="s">
        <v>30</v>
      </c>
      <c r="C33" s="17">
        <f>C26/C31*100</f>
        <v>14.765531281522767</v>
      </c>
      <c r="D33" s="17">
        <f>D27/D31*100</f>
        <v>75.673828159583692</v>
      </c>
      <c r="E33" s="17">
        <f>E28/E31*100</f>
        <v>99.29935034738358</v>
      </c>
      <c r="F33" s="17">
        <f>F29/F31*100</f>
        <v>98.469928498293228</v>
      </c>
      <c r="G33" s="17">
        <f>G30/G31*100</f>
        <v>97.384580730779376</v>
      </c>
      <c r="H33" s="1"/>
      <c r="R33" s="16" t="s">
        <v>61</v>
      </c>
      <c r="S33" t="s">
        <v>9</v>
      </c>
      <c r="T33" s="30">
        <f>N55</f>
        <v>266.36</v>
      </c>
      <c r="U33" s="30">
        <f>N56</f>
        <v>959.93</v>
      </c>
      <c r="V33" s="30">
        <f>N57</f>
        <v>55370.06</v>
      </c>
      <c r="W33" s="30">
        <f>N58</f>
        <v>30198.67</v>
      </c>
      <c r="X33" s="30">
        <f>N59</f>
        <v>5909.01</v>
      </c>
      <c r="Z33" t="s">
        <v>36</v>
      </c>
      <c r="AA33" s="1">
        <f>N60</f>
        <v>92704.029999999984</v>
      </c>
      <c r="AC33" t="s">
        <v>105</v>
      </c>
      <c r="AD33" s="51">
        <f>I514</f>
        <v>0.81768756795940556</v>
      </c>
      <c r="AE33" s="55">
        <f>I525</f>
        <v>0.98506073570779507</v>
      </c>
      <c r="AF33" s="55">
        <f>J525</f>
        <v>2.1898561985420817E-3</v>
      </c>
      <c r="AH33">
        <v>514</v>
      </c>
      <c r="AI33">
        <v>525</v>
      </c>
    </row>
    <row r="34" spans="1:35" ht="15.6" x14ac:dyDescent="0.35">
      <c r="B34" s="16" t="s">
        <v>39</v>
      </c>
      <c r="C34" s="18">
        <f>SQRT((C37+C38)/(C31*C31))</f>
        <v>211.33623578541145</v>
      </c>
      <c r="D34" s="18">
        <f>SQRT((D37+D38)/(D31*D31))</f>
        <v>10.337676407939563</v>
      </c>
      <c r="E34" s="18">
        <f>SQRT((E37+E38)/(E31*E31))</f>
        <v>0.16536361802754998</v>
      </c>
      <c r="F34" s="18">
        <f>SQRT((F37+F38)/(F31*F31))</f>
        <v>0.32305671830613902</v>
      </c>
      <c r="G34" s="18">
        <f>SQRT((G37+G38)/(G31*G31))</f>
        <v>1.4815378861441575</v>
      </c>
      <c r="H34" s="1"/>
      <c r="R34" s="16" t="s">
        <v>318</v>
      </c>
      <c r="S34" t="s">
        <v>63</v>
      </c>
      <c r="T34" s="57">
        <f>$AA33*T26/100</f>
        <v>151.61399052125478</v>
      </c>
      <c r="U34" s="57">
        <f>$AA33*U26/100</f>
        <v>1020.4042875353505</v>
      </c>
      <c r="V34" s="57">
        <f>$AA33*V26/100</f>
        <v>55666.517383812621</v>
      </c>
      <c r="W34" s="57">
        <f>$AA33*W26/100</f>
        <v>30039.751772904834</v>
      </c>
      <c r="X34" s="57">
        <f>$AA33*X26/100</f>
        <v>5825.742565225929</v>
      </c>
      <c r="Z34" t="s">
        <v>36</v>
      </c>
      <c r="AA34" s="25">
        <f>SUM(T34:X34)</f>
        <v>92704.029999999984</v>
      </c>
      <c r="AB34" s="25"/>
      <c r="AC34" t="s">
        <v>106</v>
      </c>
      <c r="AD34" s="51">
        <f>I543</f>
        <v>0.82203696991663644</v>
      </c>
      <c r="AE34" s="55">
        <f>I554</f>
        <v>0.98520007738364646</v>
      </c>
      <c r="AF34" s="55">
        <f>J554</f>
        <v>2.1797695779577166E-3</v>
      </c>
      <c r="AH34">
        <v>543</v>
      </c>
      <c r="AI34">
        <v>554</v>
      </c>
    </row>
    <row r="35" spans="1:35" x14ac:dyDescent="0.3">
      <c r="B35" s="1" t="s">
        <v>37</v>
      </c>
      <c r="C35" s="18">
        <f>100-C33</f>
        <v>85.234468718477231</v>
      </c>
      <c r="D35" s="18">
        <f>100-D33</f>
        <v>24.326171840416308</v>
      </c>
      <c r="E35" s="18">
        <f>100-E33</f>
        <v>0.70064965261641987</v>
      </c>
      <c r="F35" s="18">
        <f>100-F33</f>
        <v>1.5300715017067716</v>
      </c>
      <c r="G35" s="18">
        <f>100-G33</f>
        <v>2.6154192692206237</v>
      </c>
      <c r="R35" s="66"/>
      <c r="S35" s="66" t="s">
        <v>62</v>
      </c>
      <c r="T35" s="67">
        <f>$AA33*T27/100</f>
        <v>73.412206071237264</v>
      </c>
      <c r="U35" s="67">
        <f>$AA33*U27/100</f>
        <v>97.93982460130826</v>
      </c>
      <c r="V35" s="67">
        <f>$AA33*V27/100</f>
        <v>153.03681485728018</v>
      </c>
      <c r="W35" s="67">
        <f>$AA33*W27/100</f>
        <v>194.6728510805543</v>
      </c>
      <c r="X35" s="67">
        <f>$AA33*X27/100</f>
        <v>131.21130410311471</v>
      </c>
      <c r="AA35" s="1"/>
      <c r="AB35" s="25"/>
      <c r="AC35" s="58" t="s">
        <v>107</v>
      </c>
      <c r="AD35" s="120">
        <f>I572</f>
        <v>0.82131206959043135</v>
      </c>
      <c r="AE35" s="121">
        <f>I583</f>
        <v>0.98507915078758301</v>
      </c>
      <c r="AF35" s="121">
        <f>J583</f>
        <v>2.2534411441171949E-3</v>
      </c>
      <c r="AH35">
        <v>572</v>
      </c>
      <c r="AI35">
        <v>583</v>
      </c>
    </row>
    <row r="36" spans="1:35" ht="15.6" x14ac:dyDescent="0.35">
      <c r="B36" s="1" t="s">
        <v>25</v>
      </c>
      <c r="C36" s="1">
        <f>C20</f>
        <v>35</v>
      </c>
      <c r="D36" s="1">
        <f>D20</f>
        <v>60</v>
      </c>
      <c r="E36" s="1">
        <f>E20</f>
        <v>1039</v>
      </c>
      <c r="F36" s="1">
        <f>F20</f>
        <v>672</v>
      </c>
      <c r="G36" s="1">
        <f>G20</f>
        <v>953</v>
      </c>
      <c r="R36" t="s">
        <v>67</v>
      </c>
      <c r="S36" t="s">
        <v>28</v>
      </c>
      <c r="T36" s="57">
        <f t="shared" ref="T36:X39" si="4">C89</f>
        <v>0.1327326160889869</v>
      </c>
      <c r="U36" s="57">
        <f t="shared" si="4"/>
        <v>1.3633559298107614</v>
      </c>
      <c r="V36" s="57">
        <f t="shared" si="4"/>
        <v>60.057562738048183</v>
      </c>
      <c r="W36" s="57">
        <f t="shared" si="4"/>
        <v>32.227173702083114</v>
      </c>
      <c r="X36" s="57">
        <f t="shared" si="4"/>
        <v>6.2191750139689654</v>
      </c>
      <c r="Y36" s="13"/>
      <c r="Z36" s="74"/>
      <c r="AA36" s="12"/>
      <c r="AC36" t="s">
        <v>108</v>
      </c>
      <c r="AD36" s="51"/>
      <c r="AE36" s="51"/>
      <c r="AH36">
        <v>601</v>
      </c>
      <c r="AI36">
        <v>612</v>
      </c>
    </row>
    <row r="37" spans="1:35" x14ac:dyDescent="0.3">
      <c r="B37" s="1" t="s">
        <v>34</v>
      </c>
      <c r="C37" s="18">
        <f>(O26*O26*(100-C33)*(100-C33)*(I26)*(100-I26))/(L26-1)</f>
        <v>771.01624506999462</v>
      </c>
      <c r="D37" s="18">
        <f>(O27*O27*(100-D33)*(100-D33)*(I27)*(100-I27))/((L27-1)*100)</f>
        <v>26.122169370049626</v>
      </c>
      <c r="E37" s="18">
        <f>(O28*O28*(100-E33)*(100-E33)*(I28)*(100-I28))/((L28-1)*100)</f>
        <v>0.79978573145637766</v>
      </c>
      <c r="F37" s="18">
        <f>(O29*O29*(100-F33)*(100-F33)*(I29)*(100-I29))/((L29-1)*100)</f>
        <v>7.9493508758396683</v>
      </c>
      <c r="G37" s="18">
        <f>(O30*O30*(100-G33)*(100-G33)*(I30)*(100-I30))/((L30-1)*100)</f>
        <v>1.6517576787844515</v>
      </c>
      <c r="S37" s="66" t="s">
        <v>39</v>
      </c>
      <c r="T37" s="67">
        <f t="shared" si="4"/>
        <v>7.8765071129591774E-2</v>
      </c>
      <c r="U37" s="67">
        <f t="shared" si="4"/>
        <v>0.16331459765506082</v>
      </c>
      <c r="V37" s="67">
        <f t="shared" si="4"/>
        <v>0.19406687274780585</v>
      </c>
      <c r="W37" s="67">
        <f t="shared" si="4"/>
        <v>0.23121111259870061</v>
      </c>
      <c r="X37" s="67">
        <f t="shared" si="4"/>
        <v>0.13672976543412835</v>
      </c>
      <c r="AC37" t="s">
        <v>109</v>
      </c>
      <c r="AD37" s="51"/>
      <c r="AE37" s="51"/>
      <c r="AH37">
        <v>630</v>
      </c>
      <c r="AI37">
        <v>641</v>
      </c>
    </row>
    <row r="38" spans="1:35" x14ac:dyDescent="0.3">
      <c r="B38" s="1" t="s">
        <v>35</v>
      </c>
      <c r="C38" s="18">
        <f>C33*C33*(SUM((H27*C27*(1-C16/H16))/(H16-1),(H28*C28*(1-C17/H17))/(H17-1), (H29*C29*(1-C18/H18))/(H18-1),(H30*C30*(1-C19/H19))/(H19-1)))</f>
        <v>1.3672110695937258</v>
      </c>
      <c r="D38" s="18">
        <f>D33*D33*(SUM((H26*D26*(1-D15/H15))/(H15-1),(H28*D28*(1-D17/H17))/(H17-1), (H29*D29*(1-D18/H18))/(H18-1),(H30*D30*(1-D19/H19))/(H19-1)))</f>
        <v>100.74138638166809</v>
      </c>
      <c r="E38" s="18">
        <f>E33*E33*(SUM((H26*E26*(1-E15/H15))/(H15-1),(H27*E27*(1-E16/H16))/(H16-1), (H29*E29*(1-E18/H18))/(H18-1),(H30*E30*(1-E19/H19))/(H19-1)))</f>
        <v>97.158293187303286</v>
      </c>
      <c r="F38" s="18">
        <f>F33*F33*(SUM((H26*F26*(1-F15/H15))/(H15-1),(H27*F27*(1-F16/H16))/(H16-1), (H28*F28*(1-F17/H17))/(H17-1),(H30*F30*(1-F19/H19))/(H19-1)))</f>
        <v>102.27513419460965</v>
      </c>
      <c r="G38" s="18">
        <f>G33*G33*(SUM((H26*G26*(1-G15/H15))/(H15-1),(H27*G27*(1-G16/H16))/(H16-1), (H28*G28*(1-G17/H17))/(H17-1),(H29*G29*(1-G18/H18))/(H18-1)))</f>
        <v>89.055272489970136</v>
      </c>
      <c r="S38" t="s">
        <v>30</v>
      </c>
      <c r="T38" s="57">
        <f t="shared" si="4"/>
        <v>16.01508495805809</v>
      </c>
      <c r="U38" s="57">
        <f t="shared" si="4"/>
        <v>73.977114789800311</v>
      </c>
      <c r="V38" s="57">
        <f t="shared" si="4"/>
        <v>99.114074352007904</v>
      </c>
      <c r="W38" s="57">
        <f t="shared" si="4"/>
        <v>98.236993264022601</v>
      </c>
      <c r="X38" s="57">
        <f t="shared" si="4"/>
        <v>95.218567024241992</v>
      </c>
      <c r="Z38" s="50"/>
      <c r="AA38" s="54"/>
      <c r="AC38" t="s">
        <v>110</v>
      </c>
      <c r="AD38" s="51"/>
      <c r="AE38" s="51"/>
      <c r="AH38">
        <v>659</v>
      </c>
      <c r="AI38">
        <v>670</v>
      </c>
    </row>
    <row r="39" spans="1:35" x14ac:dyDescent="0.3">
      <c r="S39" s="66" t="s">
        <v>39</v>
      </c>
      <c r="T39" s="67">
        <f t="shared" si="4"/>
        <v>218.79978533893529</v>
      </c>
      <c r="U39" s="67">
        <f t="shared" si="4"/>
        <v>10.606384332232187</v>
      </c>
      <c r="V39" s="67">
        <f t="shared" si="4"/>
        <v>0.19087623404347845</v>
      </c>
      <c r="W39" s="67">
        <f t="shared" si="4"/>
        <v>0.33938400637289373</v>
      </c>
      <c r="X39" s="67">
        <f t="shared" si="4"/>
        <v>1.9678903122189326</v>
      </c>
      <c r="AC39" t="s">
        <v>111</v>
      </c>
      <c r="AD39" s="51"/>
      <c r="AE39" s="51"/>
      <c r="AH39">
        <v>688</v>
      </c>
      <c r="AI39">
        <v>699</v>
      </c>
    </row>
    <row r="40" spans="1:35" x14ac:dyDescent="0.3">
      <c r="S40" t="s">
        <v>31</v>
      </c>
      <c r="T40" s="57">
        <f>I84</f>
        <v>7.7605321507760534</v>
      </c>
      <c r="U40" s="57">
        <f>I85</f>
        <v>94.736842105263136</v>
      </c>
      <c r="V40" s="57">
        <f>I86</f>
        <v>99.545454545454547</v>
      </c>
      <c r="W40" s="57">
        <f>I87</f>
        <v>97.594501718213053</v>
      </c>
      <c r="X40" s="57">
        <f>I88</f>
        <v>92.170465807730423</v>
      </c>
      <c r="AC40" t="s">
        <v>112</v>
      </c>
      <c r="AD40" s="51"/>
      <c r="AE40" s="51"/>
      <c r="AH40">
        <v>717</v>
      </c>
      <c r="AI40">
        <v>728</v>
      </c>
    </row>
    <row r="41" spans="1:35" x14ac:dyDescent="0.3">
      <c r="A41" s="348" t="s">
        <v>384</v>
      </c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 t="s">
        <v>49</v>
      </c>
      <c r="M41" s="348"/>
      <c r="N41" s="348"/>
      <c r="O41" s="348"/>
      <c r="P41" s="348"/>
      <c r="S41" s="66" t="s">
        <v>39</v>
      </c>
      <c r="T41" s="67">
        <f>J84</f>
        <v>1.2612404439143556</v>
      </c>
      <c r="U41" s="67">
        <f>J85</f>
        <v>2.9839300500728525</v>
      </c>
      <c r="V41" s="67">
        <f>J86</f>
        <v>0.26203341040868389</v>
      </c>
      <c r="W41" s="67">
        <f>J87</f>
        <v>0.63566329513058506</v>
      </c>
      <c r="X41" s="67">
        <f>J88</f>
        <v>0.84612316964690937</v>
      </c>
      <c r="AC41" t="s">
        <v>113</v>
      </c>
      <c r="AD41" s="51"/>
      <c r="AE41" s="51"/>
      <c r="AH41">
        <v>746</v>
      </c>
      <c r="AI41">
        <v>757</v>
      </c>
    </row>
    <row r="42" spans="1:35" x14ac:dyDescent="0.3">
      <c r="A42" t="s">
        <v>315</v>
      </c>
      <c r="B42" t="s">
        <v>21</v>
      </c>
      <c r="I42" s="1" t="s">
        <v>53</v>
      </c>
      <c r="S42" s="66" t="s">
        <v>51</v>
      </c>
      <c r="T42" s="67">
        <f>N73*100</f>
        <v>14.34426229508197</v>
      </c>
      <c r="U42" s="67">
        <f>N74*100</f>
        <v>92.307692307692307</v>
      </c>
      <c r="V42" s="67">
        <f>N75*100</f>
        <v>75.430539609644086</v>
      </c>
      <c r="W42" s="67">
        <f>N76*100</f>
        <v>92.659053833605213</v>
      </c>
      <c r="X42" s="67">
        <f>N77*100</f>
        <v>95.629820051413887</v>
      </c>
      <c r="AC42" t="s">
        <v>114</v>
      </c>
      <c r="AD42" s="51"/>
      <c r="AE42" s="51"/>
      <c r="AH42">
        <v>775</v>
      </c>
      <c r="AI42">
        <v>786</v>
      </c>
    </row>
    <row r="43" spans="1:3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51</v>
      </c>
      <c r="R43" s="16" t="s">
        <v>61</v>
      </c>
      <c r="S43" t="s">
        <v>9</v>
      </c>
      <c r="T43" s="30">
        <f>N84</f>
        <v>253.93</v>
      </c>
      <c r="U43" s="30">
        <f>N85</f>
        <v>986.93</v>
      </c>
      <c r="V43" s="30">
        <f>N86</f>
        <v>55434.51</v>
      </c>
      <c r="W43" s="30">
        <f>N87</f>
        <v>30072.57</v>
      </c>
      <c r="X43" s="30">
        <f>N88</f>
        <v>5956.09</v>
      </c>
      <c r="Z43" t="s">
        <v>36</v>
      </c>
      <c r="AA43" s="1">
        <f>N89</f>
        <v>92704.03</v>
      </c>
      <c r="AC43" t="s">
        <v>115</v>
      </c>
      <c r="AD43" s="51"/>
      <c r="AE43" s="51"/>
      <c r="AH43">
        <v>804</v>
      </c>
      <c r="AI43">
        <v>815</v>
      </c>
    </row>
    <row r="44" spans="1:35" ht="15.6" x14ac:dyDescent="0.35">
      <c r="A44" t="s">
        <v>3</v>
      </c>
      <c r="B44" s="13">
        <v>0</v>
      </c>
      <c r="C44" s="26">
        <v>81</v>
      </c>
      <c r="D44" s="3">
        <v>0</v>
      </c>
      <c r="E44" s="3">
        <v>370</v>
      </c>
      <c r="F44" s="3">
        <v>0</v>
      </c>
      <c r="G44" s="4">
        <v>0</v>
      </c>
      <c r="H44" s="1">
        <f>SUM(C44:G44)</f>
        <v>451</v>
      </c>
      <c r="I44" s="10">
        <f>C44/H44</f>
        <v>0.17960088691796008</v>
      </c>
      <c r="J44" s="11">
        <f>1-I44</f>
        <v>0.82039911308203994</v>
      </c>
      <c r="K44">
        <f>H44-C49</f>
        <v>368</v>
      </c>
      <c r="N44" s="10">
        <f>2*(C50*I44)/(C50+I44)</f>
        <v>0.3033707865168539</v>
      </c>
      <c r="R44" s="16" t="s">
        <v>318</v>
      </c>
      <c r="S44" t="s">
        <v>63</v>
      </c>
      <c r="T44" s="57">
        <f>$AA43*T36/100</f>
        <v>123.04848423891924</v>
      </c>
      <c r="U44" s="57">
        <f>$AA43*U36/100</f>
        <v>1263.885890178547</v>
      </c>
      <c r="V44" s="57">
        <f>$AA43*V36/100</f>
        <v>55675.780977949005</v>
      </c>
      <c r="W44" s="57">
        <f>$AA43*W36/100</f>
        <v>29875.888776931242</v>
      </c>
      <c r="X44" s="57">
        <f>$AA43*X36/100</f>
        <v>5765.4258707022937</v>
      </c>
      <c r="Z44" t="s">
        <v>36</v>
      </c>
      <c r="AA44" s="25">
        <f>SUM(T44:X44)</f>
        <v>92704.030000000013</v>
      </c>
      <c r="AC44" t="s">
        <v>116</v>
      </c>
      <c r="AD44" s="51"/>
      <c r="AE44" s="51"/>
      <c r="AH44">
        <v>833</v>
      </c>
      <c r="AI44">
        <v>844</v>
      </c>
    </row>
    <row r="45" spans="1:35" x14ac:dyDescent="0.3">
      <c r="A45" t="s">
        <v>4</v>
      </c>
      <c r="B45" s="13">
        <v>1</v>
      </c>
      <c r="C45" s="5">
        <v>0</v>
      </c>
      <c r="D45" s="27">
        <v>51</v>
      </c>
      <c r="E45" s="1">
        <v>5</v>
      </c>
      <c r="F45" s="1">
        <v>0</v>
      </c>
      <c r="G45" s="6">
        <v>1</v>
      </c>
      <c r="H45" s="1">
        <f>SUM(C45:G45)</f>
        <v>57</v>
      </c>
      <c r="I45" s="10">
        <f>D45/H45</f>
        <v>0.89473684210526316</v>
      </c>
      <c r="J45" s="11">
        <f>1-I45</f>
        <v>0.10526315789473684</v>
      </c>
      <c r="K45">
        <f>H45-D49</f>
        <v>2</v>
      </c>
      <c r="N45" s="10">
        <f>2*(D50*I45)/(D50+I45)</f>
        <v>0.91071428571428559</v>
      </c>
      <c r="R45" s="66"/>
      <c r="S45" s="66" t="s">
        <v>62</v>
      </c>
      <c r="T45" s="67">
        <f>$AA43*T37/100</f>
        <v>73.018395169498092</v>
      </c>
      <c r="U45" s="67">
        <f>$AA43*U37/100</f>
        <v>151.39921360452686</v>
      </c>
      <c r="V45" s="67">
        <f>$AA43*V37/100</f>
        <v>179.90781193218777</v>
      </c>
      <c r="W45" s="67">
        <f>$AA43*W37/100</f>
        <v>214.3420191868332</v>
      </c>
      <c r="X45" s="67">
        <f>$AA43*X37/100</f>
        <v>126.75400276698397</v>
      </c>
      <c r="AA45" s="1"/>
      <c r="AC45" t="s">
        <v>117</v>
      </c>
      <c r="AD45" s="51"/>
      <c r="AE45" s="51"/>
      <c r="AH45">
        <v>862</v>
      </c>
      <c r="AI45">
        <v>873</v>
      </c>
    </row>
    <row r="46" spans="1:35" x14ac:dyDescent="0.3">
      <c r="A46" t="s">
        <v>5</v>
      </c>
      <c r="B46" s="13">
        <v>2</v>
      </c>
      <c r="C46" s="5">
        <v>0</v>
      </c>
      <c r="D46" s="1">
        <v>0</v>
      </c>
      <c r="E46" s="27">
        <v>658</v>
      </c>
      <c r="F46" s="1">
        <v>1</v>
      </c>
      <c r="G46" s="6">
        <v>1</v>
      </c>
      <c r="H46" s="1">
        <f>SUM(C46:G46)</f>
        <v>660</v>
      </c>
      <c r="I46" s="10">
        <f>E46/H46</f>
        <v>0.99696969696969695</v>
      </c>
      <c r="J46" s="11">
        <f>1-I46</f>
        <v>3.0303030303030498E-3</v>
      </c>
      <c r="K46">
        <f>H46-E49</f>
        <v>-377</v>
      </c>
      <c r="N46" s="10">
        <f>2*(E50*I46)/(E50+I46)</f>
        <v>0.77548615203299931</v>
      </c>
      <c r="R46" t="s">
        <v>68</v>
      </c>
      <c r="S46" t="s">
        <v>28</v>
      </c>
      <c r="T46" s="57">
        <f t="shared" ref="T46:X49" si="5">C118</f>
        <v>0.13207645989528108</v>
      </c>
      <c r="U46" s="57">
        <f t="shared" si="5"/>
        <v>1.0247438762466645</v>
      </c>
      <c r="V46" s="57">
        <f t="shared" si="5"/>
        <v>60.502281111144079</v>
      </c>
      <c r="W46" s="57">
        <f t="shared" si="5"/>
        <v>32.385311064656001</v>
      </c>
      <c r="X46" s="57">
        <f t="shared" si="5"/>
        <v>5.9555874880579793</v>
      </c>
      <c r="Y46" s="60"/>
      <c r="Z46" s="74"/>
      <c r="AA46" s="12"/>
      <c r="AC46" t="s">
        <v>130</v>
      </c>
      <c r="AD46" s="51"/>
      <c r="AE46" s="51"/>
      <c r="AH46">
        <v>891</v>
      </c>
      <c r="AI46">
        <v>902</v>
      </c>
    </row>
    <row r="47" spans="1:35" x14ac:dyDescent="0.3">
      <c r="A47" t="s">
        <v>6</v>
      </c>
      <c r="B47" s="13">
        <v>3</v>
      </c>
      <c r="C47" s="5">
        <v>2</v>
      </c>
      <c r="D47" s="1">
        <v>3</v>
      </c>
      <c r="E47" s="1">
        <v>3</v>
      </c>
      <c r="F47" s="27">
        <v>571</v>
      </c>
      <c r="G47" s="6">
        <v>3</v>
      </c>
      <c r="H47" s="1">
        <f>SUM(C47:G47)</f>
        <v>582</v>
      </c>
      <c r="I47" s="10">
        <f>F47/H47</f>
        <v>0.98109965635738827</v>
      </c>
      <c r="J47" s="11">
        <f>1-I47</f>
        <v>1.8900343642611728E-2</v>
      </c>
      <c r="K47">
        <f>H47-F49</f>
        <v>-46</v>
      </c>
      <c r="N47" s="10">
        <f>2*(F50*I47)/(F50+I47)</f>
        <v>0.94380165289256202</v>
      </c>
      <c r="S47" s="66" t="s">
        <v>39</v>
      </c>
      <c r="T47" s="67">
        <f t="shared" si="5"/>
        <v>7.8959957510071399E-2</v>
      </c>
      <c r="U47" s="67">
        <f t="shared" si="5"/>
        <v>0.10180278097568353</v>
      </c>
      <c r="V47" s="67">
        <f t="shared" si="5"/>
        <v>0.13631964717274386</v>
      </c>
      <c r="W47" s="67">
        <f t="shared" si="5"/>
        <v>0.2179592019991318</v>
      </c>
      <c r="X47" s="67">
        <f t="shared" si="5"/>
        <v>0.12270786557013402</v>
      </c>
      <c r="AC47" t="s">
        <v>131</v>
      </c>
      <c r="AD47" s="51"/>
      <c r="AE47" s="51"/>
      <c r="AH47">
        <v>920</v>
      </c>
      <c r="AI47">
        <v>931</v>
      </c>
    </row>
    <row r="48" spans="1:35" x14ac:dyDescent="0.3">
      <c r="A48" t="s">
        <v>7</v>
      </c>
      <c r="B48" s="13">
        <v>4</v>
      </c>
      <c r="C48" s="7">
        <v>0</v>
      </c>
      <c r="D48" s="8">
        <v>1</v>
      </c>
      <c r="E48" s="8">
        <v>1</v>
      </c>
      <c r="F48" s="8">
        <v>56</v>
      </c>
      <c r="G48" s="28">
        <v>951</v>
      </c>
      <c r="H48" s="1">
        <f>SUM(C48:G48)</f>
        <v>1009</v>
      </c>
      <c r="I48" s="10">
        <f>G48/H48</f>
        <v>0.94251734390485631</v>
      </c>
      <c r="J48" s="11">
        <f>1-I48</f>
        <v>5.7482656095143692E-2</v>
      </c>
      <c r="K48">
        <f>H48-G49</f>
        <v>53</v>
      </c>
      <c r="N48" s="10">
        <f>2*(G50*I48)/(G50+I48)</f>
        <v>0.96793893129770991</v>
      </c>
      <c r="S48" t="s">
        <v>30</v>
      </c>
      <c r="T48" s="57">
        <f t="shared" si="5"/>
        <v>15.381597930281227</v>
      </c>
      <c r="U48" s="57">
        <f t="shared" si="5"/>
        <v>81.842041906427738</v>
      </c>
      <c r="V48" s="57">
        <f t="shared" si="5"/>
        <v>99.209046354390082</v>
      </c>
      <c r="W48" s="57">
        <f t="shared" si="5"/>
        <v>98.352867602217287</v>
      </c>
      <c r="X48" s="57">
        <f t="shared" si="5"/>
        <v>96.246852553245475</v>
      </c>
      <c r="AC48" t="s">
        <v>132</v>
      </c>
      <c r="AD48" s="51"/>
      <c r="AE48" s="51"/>
      <c r="AH48">
        <v>949</v>
      </c>
      <c r="AI48">
        <v>960</v>
      </c>
    </row>
    <row r="49" spans="1:35" ht="15.6" x14ac:dyDescent="0.35">
      <c r="B49" s="1" t="s">
        <v>19</v>
      </c>
      <c r="C49" s="1">
        <f>SUM(C44:C48)</f>
        <v>83</v>
      </c>
      <c r="D49" s="1">
        <f>SUM(D44:D48)</f>
        <v>55</v>
      </c>
      <c r="E49" s="1">
        <f>SUM(E44:E48)</f>
        <v>1037</v>
      </c>
      <c r="F49" s="1">
        <f>SUM(F44:F48)</f>
        <v>628</v>
      </c>
      <c r="G49" s="1">
        <f>SUM(G44:G48)</f>
        <v>956</v>
      </c>
      <c r="H49" s="1">
        <f>SUM(H43:H48)</f>
        <v>2759</v>
      </c>
      <c r="I49" s="13" t="s">
        <v>12</v>
      </c>
      <c r="S49" s="66" t="s">
        <v>39</v>
      </c>
      <c r="T49" s="67">
        <f t="shared" si="5"/>
        <v>211.73011441728391</v>
      </c>
      <c r="U49" s="67">
        <f t="shared" si="5"/>
        <v>9.4885284050317775</v>
      </c>
      <c r="V49" s="67">
        <f t="shared" si="5"/>
        <v>0.16710208927910952</v>
      </c>
      <c r="W49" s="67">
        <f t="shared" si="5"/>
        <v>0.33064381580187552</v>
      </c>
      <c r="X49" s="67">
        <f t="shared" si="5"/>
        <v>1.8305071052570601</v>
      </c>
      <c r="AC49" t="s">
        <v>133</v>
      </c>
      <c r="AD49" s="51"/>
      <c r="AE49" s="51"/>
      <c r="AH49">
        <v>978</v>
      </c>
      <c r="AI49">
        <v>989</v>
      </c>
    </row>
    <row r="50" spans="1:35" x14ac:dyDescent="0.3">
      <c r="A50" s="1" t="s">
        <v>316</v>
      </c>
      <c r="B50" s="1" t="s">
        <v>2</v>
      </c>
      <c r="C50" s="10">
        <f>C44/C49</f>
        <v>0.97590361445783136</v>
      </c>
      <c r="D50" s="10">
        <f>D45/D49</f>
        <v>0.92727272727272725</v>
      </c>
      <c r="E50" s="10">
        <f>E46/E49</f>
        <v>0.6345226615236258</v>
      </c>
      <c r="F50" s="10">
        <f>F47/F49</f>
        <v>0.90923566878980888</v>
      </c>
      <c r="G50" s="10">
        <f>G48/G49</f>
        <v>0.99476987447698739</v>
      </c>
      <c r="H50" s="10"/>
      <c r="I50" s="14">
        <f>(C44+D45+E46+F47+G48)/H49</f>
        <v>0.83798477709314967</v>
      </c>
      <c r="S50" s="15" t="s">
        <v>31</v>
      </c>
      <c r="T50" s="71">
        <f>I113</f>
        <v>7.7605321507760534</v>
      </c>
      <c r="U50" s="71">
        <f>I114</f>
        <v>92.982456140350877</v>
      </c>
      <c r="V50" s="71">
        <f>I115</f>
        <v>99.848484848484858</v>
      </c>
      <c r="W50" s="71">
        <f>I116</f>
        <v>97.9381443298969</v>
      </c>
      <c r="X50" s="71">
        <f>I117</f>
        <v>92.46778989098118</v>
      </c>
      <c r="AC50" t="s">
        <v>134</v>
      </c>
      <c r="AD50" s="51"/>
      <c r="AE50" s="51"/>
      <c r="AH50">
        <v>1007</v>
      </c>
      <c r="AI50">
        <v>1018</v>
      </c>
    </row>
    <row r="51" spans="1:35" x14ac:dyDescent="0.3">
      <c r="B51" s="1" t="s">
        <v>14</v>
      </c>
      <c r="C51" s="11">
        <f>1-C50</f>
        <v>2.4096385542168641E-2</v>
      </c>
      <c r="D51" s="11">
        <f>1-D50</f>
        <v>7.2727272727272751E-2</v>
      </c>
      <c r="E51" s="11">
        <f>1-E50</f>
        <v>0.3654773384763742</v>
      </c>
      <c r="F51" s="11">
        <f>1-F50</f>
        <v>9.0764331210191118E-2</v>
      </c>
      <c r="G51" s="11">
        <f>1-G50</f>
        <v>5.2301255230126076E-3</v>
      </c>
      <c r="S51" s="75" t="s">
        <v>39</v>
      </c>
      <c r="T51" s="76">
        <f>J113</f>
        <v>1.2612404439143556</v>
      </c>
      <c r="U51" s="76">
        <f>J114</f>
        <v>3.4134933513474275</v>
      </c>
      <c r="V51" s="76">
        <f>J115</f>
        <v>0.15151515151514658</v>
      </c>
      <c r="W51" s="76">
        <f>J116</f>
        <v>0.58954505375429189</v>
      </c>
      <c r="X51" s="76">
        <f>J117</f>
        <v>0.83123952539973844</v>
      </c>
      <c r="AC51" t="s">
        <v>135</v>
      </c>
      <c r="AD51" s="51"/>
      <c r="AE51" s="51"/>
      <c r="AH51">
        <v>1036</v>
      </c>
      <c r="AI51">
        <v>1047</v>
      </c>
    </row>
    <row r="52" spans="1:35" x14ac:dyDescent="0.3">
      <c r="C52" s="2"/>
      <c r="S52" s="66" t="s">
        <v>51</v>
      </c>
      <c r="T52" s="67">
        <f>N102*100</f>
        <v>14.34426229508197</v>
      </c>
      <c r="U52" s="67">
        <f>N103*100</f>
        <v>91.379310344827587</v>
      </c>
      <c r="V52" s="67">
        <f>N104*100</f>
        <v>75.616752725186458</v>
      </c>
      <c r="W52" s="67">
        <f>N105*100</f>
        <v>93.061224489795919</v>
      </c>
      <c r="X52" s="67">
        <f>N106*100</f>
        <v>95.889003083247687</v>
      </c>
      <c r="AC52" t="s">
        <v>136</v>
      </c>
      <c r="AD52" s="51"/>
      <c r="AE52" s="51"/>
      <c r="AH52">
        <v>1065</v>
      </c>
      <c r="AI52">
        <v>1076</v>
      </c>
    </row>
    <row r="53" spans="1:35" ht="15.6" x14ac:dyDescent="0.35">
      <c r="A53" t="s">
        <v>317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61</v>
      </c>
      <c r="S53" t="s">
        <v>9</v>
      </c>
      <c r="T53" s="30">
        <f>N113</f>
        <v>242.68</v>
      </c>
      <c r="U53" s="30">
        <f>N114</f>
        <v>836.16</v>
      </c>
      <c r="V53" s="30">
        <f>N115</f>
        <v>55728.86</v>
      </c>
      <c r="W53" s="30">
        <f>N116</f>
        <v>30149.62</v>
      </c>
      <c r="X53" s="30">
        <f>N117</f>
        <v>5746.71</v>
      </c>
      <c r="Z53" t="s">
        <v>36</v>
      </c>
      <c r="AA53" s="1">
        <f>N118</f>
        <v>92704.03</v>
      </c>
      <c r="AC53" t="s">
        <v>137</v>
      </c>
      <c r="AD53" s="51"/>
      <c r="AE53" s="51"/>
      <c r="AH53">
        <v>1094</v>
      </c>
      <c r="AI53">
        <v>1105</v>
      </c>
    </row>
    <row r="54" spans="1:35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318</v>
      </c>
      <c r="S54" t="s">
        <v>63</v>
      </c>
      <c r="T54" s="57">
        <f>$AA53*T46/100</f>
        <v>122.44020100425934</v>
      </c>
      <c r="U54" s="57">
        <f>$AA53*U46/100</f>
        <v>949.9788704588708</v>
      </c>
      <c r="V54" s="57">
        <f>$AA53*V46/100</f>
        <v>56088.052831959343</v>
      </c>
      <c r="W54" s="57">
        <f>$AA53*W46/100</f>
        <v>30022.488484972018</v>
      </c>
      <c r="X54" s="57">
        <f>$AA53*X46/100</f>
        <v>5521.0696116055151</v>
      </c>
      <c r="Z54" t="s">
        <v>36</v>
      </c>
      <c r="AA54" s="25">
        <f>SUM(T54:X54)</f>
        <v>92704.030000000013</v>
      </c>
      <c r="AC54" t="s">
        <v>138</v>
      </c>
      <c r="AD54" s="51"/>
      <c r="AE54" s="51"/>
      <c r="AH54">
        <v>1123</v>
      </c>
      <c r="AI54">
        <v>1134</v>
      </c>
    </row>
    <row r="55" spans="1:35" x14ac:dyDescent="0.3">
      <c r="A55" t="s">
        <v>3</v>
      </c>
      <c r="B55" s="13">
        <v>0</v>
      </c>
      <c r="C55" s="29">
        <f>(C44/$L55)*$O55</f>
        <v>5.1603465609281342E-2</v>
      </c>
      <c r="D55" s="31">
        <f>(D44/$L55)*$O55</f>
        <v>0</v>
      </c>
      <c r="E55" s="31">
        <f>(E44/$L55)*$O55</f>
        <v>0.23571953426461847</v>
      </c>
      <c r="F55" s="31">
        <f>(F44/$L55)*$O55</f>
        <v>0</v>
      </c>
      <c r="G55" s="32">
        <f>(G44/$L55)*$O55</f>
        <v>0</v>
      </c>
      <c r="H55" s="17">
        <f>SUM(C55:G55)</f>
        <v>0.28732299987389981</v>
      </c>
      <c r="I55" s="17">
        <f>C55/H55*100</f>
        <v>17.96008869179601</v>
      </c>
      <c r="J55" s="17">
        <f>SQRT(I55*(100-I55)/(L55-1))</f>
        <v>1.8095082716721209</v>
      </c>
      <c r="K55" s="18">
        <f>100-I55</f>
        <v>82.039911308203983</v>
      </c>
      <c r="L55" s="1">
        <f>H44</f>
        <v>451</v>
      </c>
      <c r="M55">
        <v>0</v>
      </c>
      <c r="N55" s="1">
        <v>266.36</v>
      </c>
      <c r="O55" s="17">
        <f>N55/N60*100</f>
        <v>0.28732299987389981</v>
      </c>
      <c r="P55" s="52">
        <f>((O55*O55*(I55/100)*(K55/100))/(L55-1))</f>
        <v>2.7030988621911227E-5</v>
      </c>
      <c r="R55" s="66"/>
      <c r="S55" s="66" t="s">
        <v>62</v>
      </c>
      <c r="T55" s="67">
        <f>$AA53*T47/100</f>
        <v>73.199062698123839</v>
      </c>
      <c r="U55" s="67">
        <f>$AA53*U47/100</f>
        <v>94.375280616531938</v>
      </c>
      <c r="V55" s="67">
        <f>$AA53*V47/100</f>
        <v>126.37380661091461</v>
      </c>
      <c r="W55" s="67">
        <f>$AA53*W47/100</f>
        <v>202.05696400903574</v>
      </c>
      <c r="X55" s="67">
        <f>$AA53*X47/100</f>
        <v>113.75513651049673</v>
      </c>
      <c r="AA55" s="1"/>
      <c r="AC55" t="s">
        <v>139</v>
      </c>
      <c r="AD55" s="51"/>
      <c r="AE55" s="51"/>
      <c r="AH55">
        <v>1152</v>
      </c>
      <c r="AI55">
        <v>1163</v>
      </c>
    </row>
    <row r="56" spans="1:35" x14ac:dyDescent="0.3">
      <c r="A56" t="s">
        <v>4</v>
      </c>
      <c r="B56" s="13">
        <v>1</v>
      </c>
      <c r="C56" s="33">
        <f t="shared" ref="C56:G59" si="6">(C45/$L56)*$O56</f>
        <v>0</v>
      </c>
      <c r="D56" s="34">
        <f t="shared" si="6"/>
        <v>0.92648047430311853</v>
      </c>
      <c r="E56" s="19">
        <f t="shared" si="6"/>
        <v>9.0831419049325346E-2</v>
      </c>
      <c r="F56" s="18">
        <f t="shared" si="6"/>
        <v>0</v>
      </c>
      <c r="G56" s="20">
        <f t="shared" si="6"/>
        <v>1.8166283809865069E-2</v>
      </c>
      <c r="H56" s="17">
        <f>SUM(C56:G56)</f>
        <v>1.0354781771623089</v>
      </c>
      <c r="I56" s="17">
        <f>D56/H56*100</f>
        <v>89.473684210526315</v>
      </c>
      <c r="J56" s="17">
        <f>SQRT(I56*(100-I56)/(L56-1))</f>
        <v>4.1010195919683134</v>
      </c>
      <c r="K56" s="18">
        <f>100-I56</f>
        <v>10.526315789473685</v>
      </c>
      <c r="L56" s="1">
        <f>H45</f>
        <v>57</v>
      </c>
      <c r="M56">
        <v>1</v>
      </c>
      <c r="N56" s="1">
        <v>959.93</v>
      </c>
      <c r="O56" s="17">
        <f>N56/N60*100</f>
        <v>1.0354781771623089</v>
      </c>
      <c r="P56" s="52">
        <f>((O56*O56*(I56/100)*(K56/100))/(L56-1))</f>
        <v>1.8032900614809485E-3</v>
      </c>
      <c r="R56" t="s">
        <v>71</v>
      </c>
      <c r="S56" t="s">
        <v>28</v>
      </c>
      <c r="T56" s="57">
        <f t="shared" ref="T56:X59" si="7">C147</f>
        <v>0.14294796824440753</v>
      </c>
      <c r="U56" s="57">
        <f t="shared" si="7"/>
        <v>1.2365966892348439</v>
      </c>
      <c r="V56" s="57">
        <f t="shared" si="7"/>
        <v>59.85643209251441</v>
      </c>
      <c r="W56" s="57">
        <f t="shared" si="7"/>
        <v>32.443462404352154</v>
      </c>
      <c r="X56" s="57">
        <f t="shared" si="7"/>
        <v>6.3205608456541746</v>
      </c>
      <c r="Y56" s="13"/>
      <c r="Z56" s="74"/>
      <c r="AA56" s="12"/>
      <c r="AC56" t="s">
        <v>140</v>
      </c>
      <c r="AD56" s="51"/>
      <c r="AE56" s="51"/>
      <c r="AH56">
        <v>1181</v>
      </c>
      <c r="AI56">
        <v>1192</v>
      </c>
    </row>
    <row r="57" spans="1:35" x14ac:dyDescent="0.3">
      <c r="A57" t="s">
        <v>5</v>
      </c>
      <c r="B57" s="13">
        <v>2</v>
      </c>
      <c r="C57" s="33">
        <f t="shared" si="6"/>
        <v>0</v>
      </c>
      <c r="D57" s="19">
        <f t="shared" si="6"/>
        <v>0</v>
      </c>
      <c r="E57" s="34">
        <f t="shared" si="6"/>
        <v>59.546787706417881</v>
      </c>
      <c r="F57" s="19">
        <f t="shared" si="6"/>
        <v>9.0496637851698911E-2</v>
      </c>
      <c r="G57" s="20">
        <f t="shared" si="6"/>
        <v>9.0496637851698911E-2</v>
      </c>
      <c r="H57" s="17">
        <f>SUM(C57:G57)</f>
        <v>59.727780982121281</v>
      </c>
      <c r="I57" s="17">
        <f>E57/H57*100</f>
        <v>99.696969696969688</v>
      </c>
      <c r="J57" s="17">
        <f>SQRT(I57*(100-I57)/(L57-1))</f>
        <v>0.21411214474848439</v>
      </c>
      <c r="K57" s="18">
        <f>100-I57</f>
        <v>0.30303030303031164</v>
      </c>
      <c r="L57" s="1">
        <f>H46</f>
        <v>660</v>
      </c>
      <c r="M57">
        <v>2</v>
      </c>
      <c r="N57" s="1">
        <v>55370.06</v>
      </c>
      <c r="O57" s="17">
        <f>N57/N60*100</f>
        <v>59.727780982121281</v>
      </c>
      <c r="P57" s="52">
        <f>((O57*O57*(I57/100)*(K57/100))/(L57-1))</f>
        <v>1.635442817086449E-2</v>
      </c>
      <c r="S57" s="66" t="s">
        <v>39</v>
      </c>
      <c r="T57" s="67">
        <f t="shared" si="7"/>
        <v>7.9371615734055448E-2</v>
      </c>
      <c r="U57" s="67">
        <f t="shared" si="7"/>
        <v>0.14664708561620241</v>
      </c>
      <c r="V57" s="67">
        <f t="shared" si="7"/>
        <v>0.18613620907615921</v>
      </c>
      <c r="W57" s="67">
        <f t="shared" si="7"/>
        <v>0.23229003205811088</v>
      </c>
      <c r="X57" s="67">
        <f t="shared" si="7"/>
        <v>0.16283949397723141</v>
      </c>
      <c r="AC57" t="s">
        <v>141</v>
      </c>
      <c r="AD57" s="51"/>
      <c r="AE57" s="51"/>
      <c r="AH57">
        <v>1210</v>
      </c>
      <c r="AI57">
        <v>1221</v>
      </c>
    </row>
    <row r="58" spans="1:35" x14ac:dyDescent="0.3">
      <c r="A58" t="s">
        <v>6</v>
      </c>
      <c r="B58" s="13">
        <v>3</v>
      </c>
      <c r="C58" s="33">
        <f t="shared" si="6"/>
        <v>0.11194281228311967</v>
      </c>
      <c r="D58" s="19">
        <f t="shared" si="6"/>
        <v>0.16791421842467952</v>
      </c>
      <c r="E58" s="19">
        <f t="shared" si="6"/>
        <v>0.16791421842467952</v>
      </c>
      <c r="F58" s="34">
        <f t="shared" si="6"/>
        <v>31.959672906830665</v>
      </c>
      <c r="G58" s="20">
        <f t="shared" si="6"/>
        <v>0.16791421842467952</v>
      </c>
      <c r="H58" s="17">
        <f>SUM(C58:G58)</f>
        <v>32.575358374387818</v>
      </c>
      <c r="I58" s="17">
        <f>F58/H58*100</f>
        <v>98.109965635738845</v>
      </c>
      <c r="J58" s="17">
        <f>SQRT(I58*(100-I58)/(L58-1))</f>
        <v>0.56494132717154499</v>
      </c>
      <c r="K58" s="18">
        <f>100-I58</f>
        <v>1.8900343642611546</v>
      </c>
      <c r="L58" s="1">
        <f>H47</f>
        <v>582</v>
      </c>
      <c r="M58">
        <v>3</v>
      </c>
      <c r="N58" s="1">
        <v>30198.67</v>
      </c>
      <c r="O58" s="17">
        <f>N58/N60*100</f>
        <v>32.575358374387825</v>
      </c>
      <c r="P58" s="52">
        <f>((O58*O58*(I58/100)*(K58/100))/(L58-1))</f>
        <v>3.3867652593142422E-2</v>
      </c>
      <c r="S58" t="s">
        <v>30</v>
      </c>
      <c r="T58" s="57">
        <f t="shared" si="7"/>
        <v>21.450106953889168</v>
      </c>
      <c r="U58" s="57">
        <f t="shared" si="7"/>
        <v>74.530863234864768</v>
      </c>
      <c r="V58" s="57">
        <f t="shared" si="7"/>
        <v>99.20297963545093</v>
      </c>
      <c r="W58" s="57">
        <f t="shared" si="7"/>
        <v>98.291220690773926</v>
      </c>
      <c r="X58" s="57">
        <f t="shared" si="7"/>
        <v>94.128792536610177</v>
      </c>
      <c r="AC58" t="s">
        <v>142</v>
      </c>
      <c r="AD58" s="51"/>
      <c r="AE58" s="51"/>
      <c r="AH58">
        <v>1239</v>
      </c>
      <c r="AI58">
        <v>1250</v>
      </c>
    </row>
    <row r="59" spans="1:35" x14ac:dyDescent="0.3">
      <c r="A59" t="s">
        <v>7</v>
      </c>
      <c r="B59" s="13">
        <v>4</v>
      </c>
      <c r="C59" s="35">
        <f t="shared" si="6"/>
        <v>0</v>
      </c>
      <c r="D59" s="36">
        <f t="shared" si="6"/>
        <v>6.3172046248312153E-3</v>
      </c>
      <c r="E59" s="21">
        <f t="shared" si="6"/>
        <v>6.3172046248312153E-3</v>
      </c>
      <c r="F59" s="21">
        <f t="shared" si="6"/>
        <v>0.35376345899054806</v>
      </c>
      <c r="G59" s="37">
        <f t="shared" si="6"/>
        <v>6.0076615982144856</v>
      </c>
      <c r="H59" s="17">
        <f>SUM(C59:G59)</f>
        <v>6.3740594664546961</v>
      </c>
      <c r="I59" s="17">
        <f>G59/H59*100</f>
        <v>94.251734390485638</v>
      </c>
      <c r="J59" s="17">
        <f>SQRT(I59*(100-I59)/(L59-1))</f>
        <v>0.73313309186721642</v>
      </c>
      <c r="K59" s="18">
        <f>100-I59</f>
        <v>5.7482656095143625</v>
      </c>
      <c r="L59" s="1">
        <f>H48</f>
        <v>1009</v>
      </c>
      <c r="M59">
        <v>4</v>
      </c>
      <c r="N59" s="1">
        <v>5909.01</v>
      </c>
      <c r="O59" s="17">
        <f>N59/N60*100</f>
        <v>6.3740594664546961</v>
      </c>
      <c r="P59" s="52">
        <f>((O59*O59*(I59/100)*(K59/100))/(L59-1))</f>
        <v>2.1837246058475802E-3</v>
      </c>
      <c r="S59" s="66" t="s">
        <v>39</v>
      </c>
      <c r="T59" s="67">
        <f t="shared" si="7"/>
        <v>230.45220256130639</v>
      </c>
      <c r="U59" s="67">
        <f t="shared" si="7"/>
        <v>10.534846746018204</v>
      </c>
      <c r="V59" s="67">
        <f t="shared" si="7"/>
        <v>0.16935315503897891</v>
      </c>
      <c r="W59" s="67">
        <f t="shared" si="7"/>
        <v>0.33478292689282263</v>
      </c>
      <c r="X59" s="67">
        <f t="shared" si="7"/>
        <v>2.3493082151306455</v>
      </c>
      <c r="AC59" t="s">
        <v>143</v>
      </c>
      <c r="AD59" s="51"/>
      <c r="AE59" s="51"/>
      <c r="AH59">
        <v>1268</v>
      </c>
      <c r="AI59">
        <v>1279</v>
      </c>
    </row>
    <row r="60" spans="1:35" x14ac:dyDescent="0.3">
      <c r="B60" t="s">
        <v>28</v>
      </c>
      <c r="C60" s="17">
        <f>SUM(C55:C59)</f>
        <v>0.163546277892401</v>
      </c>
      <c r="D60" s="17">
        <f>SUM(D55:D59)</f>
        <v>1.1007118973526293</v>
      </c>
      <c r="E60" s="17">
        <f>SUM(E55:E59)</f>
        <v>60.047570082781327</v>
      </c>
      <c r="F60" s="17">
        <f>SUM(F55:F59)</f>
        <v>32.403933003672911</v>
      </c>
      <c r="G60" s="17">
        <f>SUM(G55:G59)</f>
        <v>6.2842387383007292</v>
      </c>
      <c r="H60" s="1">
        <f>SUM(H54:H59)</f>
        <v>100</v>
      </c>
      <c r="I60" s="13" t="s">
        <v>24</v>
      </c>
      <c r="J60" s="12" t="s">
        <v>29</v>
      </c>
      <c r="N60" s="1">
        <f>SUM(N55:N59)</f>
        <v>92704.029999999984</v>
      </c>
      <c r="O60" s="17">
        <f>SUM(O55:O59)</f>
        <v>100.00000000000001</v>
      </c>
      <c r="S60" s="15" t="s">
        <v>31</v>
      </c>
      <c r="T60" s="71">
        <f>I142</f>
        <v>10.643015521064301</v>
      </c>
      <c r="U60" s="71">
        <f>I143</f>
        <v>94.736842105263165</v>
      </c>
      <c r="V60" s="71">
        <f>I144</f>
        <v>99.545454545454561</v>
      </c>
      <c r="W60" s="71">
        <f>I145</f>
        <v>97.594501718213053</v>
      </c>
      <c r="X60" s="71">
        <f>I146</f>
        <v>92.765113974231909</v>
      </c>
      <c r="AC60" t="s">
        <v>144</v>
      </c>
      <c r="AD60" s="51"/>
      <c r="AE60" s="51"/>
      <c r="AH60">
        <v>1297</v>
      </c>
      <c r="AI60">
        <v>1308</v>
      </c>
    </row>
    <row r="61" spans="1:35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7.9189875641045251E-2</v>
      </c>
      <c r="D61" s="18">
        <f>SQRT(SUM((O55*O55*(D55/O55)*(1-D55/O55))/L55,(O56*O56*(D56/O56)*(1-D56/O56))/L56,(O57*O57*(D57/O57)*(1-D57/O57))/L57,(O58*O58*(D58/O58)*(1-D58/O58))/L58,(O59*O59*(D59/O59)*(1-D59/O59))/L59))</f>
        <v>0.10564786083335134</v>
      </c>
      <c r="E61" s="18">
        <f>SQRT(SUM((O55*O55*(E55/O55)*(1-E55/O55))/L55,(O56*O56*(E56/O56)*(1-E56/O56))/L56,(O57*O57*(E57/O57)*(1-E57/O57))/L57,(O58*O58*(E58/O58)*(1-E58/O58))/L58,(O59*O59*(E59/O59)*(1-E59/O59))/L59))</f>
        <v>0.16508108100292965</v>
      </c>
      <c r="F61" s="18">
        <f>SQRT(SUM((O55*O55*(F55/O55)*(1-F55/O55))/L55,(O56*O56*(F56/O56)*(1-F56/O56))/L56,(O57*O57*(F57/O57)*(1-F57/O57))/L57,(O58*O58*(F58/O58)*(1-F58/O58))/L58,(O59*O59*(F59/O59)*(1-F59/O59))/L59))</f>
        <v>0.20999394641263633</v>
      </c>
      <c r="G61" s="18">
        <f>SQRT(SUM((O55*O55*(G55/O55)*(1-G55/O55))/L55,(O56*O56*(G56/O56)*(1-G56/O56))/L56,(O57*O57*(G57/O57)*(1-G57/O57))/L57,(O58*O58*(G58/O58)*(1-G58/O58))/L58,(O59*O59*(G59/O59)*(1-G59/O59))/L59))</f>
        <v>0.14153786421487258</v>
      </c>
      <c r="H61" s="1"/>
      <c r="I61" s="14">
        <f>(C55+D56+E57+F58+G59)/H60</f>
        <v>0.98492206151375428</v>
      </c>
      <c r="J61" s="53">
        <f>SQRT(SUM(P55:P59))/100</f>
        <v>2.3288650974231493E-3</v>
      </c>
      <c r="M61" s="1"/>
      <c r="N61" s="9"/>
      <c r="S61" s="75" t="s">
        <v>39</v>
      </c>
      <c r="T61" s="76">
        <f>J142</f>
        <v>1.4537520594996891</v>
      </c>
      <c r="U61" s="76">
        <f>J143</f>
        <v>2.983930050072845</v>
      </c>
      <c r="V61" s="76">
        <f>J144</f>
        <v>0.26203341040867978</v>
      </c>
      <c r="W61" s="76">
        <f>J145</f>
        <v>0.63566329513058506</v>
      </c>
      <c r="X61" s="76">
        <f>J146</f>
        <v>0.81597700883017488</v>
      </c>
      <c r="AC61" t="s">
        <v>145</v>
      </c>
      <c r="AD61" s="51"/>
      <c r="AE61" s="51"/>
      <c r="AH61">
        <v>1326</v>
      </c>
      <c r="AI61">
        <v>1337</v>
      </c>
    </row>
    <row r="62" spans="1:35" x14ac:dyDescent="0.3">
      <c r="B62" s="1" t="s">
        <v>30</v>
      </c>
      <c r="C62" s="17">
        <f>C55/C60*100</f>
        <v>31.552821791047954</v>
      </c>
      <c r="D62" s="17">
        <f>D56/D60*100</f>
        <v>84.171023910201896</v>
      </c>
      <c r="E62" s="17">
        <f>E57/E60*100</f>
        <v>99.166023911253916</v>
      </c>
      <c r="F62" s="17">
        <f>F58/F60*100</f>
        <v>98.62899328673501</v>
      </c>
      <c r="G62" s="17">
        <f>G59/G60*100</f>
        <v>95.598875987944552</v>
      </c>
      <c r="H62" s="1"/>
      <c r="S62" s="66" t="s">
        <v>51</v>
      </c>
      <c r="T62" s="67">
        <f>N131*100</f>
        <v>19.161676646706589</v>
      </c>
      <c r="U62" s="67">
        <f>N132*100</f>
        <v>93.10344827586205</v>
      </c>
      <c r="V62" s="67">
        <f>N133*100</f>
        <v>76.129779837775217</v>
      </c>
      <c r="W62" s="67">
        <f>N134*100</f>
        <v>92.810457516339866</v>
      </c>
      <c r="X62" s="67">
        <f>N135*100</f>
        <v>95.950794464377239</v>
      </c>
      <c r="AC62" t="s">
        <v>146</v>
      </c>
      <c r="AD62" s="51"/>
      <c r="AE62" s="51"/>
      <c r="AH62">
        <v>1355</v>
      </c>
      <c r="AI62">
        <v>1366</v>
      </c>
    </row>
    <row r="63" spans="1:35" x14ac:dyDescent="0.3">
      <c r="B63" s="16" t="s">
        <v>39</v>
      </c>
      <c r="C63" s="18">
        <f>SQRT((C66+C67)/(C60*C60))</f>
        <v>218.12778449387326</v>
      </c>
      <c r="D63" s="18">
        <f>SQRT((D66+D67)/(D60*D60))</f>
        <v>9.6070270321074478</v>
      </c>
      <c r="E63" s="18">
        <f>SQRT((E66+E67)/(E60*E60))</f>
        <v>0.17384176859905109</v>
      </c>
      <c r="F63" s="18">
        <f>SQRT((F66+F67)/(F60*F60))</f>
        <v>0.31860388118994715</v>
      </c>
      <c r="G63" s="18">
        <f>SQRT((G66+G67)/(G60*G60))</f>
        <v>2.0606332208874485</v>
      </c>
      <c r="H63" s="1"/>
      <c r="R63" s="16" t="s">
        <v>61</v>
      </c>
      <c r="S63" t="s">
        <v>9</v>
      </c>
      <c r="T63" s="30">
        <f>N142</f>
        <v>267.08</v>
      </c>
      <c r="U63" s="30">
        <f>N143</f>
        <v>901.87</v>
      </c>
      <c r="V63" s="30">
        <f>N144</f>
        <v>55298.42</v>
      </c>
      <c r="W63" s="30">
        <f>N145</f>
        <v>30291.11</v>
      </c>
      <c r="X63" s="30">
        <f>N146</f>
        <v>5945.55</v>
      </c>
      <c r="Z63" t="s">
        <v>36</v>
      </c>
      <c r="AA63" s="1">
        <f>N147</f>
        <v>92704.03</v>
      </c>
      <c r="AC63" t="s">
        <v>147</v>
      </c>
      <c r="AD63" s="51"/>
      <c r="AE63" s="51"/>
      <c r="AH63">
        <v>1384</v>
      </c>
      <c r="AI63">
        <v>1395</v>
      </c>
    </row>
    <row r="64" spans="1:35" ht="15.6" x14ac:dyDescent="0.35">
      <c r="B64" s="1" t="s">
        <v>37</v>
      </c>
      <c r="C64" s="18">
        <f>100-C62</f>
        <v>68.447178208952039</v>
      </c>
      <c r="D64" s="18">
        <f>100-D62</f>
        <v>15.828976089798104</v>
      </c>
      <c r="E64" s="18">
        <f>100-E62</f>
        <v>0.83397608874608409</v>
      </c>
      <c r="F64" s="18">
        <f>100-F62</f>
        <v>1.3710067132649897</v>
      </c>
      <c r="G64" s="18">
        <f>100-G62</f>
        <v>4.4011240120554476</v>
      </c>
      <c r="R64" s="16" t="s">
        <v>318</v>
      </c>
      <c r="S64" t="s">
        <v>63</v>
      </c>
      <c r="T64" s="57">
        <f>$AA63*T56/100</f>
        <v>132.51852736568603</v>
      </c>
      <c r="U64" s="57">
        <f>$AA63*U56/100</f>
        <v>1146.3749657672765</v>
      </c>
      <c r="V64" s="57">
        <f>$AA63*V56/100</f>
        <v>55489.324763974182</v>
      </c>
      <c r="W64" s="57">
        <f>$AA63*W56/100</f>
        <v>30076.397120369344</v>
      </c>
      <c r="X64" s="57">
        <f>$AA63*X56/100</f>
        <v>5859.414622523499</v>
      </c>
      <c r="Z64" t="s">
        <v>36</v>
      </c>
      <c r="AA64" s="25">
        <f>SUM(T64:X64)</f>
        <v>92704.03</v>
      </c>
      <c r="AC64" t="s">
        <v>148</v>
      </c>
      <c r="AD64" s="51"/>
      <c r="AE64" s="51"/>
      <c r="AH64">
        <v>1413</v>
      </c>
      <c r="AI64">
        <v>1424</v>
      </c>
    </row>
    <row r="65" spans="1:51" ht="15.6" x14ac:dyDescent="0.35">
      <c r="B65" s="1" t="s">
        <v>25</v>
      </c>
      <c r="C65" s="1">
        <f>C49</f>
        <v>83</v>
      </c>
      <c r="D65" s="1">
        <f>D49</f>
        <v>55</v>
      </c>
      <c r="E65" s="1">
        <f>E49</f>
        <v>1037</v>
      </c>
      <c r="F65" s="1">
        <f>F49</f>
        <v>628</v>
      </c>
      <c r="G65" s="1">
        <f>G49</f>
        <v>956</v>
      </c>
      <c r="R65" s="66"/>
      <c r="S65" s="66" t="s">
        <v>62</v>
      </c>
      <c r="T65" s="67">
        <f>$AA63*T57/100</f>
        <v>73.580686461583483</v>
      </c>
      <c r="U65" s="67">
        <f>$AA63*U57/100</f>
        <v>135.94775824376995</v>
      </c>
      <c r="V65" s="67">
        <f>$AA63*V57/100</f>
        <v>172.55576710282537</v>
      </c>
      <c r="W65" s="67">
        <f>$AA63*W57/100</f>
        <v>215.34222100616071</v>
      </c>
      <c r="X65" s="67">
        <f>$AA63*X57/100</f>
        <v>150.95877334850081</v>
      </c>
      <c r="AA65" s="1"/>
      <c r="AC65" t="s">
        <v>149</v>
      </c>
      <c r="AD65" s="51"/>
      <c r="AE65" s="51"/>
      <c r="AH65">
        <v>1442</v>
      </c>
      <c r="AI65">
        <v>1453</v>
      </c>
    </row>
    <row r="66" spans="1:51" x14ac:dyDescent="0.3">
      <c r="B66" s="1" t="s">
        <v>34</v>
      </c>
      <c r="C66" s="18">
        <f>(O55*O55*(100-C62)*(100-C62)*(I55)*(100-I55))/(L55-1)</f>
        <v>1266.4061972455461</v>
      </c>
      <c r="D66" s="18">
        <f>(O56*O56*(100-D62)*(100-D62)*(I56)*(100-I56))/((L56-1)*100)</f>
        <v>45.182601752949957</v>
      </c>
      <c r="E66" s="18">
        <f>(O57*O57*(100-E62)*(100-E62)*(I57)*(100-I57))/((L57-1)*100)</f>
        <v>1.1374768370616846</v>
      </c>
      <c r="F66" s="18">
        <f>(O58*O58*(100-F62)*(100-F62)*(I58)*(100-I58))/((L58-1)*100)</f>
        <v>6.365965181740064</v>
      </c>
      <c r="G66" s="18">
        <f>(O59*O59*(100-G62)*(100-G62)*(I59)*(100-I59))/((L59-1)*100)</f>
        <v>4.2298511016621791</v>
      </c>
      <c r="R66" t="s">
        <v>93</v>
      </c>
      <c r="S66" t="s">
        <v>28</v>
      </c>
      <c r="T66" s="57">
        <f>C176</f>
        <v>0.14154367387083655</v>
      </c>
      <c r="U66" s="57">
        <f t="shared" ref="U66:X69" si="8">D176</f>
        <v>1.2605652415080277</v>
      </c>
      <c r="V66" s="57">
        <f t="shared" si="8"/>
        <v>59.947738331294801</v>
      </c>
      <c r="W66" s="57">
        <f t="shared" si="8"/>
        <v>32.277773652507378</v>
      </c>
      <c r="X66" s="57">
        <f t="shared" si="8"/>
        <v>6.3723791008189572</v>
      </c>
      <c r="Y66" s="13"/>
      <c r="Z66" s="74"/>
      <c r="AA66" s="12"/>
      <c r="AC66" t="s">
        <v>158</v>
      </c>
      <c r="AD66" s="51"/>
      <c r="AE66" s="51"/>
      <c r="AH66" s="78"/>
    </row>
    <row r="67" spans="1:51" x14ac:dyDescent="0.3">
      <c r="B67" s="1" t="s">
        <v>35</v>
      </c>
      <c r="C67" s="18">
        <f>C62*C62*(SUM((H56*C56*(1-C45/H45))/(H45-1),(H57*C57*(1-C46/H46))/(H46-1), (H58*C58*(1-C47/H47))/(H47-1),(H59*C59*(1-C48/H48))/(H48-1)))</f>
        <v>6.2271697018114391</v>
      </c>
      <c r="D67" s="18">
        <f>D62*D62*(SUM((H55*D55*(1-D44/H44))/(H44-1),(H57*D57*(1-D46/H46))/(H46-1), (H58*D58*(1-D47/H47))/(H47-1),(H59*D59*(1-D48/H48))/(H48-1)))</f>
        <v>66.638906776725165</v>
      </c>
      <c r="E67" s="18">
        <f>E62*E62*(SUM((H55*E55*(1-E44/H44))/(H44-1),(H56*E56*(1-E45/H45))/(H45-1), (H58*E58*(1-E47/H47))/(H47-1),(H59*E59*(1-E48/H48))/(H48-1)))</f>
        <v>107.83056301624268</v>
      </c>
      <c r="F67" s="18">
        <f>F62*F62*(SUM((H55*F55*(1-F44/H44))/(H44-1),(H56*F56*(1-F45/H45))/(H45-1), (H57*F57*(1-F46/H46))/(H46-1),(H59*F59*(1-F48/H48))/(H48-1)))</f>
        <v>100.2193994302698</v>
      </c>
      <c r="G67" s="18">
        <f>G62*G62*(SUM((H55*G55*(1-G44/H44))/(H44-1),(H56*G56*(1-G45/H45))/(H45-1), (H57*G57*(1-G46/H46))/(H46-1),(H58*G58*(1-G47/H47))/(H47-1)))</f>
        <v>163.45998694152414</v>
      </c>
      <c r="S67" s="66" t="s">
        <v>39</v>
      </c>
      <c r="T67" s="67">
        <f>C177</f>
        <v>7.8723535967880398E-2</v>
      </c>
      <c r="U67" s="67">
        <f t="shared" si="8"/>
        <v>0.13605355192341659</v>
      </c>
      <c r="V67" s="67">
        <f t="shared" si="8"/>
        <v>0.18627828782601555</v>
      </c>
      <c r="W67" s="67">
        <f t="shared" si="8"/>
        <v>0.22727360081191203</v>
      </c>
      <c r="X67" s="67">
        <f t="shared" si="8"/>
        <v>0.10585010619573042</v>
      </c>
      <c r="AC67" t="s">
        <v>159</v>
      </c>
      <c r="AD67" s="51"/>
      <c r="AE67" s="51"/>
      <c r="AI67" s="78"/>
    </row>
    <row r="68" spans="1:51" x14ac:dyDescent="0.3">
      <c r="S68" t="s">
        <v>30</v>
      </c>
      <c r="T68" s="57">
        <f>C178</f>
        <v>21.309636029465022</v>
      </c>
      <c r="U68" s="57">
        <f t="shared" si="8"/>
        <v>78.024893750172623</v>
      </c>
      <c r="V68" s="57">
        <f t="shared" si="8"/>
        <v>99.235530883055517</v>
      </c>
      <c r="W68" s="57">
        <f t="shared" si="8"/>
        <v>98.517766807866451</v>
      </c>
      <c r="X68" s="57">
        <f t="shared" si="8"/>
        <v>97.378187242534409</v>
      </c>
      <c r="AC68" t="s">
        <v>160</v>
      </c>
      <c r="AD68" s="51"/>
      <c r="AE68" s="51"/>
      <c r="AH68" s="2"/>
      <c r="AI68" s="2"/>
    </row>
    <row r="69" spans="1:51" x14ac:dyDescent="0.3">
      <c r="S69" s="66" t="s">
        <v>39</v>
      </c>
      <c r="T69" s="67">
        <f>C179</f>
        <v>221.6956731250005</v>
      </c>
      <c r="U69" s="67">
        <f t="shared" si="8"/>
        <v>9.8275134994272406</v>
      </c>
      <c r="V69" s="67">
        <f t="shared" si="8"/>
        <v>0.16876134579330679</v>
      </c>
      <c r="W69" s="67">
        <f t="shared" si="8"/>
        <v>0.42035803235584157</v>
      </c>
      <c r="X69" s="67">
        <f t="shared" si="8"/>
        <v>1.4826513706972644</v>
      </c>
      <c r="AC69" t="s">
        <v>161</v>
      </c>
      <c r="AD69" s="51"/>
      <c r="AE69" s="51"/>
    </row>
    <row r="70" spans="1:51" x14ac:dyDescent="0.3">
      <c r="A70" s="348" t="s">
        <v>384</v>
      </c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 t="s">
        <v>56</v>
      </c>
      <c r="M70" s="348"/>
      <c r="N70" s="348"/>
      <c r="O70" s="348"/>
      <c r="P70" s="348"/>
      <c r="S70" s="15" t="s">
        <v>31</v>
      </c>
      <c r="T70" s="71">
        <f>I171</f>
        <v>11.308203991130821</v>
      </c>
      <c r="U70" s="71">
        <f>I172</f>
        <v>94.73684210526315</v>
      </c>
      <c r="V70" s="71">
        <f>I173</f>
        <v>99.545454545454547</v>
      </c>
      <c r="W70" s="71">
        <f>I174</f>
        <v>98.109965635738831</v>
      </c>
      <c r="X70" s="71">
        <f>I175</f>
        <v>95.143706640237866</v>
      </c>
      <c r="AC70" t="s">
        <v>162</v>
      </c>
      <c r="AD70" s="51"/>
      <c r="AE70" s="51"/>
      <c r="AH70" s="2"/>
      <c r="AI70" s="2"/>
    </row>
    <row r="71" spans="1:51" x14ac:dyDescent="0.3">
      <c r="A71" t="s">
        <v>315</v>
      </c>
      <c r="B71" t="s">
        <v>21</v>
      </c>
      <c r="I71" s="1" t="s">
        <v>53</v>
      </c>
      <c r="O71" s="142"/>
      <c r="P71" s="142"/>
      <c r="S71" s="75" t="s">
        <v>39</v>
      </c>
      <c r="T71" s="76">
        <f>J171</f>
        <v>1.4929053863062938</v>
      </c>
      <c r="U71" s="76">
        <f>J172</f>
        <v>2.9839300500728485</v>
      </c>
      <c r="V71" s="76">
        <f>J173</f>
        <v>0.26203341040868389</v>
      </c>
      <c r="W71" s="76">
        <f>J174</f>
        <v>0.5649413271715471</v>
      </c>
      <c r="X71" s="76">
        <f>J175</f>
        <v>0.67703672057876385</v>
      </c>
      <c r="AC71" t="s">
        <v>163</v>
      </c>
      <c r="AD71" s="51"/>
      <c r="AE71" s="51"/>
    </row>
    <row r="72" spans="1:51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51</v>
      </c>
      <c r="O72" s="13"/>
      <c r="P72" s="13"/>
      <c r="S72" s="66" t="s">
        <v>51</v>
      </c>
      <c r="T72" s="67">
        <f>N160*100</f>
        <v>20.238095238095241</v>
      </c>
      <c r="U72" s="67">
        <f>N161*100</f>
        <v>91.525423728813564</v>
      </c>
      <c r="V72" s="67">
        <f>N162*100</f>
        <v>76.262333139872311</v>
      </c>
      <c r="W72" s="67">
        <f>N163*100</f>
        <v>95.087427144046629</v>
      </c>
      <c r="X72" s="67">
        <f>N164*100</f>
        <v>97.363083164300207</v>
      </c>
      <c r="AC72" t="s">
        <v>154</v>
      </c>
      <c r="AD72" s="51"/>
      <c r="AE72" s="51"/>
      <c r="AH72" s="2"/>
      <c r="AI72" s="2"/>
    </row>
    <row r="73" spans="1:51" x14ac:dyDescent="0.3">
      <c r="A73" t="s">
        <v>3</v>
      </c>
      <c r="B73" s="13">
        <v>0</v>
      </c>
      <c r="C73" s="26">
        <v>35</v>
      </c>
      <c r="D73" s="3">
        <v>0</v>
      </c>
      <c r="E73" s="3">
        <v>416</v>
      </c>
      <c r="F73" s="3">
        <v>0</v>
      </c>
      <c r="G73" s="4">
        <v>0</v>
      </c>
      <c r="H73" s="1">
        <f>SUM(C73:G73)</f>
        <v>451</v>
      </c>
      <c r="I73" s="10">
        <f>C73/H73</f>
        <v>7.7605321507760533E-2</v>
      </c>
      <c r="J73" s="11">
        <f>1-I73</f>
        <v>0.92239467849223944</v>
      </c>
      <c r="K73">
        <f>H73-C78</f>
        <v>414</v>
      </c>
      <c r="N73" s="10">
        <f>2*(C79*I73)/(C79+I73)</f>
        <v>0.14344262295081969</v>
      </c>
      <c r="O73" s="1"/>
      <c r="P73" s="1"/>
      <c r="R73" s="16" t="s">
        <v>61</v>
      </c>
      <c r="S73" t="s">
        <v>9</v>
      </c>
      <c r="T73" s="1">
        <f>N171</f>
        <v>247.27</v>
      </c>
      <c r="U73" s="1">
        <f>N172</f>
        <v>962.45</v>
      </c>
      <c r="V73" s="1">
        <f>N173</f>
        <v>55400.94</v>
      </c>
      <c r="W73" s="1">
        <f>N174</f>
        <v>30047.17</v>
      </c>
      <c r="X73" s="1">
        <f>N175</f>
        <v>6046.19</v>
      </c>
      <c r="Z73" t="s">
        <v>36</v>
      </c>
      <c r="AA73" s="1">
        <f>N176</f>
        <v>92704.02</v>
      </c>
      <c r="AC73" t="s">
        <v>164</v>
      </c>
      <c r="AD73" s="51"/>
      <c r="AE73" s="51"/>
    </row>
    <row r="74" spans="1:51" ht="15.6" x14ac:dyDescent="0.35">
      <c r="A74" t="s">
        <v>4</v>
      </c>
      <c r="B74" s="13">
        <v>1</v>
      </c>
      <c r="C74" s="5">
        <v>0</v>
      </c>
      <c r="D74" s="27">
        <v>54</v>
      </c>
      <c r="E74" s="1">
        <v>2</v>
      </c>
      <c r="F74" s="1">
        <v>0</v>
      </c>
      <c r="G74" s="6">
        <v>1</v>
      </c>
      <c r="H74" s="1">
        <f>SUM(C74:G74)</f>
        <v>57</v>
      </c>
      <c r="I74" s="10">
        <f>D74/H74</f>
        <v>0.94736842105263153</v>
      </c>
      <c r="J74" s="11">
        <f>1-I74</f>
        <v>5.2631578947368474E-2</v>
      </c>
      <c r="K74">
        <f>H74-D78</f>
        <v>-3</v>
      </c>
      <c r="N74" s="10">
        <f>2*(D79*I74)/(D79+I74)</f>
        <v>0.92307692307692313</v>
      </c>
      <c r="O74" s="1"/>
      <c r="P74" s="1"/>
      <c r="R74" s="16" t="s">
        <v>318</v>
      </c>
      <c r="S74" t="s">
        <v>63</v>
      </c>
      <c r="T74" s="57">
        <f>$AA73*T66/100</f>
        <v>131.2166757339551</v>
      </c>
      <c r="U74" s="57">
        <f>$AA73*U66/100</f>
        <v>1168.5946536006504</v>
      </c>
      <c r="V74" s="57">
        <f>$AA73*V66/100</f>
        <v>55573.963332191204</v>
      </c>
      <c r="W74" s="57">
        <f>$AA73*W66/100</f>
        <v>29922.793742375168</v>
      </c>
      <c r="X74" s="57">
        <f>$AA73*X66/100</f>
        <v>5907.4515960990266</v>
      </c>
      <c r="Z74" t="s">
        <v>36</v>
      </c>
      <c r="AA74" s="25">
        <f>SUM(T74:X74)</f>
        <v>92704.02</v>
      </c>
      <c r="AC74" t="s">
        <v>165</v>
      </c>
      <c r="AD74" s="51"/>
      <c r="AE74" s="51"/>
      <c r="AH74" s="2"/>
      <c r="AI74" s="2"/>
    </row>
    <row r="75" spans="1:51" x14ac:dyDescent="0.3">
      <c r="A75" t="s">
        <v>5</v>
      </c>
      <c r="B75" s="13">
        <v>2</v>
      </c>
      <c r="C75" s="5">
        <v>0</v>
      </c>
      <c r="D75" s="1">
        <v>2</v>
      </c>
      <c r="E75" s="27">
        <v>657</v>
      </c>
      <c r="F75" s="1">
        <v>1</v>
      </c>
      <c r="G75" s="6">
        <v>0</v>
      </c>
      <c r="H75" s="1">
        <f>SUM(C75:G75)</f>
        <v>660</v>
      </c>
      <c r="I75" s="10">
        <f>E75/H75</f>
        <v>0.99545454545454548</v>
      </c>
      <c r="J75" s="11">
        <f>1-I75</f>
        <v>4.5454545454545192E-3</v>
      </c>
      <c r="K75">
        <f>H75-E78</f>
        <v>-422</v>
      </c>
      <c r="N75" s="10">
        <f>2*(E79*I75)/(E79+I75)</f>
        <v>0.75430539609644087</v>
      </c>
      <c r="O75" s="1"/>
      <c r="P75" s="1"/>
      <c r="R75" s="66"/>
      <c r="S75" s="66" t="s">
        <v>62</v>
      </c>
      <c r="T75" s="67">
        <f>$AA73*T67/100</f>
        <v>72.97988252837105</v>
      </c>
      <c r="U75" s="67">
        <f>$AA73*U67/100</f>
        <v>126.12711198579451</v>
      </c>
      <c r="V75" s="67">
        <f>$AA73*V67/100</f>
        <v>172.687461201887</v>
      </c>
      <c r="W75" s="67">
        <f>$AA73*W67/100</f>
        <v>210.69176435139511</v>
      </c>
      <c r="X75" s="67">
        <f>$AA73*X67/100</f>
        <v>98.127303617711163</v>
      </c>
      <c r="AA75" s="1"/>
      <c r="AC75" t="s">
        <v>166</v>
      </c>
      <c r="AD75" s="51"/>
      <c r="AE75" s="51"/>
    </row>
    <row r="76" spans="1:51" x14ac:dyDescent="0.3">
      <c r="A76" t="s">
        <v>6</v>
      </c>
      <c r="B76" s="13">
        <v>3</v>
      </c>
      <c r="C76" s="5">
        <v>2</v>
      </c>
      <c r="D76" s="1">
        <v>3</v>
      </c>
      <c r="E76" s="1">
        <v>4</v>
      </c>
      <c r="F76" s="27">
        <v>568</v>
      </c>
      <c r="G76" s="6">
        <v>5</v>
      </c>
      <c r="H76" s="1">
        <f>SUM(C76:G76)</f>
        <v>582</v>
      </c>
      <c r="I76" s="10">
        <f>F76/H76</f>
        <v>0.97594501718213056</v>
      </c>
      <c r="J76" s="11">
        <f>1-I76</f>
        <v>2.4054982817869441E-2</v>
      </c>
      <c r="K76">
        <f>H76-F78</f>
        <v>-62</v>
      </c>
      <c r="N76" s="10">
        <f>2*(F79*I76)/(F79+I76)</f>
        <v>0.92659053833605221</v>
      </c>
      <c r="O76" s="1"/>
      <c r="P76" s="1"/>
      <c r="R76" t="s">
        <v>94</v>
      </c>
      <c r="S76" t="s">
        <v>28</v>
      </c>
      <c r="T76" s="57">
        <f>C205</f>
        <v>1.6213678443844259E-2</v>
      </c>
      <c r="U76" s="57">
        <f t="shared" ref="U76:X79" si="9">D205</f>
        <v>1.200940067307956</v>
      </c>
      <c r="V76" s="57">
        <f t="shared" si="9"/>
        <v>60.094091900121967</v>
      </c>
      <c r="W76" s="57">
        <f t="shared" si="9"/>
        <v>32.612107855570507</v>
      </c>
      <c r="X76" s="57">
        <f t="shared" si="9"/>
        <v>6.0766464985557294</v>
      </c>
      <c r="AC76" t="s">
        <v>167</v>
      </c>
      <c r="AD76" s="51"/>
      <c r="AE76" s="51"/>
      <c r="AH76" s="78"/>
      <c r="AI76" s="78"/>
    </row>
    <row r="77" spans="1:51" x14ac:dyDescent="0.3">
      <c r="A77" t="s">
        <v>7</v>
      </c>
      <c r="B77" s="13">
        <v>4</v>
      </c>
      <c r="C77" s="7">
        <v>0</v>
      </c>
      <c r="D77" s="8">
        <v>1</v>
      </c>
      <c r="E77" s="8">
        <v>3</v>
      </c>
      <c r="F77" s="8">
        <v>75</v>
      </c>
      <c r="G77" s="28">
        <v>930</v>
      </c>
      <c r="H77" s="1">
        <f>SUM(C77:G77)</f>
        <v>1009</v>
      </c>
      <c r="I77" s="10">
        <f>G77/H77</f>
        <v>0.92170465807730428</v>
      </c>
      <c r="J77" s="11">
        <f>1-I77</f>
        <v>7.8295341922695716E-2</v>
      </c>
      <c r="K77">
        <f>H77-G78</f>
        <v>73</v>
      </c>
      <c r="N77" s="10">
        <f>2*(G79*I77)/(G79+I77)</f>
        <v>0.95629820051413883</v>
      </c>
      <c r="O77" s="1"/>
      <c r="P77" s="1"/>
      <c r="S77" s="66" t="s">
        <v>39</v>
      </c>
      <c r="T77" s="67">
        <f>C206</f>
        <v>2.7172178297950513E-3</v>
      </c>
      <c r="U77" s="67">
        <f t="shared" si="9"/>
        <v>0.11446810263781401</v>
      </c>
      <c r="V77" s="67">
        <f t="shared" si="9"/>
        <v>0.13492848282005515</v>
      </c>
      <c r="W77" s="67">
        <f t="shared" si="9"/>
        <v>0.20449163818556895</v>
      </c>
      <c r="X77" s="67">
        <f t="shared" si="9"/>
        <v>0.11054938176015487</v>
      </c>
      <c r="AC77" t="s">
        <v>168</v>
      </c>
      <c r="AD77" s="51"/>
      <c r="AE77" s="51"/>
    </row>
    <row r="78" spans="1:51" ht="15.6" x14ac:dyDescent="0.35">
      <c r="B78" s="1" t="s">
        <v>19</v>
      </c>
      <c r="C78" s="1">
        <f>SUM(C73:C77)</f>
        <v>37</v>
      </c>
      <c r="D78" s="1">
        <f>SUM(D73:D77)</f>
        <v>60</v>
      </c>
      <c r="E78" s="1">
        <f>SUM(E73:E77)</f>
        <v>1082</v>
      </c>
      <c r="F78" s="1">
        <f>SUM(F73:F77)</f>
        <v>644</v>
      </c>
      <c r="G78" s="1">
        <f>SUM(G73:G77)</f>
        <v>936</v>
      </c>
      <c r="H78" s="1">
        <f>SUM(H72:H77)</f>
        <v>2759</v>
      </c>
      <c r="I78" s="13" t="s">
        <v>12</v>
      </c>
      <c r="N78" s="16"/>
      <c r="O78" s="1"/>
      <c r="P78" s="1"/>
      <c r="S78" s="70" t="s">
        <v>30</v>
      </c>
      <c r="T78" s="64">
        <f>C207</f>
        <v>100</v>
      </c>
      <c r="U78" s="64">
        <f t="shared" si="9"/>
        <v>80.817014023276911</v>
      </c>
      <c r="V78" s="64">
        <f t="shared" si="9"/>
        <v>99.324077111042612</v>
      </c>
      <c r="W78" s="64">
        <f t="shared" si="9"/>
        <v>98.237169197589182</v>
      </c>
      <c r="X78" s="64">
        <f t="shared" si="9"/>
        <v>97.234867398249321</v>
      </c>
      <c r="AC78" t="s">
        <v>169</v>
      </c>
      <c r="AD78" s="51"/>
      <c r="AE78" s="51"/>
      <c r="AH78" s="78"/>
      <c r="AI78" s="78"/>
    </row>
    <row r="79" spans="1:51" x14ac:dyDescent="0.3">
      <c r="A79" s="1" t="s">
        <v>316</v>
      </c>
      <c r="B79" s="1" t="s">
        <v>2</v>
      </c>
      <c r="C79" s="10">
        <f>C73/C78</f>
        <v>0.94594594594594594</v>
      </c>
      <c r="D79" s="10">
        <f>D74/D78</f>
        <v>0.9</v>
      </c>
      <c r="E79" s="10">
        <f>E75/E78</f>
        <v>0.60720887245841038</v>
      </c>
      <c r="F79" s="10">
        <f>F76/F78</f>
        <v>0.88198757763975155</v>
      </c>
      <c r="G79" s="10">
        <f>G77/G78</f>
        <v>0.99358974358974361</v>
      </c>
      <c r="H79" s="10"/>
      <c r="I79" s="14">
        <f>(C73+D74+E75+F76+G77)/H78</f>
        <v>0.81333816600217468</v>
      </c>
      <c r="S79" s="66" t="s">
        <v>39</v>
      </c>
      <c r="T79" s="67">
        <f>C208</f>
        <v>0</v>
      </c>
      <c r="U79" s="67">
        <f t="shared" si="9"/>
        <v>8.5041536582814832</v>
      </c>
      <c r="V79" s="67">
        <f t="shared" si="9"/>
        <v>0.16593643811553399</v>
      </c>
      <c r="W79" s="67">
        <f t="shared" si="9"/>
        <v>0.32991595158379006</v>
      </c>
      <c r="X79" s="67">
        <f t="shared" si="9"/>
        <v>1.5686330384450657</v>
      </c>
      <c r="AC79" t="s">
        <v>170</v>
      </c>
      <c r="AD79" s="51"/>
      <c r="AE79" s="51"/>
    </row>
    <row r="80" spans="1:51" x14ac:dyDescent="0.3">
      <c r="B80" s="1" t="s">
        <v>14</v>
      </c>
      <c r="C80" s="11">
        <f>1-C79</f>
        <v>5.4054054054054057E-2</v>
      </c>
      <c r="D80" s="11">
        <f>1-D79</f>
        <v>9.9999999999999978E-2</v>
      </c>
      <c r="E80" s="11">
        <f>1-E79</f>
        <v>0.39279112754158962</v>
      </c>
      <c r="F80" s="11">
        <f>1-F79</f>
        <v>0.11801242236024845</v>
      </c>
      <c r="G80" s="11">
        <f>1-G79</f>
        <v>6.4102564102563875E-3</v>
      </c>
      <c r="S80" s="70" t="s">
        <v>31</v>
      </c>
      <c r="T80" s="64">
        <f>I200</f>
        <v>7.3170731707317067</v>
      </c>
      <c r="U80" s="64">
        <f>I201</f>
        <v>96.491228070175438</v>
      </c>
      <c r="V80" s="64">
        <f>I202</f>
        <v>99.848484848484858</v>
      </c>
      <c r="W80" s="64">
        <f>I203</f>
        <v>98.281786941580762</v>
      </c>
      <c r="X80" s="64">
        <f>I204</f>
        <v>92.368681863230918</v>
      </c>
      <c r="AC80" t="s">
        <v>171</v>
      </c>
      <c r="AD80" s="51"/>
      <c r="AE80" s="51"/>
      <c r="AH80" s="78"/>
      <c r="AI80" s="78"/>
      <c r="AJ80" s="348" t="s">
        <v>385</v>
      </c>
      <c r="AK80" s="348"/>
      <c r="AL80" s="348"/>
      <c r="AM80" s="348"/>
      <c r="AN80" s="348"/>
      <c r="AO80" s="348"/>
      <c r="AP80" s="348"/>
      <c r="AQ80" s="348"/>
      <c r="AR80" s="348"/>
      <c r="AS80" s="348"/>
      <c r="AT80" s="348"/>
      <c r="AU80" s="348" t="s">
        <v>351</v>
      </c>
      <c r="AV80" s="348"/>
      <c r="AW80" s="348"/>
      <c r="AX80" s="348"/>
      <c r="AY80" s="348"/>
    </row>
    <row r="81" spans="1:51" x14ac:dyDescent="0.3">
      <c r="C81" s="2"/>
      <c r="S81" s="66" t="s">
        <v>39</v>
      </c>
      <c r="T81" s="67">
        <f>J200</f>
        <v>1.2276153553285771</v>
      </c>
      <c r="U81" s="67">
        <f>J201</f>
        <v>2.4588241692166148</v>
      </c>
      <c r="V81" s="67">
        <f>J202</f>
        <v>0.15151515151514658</v>
      </c>
      <c r="W81" s="67">
        <f>J203</f>
        <v>0.53912188711835296</v>
      </c>
      <c r="X81" s="67">
        <f>J204</f>
        <v>0.83624182747586007</v>
      </c>
      <c r="AC81" t="s">
        <v>172</v>
      </c>
      <c r="AD81" s="51"/>
      <c r="AE81" s="51"/>
      <c r="AJ81" t="s">
        <v>315</v>
      </c>
      <c r="AK81" t="s">
        <v>21</v>
      </c>
      <c r="AR81" s="1" t="s">
        <v>53</v>
      </c>
    </row>
    <row r="82" spans="1:51" ht="15.6" x14ac:dyDescent="0.35">
      <c r="A82" t="s">
        <v>317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51</v>
      </c>
      <c r="T82" s="65">
        <f>N189*100</f>
        <v>13.636363636363635</v>
      </c>
      <c r="U82" s="65">
        <f>N190*100</f>
        <v>94.01709401709401</v>
      </c>
      <c r="V82" s="65">
        <f>N191*100</f>
        <v>76.405797101449281</v>
      </c>
      <c r="W82" s="65">
        <f>N192*100</f>
        <v>91.666666666666657</v>
      </c>
      <c r="X82" s="65">
        <f>N193*100</f>
        <v>95.884773662551424</v>
      </c>
      <c r="Z82" s="46"/>
      <c r="AA82" s="46"/>
      <c r="AC82" t="s">
        <v>173</v>
      </c>
      <c r="AD82" s="51"/>
      <c r="AE82" s="51"/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51</v>
      </c>
    </row>
    <row r="83" spans="1:51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61</v>
      </c>
      <c r="S83" t="s">
        <v>9</v>
      </c>
      <c r="T83" s="30">
        <f>N200</f>
        <v>205.42</v>
      </c>
      <c r="U83" s="30">
        <f>N201</f>
        <v>932.47</v>
      </c>
      <c r="V83" s="30">
        <f>N202</f>
        <v>55417.05</v>
      </c>
      <c r="W83" s="30">
        <f>N203</f>
        <v>30219.01</v>
      </c>
      <c r="X83" s="30">
        <f>N204</f>
        <v>5930.07</v>
      </c>
      <c r="Z83" t="s">
        <v>36</v>
      </c>
      <c r="AA83" s="1">
        <f>N205</f>
        <v>92704.01999999999</v>
      </c>
      <c r="AC83" t="s">
        <v>174</v>
      </c>
      <c r="AD83" s="51"/>
      <c r="AE83" s="51"/>
      <c r="AJ83" t="s">
        <v>3</v>
      </c>
      <c r="AK83" s="13">
        <v>0</v>
      </c>
      <c r="AL83" s="26">
        <v>41</v>
      </c>
      <c r="AM83" s="3">
        <v>0</v>
      </c>
      <c r="AN83" s="3">
        <v>410</v>
      </c>
      <c r="AO83" s="3">
        <v>0</v>
      </c>
      <c r="AP83" s="4">
        <v>0</v>
      </c>
      <c r="AQ83" s="1">
        <f>SUM(AL83:AP83)</f>
        <v>451</v>
      </c>
      <c r="AR83" s="10">
        <f>AL83/AQ83</f>
        <v>9.0909090909090912E-2</v>
      </c>
      <c r="AS83" s="11">
        <f>1-AR83</f>
        <v>0.90909090909090906</v>
      </c>
      <c r="AT83">
        <f>AQ83-AL88</f>
        <v>408</v>
      </c>
      <c r="AW83" s="10">
        <f>2*(AL89*AR83)/(AL89+AR83)</f>
        <v>0.16599190283400811</v>
      </c>
    </row>
    <row r="84" spans="1:51" ht="15.6" x14ac:dyDescent="0.35">
      <c r="A84" t="s">
        <v>3</v>
      </c>
      <c r="B84" s="13">
        <v>0</v>
      </c>
      <c r="C84" s="29">
        <f>(C73/$L84)*$O84</f>
        <v>2.1257241233704333E-2</v>
      </c>
      <c r="D84" s="31">
        <f>(D73/$L84)*$O84</f>
        <v>0</v>
      </c>
      <c r="E84" s="31">
        <f>(E73/$L84)*$O84</f>
        <v>0.25265749580631436</v>
      </c>
      <c r="F84" s="31">
        <f>(F73/$L84)*$O84</f>
        <v>0</v>
      </c>
      <c r="G84" s="32">
        <f>(G73/$L84)*$O84</f>
        <v>0</v>
      </c>
      <c r="H84" s="17">
        <f>SUM(C84:G84)</f>
        <v>0.27391473704001867</v>
      </c>
      <c r="I84" s="17">
        <f>C84/H84*100</f>
        <v>7.7605321507760534</v>
      </c>
      <c r="J84" s="17">
        <f>SQRT(I84*(100-I84)/(L84-1))</f>
        <v>1.2612404439143556</v>
      </c>
      <c r="K84" s="18">
        <f>100-I84</f>
        <v>92.239467849223942</v>
      </c>
      <c r="L84" s="1">
        <f>H73</f>
        <v>451</v>
      </c>
      <c r="M84">
        <v>0</v>
      </c>
      <c r="N84" s="1">
        <v>253.93</v>
      </c>
      <c r="O84" s="17">
        <f>N84/N89*100</f>
        <v>0.27391473704001867</v>
      </c>
      <c r="P84" s="52">
        <f>((O84*O84*(I84/100)*(K84/100))/(L84-1))</f>
        <v>1.193511408412992E-5</v>
      </c>
      <c r="R84" s="16" t="s">
        <v>318</v>
      </c>
      <c r="S84" t="s">
        <v>63</v>
      </c>
      <c r="T84" s="57">
        <f>$AA83*T76/100</f>
        <v>15.030731707317068</v>
      </c>
      <c r="U84" s="57">
        <f>$AA83*U76/100</f>
        <v>1113.3197201851808</v>
      </c>
      <c r="V84" s="57">
        <f>$AA83*V76/100</f>
        <v>55709.638973907444</v>
      </c>
      <c r="W84" s="57">
        <f>$AA83*W76/100</f>
        <v>30232.734988849654</v>
      </c>
      <c r="X84" s="57">
        <f>$AA83*X76/100</f>
        <v>5633.2955853504027</v>
      </c>
      <c r="Z84" t="s">
        <v>36</v>
      </c>
      <c r="AA84" s="25">
        <f>SUM(T84:X84)</f>
        <v>92704.01999999999</v>
      </c>
      <c r="AC84" t="s">
        <v>175</v>
      </c>
      <c r="AD84" s="51"/>
      <c r="AE84" s="51"/>
      <c r="AH84" s="78"/>
      <c r="AI84" s="78"/>
      <c r="AJ84" t="s">
        <v>4</v>
      </c>
      <c r="AK84" s="13">
        <v>1</v>
      </c>
      <c r="AL84" s="5">
        <v>0</v>
      </c>
      <c r="AM84" s="27">
        <v>55</v>
      </c>
      <c r="AN84" s="1">
        <v>2</v>
      </c>
      <c r="AO84" s="1">
        <v>0</v>
      </c>
      <c r="AP84" s="6">
        <v>0</v>
      </c>
      <c r="AQ84" s="1">
        <f>SUM(AL84:AP84)</f>
        <v>57</v>
      </c>
      <c r="AR84" s="10">
        <f>AM84/AQ84</f>
        <v>0.96491228070175439</v>
      </c>
      <c r="AS84" s="11">
        <f>1-AR84</f>
        <v>3.5087719298245612E-2</v>
      </c>
      <c r="AT84">
        <f>AQ84-AM88</f>
        <v>-2</v>
      </c>
      <c r="AW84" s="10">
        <f>2*(AM89*AR84)/(AM89+AR84)</f>
        <v>0.94827586206896541</v>
      </c>
    </row>
    <row r="85" spans="1:51" x14ac:dyDescent="0.3">
      <c r="A85" t="s">
        <v>4</v>
      </c>
      <c r="B85" s="13">
        <v>1</v>
      </c>
      <c r="C85" s="33">
        <f t="shared" ref="C85:G88" si="10">(C74/$L85)*$O85</f>
        <v>0</v>
      </c>
      <c r="D85" s="34">
        <f t="shared" si="10"/>
        <v>1.0085713811896564</v>
      </c>
      <c r="E85" s="19">
        <f t="shared" si="10"/>
        <v>3.7354495599616906E-2</v>
      </c>
      <c r="F85" s="18">
        <f t="shared" si="10"/>
        <v>0</v>
      </c>
      <c r="G85" s="20">
        <f t="shared" si="10"/>
        <v>1.8677247799808453E-2</v>
      </c>
      <c r="H85" s="17">
        <f>SUM(C85:G85)</f>
        <v>1.0646031245890819</v>
      </c>
      <c r="I85" s="17">
        <f>D85/H85*100</f>
        <v>94.736842105263136</v>
      </c>
      <c r="J85" s="17">
        <f>SQRT(I85*(100-I85)/(L85-1))</f>
        <v>2.9839300500728525</v>
      </c>
      <c r="K85" s="18">
        <f>100-I85</f>
        <v>5.2631578947368638</v>
      </c>
      <c r="L85" s="1">
        <f>H74</f>
        <v>57</v>
      </c>
      <c r="M85">
        <v>1</v>
      </c>
      <c r="N85" s="1">
        <v>986.93</v>
      </c>
      <c r="O85" s="17">
        <f>N85/N89*100</f>
        <v>1.0646031245890819</v>
      </c>
      <c r="P85" s="52">
        <f>((O85*O85*(I85/100)*(K85/100))/(L85-1))</f>
        <v>1.009143086264698E-3</v>
      </c>
      <c r="R85" s="66"/>
      <c r="S85" s="66" t="s">
        <v>62</v>
      </c>
      <c r="T85" s="67">
        <f>$AA83*T77/100</f>
        <v>2.51897016037677</v>
      </c>
      <c r="U85" s="67">
        <f>$AA83*U77/100</f>
        <v>106.11653276297962</v>
      </c>
      <c r="V85" s="67">
        <f>$AA83*V77/100</f>
        <v>125.08412769920047</v>
      </c>
      <c r="W85" s="67">
        <f>$AA83*W77/100</f>
        <v>189.57196916187746</v>
      </c>
      <c r="X85" s="67">
        <f>$AA83*X77/100</f>
        <v>102.4837209768103</v>
      </c>
      <c r="AA85" s="1"/>
      <c r="AC85" t="s">
        <v>176</v>
      </c>
      <c r="AD85" s="51"/>
      <c r="AE85" s="51"/>
      <c r="AJ85" t="s">
        <v>5</v>
      </c>
      <c r="AK85" s="13">
        <v>2</v>
      </c>
      <c r="AL85" s="5">
        <v>0</v>
      </c>
      <c r="AM85" s="1">
        <v>0</v>
      </c>
      <c r="AN85" s="27">
        <v>659</v>
      </c>
      <c r="AO85" s="1">
        <v>1</v>
      </c>
      <c r="AP85" s="6">
        <v>0</v>
      </c>
      <c r="AQ85" s="1">
        <f>SUM(AL85:AP85)</f>
        <v>660</v>
      </c>
      <c r="AR85" s="10">
        <f>AN85/AQ85</f>
        <v>0.99848484848484853</v>
      </c>
      <c r="AS85" s="11">
        <f>1-AR85</f>
        <v>1.5151515151514694E-3</v>
      </c>
      <c r="AT85">
        <f>AQ85-AN88</f>
        <v>-414</v>
      </c>
      <c r="AW85" s="10">
        <f>2*(AN89*AR85)/(AN89+AR85)</f>
        <v>0.76009227220299891</v>
      </c>
    </row>
    <row r="86" spans="1:51" x14ac:dyDescent="0.3">
      <c r="A86" t="s">
        <v>5</v>
      </c>
      <c r="B86" s="13">
        <v>2</v>
      </c>
      <c r="C86" s="33">
        <f t="shared" si="10"/>
        <v>0</v>
      </c>
      <c r="D86" s="19">
        <f t="shared" si="10"/>
        <v>0.18120394942524468</v>
      </c>
      <c r="E86" s="34">
        <f t="shared" si="10"/>
        <v>59.525497386192875</v>
      </c>
      <c r="F86" s="19">
        <f t="shared" si="10"/>
        <v>9.0601974712622338E-2</v>
      </c>
      <c r="G86" s="20">
        <f t="shared" si="10"/>
        <v>0</v>
      </c>
      <c r="H86" s="17">
        <f>SUM(C86:G86)</f>
        <v>59.79730331033074</v>
      </c>
      <c r="I86" s="17">
        <f>E86/H86*100</f>
        <v>99.545454545454547</v>
      </c>
      <c r="J86" s="17">
        <f>SQRT(I86*(100-I86)/(L86-1))</f>
        <v>0.26203341040868389</v>
      </c>
      <c r="K86" s="18">
        <f>100-I86</f>
        <v>0.45454545454545325</v>
      </c>
      <c r="L86" s="1">
        <f>H75</f>
        <v>660</v>
      </c>
      <c r="M86">
        <v>2</v>
      </c>
      <c r="N86" s="1">
        <v>55434.51</v>
      </c>
      <c r="O86" s="17">
        <f>N86/N89*100</f>
        <v>59.79730331033074</v>
      </c>
      <c r="P86" s="52">
        <f>((O86*O86*(I86/100)*(K86/100))/(L86-1))</f>
        <v>2.4551415518695441E-2</v>
      </c>
      <c r="R86" t="s">
        <v>95</v>
      </c>
      <c r="S86" s="70" t="s">
        <v>28</v>
      </c>
      <c r="T86" s="64">
        <f>C234</f>
        <v>0.31338941007780297</v>
      </c>
      <c r="U86" s="64">
        <f t="shared" ref="U86:X89" si="11">D234</f>
        <v>1.1080641757775198</v>
      </c>
      <c r="V86" s="64">
        <f t="shared" si="11"/>
        <v>60.156038106907829</v>
      </c>
      <c r="W86" s="64">
        <f t="shared" si="11"/>
        <v>32.136190025600193</v>
      </c>
      <c r="X86" s="64">
        <f t="shared" si="11"/>
        <v>6.2863182816366479</v>
      </c>
      <c r="AA86" s="12"/>
      <c r="AC86" t="s">
        <v>177</v>
      </c>
      <c r="AD86" s="51"/>
      <c r="AE86" s="51"/>
      <c r="AH86" s="78"/>
      <c r="AI86" s="78"/>
      <c r="AJ86" t="s">
        <v>6</v>
      </c>
      <c r="AK86" s="13">
        <v>3</v>
      </c>
      <c r="AL86" s="5">
        <v>2</v>
      </c>
      <c r="AM86" s="1">
        <v>3</v>
      </c>
      <c r="AN86" s="1">
        <v>3</v>
      </c>
      <c r="AO86" s="27">
        <v>571</v>
      </c>
      <c r="AP86" s="6">
        <v>3</v>
      </c>
      <c r="AQ86" s="1">
        <f>SUM(AL86:AP86)</f>
        <v>582</v>
      </c>
      <c r="AR86" s="10">
        <f>AO86/AQ86</f>
        <v>0.98109965635738827</v>
      </c>
      <c r="AS86" s="11">
        <f>1-AR86</f>
        <v>1.8900343642611728E-2</v>
      </c>
      <c r="AT86">
        <f>AQ86-AO88</f>
        <v>-52</v>
      </c>
      <c r="AW86" s="10">
        <f>2*(AO89*AR86)/(AO89+AR86)</f>
        <v>0.93914473684210531</v>
      </c>
    </row>
    <row r="87" spans="1:51" x14ac:dyDescent="0.3">
      <c r="A87" t="s">
        <v>6</v>
      </c>
      <c r="B87" s="13">
        <v>3</v>
      </c>
      <c r="C87" s="33">
        <f t="shared" si="10"/>
        <v>0.11147537485528257</v>
      </c>
      <c r="D87" s="19">
        <f t="shared" si="10"/>
        <v>0.16721306228292385</v>
      </c>
      <c r="E87" s="19">
        <f t="shared" si="10"/>
        <v>0.22295074971056514</v>
      </c>
      <c r="F87" s="34">
        <f t="shared" si="10"/>
        <v>31.659006458900251</v>
      </c>
      <c r="G87" s="20">
        <f t="shared" si="10"/>
        <v>0.27868843713820646</v>
      </c>
      <c r="H87" s="17">
        <f>SUM(C87:G87)</f>
        <v>32.439334082887228</v>
      </c>
      <c r="I87" s="17">
        <f>F87/H87*100</f>
        <v>97.594501718213053</v>
      </c>
      <c r="J87" s="17">
        <f>SQRT(I87*(100-I87)/(L87-1))</f>
        <v>0.63566329513058506</v>
      </c>
      <c r="K87" s="18">
        <f>100-I87</f>
        <v>2.4054982817869472</v>
      </c>
      <c r="L87" s="1">
        <f>H76</f>
        <v>582</v>
      </c>
      <c r="M87">
        <v>3</v>
      </c>
      <c r="N87" s="1">
        <v>30072.57</v>
      </c>
      <c r="O87" s="17">
        <f>N87/N89*100</f>
        <v>32.439334082887228</v>
      </c>
      <c r="P87" s="52">
        <f>((O87*O87*(I87/100)*(K87/100))/(L87-1))</f>
        <v>4.2520477259659351E-2</v>
      </c>
      <c r="S87" s="66" t="s">
        <v>39</v>
      </c>
      <c r="T87" s="67">
        <f>C235</f>
        <v>0.12455626421146004</v>
      </c>
      <c r="U87" s="67">
        <f t="shared" si="11"/>
        <v>0.10010738423688111</v>
      </c>
      <c r="V87" s="67">
        <f t="shared" si="11"/>
        <v>0.13451937721890048</v>
      </c>
      <c r="W87" s="67">
        <f t="shared" si="11"/>
        <v>0.22945807098700785</v>
      </c>
      <c r="X87" s="67">
        <f t="shared" si="11"/>
        <v>0.1063028799550874</v>
      </c>
      <c r="AC87" t="s">
        <v>178</v>
      </c>
      <c r="AD87" s="51"/>
      <c r="AE87" s="51"/>
      <c r="AJ87" t="s">
        <v>7</v>
      </c>
      <c r="AK87" s="13">
        <v>4</v>
      </c>
      <c r="AL87" s="7">
        <v>0</v>
      </c>
      <c r="AM87" s="8">
        <v>1</v>
      </c>
      <c r="AN87" s="8">
        <v>0</v>
      </c>
      <c r="AO87" s="8">
        <v>62</v>
      </c>
      <c r="AP87" s="28">
        <v>946</v>
      </c>
      <c r="AQ87" s="1">
        <f>SUM(AL87:AP87)</f>
        <v>1009</v>
      </c>
      <c r="AR87" s="10">
        <f>AP87/AQ87</f>
        <v>0.93756194251734393</v>
      </c>
      <c r="AS87" s="11">
        <f>1-AR87</f>
        <v>6.2438057482656073E-2</v>
      </c>
      <c r="AT87">
        <f>AQ87-AP88</f>
        <v>60</v>
      </c>
      <c r="AW87" s="10">
        <f>2*(AP89*AR87)/(AP89+AR87)</f>
        <v>0.96629213483146059</v>
      </c>
    </row>
    <row r="88" spans="1:51" ht="15.6" x14ac:dyDescent="0.35">
      <c r="A88" t="s">
        <v>7</v>
      </c>
      <c r="B88" s="13">
        <v>4</v>
      </c>
      <c r="C88" s="35">
        <f t="shared" si="10"/>
        <v>0</v>
      </c>
      <c r="D88" s="36">
        <f t="shared" si="10"/>
        <v>6.3675369129365059E-3</v>
      </c>
      <c r="E88" s="21">
        <f t="shared" si="10"/>
        <v>1.9102610738809516E-2</v>
      </c>
      <c r="F88" s="21">
        <f t="shared" si="10"/>
        <v>0.47756526847023795</v>
      </c>
      <c r="G88" s="37">
        <f t="shared" si="10"/>
        <v>5.9218093290309506</v>
      </c>
      <c r="H88" s="17">
        <f>SUM(C88:G88)</f>
        <v>6.4248447451529342</v>
      </c>
      <c r="I88" s="17">
        <f>G88/H88*100</f>
        <v>92.170465807730423</v>
      </c>
      <c r="J88" s="17">
        <f>SQRT(I88*(100-I88)/(L88-1))</f>
        <v>0.84612316964690937</v>
      </c>
      <c r="K88" s="18">
        <f>100-I88</f>
        <v>7.8295341922695769</v>
      </c>
      <c r="L88" s="1">
        <f>H77</f>
        <v>1009</v>
      </c>
      <c r="M88">
        <v>4</v>
      </c>
      <c r="N88" s="1">
        <v>5956.09</v>
      </c>
      <c r="O88" s="17">
        <f>N88/N89*100</f>
        <v>6.4248447451529342</v>
      </c>
      <c r="P88" s="52">
        <f>((O88*O88*(I88/100)*(K88/100))/(L88-1))</f>
        <v>2.955237916690607E-3</v>
      </c>
      <c r="S88" t="s">
        <v>30</v>
      </c>
      <c r="T88" s="57">
        <f>C236</f>
        <v>10.818871864813516</v>
      </c>
      <c r="U88" s="57">
        <f t="shared" si="11"/>
        <v>82.560754392611983</v>
      </c>
      <c r="V88" s="57">
        <f t="shared" si="11"/>
        <v>99.080430073405026</v>
      </c>
      <c r="W88" s="57">
        <f t="shared" si="11"/>
        <v>98.796423551179529</v>
      </c>
      <c r="X88" s="57">
        <f t="shared" si="11"/>
        <v>97.332452489591475</v>
      </c>
      <c r="AC88" t="s">
        <v>179</v>
      </c>
      <c r="AD88" s="51"/>
      <c r="AE88" s="51"/>
      <c r="AH88" s="78"/>
      <c r="AI88" s="78"/>
      <c r="AK88" s="1" t="s">
        <v>19</v>
      </c>
      <c r="AL88" s="1">
        <f>SUM(AL83:AL87)</f>
        <v>43</v>
      </c>
      <c r="AM88" s="1">
        <f>SUM(AM83:AM87)</f>
        <v>59</v>
      </c>
      <c r="AN88" s="1">
        <f>SUM(AN83:AN87)</f>
        <v>1074</v>
      </c>
      <c r="AO88" s="1">
        <f>SUM(AO83:AO87)</f>
        <v>634</v>
      </c>
      <c r="AP88" s="1">
        <f>SUM(AP83:AP87)</f>
        <v>949</v>
      </c>
      <c r="AQ88" s="1">
        <f>SUM(AQ82:AQ87)</f>
        <v>2759</v>
      </c>
      <c r="AR88" s="13" t="s">
        <v>12</v>
      </c>
    </row>
    <row r="89" spans="1:51" x14ac:dyDescent="0.3">
      <c r="B89" t="s">
        <v>28</v>
      </c>
      <c r="C89" s="17">
        <f>SUM(C84:C88)</f>
        <v>0.1327326160889869</v>
      </c>
      <c r="D89" s="17">
        <f>SUM(D84:D88)</f>
        <v>1.3633559298107614</v>
      </c>
      <c r="E89" s="17">
        <f>SUM(E84:E88)</f>
        <v>60.057562738048183</v>
      </c>
      <c r="F89" s="17">
        <f>SUM(F84:F88)</f>
        <v>32.227173702083114</v>
      </c>
      <c r="G89" s="17">
        <f>SUM(G84:G88)</f>
        <v>6.2191750139689654</v>
      </c>
      <c r="H89" s="1">
        <f>SUM(H83:H88)</f>
        <v>100</v>
      </c>
      <c r="I89" s="13" t="s">
        <v>24</v>
      </c>
      <c r="J89" s="12" t="s">
        <v>29</v>
      </c>
      <c r="N89" s="1">
        <f>SUM(N84:N88)</f>
        <v>92704.03</v>
      </c>
      <c r="O89" s="17">
        <f>SUM(O84:O88)</f>
        <v>100</v>
      </c>
      <c r="S89" s="66" t="s">
        <v>39</v>
      </c>
      <c r="T89" s="67">
        <f>C237</f>
        <v>145.85737986995201</v>
      </c>
      <c r="U89" s="67">
        <f t="shared" si="11"/>
        <v>8.1377078006315937</v>
      </c>
      <c r="V89" s="67">
        <f t="shared" si="11"/>
        <v>0.16490172693075497</v>
      </c>
      <c r="W89" s="67">
        <f t="shared" si="11"/>
        <v>0.31666325373055465</v>
      </c>
      <c r="X89" s="67">
        <f t="shared" si="11"/>
        <v>1.5082927056612594</v>
      </c>
      <c r="AC89" t="s">
        <v>180</v>
      </c>
      <c r="AD89" s="51"/>
      <c r="AE89" s="51"/>
      <c r="AJ89" s="1" t="s">
        <v>316</v>
      </c>
      <c r="AK89" s="1" t="s">
        <v>2</v>
      </c>
      <c r="AL89" s="10">
        <f>AL83/AL88</f>
        <v>0.95348837209302328</v>
      </c>
      <c r="AM89" s="10">
        <f>AM84/AM88</f>
        <v>0.93220338983050843</v>
      </c>
      <c r="AN89" s="10">
        <f>AN85/AN88</f>
        <v>0.61359404096834269</v>
      </c>
      <c r="AO89" s="10">
        <f>AO86/AO88</f>
        <v>0.90063091482649837</v>
      </c>
      <c r="AP89" s="10">
        <f>AP87/AP88</f>
        <v>0.99683877766069551</v>
      </c>
      <c r="AQ89" s="10"/>
      <c r="AR89" s="14">
        <f>(AL83+AM84+AN85+AO86+AP87)/AQ88</f>
        <v>0.82348677056904673</v>
      </c>
    </row>
    <row r="90" spans="1:51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7.8765071129591774E-2</v>
      </c>
      <c r="D90" s="18">
        <f>SQRT(SUM((O84*O84*(D84/O84)*(1-D84/O84))/L84,(O85*O85*(D85/O85)*(1-D85/O85))/L85,(O86*O86*(D86/O86)*(1-D86/O86))/L86,(O87*O87*(D87/O87)*(1-D87/O87))/L87,(O88*O88*(D88/O88)*(1-D88/O88))/L88))</f>
        <v>0.16331459765506082</v>
      </c>
      <c r="E90" s="18">
        <f>SQRT(SUM((O84*O84*(E84/O84)*(1-E84/O84))/L84,(O85*O85*(E85/O85)*(1-E85/O85))/L85,(O86*O86*(E86/O86)*(1-E86/O86))/L86,(O87*O87*(E87/O87)*(1-E87/O87))/L87,(O88*O88*(E88/O88)*(1-E88/O88))/L88))</f>
        <v>0.19406687274780585</v>
      </c>
      <c r="F90" s="18">
        <f>SQRT(SUM((O84*O84*(F84/O84)*(1-F84/O84))/L84,(O85*O85*(F85/O85)*(1-F85/O85))/L85,(O86*O86*(F86/O86)*(1-F86/O86))/L86,(O87*O87*(F87/O87)*(1-F87/O87))/L87,(O88*O88*(F88/O88)*(1-F88/O88))/L88))</f>
        <v>0.23121111259870061</v>
      </c>
      <c r="G90" s="18">
        <f>SQRT(SUM((O84*O84*(G84/O84)*(1-G84/O84))/L84,(O85*O85*(G85/O85)*(1-G85/O85))/L85,(O86*O86*(G86/O86)*(1-G86/O86))/L86,(O87*O87*(G87/O87)*(1-G87/O87))/L87,(O88*O88*(G88/O88)*(1-G88/O88))/L88))</f>
        <v>0.13672976543412835</v>
      </c>
      <c r="H90" s="1"/>
      <c r="I90" s="14">
        <f>(C84+D85+E86+F87+G88)/H89</f>
        <v>0.98136141796547438</v>
      </c>
      <c r="J90" s="53">
        <f>SQRT(SUM(P84:P88))/100</f>
        <v>2.6654869891896719E-3</v>
      </c>
      <c r="M90" s="1"/>
      <c r="N90" s="9"/>
      <c r="S90" t="s">
        <v>31</v>
      </c>
      <c r="T90" s="57">
        <f>I229</f>
        <v>8.8691796008869179</v>
      </c>
      <c r="U90" s="57">
        <f>I230</f>
        <v>96.491228070175438</v>
      </c>
      <c r="V90" s="57">
        <f>I231</f>
        <v>99.848484848484858</v>
      </c>
      <c r="W90" s="57">
        <f>I232</f>
        <v>97.594501718213053</v>
      </c>
      <c r="X90" s="57">
        <f>I233</f>
        <v>94.945490584737371</v>
      </c>
      <c r="AC90" t="s">
        <v>181</v>
      </c>
      <c r="AD90" s="51"/>
      <c r="AE90" s="51"/>
      <c r="AH90" s="78"/>
      <c r="AI90" s="78"/>
      <c r="AK90" s="1" t="s">
        <v>14</v>
      </c>
      <c r="AL90" s="11">
        <f>1-AL89</f>
        <v>4.6511627906976716E-2</v>
      </c>
      <c r="AM90" s="11">
        <f>1-AM89</f>
        <v>6.7796610169491567E-2</v>
      </c>
      <c r="AN90" s="11">
        <f>1-AN89</f>
        <v>0.38640595903165731</v>
      </c>
      <c r="AO90" s="11">
        <f>1-AO89</f>
        <v>9.9369085173501626E-2</v>
      </c>
      <c r="AP90" s="11">
        <f>1-AP89</f>
        <v>3.1612223393044925E-3</v>
      </c>
    </row>
    <row r="91" spans="1:51" x14ac:dyDescent="0.3">
      <c r="B91" s="1" t="s">
        <v>30</v>
      </c>
      <c r="C91" s="17">
        <f>C84/C89*100</f>
        <v>16.01508495805809</v>
      </c>
      <c r="D91" s="17">
        <f>D85/D89*100</f>
        <v>73.977114789800311</v>
      </c>
      <c r="E91" s="17">
        <f>E86/E89*100</f>
        <v>99.114074352007904</v>
      </c>
      <c r="F91" s="17">
        <f>F87/F89*100</f>
        <v>98.236993264022601</v>
      </c>
      <c r="G91" s="17">
        <f>G88/G89*100</f>
        <v>95.218567024241992</v>
      </c>
      <c r="H91" s="1"/>
      <c r="S91" s="66" t="s">
        <v>39</v>
      </c>
      <c r="T91" s="67">
        <f>J229</f>
        <v>1.340195353335478</v>
      </c>
      <c r="U91" s="67">
        <f>J230</f>
        <v>2.4588241692166148</v>
      </c>
      <c r="V91" s="67">
        <f>J231</f>
        <v>0.15151515151514658</v>
      </c>
      <c r="W91" s="67">
        <f>J232</f>
        <v>0.63566329513058506</v>
      </c>
      <c r="X91" s="67">
        <f>J233</f>
        <v>0.68999574137264441</v>
      </c>
      <c r="AC91" t="s">
        <v>182</v>
      </c>
      <c r="AD91" s="51"/>
      <c r="AE91" s="51"/>
      <c r="AL91" s="2"/>
    </row>
    <row r="92" spans="1:51" ht="15.6" x14ac:dyDescent="0.35">
      <c r="B92" s="16" t="s">
        <v>39</v>
      </c>
      <c r="C92" s="18">
        <f>SQRT((C95+C96)/(C89*C89))</f>
        <v>218.79978533893529</v>
      </c>
      <c r="D92" s="18">
        <f>SQRT((D95+D96)/(D89*D89))</f>
        <v>10.606384332232187</v>
      </c>
      <c r="E92" s="18">
        <f>SQRT((E95+E96)/(E89*E89))</f>
        <v>0.19087623404347845</v>
      </c>
      <c r="F92" s="18">
        <f>SQRT((F95+F96)/(F89*F89))</f>
        <v>0.33938400637289373</v>
      </c>
      <c r="G92" s="18">
        <f>SQRT((G95+G96)/(G89*G89))</f>
        <v>1.9678903122189326</v>
      </c>
      <c r="H92" s="1"/>
      <c r="S92" s="66" t="s">
        <v>51</v>
      </c>
      <c r="T92" s="67">
        <f>N218*100</f>
        <v>16.129032258064516</v>
      </c>
      <c r="U92" s="67">
        <f>N219*100</f>
        <v>92.436974789915965</v>
      </c>
      <c r="V92" s="67">
        <f>N220*100</f>
        <v>76.053087132140803</v>
      </c>
      <c r="W92" s="67">
        <f>N221*100</f>
        <v>94.666666666666671</v>
      </c>
      <c r="X92" s="67">
        <f>N222*100</f>
        <v>97.258883248730967</v>
      </c>
      <c r="AC92" t="s">
        <v>183</v>
      </c>
      <c r="AD92" s="51"/>
      <c r="AE92" s="51"/>
      <c r="AH92" s="78"/>
      <c r="AI92" s="78"/>
      <c r="AJ92" t="s">
        <v>317</v>
      </c>
      <c r="AK92" s="15" t="s">
        <v>23</v>
      </c>
      <c r="AW92" s="12" t="s">
        <v>17</v>
      </c>
      <c r="AX92" s="1" t="s">
        <v>27</v>
      </c>
      <c r="AY92" s="1" t="s">
        <v>33</v>
      </c>
    </row>
    <row r="93" spans="1:51" ht="15.6" x14ac:dyDescent="0.35">
      <c r="B93" s="1" t="s">
        <v>37</v>
      </c>
      <c r="C93" s="18">
        <f>100-C91</f>
        <v>83.984915041941917</v>
      </c>
      <c r="D93" s="18">
        <f>100-D91</f>
        <v>26.022885210199689</v>
      </c>
      <c r="E93" s="18">
        <f>100-E91</f>
        <v>0.88592564799209583</v>
      </c>
      <c r="F93" s="18">
        <f>100-F91</f>
        <v>1.7630067359773989</v>
      </c>
      <c r="G93" s="18">
        <f>100-G91</f>
        <v>4.7814329757580083</v>
      </c>
      <c r="R93" s="16" t="s">
        <v>61</v>
      </c>
      <c r="S93" t="s">
        <v>9</v>
      </c>
      <c r="T93" s="30">
        <f>N229</f>
        <v>354.39</v>
      </c>
      <c r="U93" s="30">
        <f>N230</f>
        <v>878.92</v>
      </c>
      <c r="V93" s="30">
        <f>N231</f>
        <v>55338.1</v>
      </c>
      <c r="W93" s="30">
        <f>N232</f>
        <v>30158.44</v>
      </c>
      <c r="X93" s="30">
        <f>N233</f>
        <v>5974.18</v>
      </c>
      <c r="Z93" t="s">
        <v>36</v>
      </c>
      <c r="AA93" s="1">
        <f>N234</f>
        <v>92704.03</v>
      </c>
      <c r="AC93" t="s">
        <v>184</v>
      </c>
      <c r="AD93" s="51"/>
      <c r="AE93" s="51"/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</row>
    <row r="94" spans="1:51" ht="15.6" x14ac:dyDescent="0.35">
      <c r="B94" s="1" t="s">
        <v>25</v>
      </c>
      <c r="C94" s="1">
        <f>C78</f>
        <v>37</v>
      </c>
      <c r="D94" s="1">
        <f>D78</f>
        <v>60</v>
      </c>
      <c r="E94" s="1">
        <f>E78</f>
        <v>1082</v>
      </c>
      <c r="F94" s="1">
        <f>F78</f>
        <v>644</v>
      </c>
      <c r="G94" s="1">
        <f>G78</f>
        <v>936</v>
      </c>
      <c r="R94" s="16" t="s">
        <v>318</v>
      </c>
      <c r="S94" t="s">
        <v>63</v>
      </c>
      <c r="T94" s="57">
        <f>$AA93*T86/100</f>
        <v>290.52461273534948</v>
      </c>
      <c r="U94" s="57">
        <f>$AA93*U86/100</f>
        <v>1027.2201459320447</v>
      </c>
      <c r="V94" s="57">
        <f>$AA93*V86/100</f>
        <v>55767.071613439264</v>
      </c>
      <c r="W94" s="57">
        <f>$AA93*W86/100</f>
        <v>29791.543242189407</v>
      </c>
      <c r="X94" s="57">
        <f>$AA93*X86/100</f>
        <v>5827.6703857039229</v>
      </c>
      <c r="Z94" t="s">
        <v>36</v>
      </c>
      <c r="AA94" s="25">
        <f>SUM(T94:X94)</f>
        <v>92704.029999999984</v>
      </c>
      <c r="AC94" t="s">
        <v>185</v>
      </c>
      <c r="AD94" s="51"/>
      <c r="AE94" s="51"/>
      <c r="AH94" s="78"/>
      <c r="AI94" s="78"/>
      <c r="AJ94" t="s">
        <v>3</v>
      </c>
      <c r="AK94" s="13">
        <v>0</v>
      </c>
      <c r="AL94" s="29">
        <f>(AL83/$AU94)*$AX94</f>
        <v>2.5669182022919432E-2</v>
      </c>
      <c r="AM94" s="31">
        <f t="shared" ref="AM94:AO95" si="12">(AM83/$AU94)*$AX94</f>
        <v>0</v>
      </c>
      <c r="AN94" s="31">
        <f t="shared" si="12"/>
        <v>0.25669182022919429</v>
      </c>
      <c r="AO94" s="31">
        <f t="shared" si="12"/>
        <v>0</v>
      </c>
      <c r="AP94" s="32">
        <f>(AP83/$AU94)*$AX94</f>
        <v>0</v>
      </c>
      <c r="AQ94" s="17">
        <f>SUM(AL94:AP94)</f>
        <v>0.28236100225211375</v>
      </c>
      <c r="AR94" s="17">
        <f>AL94/AQ94*100</f>
        <v>9.0909090909090917</v>
      </c>
      <c r="AS94" s="17">
        <f>SQRT(AR94*(100-AR94)/(AU94-1))</f>
        <v>1.3551927136362363</v>
      </c>
      <c r="AT94" s="18">
        <f>100-AR94</f>
        <v>90.909090909090907</v>
      </c>
      <c r="AU94" s="1">
        <f>AQ83</f>
        <v>451</v>
      </c>
      <c r="AV94">
        <v>0</v>
      </c>
      <c r="AW94" s="1">
        <v>261.76</v>
      </c>
      <c r="AX94" s="17">
        <f>AW94/AW99*100</f>
        <v>0.28236100225211375</v>
      </c>
      <c r="AY94" s="52">
        <f>((AX94*AX94*(AR94/100)*(AT94/100))/(AU94-1))</f>
        <v>1.4642375682794891E-5</v>
      </c>
    </row>
    <row r="95" spans="1:51" x14ac:dyDescent="0.3">
      <c r="B95" s="1" t="s">
        <v>34</v>
      </c>
      <c r="C95" s="18">
        <f>(O84*O84*(100-C91)*(100-C91)*(I84)*(100-I84))/(L84-1)</f>
        <v>841.83920856703639</v>
      </c>
      <c r="D95" s="18">
        <f>(O85*O85*(100-D91)*(100-D91)*(I85)*(100-I85))/((L85-1)*100)</f>
        <v>68.338216632215435</v>
      </c>
      <c r="E95" s="18">
        <f>(O86*O86*(100-E91)*(100-E91)*(I86)*(100-I86))/((L86-1)*100)</f>
        <v>1.9269528420083371</v>
      </c>
      <c r="F95" s="18">
        <f>(O87*O87*(100-F91)*(100-F91)*(I87)*(100-I87))/((L87-1)*100)</f>
        <v>13.216183919185708</v>
      </c>
      <c r="G95" s="18">
        <f>(O88*O88*(100-G91)*(100-G91)*(I88)*(100-I88))/((L88-1)*100)</f>
        <v>6.7562948621905292</v>
      </c>
      <c r="R95" s="66"/>
      <c r="S95" s="66" t="s">
        <v>62</v>
      </c>
      <c r="T95" s="67">
        <f>$AA93*T87/100</f>
        <v>115.46867654147118</v>
      </c>
      <c r="U95" s="67">
        <f>$AA93*U87/100</f>
        <v>92.803579515173539</v>
      </c>
      <c r="V95" s="67">
        <f>$AA93*V87/100</f>
        <v>124.70488381282266</v>
      </c>
      <c r="W95" s="67">
        <f>$AA93*W87/100</f>
        <v>212.71687896521703</v>
      </c>
      <c r="X95" s="67">
        <f>$AA93*X87/100</f>
        <v>98.54705372442821</v>
      </c>
      <c r="AA95" s="1"/>
      <c r="AC95" t="s">
        <v>186</v>
      </c>
      <c r="AD95" s="51"/>
      <c r="AE95" s="51"/>
      <c r="AJ95" t="s">
        <v>4</v>
      </c>
      <c r="AK95" s="13">
        <v>1</v>
      </c>
      <c r="AL95" s="33">
        <f t="shared" ref="AL95:AO98" si="13">(AL84/$AU95)*$AX95</f>
        <v>0</v>
      </c>
      <c r="AM95" s="34">
        <f>(AM84/$AU95)*$AX95</f>
        <v>0.87097511776557368</v>
      </c>
      <c r="AN95" s="19">
        <f t="shared" si="12"/>
        <v>3.1671822464202679E-2</v>
      </c>
      <c r="AO95" s="18">
        <f t="shared" si="12"/>
        <v>0</v>
      </c>
      <c r="AP95" s="20">
        <f>(AP84/$AU95)*$AX95</f>
        <v>0</v>
      </c>
      <c r="AQ95" s="17">
        <f>SUM(AL95:AP95)</f>
        <v>0.90264694022977632</v>
      </c>
      <c r="AR95" s="17">
        <f>AM95/AQ95*100</f>
        <v>96.491228070175438</v>
      </c>
      <c r="AS95" s="17">
        <f>SQRT(AR95*(100-AR95)/(AU95-1))</f>
        <v>2.4588241692166148</v>
      </c>
      <c r="AT95" s="18">
        <f>100-AR95</f>
        <v>3.5087719298245617</v>
      </c>
      <c r="AU95" s="1">
        <f>AQ84</f>
        <v>57</v>
      </c>
      <c r="AV95">
        <v>1</v>
      </c>
      <c r="AW95" s="1">
        <v>836.79</v>
      </c>
      <c r="AX95" s="17">
        <f>AW95/AW99*100</f>
        <v>0.90264694022977632</v>
      </c>
      <c r="AY95" s="52">
        <f>((AX95*AX95*(AR95/100)*(AT95/100))/(AU95-1))</f>
        <v>4.925958803680227E-4</v>
      </c>
    </row>
    <row r="96" spans="1:51" x14ac:dyDescent="0.3">
      <c r="B96" s="1" t="s">
        <v>35</v>
      </c>
      <c r="C96" s="18">
        <f>C91*C91*(SUM((H85*C85*(1-C74/H74))/(H74-1),(H86*C86*(1-C75/H75))/(H75-1), (H87*C87*(1-C76/H76))/(H76-1),(H88*C88*(1-C77/H77))/(H77-1)))</f>
        <v>1.5908830039098449</v>
      </c>
      <c r="D96" s="18">
        <f>D91*D91*(SUM((H84*D84*(1-D73/H73))/(H73-1),(H86*D86*(1-D75/H75))/(H75-1), (H87*D87*(1-D76/H76))/(H76-1),(H88*D88*(1-D77/H77))/(H77-1)))</f>
        <v>140.76139350946312</v>
      </c>
      <c r="E96" s="18">
        <f>E91*E91*(SUM((H84*E84*(1-E73/H73))/(H73-1),(H85*E85*(1-E74/H74))/(H74-1), (H87*E87*(1-E76/H76))/(H76-1),(H88*E88*(1-E77/H77))/(H77-1)))</f>
        <v>129.48628715864638</v>
      </c>
      <c r="F96" s="18">
        <f>F91*F91*(SUM((H84*F84*(1-F73/H73))/(H73-1),(H85*F85*(1-F74/H74))/(H74-1), (H86*F86*(1-F75/H75))/(H75-1),(H88*F88*(1-F77/H77))/(H77-1)))</f>
        <v>106.41025757981274</v>
      </c>
      <c r="G96" s="18">
        <f>G91*G91*(SUM((H84*G84*(1-G73/H73))/(H73-1),(H85*G85*(1-G74/H74))/(H74-1), (H86*G86*(1-G75/H75))/(H75-1),(H87*G87*(1-G76/H76))/(H76-1)))</f>
        <v>143.0283632332235</v>
      </c>
      <c r="R96" t="s">
        <v>96</v>
      </c>
      <c r="S96" t="s">
        <v>28</v>
      </c>
      <c r="T96" s="57">
        <f>C263</f>
        <v>0.14304388967258999</v>
      </c>
      <c r="U96" s="57">
        <f t="shared" ref="U96:X99" si="14">D263</f>
        <v>1.2809876020612208</v>
      </c>
      <c r="V96" s="57">
        <f t="shared" si="14"/>
        <v>59.740995335214414</v>
      </c>
      <c r="W96" s="57">
        <f t="shared" si="14"/>
        <v>32.434147241696571</v>
      </c>
      <c r="X96" s="57">
        <f t="shared" si="14"/>
        <v>6.4008259313552074</v>
      </c>
      <c r="Y96" s="13"/>
      <c r="Z96" s="74"/>
      <c r="AA96" s="12"/>
      <c r="AC96" t="s">
        <v>187</v>
      </c>
      <c r="AD96" s="51"/>
      <c r="AE96" s="51"/>
      <c r="AH96" s="78"/>
      <c r="AI96" s="78"/>
      <c r="AJ96" t="s">
        <v>5</v>
      </c>
      <c r="AK96" s="13">
        <v>2</v>
      </c>
      <c r="AL96" s="33">
        <f t="shared" si="13"/>
        <v>0</v>
      </c>
      <c r="AM96" s="19">
        <f t="shared" si="13"/>
        <v>0</v>
      </c>
      <c r="AN96" s="34">
        <f t="shared" si="13"/>
        <v>59.807047382267413</v>
      </c>
      <c r="AO96" s="19">
        <f t="shared" si="13"/>
        <v>9.075424488963188E-2</v>
      </c>
      <c r="AP96" s="20">
        <f>(AP85/$AU96)*$AX96</f>
        <v>0</v>
      </c>
      <c r="AQ96" s="17">
        <f>SUM(AL96:AP96)</f>
        <v>59.897801627157044</v>
      </c>
      <c r="AR96" s="17">
        <f>AN96/AQ96*100</f>
        <v>99.848484848484858</v>
      </c>
      <c r="AS96" s="17">
        <f>SQRT(AR96*(100-AR96)/(AU96-1))</f>
        <v>0.15151515151514658</v>
      </c>
      <c r="AT96" s="18">
        <f>100-AR96</f>
        <v>0.15151515151514161</v>
      </c>
      <c r="AU96" s="1">
        <f>AQ85</f>
        <v>660</v>
      </c>
      <c r="AV96">
        <v>2</v>
      </c>
      <c r="AW96" s="1">
        <v>55527.67</v>
      </c>
      <c r="AX96" s="17">
        <f>AW96/AW99*100</f>
        <v>59.897801627157044</v>
      </c>
      <c r="AY96" s="52">
        <f>((AX96*AX96*(AR96/100)*(AT96/100))/(AU96-1))</f>
        <v>8.2363329654867364E-3</v>
      </c>
    </row>
    <row r="97" spans="1:51" x14ac:dyDescent="0.3">
      <c r="S97" s="66" t="s">
        <v>39</v>
      </c>
      <c r="T97" s="67">
        <f>C264</f>
        <v>7.9332183331245781E-2</v>
      </c>
      <c r="U97" s="67">
        <f t="shared" si="14"/>
        <v>0.13629580217393383</v>
      </c>
      <c r="V97" s="67">
        <f t="shared" si="14"/>
        <v>0.18552043539764182</v>
      </c>
      <c r="W97" s="67">
        <f t="shared" si="14"/>
        <v>0.21746339455739125</v>
      </c>
      <c r="X97" s="67">
        <f t="shared" si="14"/>
        <v>0.15222798983757962</v>
      </c>
      <c r="AC97" t="s">
        <v>188</v>
      </c>
      <c r="AD97" s="51"/>
      <c r="AE97" s="51"/>
      <c r="AJ97" t="s">
        <v>6</v>
      </c>
      <c r="AK97" s="13">
        <v>3</v>
      </c>
      <c r="AL97" s="33">
        <f t="shared" si="13"/>
        <v>0.11205829364824357</v>
      </c>
      <c r="AM97" s="19">
        <f t="shared" si="13"/>
        <v>0.16808744047236535</v>
      </c>
      <c r="AN97" s="19">
        <f t="shared" si="13"/>
        <v>0.16808744047236535</v>
      </c>
      <c r="AO97" s="34">
        <f t="shared" si="13"/>
        <v>31.992642836573538</v>
      </c>
      <c r="AP97" s="20">
        <f>(AP86/$AU97)*$AX97</f>
        <v>0.16808744047236535</v>
      </c>
      <c r="AQ97" s="17">
        <f>SUM(AL97:AP97)</f>
        <v>32.608963451638871</v>
      </c>
      <c r="AR97" s="17">
        <f>AO97/AQ97*100</f>
        <v>98.109965635738845</v>
      </c>
      <c r="AS97" s="17">
        <f>SQRT(AR97*(100-AR97)/(AU97-1))</f>
        <v>0.56494132717154499</v>
      </c>
      <c r="AT97" s="18">
        <f>100-AR97</f>
        <v>1.8900343642611546</v>
      </c>
      <c r="AU97" s="1">
        <f>AQ86</f>
        <v>582</v>
      </c>
      <c r="AV97">
        <v>3</v>
      </c>
      <c r="AW97" s="1">
        <v>30229.82</v>
      </c>
      <c r="AX97" s="17">
        <f>AW97/AW99*100</f>
        <v>32.608963451638878</v>
      </c>
      <c r="AY97" s="52">
        <f>((AX97*AX97*(AR97/100)*(AT97/100))/(AU97-1))</f>
        <v>3.3937565078489842E-2</v>
      </c>
    </row>
    <row r="98" spans="1:51" x14ac:dyDescent="0.3">
      <c r="S98" t="s">
        <v>30</v>
      </c>
      <c r="T98" s="57">
        <f>C265</f>
        <v>21.537989461003978</v>
      </c>
      <c r="U98" s="57">
        <f t="shared" si="14"/>
        <v>79.315470667051372</v>
      </c>
      <c r="V98" s="57">
        <f t="shared" si="14"/>
        <v>99.241610415138567</v>
      </c>
      <c r="W98" s="57">
        <f t="shared" si="14"/>
        <v>98.621390048797167</v>
      </c>
      <c r="X98" s="57">
        <f t="shared" si="14"/>
        <v>94.789331697767224</v>
      </c>
      <c r="AA98" s="54"/>
      <c r="AC98" t="s">
        <v>189</v>
      </c>
      <c r="AD98" s="51"/>
      <c r="AE98" s="51"/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3"/>
        <v>6.2519593446205878E-3</v>
      </c>
      <c r="AN98" s="21">
        <f t="shared" si="13"/>
        <v>0</v>
      </c>
      <c r="AO98" s="21">
        <f t="shared" si="13"/>
        <v>0.38762147936647645</v>
      </c>
      <c r="AP98" s="37">
        <f>(AP87/$AU98)*$AX98</f>
        <v>5.914353540011076</v>
      </c>
      <c r="AQ98" s="17">
        <f>SUM(AL98:AP98)</f>
        <v>6.308226978722173</v>
      </c>
      <c r="AR98" s="17">
        <f>AP98/AQ98*100</f>
        <v>93.756194251734399</v>
      </c>
      <c r="AS98" s="17">
        <f>SQRT(AR98*(100-AR98)/(AU98-1))</f>
        <v>0.76206920214220453</v>
      </c>
      <c r="AT98" s="18">
        <f>100-AR98</f>
        <v>6.2438057482656006</v>
      </c>
      <c r="AU98" s="1">
        <f>AQ87</f>
        <v>1009</v>
      </c>
      <c r="AV98">
        <v>4</v>
      </c>
      <c r="AW98" s="1">
        <v>5847.98</v>
      </c>
      <c r="AX98" s="17">
        <f>AW98/AW99*100</f>
        <v>6.308226978722173</v>
      </c>
      <c r="AY98" s="52">
        <f>((AX98*AX98*(AR98/100)*(AT98/100))/(AU98-1))</f>
        <v>2.3110186176163784E-3</v>
      </c>
    </row>
    <row r="99" spans="1:51" x14ac:dyDescent="0.3">
      <c r="A99" s="348" t="s">
        <v>384</v>
      </c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 t="s">
        <v>57</v>
      </c>
      <c r="M99" s="348"/>
      <c r="N99" s="348"/>
      <c r="O99" s="348"/>
      <c r="P99" s="348"/>
      <c r="S99" s="66" t="s">
        <v>39</v>
      </c>
      <c r="T99" s="67">
        <f>C266</f>
        <v>225.91903528410424</v>
      </c>
      <c r="U99" s="67">
        <f t="shared" si="14"/>
        <v>9.7042530150198356</v>
      </c>
      <c r="V99" s="67">
        <f t="shared" si="14"/>
        <v>0.16834376437388021</v>
      </c>
      <c r="W99" s="67">
        <f t="shared" si="14"/>
        <v>0.31917257260684728</v>
      </c>
      <c r="X99" s="67">
        <f t="shared" si="14"/>
        <v>2.180975800393846</v>
      </c>
      <c r="AC99" t="s">
        <v>190</v>
      </c>
      <c r="AD99" s="51"/>
      <c r="AE99" s="51"/>
      <c r="AK99" t="s">
        <v>28</v>
      </c>
      <c r="AL99" s="17">
        <f t="shared" ref="AL99:AQ99" si="15">SUM(AL94:AL98)</f>
        <v>0.137727475671163</v>
      </c>
      <c r="AM99" s="17">
        <f t="shared" si="15"/>
        <v>1.0453145175825596</v>
      </c>
      <c r="AN99" s="17">
        <f t="shared" si="15"/>
        <v>60.263498465433173</v>
      </c>
      <c r="AO99" s="17">
        <f t="shared" si="15"/>
        <v>32.471018560829641</v>
      </c>
      <c r="AP99" s="17">
        <f t="shared" si="15"/>
        <v>6.0824409804834412</v>
      </c>
      <c r="AQ99" s="18">
        <f t="shared" si="15"/>
        <v>99.999999999999986</v>
      </c>
      <c r="AR99" s="13" t="s">
        <v>24</v>
      </c>
      <c r="AS99" s="12" t="s">
        <v>29</v>
      </c>
      <c r="AW99" s="1">
        <f>SUM(AW94:AW98)</f>
        <v>92704.02</v>
      </c>
      <c r="AX99" s="17">
        <f>SUM(AX94:AX98)</f>
        <v>99.999999999999986</v>
      </c>
    </row>
    <row r="100" spans="1:51" x14ac:dyDescent="0.3">
      <c r="A100" t="s">
        <v>315</v>
      </c>
      <c r="B100" t="s">
        <v>21</v>
      </c>
      <c r="I100" s="1" t="s">
        <v>53</v>
      </c>
      <c r="O100" s="142"/>
      <c r="P100" s="142"/>
      <c r="S100" t="s">
        <v>31</v>
      </c>
      <c r="T100" s="57">
        <f>I258</f>
        <v>11.086474501108649</v>
      </c>
      <c r="U100" s="57">
        <f>I259</f>
        <v>94.736842105263165</v>
      </c>
      <c r="V100" s="57">
        <f>I260</f>
        <v>99.545454545454533</v>
      </c>
      <c r="W100" s="57">
        <f>I261</f>
        <v>97.9381443298969</v>
      </c>
      <c r="X100" s="57">
        <f>I262</f>
        <v>94.350842418235871</v>
      </c>
      <c r="AC100" t="s">
        <v>191</v>
      </c>
      <c r="AD100" s="51"/>
      <c r="AE100" s="51"/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7.9193211769753302E-2</v>
      </c>
      <c r="AM100" s="18">
        <f>SQRT(SUM((AX94*AM94-AM94*AM94)/AU94,(AX95*AM95-AM95*AM95)/AU95,(AX96*AM96-AM96*AM96)/AU96,(AX97*AM97-AM97*AM97)/AU97,(AX98*AM98-AM98*AM98)/AU98))</f>
        <v>9.9459804175339825E-2</v>
      </c>
      <c r="AN100" s="18">
        <f>SQRT(SUM((AX94*AN94-AN94*AN94)/AU94,(AX95*AN95-AN95*AN95)/AU95,(AX96*AN96-AN96*AN96)/AU96,(AX97*AN97-AN97*AN97)/AU97,(AX98*AN98-AN98*AN98)/AU98))</f>
        <v>0.13450527116672192</v>
      </c>
      <c r="AO100" s="18">
        <f>SQRT(SUM((AX94*AO94-AO94*AO94)/AU94,(AX95*AO95-AO95*AO95)/AU95,(AX96*AO96-AO96*AO96)/AU96,(AX97*AO97-AO97*AO97)/AU97,(AX98*AO98-AO98*AO98)/AU98))</f>
        <v>0.21065989246870204</v>
      </c>
      <c r="AP100" s="18">
        <f>SQRT(SUM((AX94*AP94-AP94*AP94)/AU94,(AX95*AP95-AP95*AP95)/AU95,(AX96*AP96-AP96*AP96)/AU96,(AX97*AP97-AP97*AP97)/AU97,(AX98*AP98-AP98*AP98)/AU98))</f>
        <v>0.10806469707802385</v>
      </c>
      <c r="AQ100" s="1"/>
      <c r="AR100" s="56">
        <f>(AL94+AM95+AN96+AO97+AP98)/AQ99</f>
        <v>0.98610688058640539</v>
      </c>
      <c r="AS100" s="53">
        <f>SQRT(SUM(AY94:AY98))/100</f>
        <v>2.1211354251354105E-3</v>
      </c>
      <c r="AV100" s="1"/>
      <c r="AW100" s="9"/>
    </row>
    <row r="101" spans="1:51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51</v>
      </c>
      <c r="O101" s="13"/>
      <c r="P101" s="13"/>
      <c r="S101" s="66" t="s">
        <v>39</v>
      </c>
      <c r="T101" s="67">
        <f>J258</f>
        <v>1.4800431924982105</v>
      </c>
      <c r="U101" s="67">
        <f>J259</f>
        <v>2.983930050072845</v>
      </c>
      <c r="V101" s="67">
        <f>J260</f>
        <v>0.26203341040868794</v>
      </c>
      <c r="W101" s="67">
        <f>J261</f>
        <v>0.58954505375429189</v>
      </c>
      <c r="X101" s="67">
        <f>J262</f>
        <v>0.7271675157930344</v>
      </c>
      <c r="AC101" t="s">
        <v>192</v>
      </c>
      <c r="AD101" s="51"/>
      <c r="AE101" s="51"/>
      <c r="AK101" s="1" t="s">
        <v>30</v>
      </c>
      <c r="AL101" s="17">
        <f>AL94/AL99*100</f>
        <v>18.637662454662976</v>
      </c>
      <c r="AM101" s="17">
        <f>AM95/AM99*100</f>
        <v>83.321823538797602</v>
      </c>
      <c r="AN101" s="17">
        <f>AN96/AN99*100</f>
        <v>99.242574535516596</v>
      </c>
      <c r="AO101" s="17">
        <f>AO97/AO99*100</f>
        <v>98.526760953433183</v>
      </c>
      <c r="AP101" s="17">
        <f>AP98/AP99*100</f>
        <v>97.236513416049533</v>
      </c>
      <c r="AQ101" s="1"/>
    </row>
    <row r="102" spans="1:51" x14ac:dyDescent="0.3">
      <c r="A102" t="s">
        <v>3</v>
      </c>
      <c r="B102" s="13">
        <v>0</v>
      </c>
      <c r="C102" s="26">
        <v>35</v>
      </c>
      <c r="D102" s="3">
        <v>0</v>
      </c>
      <c r="E102" s="3">
        <v>416</v>
      </c>
      <c r="F102" s="3">
        <v>0</v>
      </c>
      <c r="G102" s="4">
        <v>0</v>
      </c>
      <c r="H102" s="1">
        <f>SUM(C102:G102)</f>
        <v>451</v>
      </c>
      <c r="I102" s="10">
        <f>C102/H102</f>
        <v>7.7605321507760533E-2</v>
      </c>
      <c r="J102" s="11">
        <f>1-I102</f>
        <v>0.92239467849223944</v>
      </c>
      <c r="K102">
        <f>H102-C107</f>
        <v>414</v>
      </c>
      <c r="N102" s="10">
        <f>2*(C108*I102)/(C108+I102)</f>
        <v>0.14344262295081969</v>
      </c>
      <c r="O102" s="1"/>
      <c r="P102" s="1"/>
      <c r="S102" s="66" t="s">
        <v>51</v>
      </c>
      <c r="T102" s="67">
        <f>N247*100</f>
        <v>19.880715705765407</v>
      </c>
      <c r="U102" s="67">
        <f>N248*100</f>
        <v>93.10344827586205</v>
      </c>
      <c r="V102" s="67">
        <f>N249*100</f>
        <v>76.262333139872311</v>
      </c>
      <c r="W102" s="67">
        <f>N250*100</f>
        <v>94.292803970223318</v>
      </c>
      <c r="X102" s="67">
        <f>N251*100</f>
        <v>96.797153024911026</v>
      </c>
      <c r="AC102" t="s">
        <v>193</v>
      </c>
      <c r="AD102" s="51"/>
      <c r="AE102" s="51"/>
      <c r="AH102" s="78"/>
      <c r="AI102" s="78"/>
      <c r="AK102" s="16" t="s">
        <v>39</v>
      </c>
      <c r="AL102" s="18">
        <f>SQRT((AL105+AL106)/(AL99*AL99))</f>
        <v>226.30585798530535</v>
      </c>
      <c r="AM102" s="18">
        <f>SQRT((AM105+AM106)/(AM99*AM99))</f>
        <v>8.5099752129247985</v>
      </c>
      <c r="AN102" s="18">
        <f>SQRT((AN105+AN106)/(AN99*AN99))</f>
        <v>0.16419115828813854</v>
      </c>
      <c r="AO102" s="18">
        <f>SQRT((AO105+AO106)/(AO99*AO99))</f>
        <v>0.32214844962137273</v>
      </c>
      <c r="AP102" s="18">
        <f>SQRT((AP105+AP106)/(AP99*AP99))</f>
        <v>1.564061153625018</v>
      </c>
      <c r="AQ102" s="1"/>
    </row>
    <row r="103" spans="1:51" x14ac:dyDescent="0.3">
      <c r="A103" t="s">
        <v>4</v>
      </c>
      <c r="B103" s="13">
        <v>1</v>
      </c>
      <c r="C103" s="5">
        <v>0</v>
      </c>
      <c r="D103" s="27">
        <v>53</v>
      </c>
      <c r="E103" s="1">
        <v>4</v>
      </c>
      <c r="F103" s="1">
        <v>0</v>
      </c>
      <c r="G103" s="6">
        <v>0</v>
      </c>
      <c r="H103" s="1">
        <f>SUM(C103:G103)</f>
        <v>57</v>
      </c>
      <c r="I103" s="10">
        <f>D103/H103</f>
        <v>0.92982456140350878</v>
      </c>
      <c r="J103" s="11">
        <f>1-I103</f>
        <v>7.0175438596491224E-2</v>
      </c>
      <c r="K103">
        <f>H103-D107</f>
        <v>-2</v>
      </c>
      <c r="N103" s="10">
        <f>2*(D108*I103)/(D108+I103)</f>
        <v>0.91379310344827591</v>
      </c>
      <c r="O103" s="1"/>
      <c r="P103" s="1"/>
      <c r="R103" s="16" t="s">
        <v>61</v>
      </c>
      <c r="S103" t="s">
        <v>9</v>
      </c>
      <c r="T103" s="30">
        <f>N258</f>
        <v>257.62</v>
      </c>
      <c r="U103" s="30">
        <f>N259</f>
        <v>994.22</v>
      </c>
      <c r="V103" s="30">
        <f>N260</f>
        <v>55213.26</v>
      </c>
      <c r="W103" s="30">
        <f>N261</f>
        <v>30277.52</v>
      </c>
      <c r="X103" s="30">
        <f>N262</f>
        <v>5961.4</v>
      </c>
      <c r="Z103" t="s">
        <v>36</v>
      </c>
      <c r="AA103" s="1">
        <f>N263</f>
        <v>92704.02</v>
      </c>
      <c r="AC103" t="s">
        <v>194</v>
      </c>
      <c r="AD103" s="51"/>
      <c r="AE103" s="51"/>
      <c r="AK103" s="1" t="s">
        <v>37</v>
      </c>
      <c r="AL103" s="18">
        <f>100-AL101</f>
        <v>81.362337545337027</v>
      </c>
      <c r="AM103" s="18">
        <f>100-AM101</f>
        <v>16.678176461202398</v>
      </c>
      <c r="AN103" s="18">
        <f>100-AN101</f>
        <v>0.7574254644834042</v>
      </c>
      <c r="AO103" s="18">
        <f>100-AO101</f>
        <v>1.4732390465668175</v>
      </c>
      <c r="AP103" s="18">
        <f>100-AP101</f>
        <v>2.763486583950467</v>
      </c>
    </row>
    <row r="104" spans="1:51" ht="15.6" x14ac:dyDescent="0.35">
      <c r="A104" t="s">
        <v>5</v>
      </c>
      <c r="B104" s="13">
        <v>2</v>
      </c>
      <c r="C104" s="5">
        <v>0</v>
      </c>
      <c r="D104" s="1">
        <v>0</v>
      </c>
      <c r="E104" s="27">
        <v>659</v>
      </c>
      <c r="F104" s="1">
        <v>1</v>
      </c>
      <c r="G104" s="6">
        <v>0</v>
      </c>
      <c r="H104" s="1">
        <f>SUM(C104:G104)</f>
        <v>660</v>
      </c>
      <c r="I104" s="10">
        <f>E104/H104</f>
        <v>0.99848484848484853</v>
      </c>
      <c r="J104" s="11">
        <f>1-I104</f>
        <v>1.5151515151514694E-3</v>
      </c>
      <c r="K104">
        <f>H104-E107</f>
        <v>-423</v>
      </c>
      <c r="N104" s="10">
        <f>2*(E108*I104)/(E108+I104)</f>
        <v>0.75616752725186465</v>
      </c>
      <c r="O104" s="1"/>
      <c r="P104" s="1"/>
      <c r="R104" s="16" t="s">
        <v>318</v>
      </c>
      <c r="S104" t="s">
        <v>63</v>
      </c>
      <c r="T104" s="57">
        <f>$AA103*T96/100</f>
        <v>132.60743609085577</v>
      </c>
      <c r="U104" s="57">
        <f>$AA103*U96/100</f>
        <v>1187.5270028123546</v>
      </c>
      <c r="V104" s="57">
        <f>$AA103*V96/100</f>
        <v>55382.304263756239</v>
      </c>
      <c r="W104" s="57">
        <f>$AA103*W96/100</f>
        <v>30067.758345771836</v>
      </c>
      <c r="X104" s="57">
        <f>$AA103*X96/100</f>
        <v>5933.8229515687181</v>
      </c>
      <c r="Z104" t="s">
        <v>36</v>
      </c>
      <c r="AA104" s="25">
        <f>SUM(T104:X104)</f>
        <v>92704.02</v>
      </c>
      <c r="AC104" t="s">
        <v>195</v>
      </c>
      <c r="AD104" s="51"/>
      <c r="AE104" s="51"/>
      <c r="AH104" s="78"/>
      <c r="AI104" s="78"/>
      <c r="AK104" s="1" t="s">
        <v>25</v>
      </c>
      <c r="AL104" s="1">
        <f>AL88</f>
        <v>43</v>
      </c>
      <c r="AM104" s="1">
        <f>AM88</f>
        <v>59</v>
      </c>
      <c r="AN104" s="1">
        <f>AN88</f>
        <v>1074</v>
      </c>
      <c r="AO104" s="1">
        <f>AO88</f>
        <v>634</v>
      </c>
      <c r="AP104" s="1">
        <f>AP88</f>
        <v>949</v>
      </c>
    </row>
    <row r="105" spans="1:51" x14ac:dyDescent="0.3">
      <c r="A105" t="s">
        <v>6</v>
      </c>
      <c r="B105" s="13">
        <v>3</v>
      </c>
      <c r="C105" s="5">
        <v>2</v>
      </c>
      <c r="D105" s="1">
        <v>3</v>
      </c>
      <c r="E105" s="1">
        <v>3</v>
      </c>
      <c r="F105" s="27">
        <v>570</v>
      </c>
      <c r="G105" s="6">
        <v>4</v>
      </c>
      <c r="H105" s="1">
        <f>SUM(C105:G105)</f>
        <v>582</v>
      </c>
      <c r="I105" s="10">
        <f>F105/H105</f>
        <v>0.97938144329896903</v>
      </c>
      <c r="J105" s="11">
        <f>1-I105</f>
        <v>2.0618556701030966E-2</v>
      </c>
      <c r="K105">
        <f>H105-F107</f>
        <v>-61</v>
      </c>
      <c r="N105" s="10">
        <f>2*(F108*I105)/(F108+I105)</f>
        <v>0.93061224489795913</v>
      </c>
      <c r="O105" s="1"/>
      <c r="P105" s="1"/>
      <c r="R105" s="66"/>
      <c r="S105" s="66" t="s">
        <v>62</v>
      </c>
      <c r="T105" s="67">
        <f>$AA103*T97/100</f>
        <v>73.544123101834757</v>
      </c>
      <c r="U105" s="67">
        <f>$AA103*U97/100</f>
        <v>126.35168770648406</v>
      </c>
      <c r="V105" s="67">
        <f>$AA103*V97/100</f>
        <v>171.98490153511696</v>
      </c>
      <c r="W105" s="67">
        <f>$AA103*W97/100</f>
        <v>201.59730878316293</v>
      </c>
      <c r="X105" s="67">
        <f>$AA103*X97/100</f>
        <v>141.12146614462779</v>
      </c>
      <c r="AA105" s="1"/>
      <c r="AC105" t="s">
        <v>196</v>
      </c>
      <c r="AD105" s="51"/>
      <c r="AE105" s="51"/>
      <c r="AK105" s="1" t="s">
        <v>34</v>
      </c>
      <c r="AL105" s="18">
        <f>(AX94*AX94*(100-AL101)*(100-AL101)*(AR94)*(100-AR94))/(AU94-1)</f>
        <v>969.30037389284337</v>
      </c>
      <c r="AM105" s="18">
        <f>(AX95*AX95*(100-AM101)*(100-AM101)*(AR95)*(100-AR95))/((AU95-1)*100)</f>
        <v>13.70212434936785</v>
      </c>
      <c r="AN105" s="18">
        <f>(AX96*AX96*(100-AN101)*(100-AN101)*(AR96)*(100-AR96))/((AU96-1)*100)</f>
        <v>0.47251293209459855</v>
      </c>
      <c r="AO105" s="18">
        <f>(AX97*AX97*(100-AO101)*(100-AO101)*(AR97)*(100-AR97))/((AU97-1)*100)</f>
        <v>7.3659220971189709</v>
      </c>
      <c r="AP105" s="18">
        <f>(AX98*AX98*(100-AP101)*(100-AP101)*(AR98)*(100-AR98))/((AU98-1)*100)</f>
        <v>1.7648921248441558</v>
      </c>
    </row>
    <row r="106" spans="1:51" x14ac:dyDescent="0.3">
      <c r="A106" t="s">
        <v>7</v>
      </c>
      <c r="B106" s="13">
        <v>4</v>
      </c>
      <c r="C106" s="7">
        <v>0</v>
      </c>
      <c r="D106" s="8">
        <v>3</v>
      </c>
      <c r="E106" s="8">
        <v>1</v>
      </c>
      <c r="F106" s="8">
        <v>72</v>
      </c>
      <c r="G106" s="28">
        <v>933</v>
      </c>
      <c r="H106" s="1">
        <f>SUM(C106:G106)</f>
        <v>1009</v>
      </c>
      <c r="I106" s="10">
        <f>G106/H106</f>
        <v>0.92467789890981167</v>
      </c>
      <c r="J106" s="11">
        <f>1-I106</f>
        <v>7.5322101090188331E-2</v>
      </c>
      <c r="K106">
        <f>H106-G107</f>
        <v>72</v>
      </c>
      <c r="N106" s="10">
        <f>2*(G108*I106)/(G108+I106)</f>
        <v>0.95889003083247693</v>
      </c>
      <c r="O106" s="1"/>
      <c r="P106" s="1"/>
      <c r="R106" t="s">
        <v>97</v>
      </c>
      <c r="S106" t="s">
        <v>28</v>
      </c>
      <c r="T106" s="57">
        <f>C292</f>
        <v>0.14298666649834693</v>
      </c>
      <c r="U106" s="57">
        <f t="shared" ref="U106:X109" si="16">D292</f>
        <v>1.263515805293322</v>
      </c>
      <c r="V106" s="57">
        <f t="shared" si="16"/>
        <v>59.692758983432732</v>
      </c>
      <c r="W106" s="57">
        <f t="shared" si="16"/>
        <v>32.384948927558185</v>
      </c>
      <c r="X106" s="57">
        <f t="shared" si="16"/>
        <v>6.5157896172174166</v>
      </c>
      <c r="Y106" s="60"/>
      <c r="Z106" s="74"/>
      <c r="AA106" s="12"/>
      <c r="AC106" t="s">
        <v>197</v>
      </c>
      <c r="AD106" s="51"/>
      <c r="AE106" s="51"/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2.1771720962653363</v>
      </c>
      <c r="AM106" s="18">
        <f>AM101*AM101*(SUM((AQ94*AM94*(1-AM83/AQ83))/(AQ83-1),(AQ96*AM96*(1-AM85/AQ85))/(AQ85-1), (AQ97*AM97*(1-AM86/AQ86))/(AQ86-1),(AQ98*AM98*(1-AM87/AQ87))/(AQ87-1)))</f>
        <v>65.429586296267217</v>
      </c>
      <c r="AN106" s="18">
        <f>AN101*AN101*(SUM((AQ94*AN94*(1-AN83/AQ83))/(AQ83-1),(AQ95*AN95*(1-AN84/AQ84))/(AQ84-1), (AQ97*AN97*(1-AN86/AQ86))/(AQ86-1),(AQ98*AN98*(1-AN87/AQ87))/(AQ87-1)))</f>
        <v>97.433240390302387</v>
      </c>
      <c r="AO106" s="18">
        <f>AO101*AO101*(SUM((AQ94*AO94*(1-AO83/AQ83))/(AQ83-1),(AQ95*AO95*(1-AO84/AQ84))/(AQ84-1), (AQ96*AO96*(1-AO85/AQ85))/(AQ85-1),(AQ98*AO98*(1-AO87/AQ87))/(AQ87-1)))</f>
        <v>102.05589310530519</v>
      </c>
      <c r="AP106" s="18">
        <f>AP101*AP101*(SUM((AQ94*AP94*(1-AP83/AQ83))/(AQ83-1),(AQ95*AP95*(1-AP84/AQ84))/(AQ84-1), (AQ96*AP96*(1-AP85/AQ85))/(AQ85-1),(AQ97*AP97*(1-AP86/AQ86))/(AQ86-1)))</f>
        <v>88.738168501149062</v>
      </c>
    </row>
    <row r="107" spans="1:51" ht="15.6" x14ac:dyDescent="0.35">
      <c r="B107" s="1" t="s">
        <v>19</v>
      </c>
      <c r="C107" s="1">
        <f>SUM(C102:C106)</f>
        <v>37</v>
      </c>
      <c r="D107" s="1">
        <f>SUM(D102:D106)</f>
        <v>59</v>
      </c>
      <c r="E107" s="1">
        <f>SUM(E102:E106)</f>
        <v>1083</v>
      </c>
      <c r="F107" s="1">
        <f>SUM(F102:F106)</f>
        <v>643</v>
      </c>
      <c r="G107" s="1">
        <f>SUM(G102:G106)</f>
        <v>937</v>
      </c>
      <c r="H107" s="1">
        <f>SUM(H101:H106)</f>
        <v>2759</v>
      </c>
      <c r="I107" s="13" t="s">
        <v>12</v>
      </c>
      <c r="N107" s="16"/>
      <c r="O107" s="1"/>
      <c r="P107" s="1"/>
      <c r="S107" s="66" t="s">
        <v>39</v>
      </c>
      <c r="T107" s="67">
        <f>C293</f>
        <v>7.9175427101685597E-2</v>
      </c>
      <c r="U107" s="67">
        <f t="shared" si="16"/>
        <v>0.13603789486543844</v>
      </c>
      <c r="V107" s="67">
        <f t="shared" si="16"/>
        <v>0.20681678822197949</v>
      </c>
      <c r="W107" s="67">
        <f t="shared" si="16"/>
        <v>0.23418759346201581</v>
      </c>
      <c r="X107" s="67">
        <f t="shared" si="16"/>
        <v>0.14970541437179186</v>
      </c>
      <c r="AC107" t="s">
        <v>198</v>
      </c>
      <c r="AD107" s="51"/>
      <c r="AE107" s="51"/>
    </row>
    <row r="108" spans="1:51" x14ac:dyDescent="0.3">
      <c r="A108" s="1" t="s">
        <v>316</v>
      </c>
      <c r="B108" s="1" t="s">
        <v>2</v>
      </c>
      <c r="C108" s="10">
        <f>C102/C107</f>
        <v>0.94594594594594594</v>
      </c>
      <c r="D108" s="10">
        <f>D103/D107</f>
        <v>0.89830508474576276</v>
      </c>
      <c r="E108" s="10">
        <f>E104/E107</f>
        <v>0.60849492151431206</v>
      </c>
      <c r="F108" s="10">
        <f>F105/F107</f>
        <v>0.88646967340590976</v>
      </c>
      <c r="G108" s="10">
        <f>G106/G107</f>
        <v>0.99573105656350058</v>
      </c>
      <c r="H108" s="10"/>
      <c r="I108" s="14">
        <f>(C102+D103+E104+F105+G106)/H107</f>
        <v>0.81551286698079017</v>
      </c>
      <c r="S108" t="s">
        <v>30</v>
      </c>
      <c r="T108" s="57">
        <f>C294</f>
        <v>21.66831543016092</v>
      </c>
      <c r="U108" s="57">
        <f t="shared" si="16"/>
        <v>79.051024457083273</v>
      </c>
      <c r="V108" s="57">
        <f t="shared" si="16"/>
        <v>99.179025773600856</v>
      </c>
      <c r="W108" s="57">
        <f t="shared" si="16"/>
        <v>98.567706486898928</v>
      </c>
      <c r="X108" s="57">
        <f t="shared" si="16"/>
        <v>95.17701213422832</v>
      </c>
      <c r="AC108" t="s">
        <v>199</v>
      </c>
      <c r="AD108" s="51"/>
      <c r="AE108" s="51"/>
      <c r="AH108" s="78"/>
      <c r="AI108" s="78"/>
      <c r="AJ108" s="118" t="s">
        <v>352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</row>
    <row r="109" spans="1:51" x14ac:dyDescent="0.3">
      <c r="B109" s="1" t="s">
        <v>14</v>
      </c>
      <c r="C109" s="11">
        <f>1-C108</f>
        <v>5.4054054054054057E-2</v>
      </c>
      <c r="D109" s="11">
        <f>1-D108</f>
        <v>0.10169491525423724</v>
      </c>
      <c r="E109" s="11">
        <f>1-E108</f>
        <v>0.39150507848568794</v>
      </c>
      <c r="F109" s="11">
        <f>1-F108</f>
        <v>0.11353032659409024</v>
      </c>
      <c r="G109" s="11">
        <f>1-G108</f>
        <v>4.2689434364994172E-3</v>
      </c>
      <c r="S109" s="66" t="s">
        <v>39</v>
      </c>
      <c r="T109" s="67">
        <f>C295</f>
        <v>232.14985606069018</v>
      </c>
      <c r="U109" s="67">
        <f t="shared" si="16"/>
        <v>9.7954854161124221</v>
      </c>
      <c r="V109" s="67">
        <f t="shared" si="16"/>
        <v>0.17144457564489385</v>
      </c>
      <c r="W109" s="67">
        <f t="shared" si="16"/>
        <v>0.41722336350232253</v>
      </c>
      <c r="X109" s="67">
        <f t="shared" si="16"/>
        <v>2.1214459763832578</v>
      </c>
      <c r="AC109" t="s">
        <v>200</v>
      </c>
      <c r="AD109" s="51"/>
      <c r="AE109" s="51"/>
      <c r="AJ109" s="106" t="s">
        <v>670</v>
      </c>
      <c r="AK109" s="107" t="s">
        <v>28</v>
      </c>
      <c r="AL109" s="108">
        <f t="shared" ref="AL109:AP112" si="17">AL99</f>
        <v>0.137727475671163</v>
      </c>
      <c r="AM109" s="108">
        <f t="shared" si="17"/>
        <v>1.0453145175825596</v>
      </c>
      <c r="AN109" s="108">
        <f t="shared" si="17"/>
        <v>60.263498465433173</v>
      </c>
      <c r="AO109" s="108">
        <f t="shared" si="17"/>
        <v>32.471018560829641</v>
      </c>
      <c r="AP109" s="108">
        <f t="shared" si="17"/>
        <v>6.0824409804834412</v>
      </c>
      <c r="AQ109" s="107"/>
      <c r="AR109" s="228" t="s">
        <v>72</v>
      </c>
      <c r="AS109" s="229">
        <f>AR100</f>
        <v>0.98610688058640539</v>
      </c>
    </row>
    <row r="110" spans="1:51" x14ac:dyDescent="0.3">
      <c r="C110" s="2"/>
      <c r="S110" s="15" t="s">
        <v>31</v>
      </c>
      <c r="T110" s="71">
        <f>I287</f>
        <v>10.643015521064301</v>
      </c>
      <c r="U110" s="71">
        <f>I288</f>
        <v>94.73684210526315</v>
      </c>
      <c r="V110" s="71">
        <f>I289</f>
        <v>99.393939393939405</v>
      </c>
      <c r="W110" s="71">
        <f>I290</f>
        <v>97.938144329896929</v>
      </c>
      <c r="X110" s="71">
        <f>I291</f>
        <v>95.441030723488609</v>
      </c>
      <c r="AC110" t="s">
        <v>201</v>
      </c>
      <c r="AD110" s="51"/>
      <c r="AE110" s="51"/>
      <c r="AH110" s="78"/>
      <c r="AI110" s="78"/>
      <c r="AJ110" s="107"/>
      <c r="AK110" s="109" t="s">
        <v>39</v>
      </c>
      <c r="AL110" s="110">
        <f t="shared" si="17"/>
        <v>7.9193211769753302E-2</v>
      </c>
      <c r="AM110" s="110">
        <f t="shared" si="17"/>
        <v>9.9459804175339825E-2</v>
      </c>
      <c r="AN110" s="110">
        <f t="shared" si="17"/>
        <v>0.13450527116672192</v>
      </c>
      <c r="AO110" s="110">
        <f t="shared" si="17"/>
        <v>0.21065989246870204</v>
      </c>
      <c r="AP110" s="110">
        <f t="shared" si="17"/>
        <v>0.10806469707802385</v>
      </c>
      <c r="AQ110" s="107"/>
      <c r="AR110" s="228" t="s">
        <v>29</v>
      </c>
      <c r="AS110" s="230">
        <f>AS100</f>
        <v>2.1211354251354105E-3</v>
      </c>
      <c r="AX110" s="103" t="s">
        <v>363</v>
      </c>
    </row>
    <row r="111" spans="1:51" ht="15.6" x14ac:dyDescent="0.35">
      <c r="A111" t="s">
        <v>317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1.4537520594996891</v>
      </c>
      <c r="U111" s="76">
        <f>J288</f>
        <v>2.9839300500728485</v>
      </c>
      <c r="V111" s="76">
        <f>J289</f>
        <v>0.30233976593146256</v>
      </c>
      <c r="W111" s="76">
        <f>J290</f>
        <v>0.5895450537542879</v>
      </c>
      <c r="X111" s="76">
        <f>J291</f>
        <v>0.65700795366383802</v>
      </c>
      <c r="AC111" t="s">
        <v>155</v>
      </c>
      <c r="AD111" s="51"/>
      <c r="AE111" s="51"/>
      <c r="AJ111" s="107"/>
      <c r="AK111" s="107" t="s">
        <v>30</v>
      </c>
      <c r="AL111" s="108">
        <f t="shared" si="17"/>
        <v>18.637662454662976</v>
      </c>
      <c r="AM111" s="108">
        <f t="shared" si="17"/>
        <v>83.321823538797602</v>
      </c>
      <c r="AN111" s="108">
        <f t="shared" si="17"/>
        <v>99.242574535516596</v>
      </c>
      <c r="AO111" s="108">
        <f t="shared" si="17"/>
        <v>98.526760953433183</v>
      </c>
      <c r="AP111" s="108">
        <f t="shared" si="17"/>
        <v>97.236513416049533</v>
      </c>
      <c r="AQ111" s="107"/>
      <c r="AR111" s="107"/>
      <c r="AS111" s="107"/>
      <c r="AU111" s="103" t="s">
        <v>363</v>
      </c>
      <c r="AW111" s="101"/>
      <c r="AX111" s="1" t="s">
        <v>357</v>
      </c>
      <c r="AY111" s="96"/>
    </row>
    <row r="112" spans="1:51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51</v>
      </c>
      <c r="T112" s="67">
        <f>N276*100</f>
        <v>19.161676646706589</v>
      </c>
      <c r="U112" s="67">
        <f>N277*100</f>
        <v>93.10344827586205</v>
      </c>
      <c r="V112" s="67">
        <f>N278*100</f>
        <v>76.013904982618769</v>
      </c>
      <c r="W112" s="67">
        <f>N279*100</f>
        <v>95.158597662771285</v>
      </c>
      <c r="X112" s="67">
        <f>N280*100</f>
        <v>97.420333839150231</v>
      </c>
      <c r="AC112" t="s">
        <v>202</v>
      </c>
      <c r="AD112" s="51"/>
      <c r="AE112" s="51"/>
      <c r="AH112" s="78"/>
      <c r="AI112" s="78"/>
      <c r="AJ112" s="107"/>
      <c r="AK112" s="109" t="s">
        <v>39</v>
      </c>
      <c r="AL112" s="110">
        <f t="shared" si="17"/>
        <v>226.30585798530535</v>
      </c>
      <c r="AM112" s="110">
        <f t="shared" si="17"/>
        <v>8.5099752129247985</v>
      </c>
      <c r="AN112" s="110">
        <f t="shared" si="17"/>
        <v>0.16419115828813854</v>
      </c>
      <c r="AO112" s="110">
        <f t="shared" si="17"/>
        <v>0.32214844962137273</v>
      </c>
      <c r="AP112" s="110">
        <f t="shared" si="17"/>
        <v>1.564061153625018</v>
      </c>
      <c r="AQ112" s="107"/>
      <c r="AR112" s="107"/>
      <c r="AS112" s="107"/>
      <c r="AU112" s="93"/>
      <c r="AV112" s="1" t="s">
        <v>357</v>
      </c>
      <c r="AW112" s="97"/>
      <c r="AX112" s="71" t="s">
        <v>358</v>
      </c>
      <c r="AY112" s="95"/>
    </row>
    <row r="113" spans="1:51" x14ac:dyDescent="0.3">
      <c r="A113" t="s">
        <v>3</v>
      </c>
      <c r="B113" s="13">
        <v>0</v>
      </c>
      <c r="C113" s="29">
        <f>(C102/$L113)*$O113</f>
        <v>2.0315470021641267E-2</v>
      </c>
      <c r="D113" s="31">
        <f>(D102/$L113)*$O113</f>
        <v>0</v>
      </c>
      <c r="E113" s="31">
        <f>(E102/$L113)*$O113</f>
        <v>0.24146387225722191</v>
      </c>
      <c r="F113" s="31">
        <f>(F102/$L113)*$O113</f>
        <v>0</v>
      </c>
      <c r="G113" s="32">
        <f>(G102/$L113)*$O113</f>
        <v>0</v>
      </c>
      <c r="H113" s="17">
        <f>SUM(C113:G113)</f>
        <v>0.26177934227886318</v>
      </c>
      <c r="I113" s="17">
        <f>C113/H113*100</f>
        <v>7.7605321507760534</v>
      </c>
      <c r="J113" s="17">
        <f>SQRT(I113*(100-I113)/(L113-1))</f>
        <v>1.2612404439143556</v>
      </c>
      <c r="K113" s="18">
        <f>100-I113</f>
        <v>92.239467849223942</v>
      </c>
      <c r="L113" s="1">
        <f>H102</f>
        <v>451</v>
      </c>
      <c r="M113">
        <v>0</v>
      </c>
      <c r="N113" s="1">
        <v>242.68</v>
      </c>
      <c r="O113" s="17">
        <f>N113/N118*100</f>
        <v>0.26177934227886318</v>
      </c>
      <c r="P113" s="52">
        <f>((O113*O113*(I113/100)*(K113/100))/(L113-1))</f>
        <v>1.0901004573668909E-5</v>
      </c>
      <c r="R113" s="16" t="s">
        <v>61</v>
      </c>
      <c r="S113" t="s">
        <v>9</v>
      </c>
      <c r="T113" s="30">
        <f>N287</f>
        <v>269.87</v>
      </c>
      <c r="U113" s="30">
        <f>N288</f>
        <v>977.39</v>
      </c>
      <c r="V113" s="30">
        <f>N289</f>
        <v>55217.94</v>
      </c>
      <c r="W113" s="30">
        <f>N290</f>
        <v>30215.14</v>
      </c>
      <c r="X113" s="30">
        <f>N291</f>
        <v>6023.69</v>
      </c>
      <c r="Z113" t="s">
        <v>36</v>
      </c>
      <c r="AA113" s="1">
        <f>N292</f>
        <v>92704.03</v>
      </c>
      <c r="AC113" t="s">
        <v>156</v>
      </c>
      <c r="AD113" s="51"/>
      <c r="AE113" s="51"/>
      <c r="AJ113" s="107"/>
      <c r="AK113" s="111" t="s">
        <v>31</v>
      </c>
      <c r="AL113" s="112">
        <f>AR94</f>
        <v>9.0909090909090917</v>
      </c>
      <c r="AM113" s="112">
        <f>AR95</f>
        <v>96.491228070175438</v>
      </c>
      <c r="AN113" s="112">
        <f>AR96</f>
        <v>99.848484848484858</v>
      </c>
      <c r="AO113" s="112">
        <f>AR97</f>
        <v>98.109965635738845</v>
      </c>
      <c r="AP113" s="112">
        <f>AR98</f>
        <v>93.756194251734399</v>
      </c>
      <c r="AQ113" s="107"/>
      <c r="AR113" s="107"/>
      <c r="AS113" s="107"/>
      <c r="AU113" s="94"/>
      <c r="AV113" s="71" t="s">
        <v>360</v>
      </c>
      <c r="AW113" s="98"/>
      <c r="AX113" s="71" t="s">
        <v>359</v>
      </c>
      <c r="AY113" s="93"/>
    </row>
    <row r="114" spans="1:51" ht="15.6" x14ac:dyDescent="0.35">
      <c r="A114" t="s">
        <v>4</v>
      </c>
      <c r="B114" s="13">
        <v>1</v>
      </c>
      <c r="C114" s="33">
        <f t="shared" ref="C114:G117" si="18">(C103/$L114)*$O114</f>
        <v>0</v>
      </c>
      <c r="D114" s="34">
        <f t="shared" si="18"/>
        <v>0.8386713126313472</v>
      </c>
      <c r="E114" s="19">
        <f t="shared" si="18"/>
        <v>6.3295948123120546E-2</v>
      </c>
      <c r="F114" s="18">
        <f t="shared" si="18"/>
        <v>0</v>
      </c>
      <c r="G114" s="20">
        <f t="shared" si="18"/>
        <v>0</v>
      </c>
      <c r="H114" s="17">
        <f>SUM(C114:G114)</f>
        <v>0.90196726075446776</v>
      </c>
      <c r="I114" s="17">
        <f>D114/H114*100</f>
        <v>92.982456140350877</v>
      </c>
      <c r="J114" s="17">
        <f>SQRT(I114*(100-I114)/(L114-1))</f>
        <v>3.4134933513474275</v>
      </c>
      <c r="K114" s="18">
        <f>100-I114</f>
        <v>7.0175438596491233</v>
      </c>
      <c r="L114" s="1">
        <f>H103</f>
        <v>57</v>
      </c>
      <c r="M114">
        <v>1</v>
      </c>
      <c r="N114" s="1">
        <v>836.16</v>
      </c>
      <c r="O114" s="17">
        <f>N114/N118*100</f>
        <v>0.90196726075446776</v>
      </c>
      <c r="P114" s="52">
        <f>((O114*O114*(I114/100)*(K114/100))/(L114-1))</f>
        <v>9.4793742672612811E-4</v>
      </c>
      <c r="R114" s="16" t="s">
        <v>318</v>
      </c>
      <c r="S114" t="s">
        <v>63</v>
      </c>
      <c r="T114" s="57">
        <f>$AA113*T106/100</f>
        <v>132.55440220662749</v>
      </c>
      <c r="U114" s="57">
        <f>$AA113*U106/100</f>
        <v>1171.3300711938628</v>
      </c>
      <c r="V114" s="57">
        <f>$AA113*V106/100</f>
        <v>55337.593195829177</v>
      </c>
      <c r="W114" s="57">
        <f>$AA113*W106/100</f>
        <v>30022.152769288215</v>
      </c>
      <c r="X114" s="57">
        <f>$AA113*X106/100</f>
        <v>6040.3995614821188</v>
      </c>
      <c r="Z114" t="s">
        <v>36</v>
      </c>
      <c r="AA114" s="25">
        <f>SUM(T114:X114)</f>
        <v>92704.03</v>
      </c>
      <c r="AC114" t="s">
        <v>203</v>
      </c>
      <c r="AD114" s="51"/>
      <c r="AE114" s="51"/>
      <c r="AH114" s="78"/>
      <c r="AI114" s="78"/>
      <c r="AJ114" s="107"/>
      <c r="AK114" s="113" t="s">
        <v>39</v>
      </c>
      <c r="AL114" s="114">
        <f>AS94</f>
        <v>1.3551927136362363</v>
      </c>
      <c r="AM114" s="114">
        <f>AS95</f>
        <v>2.4588241692166148</v>
      </c>
      <c r="AN114" s="114">
        <f>AS96</f>
        <v>0.15151515151514658</v>
      </c>
      <c r="AO114" s="114">
        <f>AS97</f>
        <v>0.56494132717154499</v>
      </c>
      <c r="AP114" s="114">
        <f>AS98</f>
        <v>0.76206920214220453</v>
      </c>
      <c r="AQ114" s="107"/>
      <c r="AR114" s="107"/>
      <c r="AS114" s="107"/>
      <c r="AU114" s="95"/>
      <c r="AV114" s="1" t="s">
        <v>361</v>
      </c>
      <c r="AW114" s="99"/>
      <c r="AX114" s="1" t="s">
        <v>364</v>
      </c>
      <c r="AY114" s="99"/>
    </row>
    <row r="115" spans="1:51" x14ac:dyDescent="0.3">
      <c r="A115" t="s">
        <v>5</v>
      </c>
      <c r="B115" s="13">
        <v>2</v>
      </c>
      <c r="C115" s="33">
        <f t="shared" si="18"/>
        <v>0</v>
      </c>
      <c r="D115" s="19">
        <f t="shared" si="18"/>
        <v>0</v>
      </c>
      <c r="E115" s="34">
        <f t="shared" si="18"/>
        <v>60.023736113018323</v>
      </c>
      <c r="F115" s="19">
        <f t="shared" si="18"/>
        <v>9.1083059352076362E-2</v>
      </c>
      <c r="G115" s="20">
        <f t="shared" si="18"/>
        <v>0</v>
      </c>
      <c r="H115" s="17">
        <f>SUM(C115:G115)</f>
        <v>60.114819172370396</v>
      </c>
      <c r="I115" s="17">
        <f>E115/H115*100</f>
        <v>99.848484848484858</v>
      </c>
      <c r="J115" s="17">
        <f>SQRT(I115*(100-I115)/(L115-1))</f>
        <v>0.15151515151514658</v>
      </c>
      <c r="K115" s="18">
        <f>100-I115</f>
        <v>0.15151515151514161</v>
      </c>
      <c r="L115" s="1">
        <f>H104</f>
        <v>660</v>
      </c>
      <c r="M115">
        <v>2</v>
      </c>
      <c r="N115" s="1">
        <v>55728.86</v>
      </c>
      <c r="O115" s="17">
        <f>N115/N118*100</f>
        <v>60.114819172370396</v>
      </c>
      <c r="P115" s="52">
        <f>((O115*O115*(I115/100)*(K115/100))/(L115-1))</f>
        <v>8.2961237009333208E-3</v>
      </c>
      <c r="R115" s="66"/>
      <c r="S115" s="66" t="s">
        <v>62</v>
      </c>
      <c r="T115" s="67">
        <f>$AA113*T107/100</f>
        <v>73.398811692974746</v>
      </c>
      <c r="U115" s="67">
        <f>$AA113*U107/100</f>
        <v>126.11261086742451</v>
      </c>
      <c r="V115" s="67">
        <f>$AA113*V107/100</f>
        <v>191.72749739834035</v>
      </c>
      <c r="W115" s="67">
        <f>$AA113*W107/100</f>
        <v>217.10133689930518</v>
      </c>
      <c r="X115" s="67">
        <f>$AA113*X107/100</f>
        <v>138.78295225085023</v>
      </c>
      <c r="AA115" s="1"/>
      <c r="AC115" t="s">
        <v>204</v>
      </c>
      <c r="AD115" s="51"/>
      <c r="AE115" s="51"/>
      <c r="AJ115" s="107"/>
      <c r="AK115" s="109" t="s">
        <v>51</v>
      </c>
      <c r="AL115" s="110">
        <f>AW83*100</f>
        <v>16.599190283400812</v>
      </c>
      <c r="AM115" s="110">
        <f>AW84*100</f>
        <v>94.827586206896541</v>
      </c>
      <c r="AN115" s="110">
        <f>AW85*100</f>
        <v>76.009227220299891</v>
      </c>
      <c r="AO115" s="110">
        <f>AW86*100</f>
        <v>93.914473684210535</v>
      </c>
      <c r="AP115" s="110">
        <f>AW87*100</f>
        <v>96.62921348314606</v>
      </c>
      <c r="AQ115" s="107"/>
      <c r="AR115" s="107"/>
      <c r="AS115" s="107"/>
      <c r="AU115" s="96"/>
      <c r="AV115" s="1" t="s">
        <v>362</v>
      </c>
      <c r="AW115" s="100"/>
      <c r="AX115" s="71" t="s">
        <v>365</v>
      </c>
      <c r="AY115" s="102"/>
    </row>
    <row r="116" spans="1:51" x14ac:dyDescent="0.3">
      <c r="A116" t="s">
        <v>6</v>
      </c>
      <c r="B116" s="13">
        <v>3</v>
      </c>
      <c r="C116" s="33">
        <f t="shared" si="18"/>
        <v>0.1117609898736398</v>
      </c>
      <c r="D116" s="19">
        <f t="shared" si="18"/>
        <v>0.16764148481045971</v>
      </c>
      <c r="E116" s="19">
        <f t="shared" si="18"/>
        <v>0.16764148481045971</v>
      </c>
      <c r="F116" s="34">
        <f t="shared" si="18"/>
        <v>31.851882113987344</v>
      </c>
      <c r="G116" s="20">
        <f t="shared" si="18"/>
        <v>0.22352197974727961</v>
      </c>
      <c r="H116" s="17">
        <f>SUM(C116:G116)</f>
        <v>32.522448053229184</v>
      </c>
      <c r="I116" s="17">
        <f>F116/H116*100</f>
        <v>97.9381443298969</v>
      </c>
      <c r="J116" s="17">
        <f>SQRT(I116*(100-I116)/(L116-1))</f>
        <v>0.58954505375429189</v>
      </c>
      <c r="K116" s="18">
        <f>100-I116</f>
        <v>2.0618556701030997</v>
      </c>
      <c r="L116" s="1">
        <f>H105</f>
        <v>582</v>
      </c>
      <c r="M116">
        <v>3</v>
      </c>
      <c r="N116" s="1">
        <v>30149.62</v>
      </c>
      <c r="O116" s="17">
        <f>N116/N118*100</f>
        <v>32.522448053229184</v>
      </c>
      <c r="P116" s="52">
        <f>((O116*O116*(I116/100)*(K116/100))/(L116-1))</f>
        <v>3.6762112300148579E-2</v>
      </c>
      <c r="R116" t="s">
        <v>98</v>
      </c>
      <c r="S116" t="s">
        <v>28</v>
      </c>
      <c r="T116" s="57">
        <f>C321</f>
        <v>0.1311418841470825</v>
      </c>
      <c r="U116" s="57">
        <f t="shared" ref="U116:X119" si="19">D321</f>
        <v>1.1152173576924727</v>
      </c>
      <c r="V116" s="57">
        <f t="shared" si="19"/>
        <v>60.097554172565196</v>
      </c>
      <c r="W116" s="57">
        <f t="shared" si="19"/>
        <v>32.316549009261351</v>
      </c>
      <c r="X116" s="57">
        <f t="shared" si="19"/>
        <v>6.3395375763339104</v>
      </c>
      <c r="Z116" s="74"/>
      <c r="AA116" s="12"/>
      <c r="AD116" s="51"/>
      <c r="AE116" s="51"/>
      <c r="AH116" s="78"/>
      <c r="AI116" s="78"/>
      <c r="AJ116" s="115" t="s">
        <v>356</v>
      </c>
      <c r="AK116" s="107" t="s">
        <v>9</v>
      </c>
      <c r="AL116" s="116">
        <f>AW94</f>
        <v>261.76</v>
      </c>
      <c r="AM116" s="116">
        <f>AW95</f>
        <v>836.79</v>
      </c>
      <c r="AN116" s="116">
        <f>AW96</f>
        <v>55527.67</v>
      </c>
      <c r="AO116" s="116">
        <f>AW97</f>
        <v>30229.82</v>
      </c>
      <c r="AP116" s="116">
        <f>AW98</f>
        <v>5847.98</v>
      </c>
      <c r="AQ116" s="107"/>
      <c r="AR116" s="115" t="s">
        <v>36</v>
      </c>
      <c r="AS116" s="136">
        <f>AW99</f>
        <v>92704.02</v>
      </c>
      <c r="AW116" s="102"/>
      <c r="AX116" s="1" t="s">
        <v>362</v>
      </c>
      <c r="AY116" s="104"/>
    </row>
    <row r="117" spans="1:51" ht="15.6" x14ac:dyDescent="0.35">
      <c r="A117" t="s">
        <v>7</v>
      </c>
      <c r="B117" s="13">
        <v>4</v>
      </c>
      <c r="C117" s="35">
        <f t="shared" si="18"/>
        <v>0</v>
      </c>
      <c r="D117" s="36">
        <f t="shared" si="18"/>
        <v>1.8431078804857556E-2</v>
      </c>
      <c r="E117" s="21">
        <f t="shared" si="18"/>
        <v>6.1436929349525191E-3</v>
      </c>
      <c r="F117" s="21">
        <f t="shared" si="18"/>
        <v>0.44234589131658136</v>
      </c>
      <c r="G117" s="37">
        <f t="shared" si="18"/>
        <v>5.7320655083106997</v>
      </c>
      <c r="H117" s="17">
        <f>SUM(C117:G117)</f>
        <v>6.1989861713670908</v>
      </c>
      <c r="I117" s="17">
        <f>G117/H117*100</f>
        <v>92.46778989098118</v>
      </c>
      <c r="J117" s="17">
        <f>SQRT(I117*(100-I117)/(L117-1))</f>
        <v>0.83123952539973844</v>
      </c>
      <c r="K117" s="18">
        <f>100-I117</f>
        <v>7.5322101090188198</v>
      </c>
      <c r="L117" s="1">
        <f>H106</f>
        <v>1009</v>
      </c>
      <c r="M117">
        <v>4</v>
      </c>
      <c r="N117" s="1">
        <v>5746.71</v>
      </c>
      <c r="O117" s="17">
        <f>N117/N118*100</f>
        <v>6.1989861713670917</v>
      </c>
      <c r="P117" s="52">
        <f>((O117*O117*(I117/100)*(K117/100))/(L117-1))</f>
        <v>2.6551784006181548E-3</v>
      </c>
      <c r="S117" s="66" t="s">
        <v>39</v>
      </c>
      <c r="T117" s="67">
        <f>C322</f>
        <v>7.8664512753876731E-2</v>
      </c>
      <c r="U117" s="67">
        <f t="shared" si="19"/>
        <v>9.7821390960492624E-2</v>
      </c>
      <c r="V117" s="67">
        <f t="shared" si="19"/>
        <v>0.1333548261076769</v>
      </c>
      <c r="W117" s="67">
        <f t="shared" si="19"/>
        <v>0.21676333450380147</v>
      </c>
      <c r="X117" s="67">
        <f t="shared" si="19"/>
        <v>0.12106232872996101</v>
      </c>
      <c r="AD117" s="51"/>
      <c r="AE117" s="51"/>
      <c r="AJ117" s="115" t="s">
        <v>355</v>
      </c>
      <c r="AK117" s="107" t="s">
        <v>63</v>
      </c>
      <c r="AL117" s="108">
        <f>$AS116*AL109/100</f>
        <v>127.67890659169008</v>
      </c>
      <c r="AM117" s="108">
        <f>$AS116*AM109/100</f>
        <v>969.04857944263961</v>
      </c>
      <c r="AN117" s="108">
        <f>$AS116*AN109/100</f>
        <v>55866.685670094863</v>
      </c>
      <c r="AO117" s="108">
        <f>$AS116*AO109/100</f>
        <v>30101.939540835225</v>
      </c>
      <c r="AP117" s="108">
        <f>$AS116*AP109/100</f>
        <v>5638.6673030355651</v>
      </c>
      <c r="AQ117" s="107"/>
      <c r="AR117" s="115" t="s">
        <v>36</v>
      </c>
      <c r="AS117" s="136">
        <f>SUM(AL117:AP117)</f>
        <v>92704.019999999975</v>
      </c>
    </row>
    <row r="118" spans="1:51" x14ac:dyDescent="0.3">
      <c r="B118" t="s">
        <v>28</v>
      </c>
      <c r="C118" s="17">
        <f t="shared" ref="C118:H118" si="20">SUM(C113:C117)</f>
        <v>0.13207645989528108</v>
      </c>
      <c r="D118" s="17">
        <f t="shared" si="20"/>
        <v>1.0247438762466645</v>
      </c>
      <c r="E118" s="17">
        <f t="shared" si="20"/>
        <v>60.502281111144079</v>
      </c>
      <c r="F118" s="17">
        <f t="shared" si="20"/>
        <v>32.385311064656001</v>
      </c>
      <c r="G118" s="17">
        <f t="shared" si="20"/>
        <v>5.9555874880579793</v>
      </c>
      <c r="H118" s="18">
        <f t="shared" si="20"/>
        <v>100</v>
      </c>
      <c r="I118" s="13" t="s">
        <v>24</v>
      </c>
      <c r="J118" s="12" t="s">
        <v>29</v>
      </c>
      <c r="N118" s="1">
        <f>SUM(N113:N117)</f>
        <v>92704.03</v>
      </c>
      <c r="O118" s="17">
        <f>SUM(O113:O117)</f>
        <v>100</v>
      </c>
      <c r="S118" t="s">
        <v>30</v>
      </c>
      <c r="T118" s="57">
        <f>C323</f>
        <v>15.098928953999414</v>
      </c>
      <c r="U118" s="57">
        <f t="shared" si="19"/>
        <v>84.446361455856604</v>
      </c>
      <c r="V118" s="57">
        <f t="shared" si="19"/>
        <v>99.46547654090989</v>
      </c>
      <c r="W118" s="57">
        <f t="shared" si="19"/>
        <v>98.191630228456447</v>
      </c>
      <c r="X118" s="57">
        <f t="shared" si="19"/>
        <v>96.487413698865851</v>
      </c>
      <c r="AD118" s="51"/>
      <c r="AE118" s="51"/>
      <c r="AH118" s="78"/>
      <c r="AI118" s="78"/>
      <c r="AJ118" s="109"/>
      <c r="AK118" s="109" t="s">
        <v>354</v>
      </c>
      <c r="AL118" s="110">
        <f>$AS116*AL110/100</f>
        <v>73.415290877674465</v>
      </c>
      <c r="AM118" s="110">
        <f>$AS116*AM110/100</f>
        <v>92.20323675466787</v>
      </c>
      <c r="AN118" s="110">
        <f>$AS116*AN110/100</f>
        <v>124.69179348345213</v>
      </c>
      <c r="AO118" s="110">
        <f>$AS116*AO110/100</f>
        <v>195.29018884616406</v>
      </c>
      <c r="AP118" s="110">
        <f>$AS116*AP110/100</f>
        <v>100.18031839215065</v>
      </c>
      <c r="AQ118" s="107"/>
      <c r="AR118" s="107"/>
      <c r="AS118" s="107"/>
    </row>
    <row r="119" spans="1:51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7.8959957510071399E-2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0.10180278097568353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0.13631964717274386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0.2179592019991318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0.12270786557013402</v>
      </c>
      <c r="H119" s="1"/>
      <c r="I119" s="56">
        <f>(C113+D114+E115+F116+G117)/H118</f>
        <v>0.98466670517969346</v>
      </c>
      <c r="J119" s="53">
        <f>SQRT(SUM(P113:P117))/100</f>
        <v>2.2061788874205069E-3</v>
      </c>
      <c r="M119" s="1"/>
      <c r="N119" s="9"/>
      <c r="S119" s="66" t="s">
        <v>39</v>
      </c>
      <c r="T119" s="67">
        <f>C324</f>
        <v>215.26277861084793</v>
      </c>
      <c r="U119" s="67">
        <f t="shared" si="19"/>
        <v>7.672442181461629</v>
      </c>
      <c r="V119" s="67">
        <f t="shared" si="19"/>
        <v>0.16227117842840305</v>
      </c>
      <c r="W119" s="67">
        <f t="shared" si="19"/>
        <v>0.33027015105018964</v>
      </c>
      <c r="X119" s="67">
        <f t="shared" si="19"/>
        <v>1.7114015061036549</v>
      </c>
      <c r="AD119" s="51"/>
      <c r="AE119" s="51"/>
      <c r="AJ119" s="115" t="s">
        <v>376</v>
      </c>
      <c r="AK119" s="122" t="s">
        <v>9</v>
      </c>
      <c r="AL119" s="139">
        <f>AVERAGE(AR195:AR214)</f>
        <v>256.56150000000002</v>
      </c>
      <c r="AM119" s="135">
        <f>AVERAGE(AS195:AS214)</f>
        <v>906.97299999999973</v>
      </c>
      <c r="AN119" s="135">
        <f>AVERAGE(AT195:AT214)</f>
        <v>55432.108000000007</v>
      </c>
      <c r="AO119" s="139">
        <f>AVERAGE(AU195:AU214)</f>
        <v>30145.356500000002</v>
      </c>
      <c r="AP119" s="135">
        <f>AVERAGE(AV195:AV214)</f>
        <v>5963.0259999999998</v>
      </c>
      <c r="AQ119" s="107"/>
      <c r="AR119" s="115" t="s">
        <v>36</v>
      </c>
      <c r="AS119" s="136">
        <f>SUM(AL119:AP119)</f>
        <v>92704.025000000009</v>
      </c>
    </row>
    <row r="120" spans="1:51" x14ac:dyDescent="0.3">
      <c r="B120" s="1" t="s">
        <v>30</v>
      </c>
      <c r="C120" s="17">
        <f>C113/C118*100</f>
        <v>15.381597930281227</v>
      </c>
      <c r="D120" s="17">
        <f>D114/D118*100</f>
        <v>81.842041906427738</v>
      </c>
      <c r="E120" s="17">
        <f>E115/E118*100</f>
        <v>99.209046354390082</v>
      </c>
      <c r="F120" s="17">
        <f>F116/F118*100</f>
        <v>98.352867602217287</v>
      </c>
      <c r="G120" s="17">
        <f>G117/G118*100</f>
        <v>96.246852553245475</v>
      </c>
      <c r="H120" s="1"/>
      <c r="S120" s="15" t="s">
        <v>31</v>
      </c>
      <c r="T120" s="71">
        <f>I316</f>
        <v>7.3170731707317067</v>
      </c>
      <c r="U120" s="71">
        <f>I317</f>
        <v>98.245614035087712</v>
      </c>
      <c r="V120" s="71">
        <f>I318</f>
        <v>99.848484848484844</v>
      </c>
      <c r="W120" s="71">
        <f>I319</f>
        <v>97.9381443298969</v>
      </c>
      <c r="X120" s="71">
        <f>I320</f>
        <v>94.053518334985128</v>
      </c>
      <c r="AD120" s="51"/>
      <c r="AE120" s="51"/>
      <c r="AH120" s="78"/>
      <c r="AI120" s="78"/>
      <c r="AJ120" s="140"/>
      <c r="AK120" s="128" t="s">
        <v>368</v>
      </c>
      <c r="AL120" s="125">
        <f>_xlfn.STDEV.S(AR195:AR214)/SQRT($AK$108)</f>
        <v>6.0882630517120493</v>
      </c>
      <c r="AM120" s="125">
        <f>_xlfn.STDEV.S(AS195:AS214)/SQRT($AK$108)</f>
        <v>11.748723762717022</v>
      </c>
      <c r="AN120" s="125">
        <f>_xlfn.STDEV.S(AT195:AT214)/SQRT($AK$108)</f>
        <v>48.740124935589293</v>
      </c>
      <c r="AO120" s="125">
        <f>_xlfn.STDEV.S(AU195:AU214)/SQRT($AK$108)</f>
        <v>44.256526430840445</v>
      </c>
      <c r="AP120" s="125">
        <f>_xlfn.STDEV.S(AV195:AV214)/SQRT($AK$108)</f>
        <v>20.608986241315645</v>
      </c>
      <c r="AQ120" s="107"/>
      <c r="AR120" s="107"/>
      <c r="AS120" s="107"/>
    </row>
    <row r="121" spans="1:51" x14ac:dyDescent="0.3">
      <c r="B121" s="16" t="s">
        <v>39</v>
      </c>
      <c r="C121" s="18">
        <f>SQRT((C124+C125)/(C118*C118))</f>
        <v>211.73011441728391</v>
      </c>
      <c r="D121" s="18">
        <f>SQRT((D124+D125)/(D118*D118))</f>
        <v>9.4885284050317775</v>
      </c>
      <c r="E121" s="18">
        <f>SQRT((E124+E125)/(E118*E118))</f>
        <v>0.16710208927910952</v>
      </c>
      <c r="F121" s="18">
        <f>SQRT((F124+F125)/(F118*F118))</f>
        <v>0.33064381580187552</v>
      </c>
      <c r="G121" s="18">
        <f>SQRT((G124+G125)/(G118*G118))</f>
        <v>1.8305071052570601</v>
      </c>
      <c r="H121" s="1"/>
      <c r="S121" s="75" t="s">
        <v>39</v>
      </c>
      <c r="T121" s="76">
        <f>J316</f>
        <v>1.2276153553285771</v>
      </c>
      <c r="U121" s="76">
        <f>J317</f>
        <v>1.7543859649122842</v>
      </c>
      <c r="V121" s="76">
        <f>J318</f>
        <v>0.15151515151515368</v>
      </c>
      <c r="W121" s="76">
        <f>J319</f>
        <v>0.58954505375429189</v>
      </c>
      <c r="X121" s="76">
        <f>J320</f>
        <v>0.744881690236465</v>
      </c>
      <c r="AD121" s="51"/>
      <c r="AE121" s="51"/>
      <c r="AJ121" s="119" t="s">
        <v>707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</row>
    <row r="122" spans="1:51" x14ac:dyDescent="0.3">
      <c r="B122" s="1" t="s">
        <v>37</v>
      </c>
      <c r="C122" s="18">
        <f>100-C120</f>
        <v>84.618402069718769</v>
      </c>
      <c r="D122" s="18">
        <f>100-D120</f>
        <v>18.157958093572262</v>
      </c>
      <c r="E122" s="18">
        <f>100-E120</f>
        <v>0.79095364560991754</v>
      </c>
      <c r="F122" s="18">
        <f>100-F120</f>
        <v>1.6471323977827126</v>
      </c>
      <c r="G122" s="18">
        <f>100-G120</f>
        <v>3.7531474467545252</v>
      </c>
      <c r="S122" s="66" t="s">
        <v>51</v>
      </c>
      <c r="T122" s="67">
        <f>N305*100</f>
        <v>13.580246913580247</v>
      </c>
      <c r="U122" s="67">
        <f>N306*100</f>
        <v>95.726495726495713</v>
      </c>
      <c r="V122" s="67">
        <f>N307*100</f>
        <v>84.922680412371136</v>
      </c>
      <c r="W122" s="67">
        <f>N308*100</f>
        <v>81.370449678800853</v>
      </c>
      <c r="X122" s="67">
        <f>N309*100</f>
        <v>96.738022426095824</v>
      </c>
      <c r="AD122" s="51"/>
      <c r="AE122" s="51"/>
      <c r="AH122" s="78"/>
      <c r="AI122" s="78"/>
      <c r="AJ122" s="115" t="s">
        <v>375</v>
      </c>
      <c r="AK122" s="122" t="s">
        <v>9</v>
      </c>
      <c r="AL122" s="135">
        <v>3.69</v>
      </c>
      <c r="AM122" s="135">
        <v>175.78</v>
      </c>
      <c r="AN122" s="135">
        <v>5130.1899999999996</v>
      </c>
      <c r="AO122" s="135">
        <v>619.86</v>
      </c>
      <c r="AP122" s="135">
        <v>280.99</v>
      </c>
      <c r="AQ122" s="107"/>
      <c r="AR122" s="115" t="s">
        <v>36</v>
      </c>
      <c r="AS122" s="136">
        <f>SUM(AL122:AP122)</f>
        <v>6210.5099999999993</v>
      </c>
      <c r="AU122">
        <v>1</v>
      </c>
      <c r="AV122">
        <v>68</v>
      </c>
    </row>
    <row r="123" spans="1:51" ht="15.6" x14ac:dyDescent="0.35">
      <c r="B123" s="1" t="s">
        <v>25</v>
      </c>
      <c r="C123" s="1">
        <f>C107</f>
        <v>37</v>
      </c>
      <c r="D123" s="1">
        <f>D107</f>
        <v>59</v>
      </c>
      <c r="E123" s="1">
        <f>E107</f>
        <v>1083</v>
      </c>
      <c r="F123" s="1">
        <f>F107</f>
        <v>643</v>
      </c>
      <c r="G123" s="1">
        <f>G107</f>
        <v>937</v>
      </c>
      <c r="R123" s="16" t="s">
        <v>61</v>
      </c>
      <c r="S123" t="s">
        <v>9</v>
      </c>
      <c r="T123" s="30">
        <f>N316</f>
        <v>250.87</v>
      </c>
      <c r="U123" s="30">
        <f>N317</f>
        <v>888.64</v>
      </c>
      <c r="V123" s="30">
        <f>N318</f>
        <v>55499.14</v>
      </c>
      <c r="W123" s="30">
        <f>N319</f>
        <v>30036.28</v>
      </c>
      <c r="X123" s="30">
        <f>N320</f>
        <v>6029.09</v>
      </c>
      <c r="Z123" t="s">
        <v>36</v>
      </c>
      <c r="AA123" s="1">
        <f>N321</f>
        <v>92704.01999999999</v>
      </c>
      <c r="AD123" s="51"/>
      <c r="AE123" s="51"/>
      <c r="AJ123" s="107"/>
      <c r="AK123" s="107" t="s">
        <v>367</v>
      </c>
      <c r="AL123" s="108">
        <f>(AL122/$AS122)*100</f>
        <v>5.9415410328620362E-2</v>
      </c>
      <c r="AM123" s="108">
        <f>(AM122/$AS122)*100</f>
        <v>2.8303633679037632</v>
      </c>
      <c r="AN123" s="108">
        <f>(AN122/$AS122)*100</f>
        <v>82.6049712503482</v>
      </c>
      <c r="AO123" s="108">
        <f>(AO122/$AS122)*100</f>
        <v>9.9808228309752351</v>
      </c>
      <c r="AP123" s="108">
        <f>(AP122/$AS122)*100</f>
        <v>4.5244271404441827</v>
      </c>
      <c r="AQ123" s="107"/>
      <c r="AR123" s="107"/>
      <c r="AS123" s="107"/>
      <c r="AU123">
        <v>2</v>
      </c>
      <c r="AV123">
        <v>97</v>
      </c>
    </row>
    <row r="124" spans="1:51" ht="15.6" x14ac:dyDescent="0.35">
      <c r="B124" s="1" t="s">
        <v>34</v>
      </c>
      <c r="C124" s="18">
        <f>(O113*O113*(100-C120)*(100-C120)*(I113)*(100-I113))/(L113-1)</f>
        <v>780.54179282966425</v>
      </c>
      <c r="D124" s="18">
        <f>(O114*O114*(100-D120)*(100-D120)*(I114)*(100-I114))/((L114-1)*100)</f>
        <v>31.254581601290724</v>
      </c>
      <c r="E124" s="18">
        <f>(O115*O115*(100-E120)*(100-E120)*(I115)*(100-I115))/((L115-1)*100)</f>
        <v>0.51901186144546352</v>
      </c>
      <c r="F124" s="18">
        <f>(O116*O116*(100-F120)*(100-F120)*(I116)*(100-I116))/((L116-1)*100)</f>
        <v>9.9737269958586232</v>
      </c>
      <c r="G124" s="18">
        <f>(O117*O117*(100-G120)*(100-G120)*(I117)*(100-I117))/((L117-1)*100)</f>
        <v>3.7401150306805895</v>
      </c>
      <c r="R124" s="16" t="s">
        <v>318</v>
      </c>
      <c r="S124" t="s">
        <v>63</v>
      </c>
      <c r="T124" s="57">
        <f>$AA123*T116/100</f>
        <v>121.57379850808819</v>
      </c>
      <c r="U124" s="57">
        <f>$AA123*U116/100</f>
        <v>1033.8513223187012</v>
      </c>
      <c r="V124" s="57">
        <f>$AA123*V116/100</f>
        <v>55712.848639645672</v>
      </c>
      <c r="W124" s="57">
        <f>$AA123*W116/100</f>
        <v>29958.74005685544</v>
      </c>
      <c r="X124" s="57">
        <f>$AA123*X116/100</f>
        <v>5877.006182672103</v>
      </c>
      <c r="Z124" t="s">
        <v>36</v>
      </c>
      <c r="AA124" s="25">
        <f>SUM(T124:X124)</f>
        <v>92704.02</v>
      </c>
      <c r="AD124" s="51"/>
      <c r="AE124" s="51"/>
      <c r="AH124" s="78"/>
      <c r="AI124" s="78"/>
      <c r="AJ124" s="115" t="s">
        <v>376</v>
      </c>
      <c r="AK124" s="122" t="s">
        <v>9</v>
      </c>
      <c r="AL124" s="139">
        <f>AVERAGE(AR216:AR235)</f>
        <v>3.6719999999999997</v>
      </c>
      <c r="AM124" s="135">
        <f>AVERAGE(AS216:AS235)</f>
        <v>180.244</v>
      </c>
      <c r="AN124" s="135">
        <f>AVERAGE(AT216:AT235)</f>
        <v>5119.3874999999998</v>
      </c>
      <c r="AO124" s="135">
        <f>AVERAGE(AU216:AU235)</f>
        <v>620.84550000000002</v>
      </c>
      <c r="AP124" s="135">
        <f>AVERAGE(AV216:AV235)</f>
        <v>286.35399999999998</v>
      </c>
      <c r="AQ124" s="107"/>
      <c r="AR124" s="115" t="s">
        <v>36</v>
      </c>
      <c r="AS124" s="136">
        <f>SUM(AL124:AP124)</f>
        <v>6210.5030000000006</v>
      </c>
      <c r="AU124">
        <v>3</v>
      </c>
      <c r="AV124">
        <v>126</v>
      </c>
    </row>
    <row r="125" spans="1:51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1.4750449485094883</v>
      </c>
      <c r="D125" s="18">
        <f>D120*D120*(SUM((H113*D113*(1-D102/H102))/(H102-1),(H115*D115*(1-D104/H104))/(H104-1), (H116*D116*(1-D105/H105))/(H105-1),(H117*D117*(1-D106/H106))/(H106-1)))</f>
        <v>63.288202545424774</v>
      </c>
      <c r="E125" s="18">
        <f>E120*E120*(SUM((H113*E113*(1-E102/H102))/(H102-1),(H114*E114*(1-E103/H103))/(H103-1), (H116*E116*(1-E105/H105))/(H105-1),(H117*E117*(1-E106/H106))/(H106-1)))</f>
        <v>101.69425240591488</v>
      </c>
      <c r="F125" s="18">
        <f>F120*F120*(SUM((H113*F113*(1-F102/H102))/(H102-1),(H114*F114*(1-F103/H103))/(H103-1), (H115*F115*(1-F104/H104))/(H104-1),(H117*F117*(1-F106/H106))/(H106-1)))</f>
        <v>104.68759753323012</v>
      </c>
      <c r="G125" s="18">
        <f>G120*G120*(SUM((H113*G113*(1-G102/H102))/(H102-1),(H114*G114*(1-G103/H103))/(H103-1), (H115*G115*(1-G104/H104))/(H104-1),(H116*G116*(1-G105/H105))/(H105-1)))</f>
        <v>115.10793365565725</v>
      </c>
      <c r="R125" s="66"/>
      <c r="S125" s="66" t="s">
        <v>62</v>
      </c>
      <c r="T125" s="67">
        <f>$AA123*T117/100</f>
        <v>72.925165636256423</v>
      </c>
      <c r="U125" s="67">
        <f>$AA123*U117/100</f>
        <v>90.684361840293263</v>
      </c>
      <c r="V125" s="67">
        <f>$AA123*V117/100</f>
        <v>123.625284665826</v>
      </c>
      <c r="W125" s="67">
        <f>$AA123*W117/100</f>
        <v>200.948324971071</v>
      </c>
      <c r="X125" s="67">
        <f>$AA123*X117/100</f>
        <v>112.22964543828878</v>
      </c>
      <c r="AA125" s="1"/>
      <c r="AD125" s="51"/>
      <c r="AE125" s="51"/>
      <c r="AJ125" s="107"/>
      <c r="AK125" s="128" t="s">
        <v>368</v>
      </c>
      <c r="AL125" s="125">
        <f>_xlfn.STDEV.S(AR216:AR235)/SQRT($AK$108)</f>
        <v>0.10459093248410577</v>
      </c>
      <c r="AM125" s="125">
        <f>_xlfn.STDEV.S(AS216:AS235)/SQRT($AK$108)</f>
        <v>3.4796403625420234</v>
      </c>
      <c r="AN125" s="125">
        <f>_xlfn.STDEV.S(AT216:AT235)/SQRT($AK$108)</f>
        <v>4.4723986190739433</v>
      </c>
      <c r="AO125" s="125">
        <f>_xlfn.STDEV.S(AU216:AU235)/SQRT($AK$108)</f>
        <v>1.8813237885511429</v>
      </c>
      <c r="AP125" s="125">
        <f>_xlfn.STDEV.S(AV216:AV235)/SQRT($AK$108)</f>
        <v>3.0593409507002622</v>
      </c>
      <c r="AQ125" s="107"/>
      <c r="AR125" s="107"/>
      <c r="AS125" s="141"/>
      <c r="AU125">
        <v>4</v>
      </c>
      <c r="AV125">
        <v>155</v>
      </c>
    </row>
    <row r="126" spans="1:51" x14ac:dyDescent="0.3">
      <c r="R126" t="s">
        <v>99</v>
      </c>
      <c r="S126" t="s">
        <v>28</v>
      </c>
      <c r="T126" s="57">
        <f>C350</f>
        <v>0.13201387619051</v>
      </c>
      <c r="U126" s="57">
        <f t="shared" ref="U126:X129" si="21">D350</f>
        <v>1.2425771751019017</v>
      </c>
      <c r="V126" s="57">
        <f t="shared" si="21"/>
        <v>59.735332801581741</v>
      </c>
      <c r="W126" s="57">
        <f t="shared" si="21"/>
        <v>32.726469242648996</v>
      </c>
      <c r="X126" s="57">
        <f t="shared" si="21"/>
        <v>6.1636069044768629</v>
      </c>
      <c r="Y126" s="13"/>
      <c r="Z126" s="74"/>
      <c r="AA126" s="12"/>
      <c r="AD126" s="51"/>
      <c r="AE126" s="51"/>
      <c r="AH126" s="78"/>
      <c r="AI126" s="78"/>
      <c r="AJ126" s="119" t="s">
        <v>671</v>
      </c>
      <c r="AK126" s="107"/>
      <c r="AL126" s="116"/>
      <c r="AM126" s="116"/>
      <c r="AN126" s="116"/>
      <c r="AO126" s="116"/>
      <c r="AP126" s="116"/>
      <c r="AQ126" s="107"/>
      <c r="AR126" s="107"/>
      <c r="AS126" s="141"/>
      <c r="AU126">
        <v>5</v>
      </c>
      <c r="AV126">
        <v>184</v>
      </c>
    </row>
    <row r="127" spans="1:51" x14ac:dyDescent="0.3">
      <c r="S127" s="66" t="s">
        <v>39</v>
      </c>
      <c r="T127" s="67">
        <f>C351</f>
        <v>7.9686318524116756E-2</v>
      </c>
      <c r="U127" s="67">
        <f t="shared" si="21"/>
        <v>0.16457097420576564</v>
      </c>
      <c r="V127" s="67">
        <f t="shared" si="21"/>
        <v>0.18745826562448628</v>
      </c>
      <c r="W127" s="67">
        <f t="shared" si="21"/>
        <v>0.21185340745613693</v>
      </c>
      <c r="X127" s="67">
        <f t="shared" si="21"/>
        <v>0.10929336346641377</v>
      </c>
      <c r="AD127" s="51"/>
      <c r="AE127" s="51"/>
      <c r="AJ127" s="115" t="s">
        <v>375</v>
      </c>
      <c r="AK127" s="122" t="s">
        <v>9</v>
      </c>
      <c r="AL127" s="135">
        <v>173.52</v>
      </c>
      <c r="AM127" s="135">
        <v>125.48</v>
      </c>
      <c r="AN127" s="135">
        <v>4670.72</v>
      </c>
      <c r="AO127" s="135">
        <v>15142.55</v>
      </c>
      <c r="AP127" s="135">
        <v>4237.1000000000004</v>
      </c>
      <c r="AQ127" s="107"/>
      <c r="AR127" s="115" t="s">
        <v>36</v>
      </c>
      <c r="AS127" s="136">
        <f>SUM(AL127:AP127)</f>
        <v>24349.370000000003</v>
      </c>
      <c r="AU127">
        <v>6</v>
      </c>
      <c r="AV127">
        <v>213</v>
      </c>
    </row>
    <row r="128" spans="1:51" x14ac:dyDescent="0.3">
      <c r="A128" s="348" t="s">
        <v>384</v>
      </c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 t="s">
        <v>59</v>
      </c>
      <c r="M128" s="348"/>
      <c r="N128" s="348"/>
      <c r="O128" s="348"/>
      <c r="P128" s="348"/>
      <c r="S128" t="s">
        <v>30</v>
      </c>
      <c r="T128" s="57">
        <f>C352</f>
        <v>14.557953592768449</v>
      </c>
      <c r="U128" s="57">
        <f t="shared" si="21"/>
        <v>71.353754929607959</v>
      </c>
      <c r="V128" s="57">
        <f t="shared" si="21"/>
        <v>99.211370248421275</v>
      </c>
      <c r="W128" s="57">
        <f t="shared" si="21"/>
        <v>98.400699101192529</v>
      </c>
      <c r="X128" s="57">
        <f t="shared" si="21"/>
        <v>97.254967121359897</v>
      </c>
      <c r="AD128" s="51"/>
      <c r="AE128" s="51"/>
      <c r="AH128" s="78"/>
      <c r="AI128" s="78"/>
      <c r="AJ128" s="107"/>
      <c r="AK128" s="107" t="s">
        <v>367</v>
      </c>
      <c r="AL128" s="108">
        <f>(AL127/$AS127)*100</f>
        <v>0.712626240432504</v>
      </c>
      <c r="AM128" s="108">
        <f>(AM127/$AS127)*100</f>
        <v>0.51533160816891765</v>
      </c>
      <c r="AN128" s="108">
        <f>(AN127/$AS127)*100</f>
        <v>19.182097935182714</v>
      </c>
      <c r="AO128" s="108">
        <f>(AO127/$AS127)*100</f>
        <v>62.188672643275765</v>
      </c>
      <c r="AP128" s="108">
        <f>(AP127/$AS127)*100</f>
        <v>17.401271572940079</v>
      </c>
      <c r="AQ128" s="107"/>
      <c r="AR128" s="107"/>
      <c r="AS128" s="141"/>
      <c r="AU128">
        <v>7</v>
      </c>
      <c r="AV128">
        <v>242</v>
      </c>
    </row>
    <row r="129" spans="1:48" x14ac:dyDescent="0.3">
      <c r="A129" t="s">
        <v>315</v>
      </c>
      <c r="B129" t="s">
        <v>21</v>
      </c>
      <c r="I129" s="1" t="s">
        <v>53</v>
      </c>
      <c r="O129" s="142"/>
      <c r="P129" s="142"/>
      <c r="S129" s="66" t="s">
        <v>39</v>
      </c>
      <c r="T129" s="67">
        <f>C353</f>
        <v>208.87266281369261</v>
      </c>
      <c r="U129" s="67">
        <f t="shared" si="21"/>
        <v>12.522330652096301</v>
      </c>
      <c r="V129" s="67">
        <f t="shared" si="21"/>
        <v>0.17446772622411943</v>
      </c>
      <c r="W129" s="67">
        <f t="shared" si="21"/>
        <v>0.32213834605190672</v>
      </c>
      <c r="X129" s="67">
        <f t="shared" si="21"/>
        <v>1.554425716340619</v>
      </c>
      <c r="AD129" s="51"/>
      <c r="AE129" s="51"/>
      <c r="AJ129" s="115" t="s">
        <v>376</v>
      </c>
      <c r="AK129" s="122" t="s">
        <v>9</v>
      </c>
      <c r="AL129" s="135">
        <f>AVERAGE(AL195:AL214)</f>
        <v>170.53200000000001</v>
      </c>
      <c r="AM129" s="135">
        <f>AVERAGE(AM195:AM214)</f>
        <v>173.97300000000001</v>
      </c>
      <c r="AN129" s="135">
        <f>AVERAGE(AN195:AN214)</f>
        <v>4656.7459999999992</v>
      </c>
      <c r="AO129" s="135">
        <f>AVERAGE(AO195:AO214)</f>
        <v>15058.437</v>
      </c>
      <c r="AP129" s="135">
        <f>AVERAGE(AP195:AP214)</f>
        <v>4289.6805000000004</v>
      </c>
      <c r="AQ129" s="107"/>
      <c r="AR129" s="115" t="s">
        <v>36</v>
      </c>
      <c r="AS129" s="136">
        <f>SUM(AL129:AP129)</f>
        <v>24349.368499999997</v>
      </c>
      <c r="AU129">
        <v>8</v>
      </c>
      <c r="AV129">
        <v>271</v>
      </c>
    </row>
    <row r="130" spans="1:48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51</v>
      </c>
      <c r="O130" s="13"/>
      <c r="P130" s="13"/>
      <c r="S130" s="15" t="s">
        <v>31</v>
      </c>
      <c r="T130" s="71">
        <f>I345</f>
        <v>7.3170731707317067</v>
      </c>
      <c r="U130" s="71">
        <f>I346</f>
        <v>91.228070175438589</v>
      </c>
      <c r="V130" s="71">
        <f>I347</f>
        <v>99.545454545454547</v>
      </c>
      <c r="W130" s="71">
        <f>I348</f>
        <v>98.109965635738817</v>
      </c>
      <c r="X130" s="71">
        <f>I349</f>
        <v>93.55797819623389</v>
      </c>
      <c r="AD130" s="51"/>
      <c r="AE130" s="51"/>
      <c r="AH130" s="78"/>
      <c r="AI130" s="78"/>
      <c r="AJ130" s="107"/>
      <c r="AK130" s="128" t="s">
        <v>368</v>
      </c>
      <c r="AL130" s="125">
        <f>_xlfn.STDEV.S(AL195:AL214)/SQRT($AK$108)</f>
        <v>3.6842475915428747</v>
      </c>
      <c r="AM130" s="125">
        <f>_xlfn.STDEV.S(AM195:AM214)/SQRT($AK$108)</f>
        <v>8.2396670889570327</v>
      </c>
      <c r="AN130" s="125">
        <f>_xlfn.STDEV.S(AN195:AN214)/SQRT($AK$108)</f>
        <v>16.471346226897026</v>
      </c>
      <c r="AO130" s="125">
        <f>_xlfn.STDEV.S(AO195:AO214)/SQRT($AK$108)</f>
        <v>18.92377713632408</v>
      </c>
      <c r="AP130" s="125">
        <f>_xlfn.STDEV.S(AP195:AP214)/SQRT($AK$108)</f>
        <v>10.251556351033793</v>
      </c>
      <c r="AQ130" s="107"/>
      <c r="AR130" s="107"/>
      <c r="AS130" s="141"/>
      <c r="AU130">
        <v>9</v>
      </c>
      <c r="AV130">
        <v>300</v>
      </c>
    </row>
    <row r="131" spans="1:48" x14ac:dyDescent="0.3">
      <c r="A131" t="s">
        <v>3</v>
      </c>
      <c r="B131" s="13">
        <v>0</v>
      </c>
      <c r="C131" s="26">
        <v>48</v>
      </c>
      <c r="D131" s="3">
        <v>0</v>
      </c>
      <c r="E131" s="3">
        <v>403</v>
      </c>
      <c r="F131" s="3">
        <v>0</v>
      </c>
      <c r="G131" s="4">
        <v>0</v>
      </c>
      <c r="H131" s="1">
        <f>SUM(C131:G131)</f>
        <v>451</v>
      </c>
      <c r="I131" s="10">
        <f>C131/H131</f>
        <v>0.10643015521064302</v>
      </c>
      <c r="J131" s="11">
        <f>1-I131</f>
        <v>0.89356984478935697</v>
      </c>
      <c r="K131">
        <f>H131-C136</f>
        <v>401</v>
      </c>
      <c r="N131" s="10">
        <f>2*(C137*I131)/(C137+I131)</f>
        <v>0.19161676646706588</v>
      </c>
      <c r="O131" s="1"/>
      <c r="P131" s="1"/>
      <c r="S131" s="75" t="s">
        <v>39</v>
      </c>
      <c r="T131" s="76">
        <f>J345</f>
        <v>1.2276153553285771</v>
      </c>
      <c r="U131" s="76">
        <f>J346</f>
        <v>3.7802263481198901</v>
      </c>
      <c r="V131" s="76">
        <f>J347</f>
        <v>0.26203341040868389</v>
      </c>
      <c r="W131" s="76">
        <f>J348</f>
        <v>0.5649413271715491</v>
      </c>
      <c r="X131" s="76">
        <f>J349</f>
        <v>0.77325234044289171</v>
      </c>
      <c r="AD131" s="51"/>
      <c r="AE131" s="51"/>
      <c r="AJ131" s="119" t="s">
        <v>708</v>
      </c>
      <c r="AK131" s="107"/>
      <c r="AL131" s="116"/>
      <c r="AM131" s="116"/>
      <c r="AN131" s="116"/>
      <c r="AO131" s="116"/>
      <c r="AP131" s="116"/>
      <c r="AQ131" s="107"/>
      <c r="AR131" s="107"/>
      <c r="AS131" s="141"/>
      <c r="AU131">
        <v>10</v>
      </c>
      <c r="AV131">
        <v>329</v>
      </c>
    </row>
    <row r="132" spans="1:48" x14ac:dyDescent="0.3">
      <c r="A132" t="s">
        <v>4</v>
      </c>
      <c r="B132" s="13">
        <v>1</v>
      </c>
      <c r="C132" s="5">
        <v>0</v>
      </c>
      <c r="D132" s="27">
        <v>54</v>
      </c>
      <c r="E132" s="1">
        <v>3</v>
      </c>
      <c r="F132" s="1">
        <v>0</v>
      </c>
      <c r="G132" s="6">
        <v>0</v>
      </c>
      <c r="H132" s="1">
        <f>SUM(C132:G132)</f>
        <v>57</v>
      </c>
      <c r="I132" s="10">
        <f>D132/H132</f>
        <v>0.94736842105263153</v>
      </c>
      <c r="J132" s="11">
        <f>1-I132</f>
        <v>5.2631578947368474E-2</v>
      </c>
      <c r="K132">
        <f>H132-D136</f>
        <v>-2</v>
      </c>
      <c r="N132" s="10">
        <f>2*(D137*I132)/(D137+I132)</f>
        <v>0.93103448275862055</v>
      </c>
      <c r="O132" s="1"/>
      <c r="P132" s="1"/>
      <c r="S132" s="66" t="s">
        <v>51</v>
      </c>
      <c r="T132" s="67">
        <f>N334*100</f>
        <v>13.580246913580247</v>
      </c>
      <c r="U132" s="67">
        <f>N335*100</f>
        <v>90.434782608695656</v>
      </c>
      <c r="V132" s="67">
        <f>N336*100</f>
        <v>77.430760164997054</v>
      </c>
      <c r="W132" s="67">
        <f>N337*100</f>
        <v>90.348101265822791</v>
      </c>
      <c r="X132" s="67">
        <f>N338*100</f>
        <v>96.523517382413075</v>
      </c>
      <c r="AD132" s="51"/>
      <c r="AE132" s="51"/>
      <c r="AH132" s="78"/>
      <c r="AI132" s="78"/>
      <c r="AJ132" s="115" t="s">
        <v>375</v>
      </c>
      <c r="AK132" s="122" t="s">
        <v>9</v>
      </c>
      <c r="AL132" s="135">
        <v>2.06</v>
      </c>
      <c r="AM132" s="135">
        <v>14.72</v>
      </c>
      <c r="AN132" s="135">
        <v>1226.03</v>
      </c>
      <c r="AO132" s="135">
        <v>170.21</v>
      </c>
      <c r="AP132" s="135">
        <v>48.83</v>
      </c>
      <c r="AQ132" s="107"/>
      <c r="AR132" s="115" t="s">
        <v>36</v>
      </c>
      <c r="AS132" s="136">
        <f>SUM(AL132:AP132)</f>
        <v>1461.85</v>
      </c>
      <c r="AU132">
        <v>11</v>
      </c>
      <c r="AV132">
        <v>358</v>
      </c>
    </row>
    <row r="133" spans="1:48" x14ac:dyDescent="0.3">
      <c r="A133" t="s">
        <v>5</v>
      </c>
      <c r="B133" s="13">
        <v>2</v>
      </c>
      <c r="C133" s="5">
        <v>0</v>
      </c>
      <c r="D133" s="1">
        <v>1</v>
      </c>
      <c r="E133" s="27">
        <v>657</v>
      </c>
      <c r="F133" s="1">
        <v>1</v>
      </c>
      <c r="G133" s="6">
        <v>1</v>
      </c>
      <c r="H133" s="1">
        <f>SUM(C133:G133)</f>
        <v>660</v>
      </c>
      <c r="I133" s="10">
        <f>E133/H133</f>
        <v>0.99545454545454548</v>
      </c>
      <c r="J133" s="11">
        <f>1-I133</f>
        <v>4.5454545454545192E-3</v>
      </c>
      <c r="K133">
        <f>H133-E136</f>
        <v>-406</v>
      </c>
      <c r="N133" s="10">
        <f>2*(E137*I133)/(E137+I133)</f>
        <v>0.76129779837775213</v>
      </c>
      <c r="O133" s="1"/>
      <c r="P133" s="1"/>
      <c r="R133" s="16" t="s">
        <v>61</v>
      </c>
      <c r="S133" t="s">
        <v>9</v>
      </c>
      <c r="T133" s="30">
        <f>N345</f>
        <v>243.49</v>
      </c>
      <c r="U133" s="30">
        <f>N346</f>
        <v>900.97</v>
      </c>
      <c r="V133" s="30">
        <f>N347</f>
        <v>55191.21</v>
      </c>
      <c r="W133" s="30">
        <f>N348</f>
        <v>30428.66</v>
      </c>
      <c r="X133" s="30">
        <f>N349</f>
        <v>5939.7</v>
      </c>
      <c r="Z133" t="s">
        <v>36</v>
      </c>
      <c r="AA133" s="1">
        <f>N350</f>
        <v>92704.03</v>
      </c>
      <c r="AD133" s="51"/>
      <c r="AE133" s="51"/>
      <c r="AJ133" s="107"/>
      <c r="AK133" s="107" t="s">
        <v>367</v>
      </c>
      <c r="AL133" s="108">
        <f>(AL132/$AS132)*100</f>
        <v>0.14091733077949176</v>
      </c>
      <c r="AM133" s="108">
        <f>(AM132/$AS132)*100</f>
        <v>1.0069432568320964</v>
      </c>
      <c r="AN133" s="108">
        <f>(AN132/$AS132)*100</f>
        <v>83.868385949310806</v>
      </c>
      <c r="AO133" s="108">
        <f>(AO132/$AS132)*100</f>
        <v>11.643465471833636</v>
      </c>
      <c r="AP133" s="108">
        <f>(AP132/$AS132)*100</f>
        <v>3.3402879912439718</v>
      </c>
      <c r="AQ133" s="107"/>
      <c r="AR133" s="107"/>
      <c r="AS133" s="141"/>
      <c r="AU133">
        <v>12</v>
      </c>
      <c r="AV133">
        <v>387</v>
      </c>
    </row>
    <row r="134" spans="1:48" ht="15.6" x14ac:dyDescent="0.35">
      <c r="A134" t="s">
        <v>6</v>
      </c>
      <c r="B134" s="13">
        <v>3</v>
      </c>
      <c r="C134" s="5">
        <v>2</v>
      </c>
      <c r="D134" s="1">
        <v>4</v>
      </c>
      <c r="E134" s="1">
        <v>3</v>
      </c>
      <c r="F134" s="27">
        <v>568</v>
      </c>
      <c r="G134" s="6">
        <v>5</v>
      </c>
      <c r="H134" s="1">
        <f>SUM(C134:G134)</f>
        <v>582</v>
      </c>
      <c r="I134" s="10">
        <f>F134/H134</f>
        <v>0.97594501718213056</v>
      </c>
      <c r="J134" s="11">
        <f>1-I134</f>
        <v>2.4054982817869441E-2</v>
      </c>
      <c r="K134">
        <f>H134-F136</f>
        <v>-60</v>
      </c>
      <c r="N134" s="10">
        <f>2*(F137*I134)/(F137+I134)</f>
        <v>0.92810457516339873</v>
      </c>
      <c r="O134" s="1"/>
      <c r="P134" s="1"/>
      <c r="R134" s="16" t="s">
        <v>318</v>
      </c>
      <c r="S134" t="s">
        <v>63</v>
      </c>
      <c r="T134" s="57">
        <f>$AA133*T126/100</f>
        <v>122.38218338781324</v>
      </c>
      <c r="U134" s="57">
        <f>$AA133*U126/100</f>
        <v>1151.9191171796194</v>
      </c>
      <c r="V134" s="57">
        <f>$AA133*V126/100</f>
        <v>55377.060840978178</v>
      </c>
      <c r="W134" s="57">
        <f>$AA133*W126/100</f>
        <v>30338.7558646461</v>
      </c>
      <c r="X134" s="57">
        <f>$AA133*X126/100</f>
        <v>5713.9119938083031</v>
      </c>
      <c r="Z134" t="s">
        <v>36</v>
      </c>
      <c r="AA134" s="25">
        <f>SUM(T134:X134)</f>
        <v>92704.030000000013</v>
      </c>
      <c r="AD134" s="51"/>
      <c r="AE134" s="51"/>
      <c r="AH134" s="78"/>
      <c r="AI134" s="78"/>
      <c r="AJ134" s="115" t="s">
        <v>376</v>
      </c>
      <c r="AK134" s="122" t="s">
        <v>9</v>
      </c>
      <c r="AL134" s="139">
        <f>AVERAGE(AL216:AL235)</f>
        <v>2.0759999999999996</v>
      </c>
      <c r="AM134" s="135">
        <f>AVERAGE(AM216:AM235)</f>
        <v>16.794500000000003</v>
      </c>
      <c r="AN134" s="135">
        <f>AVERAGE(AN216:AN235)</f>
        <v>1221.3709999999999</v>
      </c>
      <c r="AO134" s="135">
        <f>AVERAGE(AO216:AO235)</f>
        <v>171.69200000000001</v>
      </c>
      <c r="AP134" s="135">
        <f>AVERAGE(AP216:AP235)</f>
        <v>49.922000000000011</v>
      </c>
      <c r="AQ134" s="107"/>
      <c r="AR134" s="115" t="s">
        <v>36</v>
      </c>
      <c r="AS134" s="136">
        <f>SUM(AL134:AP134)</f>
        <v>1461.8554999999999</v>
      </c>
      <c r="AU134">
        <v>13</v>
      </c>
      <c r="AV134">
        <v>416</v>
      </c>
    </row>
    <row r="135" spans="1:48" x14ac:dyDescent="0.3">
      <c r="A135" t="s">
        <v>7</v>
      </c>
      <c r="B135" s="13">
        <v>4</v>
      </c>
      <c r="C135" s="7">
        <v>0</v>
      </c>
      <c r="D135" s="8">
        <v>0</v>
      </c>
      <c r="E135" s="8">
        <v>0</v>
      </c>
      <c r="F135" s="8">
        <v>73</v>
      </c>
      <c r="G135" s="28">
        <v>936</v>
      </c>
      <c r="H135" s="1">
        <f>SUM(C135:G135)</f>
        <v>1009</v>
      </c>
      <c r="I135" s="10">
        <f>G135/H135</f>
        <v>0.92765113974231916</v>
      </c>
      <c r="J135" s="11">
        <f>1-I135</f>
        <v>7.2348860257680836E-2</v>
      </c>
      <c r="K135">
        <f>H135-G136</f>
        <v>67</v>
      </c>
      <c r="N135" s="10">
        <f>2*(G137*I135)/(G137+I135)</f>
        <v>0.95950794464377243</v>
      </c>
      <c r="O135" s="1"/>
      <c r="P135" s="1"/>
      <c r="R135" s="66"/>
      <c r="S135" s="66" t="s">
        <v>62</v>
      </c>
      <c r="T135" s="67">
        <f>$AA133*T127/100</f>
        <v>73.872428630492749</v>
      </c>
      <c r="U135" s="67">
        <f>$AA133*U127/100</f>
        <v>152.56392529900523</v>
      </c>
      <c r="V135" s="67">
        <f>$AA133*V127/100</f>
        <v>173.78136680200342</v>
      </c>
      <c r="W135" s="67">
        <f>$AA133*W127/100</f>
        <v>196.39664640415941</v>
      </c>
      <c r="X135" s="67">
        <f>$AA133*X127/100</f>
        <v>101.31935245591326</v>
      </c>
      <c r="AA135" s="1"/>
      <c r="AD135" s="51"/>
      <c r="AE135" s="51"/>
      <c r="AJ135" s="107"/>
      <c r="AK135" s="128" t="s">
        <v>368</v>
      </c>
      <c r="AL135" s="125">
        <f>_xlfn.STDEV.S(AL216:AL235)/SQRT($AK$108)</f>
        <v>6.435673603970464E-2</v>
      </c>
      <c r="AM135" s="125">
        <f>_xlfn.STDEV.S(AM216:AM235)/SQRT($AK$108)</f>
        <v>0.5388674649084304</v>
      </c>
      <c r="AN135" s="125">
        <f>_xlfn.STDEV.S(AN216:AN235)/SQRT($AK$108)</f>
        <v>1.1363012248889859</v>
      </c>
      <c r="AO135" s="125">
        <f>_xlfn.STDEV.S(AO216:AO235)/SQRT($AK$108)</f>
        <v>0.65325122111997402</v>
      </c>
      <c r="AP135" s="125">
        <f>_xlfn.STDEV.S(AP216:AP235)/SQRT($AK$108)</f>
        <v>0.69754215115043694</v>
      </c>
      <c r="AQ135" s="107"/>
      <c r="AR135" s="107"/>
      <c r="AS135" s="107"/>
      <c r="AU135">
        <v>14</v>
      </c>
      <c r="AV135">
        <v>445</v>
      </c>
    </row>
    <row r="136" spans="1:48" ht="15.6" x14ac:dyDescent="0.35">
      <c r="B136" s="1" t="s">
        <v>19</v>
      </c>
      <c r="C136" s="1">
        <f>SUM(C131:C135)</f>
        <v>50</v>
      </c>
      <c r="D136" s="1">
        <f>SUM(D131:D135)</f>
        <v>59</v>
      </c>
      <c r="E136" s="1">
        <f>SUM(E131:E135)</f>
        <v>1066</v>
      </c>
      <c r="F136" s="1">
        <f>SUM(F131:F135)</f>
        <v>642</v>
      </c>
      <c r="G136" s="1">
        <f>SUM(G131:G135)</f>
        <v>942</v>
      </c>
      <c r="H136" s="1">
        <f>SUM(H130:H135)</f>
        <v>2759</v>
      </c>
      <c r="I136" s="13" t="s">
        <v>12</v>
      </c>
      <c r="N136" s="16"/>
      <c r="O136" s="1"/>
      <c r="P136" s="1"/>
      <c r="R136" t="s">
        <v>100</v>
      </c>
      <c r="S136" t="s">
        <v>28</v>
      </c>
      <c r="T136" s="57">
        <f>C379</f>
        <v>0.1315279438714434</v>
      </c>
      <c r="U136" s="57">
        <f t="shared" ref="U136:X139" si="22">D379</f>
        <v>1.1278909200502423</v>
      </c>
      <c r="V136" s="57">
        <f t="shared" si="22"/>
        <v>60.07148959423413</v>
      </c>
      <c r="W136" s="57">
        <f t="shared" si="22"/>
        <v>32.406665260246932</v>
      </c>
      <c r="X136" s="57">
        <f t="shared" si="22"/>
        <v>6.2624262815972633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</row>
    <row r="137" spans="1:48" x14ac:dyDescent="0.3">
      <c r="A137" s="1" t="s">
        <v>316</v>
      </c>
      <c r="B137" s="1" t="s">
        <v>2</v>
      </c>
      <c r="C137" s="10">
        <f>C131/C136</f>
        <v>0.96</v>
      </c>
      <c r="D137" s="10">
        <f>D132/D136</f>
        <v>0.9152542372881356</v>
      </c>
      <c r="E137" s="10">
        <f>E133/E136</f>
        <v>0.6163227016885553</v>
      </c>
      <c r="F137" s="10">
        <f>F134/F136</f>
        <v>0.88473520249221183</v>
      </c>
      <c r="G137" s="10">
        <f>G135/G136</f>
        <v>0.99363057324840764</v>
      </c>
      <c r="H137" s="10"/>
      <c r="I137" s="14">
        <f>(C131+D132+E133+F134+G135)/H136</f>
        <v>0.8202247191011236</v>
      </c>
      <c r="S137" s="66" t="s">
        <v>39</v>
      </c>
      <c r="T137" s="67">
        <f>C380</f>
        <v>7.9040950775748478E-2</v>
      </c>
      <c r="U137" s="67">
        <f t="shared" si="22"/>
        <v>0.12253015392592487</v>
      </c>
      <c r="V137" s="67">
        <f t="shared" si="22"/>
        <v>0.16204647045933457</v>
      </c>
      <c r="W137" s="67">
        <f t="shared" si="22"/>
        <v>0.21027632271662769</v>
      </c>
      <c r="X137" s="67">
        <f t="shared" si="22"/>
        <v>0.12130618822368557</v>
      </c>
      <c r="AD137" s="51"/>
      <c r="AE137" s="51"/>
      <c r="AU137">
        <v>16</v>
      </c>
      <c r="AV137">
        <v>503</v>
      </c>
    </row>
    <row r="138" spans="1:48" x14ac:dyDescent="0.3">
      <c r="B138" s="1" t="s">
        <v>14</v>
      </c>
      <c r="C138" s="11">
        <f>1-C137</f>
        <v>4.0000000000000036E-2</v>
      </c>
      <c r="D138" s="11">
        <f>1-D137</f>
        <v>8.4745762711864403E-2</v>
      </c>
      <c r="E138" s="11">
        <f>1-E137</f>
        <v>0.3836772983114447</v>
      </c>
      <c r="F138" s="11">
        <f>1-F137</f>
        <v>0.11526479750778817</v>
      </c>
      <c r="G138" s="11">
        <f>1-G137</f>
        <v>6.3694267515923553E-3</v>
      </c>
      <c r="S138" t="s">
        <v>30</v>
      </c>
      <c r="T138" s="57">
        <f>C381</f>
        <v>14.941192541890262</v>
      </c>
      <c r="U138" s="57">
        <f t="shared" si="22"/>
        <v>81.483207142893008</v>
      </c>
      <c r="V138" s="57">
        <f t="shared" si="22"/>
        <v>99.250630871976284</v>
      </c>
      <c r="W138" s="57">
        <f t="shared" si="22"/>
        <v>98.561905228938102</v>
      </c>
      <c r="X138" s="57">
        <f t="shared" si="22"/>
        <v>96.427068503465492</v>
      </c>
      <c r="AA138" s="54"/>
      <c r="AD138" s="51"/>
      <c r="AE138" s="51"/>
      <c r="AH138" s="78"/>
      <c r="AI138" s="78"/>
      <c r="AU138">
        <v>17</v>
      </c>
      <c r="AV138">
        <v>532</v>
      </c>
    </row>
    <row r="139" spans="1:48" x14ac:dyDescent="0.3">
      <c r="C139" s="2"/>
      <c r="S139" s="66" t="s">
        <v>39</v>
      </c>
      <c r="T139" s="67">
        <f>C382</f>
        <v>213.4097136851959</v>
      </c>
      <c r="U139" s="67">
        <f t="shared" si="22"/>
        <v>9.510528178754182</v>
      </c>
      <c r="V139" s="67">
        <f t="shared" si="22"/>
        <v>0.16528432201470108</v>
      </c>
      <c r="W139" s="67">
        <f t="shared" si="22"/>
        <v>0.32161048888679861</v>
      </c>
      <c r="X139" s="67">
        <f t="shared" si="22"/>
        <v>1.7397141450021461</v>
      </c>
      <c r="AD139" s="51"/>
      <c r="AE139" s="51"/>
      <c r="AU139">
        <v>18</v>
      </c>
      <c r="AV139">
        <v>561</v>
      </c>
    </row>
    <row r="140" spans="1:48" ht="15.6" x14ac:dyDescent="0.35">
      <c r="A140" t="s">
        <v>317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7.3170731707317067</v>
      </c>
      <c r="U140" s="57">
        <f>I375</f>
        <v>96.491228070175438</v>
      </c>
      <c r="V140" s="57">
        <f>I376</f>
        <v>99.696969696969688</v>
      </c>
      <c r="W140" s="57">
        <f>I377</f>
        <v>98.109965635738831</v>
      </c>
      <c r="X140" s="57">
        <f>I378</f>
        <v>94.053518334985142</v>
      </c>
      <c r="AD140" s="51"/>
      <c r="AE140" s="51"/>
      <c r="AH140" s="78"/>
      <c r="AI140" s="78"/>
      <c r="AU140">
        <v>19</v>
      </c>
      <c r="AV140">
        <v>590</v>
      </c>
    </row>
    <row r="141" spans="1:48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1.2276153553285771</v>
      </c>
      <c r="U141" s="67">
        <f>J375</f>
        <v>2.4588241692166148</v>
      </c>
      <c r="V141" s="67">
        <f>J376</f>
        <v>0.21411214474848439</v>
      </c>
      <c r="W141" s="67">
        <f>J377</f>
        <v>0.5649413271715471</v>
      </c>
      <c r="X141" s="67">
        <f>J378</f>
        <v>0.744881690236464</v>
      </c>
      <c r="AD141" s="51"/>
      <c r="AE141" s="51"/>
    </row>
    <row r="142" spans="1:48" x14ac:dyDescent="0.3">
      <c r="A142" t="s">
        <v>3</v>
      </c>
      <c r="B142" s="13">
        <v>0</v>
      </c>
      <c r="C142" s="29">
        <f>(C131/$L142)*$O142</f>
        <v>3.0662492076836939E-2</v>
      </c>
      <c r="D142" s="31">
        <f>(D131/$L142)*$O142</f>
        <v>0</v>
      </c>
      <c r="E142" s="31">
        <f>(E131/$L142)*$O142</f>
        <v>0.25743717306177677</v>
      </c>
      <c r="F142" s="31">
        <f>(F131/$L142)*$O142</f>
        <v>0</v>
      </c>
      <c r="G142" s="32">
        <f>(G131/$L142)*$O142</f>
        <v>0</v>
      </c>
      <c r="H142" s="17">
        <f>SUM(C142:G142)</f>
        <v>0.28809966513861374</v>
      </c>
      <c r="I142" s="17">
        <f>C142/H142*100</f>
        <v>10.643015521064301</v>
      </c>
      <c r="J142" s="17">
        <f>SQRT(I142*(100-I142)/(L142-1))</f>
        <v>1.4537520594996891</v>
      </c>
      <c r="K142" s="18">
        <f>100-I142</f>
        <v>89.356984478935701</v>
      </c>
      <c r="L142" s="1">
        <f>H131</f>
        <v>451</v>
      </c>
      <c r="M142">
        <v>0</v>
      </c>
      <c r="N142" s="1">
        <v>267.08</v>
      </c>
      <c r="O142" s="17">
        <f>N142/N147*100</f>
        <v>0.28809966513861374</v>
      </c>
      <c r="P142" s="52">
        <f>((O142*O142*(I142/100)*(K142/100))/(L142-1))</f>
        <v>1.7541478398422287E-5</v>
      </c>
      <c r="S142" s="66" t="s">
        <v>51</v>
      </c>
      <c r="T142" s="67">
        <f>N363*100</f>
        <v>13.580246913580247</v>
      </c>
      <c r="U142" s="67">
        <f>N364*100</f>
        <v>94.827586206896541</v>
      </c>
      <c r="V142" s="67">
        <f>N365*100</f>
        <v>75.58874210224009</v>
      </c>
      <c r="W142" s="67">
        <f>N366*100</f>
        <v>94.146743610882098</v>
      </c>
      <c r="X142" s="67">
        <f>N367*100</f>
        <v>96.738022426095824</v>
      </c>
      <c r="AD142" s="51"/>
      <c r="AE142" s="51"/>
      <c r="AH142" s="78"/>
      <c r="AI142" s="78"/>
    </row>
    <row r="143" spans="1:48" x14ac:dyDescent="0.3">
      <c r="A143" t="s">
        <v>4</v>
      </c>
      <c r="B143" s="13">
        <v>1</v>
      </c>
      <c r="C143" s="33">
        <f t="shared" ref="C143:G146" si="23">(C132/$L143)*$O143</f>
        <v>0</v>
      </c>
      <c r="D143" s="34">
        <f t="shared" si="23"/>
        <v>0.9216461872204873</v>
      </c>
      <c r="E143" s="19">
        <f t="shared" si="23"/>
        <v>5.1202565956693737E-2</v>
      </c>
      <c r="F143" s="18">
        <f t="shared" si="23"/>
        <v>0</v>
      </c>
      <c r="G143" s="20">
        <f t="shared" si="23"/>
        <v>0</v>
      </c>
      <c r="H143" s="17">
        <f>SUM(C143:G143)</f>
        <v>0.972848753177181</v>
      </c>
      <c r="I143" s="17">
        <f>D143/H143*100</f>
        <v>94.736842105263165</v>
      </c>
      <c r="J143" s="17">
        <f>SQRT(I143*(100-I143)/(L143-1))</f>
        <v>2.983930050072845</v>
      </c>
      <c r="K143" s="18">
        <f>100-I143</f>
        <v>5.2631578947368354</v>
      </c>
      <c r="L143" s="1">
        <f>H132</f>
        <v>57</v>
      </c>
      <c r="M143">
        <v>1</v>
      </c>
      <c r="N143" s="1">
        <v>901.87</v>
      </c>
      <c r="O143" s="17">
        <f>N143/N147*100</f>
        <v>0.97284875317718111</v>
      </c>
      <c r="P143" s="52">
        <f>((O143*O143*(I143/100)*(K143/100))/(L143-1))</f>
        <v>8.4269017303379042E-4</v>
      </c>
      <c r="R143" s="16" t="s">
        <v>61</v>
      </c>
      <c r="S143" t="s">
        <v>9</v>
      </c>
      <c r="T143" s="30">
        <f>N374</f>
        <v>248.98</v>
      </c>
      <c r="U143" s="30">
        <f>N375</f>
        <v>882.97</v>
      </c>
      <c r="V143" s="30">
        <f>N376</f>
        <v>55439.37</v>
      </c>
      <c r="W143" s="30">
        <f>N377</f>
        <v>30180.67</v>
      </c>
      <c r="X143" s="30">
        <f>N378</f>
        <v>5952.03</v>
      </c>
      <c r="Z143" t="s">
        <v>36</v>
      </c>
      <c r="AA143" s="1">
        <f>N379</f>
        <v>92704.01999999999</v>
      </c>
      <c r="AD143" s="51"/>
      <c r="AE143" s="51"/>
    </row>
    <row r="144" spans="1:48" ht="15.6" x14ac:dyDescent="0.35">
      <c r="A144" t="s">
        <v>5</v>
      </c>
      <c r="B144" s="13">
        <v>2</v>
      </c>
      <c r="C144" s="33">
        <f t="shared" si="23"/>
        <v>0</v>
      </c>
      <c r="D144" s="19">
        <f t="shared" si="23"/>
        <v>9.0379549679215507E-2</v>
      </c>
      <c r="E144" s="34">
        <f t="shared" si="23"/>
        <v>59.379364139244586</v>
      </c>
      <c r="F144" s="19">
        <f t="shared" si="23"/>
        <v>9.0379549679215507E-2</v>
      </c>
      <c r="G144" s="20">
        <f t="shared" si="23"/>
        <v>9.0379549679215507E-2</v>
      </c>
      <c r="H144" s="17">
        <f>SUM(C144:G144)</f>
        <v>59.650502788282225</v>
      </c>
      <c r="I144" s="17">
        <f>E144/H144*100</f>
        <v>99.545454545454561</v>
      </c>
      <c r="J144" s="17">
        <f>SQRT(I144*(100-I144)/(L144-1))</f>
        <v>0.26203341040867978</v>
      </c>
      <c r="K144" s="18">
        <f>100-I144</f>
        <v>0.45454545454543904</v>
      </c>
      <c r="L144" s="1">
        <f>H133</f>
        <v>660</v>
      </c>
      <c r="M144">
        <v>2</v>
      </c>
      <c r="N144" s="1">
        <v>55298.42</v>
      </c>
      <c r="O144" s="17">
        <f>N144/N147*100</f>
        <v>59.650502788282232</v>
      </c>
      <c r="P144" s="52">
        <f>((O144*O144*(I144/100)*(K144/100))/(L144-1))</f>
        <v>2.4431017562107291E-2</v>
      </c>
      <c r="R144" s="16" t="s">
        <v>318</v>
      </c>
      <c r="S144" t="s">
        <v>63</v>
      </c>
      <c r="T144" s="57">
        <f>$AA143*T136/100</f>
        <v>121.93169139217166</v>
      </c>
      <c r="U144" s="57">
        <f>$AA143*U136/100</f>
        <v>1045.6002241015603</v>
      </c>
      <c r="V144" s="57">
        <f>$AA143*V136/100</f>
        <v>55688.685727736716</v>
      </c>
      <c r="W144" s="57">
        <f>$AA143*W136/100</f>
        <v>30042.281444192366</v>
      </c>
      <c r="X144" s="57">
        <f>$AA143*X136/100</f>
        <v>5805.5209125771826</v>
      </c>
      <c r="Z144" t="s">
        <v>36</v>
      </c>
      <c r="AA144" s="25">
        <f>SUM(T144:X144)</f>
        <v>92704.01999999999</v>
      </c>
      <c r="AD144" s="51"/>
      <c r="AE144" s="51"/>
      <c r="AH144" s="78"/>
      <c r="AI144" s="78"/>
    </row>
    <row r="145" spans="1:35" x14ac:dyDescent="0.3">
      <c r="A145" t="s">
        <v>6</v>
      </c>
      <c r="B145" s="13">
        <v>3</v>
      </c>
      <c r="C145" s="33">
        <f t="shared" si="23"/>
        <v>0.11228547616757058</v>
      </c>
      <c r="D145" s="19">
        <f t="shared" si="23"/>
        <v>0.22457095233514116</v>
      </c>
      <c r="E145" s="19">
        <f t="shared" si="23"/>
        <v>0.16842821425135587</v>
      </c>
      <c r="F145" s="34">
        <f t="shared" si="23"/>
        <v>31.889075231590045</v>
      </c>
      <c r="G145" s="20">
        <f t="shared" si="23"/>
        <v>0.28071369041892646</v>
      </c>
      <c r="H145" s="17">
        <f>SUM(C145:G145)</f>
        <v>32.675073564763039</v>
      </c>
      <c r="I145" s="17">
        <f>F145/H145*100</f>
        <v>97.594501718213053</v>
      </c>
      <c r="J145" s="17">
        <f>SQRT(I145*(100-I145)/(L145-1))</f>
        <v>0.63566329513058506</v>
      </c>
      <c r="K145" s="18">
        <f>100-I145</f>
        <v>2.4054982817869472</v>
      </c>
      <c r="L145" s="1">
        <f>H134</f>
        <v>582</v>
      </c>
      <c r="M145">
        <v>3</v>
      </c>
      <c r="N145" s="1">
        <v>30291.11</v>
      </c>
      <c r="O145" s="17">
        <f>N145/N147*100</f>
        <v>32.675073564763039</v>
      </c>
      <c r="P145" s="52">
        <f>((O145*O145*(I145/100)*(K145/100))/(L145-1))</f>
        <v>4.3140722854488889E-2</v>
      </c>
      <c r="R145" s="66"/>
      <c r="S145" s="66" t="s">
        <v>62</v>
      </c>
      <c r="T145" s="67">
        <f>$AA143*T137/100</f>
        <v>73.274138815340024</v>
      </c>
      <c r="U145" s="67">
        <f>$AA143*U137/100</f>
        <v>113.59037840152016</v>
      </c>
      <c r="V145" s="67">
        <f>$AA143*V137/100</f>
        <v>150.22359238391562</v>
      </c>
      <c r="W145" s="67">
        <f>$AA143*W137/100</f>
        <v>194.93460426648704</v>
      </c>
      <c r="X145" s="67">
        <f>$AA143*X137/100</f>
        <v>112.4557129921231</v>
      </c>
      <c r="AA145" s="1"/>
      <c r="AD145" s="51"/>
      <c r="AE145" s="51"/>
    </row>
    <row r="146" spans="1:35" x14ac:dyDescent="0.3">
      <c r="A146" t="s">
        <v>7</v>
      </c>
      <c r="B146" s="13">
        <v>4</v>
      </c>
      <c r="C146" s="35">
        <f t="shared" si="23"/>
        <v>0</v>
      </c>
      <c r="D146" s="36">
        <f t="shared" si="23"/>
        <v>0</v>
      </c>
      <c r="E146" s="21">
        <f t="shared" si="23"/>
        <v>0</v>
      </c>
      <c r="F146" s="21">
        <f t="shared" si="23"/>
        <v>0.46400762308289567</v>
      </c>
      <c r="G146" s="37">
        <f t="shared" si="23"/>
        <v>5.9494676055560323</v>
      </c>
      <c r="H146" s="17">
        <f>SUM(C146:G146)</f>
        <v>6.4134752286389283</v>
      </c>
      <c r="I146" s="17">
        <f>G146/H146*100</f>
        <v>92.765113974231909</v>
      </c>
      <c r="J146" s="17">
        <f>SQRT(I146*(100-I146)/(L146-1))</f>
        <v>0.81597700883017488</v>
      </c>
      <c r="K146" s="18">
        <f>100-I146</f>
        <v>7.2348860257680911</v>
      </c>
      <c r="L146" s="1">
        <f>H135</f>
        <v>1009</v>
      </c>
      <c r="M146">
        <v>4</v>
      </c>
      <c r="N146" s="1">
        <v>5945.55</v>
      </c>
      <c r="O146" s="17">
        <f>N146/N147*100</f>
        <v>6.4134752286389274</v>
      </c>
      <c r="P146" s="52">
        <f>((O146*O146*(I146/100)*(K146/100))/(L146-1))</f>
        <v>2.7386888117685929E-3</v>
      </c>
      <c r="R146" t="s">
        <v>101</v>
      </c>
      <c r="S146" t="s">
        <v>28</v>
      </c>
      <c r="T146" s="57">
        <f>C408</f>
        <v>0.14634427183843854</v>
      </c>
      <c r="U146" s="57">
        <f t="shared" ref="U146:X149" si="24">D408</f>
        <v>1.1596776464884508</v>
      </c>
      <c r="V146" s="57">
        <f t="shared" si="24"/>
        <v>59.857189915561101</v>
      </c>
      <c r="W146" s="57">
        <f t="shared" si="24"/>
        <v>32.48565872823302</v>
      </c>
      <c r="X146" s="57">
        <f t="shared" si="24"/>
        <v>6.3511294378789769</v>
      </c>
      <c r="Y146" s="60"/>
      <c r="Z146" s="74"/>
      <c r="AA146" s="12"/>
      <c r="AD146" s="51"/>
      <c r="AE146" s="51"/>
      <c r="AH146" s="78"/>
      <c r="AI146" s="78"/>
    </row>
    <row r="147" spans="1:35" x14ac:dyDescent="0.3">
      <c r="B147" t="s">
        <v>28</v>
      </c>
      <c r="C147" s="17">
        <f t="shared" ref="C147:H147" si="25">SUM(C142:C146)</f>
        <v>0.14294796824440753</v>
      </c>
      <c r="D147" s="17">
        <f t="shared" si="25"/>
        <v>1.2365966892348439</v>
      </c>
      <c r="E147" s="17">
        <f t="shared" si="25"/>
        <v>59.85643209251441</v>
      </c>
      <c r="F147" s="17">
        <f t="shared" si="25"/>
        <v>32.443462404352154</v>
      </c>
      <c r="G147" s="17">
        <f t="shared" si="25"/>
        <v>6.3205608456541746</v>
      </c>
      <c r="H147" s="18">
        <f t="shared" si="25"/>
        <v>99.999999999999986</v>
      </c>
      <c r="I147" s="13" t="s">
        <v>24</v>
      </c>
      <c r="J147" s="12" t="s">
        <v>29</v>
      </c>
      <c r="N147" s="1">
        <f>SUM(N142:N146)</f>
        <v>92704.03</v>
      </c>
      <c r="O147" s="17">
        <f>SUM(O142:O146)</f>
        <v>100</v>
      </c>
      <c r="S147" s="66" t="s">
        <v>39</v>
      </c>
      <c r="T147" s="67">
        <f>C409</f>
        <v>7.9269459792135025E-2</v>
      </c>
      <c r="U147" s="67">
        <f t="shared" si="24"/>
        <v>0.10226269722145762</v>
      </c>
      <c r="V147" s="67">
        <f t="shared" si="24"/>
        <v>0.13463886979427259</v>
      </c>
      <c r="W147" s="67">
        <f t="shared" si="24"/>
        <v>0.2106863549438607</v>
      </c>
      <c r="X147" s="67">
        <f t="shared" si="24"/>
        <v>0.11046564751992699</v>
      </c>
      <c r="AD147" s="51"/>
      <c r="AE147" s="51"/>
    </row>
    <row r="148" spans="1:35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7.9371615734055448E-2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0.14664708561620241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0.18613620907615921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0.23229003205811088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0.16283949397723141</v>
      </c>
      <c r="H148" s="1"/>
      <c r="I148" s="56">
        <f>(C142+D143+E144+F145+G146)/H147</f>
        <v>0.98170215655688009</v>
      </c>
      <c r="J148" s="53">
        <f>SQRT(SUM(P142:P146))/100</f>
        <v>2.667782991170702E-3</v>
      </c>
      <c r="M148" s="1"/>
      <c r="N148" s="9"/>
      <c r="S148" t="s">
        <v>30</v>
      </c>
      <c r="T148" s="57">
        <f>C410</f>
        <v>23.384304193837192</v>
      </c>
      <c r="U148" s="57">
        <f t="shared" si="24"/>
        <v>83.249486522640296</v>
      </c>
      <c r="V148" s="57">
        <f t="shared" si="24"/>
        <v>99.229958341403872</v>
      </c>
      <c r="W148" s="57">
        <f t="shared" si="24"/>
        <v>98.538946121392939</v>
      </c>
      <c r="X148" s="57">
        <f t="shared" si="24"/>
        <v>97.070406476880649</v>
      </c>
      <c r="AD148" s="51"/>
      <c r="AE148" s="51"/>
      <c r="AH148" s="78"/>
      <c r="AI148" s="78"/>
    </row>
    <row r="149" spans="1:35" x14ac:dyDescent="0.3">
      <c r="B149" s="1" t="s">
        <v>30</v>
      </c>
      <c r="C149" s="17">
        <f>C142/C147*100</f>
        <v>21.450106953889168</v>
      </c>
      <c r="D149" s="17">
        <f>D143/D147*100</f>
        <v>74.530863234864768</v>
      </c>
      <c r="E149" s="17">
        <f>E144/E147*100</f>
        <v>99.20297963545093</v>
      </c>
      <c r="F149" s="17">
        <f>F145/F147*100</f>
        <v>98.291220690773926</v>
      </c>
      <c r="G149" s="17">
        <f>G146/G147*100</f>
        <v>94.128792536610177</v>
      </c>
      <c r="H149" s="1"/>
      <c r="S149" s="66" t="s">
        <v>39</v>
      </c>
      <c r="T149" s="67">
        <f>C411</f>
        <v>231.78646945481498</v>
      </c>
      <c r="U149" s="67">
        <f t="shared" si="24"/>
        <v>8.2816457183626166</v>
      </c>
      <c r="V149" s="67">
        <f t="shared" si="24"/>
        <v>0.16654261440292603</v>
      </c>
      <c r="W149" s="67">
        <f t="shared" si="24"/>
        <v>0.32147534064542371</v>
      </c>
      <c r="X149" s="67">
        <f t="shared" si="24"/>
        <v>1.5241501541330629</v>
      </c>
      <c r="AD149" s="51"/>
      <c r="AE149" s="51"/>
    </row>
    <row r="150" spans="1:35" x14ac:dyDescent="0.3">
      <c r="B150" s="16" t="s">
        <v>39</v>
      </c>
      <c r="C150" s="18">
        <f>SQRT((C153+C154)/(C147*C147))</f>
        <v>230.45220256130639</v>
      </c>
      <c r="D150" s="18">
        <f>SQRT((D153+D154)/(D147*D147))</f>
        <v>10.534846746018204</v>
      </c>
      <c r="E150" s="18">
        <f>SQRT((E153+E154)/(E147*E147))</f>
        <v>0.16935315503897891</v>
      </c>
      <c r="F150" s="18">
        <f>SQRT((F153+F154)/(F147*F147))</f>
        <v>0.33478292689282263</v>
      </c>
      <c r="G150" s="18">
        <f>SQRT((G153+G154)/(G147*G147))</f>
        <v>2.3493082151306455</v>
      </c>
      <c r="H150" s="1"/>
      <c r="S150" s="15" t="s">
        <v>31</v>
      </c>
      <c r="T150" s="71">
        <f>I403</f>
        <v>11.751662971175165</v>
      </c>
      <c r="U150" s="71">
        <f>I404</f>
        <v>94.73684210526315</v>
      </c>
      <c r="V150" s="71">
        <f>I405</f>
        <v>99.848484848484844</v>
      </c>
      <c r="W150" s="71">
        <f>I406</f>
        <v>98.109965635738831</v>
      </c>
      <c r="X150" s="71">
        <f>I407</f>
        <v>93.756194251734385</v>
      </c>
      <c r="AD150" s="51"/>
      <c r="AE150" s="51"/>
      <c r="AH150" s="78"/>
      <c r="AI150" s="78"/>
    </row>
    <row r="151" spans="1:35" x14ac:dyDescent="0.3">
      <c r="B151" s="1" t="s">
        <v>37</v>
      </c>
      <c r="C151" s="18">
        <f>100-C149</f>
        <v>78.549893046110839</v>
      </c>
      <c r="D151" s="18">
        <f>100-D149</f>
        <v>25.469136765135232</v>
      </c>
      <c r="E151" s="18">
        <f>100-E149</f>
        <v>0.79702036454906988</v>
      </c>
      <c r="F151" s="18">
        <f>100-F149</f>
        <v>1.7087793092260739</v>
      </c>
      <c r="G151" s="18">
        <f>100-G149</f>
        <v>5.8712074633898226</v>
      </c>
      <c r="S151" s="75" t="s">
        <v>39</v>
      </c>
      <c r="T151" s="76">
        <f>J403</f>
        <v>1.5180870378571307</v>
      </c>
      <c r="U151" s="76">
        <f>J404</f>
        <v>2.9839300500728485</v>
      </c>
      <c r="V151" s="76">
        <f>J405</f>
        <v>0.15151515151515368</v>
      </c>
      <c r="W151" s="76">
        <f>J406</f>
        <v>0.5649413271715471</v>
      </c>
      <c r="X151" s="76">
        <f>J407</f>
        <v>0.76206920214220542</v>
      </c>
      <c r="AD151" s="51"/>
      <c r="AE151" s="51"/>
    </row>
    <row r="152" spans="1:35" ht="15.6" x14ac:dyDescent="0.35">
      <c r="B152" s="1" t="s">
        <v>25</v>
      </c>
      <c r="C152" s="1">
        <f>C136</f>
        <v>50</v>
      </c>
      <c r="D152" s="1">
        <f>D136</f>
        <v>59</v>
      </c>
      <c r="E152" s="1">
        <f>E136</f>
        <v>1066</v>
      </c>
      <c r="F152" s="1">
        <f>F136</f>
        <v>642</v>
      </c>
      <c r="G152" s="1">
        <f>G136</f>
        <v>942</v>
      </c>
      <c r="S152" s="66" t="s">
        <v>51</v>
      </c>
      <c r="T152" s="67">
        <f>N392*100</f>
        <v>20.948616600790515</v>
      </c>
      <c r="U152" s="67">
        <f>N393*100</f>
        <v>91.525423728813564</v>
      </c>
      <c r="V152" s="67">
        <f>N394*100</f>
        <v>76.538908246225319</v>
      </c>
      <c r="W152" s="67">
        <f>N395*100</f>
        <v>94.146743610882098</v>
      </c>
      <c r="X152" s="67">
        <f>N396*100</f>
        <v>96.579887697805006</v>
      </c>
      <c r="AD152" s="51"/>
      <c r="AE152" s="51"/>
      <c r="AH152" s="78"/>
      <c r="AI152" s="78"/>
    </row>
    <row r="153" spans="1:35" x14ac:dyDescent="0.3">
      <c r="B153" s="1" t="s">
        <v>34</v>
      </c>
      <c r="C153" s="18">
        <f>(O142*O142*(100-C149)*(100-C149)*(I142)*(100-I142))/(L142-1)</f>
        <v>1082.3242498008331</v>
      </c>
      <c r="D153" s="18">
        <f>(O143*O143*(100-D149)*(100-D149)*(I143)*(100-I143))/((L143-1)*100)</f>
        <v>54.663367232954407</v>
      </c>
      <c r="E153" s="18">
        <f>(O144*O144*(100-E149)*(100-E149)*(I144)*(100-I144))/((L144-1)*100)</f>
        <v>1.5519595302230131</v>
      </c>
      <c r="F153" s="18">
        <f>(O145*O145*(100-F149)*(100-F149)*(I145)*(100-I145))/((L145-1)*100)</f>
        <v>12.596774971249474</v>
      </c>
      <c r="G153" s="18">
        <f>(O146*O146*(100-G149)*(100-G149)*(I146)*(100-I146))/((L146-1)*100)</f>
        <v>9.4405553123581534</v>
      </c>
      <c r="R153" s="16" t="s">
        <v>61</v>
      </c>
      <c r="S153" t="s">
        <v>9</v>
      </c>
      <c r="T153" s="30">
        <f>N403</f>
        <v>269.95999999999998</v>
      </c>
      <c r="U153" s="30">
        <f>N404</f>
        <v>944.71</v>
      </c>
      <c r="V153" s="30">
        <f>N405</f>
        <v>55146.28</v>
      </c>
      <c r="W153" s="30">
        <f>N406</f>
        <v>30247.19</v>
      </c>
      <c r="X153" s="30">
        <f>N407</f>
        <v>6095.88</v>
      </c>
      <c r="Z153" t="s">
        <v>36</v>
      </c>
      <c r="AA153" s="1">
        <f>N408</f>
        <v>92704.02</v>
      </c>
      <c r="AD153" s="51"/>
      <c r="AE153" s="51"/>
    </row>
    <row r="154" spans="1:35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2.8955292708953144</v>
      </c>
      <c r="D154" s="18">
        <f>D149*D149*(SUM((H142*D142*(1-D131/H131))/(H131-1),(H144*D144*(1-D133/H133))/(H133-1), (H145*D145*(1-D134/H134))/(H134-1),(H146*D146*(1-D135/H135))/(H135-1)))</f>
        <v>115.04865295181871</v>
      </c>
      <c r="E154" s="18">
        <f>E149*E149*(SUM((H142*E142*(1-E131/H131))/(H131-1),(H143*E143*(1-E132/H132))/(H132-1), (H145*E145*(1-E134/H134))/(H134-1),(H146*E146*(1-E135/H135))/(H135-1)))</f>
        <v>101.20428789116322</v>
      </c>
      <c r="F154" s="18">
        <f>F149*F149*(SUM((H142*F142*(1-F131/H131))/(H131-1),(H143*F143*(1-F132/H132))/(H132-1), (H144*F144*(1-F133/H133))/(H133-1),(H146*F146*(1-F135/H135))/(H135-1)))</f>
        <v>105.37578313618</v>
      </c>
      <c r="G154" s="18">
        <f>G149*G149*(SUM((H142*G142*(1-G131/H131))/(H131-1),(H143*G143*(1-G132/H132))/(H132-1), (H144*G144*(1-G133/H133))/(H133-1),(H145*G145*(1-G134/H134))/(H134-1)))</f>
        <v>211.05062771174721</v>
      </c>
      <c r="R154" s="16" t="s">
        <v>318</v>
      </c>
      <c r="S154" t="s">
        <v>63</v>
      </c>
      <c r="T154" s="57">
        <f>$AA153*T146/100</f>
        <v>135.66702303396042</v>
      </c>
      <c r="U154" s="57">
        <f>$AA153*U146/100</f>
        <v>1075.0677973361828</v>
      </c>
      <c r="V154" s="57">
        <f>$AA153*V146/100</f>
        <v>55490.021310759745</v>
      </c>
      <c r="W154" s="57">
        <f>$AA153*W146/100</f>
        <v>30115.511564552886</v>
      </c>
      <c r="X154" s="57">
        <f>$AA153*X146/100</f>
        <v>5887.7523043172141</v>
      </c>
      <c r="Z154" t="s">
        <v>36</v>
      </c>
      <c r="AA154" s="25">
        <f>SUM(T154:X154)</f>
        <v>92704.019999999975</v>
      </c>
      <c r="AD154" s="51"/>
      <c r="AE154" s="51"/>
      <c r="AH154" s="78"/>
      <c r="AI154" s="78"/>
    </row>
    <row r="155" spans="1:35" x14ac:dyDescent="0.3">
      <c r="R155" s="66"/>
      <c r="S155" s="66" t="s">
        <v>62</v>
      </c>
      <c r="T155" s="67">
        <f>$AA153*T147/100</f>
        <v>73.485975859592813</v>
      </c>
      <c r="U155" s="67">
        <f>$AA153*U147/100</f>
        <v>94.801631284719519</v>
      </c>
      <c r="V155" s="67">
        <f>$AA153*V147/100</f>
        <v>124.81564478185642</v>
      </c>
      <c r="W155" s="67">
        <f>$AA153*W147/100</f>
        <v>195.31472062442762</v>
      </c>
      <c r="X155" s="67">
        <f>$AA153*X147/100</f>
        <v>102.40609597000262</v>
      </c>
      <c r="AA155" s="1"/>
      <c r="AD155" s="51"/>
      <c r="AE155" s="51"/>
    </row>
    <row r="156" spans="1:35" x14ac:dyDescent="0.3">
      <c r="R156" t="s">
        <v>102</v>
      </c>
      <c r="S156" t="s">
        <v>28</v>
      </c>
      <c r="T156" s="57">
        <f>C437</f>
        <v>0.14281991895748672</v>
      </c>
      <c r="U156" s="57">
        <f t="shared" ref="U156:X159" si="26">D437</f>
        <v>1.305030555453085</v>
      </c>
      <c r="V156" s="57">
        <f t="shared" si="26"/>
        <v>59.645718165332028</v>
      </c>
      <c r="W156" s="57">
        <f t="shared" si="26"/>
        <v>32.668542508317707</v>
      </c>
      <c r="X156" s="57">
        <f t="shared" si="26"/>
        <v>6.2378888519396929</v>
      </c>
      <c r="Z156" s="74"/>
      <c r="AA156" s="12"/>
      <c r="AD156" s="51"/>
      <c r="AE156" s="51"/>
      <c r="AH156" s="78"/>
      <c r="AI156" s="78"/>
    </row>
    <row r="157" spans="1:35" x14ac:dyDescent="0.3">
      <c r="A157" s="348" t="s">
        <v>384</v>
      </c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 t="s">
        <v>78</v>
      </c>
      <c r="M157" s="348"/>
      <c r="N157" s="348"/>
      <c r="O157" s="348"/>
      <c r="P157" s="348"/>
      <c r="S157" s="66" t="s">
        <v>39</v>
      </c>
      <c r="T157" s="67">
        <f>C438</f>
        <v>7.9534962712758034E-2</v>
      </c>
      <c r="U157" s="67">
        <f t="shared" si="26"/>
        <v>0.17777834770151865</v>
      </c>
      <c r="V157" s="67">
        <f t="shared" si="26"/>
        <v>0.22532347801007582</v>
      </c>
      <c r="W157" s="67">
        <f t="shared" si="26"/>
        <v>0.2293512544942502</v>
      </c>
      <c r="X157" s="67">
        <f t="shared" si="26"/>
        <v>0.12182327207543656</v>
      </c>
      <c r="AD157" s="51"/>
      <c r="AE157" s="51"/>
    </row>
    <row r="158" spans="1:35" x14ac:dyDescent="0.3">
      <c r="A158" t="s">
        <v>315</v>
      </c>
      <c r="B158" t="s">
        <v>21</v>
      </c>
      <c r="I158" s="1" t="s">
        <v>53</v>
      </c>
      <c r="O158" s="142"/>
      <c r="P158" s="142"/>
      <c r="S158" t="s">
        <v>30</v>
      </c>
      <c r="T158" s="57">
        <f>C439</f>
        <v>21.210030973615066</v>
      </c>
      <c r="U158" s="57">
        <f t="shared" si="26"/>
        <v>69.149631439098854</v>
      </c>
      <c r="V158" s="57">
        <f t="shared" si="26"/>
        <v>99.225645425928803</v>
      </c>
      <c r="W158" s="57">
        <f t="shared" si="26"/>
        <v>98.341327291100271</v>
      </c>
      <c r="X158" s="57">
        <f t="shared" si="26"/>
        <v>96.392120071997738</v>
      </c>
      <c r="AD158" s="51"/>
      <c r="AE158" s="51"/>
      <c r="AH158" s="78"/>
      <c r="AI158" s="78"/>
    </row>
    <row r="159" spans="1:35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51</v>
      </c>
      <c r="O159" s="13"/>
      <c r="P159" s="13"/>
      <c r="S159" s="66" t="s">
        <v>39</v>
      </c>
      <c r="T159" s="67">
        <f>C440</f>
        <v>223.40889719044739</v>
      </c>
      <c r="U159" s="67">
        <f t="shared" si="26"/>
        <v>11.479964562766456</v>
      </c>
      <c r="V159" s="67">
        <f t="shared" si="26"/>
        <v>0.17075491353343458</v>
      </c>
      <c r="W159" s="67">
        <f t="shared" si="26"/>
        <v>0.4197006211383475</v>
      </c>
      <c r="X159" s="67">
        <f t="shared" si="26"/>
        <v>1.7560943637569957</v>
      </c>
      <c r="AD159" s="51"/>
      <c r="AE159" s="51"/>
    </row>
    <row r="160" spans="1:35" x14ac:dyDescent="0.3">
      <c r="A160" t="s">
        <v>3</v>
      </c>
      <c r="B160" s="13">
        <v>0</v>
      </c>
      <c r="C160" s="26">
        <v>51</v>
      </c>
      <c r="D160" s="3">
        <v>0</v>
      </c>
      <c r="E160" s="3">
        <v>400</v>
      </c>
      <c r="F160" s="3">
        <v>0</v>
      </c>
      <c r="G160" s="4">
        <v>0</v>
      </c>
      <c r="H160" s="1">
        <f>SUM(C160:G160)</f>
        <v>451</v>
      </c>
      <c r="I160" s="10">
        <f>C160/H160</f>
        <v>0.1130820399113082</v>
      </c>
      <c r="J160" s="11">
        <f>1-I160</f>
        <v>0.88691796008869184</v>
      </c>
      <c r="K160">
        <f>H160-C165</f>
        <v>398</v>
      </c>
      <c r="N160" s="10">
        <f>2*(C166*I160)/(C166+I160)</f>
        <v>0.20238095238095241</v>
      </c>
      <c r="O160" s="1"/>
      <c r="P160" s="1"/>
      <c r="S160" s="15" t="s">
        <v>31</v>
      </c>
      <c r="T160" s="71">
        <f>I432</f>
        <v>11.086474501108649</v>
      </c>
      <c r="U160" s="71">
        <f>I433</f>
        <v>94.736842105263165</v>
      </c>
      <c r="V160" s="71">
        <f>I434</f>
        <v>99.242424242424249</v>
      </c>
      <c r="W160" s="71">
        <f>I435</f>
        <v>98.109965635738831</v>
      </c>
      <c r="X160" s="71">
        <f>I436</f>
        <v>94.053518334985128</v>
      </c>
      <c r="AD160" s="51"/>
      <c r="AE160" s="51"/>
      <c r="AH160" s="78"/>
      <c r="AI160" s="78"/>
    </row>
    <row r="161" spans="1:35" x14ac:dyDescent="0.3">
      <c r="A161" t="s">
        <v>4</v>
      </c>
      <c r="B161" s="13">
        <v>1</v>
      </c>
      <c r="C161" s="5">
        <v>0</v>
      </c>
      <c r="D161" s="27">
        <v>54</v>
      </c>
      <c r="E161" s="1">
        <v>3</v>
      </c>
      <c r="F161" s="1">
        <v>0</v>
      </c>
      <c r="G161" s="6">
        <v>0</v>
      </c>
      <c r="H161" s="1">
        <f>SUM(C161:G161)</f>
        <v>57</v>
      </c>
      <c r="I161" s="10">
        <f>D161/H161</f>
        <v>0.94736842105263153</v>
      </c>
      <c r="J161" s="11">
        <f>1-I161</f>
        <v>5.2631578947368474E-2</v>
      </c>
      <c r="K161">
        <f>H161-D165</f>
        <v>-4</v>
      </c>
      <c r="N161" s="10">
        <f>2*(D166*I161)/(D166+I161)</f>
        <v>0.9152542372881356</v>
      </c>
      <c r="O161" s="1"/>
      <c r="P161" s="1"/>
      <c r="S161" s="75" t="s">
        <v>39</v>
      </c>
      <c r="T161" s="76">
        <f>J432</f>
        <v>1.4800431924982105</v>
      </c>
      <c r="U161" s="76">
        <f>J433</f>
        <v>2.983930050072845</v>
      </c>
      <c r="V161" s="76">
        <f>J434</f>
        <v>0.33776839432968786</v>
      </c>
      <c r="W161" s="76">
        <f>J435</f>
        <v>0.5649413271715471</v>
      </c>
      <c r="X161" s="76">
        <f>J436</f>
        <v>0.744881690236465</v>
      </c>
      <c r="AD161" s="51"/>
      <c r="AE161" s="51"/>
    </row>
    <row r="162" spans="1:35" x14ac:dyDescent="0.3">
      <c r="A162" t="s">
        <v>5</v>
      </c>
      <c r="B162" s="13">
        <v>2</v>
      </c>
      <c r="C162" s="5">
        <v>0</v>
      </c>
      <c r="D162" s="1">
        <v>1</v>
      </c>
      <c r="E162" s="27">
        <v>657</v>
      </c>
      <c r="F162" s="1">
        <v>2</v>
      </c>
      <c r="G162" s="6">
        <v>0</v>
      </c>
      <c r="H162" s="1">
        <f>SUM(C162:G162)</f>
        <v>660</v>
      </c>
      <c r="I162" s="10">
        <f>E162/H162</f>
        <v>0.99545454545454548</v>
      </c>
      <c r="J162" s="11">
        <f>1-I162</f>
        <v>4.5454545454545192E-3</v>
      </c>
      <c r="K162">
        <f>H162-E165</f>
        <v>-403</v>
      </c>
      <c r="N162" s="10">
        <f>2*(E166*I162)/(E166+I162)</f>
        <v>0.76262333139872318</v>
      </c>
      <c r="O162" s="1"/>
      <c r="P162" s="1"/>
      <c r="S162" s="66" t="s">
        <v>51</v>
      </c>
      <c r="T162" s="67">
        <f>N421*100</f>
        <v>19.880715705765407</v>
      </c>
      <c r="U162" s="67">
        <f>N422*100</f>
        <v>90.756302521008394</v>
      </c>
      <c r="V162" s="67">
        <f>N423*100</f>
        <v>76.074332171893133</v>
      </c>
      <c r="W162" s="67">
        <f>N424*100</f>
        <v>94.224422442244233</v>
      </c>
      <c r="X162" s="67">
        <f>N425*100</f>
        <v>96.738022426095824</v>
      </c>
      <c r="AD162" s="51"/>
      <c r="AE162" s="51"/>
      <c r="AH162" s="78"/>
      <c r="AI162" s="78"/>
    </row>
    <row r="163" spans="1:35" x14ac:dyDescent="0.3">
      <c r="A163" t="s">
        <v>6</v>
      </c>
      <c r="B163" s="13">
        <v>3</v>
      </c>
      <c r="C163" s="5">
        <v>2</v>
      </c>
      <c r="D163" s="1">
        <v>3</v>
      </c>
      <c r="E163" s="1">
        <v>3</v>
      </c>
      <c r="F163" s="27">
        <v>571</v>
      </c>
      <c r="G163" s="6">
        <v>3</v>
      </c>
      <c r="H163" s="1">
        <f>SUM(C163:G163)</f>
        <v>582</v>
      </c>
      <c r="I163" s="10">
        <f>F163/H163</f>
        <v>0.98109965635738827</v>
      </c>
      <c r="J163" s="11">
        <f>1-I163</f>
        <v>1.8900343642611728E-2</v>
      </c>
      <c r="K163">
        <f>H163-F165</f>
        <v>-37</v>
      </c>
      <c r="N163" s="10">
        <f>2*(F166*I163)/(F166+I163)</f>
        <v>0.95087427144046632</v>
      </c>
      <c r="O163" s="1"/>
      <c r="P163" s="1"/>
      <c r="R163" s="16" t="s">
        <v>61</v>
      </c>
      <c r="S163" t="s">
        <v>9</v>
      </c>
      <c r="T163" s="30">
        <f>N432</f>
        <v>253.3</v>
      </c>
      <c r="U163" s="30">
        <f>N433</f>
        <v>883.06</v>
      </c>
      <c r="V163" s="30">
        <f>N434</f>
        <v>55284.63</v>
      </c>
      <c r="W163" s="30">
        <f>N435</f>
        <v>30356.47</v>
      </c>
      <c r="X163" s="30">
        <f>N436</f>
        <v>5926.56</v>
      </c>
      <c r="Z163" t="s">
        <v>36</v>
      </c>
      <c r="AA163" s="1">
        <f>N437</f>
        <v>92704.01999999999</v>
      </c>
      <c r="AD163" s="51"/>
      <c r="AE163" s="51"/>
    </row>
    <row r="164" spans="1:35" ht="15.6" x14ac:dyDescent="0.35">
      <c r="A164" t="s">
        <v>7</v>
      </c>
      <c r="B164" s="13">
        <v>4</v>
      </c>
      <c r="C164" s="7">
        <v>0</v>
      </c>
      <c r="D164" s="8">
        <v>3</v>
      </c>
      <c r="E164" s="8">
        <v>0</v>
      </c>
      <c r="F164" s="8">
        <v>46</v>
      </c>
      <c r="G164" s="28">
        <v>960</v>
      </c>
      <c r="H164" s="1">
        <f>SUM(C164:G164)</f>
        <v>1009</v>
      </c>
      <c r="I164" s="10">
        <f>G164/H164</f>
        <v>0.95143706640237857</v>
      </c>
      <c r="J164" s="11">
        <f>1-I164</f>
        <v>4.8562933597621427E-2</v>
      </c>
      <c r="K164">
        <f>H164-G165</f>
        <v>46</v>
      </c>
      <c r="N164" s="10">
        <f>2*(G166*I164)/(G166+I164)</f>
        <v>0.97363083164300201</v>
      </c>
      <c r="O164" s="1"/>
      <c r="P164" s="1"/>
      <c r="R164" s="16" t="s">
        <v>318</v>
      </c>
      <c r="S164" t="s">
        <v>63</v>
      </c>
      <c r="T164" s="57">
        <f>$AA163*T156/100</f>
        <v>132.39980623433226</v>
      </c>
      <c r="U164" s="57">
        <f>$AA163*U156/100</f>
        <v>1209.815787133339</v>
      </c>
      <c r="V164" s="57">
        <f>$AA163*V156/100</f>
        <v>55293.97849713303</v>
      </c>
      <c r="W164" s="57">
        <f>$AA163*W156/100</f>
        <v>30285.052180619346</v>
      </c>
      <c r="X164" s="57">
        <f>$AA163*X156/100</f>
        <v>5782.7737288799426</v>
      </c>
      <c r="Z164" t="s">
        <v>36</v>
      </c>
      <c r="AA164" s="25">
        <f>SUM(T164:X164)</f>
        <v>92704.01999999999</v>
      </c>
      <c r="AD164" s="51"/>
      <c r="AE164" s="51"/>
      <c r="AH164" s="78"/>
      <c r="AI164" s="78"/>
    </row>
    <row r="165" spans="1:35" ht="15.6" x14ac:dyDescent="0.35">
      <c r="B165" s="1" t="s">
        <v>19</v>
      </c>
      <c r="C165" s="1">
        <f>SUM(C160:C164)</f>
        <v>53</v>
      </c>
      <c r="D165" s="1">
        <f>SUM(D160:D164)</f>
        <v>61</v>
      </c>
      <c r="E165" s="1">
        <f>SUM(E160:E164)</f>
        <v>1063</v>
      </c>
      <c r="F165" s="1">
        <f>SUM(F160:F164)</f>
        <v>619</v>
      </c>
      <c r="G165" s="1">
        <f>SUM(G160:G164)</f>
        <v>963</v>
      </c>
      <c r="H165" s="1">
        <f>SUM(H159:H164)</f>
        <v>2759</v>
      </c>
      <c r="I165" s="13" t="s">
        <v>12</v>
      </c>
      <c r="N165" s="16"/>
      <c r="O165" s="1"/>
      <c r="P165" s="1"/>
      <c r="R165" s="66"/>
      <c r="S165" s="66" t="s">
        <v>62</v>
      </c>
      <c r="T165" s="67">
        <f>$AA163*T157/100</f>
        <v>73.732107740227733</v>
      </c>
      <c r="U165" s="67">
        <f>$AA163*U157/100</f>
        <v>164.80767500888538</v>
      </c>
      <c r="V165" s="67">
        <f>$AA163*V157/100</f>
        <v>208.88392211915627</v>
      </c>
      <c r="W165" s="67">
        <f>$AA163*W157/100</f>
        <v>212.61783283660057</v>
      </c>
      <c r="X165" s="67">
        <f>$AA163*X157/100</f>
        <v>112.93507050946711</v>
      </c>
      <c r="AA165" s="1"/>
      <c r="AD165" s="51"/>
      <c r="AE165" s="51"/>
    </row>
    <row r="166" spans="1:35" x14ac:dyDescent="0.3">
      <c r="A166" s="1" t="s">
        <v>316</v>
      </c>
      <c r="B166" s="1" t="s">
        <v>2</v>
      </c>
      <c r="C166" s="10">
        <f>C160/C165</f>
        <v>0.96226415094339623</v>
      </c>
      <c r="D166" s="10">
        <f>D161/D165</f>
        <v>0.88524590163934425</v>
      </c>
      <c r="E166" s="10">
        <f>E162/E165</f>
        <v>0.61806208842897459</v>
      </c>
      <c r="F166" s="10">
        <f>F163/F165</f>
        <v>0.92245557350565432</v>
      </c>
      <c r="G166" s="10">
        <f>G164/G165</f>
        <v>0.99688473520249221</v>
      </c>
      <c r="H166" s="10"/>
      <c r="I166" s="14">
        <f>(C160+D161+E162+F163+G164)/H165</f>
        <v>0.83109822399420075</v>
      </c>
      <c r="R166" t="s">
        <v>103</v>
      </c>
      <c r="S166" t="s">
        <v>28</v>
      </c>
      <c r="T166" s="57">
        <f>C466</f>
        <v>0.12964664886645899</v>
      </c>
      <c r="U166" s="57">
        <f t="shared" ref="U166:X169" si="27">D466</f>
        <v>1.267840891895395</v>
      </c>
      <c r="V166" s="57">
        <f t="shared" si="27"/>
        <v>60.336700484300337</v>
      </c>
      <c r="W166" s="57">
        <f t="shared" si="27"/>
        <v>31.906763740798706</v>
      </c>
      <c r="X166" s="57">
        <f t="shared" si="27"/>
        <v>6.3590482341390979</v>
      </c>
      <c r="Z166" s="74"/>
      <c r="AA166" s="12"/>
      <c r="AD166" s="51"/>
      <c r="AE166" s="51"/>
      <c r="AH166" s="78"/>
      <c r="AI166" s="78"/>
    </row>
    <row r="167" spans="1:35" x14ac:dyDescent="0.3">
      <c r="B167" s="1" t="s">
        <v>14</v>
      </c>
      <c r="C167" s="11">
        <f>1-C166</f>
        <v>3.7735849056603765E-2</v>
      </c>
      <c r="D167" s="11">
        <f>1-D166</f>
        <v>0.11475409836065575</v>
      </c>
      <c r="E167" s="11">
        <f>1-E166</f>
        <v>0.38193791157102541</v>
      </c>
      <c r="F167" s="11">
        <f>1-F166</f>
        <v>7.7544426494345675E-2</v>
      </c>
      <c r="G167" s="11">
        <f>1-G166</f>
        <v>3.1152647975077885E-3</v>
      </c>
      <c r="S167" s="66" t="s">
        <v>39</v>
      </c>
      <c r="T167" s="67">
        <f>C467</f>
        <v>7.7957179391025033E-2</v>
      </c>
      <c r="U167" s="67">
        <f t="shared" si="27"/>
        <v>0.16291180560816226</v>
      </c>
      <c r="V167" s="67">
        <f t="shared" si="27"/>
        <v>0.18562950947702769</v>
      </c>
      <c r="W167" s="67">
        <f t="shared" si="27"/>
        <v>0.21518573870044896</v>
      </c>
      <c r="X167" s="67">
        <f t="shared" si="27"/>
        <v>0.12114311127065196</v>
      </c>
      <c r="AD167" s="51"/>
      <c r="AE167" s="51"/>
    </row>
    <row r="168" spans="1:35" x14ac:dyDescent="0.3">
      <c r="C168" s="2"/>
      <c r="S168" t="s">
        <v>30</v>
      </c>
      <c r="T168" s="57">
        <f>C468</f>
        <v>14.889519126930169</v>
      </c>
      <c r="U168" s="57">
        <f t="shared" si="27"/>
        <v>71.547966085111881</v>
      </c>
      <c r="V168" s="57">
        <f t="shared" si="27"/>
        <v>99.265719673171944</v>
      </c>
      <c r="W168" s="57">
        <f t="shared" si="27"/>
        <v>98.561304577926791</v>
      </c>
      <c r="X168" s="57">
        <f t="shared" si="27"/>
        <v>96.265413028613821</v>
      </c>
      <c r="AD168" s="51"/>
      <c r="AE168" s="51"/>
      <c r="AH168" s="78"/>
      <c r="AI168" s="78"/>
    </row>
    <row r="169" spans="1:35" ht="15.6" x14ac:dyDescent="0.35">
      <c r="A169" t="s">
        <v>317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212.80084467950448</v>
      </c>
      <c r="U169" s="67">
        <f t="shared" si="27"/>
        <v>11.099970617870037</v>
      </c>
      <c r="V169" s="67">
        <f t="shared" si="27"/>
        <v>0.16287703340948392</v>
      </c>
      <c r="W169" s="67">
        <f t="shared" si="27"/>
        <v>0.32851080411026046</v>
      </c>
      <c r="X169" s="67">
        <f t="shared" si="27"/>
        <v>1.7088464377869981</v>
      </c>
      <c r="AD169" s="51"/>
      <c r="AE169" s="51"/>
    </row>
    <row r="170" spans="1:35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7.3170731707317067</v>
      </c>
      <c r="U170" s="71">
        <f>I462</f>
        <v>94.736842105263165</v>
      </c>
      <c r="V170" s="71">
        <f>I463</f>
        <v>99.545454545454547</v>
      </c>
      <c r="W170" s="71">
        <f>I464</f>
        <v>97.9381443298969</v>
      </c>
      <c r="X170" s="71">
        <f>I465</f>
        <v>94.152626362735376</v>
      </c>
      <c r="AD170" s="51"/>
      <c r="AE170" s="51"/>
      <c r="AH170" s="78"/>
      <c r="AI170" s="78"/>
    </row>
    <row r="171" spans="1:35" x14ac:dyDescent="0.3">
      <c r="A171" t="s">
        <v>3</v>
      </c>
      <c r="B171" s="13">
        <v>0</v>
      </c>
      <c r="C171" s="29">
        <f>(C160/$L171)*$O171</f>
        <v>3.0162441724608254E-2</v>
      </c>
      <c r="D171" s="31">
        <f>(D160/$L171)*$O171</f>
        <v>0</v>
      </c>
      <c r="E171" s="31">
        <f>(E160/$L171)*$O171</f>
        <v>0.23656817038908434</v>
      </c>
      <c r="F171" s="31">
        <f>(F160/$L171)*$O171</f>
        <v>0</v>
      </c>
      <c r="G171" s="32">
        <f>(G160/$L171)*$O171</f>
        <v>0</v>
      </c>
      <c r="H171" s="17">
        <f>SUM(C171:G171)</f>
        <v>0.26673061211369259</v>
      </c>
      <c r="I171" s="17">
        <f>C171/H171*100</f>
        <v>11.308203991130821</v>
      </c>
      <c r="J171" s="17">
        <f>SQRT(I171*(100-I171)/(L171-1))</f>
        <v>1.4929053863062938</v>
      </c>
      <c r="K171" s="18">
        <f>100-I171</f>
        <v>88.691796008869176</v>
      </c>
      <c r="L171" s="1">
        <f>H160</f>
        <v>451</v>
      </c>
      <c r="M171">
        <v>0</v>
      </c>
      <c r="N171" s="1">
        <v>247.27</v>
      </c>
      <c r="O171" s="17">
        <f>N171/N176*100</f>
        <v>0.26673061211369259</v>
      </c>
      <c r="P171" s="52">
        <f>((O171*O171*(I171/100)*(K171/100))/(L171-1))</f>
        <v>1.5856608118351003E-5</v>
      </c>
      <c r="S171" s="75" t="s">
        <v>39</v>
      </c>
      <c r="T171" s="76">
        <f>J461</f>
        <v>1.2276153553285771</v>
      </c>
      <c r="U171" s="76">
        <f>J462</f>
        <v>2.983930050072845</v>
      </c>
      <c r="V171" s="76">
        <f>J463</f>
        <v>0.26203341040868389</v>
      </c>
      <c r="W171" s="76">
        <f>J464</f>
        <v>0.58954505375429189</v>
      </c>
      <c r="X171" s="76">
        <f>J465</f>
        <v>0.73903733049539455</v>
      </c>
      <c r="AD171" s="51"/>
      <c r="AE171" s="51"/>
    </row>
    <row r="172" spans="1:35" x14ac:dyDescent="0.3">
      <c r="A172" t="s">
        <v>4</v>
      </c>
      <c r="B172" s="13">
        <v>1</v>
      </c>
      <c r="C172" s="33">
        <f t="shared" ref="C172:G175" si="28">(C161/$L172)*$O172</f>
        <v>0</v>
      </c>
      <c r="D172" s="34">
        <f t="shared" si="28"/>
        <v>0.9835546903382455</v>
      </c>
      <c r="E172" s="19">
        <f t="shared" si="28"/>
        <v>5.4641927241013639E-2</v>
      </c>
      <c r="F172" s="18">
        <f t="shared" si="28"/>
        <v>0</v>
      </c>
      <c r="G172" s="20">
        <f t="shared" si="28"/>
        <v>0</v>
      </c>
      <c r="H172" s="17">
        <f>SUM(C172:G172)</f>
        <v>1.0381966175792592</v>
      </c>
      <c r="I172" s="17">
        <f>D172/H172*100</f>
        <v>94.73684210526315</v>
      </c>
      <c r="J172" s="17">
        <f>SQRT(I172*(100-I172)/(L172-1))</f>
        <v>2.9839300500728485</v>
      </c>
      <c r="K172" s="18">
        <f>100-I172</f>
        <v>5.2631578947368496</v>
      </c>
      <c r="L172" s="1">
        <f>H161</f>
        <v>57</v>
      </c>
      <c r="M172">
        <v>1</v>
      </c>
      <c r="N172" s="1">
        <v>962.45</v>
      </c>
      <c r="O172" s="17">
        <f>N172/N176*100</f>
        <v>1.0381966175792592</v>
      </c>
      <c r="P172" s="52">
        <f>((O172*O172*(I172/100)*(K172/100))/(L172-1))</f>
        <v>9.5970221119678911E-4</v>
      </c>
      <c r="S172" s="66" t="s">
        <v>51</v>
      </c>
      <c r="T172" s="67">
        <f>N450*100</f>
        <v>13.580246913580247</v>
      </c>
      <c r="U172" s="67">
        <f>N451*100</f>
        <v>91.525423728813564</v>
      </c>
      <c r="V172" s="67">
        <f>N452*100</f>
        <v>75.560667050028755</v>
      </c>
      <c r="W172" s="67">
        <f>N453*100</f>
        <v>94.137076796036339</v>
      </c>
      <c r="X172" s="67">
        <f>N454*100</f>
        <v>96.741344195519346</v>
      </c>
      <c r="AD172" s="51"/>
      <c r="AE172" s="51"/>
      <c r="AH172" s="78"/>
      <c r="AI172" s="78"/>
    </row>
    <row r="173" spans="1:35" x14ac:dyDescent="0.3">
      <c r="A173" t="s">
        <v>5</v>
      </c>
      <c r="B173" s="13">
        <v>2</v>
      </c>
      <c r="C173" s="33">
        <f t="shared" si="28"/>
        <v>0</v>
      </c>
      <c r="D173" s="19">
        <f t="shared" si="28"/>
        <v>9.0547117786066E-2</v>
      </c>
      <c r="E173" s="34">
        <f t="shared" si="28"/>
        <v>59.489456385445358</v>
      </c>
      <c r="F173" s="19">
        <f t="shared" si="28"/>
        <v>0.181094235572132</v>
      </c>
      <c r="G173" s="20">
        <f t="shared" si="28"/>
        <v>0</v>
      </c>
      <c r="H173" s="17">
        <f>SUM(C173:G173)</f>
        <v>59.761097738803556</v>
      </c>
      <c r="I173" s="17">
        <f>E173/H173*100</f>
        <v>99.545454545454547</v>
      </c>
      <c r="J173" s="17">
        <f>SQRT(I173*(100-I173)/(L173-1))</f>
        <v>0.26203341040868389</v>
      </c>
      <c r="K173" s="18">
        <f>100-I173</f>
        <v>0.45454545454545325</v>
      </c>
      <c r="L173" s="1">
        <f>H162</f>
        <v>660</v>
      </c>
      <c r="M173">
        <v>2</v>
      </c>
      <c r="N173" s="1">
        <v>55400.94</v>
      </c>
      <c r="O173" s="17">
        <f>N173/N176*100</f>
        <v>59.761097738803556</v>
      </c>
      <c r="P173" s="52">
        <f>((O173*O173*(I173/100)*(K173/100))/(L173-1))</f>
        <v>2.4521694147322949E-2</v>
      </c>
      <c r="R173" s="16" t="s">
        <v>61</v>
      </c>
      <c r="S173" t="s">
        <v>9</v>
      </c>
      <c r="T173" s="1">
        <f>N461</f>
        <v>244.57</v>
      </c>
      <c r="U173" s="1">
        <f>N462</f>
        <v>887.65</v>
      </c>
      <c r="V173" s="1">
        <f>N463</f>
        <v>55777.37</v>
      </c>
      <c r="W173" s="1">
        <f>N464</f>
        <v>29767.06</v>
      </c>
      <c r="X173" s="1">
        <f>N465</f>
        <v>6027.38</v>
      </c>
      <c r="Z173" t="s">
        <v>36</v>
      </c>
      <c r="AA173" s="1">
        <f>N466</f>
        <v>92704.030000000013</v>
      </c>
      <c r="AD173" s="51"/>
      <c r="AE173" s="51"/>
    </row>
    <row r="174" spans="1:35" ht="15.6" x14ac:dyDescent="0.35">
      <c r="A174" t="s">
        <v>6</v>
      </c>
      <c r="B174" s="13">
        <v>3</v>
      </c>
      <c r="C174" s="33">
        <f t="shared" si="28"/>
        <v>0.1113812321462283</v>
      </c>
      <c r="D174" s="19">
        <f t="shared" si="28"/>
        <v>0.16707184821934246</v>
      </c>
      <c r="E174" s="19">
        <f t="shared" si="28"/>
        <v>0.16707184821934246</v>
      </c>
      <c r="F174" s="34">
        <f t="shared" si="28"/>
        <v>31.799341777748179</v>
      </c>
      <c r="G174" s="20">
        <f t="shared" si="28"/>
        <v>0.16707184821934246</v>
      </c>
      <c r="H174" s="17">
        <f>SUM(C174:G174)</f>
        <v>32.411938554552435</v>
      </c>
      <c r="I174" s="17">
        <f>F174/H174*100</f>
        <v>98.109965635738831</v>
      </c>
      <c r="J174" s="17">
        <f>SQRT(I174*(100-I174)/(L174-1))</f>
        <v>0.5649413271715471</v>
      </c>
      <c r="K174" s="18">
        <f>100-I174</f>
        <v>1.8900343642611688</v>
      </c>
      <c r="L174" s="1">
        <f>H163</f>
        <v>582</v>
      </c>
      <c r="M174">
        <v>3</v>
      </c>
      <c r="N174" s="1">
        <v>30047.17</v>
      </c>
      <c r="O174" s="17">
        <f>N174/N176*100</f>
        <v>32.411938554552435</v>
      </c>
      <c r="P174" s="52">
        <f>((O174*O174*(I174/100)*(K174/100))/(L174-1))</f>
        <v>3.3528699272883725E-2</v>
      </c>
      <c r="R174" s="16" t="s">
        <v>318</v>
      </c>
      <c r="S174" t="s">
        <v>63</v>
      </c>
      <c r="T174" s="57">
        <f>$AA173*T166/100</f>
        <v>120.18766825915682</v>
      </c>
      <c r="U174" s="57">
        <f>$AA173*U166/100</f>
        <v>1175.3396007749748</v>
      </c>
      <c r="V174" s="57">
        <f>$AA173*V166/100</f>
        <v>55934.55291797594</v>
      </c>
      <c r="W174" s="57">
        <f>$AA173*W166/100</f>
        <v>29578.855830299159</v>
      </c>
      <c r="X174" s="57">
        <f>$AA173*X166/100</f>
        <v>5895.0939826907797</v>
      </c>
      <c r="Z174" t="s">
        <v>36</v>
      </c>
      <c r="AA174" s="25">
        <f>SUM(T174:X174)</f>
        <v>92704.030000000013</v>
      </c>
      <c r="AD174" s="51"/>
      <c r="AE174" s="51"/>
      <c r="AH174" s="78"/>
      <c r="AI174" s="78"/>
    </row>
    <row r="175" spans="1:35" x14ac:dyDescent="0.3">
      <c r="A175" t="s">
        <v>7</v>
      </c>
      <c r="B175" s="13">
        <v>4</v>
      </c>
      <c r="C175" s="35">
        <f t="shared" si="28"/>
        <v>0</v>
      </c>
      <c r="D175" s="36">
        <f t="shared" si="28"/>
        <v>1.9391585164373795E-2</v>
      </c>
      <c r="E175" s="21">
        <f t="shared" si="28"/>
        <v>0</v>
      </c>
      <c r="F175" s="21">
        <f t="shared" si="28"/>
        <v>0.29733763918706485</v>
      </c>
      <c r="G175" s="37">
        <f t="shared" si="28"/>
        <v>6.2053072525996145</v>
      </c>
      <c r="H175" s="17">
        <f>SUM(C175:G175)</f>
        <v>6.5220364769510528</v>
      </c>
      <c r="I175" s="17">
        <f>G175/H175*100</f>
        <v>95.143706640237866</v>
      </c>
      <c r="J175" s="17">
        <f>SQRT(I175*(100-I175)/(L175-1))</f>
        <v>0.67703672057876385</v>
      </c>
      <c r="K175" s="18">
        <f>100-I175</f>
        <v>4.8562933597621338</v>
      </c>
      <c r="L175" s="1">
        <f>H164</f>
        <v>1009</v>
      </c>
      <c r="M175">
        <v>4</v>
      </c>
      <c r="N175" s="1">
        <v>6046.19</v>
      </c>
      <c r="O175" s="17">
        <f>N175/N176*100</f>
        <v>6.5220364769510528</v>
      </c>
      <c r="P175" s="52">
        <f>((O175*O175*(I175/100)*(K175/100))/(L175-1))</f>
        <v>1.9498037231926884E-3</v>
      </c>
      <c r="R175" s="66"/>
      <c r="S175" s="66" t="s">
        <v>62</v>
      </c>
      <c r="T175" s="67">
        <f>$AA173*T167/100</f>
        <v>72.269446969809678</v>
      </c>
      <c r="U175" s="67">
        <f>$AA173*U167/100</f>
        <v>151.02580914453245</v>
      </c>
      <c r="V175" s="67">
        <f>$AA173*V167/100</f>
        <v>172.08603615443661</v>
      </c>
      <c r="W175" s="67">
        <f>$AA173*W167/100</f>
        <v>199.48585176058583</v>
      </c>
      <c r="X175" s="67">
        <f>$AA173*X167/100</f>
        <v>112.30454621527859</v>
      </c>
      <c r="AA175" s="1"/>
      <c r="AD175" s="51"/>
      <c r="AE175" s="51"/>
    </row>
    <row r="176" spans="1:35" x14ac:dyDescent="0.3">
      <c r="B176" t="s">
        <v>28</v>
      </c>
      <c r="C176" s="17">
        <f t="shared" ref="C176:H176" si="29">SUM(C171:C175)</f>
        <v>0.14154367387083655</v>
      </c>
      <c r="D176" s="17">
        <f t="shared" si="29"/>
        <v>1.2605652415080277</v>
      </c>
      <c r="E176" s="17">
        <f t="shared" si="29"/>
        <v>59.947738331294801</v>
      </c>
      <c r="F176" s="17">
        <f t="shared" si="29"/>
        <v>32.277773652507378</v>
      </c>
      <c r="G176" s="17">
        <f t="shared" si="29"/>
        <v>6.3723791008189572</v>
      </c>
      <c r="H176" s="18">
        <f t="shared" si="29"/>
        <v>100</v>
      </c>
      <c r="I176" s="13" t="s">
        <v>24</v>
      </c>
      <c r="J176" s="12" t="s">
        <v>29</v>
      </c>
      <c r="N176" s="1">
        <f>SUM(N171:N175)</f>
        <v>92704.02</v>
      </c>
      <c r="O176" s="17">
        <f>SUM(O171:O175)</f>
        <v>100</v>
      </c>
      <c r="R176" t="s">
        <v>104</v>
      </c>
      <c r="S176" t="s">
        <v>28</v>
      </c>
      <c r="T176" s="57">
        <f>C495</f>
        <v>0.14155680672611468</v>
      </c>
      <c r="U176" s="57">
        <f t="shared" ref="U176:X179" si="30">D495</f>
        <v>1.0876679987349795</v>
      </c>
      <c r="V176" s="57">
        <f t="shared" si="30"/>
        <v>60.138730718288471</v>
      </c>
      <c r="W176" s="57">
        <f t="shared" si="30"/>
        <v>32.622559185946471</v>
      </c>
      <c r="X176" s="57">
        <f t="shared" si="30"/>
        <v>6.0094852903039664</v>
      </c>
      <c r="AD176" s="51"/>
      <c r="AE176" s="51"/>
      <c r="AH176" s="78"/>
      <c r="AI176" s="78"/>
    </row>
    <row r="177" spans="1:41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7.8723535967880398E-2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0.13605355192341659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0.18627828782601555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0.22727360081191203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0.10585010619573042</v>
      </c>
      <c r="H177" s="1"/>
      <c r="I177" s="14">
        <f>(C171+D172+E173+F174+G175)/H176</f>
        <v>0.98507822547855994</v>
      </c>
      <c r="J177" s="53">
        <f>SQRT(SUM(P171:P175))/100</f>
        <v>2.4693269520805563E-3</v>
      </c>
      <c r="M177" s="1"/>
      <c r="N177" s="9"/>
      <c r="S177" s="66" t="s">
        <v>39</v>
      </c>
      <c r="T177" s="67">
        <f>C496</f>
        <v>7.9452775665697792E-2</v>
      </c>
      <c r="U177" s="67">
        <f t="shared" si="30"/>
        <v>0.10015759978927991</v>
      </c>
      <c r="V177" s="67">
        <f t="shared" si="30"/>
        <v>0.13477144993427798</v>
      </c>
      <c r="W177" s="67">
        <f t="shared" si="30"/>
        <v>0.21171427870068432</v>
      </c>
      <c r="X177" s="67">
        <f t="shared" si="30"/>
        <v>0.10967113020104671</v>
      </c>
      <c r="AD177" s="51"/>
      <c r="AE177" s="51"/>
    </row>
    <row r="178" spans="1:41" x14ac:dyDescent="0.3">
      <c r="B178" s="1" t="s">
        <v>30</v>
      </c>
      <c r="C178" s="17">
        <f>C171/C176*100</f>
        <v>21.309636029465022</v>
      </c>
      <c r="D178" s="17">
        <f>D172/D176*100</f>
        <v>78.024893750172623</v>
      </c>
      <c r="E178" s="17">
        <f>E173/E176*100</f>
        <v>99.235530883055517</v>
      </c>
      <c r="F178" s="17">
        <f>F174/F176*100</f>
        <v>98.517766807866451</v>
      </c>
      <c r="G178" s="17">
        <f>G175/G176*100</f>
        <v>97.378187242534409</v>
      </c>
      <c r="H178" s="1"/>
      <c r="S178" s="70" t="s">
        <v>30</v>
      </c>
      <c r="T178" s="64">
        <f>C497</f>
        <v>20.583836461382436</v>
      </c>
      <c r="U178" s="64">
        <f t="shared" si="30"/>
        <v>83.350101172235455</v>
      </c>
      <c r="V178" s="64">
        <f t="shared" si="30"/>
        <v>99.26728780658604</v>
      </c>
      <c r="W178" s="64">
        <f t="shared" si="30"/>
        <v>98.384740668486003</v>
      </c>
      <c r="X178" s="64">
        <f t="shared" si="30"/>
        <v>97.193961386900156</v>
      </c>
      <c r="AD178" s="51"/>
      <c r="AE178" s="51"/>
      <c r="AH178" s="78"/>
      <c r="AI178" s="78"/>
    </row>
    <row r="179" spans="1:41" x14ac:dyDescent="0.3">
      <c r="B179" s="16" t="s">
        <v>39</v>
      </c>
      <c r="C179" s="18">
        <f>SQRT((C182+C183)/(C176*C176))</f>
        <v>221.6956731250005</v>
      </c>
      <c r="D179" s="18">
        <f>SQRT((D182+D183)/(D176*D176))</f>
        <v>9.8275134994272406</v>
      </c>
      <c r="E179" s="18">
        <f>SQRT((E182+E183)/(E176*E176))</f>
        <v>0.16876134579330679</v>
      </c>
      <c r="F179" s="18">
        <f>SQRT((F182+F183)/(F176*F176))</f>
        <v>0.42035803235584157</v>
      </c>
      <c r="G179" s="18">
        <f>SQRT((G182+G183)/(G176*G176))</f>
        <v>1.4826513706972644</v>
      </c>
      <c r="H179" s="1"/>
      <c r="S179" s="66" t="s">
        <v>39</v>
      </c>
      <c r="T179" s="67">
        <f>C498</f>
        <v>221.02309325043535</v>
      </c>
      <c r="U179" s="67">
        <f t="shared" si="30"/>
        <v>8.2723866674244135</v>
      </c>
      <c r="V179" s="67">
        <f t="shared" si="30"/>
        <v>0.16539168945665428</v>
      </c>
      <c r="W179" s="67">
        <f t="shared" si="30"/>
        <v>0.32566766779286749</v>
      </c>
      <c r="X179" s="67">
        <f t="shared" si="30"/>
        <v>1.5898288166614274</v>
      </c>
      <c r="AD179" s="51"/>
      <c r="AE179" s="51"/>
    </row>
    <row r="180" spans="1:41" x14ac:dyDescent="0.3">
      <c r="B180" s="1" t="s">
        <v>37</v>
      </c>
      <c r="C180" s="18">
        <f>100-C178</f>
        <v>78.690363970534975</v>
      </c>
      <c r="D180" s="18">
        <f>100-D178</f>
        <v>21.975106249827377</v>
      </c>
      <c r="E180" s="18">
        <f>100-E178</f>
        <v>0.76446911694448261</v>
      </c>
      <c r="F180" s="18">
        <f>100-F178</f>
        <v>1.482233192133549</v>
      </c>
      <c r="G180" s="18">
        <f>100-G178</f>
        <v>2.6218127574655909</v>
      </c>
      <c r="S180" s="70" t="s">
        <v>31</v>
      </c>
      <c r="T180" s="64">
        <f>I490</f>
        <v>10.864745011086473</v>
      </c>
      <c r="U180" s="64">
        <f>I491</f>
        <v>96.491228070175438</v>
      </c>
      <c r="V180" s="64">
        <f>I492</f>
        <v>99.848484848484844</v>
      </c>
      <c r="W180" s="64">
        <f>I493</f>
        <v>98.109965635738831</v>
      </c>
      <c r="X180" s="64">
        <f>I494</f>
        <v>92.864222001982156</v>
      </c>
      <c r="AD180" s="51"/>
      <c r="AE180" s="51"/>
      <c r="AH180" s="78"/>
      <c r="AI180" s="78"/>
    </row>
    <row r="181" spans="1:41" ht="15.6" x14ac:dyDescent="0.35">
      <c r="B181" s="1" t="s">
        <v>25</v>
      </c>
      <c r="C181" s="1">
        <f>C165</f>
        <v>53</v>
      </c>
      <c r="D181" s="1">
        <f>D165</f>
        <v>61</v>
      </c>
      <c r="E181" s="1">
        <f>E165</f>
        <v>1063</v>
      </c>
      <c r="F181" s="1">
        <f>F165</f>
        <v>619</v>
      </c>
      <c r="G181" s="1">
        <f>G165</f>
        <v>963</v>
      </c>
      <c r="S181" s="66" t="s">
        <v>39</v>
      </c>
      <c r="T181" s="67">
        <f>J490</f>
        <v>1.4669937642469293</v>
      </c>
      <c r="U181" s="67">
        <f>J491</f>
        <v>2.4588241692166148</v>
      </c>
      <c r="V181" s="67">
        <f>J492</f>
        <v>0.15151515151515368</v>
      </c>
      <c r="W181" s="67">
        <f>J493</f>
        <v>0.5649413271715471</v>
      </c>
      <c r="X181" s="67">
        <f>J494</f>
        <v>0.81080162675050105</v>
      </c>
      <c r="AD181" s="51"/>
      <c r="AE181" s="51"/>
      <c r="AN181" s="2"/>
      <c r="AO181" s="2"/>
    </row>
    <row r="182" spans="1:41" x14ac:dyDescent="0.3">
      <c r="B182" s="1" t="s">
        <v>34</v>
      </c>
      <c r="C182" s="18">
        <f>(O171*O171*(100-C178)*(100-C178)*(I171)*(100-I171))/(L171-1)</f>
        <v>981.86866716328984</v>
      </c>
      <c r="D182" s="18">
        <f>(O172*O172*(100-D178)*(100-D178)*(I172)*(100-I172))/((L172-1)*100)</f>
        <v>46.344527911378385</v>
      </c>
      <c r="E182" s="18">
        <f>(O173*O173*(100-E178)*(100-E178)*(I173)*(100-I173))/((L173-1)*100)</f>
        <v>1.4330797596052789</v>
      </c>
      <c r="F182" s="18">
        <f>(O174*O174*(100-F178)*(100-F178)*(I174)*(100-I174))/((L174-1)*100)</f>
        <v>7.3663063141174465</v>
      </c>
      <c r="G182" s="18">
        <f>(O175*O175*(100-G178)*(100-G178)*(I175)*(100-I175))/((L175-1)*100)</f>
        <v>1.3402759976093312</v>
      </c>
      <c r="S182" s="68" t="s">
        <v>51</v>
      </c>
      <c r="T182" s="65">
        <f>N479*100</f>
        <v>19.52191235059761</v>
      </c>
      <c r="U182" s="65">
        <f>N480*100</f>
        <v>94.01709401709401</v>
      </c>
      <c r="V182" s="65">
        <f>N481*100</f>
        <v>76.361529548088072</v>
      </c>
      <c r="W182" s="65">
        <f>N482*100</f>
        <v>93.300653594771248</v>
      </c>
      <c r="X182" s="65">
        <f>N483*100</f>
        <v>96.151872755259106</v>
      </c>
      <c r="AD182" s="51"/>
      <c r="AE182" s="51"/>
      <c r="AH182" s="78"/>
      <c r="AI182" s="78"/>
    </row>
    <row r="183" spans="1:41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2.8118876567578646</v>
      </c>
      <c r="D183" s="18">
        <f>D178*D178*(SUM((H171*D171*(1-D160/H160))/(H160-1),(H173*D173*(1-D162/H162))/(H162-1), (H174*D174*(1-D163/H163))/(H163-1),(H175*D175*(1-D164/H164))/(H164-1)))</f>
        <v>107.12351462176245</v>
      </c>
      <c r="E183" s="18">
        <f>E178*E178*(SUM((H171*E171*(1-E160/H160))/(H160-1),(H172*E172*(1-E161/H161))/(H161-1), (H174*E174*(1-E163/H163))/(H163-1),(H175*E175*(1-E164/H164))/(H164-1)))</f>
        <v>100.91779669434726</v>
      </c>
      <c r="F183" s="18">
        <f>F178*F178*(SUM((H171*F171*(1-F160/H160))/(H160-1),(H172*F172*(1-F161/H161))/(H161-1), (H173*F173*(1-F162/H162))/(H162-1),(H175*F175*(1-F164/H164))/(H164-1)))</f>
        <v>176.73032622589088</v>
      </c>
      <c r="G183" s="18">
        <f>G178*G178*(SUM((H171*G171*(1-G160/H160))/(H160-1),(H172*G172*(1-G161/H161))/(H161-1), (H173*G173*(1-G162/H162))/(H162-1),(H174*G174*(1-G163/H163))/(H163-1)))</f>
        <v>87.924741835594332</v>
      </c>
      <c r="R183" s="16" t="s">
        <v>61</v>
      </c>
      <c r="S183" t="s">
        <v>9</v>
      </c>
      <c r="T183" s="1">
        <f>N490</f>
        <v>248.62</v>
      </c>
      <c r="U183" s="1">
        <f>N491</f>
        <v>870.99</v>
      </c>
      <c r="V183" s="1">
        <f>N492</f>
        <v>55426.5</v>
      </c>
      <c r="W183" s="1">
        <f>N493</f>
        <v>30327.119999999999</v>
      </c>
      <c r="X183" s="1">
        <f>N494</f>
        <v>5830.78</v>
      </c>
      <c r="Z183" t="s">
        <v>36</v>
      </c>
      <c r="AA183" s="1">
        <f>N495</f>
        <v>92704.01</v>
      </c>
      <c r="AD183" s="51"/>
      <c r="AE183" s="51"/>
      <c r="AN183" s="78"/>
      <c r="AO183" s="78"/>
    </row>
    <row r="184" spans="1:41" ht="15.6" x14ac:dyDescent="0.35">
      <c r="R184" s="16" t="s">
        <v>318</v>
      </c>
      <c r="S184" t="s">
        <v>63</v>
      </c>
      <c r="T184" s="57">
        <f>$AA183*T176/100</f>
        <v>131.22883626305801</v>
      </c>
      <c r="U184" s="57">
        <f>$AA183*U176/100</f>
        <v>1008.3118503140753</v>
      </c>
      <c r="V184" s="57">
        <f>$AA183*V176/100</f>
        <v>55751.014938955217</v>
      </c>
      <c r="W184" s="57">
        <f>$AA183*W176/100</f>
        <v>30242.420529995732</v>
      </c>
      <c r="X184" s="57">
        <f>$AA183*X176/100</f>
        <v>5571.0338444719173</v>
      </c>
      <c r="Z184" t="s">
        <v>36</v>
      </c>
      <c r="AA184" s="25">
        <f>SUM(T184:X184)</f>
        <v>92704.010000000009</v>
      </c>
      <c r="AD184" s="51"/>
      <c r="AE184" s="51"/>
      <c r="AH184" s="78"/>
      <c r="AI184" s="78"/>
    </row>
    <row r="185" spans="1:41" x14ac:dyDescent="0.3">
      <c r="R185" s="66"/>
      <c r="S185" s="66" t="s">
        <v>62</v>
      </c>
      <c r="T185" s="67">
        <f>$AA183*T177/100</f>
        <v>73.655909098406042</v>
      </c>
      <c r="U185" s="67">
        <f>$AA183*U177/100</f>
        <v>92.850111324414016</v>
      </c>
      <c r="V185" s="67">
        <f>$AA183*V177/100</f>
        <v>124.93853842421804</v>
      </c>
      <c r="W185" s="67">
        <f>$AA183*W177/100</f>
        <v>196.26762609811027</v>
      </c>
      <c r="X185" s="67">
        <f>$AA183*X177/100</f>
        <v>101.66953550869135</v>
      </c>
      <c r="AA185" s="1"/>
      <c r="AD185" s="51"/>
      <c r="AE185" s="51"/>
      <c r="AN185" s="78"/>
      <c r="AO185" s="78"/>
    </row>
    <row r="186" spans="1:41" x14ac:dyDescent="0.3">
      <c r="A186" s="348" t="s">
        <v>384</v>
      </c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 t="s">
        <v>79</v>
      </c>
      <c r="M186" s="348"/>
      <c r="N186" s="348"/>
      <c r="O186" s="348"/>
      <c r="P186" s="348"/>
      <c r="R186" t="s">
        <v>105</v>
      </c>
      <c r="S186" s="70" t="s">
        <v>28</v>
      </c>
      <c r="T186" s="64">
        <f>C524</f>
        <v>0.13735757471284679</v>
      </c>
      <c r="U186" s="64">
        <f t="shared" ref="U186:X189" si="31">D524</f>
        <v>0.97623245309589057</v>
      </c>
      <c r="V186" s="64">
        <f t="shared" si="31"/>
        <v>60.297590015856009</v>
      </c>
      <c r="W186" s="64">
        <f t="shared" si="31"/>
        <v>32.557716182527159</v>
      </c>
      <c r="X186" s="64">
        <f t="shared" si="31"/>
        <v>6.0311037738081028</v>
      </c>
      <c r="AA186" s="12"/>
      <c r="AD186" s="51"/>
      <c r="AE186" s="51"/>
    </row>
    <row r="187" spans="1:41" x14ac:dyDescent="0.3">
      <c r="A187" t="s">
        <v>315</v>
      </c>
      <c r="B187" t="s">
        <v>21</v>
      </c>
      <c r="I187" s="1" t="s">
        <v>53</v>
      </c>
      <c r="O187" s="142"/>
      <c r="P187" s="142"/>
      <c r="S187" s="66" t="s">
        <v>39</v>
      </c>
      <c r="T187" s="67">
        <f>C525</f>
        <v>7.8938558513619833E-2</v>
      </c>
      <c r="U187" s="67">
        <f t="shared" si="31"/>
        <v>8.517963190240635E-2</v>
      </c>
      <c r="V187" s="67">
        <f t="shared" si="31"/>
        <v>0.16368956859979139</v>
      </c>
      <c r="W187" s="67">
        <f t="shared" si="31"/>
        <v>0.19638440738647719</v>
      </c>
      <c r="X187" s="67">
        <f t="shared" si="31"/>
        <v>0.13131931222670529</v>
      </c>
      <c r="AD187" s="51"/>
      <c r="AE187" s="51"/>
      <c r="AN187" s="78"/>
      <c r="AO187" s="78"/>
    </row>
    <row r="188" spans="1:41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51</v>
      </c>
      <c r="O188" s="13"/>
      <c r="P188" s="13"/>
      <c r="S188" t="s">
        <v>30</v>
      </c>
      <c r="T188" s="57">
        <f>C526</f>
        <v>18.684090061898907</v>
      </c>
      <c r="U188" s="57">
        <f t="shared" si="31"/>
        <v>87.277503944173446</v>
      </c>
      <c r="V188" s="57">
        <f t="shared" si="31"/>
        <v>99.174185052892838</v>
      </c>
      <c r="W188" s="57">
        <f t="shared" si="31"/>
        <v>98.287623311831922</v>
      </c>
      <c r="X188" s="57">
        <f t="shared" si="31"/>
        <v>96.641170728865816</v>
      </c>
      <c r="AD188" s="51"/>
      <c r="AE188" s="51"/>
    </row>
    <row r="189" spans="1:41" x14ac:dyDescent="0.3">
      <c r="A189" t="s">
        <v>3</v>
      </c>
      <c r="B189" s="13">
        <v>0</v>
      </c>
      <c r="C189" s="26">
        <v>33</v>
      </c>
      <c r="D189" s="3">
        <v>0</v>
      </c>
      <c r="E189" s="3">
        <v>400</v>
      </c>
      <c r="F189" s="3">
        <v>18</v>
      </c>
      <c r="G189" s="4">
        <v>0</v>
      </c>
      <c r="H189" s="1">
        <f>SUM(C189:G189)</f>
        <v>451</v>
      </c>
      <c r="I189" s="10">
        <f>C189/H189</f>
        <v>7.3170731707317069E-2</v>
      </c>
      <c r="J189" s="11">
        <f>1-I189</f>
        <v>0.92682926829268297</v>
      </c>
      <c r="K189">
        <f>H189-C194</f>
        <v>418</v>
      </c>
      <c r="N189" s="10">
        <f>2*(C195*I189)/(C195+I189)</f>
        <v>0.13636363636363635</v>
      </c>
      <c r="O189" s="1"/>
      <c r="P189" s="1"/>
      <c r="S189" s="66" t="s">
        <v>39</v>
      </c>
      <c r="T189" s="67">
        <f>C527</f>
        <v>229.8297819389098</v>
      </c>
      <c r="U189" s="67">
        <f t="shared" si="31"/>
        <v>8.1861033592428996</v>
      </c>
      <c r="V189" s="67">
        <f t="shared" si="31"/>
        <v>0.16832162834043929</v>
      </c>
      <c r="W189" s="67">
        <f t="shared" si="31"/>
        <v>0.32774715133666299</v>
      </c>
      <c r="X189" s="67">
        <f t="shared" si="31"/>
        <v>1.9508715347559811</v>
      </c>
      <c r="AD189" s="51"/>
      <c r="AE189" s="51"/>
      <c r="AN189" s="78"/>
      <c r="AO189" s="78"/>
    </row>
    <row r="190" spans="1:41" x14ac:dyDescent="0.3">
      <c r="A190" t="s">
        <v>4</v>
      </c>
      <c r="B190" s="13">
        <v>1</v>
      </c>
      <c r="C190" s="5">
        <v>0</v>
      </c>
      <c r="D190" s="27">
        <v>55</v>
      </c>
      <c r="E190" s="1">
        <v>2</v>
      </c>
      <c r="F190" s="1">
        <v>0</v>
      </c>
      <c r="G190" s="6">
        <v>0</v>
      </c>
      <c r="H190" s="1">
        <f>SUM(C190:G190)</f>
        <v>57</v>
      </c>
      <c r="I190" s="10">
        <f>D190/H190</f>
        <v>0.96491228070175439</v>
      </c>
      <c r="J190" s="11">
        <f>1-I190</f>
        <v>3.5087719298245612E-2</v>
      </c>
      <c r="K190">
        <f>H190-D194</f>
        <v>-3</v>
      </c>
      <c r="N190" s="10">
        <f>2*(D195*I190)/(D195+I190)</f>
        <v>0.94017094017094016</v>
      </c>
      <c r="O190" s="1"/>
      <c r="P190" s="1"/>
      <c r="S190" t="s">
        <v>31</v>
      </c>
      <c r="T190" s="57">
        <f>I519</f>
        <v>8.8691796008869179</v>
      </c>
      <c r="U190" s="57">
        <f>I520</f>
        <v>92.982456140350877</v>
      </c>
      <c r="V190" s="57">
        <f>I521</f>
        <v>99.696969696969688</v>
      </c>
      <c r="W190" s="57">
        <f>I522</f>
        <v>98.453608247422693</v>
      </c>
      <c r="X190" s="57">
        <f>I523</f>
        <v>92.368681863230933</v>
      </c>
      <c r="AD190" s="51"/>
      <c r="AE190" s="51"/>
    </row>
    <row r="191" spans="1:41" x14ac:dyDescent="0.3">
      <c r="A191" t="s">
        <v>5</v>
      </c>
      <c r="B191" s="13">
        <v>2</v>
      </c>
      <c r="C191" s="5">
        <v>0</v>
      </c>
      <c r="D191" s="1">
        <v>0</v>
      </c>
      <c r="E191" s="27">
        <v>659</v>
      </c>
      <c r="F191" s="1">
        <v>1</v>
      </c>
      <c r="G191" s="6">
        <v>0</v>
      </c>
      <c r="H191" s="1">
        <f>SUM(C191:G191)</f>
        <v>660</v>
      </c>
      <c r="I191" s="10">
        <f>E191/H191</f>
        <v>0.99848484848484853</v>
      </c>
      <c r="J191" s="11">
        <f>1-I191</f>
        <v>1.5151515151514694E-3</v>
      </c>
      <c r="K191">
        <f>H191-E194</f>
        <v>-405</v>
      </c>
      <c r="N191" s="10">
        <f>2*(E195*I191)/(E195+I191)</f>
        <v>0.7640579710144928</v>
      </c>
      <c r="O191" s="1"/>
      <c r="P191" s="1"/>
      <c r="S191" s="66" t="s">
        <v>39</v>
      </c>
      <c r="T191" s="67">
        <f>J519</f>
        <v>1.340195353335478</v>
      </c>
      <c r="U191" s="67">
        <f>J520</f>
        <v>3.4134933513474275</v>
      </c>
      <c r="V191" s="67">
        <f>J521</f>
        <v>0.21411214474848439</v>
      </c>
      <c r="W191" s="67">
        <f>J522</f>
        <v>0.51190281155436723</v>
      </c>
      <c r="X191" s="67">
        <f>J523</f>
        <v>0.83624182747585929</v>
      </c>
      <c r="AD191" s="51"/>
      <c r="AE191" s="51"/>
      <c r="AN191" s="78"/>
      <c r="AO191" s="78"/>
    </row>
    <row r="192" spans="1:41" x14ac:dyDescent="0.3">
      <c r="A192" t="s">
        <v>6</v>
      </c>
      <c r="B192" s="13">
        <v>3</v>
      </c>
      <c r="C192" s="5">
        <v>0</v>
      </c>
      <c r="D192" s="1">
        <v>4</v>
      </c>
      <c r="E192" s="1">
        <v>3</v>
      </c>
      <c r="F192" s="27">
        <v>572</v>
      </c>
      <c r="G192" s="6">
        <v>3</v>
      </c>
      <c r="H192" s="1">
        <f>SUM(C192:G192)</f>
        <v>582</v>
      </c>
      <c r="I192" s="10">
        <f>F192/H192</f>
        <v>0.98281786941580751</v>
      </c>
      <c r="J192" s="11">
        <f>1-I192</f>
        <v>1.718213058419249E-2</v>
      </c>
      <c r="K192">
        <f>H192-F194</f>
        <v>-84</v>
      </c>
      <c r="N192" s="10">
        <f>2*(F195*I192)/(F195+I192)</f>
        <v>0.91666666666666652</v>
      </c>
      <c r="O192" s="1"/>
      <c r="P192" s="1"/>
      <c r="S192" s="66" t="s">
        <v>51</v>
      </c>
      <c r="T192" s="67">
        <f>N508*100</f>
        <v>16.227180527383371</v>
      </c>
      <c r="U192" s="67">
        <f>N509*100</f>
        <v>92.982456140350877</v>
      </c>
      <c r="V192" s="67">
        <f>N510*100</f>
        <v>76.025418833044483</v>
      </c>
      <c r="W192" s="67">
        <f>N511*100</f>
        <v>92.718446601941736</v>
      </c>
      <c r="X192" s="67">
        <f>N512*100</f>
        <v>95.884773662551424</v>
      </c>
      <c r="AD192" s="51"/>
      <c r="AE192" s="51"/>
    </row>
    <row r="193" spans="1:48" x14ac:dyDescent="0.3">
      <c r="A193" t="s">
        <v>7</v>
      </c>
      <c r="B193" s="13">
        <v>4</v>
      </c>
      <c r="C193" s="7">
        <v>0</v>
      </c>
      <c r="D193" s="8">
        <v>1</v>
      </c>
      <c r="E193" s="8">
        <v>1</v>
      </c>
      <c r="F193" s="8">
        <v>75</v>
      </c>
      <c r="G193" s="28">
        <v>932</v>
      </c>
      <c r="H193" s="1">
        <f>SUM(C193:G193)</f>
        <v>1009</v>
      </c>
      <c r="I193" s="10">
        <f>G193/H193</f>
        <v>0.92368681863230917</v>
      </c>
      <c r="J193" s="11">
        <f>1-I193</f>
        <v>7.631318136769083E-2</v>
      </c>
      <c r="K193">
        <f>H193-G194</f>
        <v>74</v>
      </c>
      <c r="N193" s="10">
        <f>2*(G195*I193)/(G195+I193)</f>
        <v>0.95884773662551426</v>
      </c>
      <c r="O193" s="1"/>
      <c r="P193" s="1"/>
      <c r="R193" s="16" t="s">
        <v>61</v>
      </c>
      <c r="S193" t="s">
        <v>9</v>
      </c>
      <c r="T193" s="1">
        <f>N519</f>
        <v>268.25</v>
      </c>
      <c r="U193" s="1">
        <f>N520</f>
        <v>849.48</v>
      </c>
      <c r="V193" s="1">
        <f>N521</f>
        <v>55605.18</v>
      </c>
      <c r="W193" s="1">
        <f>N522</f>
        <v>30131.43</v>
      </c>
      <c r="X193" s="1">
        <f>N523</f>
        <v>5849.69</v>
      </c>
      <c r="Z193" t="s">
        <v>36</v>
      </c>
      <c r="AA193" s="1">
        <f>N524</f>
        <v>92704.03</v>
      </c>
      <c r="AD193" s="51"/>
      <c r="AE193" s="51"/>
      <c r="AL193" s="131">
        <v>0</v>
      </c>
      <c r="AM193" s="132">
        <v>1</v>
      </c>
      <c r="AN193" s="132">
        <v>2</v>
      </c>
      <c r="AO193" s="132">
        <v>3</v>
      </c>
      <c r="AP193" s="133">
        <v>4</v>
      </c>
    </row>
    <row r="194" spans="1:48" ht="15.6" x14ac:dyDescent="0.35">
      <c r="B194" s="1" t="s">
        <v>19</v>
      </c>
      <c r="C194" s="1">
        <f>SUM(C189:C193)</f>
        <v>33</v>
      </c>
      <c r="D194" s="1">
        <f>SUM(D189:D193)</f>
        <v>60</v>
      </c>
      <c r="E194" s="1">
        <f>SUM(E189:E193)</f>
        <v>1065</v>
      </c>
      <c r="F194" s="1">
        <f>SUM(F189:F193)</f>
        <v>666</v>
      </c>
      <c r="G194" s="1">
        <f>SUM(G189:G193)</f>
        <v>935</v>
      </c>
      <c r="H194" s="1">
        <f>SUM(H188:H193)</f>
        <v>2759</v>
      </c>
      <c r="I194" s="13" t="s">
        <v>12</v>
      </c>
      <c r="N194" s="16"/>
      <c r="O194" s="1"/>
      <c r="P194" s="1"/>
      <c r="R194" s="16" t="s">
        <v>318</v>
      </c>
      <c r="S194" t="s">
        <v>63</v>
      </c>
      <c r="T194" s="57">
        <f>$AA193*T186/100</f>
        <v>127.33600726906991</v>
      </c>
      <c r="U194" s="57">
        <f>$AA193*U186/100</f>
        <v>905.00682618775022</v>
      </c>
      <c r="V194" s="57">
        <f>$AA193*V186/100</f>
        <v>55898.295937576164</v>
      </c>
      <c r="W194" s="57">
        <f>$AA193*W186/100</f>
        <v>30182.314977164831</v>
      </c>
      <c r="X194" s="57">
        <f>$AA193*X186/100</f>
        <v>5591.0762518021957</v>
      </c>
      <c r="Z194" t="s">
        <v>36</v>
      </c>
      <c r="AA194" s="25">
        <f>SUM(T194:X194)</f>
        <v>92704.030000000013</v>
      </c>
      <c r="AD194" s="51"/>
      <c r="AE194" s="51"/>
      <c r="AJ194" t="s">
        <v>2</v>
      </c>
      <c r="AQ194" t="s">
        <v>633</v>
      </c>
    </row>
    <row r="195" spans="1:48" x14ac:dyDescent="0.3">
      <c r="A195" s="1" t="s">
        <v>316</v>
      </c>
      <c r="B195" s="1" t="s">
        <v>2</v>
      </c>
      <c r="C195" s="10">
        <f>C189/C194</f>
        <v>1</v>
      </c>
      <c r="D195" s="10">
        <f>D190/D194</f>
        <v>0.91666666666666663</v>
      </c>
      <c r="E195" s="10">
        <f>E191/E194</f>
        <v>0.61877934272300472</v>
      </c>
      <c r="F195" s="10">
        <f>F192/F194</f>
        <v>0.85885885885885882</v>
      </c>
      <c r="G195" s="10">
        <f>G193/G194</f>
        <v>0.99679144385026741</v>
      </c>
      <c r="H195" s="10"/>
      <c r="I195" s="14">
        <f>(C189+D190+E191+F192+G193)/H194</f>
        <v>0.81587531714389272</v>
      </c>
      <c r="R195" s="66"/>
      <c r="S195" s="66" t="s">
        <v>62</v>
      </c>
      <c r="T195" s="67">
        <f>$AA193*T187/100</f>
        <v>73.179224966033686</v>
      </c>
      <c r="U195" s="67">
        <f>$AA193*U187/100</f>
        <v>78.964951512696359</v>
      </c>
      <c r="V195" s="67">
        <f>$AA193*V187/100</f>
        <v>151.74682678162119</v>
      </c>
      <c r="W195" s="67">
        <f>$AA193*W187/100</f>
        <v>182.05625993888202</v>
      </c>
      <c r="X195" s="67">
        <f>$AA193*X187/100</f>
        <v>121.73829460243853</v>
      </c>
      <c r="AA195" s="1"/>
      <c r="AD195" s="51"/>
      <c r="AE195" s="51"/>
      <c r="AJ195" t="s">
        <v>633</v>
      </c>
      <c r="AK195">
        <v>0</v>
      </c>
      <c r="AL195" s="1">
        <v>156.68</v>
      </c>
      <c r="AM195" s="1">
        <v>124.02</v>
      </c>
      <c r="AN195" s="1">
        <v>4586.04</v>
      </c>
      <c r="AO195" s="1">
        <v>15120.64</v>
      </c>
      <c r="AP195" s="1">
        <v>4361.97</v>
      </c>
      <c r="AR195" s="1">
        <v>246.01</v>
      </c>
      <c r="AS195" s="1">
        <v>792.14</v>
      </c>
      <c r="AT195" s="1">
        <v>55264.11</v>
      </c>
      <c r="AU195" s="1">
        <v>30237.74</v>
      </c>
      <c r="AV195" s="1">
        <v>6164.02</v>
      </c>
    </row>
    <row r="196" spans="1:48" x14ac:dyDescent="0.3">
      <c r="B196" s="1" t="s">
        <v>14</v>
      </c>
      <c r="C196" s="11">
        <f>1-C195</f>
        <v>0</v>
      </c>
      <c r="D196" s="11">
        <f>1-D195</f>
        <v>8.333333333333337E-2</v>
      </c>
      <c r="E196" s="11">
        <f>1-E195</f>
        <v>0.38122065727699528</v>
      </c>
      <c r="F196" s="11">
        <f>1-F195</f>
        <v>0.14114114114114118</v>
      </c>
      <c r="G196" s="11">
        <f>1-G195</f>
        <v>3.2085561497325887E-3</v>
      </c>
      <c r="R196" t="s">
        <v>106</v>
      </c>
      <c r="S196" t="s">
        <v>28</v>
      </c>
      <c r="T196" s="57">
        <f>C553</f>
        <v>0.13393162151764323</v>
      </c>
      <c r="U196" s="57">
        <f t="shared" ref="U196:X199" si="32">D553</f>
        <v>1.0692627365862772</v>
      </c>
      <c r="V196" s="57">
        <f t="shared" si="32"/>
        <v>60.799697118633077</v>
      </c>
      <c r="W196" s="57">
        <f t="shared" si="32"/>
        <v>31.722386383623281</v>
      </c>
      <c r="X196" s="57">
        <f t="shared" si="32"/>
        <v>6.2747221396397146</v>
      </c>
      <c r="Y196" s="13"/>
      <c r="Z196" s="74"/>
      <c r="AA196" s="12"/>
      <c r="AD196" s="51"/>
      <c r="AE196" s="51"/>
      <c r="AJ196" t="s">
        <v>633</v>
      </c>
      <c r="AK196">
        <v>1</v>
      </c>
      <c r="AL196" s="1">
        <v>194.75</v>
      </c>
      <c r="AM196" s="1">
        <v>233.88</v>
      </c>
      <c r="AN196" s="1">
        <v>4618.6499999999996</v>
      </c>
      <c r="AO196" s="1">
        <v>15055.73</v>
      </c>
      <c r="AP196" s="1">
        <v>4246.3599999999997</v>
      </c>
      <c r="AR196" s="1">
        <v>266.36</v>
      </c>
      <c r="AS196" s="1">
        <v>959.93</v>
      </c>
      <c r="AT196" s="1">
        <v>55370.06</v>
      </c>
      <c r="AU196" s="1">
        <v>30198.67</v>
      </c>
      <c r="AV196" s="1">
        <v>5909.01</v>
      </c>
    </row>
    <row r="197" spans="1:48" x14ac:dyDescent="0.3">
      <c r="C197" s="2"/>
      <c r="S197" s="66" t="s">
        <v>39</v>
      </c>
      <c r="T197" s="67">
        <f>C554</f>
        <v>7.7491034790637153E-2</v>
      </c>
      <c r="U197" s="67">
        <f t="shared" si="32"/>
        <v>0.10195637805130098</v>
      </c>
      <c r="V197" s="67">
        <f t="shared" si="32"/>
        <v>0.13596136212631296</v>
      </c>
      <c r="W197" s="67">
        <f t="shared" si="32"/>
        <v>0.21436619216521977</v>
      </c>
      <c r="X197" s="67">
        <f t="shared" si="32"/>
        <v>0.12081570223744129</v>
      </c>
      <c r="AD197" s="51"/>
      <c r="AE197" s="51"/>
      <c r="AJ197" t="s">
        <v>633</v>
      </c>
      <c r="AK197">
        <v>2</v>
      </c>
      <c r="AL197" s="1">
        <v>165.87</v>
      </c>
      <c r="AM197" s="1">
        <v>176.97</v>
      </c>
      <c r="AN197" s="1">
        <v>4680.3100000000004</v>
      </c>
      <c r="AO197" s="1">
        <v>15048.34</v>
      </c>
      <c r="AP197" s="1">
        <v>4277.88</v>
      </c>
      <c r="AR197" s="1">
        <v>253.93</v>
      </c>
      <c r="AS197" s="1">
        <v>986.93</v>
      </c>
      <c r="AT197" s="1">
        <v>55434.51</v>
      </c>
      <c r="AU197" s="1">
        <v>30072.57</v>
      </c>
      <c r="AV197" s="1">
        <v>5956.09</v>
      </c>
    </row>
    <row r="198" spans="1:48" ht="15.6" x14ac:dyDescent="0.35">
      <c r="A198" t="s">
        <v>317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18.126241396153056</v>
      </c>
      <c r="U198" s="57">
        <f t="shared" si="32"/>
        <v>83.42459101944786</v>
      </c>
      <c r="V198" s="57">
        <f t="shared" si="32"/>
        <v>99.200842689584533</v>
      </c>
      <c r="W198" s="57">
        <f t="shared" si="32"/>
        <v>98.51602140932259</v>
      </c>
      <c r="X198" s="57">
        <f t="shared" si="32"/>
        <v>96.231481082466246</v>
      </c>
      <c r="AD198" s="51"/>
      <c r="AE198" s="51"/>
      <c r="AJ198" t="s">
        <v>633</v>
      </c>
      <c r="AK198">
        <v>3</v>
      </c>
      <c r="AL198" s="1">
        <v>160.99</v>
      </c>
      <c r="AM198" s="1">
        <v>148.59</v>
      </c>
      <c r="AN198" s="1">
        <v>4759.95</v>
      </c>
      <c r="AO198" s="1">
        <v>15103.98</v>
      </c>
      <c r="AP198" s="1">
        <v>4175.8599999999997</v>
      </c>
      <c r="AR198" s="1">
        <v>242.68</v>
      </c>
      <c r="AS198" s="1">
        <v>836.16</v>
      </c>
      <c r="AT198" s="1">
        <v>55728.86</v>
      </c>
      <c r="AU198" s="1">
        <v>30149.62</v>
      </c>
      <c r="AV198" s="1">
        <v>5746.71</v>
      </c>
    </row>
    <row r="199" spans="1:48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224.49739933705007</v>
      </c>
      <c r="U199" s="67">
        <f t="shared" si="32"/>
        <v>9.3825791385632105</v>
      </c>
      <c r="V199" s="67">
        <f t="shared" si="32"/>
        <v>0.16487327770098242</v>
      </c>
      <c r="W199" s="67">
        <f t="shared" si="32"/>
        <v>0.33219426713680761</v>
      </c>
      <c r="X199" s="67">
        <f t="shared" si="32"/>
        <v>1.7228382344673558</v>
      </c>
      <c r="AD199" s="51"/>
      <c r="AE199" s="51"/>
      <c r="AJ199" t="s">
        <v>633</v>
      </c>
      <c r="AK199">
        <v>4</v>
      </c>
      <c r="AL199" s="1">
        <v>178.47</v>
      </c>
      <c r="AM199" s="1">
        <v>191.59</v>
      </c>
      <c r="AN199" s="1">
        <v>4601.2</v>
      </c>
      <c r="AO199" s="1">
        <v>15077.53</v>
      </c>
      <c r="AP199" s="1">
        <v>4300.58</v>
      </c>
      <c r="AR199" s="1">
        <v>267.08</v>
      </c>
      <c r="AS199" s="1">
        <v>901.87</v>
      </c>
      <c r="AT199" s="1">
        <v>55298.42</v>
      </c>
      <c r="AU199" s="1">
        <v>30291.11</v>
      </c>
      <c r="AV199" s="1">
        <v>5945.55</v>
      </c>
    </row>
    <row r="200" spans="1:48" x14ac:dyDescent="0.3">
      <c r="A200" t="s">
        <v>3</v>
      </c>
      <c r="B200" s="13">
        <v>0</v>
      </c>
      <c r="C200" s="29">
        <f>(C189/$L200)*$O200</f>
        <v>1.6213678443844259E-2</v>
      </c>
      <c r="D200" s="31">
        <f>(D189/$L200)*$O200</f>
        <v>0</v>
      </c>
      <c r="E200" s="31">
        <f>(E189/$L200)*$O200</f>
        <v>0.19652943568296075</v>
      </c>
      <c r="F200" s="31">
        <f>(F189/$L200)*$O200</f>
        <v>8.8438246057332328E-3</v>
      </c>
      <c r="G200" s="32">
        <f>(G189/$L200)*$O200</f>
        <v>0</v>
      </c>
      <c r="H200" s="17">
        <f>SUM(C200:G200)</f>
        <v>0.22158693873253824</v>
      </c>
      <c r="I200" s="17">
        <f>C200/H200*100</f>
        <v>7.3170731707317067</v>
      </c>
      <c r="J200" s="17">
        <f>SQRT(I200*(100-I200)/(L200-1))</f>
        <v>1.2276153553285771</v>
      </c>
      <c r="K200" s="18">
        <f>100-I200</f>
        <v>92.682926829268297</v>
      </c>
      <c r="L200" s="1">
        <f>H189</f>
        <v>451</v>
      </c>
      <c r="M200">
        <v>0</v>
      </c>
      <c r="N200" s="1">
        <v>205.42</v>
      </c>
      <c r="O200" s="17">
        <f>N200/N205*100</f>
        <v>0.22158693873253824</v>
      </c>
      <c r="P200" s="52">
        <f>((O200*O200*(I200/100)*(K200/100))/(L200-1))</f>
        <v>7.3996800072995876E-6</v>
      </c>
      <c r="S200" t="s">
        <v>31</v>
      </c>
      <c r="T200" s="57">
        <f>I548</f>
        <v>8.8691796008869179</v>
      </c>
      <c r="U200" s="57">
        <f>I549</f>
        <v>91.228070175438589</v>
      </c>
      <c r="V200" s="57">
        <f>I550</f>
        <v>99.848484848484858</v>
      </c>
      <c r="W200" s="57">
        <f>I551</f>
        <v>97.938144329896915</v>
      </c>
      <c r="X200" s="57">
        <f>I552</f>
        <v>93.855302279484633</v>
      </c>
      <c r="AD200" s="51"/>
      <c r="AE200" s="51"/>
      <c r="AJ200" t="s">
        <v>633</v>
      </c>
      <c r="AK200">
        <v>5</v>
      </c>
      <c r="AL200" s="1">
        <v>182.73</v>
      </c>
      <c r="AM200" s="1">
        <v>226.04</v>
      </c>
      <c r="AN200" s="1">
        <v>4652.6400000000003</v>
      </c>
      <c r="AO200" s="1">
        <v>14972.6</v>
      </c>
      <c r="AP200" s="1">
        <v>4315.37</v>
      </c>
      <c r="AR200" s="1">
        <v>247.27</v>
      </c>
      <c r="AS200" s="1">
        <v>962.45</v>
      </c>
      <c r="AT200" s="1">
        <v>55400.94</v>
      </c>
      <c r="AU200" s="1">
        <v>30047.17</v>
      </c>
      <c r="AV200" s="1">
        <v>6046.19</v>
      </c>
    </row>
    <row r="201" spans="1:48" x14ac:dyDescent="0.3">
      <c r="A201" t="s">
        <v>4</v>
      </c>
      <c r="B201" s="13">
        <v>1</v>
      </c>
      <c r="C201" s="33">
        <f t="shared" ref="C201:G204" si="33">(C190/$L201)*$O201</f>
        <v>0</v>
      </c>
      <c r="D201" s="34">
        <f t="shared" si="33"/>
        <v>0.97056390260742198</v>
      </c>
      <c r="E201" s="19">
        <f t="shared" si="33"/>
        <v>3.5293232822088072E-2</v>
      </c>
      <c r="F201" s="18">
        <f t="shared" si="33"/>
        <v>0</v>
      </c>
      <c r="G201" s="20">
        <f t="shared" si="33"/>
        <v>0</v>
      </c>
      <c r="H201" s="17">
        <f>SUM(C201:G201)</f>
        <v>1.0058571354295101</v>
      </c>
      <c r="I201" s="17">
        <f>D201/H201*100</f>
        <v>96.491228070175438</v>
      </c>
      <c r="J201" s="17">
        <f>SQRT(I201*(100-I201)/(L201-1))</f>
        <v>2.4588241692166148</v>
      </c>
      <c r="K201" s="18">
        <f>100-I201</f>
        <v>3.5087719298245617</v>
      </c>
      <c r="L201" s="1">
        <f>H190</f>
        <v>57</v>
      </c>
      <c r="M201">
        <v>1</v>
      </c>
      <c r="N201" s="1">
        <v>932.47</v>
      </c>
      <c r="O201" s="17">
        <f>N201/N205*100</f>
        <v>1.0058571354295101</v>
      </c>
      <c r="P201" s="52">
        <f>((O201*O201*(I201/100)*(K201/100))/(L201-1))</f>
        <v>6.116846032756814E-4</v>
      </c>
      <c r="S201" s="66" t="s">
        <v>39</v>
      </c>
      <c r="T201" s="67">
        <f>J548</f>
        <v>1.340195353335478</v>
      </c>
      <c r="U201" s="67">
        <f>J549</f>
        <v>3.7802263481198901</v>
      </c>
      <c r="V201" s="67">
        <f>J550</f>
        <v>0.15151515151514658</v>
      </c>
      <c r="W201" s="67">
        <f>J551</f>
        <v>0.58954505375428989</v>
      </c>
      <c r="X201" s="67">
        <f>J552</f>
        <v>0.75639631076802727</v>
      </c>
      <c r="AD201" s="51"/>
      <c r="AE201" s="51"/>
      <c r="AJ201" t="s">
        <v>633</v>
      </c>
      <c r="AK201">
        <v>6</v>
      </c>
      <c r="AL201" s="1">
        <v>139.22</v>
      </c>
      <c r="AM201" s="1">
        <v>221.1</v>
      </c>
      <c r="AN201" s="1">
        <v>4594.54</v>
      </c>
      <c r="AO201" s="1">
        <v>15163.74</v>
      </c>
      <c r="AP201" s="1">
        <v>4230.7700000000004</v>
      </c>
      <c r="AR201" s="1">
        <v>205.42</v>
      </c>
      <c r="AS201" s="1">
        <v>932.47</v>
      </c>
      <c r="AT201" s="1">
        <v>55417.05</v>
      </c>
      <c r="AU201" s="1">
        <v>30219.01</v>
      </c>
      <c r="AV201" s="1">
        <v>5930.07</v>
      </c>
    </row>
    <row r="202" spans="1:48" x14ac:dyDescent="0.3">
      <c r="A202" t="s">
        <v>5</v>
      </c>
      <c r="B202" s="13">
        <v>2</v>
      </c>
      <c r="C202" s="33">
        <f t="shared" si="33"/>
        <v>0</v>
      </c>
      <c r="D202" s="19">
        <f t="shared" si="33"/>
        <v>0</v>
      </c>
      <c r="E202" s="34">
        <f t="shared" si="33"/>
        <v>59.687902178057954</v>
      </c>
      <c r="F202" s="19">
        <f t="shared" si="33"/>
        <v>9.0573447918145603E-2</v>
      </c>
      <c r="G202" s="20">
        <f t="shared" si="33"/>
        <v>0</v>
      </c>
      <c r="H202" s="17">
        <f>SUM(C202:G202)</f>
        <v>59.7784756259761</v>
      </c>
      <c r="I202" s="17">
        <f>E202/H202*100</f>
        <v>99.848484848484858</v>
      </c>
      <c r="J202" s="17">
        <f>SQRT(I202*(100-I202)/(L202-1))</f>
        <v>0.15151515151514658</v>
      </c>
      <c r="K202" s="18">
        <f>100-I202</f>
        <v>0.15151515151514161</v>
      </c>
      <c r="L202" s="1">
        <f>H191</f>
        <v>660</v>
      </c>
      <c r="M202">
        <v>2</v>
      </c>
      <c r="N202" s="1">
        <v>55417.05</v>
      </c>
      <c r="O202" s="17">
        <f>N202/N205*100</f>
        <v>59.7784756259761</v>
      </c>
      <c r="P202" s="52">
        <f>((O202*O202*(I202/100)*(K202/100))/(L202-1))</f>
        <v>8.2035494677804976E-3</v>
      </c>
      <c r="S202" s="66" t="s">
        <v>51</v>
      </c>
      <c r="T202" s="67">
        <f>N537*100</f>
        <v>16.227180527383371</v>
      </c>
      <c r="U202" s="67">
        <f>N538*100</f>
        <v>91.228070175438589</v>
      </c>
      <c r="V202" s="67">
        <f>N539*100</f>
        <v>76.053087132140803</v>
      </c>
      <c r="W202" s="67">
        <f>N540*100</f>
        <v>93.672966310599833</v>
      </c>
      <c r="X202" s="67">
        <f>N541*100</f>
        <v>96.583375828658859</v>
      </c>
      <c r="AD202" s="51"/>
      <c r="AE202" s="51"/>
      <c r="AJ202" t="s">
        <v>633</v>
      </c>
      <c r="AK202">
        <v>7</v>
      </c>
      <c r="AL202" s="1">
        <v>210.54</v>
      </c>
      <c r="AM202" s="1">
        <v>161.68</v>
      </c>
      <c r="AN202" s="1">
        <v>4670.62</v>
      </c>
      <c r="AO202" s="1">
        <v>14987.47</v>
      </c>
      <c r="AP202" s="1">
        <v>4319.0600000000004</v>
      </c>
      <c r="AR202" s="1">
        <v>354.39</v>
      </c>
      <c r="AS202" s="1">
        <v>878.92</v>
      </c>
      <c r="AT202" s="1">
        <v>55338.1</v>
      </c>
      <c r="AU202" s="1">
        <v>30158.44</v>
      </c>
      <c r="AV202" s="1">
        <v>5974.18</v>
      </c>
    </row>
    <row r="203" spans="1:48" x14ac:dyDescent="0.3">
      <c r="A203" t="s">
        <v>6</v>
      </c>
      <c r="B203" s="13">
        <v>3</v>
      </c>
      <c r="C203" s="33">
        <f t="shared" si="33"/>
        <v>0</v>
      </c>
      <c r="D203" s="19">
        <f t="shared" si="33"/>
        <v>0.22403644456627325</v>
      </c>
      <c r="E203" s="19">
        <f t="shared" si="33"/>
        <v>0.16802733342470494</v>
      </c>
      <c r="F203" s="34">
        <f t="shared" si="33"/>
        <v>32.037211572977071</v>
      </c>
      <c r="G203" s="20">
        <f t="shared" si="33"/>
        <v>0.16802733342470494</v>
      </c>
      <c r="H203" s="17">
        <f>SUM(C203:G203)</f>
        <v>32.597302684392751</v>
      </c>
      <c r="I203" s="17">
        <f>F203/H203*100</f>
        <v>98.281786941580762</v>
      </c>
      <c r="J203" s="17">
        <f>SQRT(I203*(100-I203)/(L203-1))</f>
        <v>0.53912188711835296</v>
      </c>
      <c r="K203" s="18">
        <f>100-I203</f>
        <v>1.7182130584192379</v>
      </c>
      <c r="L203" s="1">
        <f>H192</f>
        <v>582</v>
      </c>
      <c r="M203">
        <v>3</v>
      </c>
      <c r="N203" s="1">
        <v>30219.01</v>
      </c>
      <c r="O203" s="17">
        <f>N203/N205*100</f>
        <v>32.597302684392758</v>
      </c>
      <c r="P203" s="52">
        <f>((O203*O203*(I203/100)*(K203/100))/(L203-1))</f>
        <v>3.0884264090478574E-2</v>
      </c>
      <c r="R203" s="16" t="s">
        <v>61</v>
      </c>
      <c r="S203" t="s">
        <v>9</v>
      </c>
      <c r="T203" s="1">
        <f>N548</f>
        <v>253.75</v>
      </c>
      <c r="U203" s="1">
        <f>N549</f>
        <v>906.46</v>
      </c>
      <c r="V203" s="1">
        <f>N550</f>
        <v>55998.18</v>
      </c>
      <c r="W203" s="1">
        <f>N551</f>
        <v>29581.45</v>
      </c>
      <c r="X203" s="1">
        <f>N552</f>
        <v>5964.19</v>
      </c>
      <c r="Z203" t="s">
        <v>36</v>
      </c>
      <c r="AA203" s="1">
        <f>N553</f>
        <v>92704.03</v>
      </c>
      <c r="AD203" s="51"/>
      <c r="AE203" s="51"/>
      <c r="AJ203" t="s">
        <v>633</v>
      </c>
      <c r="AK203">
        <v>8</v>
      </c>
      <c r="AL203" s="1">
        <v>183.71</v>
      </c>
      <c r="AM203" s="1">
        <v>196.37</v>
      </c>
      <c r="AN203" s="1">
        <v>4571.0600000000004</v>
      </c>
      <c r="AO203" s="1">
        <v>15098.6</v>
      </c>
      <c r="AP203" s="1">
        <v>4299.62</v>
      </c>
      <c r="AR203" s="1">
        <v>257.62</v>
      </c>
      <c r="AS203" s="1">
        <v>994.22</v>
      </c>
      <c r="AT203" s="1">
        <v>55213.26</v>
      </c>
      <c r="AU203" s="1">
        <v>30277.52</v>
      </c>
      <c r="AV203" s="1">
        <v>5961.4</v>
      </c>
    </row>
    <row r="204" spans="1:48" ht="15.6" x14ac:dyDescent="0.35">
      <c r="A204" t="s">
        <v>7</v>
      </c>
      <c r="B204" s="13">
        <v>4</v>
      </c>
      <c r="C204" s="35">
        <f t="shared" si="33"/>
        <v>0</v>
      </c>
      <c r="D204" s="36">
        <f t="shared" si="33"/>
        <v>6.3397201342607554E-3</v>
      </c>
      <c r="E204" s="21">
        <f t="shared" si="33"/>
        <v>6.3397201342607554E-3</v>
      </c>
      <c r="F204" s="21">
        <f t="shared" si="33"/>
        <v>0.47547901006955673</v>
      </c>
      <c r="G204" s="37">
        <f t="shared" si="33"/>
        <v>5.9086191651310243</v>
      </c>
      <c r="H204" s="17">
        <f>SUM(C204:G204)</f>
        <v>6.3967776154691025</v>
      </c>
      <c r="I204" s="17">
        <f>G204/H204*100</f>
        <v>92.368681863230918</v>
      </c>
      <c r="J204" s="17">
        <f>SQRT(I204*(100-I204)/(L204-1))</f>
        <v>0.83624182747586007</v>
      </c>
      <c r="K204" s="18">
        <f>100-I204</f>
        <v>7.6313181367690817</v>
      </c>
      <c r="L204" s="1">
        <f>H193</f>
        <v>1009</v>
      </c>
      <c r="M204">
        <v>4</v>
      </c>
      <c r="N204" s="1">
        <v>5930.07</v>
      </c>
      <c r="O204" s="17">
        <f>N204/N205*100</f>
        <v>6.3967776154691025</v>
      </c>
      <c r="P204" s="52">
        <f>((O204*O204*(I204/100)*(K204/100))/(L204-1))</f>
        <v>2.8614507691351499E-3</v>
      </c>
      <c r="R204" s="16" t="s">
        <v>318</v>
      </c>
      <c r="S204" t="s">
        <v>63</v>
      </c>
      <c r="T204" s="57">
        <f>$AA203*T196/100</f>
        <v>124.16001059120245</v>
      </c>
      <c r="U204" s="57">
        <f>$AA203*U196/100</f>
        <v>991.24964810376343</v>
      </c>
      <c r="V204" s="57">
        <f>$AA203*V196/100</f>
        <v>56363.769456766742</v>
      </c>
      <c r="W204" s="57">
        <f>$AA203*W196/100</f>
        <v>29407.930589790041</v>
      </c>
      <c r="X204" s="57">
        <f>$AA203*X196/100</f>
        <v>5816.9202947482436</v>
      </c>
      <c r="Z204" t="s">
        <v>36</v>
      </c>
      <c r="AA204" s="25">
        <f>SUM(T204:X204)</f>
        <v>92704.03</v>
      </c>
      <c r="AD204" s="51"/>
      <c r="AE204" s="51"/>
      <c r="AJ204" t="s">
        <v>633</v>
      </c>
      <c r="AK204">
        <v>9</v>
      </c>
      <c r="AL204" s="1">
        <v>180.99</v>
      </c>
      <c r="AM204" s="1">
        <v>205.28</v>
      </c>
      <c r="AN204" s="1">
        <v>4667.59</v>
      </c>
      <c r="AO204" s="1">
        <v>14972.32</v>
      </c>
      <c r="AP204" s="1">
        <v>4323.1899999999996</v>
      </c>
      <c r="AR204" s="1">
        <v>269.87</v>
      </c>
      <c r="AS204" s="1">
        <v>977.39</v>
      </c>
      <c r="AT204" s="1">
        <v>55217.94</v>
      </c>
      <c r="AU204" s="1">
        <v>30215.14</v>
      </c>
      <c r="AV204" s="1">
        <v>6023.69</v>
      </c>
    </row>
    <row r="205" spans="1:48" x14ac:dyDescent="0.3">
      <c r="B205" t="s">
        <v>28</v>
      </c>
      <c r="C205" s="17">
        <f t="shared" ref="C205:H205" si="34">SUM(C200:C204)</f>
        <v>1.6213678443844259E-2</v>
      </c>
      <c r="D205" s="17">
        <f t="shared" si="34"/>
        <v>1.200940067307956</v>
      </c>
      <c r="E205" s="17">
        <f t="shared" si="34"/>
        <v>60.094091900121967</v>
      </c>
      <c r="F205" s="17">
        <f t="shared" si="34"/>
        <v>32.612107855570507</v>
      </c>
      <c r="G205" s="17">
        <f t="shared" si="34"/>
        <v>6.0766464985557294</v>
      </c>
      <c r="H205" s="18">
        <f t="shared" si="34"/>
        <v>100.00000000000001</v>
      </c>
      <c r="I205" s="13" t="s">
        <v>24</v>
      </c>
      <c r="J205" s="12" t="s">
        <v>29</v>
      </c>
      <c r="N205" s="1">
        <f>SUM(N200:N204)</f>
        <v>92704.01999999999</v>
      </c>
      <c r="O205" s="17">
        <f>SUM(O200:O204)</f>
        <v>100.00000000000001</v>
      </c>
      <c r="R205" s="66"/>
      <c r="S205" s="66" t="s">
        <v>62</v>
      </c>
      <c r="T205" s="67">
        <f>$AA203*T197/100</f>
        <v>71.837312139622696</v>
      </c>
      <c r="U205" s="67">
        <f>$AA203*U197/100</f>
        <v>94.517671295591484</v>
      </c>
      <c r="V205" s="67">
        <f>$AA203*V197/100</f>
        <v>126.04166193398579</v>
      </c>
      <c r="W205" s="67">
        <f>$AA203*W197/100</f>
        <v>198.72609909470299</v>
      </c>
      <c r="X205" s="67">
        <f>$AA203*X197/100</f>
        <v>112.00102484690824</v>
      </c>
      <c r="AA205" s="1"/>
      <c r="AD205" s="51"/>
      <c r="AE205" s="51"/>
      <c r="AJ205" t="s">
        <v>633</v>
      </c>
      <c r="AK205">
        <v>10</v>
      </c>
      <c r="AL205" s="1">
        <v>156.22999999999999</v>
      </c>
      <c r="AM205" s="1">
        <v>142.21</v>
      </c>
      <c r="AN205" s="1">
        <v>4658.08</v>
      </c>
      <c r="AO205" s="1">
        <v>15030.5</v>
      </c>
      <c r="AP205" s="1">
        <v>4362.34</v>
      </c>
      <c r="AR205" s="1">
        <v>250.87</v>
      </c>
      <c r="AS205" s="1">
        <v>888.64</v>
      </c>
      <c r="AT205" s="1">
        <v>55499.14</v>
      </c>
      <c r="AU205" s="1">
        <v>30036.28</v>
      </c>
      <c r="AV205" s="1">
        <v>6029.09</v>
      </c>
    </row>
    <row r="206" spans="1:48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2.7172178297950513E-3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0.11446810263781401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0.13492848282005515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0.20449163818556895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0.11054938176015487</v>
      </c>
      <c r="H206" s="1"/>
      <c r="I206" s="14">
        <f>(C200+D201+E202+F203+G204)/H205</f>
        <v>0.98620510497217295</v>
      </c>
      <c r="J206" s="53">
        <f>SQRT(SUM(P200:P204))/100</f>
        <v>2.0632098441670252E-3</v>
      </c>
      <c r="M206" s="1"/>
      <c r="N206" s="9"/>
      <c r="R206" t="s">
        <v>107</v>
      </c>
      <c r="S206" t="s">
        <v>28</v>
      </c>
      <c r="T206" s="57">
        <f>C582</f>
        <v>0.13170903874482401</v>
      </c>
      <c r="U206" s="57">
        <f t="shared" ref="U206:X209" si="35">D582</f>
        <v>1.0885496626845788</v>
      </c>
      <c r="V206" s="57">
        <f t="shared" si="35"/>
        <v>60.33668183650137</v>
      </c>
      <c r="W206" s="57">
        <f t="shared" si="35"/>
        <v>32.096114008581409</v>
      </c>
      <c r="X206" s="57">
        <f>G582</f>
        <v>6.3469454534878196</v>
      </c>
      <c r="Y206" s="60"/>
      <c r="Z206" s="74"/>
      <c r="AA206" s="12"/>
      <c r="AD206" s="51"/>
      <c r="AE206" s="51"/>
      <c r="AJ206" t="s">
        <v>633</v>
      </c>
      <c r="AK206">
        <v>11</v>
      </c>
      <c r="AL206" s="1">
        <v>156.05000000000001</v>
      </c>
      <c r="AM206" s="1">
        <v>131.31</v>
      </c>
      <c r="AN206" s="1">
        <v>4615.46</v>
      </c>
      <c r="AO206" s="1">
        <v>15144.97</v>
      </c>
      <c r="AP206" s="1">
        <v>4301.57</v>
      </c>
      <c r="AR206" s="1">
        <v>243.49</v>
      </c>
      <c r="AS206" s="1">
        <v>900.97</v>
      </c>
      <c r="AT206" s="1">
        <v>55191.21</v>
      </c>
      <c r="AU206" s="1">
        <v>30428.66</v>
      </c>
      <c r="AV206" s="1">
        <v>5939.7</v>
      </c>
    </row>
    <row r="207" spans="1:48" x14ac:dyDescent="0.3">
      <c r="B207" s="1" t="s">
        <v>30</v>
      </c>
      <c r="C207" s="17">
        <f>C200/C205*100</f>
        <v>100</v>
      </c>
      <c r="D207" s="17">
        <f>D201/D205*100</f>
        <v>80.817014023276911</v>
      </c>
      <c r="E207" s="17">
        <f>E202/E205*100</f>
        <v>99.324077111042612</v>
      </c>
      <c r="F207" s="17">
        <f>F203/F205*100</f>
        <v>98.237169197589182</v>
      </c>
      <c r="G207" s="17">
        <f>G204/G205*100</f>
        <v>97.234867398249321</v>
      </c>
      <c r="H207" s="1"/>
      <c r="S207" s="66" t="s">
        <v>39</v>
      </c>
      <c r="T207" s="67">
        <f>C583</f>
        <v>7.8526030306310876E-2</v>
      </c>
      <c r="U207" s="67">
        <f t="shared" si="35"/>
        <v>0.10022780024609948</v>
      </c>
      <c r="V207" s="67">
        <f t="shared" si="35"/>
        <v>0.13542525808271294</v>
      </c>
      <c r="W207" s="67">
        <f t="shared" si="35"/>
        <v>0.22317626135621685</v>
      </c>
      <c r="X207" s="67">
        <f t="shared" si="35"/>
        <v>0.13288411971045838</v>
      </c>
      <c r="AD207" s="51"/>
      <c r="AE207" s="51"/>
      <c r="AJ207" t="s">
        <v>633</v>
      </c>
      <c r="AK207">
        <v>12</v>
      </c>
      <c r="AL207" s="1">
        <v>155.79</v>
      </c>
      <c r="AM207" s="1">
        <v>158.99</v>
      </c>
      <c r="AN207" s="1">
        <v>4647.5200000000004</v>
      </c>
      <c r="AO207" s="1">
        <v>15099.08</v>
      </c>
      <c r="AP207" s="1">
        <v>4287.99</v>
      </c>
      <c r="AR207" s="1">
        <v>248.98</v>
      </c>
      <c r="AS207" s="1">
        <v>882.97</v>
      </c>
      <c r="AT207" s="1">
        <v>55439.37</v>
      </c>
      <c r="AU207" s="1">
        <v>30180.67</v>
      </c>
      <c r="AV207" s="1">
        <v>5952.03</v>
      </c>
    </row>
    <row r="208" spans="1:48" x14ac:dyDescent="0.3">
      <c r="B208" s="16" t="s">
        <v>39</v>
      </c>
      <c r="C208" s="18">
        <f>SQRT((C211+C212)/(C205*C205))</f>
        <v>0</v>
      </c>
      <c r="D208" s="18">
        <f>SQRT((D211+D212)/(D205*D205))</f>
        <v>8.5041536582814832</v>
      </c>
      <c r="E208" s="18">
        <f>SQRT((E211+E212)/(E205*E205))</f>
        <v>0.16593643811553399</v>
      </c>
      <c r="F208" s="18">
        <f>SQRT((F211+F212)/(F205*F205))</f>
        <v>0.32991595158379006</v>
      </c>
      <c r="G208" s="18">
        <f>SQRT((G211+G212)/(G205*G205))</f>
        <v>1.5686330384450657</v>
      </c>
      <c r="H208" s="1"/>
      <c r="S208" t="s">
        <v>30</v>
      </c>
      <c r="T208" s="57">
        <f>C584</f>
        <v>15.612206007760305</v>
      </c>
      <c r="U208" s="57">
        <f t="shared" si="35"/>
        <v>84.684251518984581</v>
      </c>
      <c r="V208" s="57">
        <f t="shared" si="35"/>
        <v>99.235330213206822</v>
      </c>
      <c r="W208" s="57">
        <f t="shared" si="35"/>
        <v>98.520142396890378</v>
      </c>
      <c r="X208" s="57">
        <f t="shared" si="35"/>
        <v>95.622053431069602</v>
      </c>
      <c r="AD208" s="51"/>
      <c r="AE208" s="51"/>
      <c r="AJ208" t="s">
        <v>633</v>
      </c>
      <c r="AK208">
        <v>13</v>
      </c>
      <c r="AL208" s="1">
        <v>183.24</v>
      </c>
      <c r="AM208" s="1">
        <v>211.36</v>
      </c>
      <c r="AN208" s="1">
        <v>4544.92</v>
      </c>
      <c r="AO208" s="1">
        <v>15091.39</v>
      </c>
      <c r="AP208" s="1">
        <v>4318.46</v>
      </c>
      <c r="AR208" s="1">
        <v>269.95999999999998</v>
      </c>
      <c r="AS208" s="1">
        <v>944.71</v>
      </c>
      <c r="AT208" s="1">
        <v>55146.28</v>
      </c>
      <c r="AU208" s="1">
        <v>30247.19</v>
      </c>
      <c r="AV208" s="1">
        <v>6095.88</v>
      </c>
    </row>
    <row r="209" spans="1:48" x14ac:dyDescent="0.3">
      <c r="B209" s="1" t="s">
        <v>37</v>
      </c>
      <c r="C209" s="18">
        <f>100-C207</f>
        <v>0</v>
      </c>
      <c r="D209" s="18">
        <f>100-D207</f>
        <v>19.182985976723089</v>
      </c>
      <c r="E209" s="18">
        <f>100-E207</f>
        <v>0.67592288895738761</v>
      </c>
      <c r="F209" s="18">
        <f>100-F207</f>
        <v>1.7628308024108179</v>
      </c>
      <c r="G209" s="18">
        <f>100-G207</f>
        <v>2.765132601750679</v>
      </c>
      <c r="S209" s="66" t="s">
        <v>39</v>
      </c>
      <c r="T209" s="67">
        <f>C585</f>
        <v>211.07322062230389</v>
      </c>
      <c r="U209" s="67">
        <f t="shared" si="35"/>
        <v>8.5187729093990328</v>
      </c>
      <c r="V209" s="67">
        <f t="shared" si="35"/>
        <v>0.16591930212662173</v>
      </c>
      <c r="W209" s="67">
        <f t="shared" si="35"/>
        <v>0.32856192744181739</v>
      </c>
      <c r="X209" s="67">
        <f t="shared" si="35"/>
        <v>1.8954504611605261</v>
      </c>
      <c r="AD209" s="51"/>
      <c r="AE209" s="51"/>
      <c r="AJ209" t="s">
        <v>633</v>
      </c>
      <c r="AK209">
        <v>14</v>
      </c>
      <c r="AL209" s="1">
        <v>173.83</v>
      </c>
      <c r="AM209" s="1">
        <v>128.68</v>
      </c>
      <c r="AN209" s="1">
        <v>4628.72</v>
      </c>
      <c r="AO209" s="1">
        <v>15151.15</v>
      </c>
      <c r="AP209" s="1">
        <v>4266.99</v>
      </c>
      <c r="AR209" s="1">
        <v>253.3</v>
      </c>
      <c r="AS209" s="1">
        <v>883.06</v>
      </c>
      <c r="AT209" s="1">
        <v>55284.63</v>
      </c>
      <c r="AU209" s="1">
        <v>30356.47</v>
      </c>
      <c r="AV209" s="1">
        <v>5926.56</v>
      </c>
    </row>
    <row r="210" spans="1:48" ht="15.6" x14ac:dyDescent="0.35">
      <c r="B210" s="1" t="s">
        <v>25</v>
      </c>
      <c r="C210" s="1">
        <f>C194</f>
        <v>33</v>
      </c>
      <c r="D210" s="1">
        <f>D194</f>
        <v>60</v>
      </c>
      <c r="E210" s="1">
        <f>E194</f>
        <v>1065</v>
      </c>
      <c r="F210" s="1">
        <f>F194</f>
        <v>666</v>
      </c>
      <c r="G210" s="1">
        <f>G194</f>
        <v>935</v>
      </c>
      <c r="S210" s="15" t="s">
        <v>31</v>
      </c>
      <c r="T210" s="71">
        <f>I577</f>
        <v>7.9822616407982254</v>
      </c>
      <c r="U210" s="71">
        <f>I578</f>
        <v>94.73684210526315</v>
      </c>
      <c r="V210" s="71">
        <f>I579</f>
        <v>99.848484848484844</v>
      </c>
      <c r="W210" s="71">
        <f>I580</f>
        <v>97.766323024054984</v>
      </c>
      <c r="X210" s="71">
        <f>I581</f>
        <v>93.954410307234895</v>
      </c>
      <c r="AD210" s="51"/>
      <c r="AE210" s="51"/>
      <c r="AJ210" t="s">
        <v>633</v>
      </c>
      <c r="AK210">
        <v>15</v>
      </c>
      <c r="AL210" s="1">
        <v>156.13</v>
      </c>
      <c r="AM210" s="1">
        <v>131.88</v>
      </c>
      <c r="AN210" s="1">
        <v>4822.6499999999996</v>
      </c>
      <c r="AO210" s="1">
        <v>14912.15</v>
      </c>
      <c r="AP210" s="1">
        <v>4326.5600000000004</v>
      </c>
      <c r="AR210" s="1">
        <v>244.57</v>
      </c>
      <c r="AS210" s="1">
        <v>887.65</v>
      </c>
      <c r="AT210" s="1">
        <v>55777.37</v>
      </c>
      <c r="AU210" s="1">
        <v>29767.06</v>
      </c>
      <c r="AV210" s="1">
        <v>6027.38</v>
      </c>
    </row>
    <row r="211" spans="1:48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22.509195212275859</v>
      </c>
      <c r="E211" s="18">
        <f>(O202*O202*(100-E207)*(100-E207)*(I202)*(100-I202))/((L202-1)*100)</f>
        <v>0.37479700164582003</v>
      </c>
      <c r="F211" s="18">
        <f>(O203*O203*(100-F207)*(100-F207)*(I203)*(100-I203))/((L203-1)*100)</f>
        <v>9.5975087853272072</v>
      </c>
      <c r="G211" s="18">
        <f>(O204*O204*(100-G207)*(100-G207)*(I204)*(100-I204))/((L204-1)*100)</f>
        <v>2.1878533273374332</v>
      </c>
      <c r="S211" s="75" t="s">
        <v>39</v>
      </c>
      <c r="T211" s="76">
        <f>J577</f>
        <v>1.2775929304556923</v>
      </c>
      <c r="U211" s="76">
        <f>J578</f>
        <v>2.9839300500728485</v>
      </c>
      <c r="V211" s="76">
        <f>J579</f>
        <v>0.15151515151515368</v>
      </c>
      <c r="W211" s="76">
        <f>J580</f>
        <v>0.61307944913319135</v>
      </c>
      <c r="X211" s="76">
        <f>J581</f>
        <v>0.75066756966190173</v>
      </c>
      <c r="AD211" s="51"/>
      <c r="AE211" s="51"/>
      <c r="AJ211" t="s">
        <v>633</v>
      </c>
      <c r="AK211">
        <v>16</v>
      </c>
      <c r="AL211" s="1">
        <v>171.76</v>
      </c>
      <c r="AM211" s="1">
        <v>146.85</v>
      </c>
      <c r="AN211" s="1">
        <v>4617.6400000000003</v>
      </c>
      <c r="AO211" s="1">
        <v>15176.48</v>
      </c>
      <c r="AP211" s="1">
        <v>4236.6400000000003</v>
      </c>
      <c r="AR211" s="1">
        <v>248.62</v>
      </c>
      <c r="AS211" s="1">
        <v>870.99</v>
      </c>
      <c r="AT211" s="1">
        <v>55426.5</v>
      </c>
      <c r="AU211" s="1">
        <v>30327.119999999999</v>
      </c>
      <c r="AV211" s="1">
        <v>5830.78</v>
      </c>
    </row>
    <row r="212" spans="1:48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81.795742120891674</v>
      </c>
      <c r="E212" s="18">
        <f>E207*E207*(SUM((H200*E200*(1-E189/H189))/(H189-1),(H201*E201*(1-E190/H190))/(H190-1), (H203*E203*(1-E192/H192))/(H192-1),(H204*E204*(1-E193/H193))/(H193-1)))</f>
        <v>99.061989496950872</v>
      </c>
      <c r="F212" s="18">
        <f>F207*F207*(SUM((H200*F200*(1-F189/H189))/(H189-1),(H201*F201*(1-F190/H190))/(H190-1), (H202*F202*(1-F191/H191))/(H191-1),(H204*F204*(1-F193/H193))/(H193-1)))</f>
        <v>106.16405068318628</v>
      </c>
      <c r="G212" s="18">
        <f>G207*G207*(SUM((H200*G200*(1-G189/H189))/(H189-1),(H201*G201*(1-G190/H190))/(H190-1), (H202*G202*(1-G191/H191))/(H191-1),(H203*G203*(1-G192/H192))/(H192-1)))</f>
        <v>88.671713246084892</v>
      </c>
      <c r="S212" s="66" t="s">
        <v>51</v>
      </c>
      <c r="T212" s="67">
        <f>N566*100</f>
        <v>14.723926380368098</v>
      </c>
      <c r="U212" s="67">
        <f>N567*100</f>
        <v>94.73684210526315</v>
      </c>
      <c r="V212" s="67">
        <f>N568*100</f>
        <v>75.703618609994251</v>
      </c>
      <c r="W212" s="67">
        <f>N569*100</f>
        <v>93.89438943894389</v>
      </c>
      <c r="X212" s="67">
        <f>N570*100</f>
        <v>96.63608562691131</v>
      </c>
      <c r="AD212" s="51"/>
      <c r="AE212" s="51"/>
      <c r="AJ212" t="s">
        <v>633</v>
      </c>
      <c r="AK212">
        <v>17</v>
      </c>
      <c r="AL212" s="1">
        <v>177.75</v>
      </c>
      <c r="AM212" s="1">
        <v>141.56</v>
      </c>
      <c r="AN212" s="1">
        <v>4705.8900000000003</v>
      </c>
      <c r="AO212" s="1">
        <v>15081.71</v>
      </c>
      <c r="AP212" s="1">
        <v>4242.46</v>
      </c>
      <c r="AR212" s="1">
        <v>268.25</v>
      </c>
      <c r="AS212" s="1">
        <v>849.48</v>
      </c>
      <c r="AT212" s="1">
        <v>55605.18</v>
      </c>
      <c r="AU212" s="1">
        <v>30131.43</v>
      </c>
      <c r="AV212" s="1">
        <v>5849.69</v>
      </c>
    </row>
    <row r="213" spans="1:48" x14ac:dyDescent="0.3">
      <c r="R213" s="16" t="s">
        <v>61</v>
      </c>
      <c r="S213" t="s">
        <v>9</v>
      </c>
      <c r="T213" s="1">
        <f>N577</f>
        <v>238.81</v>
      </c>
      <c r="U213" s="1">
        <f>N578</f>
        <v>902.05</v>
      </c>
      <c r="V213" s="1">
        <f>N579</f>
        <v>55591.05</v>
      </c>
      <c r="W213" s="1">
        <f>N580</f>
        <v>29983.81</v>
      </c>
      <c r="X213" s="1">
        <f>N581</f>
        <v>5988.31</v>
      </c>
      <c r="Z213" t="s">
        <v>36</v>
      </c>
      <c r="AA213" s="1">
        <f>N582</f>
        <v>92704.03</v>
      </c>
      <c r="AD213" s="51"/>
      <c r="AE213" s="51"/>
      <c r="AJ213" t="s">
        <v>633</v>
      </c>
      <c r="AK213">
        <v>18</v>
      </c>
      <c r="AL213" s="1">
        <v>165.31</v>
      </c>
      <c r="AM213" s="1">
        <v>219.43</v>
      </c>
      <c r="AN213" s="1">
        <v>4810.6499999999996</v>
      </c>
      <c r="AO213" s="1">
        <v>14857.43</v>
      </c>
      <c r="AP213" s="1">
        <v>4296.55</v>
      </c>
      <c r="AR213" s="1">
        <v>253.75</v>
      </c>
      <c r="AS213" s="1">
        <v>906.46</v>
      </c>
      <c r="AT213" s="1">
        <v>55998.18</v>
      </c>
      <c r="AU213" s="1">
        <v>29581.45</v>
      </c>
      <c r="AV213" s="1">
        <v>5964.19</v>
      </c>
    </row>
    <row r="214" spans="1:48" ht="15.6" x14ac:dyDescent="0.35">
      <c r="R214" s="16" t="s">
        <v>318</v>
      </c>
      <c r="S214" t="s">
        <v>63</v>
      </c>
      <c r="T214" s="57">
        <f>$AA213*T206/100</f>
        <v>122.09958679071327</v>
      </c>
      <c r="U214" s="57">
        <f>$AA213*U206/100</f>
        <v>1009.1294058600107</v>
      </c>
      <c r="V214" s="57">
        <f>$AA213*V206/100</f>
        <v>55934.535630714781</v>
      </c>
      <c r="W214" s="57">
        <f>$AA213*W206/100</f>
        <v>29754.391159349514</v>
      </c>
      <c r="X214" s="57">
        <f>$AA213*X206/100</f>
        <v>5883.8742172849843</v>
      </c>
      <c r="Z214" t="s">
        <v>36</v>
      </c>
      <c r="AA214" s="25">
        <f>SUM(T214:X214)</f>
        <v>92704.03</v>
      </c>
      <c r="AD214" s="51"/>
      <c r="AE214" s="51"/>
      <c r="AJ214" t="s">
        <v>633</v>
      </c>
      <c r="AK214">
        <v>19</v>
      </c>
      <c r="AL214" s="1">
        <v>160.6</v>
      </c>
      <c r="AM214" s="1">
        <v>181.67</v>
      </c>
      <c r="AN214" s="1">
        <v>4680.79</v>
      </c>
      <c r="AO214" s="1">
        <v>15022.93</v>
      </c>
      <c r="AP214" s="1">
        <v>4303.3900000000003</v>
      </c>
      <c r="AR214" s="1">
        <v>238.81</v>
      </c>
      <c r="AS214" s="1">
        <v>902.05</v>
      </c>
      <c r="AT214" s="1">
        <v>55591.05</v>
      </c>
      <c r="AU214" s="1">
        <v>29983.81</v>
      </c>
      <c r="AV214" s="1">
        <v>5988.31</v>
      </c>
    </row>
    <row r="215" spans="1:48" x14ac:dyDescent="0.3">
      <c r="A215" s="348" t="s">
        <v>384</v>
      </c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 t="s">
        <v>80</v>
      </c>
      <c r="M215" s="348"/>
      <c r="N215" s="348"/>
      <c r="O215" s="348"/>
      <c r="P215" s="348"/>
      <c r="R215" s="66"/>
      <c r="S215" s="66" t="s">
        <v>62</v>
      </c>
      <c r="T215" s="67">
        <f>$AA213*T207/100</f>
        <v>72.796794692971531</v>
      </c>
      <c r="U215" s="67">
        <f>$AA213*U207/100</f>
        <v>92.915210008484138</v>
      </c>
      <c r="V215" s="67">
        <f>$AA213*V207/100</f>
        <v>125.54467188057562</v>
      </c>
      <c r="W215" s="67">
        <f>$AA213*W207/100</f>
        <v>206.89338828054565</v>
      </c>
      <c r="X215" s="67">
        <f>$AA213*X207/100</f>
        <v>123.18893420161925</v>
      </c>
      <c r="AA215" s="1"/>
      <c r="AD215" s="51"/>
      <c r="AE215" s="51"/>
      <c r="AL215" s="1"/>
      <c r="AM215" s="1"/>
      <c r="AN215" s="1"/>
      <c r="AO215" s="1"/>
      <c r="AP215" s="1"/>
      <c r="AQ215" t="s">
        <v>644</v>
      </c>
    </row>
    <row r="216" spans="1:48" x14ac:dyDescent="0.3">
      <c r="A216" t="s">
        <v>315</v>
      </c>
      <c r="B216" t="s">
        <v>21</v>
      </c>
      <c r="I216" s="1" t="s">
        <v>53</v>
      </c>
      <c r="O216" s="142"/>
      <c r="P216" s="142"/>
      <c r="AJ216" t="s">
        <v>644</v>
      </c>
      <c r="AK216">
        <v>0</v>
      </c>
      <c r="AL216" s="1">
        <v>2.06</v>
      </c>
      <c r="AM216" s="1">
        <v>14.35</v>
      </c>
      <c r="AN216" s="1">
        <v>1215.19</v>
      </c>
      <c r="AO216" s="1">
        <v>172.92</v>
      </c>
      <c r="AP216" s="1">
        <v>57.33</v>
      </c>
      <c r="AR216" s="1">
        <v>3.69</v>
      </c>
      <c r="AS216" s="1">
        <v>153.63999999999999</v>
      </c>
      <c r="AT216" s="1">
        <v>5114.79</v>
      </c>
      <c r="AU216" s="1">
        <v>626.16</v>
      </c>
      <c r="AV216" s="1">
        <v>312.22000000000003</v>
      </c>
    </row>
    <row r="217" spans="1:48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51</v>
      </c>
      <c r="O217" s="13"/>
      <c r="P217" s="13"/>
      <c r="AJ217" t="s">
        <v>644</v>
      </c>
      <c r="AK217">
        <v>1</v>
      </c>
      <c r="AL217" s="1">
        <v>1.97</v>
      </c>
      <c r="AM217" s="1">
        <v>15.42</v>
      </c>
      <c r="AN217" s="1">
        <v>1219.6099999999999</v>
      </c>
      <c r="AO217" s="1">
        <v>173.21</v>
      </c>
      <c r="AP217" s="1">
        <v>51.64</v>
      </c>
      <c r="AR217" s="1">
        <v>3.69</v>
      </c>
      <c r="AS217" s="1">
        <v>178.3</v>
      </c>
      <c r="AT217" s="1">
        <v>5102.82</v>
      </c>
      <c r="AU217" s="1">
        <v>628.95000000000005</v>
      </c>
      <c r="AV217" s="1">
        <v>296.74</v>
      </c>
    </row>
    <row r="218" spans="1:48" x14ac:dyDescent="0.3">
      <c r="A218" t="s">
        <v>3</v>
      </c>
      <c r="B218" s="13">
        <v>0</v>
      </c>
      <c r="C218" s="26">
        <v>40</v>
      </c>
      <c r="D218" s="3">
        <v>0</v>
      </c>
      <c r="E218" s="3">
        <v>408</v>
      </c>
      <c r="F218" s="3">
        <v>3</v>
      </c>
      <c r="G218" s="4">
        <v>0</v>
      </c>
      <c r="H218" s="1">
        <f>SUM(C218:G218)</f>
        <v>451</v>
      </c>
      <c r="I218" s="10">
        <f>C218/H218</f>
        <v>8.8691796008869186E-2</v>
      </c>
      <c r="J218" s="11">
        <f>1-I218</f>
        <v>0.91130820399113077</v>
      </c>
      <c r="K218">
        <f>H218-C223</f>
        <v>406</v>
      </c>
      <c r="N218" s="10">
        <f>2*(C224*I218)/(C224+I218)</f>
        <v>0.16129032258064516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644</v>
      </c>
      <c r="AK218">
        <v>2</v>
      </c>
      <c r="AL218" s="1">
        <v>2.06</v>
      </c>
      <c r="AM218" s="1">
        <v>20.16</v>
      </c>
      <c r="AN218" s="1">
        <v>1220.9100000000001</v>
      </c>
      <c r="AO218" s="1">
        <v>168.07</v>
      </c>
      <c r="AP218" s="1">
        <v>50.66</v>
      </c>
      <c r="AR218" s="1">
        <v>3.6</v>
      </c>
      <c r="AS218" s="1">
        <v>190.36</v>
      </c>
      <c r="AT218" s="1">
        <v>5110.38</v>
      </c>
      <c r="AU218" s="1">
        <v>613.47</v>
      </c>
      <c r="AV218" s="1">
        <v>292.69</v>
      </c>
    </row>
    <row r="219" spans="1:48" x14ac:dyDescent="0.3">
      <c r="A219" t="s">
        <v>4</v>
      </c>
      <c r="B219" s="13">
        <v>1</v>
      </c>
      <c r="C219" s="5">
        <v>0</v>
      </c>
      <c r="D219" s="27">
        <v>55</v>
      </c>
      <c r="E219" s="1">
        <v>2</v>
      </c>
      <c r="F219" s="1">
        <v>0</v>
      </c>
      <c r="G219" s="6">
        <v>0</v>
      </c>
      <c r="H219" s="1">
        <f>SUM(C219:G219)</f>
        <v>57</v>
      </c>
      <c r="I219" s="10">
        <f>D219/H219</f>
        <v>0.96491228070175439</v>
      </c>
      <c r="J219" s="11">
        <f>1-I219</f>
        <v>3.5087719298245612E-2</v>
      </c>
      <c r="K219">
        <f>H219-D223</f>
        <v>-5</v>
      </c>
      <c r="N219" s="10">
        <f>2*(D224*I219)/(D224+I219)</f>
        <v>0.92436974789915971</v>
      </c>
      <c r="O219" s="1"/>
      <c r="P219" s="1"/>
      <c r="R219" t="s">
        <v>348</v>
      </c>
      <c r="S219" t="s">
        <v>28</v>
      </c>
      <c r="T219" s="57">
        <f>AVERAGE(T16,T26,T36,T46,T56,T66,T76,T86,T96,T106,T116,T126,T136,T146,T156,T166,T176,T186,T196,T206)</f>
        <v>0.14090176506979657</v>
      </c>
      <c r="U219" s="57">
        <f>AVERAGE(U16,U26,U36,U46,U56,U66,U76,U86,U96,U106,U116,U126,U136,U146,U156,U166,U176,U186,U196,U206)</f>
        <v>1.1684487260346565</v>
      </c>
      <c r="V219" s="57">
        <f>AVERAGE(V16,V26,V36,V46,V56,V66,V76,V86,V96,V106,V116,V126,V136,V146,V156,V166,V176,V186,V196,V206)</f>
        <v>60.063217988730642</v>
      </c>
      <c r="W219" s="57">
        <f>AVERAGE(W16,W26,W36,W46,W56,W66,W76,W86,W96,W106,W116,W126,W136,W146,W156,W166,W176,W186,W196,W206)</f>
        <v>32.365637180099995</v>
      </c>
      <c r="X219" s="57">
        <f>AVERAGE(X16,X26,X36,X46,X56,X66,X76,X86,X96,X106,X116,X126,X136,X146,X156,X166,X176,X186,X196,X206)</f>
        <v>6.2617943400649034</v>
      </c>
      <c r="AJ219" t="s">
        <v>644</v>
      </c>
      <c r="AK219">
        <v>3</v>
      </c>
      <c r="AL219" s="1">
        <v>1.97</v>
      </c>
      <c r="AM219" s="1">
        <v>16.39</v>
      </c>
      <c r="AN219" s="1">
        <v>1227.8699999999999</v>
      </c>
      <c r="AO219" s="1">
        <v>171.95</v>
      </c>
      <c r="AP219" s="1">
        <v>43.67</v>
      </c>
      <c r="AR219" s="1">
        <v>3.51</v>
      </c>
      <c r="AS219" s="1">
        <v>187.3</v>
      </c>
      <c r="AT219" s="1">
        <v>5145.3999999999996</v>
      </c>
      <c r="AU219" s="1">
        <v>617.52</v>
      </c>
      <c r="AV219" s="1">
        <v>256.77999999999997</v>
      </c>
    </row>
    <row r="220" spans="1:48" x14ac:dyDescent="0.3">
      <c r="A220" t="s">
        <v>5</v>
      </c>
      <c r="B220" s="13">
        <v>2</v>
      </c>
      <c r="C220" s="5">
        <v>0</v>
      </c>
      <c r="D220" s="1">
        <v>0</v>
      </c>
      <c r="E220" s="27">
        <v>659</v>
      </c>
      <c r="F220" s="1">
        <v>1</v>
      </c>
      <c r="G220" s="6">
        <v>0</v>
      </c>
      <c r="H220" s="1">
        <f>SUM(C220:G220)</f>
        <v>660</v>
      </c>
      <c r="I220" s="10">
        <f>E220/H220</f>
        <v>0.99848484848484853</v>
      </c>
      <c r="J220" s="11">
        <f>1-I220</f>
        <v>1.5151515151514694E-3</v>
      </c>
      <c r="K220">
        <f>H220-E223</f>
        <v>-413</v>
      </c>
      <c r="N220" s="10">
        <f>2*(E224*I220)/(E224+I220)</f>
        <v>0.76053087132140806</v>
      </c>
      <c r="O220" s="1"/>
      <c r="P220" s="1"/>
      <c r="S220" s="66" t="s">
        <v>39</v>
      </c>
      <c r="T220" s="67">
        <f t="shared" ref="T220:X228" si="36">AVERAGE(T17,T27,T37,T47,T57,T67,T77,T87,T97,T107,T117,T127,T137,T147,T157,T167,T177,T187,T197,T207)</f>
        <v>7.7427073060641532E-2</v>
      </c>
      <c r="U220" s="67">
        <f t="shared" si="36"/>
        <v>0.12449627407256432</v>
      </c>
      <c r="V220" s="67">
        <f t="shared" si="36"/>
        <v>0.16447555058197402</v>
      </c>
      <c r="W220" s="67">
        <f t="shared" si="36"/>
        <v>0.21774352971458963</v>
      </c>
      <c r="X220" s="67">
        <f t="shared" si="36"/>
        <v>0.12484002241182235</v>
      </c>
      <c r="AC220" t="s">
        <v>118</v>
      </c>
      <c r="AD220" t="s">
        <v>157</v>
      </c>
      <c r="AE220" t="s">
        <v>119</v>
      </c>
      <c r="AJ220" t="s">
        <v>644</v>
      </c>
      <c r="AK220">
        <v>4</v>
      </c>
      <c r="AL220" s="1">
        <v>2.06</v>
      </c>
      <c r="AM220" s="1">
        <v>12.55</v>
      </c>
      <c r="AN220" s="1">
        <v>1228.48</v>
      </c>
      <c r="AO220" s="1">
        <v>170.83</v>
      </c>
      <c r="AP220" s="1">
        <v>47.94</v>
      </c>
      <c r="AR220" s="1">
        <v>3.69</v>
      </c>
      <c r="AS220" s="1">
        <v>143.47</v>
      </c>
      <c r="AT220" s="1">
        <v>5162.95</v>
      </c>
      <c r="AU220" s="1">
        <v>620.22</v>
      </c>
      <c r="AV220" s="1">
        <v>280.18</v>
      </c>
    </row>
    <row r="221" spans="1:48" x14ac:dyDescent="0.3">
      <c r="A221" t="s">
        <v>6</v>
      </c>
      <c r="B221" s="13">
        <v>3</v>
      </c>
      <c r="C221" s="5">
        <v>5</v>
      </c>
      <c r="D221" s="1">
        <v>3</v>
      </c>
      <c r="E221" s="1">
        <v>3</v>
      </c>
      <c r="F221" s="27">
        <v>568</v>
      </c>
      <c r="G221" s="6">
        <v>3</v>
      </c>
      <c r="H221" s="1">
        <f>SUM(C221:G221)</f>
        <v>582</v>
      </c>
      <c r="I221" s="10">
        <f>F221/H221</f>
        <v>0.97594501718213056</v>
      </c>
      <c r="J221" s="11">
        <f>1-I221</f>
        <v>2.4054982817869441E-2</v>
      </c>
      <c r="K221">
        <f>H221-F223</f>
        <v>-36</v>
      </c>
      <c r="N221" s="10">
        <f>2*(F224*I221)/(F224+I221)</f>
        <v>0.94666666666666666</v>
      </c>
      <c r="O221" s="1"/>
      <c r="P221" s="1"/>
      <c r="S221" t="s">
        <v>30</v>
      </c>
      <c r="T221" s="57">
        <f t="shared" si="36"/>
        <v>22.579412950523892</v>
      </c>
      <c r="U221" s="57">
        <f t="shared" si="36"/>
        <v>79.496544226056244</v>
      </c>
      <c r="V221" s="57">
        <f t="shared" si="36"/>
        <v>99.228929786040567</v>
      </c>
      <c r="W221" s="57">
        <f t="shared" si="36"/>
        <v>98.451239988495558</v>
      </c>
      <c r="X221" s="57">
        <f t="shared" si="36"/>
        <v>96.30377876628387</v>
      </c>
      <c r="AB221">
        <v>0</v>
      </c>
      <c r="AC221">
        <v>31</v>
      </c>
      <c r="AD221">
        <v>26</v>
      </c>
      <c r="AE221">
        <v>15</v>
      </c>
      <c r="AJ221" t="s">
        <v>644</v>
      </c>
      <c r="AK221">
        <v>5</v>
      </c>
      <c r="AL221" s="1">
        <v>1.79</v>
      </c>
      <c r="AM221" s="1">
        <v>17.34</v>
      </c>
      <c r="AN221" s="1">
        <v>1218.8800000000001</v>
      </c>
      <c r="AO221" s="1">
        <v>175</v>
      </c>
      <c r="AP221" s="1">
        <v>48.84</v>
      </c>
      <c r="AR221" s="1">
        <v>3.15</v>
      </c>
      <c r="AS221" s="1">
        <v>188.83</v>
      </c>
      <c r="AT221" s="1">
        <v>5100.3</v>
      </c>
      <c r="AU221" s="1">
        <v>622.11</v>
      </c>
      <c r="AV221" s="1">
        <v>296.11</v>
      </c>
    </row>
    <row r="222" spans="1:48" x14ac:dyDescent="0.3">
      <c r="A222" t="s">
        <v>7</v>
      </c>
      <c r="B222" s="13">
        <v>4</v>
      </c>
      <c r="C222" s="7">
        <v>0</v>
      </c>
      <c r="D222" s="8">
        <v>4</v>
      </c>
      <c r="E222" s="8">
        <v>1</v>
      </c>
      <c r="F222" s="8">
        <v>46</v>
      </c>
      <c r="G222" s="28">
        <v>958</v>
      </c>
      <c r="H222" s="1">
        <f>SUM(C222:G222)</f>
        <v>1009</v>
      </c>
      <c r="I222" s="10">
        <f>G222/H222</f>
        <v>0.94945490584737369</v>
      </c>
      <c r="J222" s="11">
        <f>1-I222</f>
        <v>5.0545094152626313E-2</v>
      </c>
      <c r="K222">
        <f>H222-G223</f>
        <v>48</v>
      </c>
      <c r="N222" s="10">
        <f>2*(G224*I222)/(G224+I222)</f>
        <v>0.97258883248730965</v>
      </c>
      <c r="O222" s="1"/>
      <c r="P222" s="1"/>
      <c r="S222" s="66" t="s">
        <v>39</v>
      </c>
      <c r="T222" s="67">
        <f t="shared" si="36"/>
        <v>205.40164642598796</v>
      </c>
      <c r="U222" s="67">
        <f t="shared" si="36"/>
        <v>9.5735150149371258</v>
      </c>
      <c r="V222" s="67">
        <f t="shared" si="36"/>
        <v>0.16863142007421517</v>
      </c>
      <c r="W222" s="67">
        <f t="shared" si="36"/>
        <v>0.34038406439670571</v>
      </c>
      <c r="X222" s="67">
        <f t="shared" si="36"/>
        <v>1.7852748500693856</v>
      </c>
      <c r="AB222">
        <v>1</v>
      </c>
      <c r="AC222">
        <v>60</v>
      </c>
      <c r="AD222">
        <v>55</v>
      </c>
      <c r="AE222">
        <v>44</v>
      </c>
      <c r="AJ222" t="s">
        <v>644</v>
      </c>
      <c r="AK222">
        <v>6</v>
      </c>
      <c r="AL222" s="1">
        <v>1.67</v>
      </c>
      <c r="AM222" s="1">
        <v>17.62</v>
      </c>
      <c r="AN222" s="1">
        <v>1214.8800000000001</v>
      </c>
      <c r="AO222" s="1">
        <v>177.42</v>
      </c>
      <c r="AP222" s="1">
        <v>50.27</v>
      </c>
      <c r="AR222" s="1">
        <v>2.79</v>
      </c>
      <c r="AS222" s="1">
        <v>185.59</v>
      </c>
      <c r="AT222" s="1">
        <v>5118.57</v>
      </c>
      <c r="AU222" s="1">
        <v>621.12</v>
      </c>
      <c r="AV222" s="1">
        <v>282.43</v>
      </c>
    </row>
    <row r="223" spans="1:48" ht="15.6" x14ac:dyDescent="0.35">
      <c r="B223" s="1" t="s">
        <v>19</v>
      </c>
      <c r="C223" s="1">
        <f>SUM(C218:C222)</f>
        <v>45</v>
      </c>
      <c r="D223" s="1">
        <f>SUM(D218:D222)</f>
        <v>62</v>
      </c>
      <c r="E223" s="1">
        <f>SUM(E218:E222)</f>
        <v>1073</v>
      </c>
      <c r="F223" s="1">
        <f>SUM(F218:F222)</f>
        <v>618</v>
      </c>
      <c r="G223" s="1">
        <f>SUM(G218:G222)</f>
        <v>961</v>
      </c>
      <c r="H223" s="1">
        <f>SUM(H217:H222)</f>
        <v>2759</v>
      </c>
      <c r="I223" s="13" t="s">
        <v>12</v>
      </c>
      <c r="N223" s="16"/>
      <c r="O223" s="1"/>
      <c r="P223" s="1"/>
      <c r="S223" s="15" t="s">
        <v>31</v>
      </c>
      <c r="T223" s="71">
        <f t="shared" si="36"/>
        <v>9.4678492239467857</v>
      </c>
      <c r="U223" s="71">
        <f t="shared" si="36"/>
        <v>94.561403508771917</v>
      </c>
      <c r="V223" s="71">
        <f t="shared" si="36"/>
        <v>99.674242424242408</v>
      </c>
      <c r="W223" s="71">
        <f t="shared" si="36"/>
        <v>97.989690721649453</v>
      </c>
      <c r="X223" s="71">
        <f t="shared" si="36"/>
        <v>93.736372646184336</v>
      </c>
      <c r="AB223">
        <v>2</v>
      </c>
      <c r="AC223">
        <v>89</v>
      </c>
      <c r="AD223">
        <v>84</v>
      </c>
      <c r="AE223">
        <v>73</v>
      </c>
      <c r="AJ223" t="s">
        <v>644</v>
      </c>
      <c r="AK223">
        <v>7</v>
      </c>
      <c r="AL223" s="1">
        <v>2.89</v>
      </c>
      <c r="AM223" s="1">
        <v>13.61</v>
      </c>
      <c r="AN223" s="1">
        <v>1219.6199999999999</v>
      </c>
      <c r="AO223" s="1">
        <v>174.69</v>
      </c>
      <c r="AP223" s="1">
        <v>51.04</v>
      </c>
      <c r="AR223" s="1">
        <v>5.04</v>
      </c>
      <c r="AS223" s="1">
        <v>165.07</v>
      </c>
      <c r="AT223" s="1">
        <v>5108.3999999999996</v>
      </c>
      <c r="AU223" s="1">
        <v>636.51</v>
      </c>
      <c r="AV223" s="1">
        <v>295.48</v>
      </c>
    </row>
    <row r="224" spans="1:48" x14ac:dyDescent="0.3">
      <c r="A224" s="1" t="s">
        <v>316</v>
      </c>
      <c r="B224" s="1" t="s">
        <v>2</v>
      </c>
      <c r="C224" s="10">
        <f>C218/C223</f>
        <v>0.88888888888888884</v>
      </c>
      <c r="D224" s="10">
        <f>D219/D223</f>
        <v>0.88709677419354838</v>
      </c>
      <c r="E224" s="10">
        <f>E220/E223</f>
        <v>0.61416589002795896</v>
      </c>
      <c r="F224" s="10">
        <f>F221/F223</f>
        <v>0.91909385113268605</v>
      </c>
      <c r="G224" s="10">
        <f>G222/G223</f>
        <v>0.99687825182101975</v>
      </c>
      <c r="H224" s="10"/>
      <c r="I224" s="14">
        <f>(C218+D219+E220+F221+G222)/H223</f>
        <v>0.82638637187386732</v>
      </c>
      <c r="S224" s="75" t="s">
        <v>39</v>
      </c>
      <c r="T224" s="76">
        <f t="shared" si="36"/>
        <v>1.3670718487170288</v>
      </c>
      <c r="U224" s="76">
        <f t="shared" si="36"/>
        <v>2.9696168126276965</v>
      </c>
      <c r="V224" s="76">
        <f t="shared" si="36"/>
        <v>0.21404392069141936</v>
      </c>
      <c r="W224" s="76">
        <f t="shared" si="36"/>
        <v>0.58139474865478946</v>
      </c>
      <c r="X224" s="76">
        <f t="shared" si="36"/>
        <v>0.76080355817848744</v>
      </c>
      <c r="AB224">
        <v>3</v>
      </c>
      <c r="AC224">
        <v>118</v>
      </c>
      <c r="AD224">
        <v>113</v>
      </c>
      <c r="AE224">
        <v>102</v>
      </c>
      <c r="AJ224" t="s">
        <v>644</v>
      </c>
      <c r="AK224">
        <v>8</v>
      </c>
      <c r="AL224" s="1">
        <v>1.88</v>
      </c>
      <c r="AM224" s="1">
        <v>18.75</v>
      </c>
      <c r="AN224" s="1">
        <v>1221.52</v>
      </c>
      <c r="AO224" s="1">
        <v>169.73</v>
      </c>
      <c r="AP224" s="1">
        <v>49.98</v>
      </c>
      <c r="AR224" s="1">
        <v>3.42</v>
      </c>
      <c r="AS224" s="1">
        <v>208.36</v>
      </c>
      <c r="AT224" s="1">
        <v>5110.0200000000004</v>
      </c>
      <c r="AU224" s="1">
        <v>619.5</v>
      </c>
      <c r="AV224" s="1">
        <v>269.2</v>
      </c>
    </row>
    <row r="225" spans="1:48" x14ac:dyDescent="0.3">
      <c r="B225" s="1" t="s">
        <v>14</v>
      </c>
      <c r="C225" s="11">
        <f>1-C224</f>
        <v>0.11111111111111116</v>
      </c>
      <c r="D225" s="11">
        <f>1-D224</f>
        <v>0.11290322580645162</v>
      </c>
      <c r="E225" s="11">
        <f>1-E224</f>
        <v>0.38583410997204104</v>
      </c>
      <c r="F225" s="11">
        <f>1-F224</f>
        <v>8.0906148867313954E-2</v>
      </c>
      <c r="G225" s="11">
        <f>1-G224</f>
        <v>3.1217481789802548E-3</v>
      </c>
      <c r="S225" s="66" t="s">
        <v>51</v>
      </c>
      <c r="T225" s="67">
        <f t="shared" si="36"/>
        <v>17.133196501687046</v>
      </c>
      <c r="U225" s="67">
        <f t="shared" si="36"/>
        <v>92.69129197816612</v>
      </c>
      <c r="V225" s="67">
        <f t="shared" si="36"/>
        <v>76.672010749139403</v>
      </c>
      <c r="W225" s="67">
        <f t="shared" si="36"/>
        <v>92.840581856628077</v>
      </c>
      <c r="X225" s="67">
        <f t="shared" si="36"/>
        <v>96.557131066056982</v>
      </c>
      <c r="AB225">
        <v>4</v>
      </c>
      <c r="AC225">
        <v>147</v>
      </c>
      <c r="AD225">
        <v>142</v>
      </c>
      <c r="AE225">
        <v>131</v>
      </c>
      <c r="AJ225" t="s">
        <v>644</v>
      </c>
      <c r="AK225">
        <v>9</v>
      </c>
      <c r="AL225" s="1">
        <v>2.06</v>
      </c>
      <c r="AM225" s="1">
        <v>16.84</v>
      </c>
      <c r="AN225" s="1">
        <v>1217.45</v>
      </c>
      <c r="AO225" s="1">
        <v>172.29</v>
      </c>
      <c r="AP225" s="1">
        <v>53.21</v>
      </c>
      <c r="AR225" s="1">
        <v>3.78</v>
      </c>
      <c r="AS225" s="1">
        <v>190.09</v>
      </c>
      <c r="AT225" s="1">
        <v>5107.5</v>
      </c>
      <c r="AU225" s="1">
        <v>628.95000000000005</v>
      </c>
      <c r="AV225" s="1">
        <v>280.18</v>
      </c>
    </row>
    <row r="226" spans="1:48" x14ac:dyDescent="0.3">
      <c r="C226" s="2"/>
      <c r="R226" s="16" t="s">
        <v>61</v>
      </c>
      <c r="S226" t="s">
        <v>9</v>
      </c>
      <c r="T226" s="1">
        <f t="shared" si="36"/>
        <v>256.56150000000002</v>
      </c>
      <c r="U226" s="1">
        <f t="shared" si="36"/>
        <v>906.97299999999973</v>
      </c>
      <c r="V226" s="1">
        <f t="shared" si="36"/>
        <v>55432.108000000007</v>
      </c>
      <c r="W226" s="1">
        <f t="shared" si="36"/>
        <v>30145.356500000002</v>
      </c>
      <c r="X226" s="1">
        <f t="shared" si="36"/>
        <v>5963.0259999999998</v>
      </c>
      <c r="AB226">
        <v>5</v>
      </c>
      <c r="AC226">
        <v>176</v>
      </c>
      <c r="AD226">
        <v>171</v>
      </c>
      <c r="AE226">
        <v>160</v>
      </c>
      <c r="AJ226" t="s">
        <v>644</v>
      </c>
      <c r="AK226">
        <v>10</v>
      </c>
      <c r="AL226" s="1">
        <v>2.6</v>
      </c>
      <c r="AM226" s="1">
        <v>16.72</v>
      </c>
      <c r="AN226" s="1">
        <v>1223.6099999999999</v>
      </c>
      <c r="AO226" s="1">
        <v>171.82</v>
      </c>
      <c r="AP226" s="1">
        <v>47.1</v>
      </c>
      <c r="AR226" s="1">
        <v>4.32</v>
      </c>
      <c r="AS226" s="1">
        <v>176.5</v>
      </c>
      <c r="AT226" s="1">
        <v>5135.32</v>
      </c>
      <c r="AU226" s="1">
        <v>613.02</v>
      </c>
      <c r="AV226" s="1">
        <v>281.35000000000002</v>
      </c>
    </row>
    <row r="227" spans="1:48" ht="15.6" x14ac:dyDescent="0.35">
      <c r="A227" t="s">
        <v>317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318</v>
      </c>
      <c r="S227" t="s">
        <v>63</v>
      </c>
      <c r="T227" s="57">
        <f>AVERAGE(T24,T34,T44,T54,T64,T74,T84,T94,T104,T114,T124,T134,T144,T154,T164,T174,T184,T194,T204,T214)</f>
        <v>130.62160822456397</v>
      </c>
      <c r="U227" s="57">
        <f t="shared" si="36"/>
        <v>1083.1989989418298</v>
      </c>
      <c r="V227" s="57">
        <f t="shared" si="36"/>
        <v>55681.020625316029</v>
      </c>
      <c r="W227" s="57">
        <f t="shared" si="36"/>
        <v>30004.248376406875</v>
      </c>
      <c r="X227" s="57">
        <f t="shared" si="36"/>
        <v>5804.9353911106919</v>
      </c>
      <c r="AB227">
        <v>6</v>
      </c>
      <c r="AC227">
        <v>205</v>
      </c>
      <c r="AD227">
        <v>200</v>
      </c>
      <c r="AE227">
        <v>189</v>
      </c>
      <c r="AJ227" t="s">
        <v>644</v>
      </c>
      <c r="AK227">
        <v>11</v>
      </c>
      <c r="AL227" s="1">
        <v>1.97</v>
      </c>
      <c r="AM227" s="1">
        <v>21.14</v>
      </c>
      <c r="AN227" s="1">
        <v>1213.5999999999999</v>
      </c>
      <c r="AO227" s="1">
        <v>176.35</v>
      </c>
      <c r="AP227" s="1">
        <v>48.8</v>
      </c>
      <c r="AR227" s="1">
        <v>3.51</v>
      </c>
      <c r="AS227" s="1">
        <v>191.26</v>
      </c>
      <c r="AT227" s="1">
        <v>5101.2</v>
      </c>
      <c r="AU227" s="1">
        <v>627.33000000000004</v>
      </c>
      <c r="AV227" s="1">
        <v>287.2</v>
      </c>
    </row>
    <row r="228" spans="1:48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62</v>
      </c>
      <c r="T228" s="67">
        <f>AVERAGE(T25,T35,T45,T55,T65,T75,T85,T95,T105,T115,T125,T135,T145,T155,T165,T175,T185,T195,T205,T215)</f>
        <v>71.778013461374528</v>
      </c>
      <c r="U228" s="67">
        <f t="shared" si="36"/>
        <v>115.41305715671781</v>
      </c>
      <c r="V228" s="67">
        <f t="shared" si="36"/>
        <v>152.47545578828573</v>
      </c>
      <c r="W228" s="67">
        <f t="shared" si="36"/>
        <v>201.85701635707755</v>
      </c>
      <c r="X228" s="67">
        <f t="shared" si="36"/>
        <v>115.73172597269907</v>
      </c>
      <c r="AB228">
        <v>7</v>
      </c>
      <c r="AC228">
        <v>234</v>
      </c>
      <c r="AD228">
        <v>229</v>
      </c>
      <c r="AE228">
        <v>218</v>
      </c>
      <c r="AJ228" t="s">
        <v>644</v>
      </c>
      <c r="AK228">
        <v>12</v>
      </c>
      <c r="AL228" s="1">
        <v>2.5099999999999998</v>
      </c>
      <c r="AM228" s="1">
        <v>19.440000000000001</v>
      </c>
      <c r="AN228" s="1">
        <v>1219.78</v>
      </c>
      <c r="AO228" s="1">
        <v>169.53</v>
      </c>
      <c r="AP228" s="1">
        <v>50.59</v>
      </c>
      <c r="AR228" s="1">
        <v>4.05</v>
      </c>
      <c r="AS228" s="1">
        <v>194.32</v>
      </c>
      <c r="AT228" s="1">
        <v>5116.2299999999996</v>
      </c>
      <c r="AU228" s="1">
        <v>618.78</v>
      </c>
      <c r="AV228" s="1">
        <v>277.12</v>
      </c>
    </row>
    <row r="229" spans="1:48" x14ac:dyDescent="0.3">
      <c r="A229" t="s">
        <v>3</v>
      </c>
      <c r="B229" s="13">
        <v>0</v>
      </c>
      <c r="C229" s="29">
        <f>(C218/$L229)*$O229</f>
        <v>3.3905198714212478E-2</v>
      </c>
      <c r="D229" s="31">
        <f>(D218/$L229)*$O229</f>
        <v>0</v>
      </c>
      <c r="E229" s="31">
        <f>(E218/$L229)*$O229</f>
        <v>0.34583302688496725</v>
      </c>
      <c r="F229" s="31">
        <f>(F218/$L229)*$O229</f>
        <v>2.5428899035659356E-3</v>
      </c>
      <c r="G229" s="32">
        <f>(G218/$L229)*$O229</f>
        <v>0</v>
      </c>
      <c r="H229" s="17">
        <f>SUM(C229:G229)</f>
        <v>0.38228111550274568</v>
      </c>
      <c r="I229" s="17">
        <f>C229/H229*100</f>
        <v>8.8691796008869179</v>
      </c>
      <c r="J229" s="17">
        <f>SQRT(I229*(100-I229)/(L229-1))</f>
        <v>1.340195353335478</v>
      </c>
      <c r="K229" s="18">
        <f>100-I229</f>
        <v>91.130820399113077</v>
      </c>
      <c r="L229" s="1">
        <f>H218</f>
        <v>451</v>
      </c>
      <c r="M229">
        <v>0</v>
      </c>
      <c r="N229" s="1">
        <v>354.39</v>
      </c>
      <c r="O229" s="17">
        <f>N229/N234*100</f>
        <v>0.38228111550274568</v>
      </c>
      <c r="P229" s="52">
        <f>((O229*O229*(I229/100)*(K229/100))/(L229-1))</f>
        <v>2.6248343746580371E-5</v>
      </c>
      <c r="AB229">
        <v>8</v>
      </c>
      <c r="AC229">
        <v>263</v>
      </c>
      <c r="AD229">
        <v>258</v>
      </c>
      <c r="AE229">
        <v>247</v>
      </c>
      <c r="AJ229" t="s">
        <v>644</v>
      </c>
      <c r="AK229">
        <v>13</v>
      </c>
      <c r="AL229" s="1">
        <v>2.06</v>
      </c>
      <c r="AM229" s="1">
        <v>16.53</v>
      </c>
      <c r="AN229" s="1">
        <v>1218.8399999999999</v>
      </c>
      <c r="AO229" s="1">
        <v>173.11</v>
      </c>
      <c r="AP229" s="1">
        <v>51.31</v>
      </c>
      <c r="AR229" s="1">
        <v>3.6</v>
      </c>
      <c r="AS229" s="1">
        <v>173.17</v>
      </c>
      <c r="AT229" s="1">
        <v>5095.8</v>
      </c>
      <c r="AU229" s="1">
        <v>630.29999999999995</v>
      </c>
      <c r="AV229" s="1">
        <v>307.63</v>
      </c>
    </row>
    <row r="230" spans="1:48" x14ac:dyDescent="0.3">
      <c r="A230" t="s">
        <v>4</v>
      </c>
      <c r="B230" s="13">
        <v>1</v>
      </c>
      <c r="C230" s="33">
        <f t="shared" ref="C230:G233" si="37">(C219/$L230)*$O230</f>
        <v>0</v>
      </c>
      <c r="D230" s="34">
        <f t="shared" si="37"/>
        <v>0.91482614267619855</v>
      </c>
      <c r="E230" s="19">
        <f t="shared" si="37"/>
        <v>3.3266405188225399E-2</v>
      </c>
      <c r="F230" s="18">
        <f t="shared" si="37"/>
        <v>0</v>
      </c>
      <c r="G230" s="20">
        <f t="shared" si="37"/>
        <v>0</v>
      </c>
      <c r="H230" s="17">
        <f>SUM(C230:G230)</f>
        <v>0.94809254786442398</v>
      </c>
      <c r="I230" s="17">
        <f>D230/H230*100</f>
        <v>96.491228070175438</v>
      </c>
      <c r="J230" s="17">
        <f>SQRT(I230*(100-I230)/(L230-1))</f>
        <v>2.4588241692166148</v>
      </c>
      <c r="K230" s="18">
        <f>100-I230</f>
        <v>3.5087719298245617</v>
      </c>
      <c r="L230" s="1">
        <f>H219</f>
        <v>57</v>
      </c>
      <c r="M230">
        <v>1</v>
      </c>
      <c r="N230" s="1">
        <v>878.92</v>
      </c>
      <c r="O230" s="17">
        <f>N230/N234*100</f>
        <v>0.94809254786442398</v>
      </c>
      <c r="P230" s="52">
        <f>((O230*O230*(I230/100)*(K230/100))/(L230-1))</f>
        <v>5.4344602034013805E-4</v>
      </c>
      <c r="S230" t="s">
        <v>64</v>
      </c>
      <c r="T230" s="1" t="s">
        <v>639</v>
      </c>
      <c r="U230" s="1" t="s">
        <v>640</v>
      </c>
      <c r="V230" s="1" t="s">
        <v>641</v>
      </c>
      <c r="W230" s="1" t="s">
        <v>642</v>
      </c>
      <c r="X230" s="1" t="s">
        <v>643</v>
      </c>
      <c r="AB230">
        <v>9</v>
      </c>
      <c r="AC230">
        <v>292</v>
      </c>
      <c r="AD230">
        <v>287</v>
      </c>
      <c r="AE230">
        <v>276</v>
      </c>
      <c r="AJ230" t="s">
        <v>644</v>
      </c>
      <c r="AK230">
        <v>14</v>
      </c>
      <c r="AL230" s="1">
        <v>1.97</v>
      </c>
      <c r="AM230" s="1">
        <v>21.28</v>
      </c>
      <c r="AN230" s="1">
        <v>1218.06</v>
      </c>
      <c r="AO230" s="1">
        <v>167.95</v>
      </c>
      <c r="AP230" s="1">
        <v>52.6</v>
      </c>
      <c r="AR230" s="1">
        <v>3.6</v>
      </c>
      <c r="AS230" s="1">
        <v>198.28</v>
      </c>
      <c r="AT230" s="1">
        <v>5092.5600000000004</v>
      </c>
      <c r="AU230" s="1">
        <v>621.84</v>
      </c>
      <c r="AV230" s="1">
        <v>294.22000000000003</v>
      </c>
    </row>
    <row r="231" spans="1:48" x14ac:dyDescent="0.3">
      <c r="A231" t="s">
        <v>5</v>
      </c>
      <c r="B231" s="13">
        <v>2</v>
      </c>
      <c r="C231" s="33">
        <f t="shared" si="37"/>
        <v>0</v>
      </c>
      <c r="D231" s="19">
        <f t="shared" si="37"/>
        <v>0</v>
      </c>
      <c r="E231" s="34">
        <f t="shared" si="37"/>
        <v>59.60286127144569</v>
      </c>
      <c r="F231" s="19">
        <f t="shared" si="37"/>
        <v>9.0444402536336399E-2</v>
      </c>
      <c r="G231" s="20">
        <f t="shared" si="37"/>
        <v>0</v>
      </c>
      <c r="H231" s="17">
        <f>SUM(C231:G231)</f>
        <v>59.693305673982024</v>
      </c>
      <c r="I231" s="17">
        <f>E231/H231*100</f>
        <v>99.848484848484858</v>
      </c>
      <c r="J231" s="17">
        <f>SQRT(I231*(100-I231)/(L231-1))</f>
        <v>0.15151515151514658</v>
      </c>
      <c r="K231" s="18">
        <f>100-I231</f>
        <v>0.15151515151514161</v>
      </c>
      <c r="L231" s="1">
        <f>H220</f>
        <v>660</v>
      </c>
      <c r="M231">
        <v>2</v>
      </c>
      <c r="N231" s="1">
        <v>55338.1</v>
      </c>
      <c r="O231" s="17">
        <f>N231/N234*100</f>
        <v>59.693305673982024</v>
      </c>
      <c r="P231" s="52">
        <f>((O231*O231*(I231/100)*(K231/100))/(L231-1))</f>
        <v>8.180189950154319E-3</v>
      </c>
      <c r="T231" s="57">
        <f>T24</f>
        <v>121.91049115748891</v>
      </c>
      <c r="U231" s="57">
        <f>U24</f>
        <v>1010.0527918624763</v>
      </c>
      <c r="V231" s="57">
        <f>V24</f>
        <v>55485.401271259914</v>
      </c>
      <c r="W231" s="57">
        <f>W24</f>
        <v>30127.204087020593</v>
      </c>
      <c r="X231" s="57">
        <f>X24</f>
        <v>5959.4513586995399</v>
      </c>
      <c r="AB231">
        <v>10</v>
      </c>
      <c r="AC231">
        <v>321</v>
      </c>
      <c r="AD231">
        <v>316</v>
      </c>
      <c r="AE231">
        <v>305</v>
      </c>
      <c r="AJ231" t="s">
        <v>644</v>
      </c>
      <c r="AK231">
        <v>15</v>
      </c>
      <c r="AL231" s="1">
        <v>2.15</v>
      </c>
      <c r="AM231" s="1">
        <v>16.850000000000001</v>
      </c>
      <c r="AN231" s="1">
        <v>1221.57</v>
      </c>
      <c r="AO231" s="1">
        <v>169.85</v>
      </c>
      <c r="AP231" s="1">
        <v>51.44</v>
      </c>
      <c r="AR231" s="1">
        <v>3.78</v>
      </c>
      <c r="AS231" s="1">
        <v>180.82</v>
      </c>
      <c r="AT231" s="1">
        <v>5116.7700000000004</v>
      </c>
      <c r="AU231" s="1">
        <v>622.91999999999996</v>
      </c>
      <c r="AV231" s="1">
        <v>286.20999999999998</v>
      </c>
    </row>
    <row r="232" spans="1:48" x14ac:dyDescent="0.3">
      <c r="A232" t="s">
        <v>6</v>
      </c>
      <c r="B232" s="13">
        <v>3</v>
      </c>
      <c r="C232" s="33">
        <f t="shared" si="37"/>
        <v>0.27948421136359047</v>
      </c>
      <c r="D232" s="19">
        <f t="shared" si="37"/>
        <v>0.16769052681815427</v>
      </c>
      <c r="E232" s="19">
        <f t="shared" si="37"/>
        <v>0.16769052681815427</v>
      </c>
      <c r="F232" s="34">
        <f t="shared" si="37"/>
        <v>31.749406410903873</v>
      </c>
      <c r="G232" s="20">
        <f t="shared" si="37"/>
        <v>0.16769052681815427</v>
      </c>
      <c r="H232" s="17">
        <f>SUM(C232:G232)</f>
        <v>32.531962202721928</v>
      </c>
      <c r="I232" s="17">
        <f>F232/H232*100</f>
        <v>97.594501718213053</v>
      </c>
      <c r="J232" s="17">
        <f>SQRT(I232*(100-I232)/(L232-1))</f>
        <v>0.63566329513058506</v>
      </c>
      <c r="K232" s="18">
        <f>100-I232</f>
        <v>2.4054982817869472</v>
      </c>
      <c r="L232" s="1">
        <f>H221</f>
        <v>582</v>
      </c>
      <c r="M232">
        <v>3</v>
      </c>
      <c r="N232" s="1">
        <v>30158.44</v>
      </c>
      <c r="O232" s="17">
        <f>N232/N234*100</f>
        <v>32.531962202721928</v>
      </c>
      <c r="P232" s="52">
        <f>((O232*O232*(I232/100)*(K232/100))/(L232-1))</f>
        <v>4.2763652106089706E-2</v>
      </c>
      <c r="T232" s="57">
        <f>T34</f>
        <v>151.61399052125478</v>
      </c>
      <c r="U232" s="57">
        <f>U34</f>
        <v>1020.4042875353505</v>
      </c>
      <c r="V232" s="57">
        <f>V34</f>
        <v>55666.517383812621</v>
      </c>
      <c r="W232" s="57">
        <f>W34</f>
        <v>30039.751772904834</v>
      </c>
      <c r="X232" s="57">
        <f>X34</f>
        <v>5825.742565225929</v>
      </c>
      <c r="AB232">
        <v>11</v>
      </c>
      <c r="AC232">
        <v>350</v>
      </c>
      <c r="AD232">
        <v>345</v>
      </c>
      <c r="AE232">
        <v>334</v>
      </c>
      <c r="AJ232" t="s">
        <v>644</v>
      </c>
      <c r="AK232">
        <v>16</v>
      </c>
      <c r="AL232" s="1">
        <v>1.97</v>
      </c>
      <c r="AM232" s="1">
        <v>16.100000000000001</v>
      </c>
      <c r="AN232" s="1">
        <v>1226.01</v>
      </c>
      <c r="AO232" s="1">
        <v>172.03</v>
      </c>
      <c r="AP232" s="1">
        <v>45.75</v>
      </c>
      <c r="AR232" s="1">
        <v>3.24</v>
      </c>
      <c r="AS232" s="1">
        <v>189.73</v>
      </c>
      <c r="AT232" s="1">
        <v>5120.1899999999996</v>
      </c>
      <c r="AU232" s="1">
        <v>625.71</v>
      </c>
      <c r="AV232" s="1">
        <v>271.63</v>
      </c>
    </row>
    <row r="233" spans="1:48" x14ac:dyDescent="0.3">
      <c r="A233" t="s">
        <v>7</v>
      </c>
      <c r="B233" s="13">
        <v>4</v>
      </c>
      <c r="C233" s="35">
        <f t="shared" si="37"/>
        <v>0</v>
      </c>
      <c r="D233" s="36">
        <f t="shared" si="37"/>
        <v>2.5547506283166987E-2</v>
      </c>
      <c r="E233" s="21">
        <f t="shared" si="37"/>
        <v>6.3868765707917469E-3</v>
      </c>
      <c r="F233" s="21">
        <f t="shared" si="37"/>
        <v>0.29379632225642038</v>
      </c>
      <c r="G233" s="37">
        <f t="shared" si="37"/>
        <v>6.118627754818494</v>
      </c>
      <c r="H233" s="17">
        <f>SUM(C233:G233)</f>
        <v>6.444358459928873</v>
      </c>
      <c r="I233" s="17">
        <f>G233/H233*100</f>
        <v>94.945490584737371</v>
      </c>
      <c r="J233" s="17">
        <f>SQRT(I233*(100-I233)/(L233-1))</f>
        <v>0.68999574137264441</v>
      </c>
      <c r="K233" s="18">
        <f>100-I233</f>
        <v>5.0545094152626291</v>
      </c>
      <c r="L233" s="1">
        <f>H222</f>
        <v>1009</v>
      </c>
      <c r="M233">
        <v>4</v>
      </c>
      <c r="N233" s="1">
        <v>5974.18</v>
      </c>
      <c r="O233" s="17">
        <f>N233/N234*100</f>
        <v>6.444358459928873</v>
      </c>
      <c r="P233" s="52">
        <f>((O233*O233*(I233/100)*(K233/100))/(L233-1))</f>
        <v>1.9772072746874615E-3</v>
      </c>
      <c r="T233" s="57">
        <f>T44</f>
        <v>123.04848423891924</v>
      </c>
      <c r="U233" s="57">
        <f>U44</f>
        <v>1263.885890178547</v>
      </c>
      <c r="V233" s="57">
        <f>V44</f>
        <v>55675.780977949005</v>
      </c>
      <c r="W233" s="57">
        <f>W44</f>
        <v>29875.888776931242</v>
      </c>
      <c r="X233" s="57">
        <f>X44</f>
        <v>5765.4258707022937</v>
      </c>
      <c r="AB233">
        <v>12</v>
      </c>
      <c r="AC233">
        <v>379</v>
      </c>
      <c r="AD233">
        <v>374</v>
      </c>
      <c r="AE233">
        <v>363</v>
      </c>
      <c r="AJ233" t="s">
        <v>644</v>
      </c>
      <c r="AK233">
        <v>17</v>
      </c>
      <c r="AL233" s="1">
        <v>2.06</v>
      </c>
      <c r="AM233" s="1">
        <v>15.54</v>
      </c>
      <c r="AN233" s="1">
        <v>1224.8</v>
      </c>
      <c r="AO233" s="1">
        <v>170.22</v>
      </c>
      <c r="AP233" s="1">
        <v>49.25</v>
      </c>
      <c r="AR233" s="1">
        <v>4.05</v>
      </c>
      <c r="AS233" s="1">
        <v>175.51</v>
      </c>
      <c r="AT233" s="1">
        <v>5136.3999999999996</v>
      </c>
      <c r="AU233" s="1">
        <v>616.08000000000004</v>
      </c>
      <c r="AV233" s="1">
        <v>278.47000000000003</v>
      </c>
    </row>
    <row r="234" spans="1:48" x14ac:dyDescent="0.3">
      <c r="B234" t="s">
        <v>28</v>
      </c>
      <c r="C234" s="17">
        <f>SUM(C229:C233)</f>
        <v>0.31338941007780297</v>
      </c>
      <c r="D234" s="17">
        <f>SUM(D229:D233)</f>
        <v>1.1080641757775198</v>
      </c>
      <c r="E234" s="17">
        <f>SUM(E229:E233)</f>
        <v>60.156038106907829</v>
      </c>
      <c r="F234" s="17">
        <f>SUM(F229:F233)</f>
        <v>32.136190025600193</v>
      </c>
      <c r="G234" s="17">
        <f>SUM(G229:G233)</f>
        <v>6.2863182816366479</v>
      </c>
      <c r="H234" s="1">
        <f>SUM(H228:H233)</f>
        <v>100</v>
      </c>
      <c r="I234" s="13" t="s">
        <v>24</v>
      </c>
      <c r="J234" s="12" t="s">
        <v>29</v>
      </c>
      <c r="N234" s="1">
        <f>SUM(N229:N233)</f>
        <v>92704.03</v>
      </c>
      <c r="O234" s="17">
        <f>SUM(O229:O233)</f>
        <v>100</v>
      </c>
      <c r="T234" s="57">
        <f>T54</f>
        <v>122.44020100425934</v>
      </c>
      <c r="U234" s="57">
        <f>U54</f>
        <v>949.9788704588708</v>
      </c>
      <c r="V234" s="57">
        <f>V54</f>
        <v>56088.052831959343</v>
      </c>
      <c r="W234" s="57">
        <f>W54</f>
        <v>30022.488484972018</v>
      </c>
      <c r="X234" s="57">
        <f>X54</f>
        <v>5521.0696116055151</v>
      </c>
      <c r="AB234">
        <v>13</v>
      </c>
      <c r="AC234">
        <v>408</v>
      </c>
      <c r="AD234">
        <v>403</v>
      </c>
      <c r="AE234">
        <v>392</v>
      </c>
      <c r="AJ234" t="s">
        <v>644</v>
      </c>
      <c r="AK234">
        <v>18</v>
      </c>
      <c r="AL234" s="1">
        <v>2.06</v>
      </c>
      <c r="AM234" s="1">
        <v>15.14</v>
      </c>
      <c r="AN234" s="1">
        <v>1234.4100000000001</v>
      </c>
      <c r="AO234" s="1">
        <v>165.42</v>
      </c>
      <c r="AP234" s="1">
        <v>44.82</v>
      </c>
      <c r="AR234" s="1">
        <v>3.69</v>
      </c>
      <c r="AS234" s="1">
        <v>167.14</v>
      </c>
      <c r="AT234" s="1">
        <v>5159.17</v>
      </c>
      <c r="AU234" s="1">
        <v>603.29999999999995</v>
      </c>
      <c r="AV234" s="1">
        <v>277.20999999999998</v>
      </c>
    </row>
    <row r="235" spans="1:48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0.12455626421146004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0.10010738423688111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0.13451937721890048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0.22945807098700785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0.1063028799550874</v>
      </c>
      <c r="H235" s="1"/>
      <c r="I235" s="14">
        <f>(C229+D230+E231+F232+G233)/H234</f>
        <v>0.98419626778558467</v>
      </c>
      <c r="J235" s="53">
        <f>SQRT(SUM(P229:P233))/100</f>
        <v>2.3128066001077176E-3</v>
      </c>
      <c r="M235" s="1"/>
      <c r="N235" s="9"/>
      <c r="T235" s="57">
        <f>T64</f>
        <v>132.51852736568603</v>
      </c>
      <c r="U235" s="57">
        <f>U64</f>
        <v>1146.3749657672765</v>
      </c>
      <c r="V235" s="57">
        <f>V64</f>
        <v>55489.324763974182</v>
      </c>
      <c r="W235" s="57">
        <f>W64</f>
        <v>30076.397120369344</v>
      </c>
      <c r="X235" s="57">
        <f>X64</f>
        <v>5859.414622523499</v>
      </c>
      <c r="AB235">
        <v>14</v>
      </c>
      <c r="AC235">
        <v>437</v>
      </c>
      <c r="AD235">
        <v>432</v>
      </c>
      <c r="AE235">
        <v>421</v>
      </c>
      <c r="AJ235" t="s">
        <v>644</v>
      </c>
      <c r="AK235">
        <v>19</v>
      </c>
      <c r="AL235" s="1">
        <v>1.76</v>
      </c>
      <c r="AM235" s="1">
        <v>14.12</v>
      </c>
      <c r="AN235" s="1">
        <v>1222.33</v>
      </c>
      <c r="AO235" s="1">
        <v>171.45</v>
      </c>
      <c r="AP235" s="1">
        <v>52.2</v>
      </c>
      <c r="AR235" s="1">
        <v>3.24</v>
      </c>
      <c r="AS235" s="1">
        <v>167.14</v>
      </c>
      <c r="AT235" s="1">
        <v>5132.9799999999996</v>
      </c>
      <c r="AU235" s="1">
        <v>603.12</v>
      </c>
      <c r="AV235" s="1">
        <v>304.02999999999997</v>
      </c>
    </row>
    <row r="236" spans="1:48" x14ac:dyDescent="0.3">
      <c r="B236" s="1" t="s">
        <v>30</v>
      </c>
      <c r="C236" s="17">
        <f>C229/C234*100</f>
        <v>10.818871864813516</v>
      </c>
      <c r="D236" s="17">
        <f>D230/D234*100</f>
        <v>82.560754392611983</v>
      </c>
      <c r="E236" s="17">
        <f>E231/E234*100</f>
        <v>99.080430073405026</v>
      </c>
      <c r="F236" s="17">
        <f>F232/F234*100</f>
        <v>98.796423551179529</v>
      </c>
      <c r="G236" s="17">
        <f>G233/G234*100</f>
        <v>97.332452489591475</v>
      </c>
      <c r="H236" s="1"/>
      <c r="T236" s="57">
        <f>T74</f>
        <v>131.2166757339551</v>
      </c>
      <c r="U236" s="57">
        <f>U74</f>
        <v>1168.5946536006504</v>
      </c>
      <c r="V236" s="57">
        <f>V74</f>
        <v>55573.963332191204</v>
      </c>
      <c r="W236" s="57">
        <f>W74</f>
        <v>29922.793742375168</v>
      </c>
      <c r="X236" s="57">
        <f>X74</f>
        <v>5907.4515960990266</v>
      </c>
      <c r="AB236">
        <v>15</v>
      </c>
      <c r="AC236">
        <v>466</v>
      </c>
      <c r="AD236">
        <v>461</v>
      </c>
      <c r="AE236">
        <v>450</v>
      </c>
    </row>
    <row r="237" spans="1:48" x14ac:dyDescent="0.3">
      <c r="B237" s="16" t="s">
        <v>39</v>
      </c>
      <c r="C237" s="18">
        <f>SQRT((C240+C241)/(C234*C234))</f>
        <v>145.85737986995201</v>
      </c>
      <c r="D237" s="18">
        <f>SQRT((D240+D241)/(D234*D234))</f>
        <v>8.1377078006315937</v>
      </c>
      <c r="E237" s="18">
        <f>SQRT((E240+E241)/(E234*E234))</f>
        <v>0.16490172693075497</v>
      </c>
      <c r="F237" s="18">
        <f>SQRT((F240+F241)/(F234*F234))</f>
        <v>0.31666325373055465</v>
      </c>
      <c r="G237" s="18">
        <f>SQRT((G240+G241)/(G234*G234))</f>
        <v>1.5082927056612594</v>
      </c>
      <c r="H237" s="1"/>
      <c r="T237" s="57">
        <f>T84</f>
        <v>15.030731707317068</v>
      </c>
      <c r="U237" s="57">
        <f>U84</f>
        <v>1113.3197201851808</v>
      </c>
      <c r="V237" s="57">
        <f>V84</f>
        <v>55709.638973907444</v>
      </c>
      <c r="W237" s="57">
        <f>W84</f>
        <v>30232.734988849654</v>
      </c>
      <c r="X237" s="57">
        <f>X84</f>
        <v>5633.2955853504027</v>
      </c>
      <c r="AB237">
        <v>16</v>
      </c>
      <c r="AC237">
        <v>495</v>
      </c>
      <c r="AD237">
        <v>490</v>
      </c>
      <c r="AE237">
        <v>479</v>
      </c>
      <c r="AN237" s="78"/>
      <c r="AO237" s="78"/>
    </row>
    <row r="238" spans="1:48" x14ac:dyDescent="0.3">
      <c r="B238" s="1" t="s">
        <v>37</v>
      </c>
      <c r="C238" s="18">
        <f>100-C236</f>
        <v>89.181128135186484</v>
      </c>
      <c r="D238" s="18">
        <f>100-D236</f>
        <v>17.439245607388017</v>
      </c>
      <c r="E238" s="18">
        <f>100-E236</f>
        <v>0.91956992659497416</v>
      </c>
      <c r="F238" s="18">
        <f>100-F236</f>
        <v>1.2035764488204705</v>
      </c>
      <c r="G238" s="18">
        <f>100-G236</f>
        <v>2.6675475104085251</v>
      </c>
      <c r="T238" s="57">
        <f>T94</f>
        <v>290.52461273534948</v>
      </c>
      <c r="U238" s="57">
        <f>U94</f>
        <v>1027.2201459320447</v>
      </c>
      <c r="V238" s="57">
        <f>V94</f>
        <v>55767.071613439264</v>
      </c>
      <c r="W238" s="57">
        <f>W94</f>
        <v>29791.543242189407</v>
      </c>
      <c r="X238" s="57">
        <f>X94</f>
        <v>5827.6703857039229</v>
      </c>
      <c r="AB238">
        <v>17</v>
      </c>
      <c r="AC238">
        <v>524</v>
      </c>
      <c r="AD238">
        <v>519</v>
      </c>
      <c r="AE238">
        <v>508</v>
      </c>
    </row>
    <row r="239" spans="1:48" ht="15.6" x14ac:dyDescent="0.35">
      <c r="B239" s="1" t="s">
        <v>25</v>
      </c>
      <c r="C239" s="1">
        <f>C223</f>
        <v>45</v>
      </c>
      <c r="D239" s="1">
        <f>D223</f>
        <v>62</v>
      </c>
      <c r="E239" s="1">
        <f>E223</f>
        <v>1073</v>
      </c>
      <c r="F239" s="1">
        <f>F223</f>
        <v>618</v>
      </c>
      <c r="G239" s="1">
        <f>G223</f>
        <v>961</v>
      </c>
      <c r="T239" s="57">
        <f>T104</f>
        <v>132.60743609085577</v>
      </c>
      <c r="U239" s="57">
        <f>U104</f>
        <v>1187.5270028123546</v>
      </c>
      <c r="V239" s="57">
        <f>V104</f>
        <v>55382.304263756239</v>
      </c>
      <c r="W239" s="57">
        <f>W104</f>
        <v>30067.758345771836</v>
      </c>
      <c r="X239" s="57">
        <f>X104</f>
        <v>5933.8229515687181</v>
      </c>
      <c r="AB239">
        <v>18</v>
      </c>
      <c r="AC239">
        <v>553</v>
      </c>
      <c r="AD239">
        <v>548</v>
      </c>
      <c r="AE239">
        <v>537</v>
      </c>
      <c r="AN239" s="78"/>
      <c r="AO239" s="78"/>
    </row>
    <row r="240" spans="1:48" x14ac:dyDescent="0.3">
      <c r="B240" s="1" t="s">
        <v>34</v>
      </c>
      <c r="C240" s="18">
        <f>(O229*O229*(100-C236)*(100-C236)*(I229)*(100-I229))/(L229-1)</f>
        <v>2087.602597693216</v>
      </c>
      <c r="D240" s="18">
        <f>(O230*O230*(100-D236)*(100-D236)*(I230)*(100-I230))/((L230-1)*100)</f>
        <v>16.527676398980887</v>
      </c>
      <c r="E240" s="18">
        <f>(O231*O231*(100-E236)*(100-E236)*(I231)*(100-I231))/((L231-1)*100)</f>
        <v>0.69172410156962416</v>
      </c>
      <c r="F240" s="18">
        <f>(O232*O232*(100-F236)*(100-F236)*(I232)*(100-I232))/((L232-1)*100)</f>
        <v>6.1947266853572849</v>
      </c>
      <c r="G240" s="18">
        <f>(O233*O233*(100-G236)*(100-G236)*(I233)*(100-I233))/((L233-1)*100)</f>
        <v>1.4069430744242655</v>
      </c>
      <c r="T240" s="57">
        <f>T114</f>
        <v>132.55440220662749</v>
      </c>
      <c r="U240" s="57">
        <f>U114</f>
        <v>1171.3300711938628</v>
      </c>
      <c r="V240" s="57">
        <f>V114</f>
        <v>55337.593195829177</v>
      </c>
      <c r="W240" s="57">
        <f>W114</f>
        <v>30022.152769288215</v>
      </c>
      <c r="X240" s="57">
        <f>X114</f>
        <v>6040.3995614821188</v>
      </c>
      <c r="AB240">
        <v>19</v>
      </c>
      <c r="AC240">
        <v>582</v>
      </c>
      <c r="AD240">
        <v>577</v>
      </c>
      <c r="AE240">
        <v>566</v>
      </c>
    </row>
    <row r="241" spans="1:41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1.8159679870381835</v>
      </c>
      <c r="D241" s="18">
        <f>D236*D236*(SUM((H229*D229*(1-D218/H218))/(H218-1),(H231*D231*(1-D220/H220))/(H220-1), (H232*D232*(1-D221/H221))/(H221-1),(H233*D233*(1-D222/H222))/(H222-1)))</f>
        <v>64.780460858927256</v>
      </c>
      <c r="E241" s="18">
        <f>E236*E236*(SUM((H229*E229*(1-E218/H218))/(H218-1),(H230*E230*(1-E219/H219))/(H219-1), (H232*E232*(1-E221/H221))/(H221-1),(H233*E233*(1-E222/H222))/(H222-1)))</f>
        <v>97.711393777563217</v>
      </c>
      <c r="F241" s="18">
        <f>F236*F236*(SUM((H229*F229*(1-F218/H218))/(H218-1),(H230*F230*(1-F219/H219))/(H219-1), (H231*F231*(1-F220/H220))/(H220-1),(H233*F233*(1-F222/H222))/(H222-1)))</f>
        <v>97.363382732284748</v>
      </c>
      <c r="G241" s="18">
        <f>G236*G236*(SUM((H229*G229*(1-G218/H218))/(H218-1),(H230*G230*(1-G219/H219))/(H219-1), (H231*G231*(1-G220/H220))/(H220-1),(H232*G232*(1-G221/H221))/(H221-1)))</f>
        <v>88.493947374378493</v>
      </c>
      <c r="T241" s="57">
        <f>T124</f>
        <v>121.57379850808819</v>
      </c>
      <c r="U241" s="57">
        <f>U124</f>
        <v>1033.8513223187012</v>
      </c>
      <c r="V241" s="57">
        <f>V124</f>
        <v>55712.848639645672</v>
      </c>
      <c r="W241" s="57">
        <f>W124</f>
        <v>29958.74005685544</v>
      </c>
      <c r="X241" s="57">
        <f>X124</f>
        <v>5877.006182672103</v>
      </c>
      <c r="AB241">
        <v>20</v>
      </c>
      <c r="AC241">
        <v>611</v>
      </c>
      <c r="AD241">
        <v>606</v>
      </c>
      <c r="AE241">
        <v>595</v>
      </c>
      <c r="AN241" s="78"/>
      <c r="AO241" s="78"/>
    </row>
    <row r="242" spans="1:41" x14ac:dyDescent="0.3">
      <c r="T242" s="57">
        <f>T134</f>
        <v>122.38218338781324</v>
      </c>
      <c r="U242" s="57">
        <f>U134</f>
        <v>1151.9191171796194</v>
      </c>
      <c r="V242" s="57">
        <f>V134</f>
        <v>55377.060840978178</v>
      </c>
      <c r="W242" s="57">
        <f>W134</f>
        <v>30338.7558646461</v>
      </c>
      <c r="X242" s="57">
        <f>X134</f>
        <v>5713.9119938083031</v>
      </c>
      <c r="AB242">
        <v>21</v>
      </c>
      <c r="AC242">
        <v>640</v>
      </c>
      <c r="AD242">
        <v>635</v>
      </c>
      <c r="AE242">
        <v>624</v>
      </c>
    </row>
    <row r="243" spans="1:41" x14ac:dyDescent="0.3">
      <c r="T243" s="57">
        <f>T144</f>
        <v>121.93169139217166</v>
      </c>
      <c r="U243" s="57">
        <f>U144</f>
        <v>1045.6002241015603</v>
      </c>
      <c r="V243" s="57">
        <f>V144</f>
        <v>55688.685727736716</v>
      </c>
      <c r="W243" s="57">
        <f>W144</f>
        <v>30042.281444192366</v>
      </c>
      <c r="X243" s="57">
        <f>X144</f>
        <v>5805.5209125771826</v>
      </c>
      <c r="AB243">
        <v>22</v>
      </c>
      <c r="AC243">
        <v>669</v>
      </c>
      <c r="AD243">
        <v>664</v>
      </c>
      <c r="AE243">
        <v>653</v>
      </c>
      <c r="AN243" s="78"/>
      <c r="AO243" s="78"/>
    </row>
    <row r="244" spans="1:41" x14ac:dyDescent="0.3">
      <c r="A244" s="348" t="s">
        <v>384</v>
      </c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 t="s">
        <v>81</v>
      </c>
      <c r="M244" s="348"/>
      <c r="N244" s="348"/>
      <c r="O244" s="348"/>
      <c r="P244" s="348"/>
      <c r="T244" s="57">
        <f>T154</f>
        <v>135.66702303396042</v>
      </c>
      <c r="U244" s="57">
        <f>U154</f>
        <v>1075.0677973361828</v>
      </c>
      <c r="V244" s="57">
        <f>V154</f>
        <v>55490.021310759745</v>
      </c>
      <c r="W244" s="57">
        <f>W154</f>
        <v>30115.511564552886</v>
      </c>
      <c r="X244" s="57">
        <f>X154</f>
        <v>5887.7523043172141</v>
      </c>
      <c r="AB244">
        <v>23</v>
      </c>
      <c r="AC244">
        <v>698</v>
      </c>
      <c r="AD244">
        <v>693</v>
      </c>
      <c r="AE244">
        <v>682</v>
      </c>
    </row>
    <row r="245" spans="1:41" x14ac:dyDescent="0.3">
      <c r="A245" t="s">
        <v>315</v>
      </c>
      <c r="B245" t="s">
        <v>21</v>
      </c>
      <c r="I245" s="1" t="s">
        <v>53</v>
      </c>
      <c r="O245" s="142"/>
      <c r="P245" s="142"/>
      <c r="T245" s="57">
        <f>T164</f>
        <v>132.39980623433226</v>
      </c>
      <c r="U245" s="57">
        <f>U164</f>
        <v>1209.815787133339</v>
      </c>
      <c r="V245" s="57">
        <f>V164</f>
        <v>55293.97849713303</v>
      </c>
      <c r="W245" s="57">
        <f>W164</f>
        <v>30285.052180619346</v>
      </c>
      <c r="X245" s="57">
        <f>X164</f>
        <v>5782.7737288799426</v>
      </c>
      <c r="AB245">
        <v>24</v>
      </c>
      <c r="AC245">
        <v>727</v>
      </c>
      <c r="AD245">
        <v>722</v>
      </c>
      <c r="AE245">
        <v>711</v>
      </c>
      <c r="AN245" s="78"/>
      <c r="AO245" s="78"/>
    </row>
    <row r="246" spans="1:41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51</v>
      </c>
      <c r="O246" s="13"/>
      <c r="P246" s="13"/>
      <c r="T246" s="57">
        <f>T174</f>
        <v>120.18766825915682</v>
      </c>
      <c r="U246" s="57">
        <f>U174</f>
        <v>1175.3396007749748</v>
      </c>
      <c r="V246" s="57">
        <f>V174</f>
        <v>55934.55291797594</v>
      </c>
      <c r="W246" s="57">
        <f>W174</f>
        <v>29578.855830299159</v>
      </c>
      <c r="X246" s="57">
        <f>X174</f>
        <v>5895.0939826907797</v>
      </c>
      <c r="AB246">
        <v>25</v>
      </c>
      <c r="AC246">
        <v>756</v>
      </c>
      <c r="AD246">
        <v>751</v>
      </c>
      <c r="AE246">
        <v>740</v>
      </c>
    </row>
    <row r="247" spans="1:41" x14ac:dyDescent="0.3">
      <c r="A247" t="s">
        <v>3</v>
      </c>
      <c r="B247" s="13">
        <v>0</v>
      </c>
      <c r="C247" s="26">
        <v>50</v>
      </c>
      <c r="D247" s="3">
        <v>0</v>
      </c>
      <c r="E247" s="3">
        <v>401</v>
      </c>
      <c r="F247" s="3">
        <v>0</v>
      </c>
      <c r="G247" s="4">
        <v>0</v>
      </c>
      <c r="H247" s="1">
        <f>SUM(C247:G247)</f>
        <v>451</v>
      </c>
      <c r="I247" s="10">
        <f>C247/H247</f>
        <v>0.11086474501108648</v>
      </c>
      <c r="J247" s="11">
        <f>1-I247</f>
        <v>0.88913525498891355</v>
      </c>
      <c r="K247">
        <f>H247-C252</f>
        <v>399</v>
      </c>
      <c r="N247" s="10">
        <f>2*(C253*I247)/(C253+I247)</f>
        <v>0.19880715705765406</v>
      </c>
      <c r="O247" s="1"/>
      <c r="P247" s="1"/>
      <c r="T247" s="57">
        <f>T184</f>
        <v>131.22883626305801</v>
      </c>
      <c r="U247" s="57">
        <f>U184</f>
        <v>1008.3118503140753</v>
      </c>
      <c r="V247" s="57">
        <f>V184</f>
        <v>55751.014938955217</v>
      </c>
      <c r="W247" s="57">
        <f>W184</f>
        <v>30242.420529995732</v>
      </c>
      <c r="X247" s="57">
        <f>X184</f>
        <v>5571.0338444719173</v>
      </c>
      <c r="AB247">
        <v>26</v>
      </c>
      <c r="AC247">
        <v>785</v>
      </c>
      <c r="AD247">
        <v>780</v>
      </c>
      <c r="AE247">
        <v>769</v>
      </c>
      <c r="AN247" s="78"/>
      <c r="AO247" s="78"/>
    </row>
    <row r="248" spans="1:41" x14ac:dyDescent="0.3">
      <c r="A248" t="s">
        <v>4</v>
      </c>
      <c r="B248" s="13">
        <v>1</v>
      </c>
      <c r="C248" s="5">
        <v>0</v>
      </c>
      <c r="D248" s="27">
        <v>54</v>
      </c>
      <c r="E248" s="1">
        <v>2</v>
      </c>
      <c r="F248" s="1">
        <v>0</v>
      </c>
      <c r="G248" s="6">
        <v>1</v>
      </c>
      <c r="H248" s="1">
        <f>SUM(C248:G248)</f>
        <v>57</v>
      </c>
      <c r="I248" s="10">
        <f>D248/H248</f>
        <v>0.94736842105263153</v>
      </c>
      <c r="J248" s="11">
        <f>1-I248</f>
        <v>5.2631578947368474E-2</v>
      </c>
      <c r="K248">
        <f>H248-D252</f>
        <v>-2</v>
      </c>
      <c r="N248" s="10">
        <f>2*(D253*I248)/(D253+I248)</f>
        <v>0.93103448275862055</v>
      </c>
      <c r="O248" s="1"/>
      <c r="P248" s="1"/>
      <c r="T248" s="57">
        <f>T194</f>
        <v>127.33600726906991</v>
      </c>
      <c r="U248" s="57">
        <f>U194</f>
        <v>905.00682618775022</v>
      </c>
      <c r="V248" s="57">
        <f>V194</f>
        <v>55898.295937576164</v>
      </c>
      <c r="W248" s="57">
        <f>W194</f>
        <v>30182.314977164831</v>
      </c>
      <c r="X248" s="57">
        <f>X194</f>
        <v>5591.0762518021957</v>
      </c>
      <c r="AB248">
        <v>27</v>
      </c>
      <c r="AC248">
        <v>814</v>
      </c>
      <c r="AD248">
        <v>809</v>
      </c>
      <c r="AE248">
        <v>798</v>
      </c>
    </row>
    <row r="249" spans="1:41" x14ac:dyDescent="0.3">
      <c r="A249" t="s">
        <v>5</v>
      </c>
      <c r="B249" s="13">
        <v>2</v>
      </c>
      <c r="C249" s="5">
        <v>0</v>
      </c>
      <c r="D249" s="1">
        <v>1</v>
      </c>
      <c r="E249" s="27">
        <v>657</v>
      </c>
      <c r="F249" s="1">
        <v>1</v>
      </c>
      <c r="G249" s="6">
        <v>1</v>
      </c>
      <c r="H249" s="1">
        <f>SUM(C249:G249)</f>
        <v>660</v>
      </c>
      <c r="I249" s="10">
        <f>E249/H249</f>
        <v>0.99545454545454548</v>
      </c>
      <c r="J249" s="11">
        <f>1-I249</f>
        <v>4.5454545454545192E-3</v>
      </c>
      <c r="K249">
        <f>H249-E252</f>
        <v>-403</v>
      </c>
      <c r="N249" s="10">
        <f>2*(E253*I249)/(E253+I249)</f>
        <v>0.76262333139872318</v>
      </c>
      <c r="O249" s="1"/>
      <c r="P249" s="1"/>
      <c r="T249" s="57">
        <f>T204</f>
        <v>124.16001059120245</v>
      </c>
      <c r="U249" s="57">
        <f>U204</f>
        <v>991.24964810376343</v>
      </c>
      <c r="V249" s="57">
        <f>V204</f>
        <v>56363.769456766742</v>
      </c>
      <c r="W249" s="57">
        <f>W204</f>
        <v>29407.930589790041</v>
      </c>
      <c r="X249" s="57">
        <f>X204</f>
        <v>5816.9202947482436</v>
      </c>
      <c r="AB249">
        <v>28</v>
      </c>
      <c r="AC249">
        <v>843</v>
      </c>
      <c r="AD249">
        <v>838</v>
      </c>
      <c r="AE249">
        <v>827</v>
      </c>
      <c r="AN249" s="78"/>
      <c r="AO249" s="78"/>
    </row>
    <row r="250" spans="1:41" x14ac:dyDescent="0.3">
      <c r="A250" t="s">
        <v>6</v>
      </c>
      <c r="B250" s="13">
        <v>3</v>
      </c>
      <c r="C250" s="5">
        <v>2</v>
      </c>
      <c r="D250" s="1">
        <v>3</v>
      </c>
      <c r="E250" s="1">
        <v>3</v>
      </c>
      <c r="F250" s="27">
        <v>570</v>
      </c>
      <c r="G250" s="6">
        <v>4</v>
      </c>
      <c r="H250" s="1">
        <f>SUM(C250:G250)</f>
        <v>582</v>
      </c>
      <c r="I250" s="10">
        <f>F250/H250</f>
        <v>0.97938144329896903</v>
      </c>
      <c r="J250" s="11">
        <f>1-I250</f>
        <v>2.0618556701030966E-2</v>
      </c>
      <c r="K250">
        <f>H250-F252</f>
        <v>-45</v>
      </c>
      <c r="N250" s="10">
        <f>2*(F253*I250)/(F253+I250)</f>
        <v>0.94292803970223316</v>
      </c>
      <c r="O250" s="1"/>
      <c r="P250" s="1"/>
      <c r="T250" s="57">
        <f>T214</f>
        <v>122.09958679071327</v>
      </c>
      <c r="U250" s="57">
        <f>U214</f>
        <v>1009.1294058600107</v>
      </c>
      <c r="V250" s="57">
        <f>V214</f>
        <v>55934.535630714781</v>
      </c>
      <c r="W250" s="57">
        <f>W214</f>
        <v>29754.391159349514</v>
      </c>
      <c r="X250" s="57">
        <f>X214</f>
        <v>5883.8742172849843</v>
      </c>
      <c r="AB250">
        <v>29</v>
      </c>
      <c r="AC250">
        <v>872</v>
      </c>
      <c r="AD250">
        <v>867</v>
      </c>
      <c r="AE250">
        <v>856</v>
      </c>
    </row>
    <row r="251" spans="1:41" x14ac:dyDescent="0.3">
      <c r="A251" t="s">
        <v>7</v>
      </c>
      <c r="B251" s="13">
        <v>4</v>
      </c>
      <c r="C251" s="7">
        <v>0</v>
      </c>
      <c r="D251" s="8">
        <v>1</v>
      </c>
      <c r="E251" s="8">
        <v>0</v>
      </c>
      <c r="F251" s="8">
        <v>56</v>
      </c>
      <c r="G251" s="28">
        <v>952</v>
      </c>
      <c r="H251" s="1">
        <f>SUM(C251:G251)</f>
        <v>1009</v>
      </c>
      <c r="I251" s="10">
        <f>G251/H251</f>
        <v>0.94350842418235881</v>
      </c>
      <c r="J251" s="11">
        <f>1-I251</f>
        <v>5.6491575817641193E-2</v>
      </c>
      <c r="K251">
        <f>H251-G252</f>
        <v>51</v>
      </c>
      <c r="N251" s="10">
        <f>2*(G253*I251)/(G253+I251)</f>
        <v>0.96797153024911031</v>
      </c>
      <c r="O251" s="1"/>
      <c r="P251" s="1"/>
      <c r="AN251" s="78"/>
      <c r="AO251" s="78"/>
    </row>
    <row r="252" spans="1:41" ht="15.6" x14ac:dyDescent="0.35">
      <c r="B252" s="1" t="s">
        <v>19</v>
      </c>
      <c r="C252" s="1">
        <f>SUM(C247:C251)</f>
        <v>52</v>
      </c>
      <c r="D252" s="1">
        <f>SUM(D247:D251)</f>
        <v>59</v>
      </c>
      <c r="E252" s="1">
        <f>SUM(E247:E251)</f>
        <v>1063</v>
      </c>
      <c r="F252" s="1">
        <f>SUM(F247:F251)</f>
        <v>627</v>
      </c>
      <c r="G252" s="1">
        <f>SUM(G247:G251)</f>
        <v>958</v>
      </c>
      <c r="H252" s="1">
        <f>SUM(H246:H251)</f>
        <v>2759</v>
      </c>
      <c r="I252" s="13" t="s">
        <v>12</v>
      </c>
      <c r="N252" s="16"/>
      <c r="O252" s="1"/>
      <c r="P252" s="1"/>
    </row>
    <row r="253" spans="1:41" x14ac:dyDescent="0.3">
      <c r="A253" s="1" t="s">
        <v>316</v>
      </c>
      <c r="B253" s="1" t="s">
        <v>2</v>
      </c>
      <c r="C253" s="10">
        <f>C247/C252</f>
        <v>0.96153846153846156</v>
      </c>
      <c r="D253" s="10">
        <f>D248/D252</f>
        <v>0.9152542372881356</v>
      </c>
      <c r="E253" s="10">
        <f>E249/E252</f>
        <v>0.61806208842897459</v>
      </c>
      <c r="F253" s="10">
        <f>F250/F252</f>
        <v>0.90909090909090906</v>
      </c>
      <c r="G253" s="10">
        <f>G251/G252</f>
        <v>0.99373695198329859</v>
      </c>
      <c r="H253" s="10"/>
      <c r="I253" s="14">
        <f>(C247+D248+E249+F250+G251)/H252</f>
        <v>0.82747372236317507</v>
      </c>
      <c r="AN253" s="78"/>
      <c r="AO253" s="78"/>
    </row>
    <row r="254" spans="1:41" x14ac:dyDescent="0.3">
      <c r="B254" s="1" t="s">
        <v>14</v>
      </c>
      <c r="C254" s="11">
        <f>1-C253</f>
        <v>3.8461538461538436E-2</v>
      </c>
      <c r="D254" s="11">
        <f>1-D253</f>
        <v>8.4745762711864403E-2</v>
      </c>
      <c r="E254" s="11">
        <f>1-E253</f>
        <v>0.38193791157102541</v>
      </c>
      <c r="F254" s="11">
        <f>1-F253</f>
        <v>9.0909090909090939E-2</v>
      </c>
      <c r="G254" s="11">
        <f>1-G253</f>
        <v>6.2630480167014113E-3</v>
      </c>
    </row>
    <row r="255" spans="1:41" x14ac:dyDescent="0.3">
      <c r="C255" s="2"/>
      <c r="AN255" s="78"/>
      <c r="AO255" s="78"/>
    </row>
    <row r="256" spans="1:41" ht="15.6" x14ac:dyDescent="0.35">
      <c r="A256" t="s">
        <v>317</v>
      </c>
      <c r="B256" s="15" t="s">
        <v>23</v>
      </c>
      <c r="N256" s="12" t="s">
        <v>17</v>
      </c>
      <c r="O256" s="1" t="s">
        <v>27</v>
      </c>
      <c r="P256" s="1" t="s">
        <v>33</v>
      </c>
    </row>
    <row r="257" spans="1:41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</row>
    <row r="258" spans="1:41" x14ac:dyDescent="0.3">
      <c r="A258" t="s">
        <v>3</v>
      </c>
      <c r="B258" s="13">
        <v>0</v>
      </c>
      <c r="C258" s="29">
        <f>(C247/$L258)*$O258</f>
        <v>3.0808777882292592E-2</v>
      </c>
      <c r="D258" s="31">
        <f>(D247/$L258)*$O258</f>
        <v>0</v>
      </c>
      <c r="E258" s="31">
        <f>(E247/$L258)*$O258</f>
        <v>0.24708639861598658</v>
      </c>
      <c r="F258" s="31">
        <f>(F247/$L258)*$O258</f>
        <v>0</v>
      </c>
      <c r="G258" s="32">
        <f>(G247/$L258)*$O258</f>
        <v>0</v>
      </c>
      <c r="H258" s="17">
        <f>SUM(C258:G258)</f>
        <v>0.27789517649827916</v>
      </c>
      <c r="I258" s="17">
        <f>C258/H258*100</f>
        <v>11.086474501108649</v>
      </c>
      <c r="J258" s="17">
        <f>SQRT(I258*(100-I258)/(L258-1))</f>
        <v>1.4800431924982105</v>
      </c>
      <c r="K258" s="18">
        <f>100-I258</f>
        <v>88.913525498891346</v>
      </c>
      <c r="L258" s="1">
        <f>H247</f>
        <v>451</v>
      </c>
      <c r="M258">
        <v>0</v>
      </c>
      <c r="N258" s="1">
        <v>257.62</v>
      </c>
      <c r="O258" s="17">
        <f>N258/N263*100</f>
        <v>0.27789517649827916</v>
      </c>
      <c r="P258" s="52">
        <f>((O258*O258*(I258/100)*(K258/100))/(L258-1))</f>
        <v>1.6916511050434527E-5</v>
      </c>
    </row>
    <row r="259" spans="1:41" x14ac:dyDescent="0.3">
      <c r="A259" t="s">
        <v>4</v>
      </c>
      <c r="B259" s="13">
        <v>1</v>
      </c>
      <c r="C259" s="33">
        <f t="shared" ref="C259:G262" si="38">(C248/$L259)*$O259</f>
        <v>0</v>
      </c>
      <c r="D259" s="34">
        <f t="shared" si="38"/>
        <v>1.0160213457614322</v>
      </c>
      <c r="E259" s="19">
        <f t="shared" si="38"/>
        <v>3.7630420213386376E-2</v>
      </c>
      <c r="F259" s="18">
        <f t="shared" si="38"/>
        <v>0</v>
      </c>
      <c r="G259" s="20">
        <f t="shared" si="38"/>
        <v>1.8815210106693188E-2</v>
      </c>
      <c r="H259" s="17">
        <f>SUM(C259:G259)</f>
        <v>1.0724669760815118</v>
      </c>
      <c r="I259" s="17">
        <f>D259/H259*100</f>
        <v>94.736842105263165</v>
      </c>
      <c r="J259" s="17">
        <f>SQRT(I259*(100-I259)/(L259-1))</f>
        <v>2.983930050072845</v>
      </c>
      <c r="K259" s="18">
        <f>100-I259</f>
        <v>5.2631578947368354</v>
      </c>
      <c r="L259" s="1">
        <f>H248</f>
        <v>57</v>
      </c>
      <c r="M259">
        <v>1</v>
      </c>
      <c r="N259" s="1">
        <v>994.22</v>
      </c>
      <c r="O259" s="17">
        <f>N259/N263*100</f>
        <v>1.0724669760815118</v>
      </c>
      <c r="P259" s="52">
        <f>((O259*O259*(I259/100)*(K259/100))/(L259-1))</f>
        <v>1.0241065228599907E-3</v>
      </c>
      <c r="AN259" s="78"/>
      <c r="AO259" s="78"/>
    </row>
    <row r="260" spans="1:41" x14ac:dyDescent="0.3">
      <c r="A260" t="s">
        <v>5</v>
      </c>
      <c r="B260" s="13">
        <v>2</v>
      </c>
      <c r="C260" s="33">
        <f t="shared" si="38"/>
        <v>0</v>
      </c>
      <c r="D260" s="19">
        <f t="shared" si="38"/>
        <v>9.0240374198933923E-2</v>
      </c>
      <c r="E260" s="34">
        <f t="shared" si="38"/>
        <v>59.287925848699594</v>
      </c>
      <c r="F260" s="19">
        <f t="shared" si="38"/>
        <v>9.0240374198933923E-2</v>
      </c>
      <c r="G260" s="20">
        <f t="shared" si="38"/>
        <v>9.0240374198933923E-2</v>
      </c>
      <c r="H260" s="17">
        <f>SUM(C260:G260)</f>
        <v>59.558646971296398</v>
      </c>
      <c r="I260" s="17">
        <f>E260/H260*100</f>
        <v>99.545454545454533</v>
      </c>
      <c r="J260" s="17">
        <f>SQRT(I260*(100-I260)/(L260-1))</f>
        <v>0.26203341040868794</v>
      </c>
      <c r="K260" s="18">
        <f>100-I260</f>
        <v>0.45454545454546746</v>
      </c>
      <c r="L260" s="1">
        <f>H249</f>
        <v>660</v>
      </c>
      <c r="M260">
        <v>2</v>
      </c>
      <c r="N260" s="1">
        <v>55213.26</v>
      </c>
      <c r="O260" s="17">
        <f>N260/N263*100</f>
        <v>59.55864697129639</v>
      </c>
      <c r="P260" s="52">
        <f>((O260*O260*(I260/100)*(K260/100))/(L260-1))</f>
        <v>2.4355832840965628E-2</v>
      </c>
    </row>
    <row r="261" spans="1:41" x14ac:dyDescent="0.3">
      <c r="A261" t="s">
        <v>6</v>
      </c>
      <c r="B261" s="13">
        <v>3</v>
      </c>
      <c r="C261" s="33">
        <f t="shared" si="38"/>
        <v>0.11223511179029741</v>
      </c>
      <c r="D261" s="19">
        <f t="shared" si="38"/>
        <v>0.1683526676854461</v>
      </c>
      <c r="E261" s="19">
        <f t="shared" si="38"/>
        <v>0.1683526676854461</v>
      </c>
      <c r="F261" s="34">
        <f t="shared" si="38"/>
        <v>31.987006860234761</v>
      </c>
      <c r="G261" s="20">
        <f t="shared" si="38"/>
        <v>0.22447022358059482</v>
      </c>
      <c r="H261" s="17">
        <f>SUM(C261:G261)</f>
        <v>32.660417530976545</v>
      </c>
      <c r="I261" s="17">
        <f>F261/H261*100</f>
        <v>97.9381443298969</v>
      </c>
      <c r="J261" s="17">
        <f>SQRT(I261*(100-I261)/(L261-1))</f>
        <v>0.58954505375429189</v>
      </c>
      <c r="K261" s="18">
        <f>100-I261</f>
        <v>2.0618556701030997</v>
      </c>
      <c r="L261" s="1">
        <f>H250</f>
        <v>582</v>
      </c>
      <c r="M261">
        <v>3</v>
      </c>
      <c r="N261" s="1">
        <v>30277.52</v>
      </c>
      <c r="O261" s="17">
        <f>N261/N263*100</f>
        <v>32.660417530976545</v>
      </c>
      <c r="P261" s="52">
        <f>((O261*O261*(I261/100)*(K261/100))/(L261-1))</f>
        <v>3.7074684586528094E-2</v>
      </c>
      <c r="AN261" s="78"/>
      <c r="AO261" s="78"/>
    </row>
    <row r="262" spans="1:41" x14ac:dyDescent="0.3">
      <c r="A262" t="s">
        <v>7</v>
      </c>
      <c r="B262" s="13">
        <v>4</v>
      </c>
      <c r="C262" s="35">
        <f t="shared" si="38"/>
        <v>0</v>
      </c>
      <c r="D262" s="36">
        <f t="shared" si="38"/>
        <v>6.3732144154085976E-3</v>
      </c>
      <c r="E262" s="21">
        <f t="shared" si="38"/>
        <v>0</v>
      </c>
      <c r="F262" s="21">
        <f t="shared" si="38"/>
        <v>0.35690000726288146</v>
      </c>
      <c r="G262" s="37">
        <f t="shared" si="38"/>
        <v>6.0673001234689856</v>
      </c>
      <c r="H262" s="17">
        <f>SUM(C262:G262)</f>
        <v>6.430573345147276</v>
      </c>
      <c r="I262" s="17">
        <f>G262/H262*100</f>
        <v>94.350842418235871</v>
      </c>
      <c r="J262" s="17">
        <f>SQRT(I262*(100-I262)/(L262-1))</f>
        <v>0.7271675157930344</v>
      </c>
      <c r="K262" s="18">
        <f>100-I262</f>
        <v>5.6491575817641291</v>
      </c>
      <c r="L262" s="1">
        <f>H251</f>
        <v>1009</v>
      </c>
      <c r="M262">
        <v>4</v>
      </c>
      <c r="N262" s="1">
        <v>5961.4</v>
      </c>
      <c r="O262" s="17">
        <f>N262/N263*100</f>
        <v>6.4305733451472751</v>
      </c>
      <c r="P262" s="52">
        <f>((O262*O262*(I262/100)*(K262/100))/(L262-1))</f>
        <v>2.1865949035135591E-3</v>
      </c>
    </row>
    <row r="263" spans="1:41" x14ac:dyDescent="0.3">
      <c r="B263" t="s">
        <v>28</v>
      </c>
      <c r="C263" s="17">
        <f>SUM(C258:C262)</f>
        <v>0.14304388967258999</v>
      </c>
      <c r="D263" s="17">
        <f>SUM(D258:D262)</f>
        <v>1.2809876020612208</v>
      </c>
      <c r="E263" s="17">
        <f>SUM(E258:E262)</f>
        <v>59.740995335214414</v>
      </c>
      <c r="F263" s="17">
        <f>SUM(F258:F262)</f>
        <v>32.434147241696571</v>
      </c>
      <c r="G263" s="17">
        <f>SUM(G258:G262)</f>
        <v>6.4008259313552074</v>
      </c>
      <c r="H263" s="1">
        <f>SUM(H257:H262)</f>
        <v>100.00000000000001</v>
      </c>
      <c r="I263" s="13" t="s">
        <v>24</v>
      </c>
      <c r="J263" s="12" t="s">
        <v>29</v>
      </c>
      <c r="N263" s="1">
        <f>SUM(N258:N262)</f>
        <v>92704.02</v>
      </c>
      <c r="O263" s="17">
        <f>SUM(O258:O262)</f>
        <v>100</v>
      </c>
      <c r="AM263" s="78"/>
      <c r="AN263" s="78"/>
      <c r="AO263" s="78"/>
    </row>
    <row r="264" spans="1:41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7.9332183331245781E-2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0.13629580217393383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0.18552043539764182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0.21746339455739125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0.15222798983757962</v>
      </c>
      <c r="H264" s="1"/>
      <c r="I264" s="56">
        <f>(C258+D259+E260+F261+G262)/H263</f>
        <v>0.98389062956047046</v>
      </c>
      <c r="J264" s="53">
        <f>SQRT(SUM(P258:P262))/100</f>
        <v>2.5427964009121472E-3</v>
      </c>
      <c r="M264" s="1"/>
      <c r="N264" s="9"/>
    </row>
    <row r="265" spans="1:41" x14ac:dyDescent="0.3">
      <c r="B265" s="1" t="s">
        <v>30</v>
      </c>
      <c r="C265" s="17">
        <f>C258/C263*100</f>
        <v>21.537989461003978</v>
      </c>
      <c r="D265" s="17">
        <f>D259/D263*100</f>
        <v>79.315470667051372</v>
      </c>
      <c r="E265" s="17">
        <f>E260/E263*100</f>
        <v>99.241610415138567</v>
      </c>
      <c r="F265" s="17">
        <f>F261/F263*100</f>
        <v>98.621390048797167</v>
      </c>
      <c r="G265" s="17">
        <f>G262/G263*100</f>
        <v>94.789331697767224</v>
      </c>
      <c r="H265" s="1"/>
      <c r="AM265" s="78"/>
      <c r="AN265" s="78"/>
      <c r="AO265" s="78"/>
    </row>
    <row r="266" spans="1:41" x14ac:dyDescent="0.3">
      <c r="B266" s="16" t="s">
        <v>39</v>
      </c>
      <c r="C266" s="18">
        <f>SQRT((C269+C270)/(C263*C263))</f>
        <v>225.91903528410424</v>
      </c>
      <c r="D266" s="18">
        <f>SQRT((D269+D270)/(D263*D263))</f>
        <v>9.7042530150198356</v>
      </c>
      <c r="E266" s="18">
        <f>SQRT((E269+E270)/(E263*E263))</f>
        <v>0.16834376437388021</v>
      </c>
      <c r="F266" s="18">
        <f>SQRT((F269+F270)/(F263*F263))</f>
        <v>0.31917257260684728</v>
      </c>
      <c r="G266" s="18">
        <f>SQRT((G269+G270)/(G263*G263))</f>
        <v>2.180975800393846</v>
      </c>
      <c r="H266" s="1"/>
    </row>
    <row r="267" spans="1:41" x14ac:dyDescent="0.3">
      <c r="B267" s="1" t="s">
        <v>37</v>
      </c>
      <c r="C267" s="18">
        <f>100-C265</f>
        <v>78.462010538996026</v>
      </c>
      <c r="D267" s="18">
        <f>100-D265</f>
        <v>20.684529332948628</v>
      </c>
      <c r="E267" s="18">
        <f>100-E265</f>
        <v>0.75838958486143326</v>
      </c>
      <c r="F267" s="18">
        <f>100-F265</f>
        <v>1.3786099512028329</v>
      </c>
      <c r="G267" s="18">
        <f>100-G265</f>
        <v>5.2106683022327758</v>
      </c>
      <c r="AM267" s="78"/>
      <c r="AN267" s="78"/>
      <c r="AO267" s="78"/>
    </row>
    <row r="268" spans="1:41" ht="15.6" x14ac:dyDescent="0.35">
      <c r="B268" s="1" t="s">
        <v>25</v>
      </c>
      <c r="C268" s="1">
        <f>C252</f>
        <v>52</v>
      </c>
      <c r="D268" s="1">
        <f>D252</f>
        <v>59</v>
      </c>
      <c r="E268" s="1">
        <f>E252</f>
        <v>1063</v>
      </c>
      <c r="F268" s="1">
        <f>F252</f>
        <v>627</v>
      </c>
      <c r="G268" s="1">
        <f>G252</f>
        <v>958</v>
      </c>
    </row>
    <row r="269" spans="1:41" x14ac:dyDescent="0.3">
      <c r="B269" s="1" t="s">
        <v>34</v>
      </c>
      <c r="C269" s="18">
        <f>(O258*O258*(100-C265)*(100-C265)*(I258)*(100-I258))/(L258-1)</f>
        <v>1041.4289871994531</v>
      </c>
      <c r="D269" s="18">
        <f>(O259*O259*(100-D265)*(100-D265)*(I259)*(100-I259))/((L259-1)*100)</f>
        <v>43.81637235944401</v>
      </c>
      <c r="E269" s="18">
        <f>(O260*O260*(100-E265)*(100-E265)*(I260)*(100-I260))/((L260-1)*100)</f>
        <v>1.4008373251340189</v>
      </c>
      <c r="F269" s="18">
        <f>(O261*O261*(100-F265)*(100-F265)*(I261)*(100-I261))/((L261-1)*100)</f>
        <v>7.0462862650438689</v>
      </c>
      <c r="G269" s="18">
        <f>(O262*O262*(100-G265)*(100-G265)*(I262)*(100-I262))/((L262-1)*100)</f>
        <v>5.9368378508246185</v>
      </c>
      <c r="AM269" s="78"/>
      <c r="AN269" s="78"/>
      <c r="AO269" s="78"/>
    </row>
    <row r="270" spans="1:41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2.9166859707342794</v>
      </c>
      <c r="D270" s="18">
        <f>D265*D265*(SUM((H258*D258*(1-D247/H247))/(H247-1),(H260*D260*(1-D249/H249))/(H249-1), (H261*D261*(1-D250/H250))/(H250-1),(H262*D262*(1-D251/H251))/(H251-1)))</f>
        <v>110.7140797926378</v>
      </c>
      <c r="E270" s="18">
        <f>E265*E265*(SUM((H258*E258*(1-E247/H247))/(H247-1),(H259*E259*(1-E248/H248))/(H248-1), (H261*E261*(1-E250/H250))/(H250-1),(H262*E262*(1-E251/H251))/(H251-1)))</f>
        <v>99.742895259699921</v>
      </c>
      <c r="F270" s="18">
        <f>F265*F265*(SUM((H258*F258*(1-F247/H247))/(H247-1),(H259*F259*(1-F248/H248))/(H248-1), (H260*F260*(1-F249/H249))/(H249-1),(H262*F262*(1-F251/H251))/(H251-1)))</f>
        <v>100.11948556359732</v>
      </c>
      <c r="G270" s="18">
        <f>G265*G265*(SUM((H258*G258*(1-G247/H247))/(H247-1),(H259*G259*(1-G248/H248))/(H248-1), (H260*G260*(1-G249/H249))/(H249-1),(H261*G261*(1-G250/H250))/(H250-1)))</f>
        <v>188.94605928156329</v>
      </c>
    </row>
    <row r="271" spans="1:41" x14ac:dyDescent="0.3">
      <c r="AM271" s="78"/>
      <c r="AN271" s="78"/>
      <c r="AO271" s="78"/>
    </row>
    <row r="272" spans="1:41" x14ac:dyDescent="0.3">
      <c r="T272" s="2"/>
    </row>
    <row r="273" spans="1:41" x14ac:dyDescent="0.3">
      <c r="A273" s="348" t="s">
        <v>384</v>
      </c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 t="s">
        <v>82</v>
      </c>
      <c r="M273" s="348"/>
      <c r="N273" s="348"/>
      <c r="O273" s="348"/>
      <c r="P273" s="348"/>
      <c r="AM273" s="78"/>
      <c r="AN273" s="78"/>
      <c r="AO273" s="78"/>
    </row>
    <row r="274" spans="1:41" ht="15" thickBot="1" x14ac:dyDescent="0.35">
      <c r="A274" t="s">
        <v>315</v>
      </c>
      <c r="B274" t="s">
        <v>21</v>
      </c>
      <c r="I274" s="1" t="s">
        <v>53</v>
      </c>
      <c r="O274" s="142"/>
      <c r="P274" s="142"/>
      <c r="R274" s="59" t="s">
        <v>73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72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51</v>
      </c>
      <c r="O275" s="13"/>
      <c r="P275" s="13"/>
      <c r="S275" t="s">
        <v>28</v>
      </c>
      <c r="T275" s="57">
        <f t="shared" ref="T275:X276" si="39">AVERAGE(T16,T26,T36,T46,T56)</f>
        <v>0.14056167945193229</v>
      </c>
      <c r="U275" s="57">
        <f t="shared" si="39"/>
        <v>1.1629908461923617</v>
      </c>
      <c r="V275" s="57">
        <f t="shared" si="39"/>
        <v>60.063210458957542</v>
      </c>
      <c r="W275" s="57">
        <f t="shared" si="39"/>
        <v>32.391630329776426</v>
      </c>
      <c r="X275" s="57">
        <f t="shared" si="39"/>
        <v>6.2416066856217389</v>
      </c>
      <c r="Z275" s="14">
        <f>AVERAGE(AE16,AE17,AE18,AE19,AE20)</f>
        <v>0.98360673826530343</v>
      </c>
      <c r="AA275" s="72">
        <f>AVERAGE(AF16,AF17,AF18,AF19,AF20)</f>
        <v>2.4345922858277987E-3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48</v>
      </c>
      <c r="D276" s="3">
        <v>0</v>
      </c>
      <c r="E276" s="3">
        <v>403</v>
      </c>
      <c r="F276" s="3">
        <v>0</v>
      </c>
      <c r="G276" s="4">
        <v>0</v>
      </c>
      <c r="H276" s="1">
        <f>SUM(C276:G276)</f>
        <v>451</v>
      </c>
      <c r="I276" s="10">
        <f>C276/H276</f>
        <v>0.10643015521064302</v>
      </c>
      <c r="J276" s="11">
        <f>1-I276</f>
        <v>0.89356984478935697</v>
      </c>
      <c r="K276">
        <f>H276-C281</f>
        <v>401</v>
      </c>
      <c r="N276" s="10">
        <f>2*(C282*I276)/(C282+I276)</f>
        <v>0.19161676646706588</v>
      </c>
      <c r="O276" s="1"/>
      <c r="P276" s="1"/>
      <c r="S276" t="s">
        <v>39</v>
      </c>
      <c r="T276" s="57">
        <f t="shared" si="39"/>
        <v>7.909500990896759E-2</v>
      </c>
      <c r="U276" s="57">
        <f t="shared" si="39"/>
        <v>0.13031319320027882</v>
      </c>
      <c r="V276" s="57">
        <f t="shared" si="39"/>
        <v>0.16862971638778371</v>
      </c>
      <c r="W276" s="57">
        <f t="shared" si="39"/>
        <v>0.2204477487728346</v>
      </c>
      <c r="X276" s="57">
        <f t="shared" si="39"/>
        <v>0.13447610009087499</v>
      </c>
    </row>
    <row r="277" spans="1:41" x14ac:dyDescent="0.3">
      <c r="A277" t="s">
        <v>4</v>
      </c>
      <c r="B277" s="13">
        <v>1</v>
      </c>
      <c r="C277" s="5">
        <v>0</v>
      </c>
      <c r="D277" s="27">
        <v>54</v>
      </c>
      <c r="E277" s="1">
        <v>3</v>
      </c>
      <c r="F277" s="1">
        <v>0</v>
      </c>
      <c r="G277" s="6">
        <v>0</v>
      </c>
      <c r="H277" s="1">
        <f>SUM(C277:G277)</f>
        <v>57</v>
      </c>
      <c r="I277" s="10">
        <f>D277/H277</f>
        <v>0.94736842105263153</v>
      </c>
      <c r="J277" s="11">
        <f>1-I277</f>
        <v>5.2631578947368474E-2</v>
      </c>
      <c r="K277">
        <f>H277-D281</f>
        <v>-2</v>
      </c>
      <c r="N277" s="10">
        <f>2*(D282*I277)/(D282+I277)</f>
        <v>0.93103448275862055</v>
      </c>
      <c r="O277" s="1"/>
      <c r="P277" s="1"/>
      <c r="S277" s="66" t="s">
        <v>60</v>
      </c>
      <c r="T277" s="67">
        <f>1.96*T276</f>
        <v>0.15502621942157646</v>
      </c>
      <c r="U277" s="67">
        <f>1.96*U276</f>
        <v>0.25541385867254646</v>
      </c>
      <c r="V277" s="67">
        <f>1.96*V276</f>
        <v>0.33051424412005603</v>
      </c>
      <c r="W277" s="67">
        <f>1.96*W276</f>
        <v>0.43207758759475579</v>
      </c>
      <c r="X277" s="67">
        <f>1.96*X276</f>
        <v>0.263573156178115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1</v>
      </c>
      <c r="E278" s="27">
        <v>656</v>
      </c>
      <c r="F278" s="1">
        <v>2</v>
      </c>
      <c r="G278" s="6">
        <v>1</v>
      </c>
      <c r="H278" s="1">
        <f>SUM(C278:G278)</f>
        <v>660</v>
      </c>
      <c r="I278" s="10">
        <f>E278/H278</f>
        <v>0.9939393939393939</v>
      </c>
      <c r="J278" s="11">
        <f>1-I278</f>
        <v>6.0606060606060996E-3</v>
      </c>
      <c r="K278">
        <f>H278-E281</f>
        <v>-406</v>
      </c>
      <c r="N278" s="10">
        <f>2*(E282*I278)/(E282+I278)</f>
        <v>0.76013904982618774</v>
      </c>
      <c r="O278" s="1"/>
      <c r="P278" s="1"/>
      <c r="S278" t="s">
        <v>30</v>
      </c>
      <c r="T278" s="57">
        <f t="shared" ref="T278:X279" si="40">AVERAGE(T18,T28,T38,T48,T58)</f>
        <v>19.833028582959844</v>
      </c>
      <c r="U278" s="57">
        <f t="shared" si="40"/>
        <v>78.038974400175675</v>
      </c>
      <c r="V278" s="57">
        <f t="shared" si="40"/>
        <v>99.198294920097283</v>
      </c>
      <c r="W278" s="57">
        <f t="shared" si="40"/>
        <v>98.396000668408419</v>
      </c>
      <c r="X278" s="57">
        <f t="shared" si="40"/>
        <v>95.71553376656432</v>
      </c>
    </row>
    <row r="279" spans="1:41" x14ac:dyDescent="0.3">
      <c r="A279" t="s">
        <v>6</v>
      </c>
      <c r="B279" s="13">
        <v>3</v>
      </c>
      <c r="C279" s="5">
        <v>2</v>
      </c>
      <c r="D279" s="1">
        <v>3</v>
      </c>
      <c r="E279" s="1">
        <v>3</v>
      </c>
      <c r="F279" s="27">
        <v>570</v>
      </c>
      <c r="G279" s="6">
        <v>4</v>
      </c>
      <c r="H279" s="1">
        <f>SUM(C279:G279)</f>
        <v>582</v>
      </c>
      <c r="I279" s="10">
        <f>F279/H279</f>
        <v>0.97938144329896903</v>
      </c>
      <c r="J279" s="11">
        <f>1-I279</f>
        <v>2.0618556701030966E-2</v>
      </c>
      <c r="K279">
        <f>H279-F281</f>
        <v>-34</v>
      </c>
      <c r="N279" s="10">
        <f>2*(F282*I279)/(F282+I279)</f>
        <v>0.95158597662771283</v>
      </c>
      <c r="O279" s="1"/>
      <c r="P279" s="1"/>
      <c r="S279" t="s">
        <v>39</v>
      </c>
      <c r="T279" s="57">
        <f t="shared" si="40"/>
        <v>218.08922451936206</v>
      </c>
      <c r="U279" s="57">
        <f t="shared" si="40"/>
        <v>10.114892584665835</v>
      </c>
      <c r="V279" s="57">
        <f t="shared" si="40"/>
        <v>0.1733073729976336</v>
      </c>
      <c r="W279" s="57">
        <f t="shared" si="40"/>
        <v>0.32929426971273557</v>
      </c>
      <c r="X279" s="57">
        <f t="shared" si="40"/>
        <v>1.9379753479276487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1</v>
      </c>
      <c r="E280" s="8">
        <v>1</v>
      </c>
      <c r="F280" s="8">
        <v>44</v>
      </c>
      <c r="G280" s="28">
        <v>963</v>
      </c>
      <c r="H280" s="1">
        <f>SUM(C280:G280)</f>
        <v>1009</v>
      </c>
      <c r="I280" s="10">
        <f>G280/H280</f>
        <v>0.95441030723488607</v>
      </c>
      <c r="J280" s="11">
        <f>1-I280</f>
        <v>4.5589692765113932E-2</v>
      </c>
      <c r="K280">
        <f>H280-G281</f>
        <v>41</v>
      </c>
      <c r="N280" s="10">
        <f>2*(G282*I280)/(G282+I280)</f>
        <v>0.9742033383915023</v>
      </c>
      <c r="O280" s="1"/>
      <c r="P280" s="1"/>
      <c r="S280" s="66" t="s">
        <v>60</v>
      </c>
      <c r="T280" s="67">
        <f>1.96*T279</f>
        <v>427.45488005794965</v>
      </c>
      <c r="U280" s="67">
        <f>1.96*U279</f>
        <v>19.825189465945037</v>
      </c>
      <c r="V280" s="67">
        <f>1.96*V279</f>
        <v>0.33968245107536188</v>
      </c>
      <c r="W280" s="67">
        <f>1.96*W279</f>
        <v>0.64541676863696174</v>
      </c>
      <c r="X280" s="67">
        <f>1.96*X279</f>
        <v>3.7984316819381916</v>
      </c>
    </row>
    <row r="281" spans="1:41" ht="15.6" x14ac:dyDescent="0.35">
      <c r="B281" s="1" t="s">
        <v>19</v>
      </c>
      <c r="C281" s="1">
        <f>SUM(C276:C280)</f>
        <v>50</v>
      </c>
      <c r="D281" s="1">
        <f>SUM(D276:D280)</f>
        <v>59</v>
      </c>
      <c r="E281" s="1">
        <f>SUM(E276:E280)</f>
        <v>1066</v>
      </c>
      <c r="F281" s="1">
        <f>SUM(F276:F280)</f>
        <v>616</v>
      </c>
      <c r="G281" s="1">
        <f>SUM(G276:G280)</f>
        <v>968</v>
      </c>
      <c r="H281" s="1">
        <f>SUM(H275:H280)</f>
        <v>2759</v>
      </c>
      <c r="I281" s="13" t="s">
        <v>12</v>
      </c>
      <c r="N281" s="16"/>
      <c r="O281" s="1"/>
      <c r="P281" s="1"/>
      <c r="S281" t="s">
        <v>31</v>
      </c>
      <c r="T281" s="57">
        <f t="shared" ref="T281:X282" si="41">AVERAGE(T20,T30,T40,T50,T60)</f>
        <v>10.288248337028824</v>
      </c>
      <c r="U281" s="57">
        <f t="shared" si="41"/>
        <v>93.68421052631578</v>
      </c>
      <c r="V281" s="57">
        <f t="shared" si="41"/>
        <v>99.666666666666671</v>
      </c>
      <c r="W281" s="57">
        <f t="shared" si="41"/>
        <v>97.869415807560131</v>
      </c>
      <c r="X281" s="57">
        <f t="shared" si="41"/>
        <v>93.161546085232899</v>
      </c>
      <c r="AM281" s="78"/>
      <c r="AN281" s="78"/>
      <c r="AO281" s="78"/>
    </row>
    <row r="282" spans="1:41" x14ac:dyDescent="0.3">
      <c r="A282" s="1" t="s">
        <v>316</v>
      </c>
      <c r="B282" s="1" t="s">
        <v>2</v>
      </c>
      <c r="C282" s="10">
        <f>C276/C281</f>
        <v>0.96</v>
      </c>
      <c r="D282" s="10">
        <f>D277/D281</f>
        <v>0.9152542372881356</v>
      </c>
      <c r="E282" s="10">
        <f>E278/E281</f>
        <v>0.61538461538461542</v>
      </c>
      <c r="F282" s="10">
        <f>F279/F281</f>
        <v>0.92532467532467533</v>
      </c>
      <c r="G282" s="10">
        <f>G280/G281</f>
        <v>0.9948347107438017</v>
      </c>
      <c r="H282" s="10"/>
      <c r="I282" s="14">
        <f>(C276+D277+E278+F279+G280)/H281</f>
        <v>0.83037332366799566</v>
      </c>
      <c r="S282" t="s">
        <v>39</v>
      </c>
      <c r="T282" s="57">
        <f t="shared" si="41"/>
        <v>1.4026713148658199</v>
      </c>
      <c r="U282" s="57">
        <f t="shared" si="41"/>
        <v>3.1882394425356106</v>
      </c>
      <c r="V282" s="57">
        <f t="shared" si="41"/>
        <v>0.22076125236589483</v>
      </c>
      <c r="W282" s="57">
        <f t="shared" si="41"/>
        <v>0.59815085967171078</v>
      </c>
      <c r="X282" s="57">
        <f t="shared" si="41"/>
        <v>0.79310202524788675</v>
      </c>
    </row>
    <row r="283" spans="1:41" x14ac:dyDescent="0.3">
      <c r="B283" s="1" t="s">
        <v>14</v>
      </c>
      <c r="C283" s="11">
        <f>1-C282</f>
        <v>4.0000000000000036E-2</v>
      </c>
      <c r="D283" s="11">
        <f>1-D282</f>
        <v>8.4745762711864403E-2</v>
      </c>
      <c r="E283" s="11">
        <f>1-E282</f>
        <v>0.38461538461538458</v>
      </c>
      <c r="F283" s="11">
        <f>1-F282</f>
        <v>7.4675324675324672E-2</v>
      </c>
      <c r="G283" s="11">
        <f>1-G282</f>
        <v>5.1652892561983021E-3</v>
      </c>
      <c r="S283" s="66" t="s">
        <v>60</v>
      </c>
      <c r="T283" s="67">
        <f>1.96*T282</f>
        <v>2.7492357771370068</v>
      </c>
      <c r="U283" s="67">
        <f>1.96*U282</f>
        <v>6.2489493073697968</v>
      </c>
      <c r="V283" s="67">
        <f>1.96*V282</f>
        <v>0.43269205463715388</v>
      </c>
      <c r="W283" s="67">
        <f>1.96*W282</f>
        <v>1.1723756849565532</v>
      </c>
      <c r="X283" s="67">
        <f>1.96*X282</f>
        <v>1.554479969485858</v>
      </c>
      <c r="AM283" s="78"/>
      <c r="AN283" s="78"/>
      <c r="AO283" s="78"/>
    </row>
    <row r="284" spans="1:41" x14ac:dyDescent="0.3">
      <c r="C284" s="2"/>
      <c r="S284" t="s">
        <v>51</v>
      </c>
      <c r="T284" s="57">
        <f>AVERAGE(T22,T32,T42,T52,T62)</f>
        <v>18.353505360427231</v>
      </c>
      <c r="U284" s="57">
        <f>AVERAGE(U22,U32,U42,U52,U62)</f>
        <v>92.375794703380905</v>
      </c>
      <c r="V284" s="57">
        <f>AVERAGE(V22,V32,V42,V52,V62)</f>
        <v>76.436603043162307</v>
      </c>
      <c r="W284" s="57">
        <f>AVERAGE(W22,W32,W42,W52,W62)</f>
        <v>92.795896334252376</v>
      </c>
      <c r="X284" s="57">
        <f>AVERAGE(X22,X32,X42,X52,X62)</f>
        <v>96.220693990818035</v>
      </c>
    </row>
    <row r="285" spans="1:41" ht="15.6" x14ac:dyDescent="0.35">
      <c r="A285" t="s">
        <v>317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7.0567560849401021</v>
      </c>
      <c r="U285" s="57">
        <f>_xlfn.STDEV.S(U22,U32,U42,U52,U62)</f>
        <v>1.2167922150128962</v>
      </c>
      <c r="V285" s="57">
        <f>_xlfn.STDEV.S(V22,V32,V42,V52,V62)</f>
        <v>1.007088478051039</v>
      </c>
      <c r="W285" s="57">
        <f>_xlfn.STDEV.S(W22,W32,W42,W52,W62)</f>
        <v>1.181404343902847</v>
      </c>
      <c r="X285" s="57">
        <f>_xlfn.STDEV.S(X22,X32,X42,X52,X62)</f>
        <v>0.55768344701874351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60</v>
      </c>
      <c r="T286" s="67">
        <f>1.96*T285</f>
        <v>13.831241926482599</v>
      </c>
      <c r="U286" s="67">
        <f>1.96*U285</f>
        <v>2.3849127414252766</v>
      </c>
      <c r="V286" s="67">
        <f>1.96*V285</f>
        <v>1.9738934169800364</v>
      </c>
      <c r="W286" s="67">
        <f>1.96*W285</f>
        <v>2.3155525140495801</v>
      </c>
      <c r="X286" s="67">
        <f>1.96*X285</f>
        <v>1.0930595561567373</v>
      </c>
    </row>
    <row r="287" spans="1:41" x14ac:dyDescent="0.3">
      <c r="A287" t="s">
        <v>3</v>
      </c>
      <c r="B287" s="13">
        <v>0</v>
      </c>
      <c r="C287" s="29">
        <f>(C276/$L287)*$O287</f>
        <v>3.0982801919934043E-2</v>
      </c>
      <c r="D287" s="31">
        <f>(D276/$L287)*$O287</f>
        <v>0</v>
      </c>
      <c r="E287" s="31">
        <f>(E276/$L287)*$O287</f>
        <v>0.26012644111944627</v>
      </c>
      <c r="F287" s="31">
        <f>(F276/$L287)*$O287</f>
        <v>0</v>
      </c>
      <c r="G287" s="32">
        <f>(G276/$L287)*$O287</f>
        <v>0</v>
      </c>
      <c r="H287" s="17">
        <f>SUM(C287:G287)</f>
        <v>0.29110924303938029</v>
      </c>
      <c r="I287" s="17">
        <f>C287/H287*100</f>
        <v>10.643015521064301</v>
      </c>
      <c r="J287" s="17">
        <f>SQRT(I287*(100-I287)/(L287-1))</f>
        <v>1.4537520594996891</v>
      </c>
      <c r="K287" s="18">
        <f>100-I287</f>
        <v>89.356984478935701</v>
      </c>
      <c r="L287" s="1">
        <f>H276</f>
        <v>451</v>
      </c>
      <c r="M287">
        <v>0</v>
      </c>
      <c r="N287" s="1">
        <v>269.87</v>
      </c>
      <c r="O287" s="17">
        <f>N287/N292*100</f>
        <v>0.29110924303938029</v>
      </c>
      <c r="P287" s="52">
        <f>((O287*O287*(I287/100)*(K287/100))/(L287-1))</f>
        <v>1.7909879998535976E-5</v>
      </c>
      <c r="R287" s="16" t="s">
        <v>70</v>
      </c>
      <c r="S287" t="s">
        <v>9</v>
      </c>
      <c r="T287" s="57">
        <f>AVERAGE(T23,T33,T43,T53,T63)</f>
        <v>255.21199999999999</v>
      </c>
      <c r="U287" s="57">
        <f>AVERAGE(U23,U33,U43,U53,U63)</f>
        <v>895.40599999999995</v>
      </c>
      <c r="V287" s="57">
        <f>AVERAGE(V23,V33,V43,V53,V63)</f>
        <v>55419.191999999995</v>
      </c>
      <c r="W287" s="57">
        <f>AVERAGE(W23,W33,W43,W53,W63)</f>
        <v>30189.942000000003</v>
      </c>
      <c r="X287" s="57">
        <f>AVERAGE(X23,X33,X43,X53,X63)</f>
        <v>5944.2759999999998</v>
      </c>
      <c r="Z287" t="s">
        <v>36</v>
      </c>
      <c r="AA287" s="57">
        <f>AVERAGE(AA23,AA33,AA43,AA53,AA63)</f>
        <v>92704.028000000006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42">(C277/$L288)*$O288</f>
        <v>0</v>
      </c>
      <c r="D288" s="34">
        <f t="shared" si="42"/>
        <v>0.99882218826153668</v>
      </c>
      <c r="E288" s="19">
        <f t="shared" si="42"/>
        <v>5.5490121570085371E-2</v>
      </c>
      <c r="F288" s="18">
        <f t="shared" si="42"/>
        <v>0</v>
      </c>
      <c r="G288" s="20">
        <f t="shared" si="42"/>
        <v>0</v>
      </c>
      <c r="H288" s="17">
        <f>SUM(C288:G288)</f>
        <v>1.0543123098316221</v>
      </c>
      <c r="I288" s="17">
        <f>D288/H288*100</f>
        <v>94.73684210526315</v>
      </c>
      <c r="J288" s="17">
        <f>SQRT(I288*(100-I288)/(L288-1))</f>
        <v>2.9839300500728485</v>
      </c>
      <c r="K288" s="18">
        <f>100-I288</f>
        <v>5.2631578947368496</v>
      </c>
      <c r="L288" s="1">
        <f>H277</f>
        <v>57</v>
      </c>
      <c r="M288">
        <v>1</v>
      </c>
      <c r="N288" s="1">
        <v>977.39</v>
      </c>
      <c r="O288" s="17">
        <f>N288/N292*100</f>
        <v>1.0543123098316221</v>
      </c>
      <c r="P288" s="52">
        <f>((O288*O288*(I288/100)*(K288/100))/(L288-1))</f>
        <v>9.8972794024163274E-4</v>
      </c>
      <c r="S288" t="s">
        <v>29</v>
      </c>
      <c r="T288" s="57">
        <f>_xlfn.STDEV.S(T23,T33,T43,T53,T63)</f>
        <v>11.274957649587869</v>
      </c>
      <c r="U288" s="57">
        <f>_xlfn.STDEV.S(U23,U33,U43,U53,U63)</f>
        <v>81.785890775854469</v>
      </c>
      <c r="V288" s="57">
        <f>_xlfn.STDEV.S(V23,V33,V43,V53,V63)</f>
        <v>185.18853061137514</v>
      </c>
      <c r="W288" s="57">
        <f>_xlfn.STDEV.S(W23,W33,W43,W53,W63)</f>
        <v>83.662777087544129</v>
      </c>
      <c r="X288" s="57">
        <f>_xlfn.STDEV.S(X23,X33,X43,X53,X63)</f>
        <v>148.91661619846204</v>
      </c>
      <c r="Z288" t="s">
        <v>29</v>
      </c>
      <c r="AA288" s="57">
        <f>_xlfn.STDEV.S(AA23,AA33,AA43,AA53,AA63)</f>
        <v>4.4721359510298125E-3</v>
      </c>
    </row>
    <row r="289" spans="1:41" x14ac:dyDescent="0.3">
      <c r="A289" t="s">
        <v>5</v>
      </c>
      <c r="B289" s="13">
        <v>2</v>
      </c>
      <c r="C289" s="33">
        <f t="shared" si="42"/>
        <v>0</v>
      </c>
      <c r="D289" s="19">
        <f t="shared" si="42"/>
        <v>9.0248013440780789E-2</v>
      </c>
      <c r="E289" s="34">
        <f t="shared" si="42"/>
        <v>59.202696817152194</v>
      </c>
      <c r="F289" s="19">
        <f t="shared" si="42"/>
        <v>0.18049602688156158</v>
      </c>
      <c r="G289" s="20">
        <f t="shared" si="42"/>
        <v>9.0248013440780789E-2</v>
      </c>
      <c r="H289" s="17">
        <f>SUM(C289:G289)</f>
        <v>59.563688870915314</v>
      </c>
      <c r="I289" s="17">
        <f>E289/H289*100</f>
        <v>99.393939393939405</v>
      </c>
      <c r="J289" s="17">
        <f>SQRT(I289*(100-I289)/(L289-1))</f>
        <v>0.30233976593146256</v>
      </c>
      <c r="K289" s="18">
        <f>100-I289</f>
        <v>0.60606060606059486</v>
      </c>
      <c r="L289" s="1">
        <f>H278</f>
        <v>660</v>
      </c>
      <c r="M289">
        <v>2</v>
      </c>
      <c r="N289" s="1">
        <v>55217.94</v>
      </c>
      <c r="O289" s="17">
        <f>N289/N292*100</f>
        <v>59.563688870915321</v>
      </c>
      <c r="P289" s="52">
        <f>((O289*O289*(I289/100)*(K289/100))/(L289-1))</f>
        <v>3.2430505481546121E-2</v>
      </c>
      <c r="S289" t="s">
        <v>60</v>
      </c>
      <c r="T289" s="57">
        <f>1.96*T288</f>
        <v>22.098916993192223</v>
      </c>
      <c r="U289" s="57">
        <f>1.96*U288</f>
        <v>160.30034592067474</v>
      </c>
      <c r="V289" s="57">
        <f>1.96*V288</f>
        <v>362.96951999829525</v>
      </c>
      <c r="W289" s="57">
        <f>1.96*W288</f>
        <v>163.97904309158648</v>
      </c>
      <c r="X289" s="57">
        <f>1.96*X288</f>
        <v>291.87656774898556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42"/>
        <v>0.1120038645784129</v>
      </c>
      <c r="D290" s="19">
        <f t="shared" si="42"/>
        <v>0.16800579686761935</v>
      </c>
      <c r="E290" s="19">
        <f t="shared" si="42"/>
        <v>0.16800579686761935</v>
      </c>
      <c r="F290" s="34">
        <f t="shared" si="42"/>
        <v>31.921101404847676</v>
      </c>
      <c r="G290" s="20">
        <f t="shared" si="42"/>
        <v>0.22400772915682579</v>
      </c>
      <c r="H290" s="17">
        <f>SUM(C290:G290)</f>
        <v>32.593124592318148</v>
      </c>
      <c r="I290" s="17">
        <f>F290/H290*100</f>
        <v>97.938144329896929</v>
      </c>
      <c r="J290" s="17">
        <f>SQRT(I290*(100-I290)/(L290-1))</f>
        <v>0.5895450537542879</v>
      </c>
      <c r="K290" s="18">
        <f>100-I290</f>
        <v>2.0618556701030712</v>
      </c>
      <c r="L290" s="1">
        <f>H279</f>
        <v>582</v>
      </c>
      <c r="M290">
        <v>3</v>
      </c>
      <c r="N290" s="1">
        <v>30215.14</v>
      </c>
      <c r="O290" s="17">
        <f>N290/N292*100</f>
        <v>32.593124592318155</v>
      </c>
      <c r="P290" s="52">
        <f>((O290*O290*(I290/100)*(K290/100))/(L290-1))</f>
        <v>3.6922065944326767E-2</v>
      </c>
      <c r="R290" s="16" t="s">
        <v>69</v>
      </c>
      <c r="S290" t="s">
        <v>9</v>
      </c>
      <c r="T290" s="57">
        <f>AVERAGE(T24,T34,T44,T54,T64)</f>
        <v>130.30633885752167</v>
      </c>
      <c r="U290" s="57">
        <f>AVERAGE(U24,U34,U44,U54,U64)</f>
        <v>1078.1393611605042</v>
      </c>
      <c r="V290" s="57">
        <f>AVERAGE(V24,V34,V44,V54,V64)</f>
        <v>55681.01544579101</v>
      </c>
      <c r="W290" s="57">
        <f>AVERAGE(W24,W34,W44,W54,W64)</f>
        <v>30028.346048439602</v>
      </c>
      <c r="X290" s="57">
        <f>AVERAGE(X24,X34,X44,X54,X64)</f>
        <v>5786.2208057513544</v>
      </c>
      <c r="Z290" t="s">
        <v>36</v>
      </c>
      <c r="AA290" s="24">
        <f>SUM(T290:X290)</f>
        <v>92704.027999999991</v>
      </c>
    </row>
    <row r="291" spans="1:41" x14ac:dyDescent="0.3">
      <c r="A291" t="s">
        <v>7</v>
      </c>
      <c r="B291" s="13">
        <v>4</v>
      </c>
      <c r="C291" s="35">
        <f t="shared" si="42"/>
        <v>0</v>
      </c>
      <c r="D291" s="36">
        <f t="shared" si="42"/>
        <v>6.4398067233850569E-3</v>
      </c>
      <c r="E291" s="21">
        <f t="shared" si="42"/>
        <v>6.4398067233850569E-3</v>
      </c>
      <c r="F291" s="21">
        <f t="shared" si="42"/>
        <v>0.28335149582894248</v>
      </c>
      <c r="G291" s="37">
        <f t="shared" si="42"/>
        <v>6.2015338746198099</v>
      </c>
      <c r="H291" s="17">
        <f>SUM(C291:G291)</f>
        <v>6.4977649838955225</v>
      </c>
      <c r="I291" s="17">
        <f>G291/H291*100</f>
        <v>95.441030723488609</v>
      </c>
      <c r="J291" s="17">
        <f>SQRT(I291*(100-I291)/(L291-1))</f>
        <v>0.65700795366383802</v>
      </c>
      <c r="K291" s="18">
        <f>100-I291</f>
        <v>4.5589692765113909</v>
      </c>
      <c r="L291" s="1">
        <f>H280</f>
        <v>1009</v>
      </c>
      <c r="M291">
        <v>4</v>
      </c>
      <c r="N291" s="1">
        <v>6023.69</v>
      </c>
      <c r="O291" s="17">
        <f>N291/N292*100</f>
        <v>6.4977649838955225</v>
      </c>
      <c r="P291" s="52">
        <f>((O291*O291*(I291/100)*(K291/100))/(L291-1))</f>
        <v>1.8225072012792976E-3</v>
      </c>
      <c r="S291" t="s">
        <v>29</v>
      </c>
      <c r="T291" s="57">
        <f>_xlfn.STDEV.S(T24,T34,T44,T54,T64)</f>
        <v>12.68811091546022</v>
      </c>
      <c r="U291" s="57">
        <f>_xlfn.STDEV.S(U24,U34,U44,U54,U64)</f>
        <v>126.04771100704509</v>
      </c>
      <c r="V291" s="57">
        <f>_xlfn.STDEV.S(V24,V34,V44,V54,V64)</f>
        <v>245.42170338335467</v>
      </c>
      <c r="W291" s="57">
        <f>_xlfn.STDEV.S(W24,W34,W44,W54,W64)</f>
        <v>94.193203764662798</v>
      </c>
      <c r="X291" s="57">
        <f>_xlfn.STDEV.S(X24,X34,X44,X54,X64)</f>
        <v>164.06227006919792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0.14298666649834693</v>
      </c>
      <c r="D292" s="17">
        <f>SUM(D287:D291)</f>
        <v>1.263515805293322</v>
      </c>
      <c r="E292" s="17">
        <f>SUM(E287:E291)</f>
        <v>59.692758983432732</v>
      </c>
      <c r="F292" s="17">
        <f>SUM(F287:F291)</f>
        <v>32.384948927558185</v>
      </c>
      <c r="G292" s="17">
        <f>SUM(G287:G291)</f>
        <v>6.5157896172174166</v>
      </c>
      <c r="H292" s="1">
        <f>SUM(H286:H291)</f>
        <v>99.999999999999986</v>
      </c>
      <c r="I292" s="13" t="s">
        <v>24</v>
      </c>
      <c r="J292" s="12" t="s">
        <v>29</v>
      </c>
      <c r="N292" s="1">
        <f>SUM(N287:N291)</f>
        <v>92704.03</v>
      </c>
      <c r="O292" s="17">
        <f>SUM(O287:O291)</f>
        <v>100</v>
      </c>
      <c r="S292" s="66" t="s">
        <v>60</v>
      </c>
      <c r="T292" s="67">
        <f>1.96*T291</f>
        <v>24.868697394302028</v>
      </c>
      <c r="U292" s="67">
        <f>1.96*U291</f>
        <v>247.05351357380837</v>
      </c>
      <c r="V292" s="67">
        <f>1.96*V291</f>
        <v>481.02653863137516</v>
      </c>
      <c r="W292" s="67">
        <f>1.96*W291</f>
        <v>184.61867937873907</v>
      </c>
      <c r="X292" s="67">
        <f>1.96*X291</f>
        <v>321.56204933562793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7.9175427101685597E-2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0.13603789486543844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0.20681678822197949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0.23418759346201581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0.14970541437179186</v>
      </c>
      <c r="H293" s="1"/>
      <c r="I293" s="56">
        <f>(C287+D288+E289+F290+G291)/H292</f>
        <v>0.98355137086801159</v>
      </c>
      <c r="J293" s="53">
        <f>SQRT(SUM(P287:P291))/100</f>
        <v>2.6866841356473666E-3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21.66831543016092</v>
      </c>
      <c r="D294" s="17">
        <f>D288/D292*100</f>
        <v>79.051024457083273</v>
      </c>
      <c r="E294" s="17">
        <f>E289/E292*100</f>
        <v>99.179025773600856</v>
      </c>
      <c r="F294" s="17">
        <f>F290/F292*100</f>
        <v>98.567706486898928</v>
      </c>
      <c r="G294" s="17">
        <f>G291/G292*100</f>
        <v>95.17701213422832</v>
      </c>
      <c r="H294" s="1"/>
    </row>
    <row r="295" spans="1:41" x14ac:dyDescent="0.3">
      <c r="B295" s="16" t="s">
        <v>39</v>
      </c>
      <c r="C295" s="18">
        <f>SQRT((C298+C299)/(C292*C292))</f>
        <v>232.14985606069018</v>
      </c>
      <c r="D295" s="18">
        <f>SQRT((D298+D299)/(D292*D292))</f>
        <v>9.7954854161124221</v>
      </c>
      <c r="E295" s="18">
        <f>SQRT((E298+E299)/(E292*E292))</f>
        <v>0.17144457564489385</v>
      </c>
      <c r="F295" s="18">
        <f>SQRT((F298+F299)/(F292*F292))</f>
        <v>0.41722336350232253</v>
      </c>
      <c r="G295" s="18">
        <f>SQRT((G298+G299)/(G292*G292))</f>
        <v>2.1214459763832578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78.331684569839084</v>
      </c>
      <c r="D296" s="18">
        <f>100-D294</f>
        <v>20.948975542916727</v>
      </c>
      <c r="E296" s="18">
        <f>100-E294</f>
        <v>0.82097422639914441</v>
      </c>
      <c r="F296" s="18">
        <f>100-F294</f>
        <v>1.4322935131010723</v>
      </c>
      <c r="G296" s="18">
        <f>100-G294</f>
        <v>4.8229878657716796</v>
      </c>
    </row>
    <row r="297" spans="1:41" ht="15.6" x14ac:dyDescent="0.35">
      <c r="B297" s="1" t="s">
        <v>25</v>
      </c>
      <c r="C297" s="1">
        <f>C281</f>
        <v>50</v>
      </c>
      <c r="D297" s="1">
        <f>D281</f>
        <v>59</v>
      </c>
      <c r="E297" s="1">
        <f>E281</f>
        <v>1066</v>
      </c>
      <c r="F297" s="1">
        <f>F281</f>
        <v>616</v>
      </c>
      <c r="G297" s="1">
        <f>G281</f>
        <v>968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1098.9238747187849</v>
      </c>
      <c r="D298" s="18">
        <f>(O288*O288*(100-D294)*(100-D294)*(I288)*(100-I288))/((L288-1)*100)</f>
        <v>43.435158450446124</v>
      </c>
      <c r="E298" s="18">
        <f>(O289*O289*(100-E294)*(100-E294)*(I289)*(100-I289))/((L289-1)*100)</f>
        <v>2.1858117899645633</v>
      </c>
      <c r="F298" s="18">
        <f>(O290*O290*(100-F294)*(100-F294)*(I290)*(100-I290))/((L290-1)*100)</f>
        <v>7.5744315219102907</v>
      </c>
      <c r="G298" s="18">
        <f>(O291*O291*(100-G294)*(100-G294)*(I291)*(100-I291))/((L291-1)*100)</f>
        <v>4.2393726295520695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2.9399380512073674</v>
      </c>
      <c r="D299" s="18">
        <f>D294*D294*(SUM((H287*D287*(1-D276/H276))/(H276-1),(H289*D289*(1-D278/H278))/(H278-1), (H290*D290*(1-D279/H279))/(H279-1),(H291*D291*(1-D280/H280))/(H280-1)))</f>
        <v>109.74879804781988</v>
      </c>
      <c r="E299" s="18">
        <f>E294*E294*(SUM((H287*E287*(1-E276/H276))/(H276-1),(H288*E288*(1-E277/H277))/(H277-1), (H290*E290*(1-E279/H279))/(H279-1),(H291*E291*(1-E280/H280))/(H280-1)))</f>
        <v>102.54893874482467</v>
      </c>
      <c r="F299" s="18">
        <f>F294*F294*(SUM((H287*F287*(1-F276/H276))/(H276-1),(H288*F288*(1-F277/H277))/(H277-1), (H289*F289*(1-F278/H278))/(H278-1),(H291*F291*(1-F280/H280))/(H280-1)))</f>
        <v>174.99315430960829</v>
      </c>
      <c r="G299" s="18">
        <f>G294*G294*(SUM((H287*G287*(1-G276/H276))/(H276-1),(H288*G288*(1-G277/H277))/(H277-1), (H289*G289*(1-G278/H278))/(H278-1),(H290*G290*(1-G279/H279))/(H279-1)))</f>
        <v>186.8330719747853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48" t="s">
        <v>384</v>
      </c>
      <c r="B302" s="348"/>
      <c r="C302" s="348"/>
      <c r="D302" s="348"/>
      <c r="E302" s="348"/>
      <c r="F302" s="348"/>
      <c r="G302" s="348"/>
      <c r="H302" s="348"/>
      <c r="I302" s="348"/>
      <c r="J302" s="348"/>
      <c r="K302" s="348"/>
      <c r="L302" s="348" t="s">
        <v>83</v>
      </c>
      <c r="M302" s="348"/>
      <c r="N302" s="348"/>
      <c r="O302" s="348"/>
      <c r="P302" s="348"/>
    </row>
    <row r="303" spans="1:41" x14ac:dyDescent="0.3">
      <c r="A303" t="s">
        <v>315</v>
      </c>
      <c r="B303" t="s">
        <v>21</v>
      </c>
      <c r="I303" s="1" t="s">
        <v>53</v>
      </c>
      <c r="O303" s="142"/>
      <c r="P303" s="142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51</v>
      </c>
      <c r="O304" s="13"/>
      <c r="P304" s="13"/>
    </row>
    <row r="305" spans="1:41" x14ac:dyDescent="0.3">
      <c r="A305" t="s">
        <v>3</v>
      </c>
      <c r="B305" s="13">
        <v>0</v>
      </c>
      <c r="C305" s="26">
        <v>33</v>
      </c>
      <c r="D305" s="3">
        <v>0</v>
      </c>
      <c r="E305" s="3">
        <v>229</v>
      </c>
      <c r="F305" s="3">
        <v>189</v>
      </c>
      <c r="G305" s="4">
        <v>0</v>
      </c>
      <c r="H305" s="1">
        <f>SUM(C305:G305)</f>
        <v>451</v>
      </c>
      <c r="I305" s="10">
        <f>C305/H305</f>
        <v>7.3170731707317069E-2</v>
      </c>
      <c r="J305" s="11">
        <f>1-I305</f>
        <v>0.92682926829268297</v>
      </c>
      <c r="K305">
        <f>H305-C310</f>
        <v>416</v>
      </c>
      <c r="N305" s="10">
        <f>2*(C311*I305)/(C311+I305)</f>
        <v>0.13580246913580246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56</v>
      </c>
      <c r="E306" s="1">
        <v>1</v>
      </c>
      <c r="F306" s="1">
        <v>0</v>
      </c>
      <c r="G306" s="6">
        <v>0</v>
      </c>
      <c r="H306" s="1">
        <f>SUM(C306:G306)</f>
        <v>57</v>
      </c>
      <c r="I306" s="10">
        <f>D306/H306</f>
        <v>0.98245614035087714</v>
      </c>
      <c r="J306" s="11">
        <f>1-I306</f>
        <v>1.7543859649122862E-2</v>
      </c>
      <c r="K306">
        <f>H306-D310</f>
        <v>-3</v>
      </c>
      <c r="N306" s="10">
        <f>2*(D311*I306)/(D311+I306)</f>
        <v>0.95726495726495719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0</v>
      </c>
      <c r="E307" s="27">
        <v>659</v>
      </c>
      <c r="F307" s="1">
        <v>1</v>
      </c>
      <c r="G307" s="6">
        <v>0</v>
      </c>
      <c r="H307" s="1">
        <f>SUM(C307:G307)</f>
        <v>660</v>
      </c>
      <c r="I307" s="10">
        <f>E307/H307</f>
        <v>0.99848484848484853</v>
      </c>
      <c r="J307" s="11">
        <f>1-I307</f>
        <v>1.5151515151514694E-3</v>
      </c>
      <c r="K307">
        <f>H307-E310</f>
        <v>-232</v>
      </c>
      <c r="N307" s="10">
        <f>2*(E311*I307)/(E311+I307)</f>
        <v>0.84922680412371132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2</v>
      </c>
      <c r="D308" s="1">
        <v>3</v>
      </c>
      <c r="E308" s="1">
        <v>3</v>
      </c>
      <c r="F308" s="27">
        <v>570</v>
      </c>
      <c r="G308" s="6">
        <v>4</v>
      </c>
      <c r="H308" s="1">
        <f>SUM(C308:G308)</f>
        <v>582</v>
      </c>
      <c r="I308" s="10">
        <f>F308/H308</f>
        <v>0.97938144329896903</v>
      </c>
      <c r="J308" s="11">
        <f>1-I308</f>
        <v>2.0618556701030966E-2</v>
      </c>
      <c r="K308">
        <f>H308-F310</f>
        <v>-237</v>
      </c>
      <c r="N308" s="10">
        <f>2*(F311*I308)/(F311+I308)</f>
        <v>0.81370449678800849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1</v>
      </c>
      <c r="E309" s="8">
        <v>0</v>
      </c>
      <c r="F309" s="8">
        <v>59</v>
      </c>
      <c r="G309" s="28">
        <v>949</v>
      </c>
      <c r="H309" s="1">
        <f>SUM(C309:G309)</f>
        <v>1009</v>
      </c>
      <c r="I309" s="10">
        <f>G309/H309</f>
        <v>0.94053518334985131</v>
      </c>
      <c r="J309" s="11">
        <f>1-I309</f>
        <v>5.9464816650148689E-2</v>
      </c>
      <c r="K309">
        <f>H309-G310</f>
        <v>56</v>
      </c>
      <c r="N309" s="10">
        <f>2*(G311*I309)/(G311+I309)</f>
        <v>0.96738022426095827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35</v>
      </c>
      <c r="D310" s="1">
        <f>SUM(D305:D309)</f>
        <v>60</v>
      </c>
      <c r="E310" s="1">
        <f>SUM(E305:E309)</f>
        <v>892</v>
      </c>
      <c r="F310" s="1">
        <f>SUM(F305:F309)</f>
        <v>819</v>
      </c>
      <c r="G310" s="1">
        <f>SUM(G305:G309)</f>
        <v>953</v>
      </c>
      <c r="H310" s="1">
        <f>SUM(H304:H309)</f>
        <v>2759</v>
      </c>
      <c r="I310" s="13" t="s">
        <v>12</v>
      </c>
      <c r="N310" s="16" t="s">
        <v>36</v>
      </c>
      <c r="O310" s="1"/>
      <c r="P310" s="1"/>
    </row>
    <row r="311" spans="1:41" x14ac:dyDescent="0.3">
      <c r="A311" s="1" t="s">
        <v>316</v>
      </c>
      <c r="B311" s="1" t="s">
        <v>2</v>
      </c>
      <c r="C311" s="10">
        <f>C305/C310</f>
        <v>0.94285714285714284</v>
      </c>
      <c r="D311" s="10">
        <f>D306/D310</f>
        <v>0.93333333333333335</v>
      </c>
      <c r="E311" s="10">
        <f>E307/E310</f>
        <v>0.7387892376681614</v>
      </c>
      <c r="F311" s="10">
        <f>F308/F310</f>
        <v>0.69597069597069594</v>
      </c>
      <c r="G311" s="10">
        <f>G309/G310</f>
        <v>0.99580272822665272</v>
      </c>
      <c r="H311" s="10"/>
      <c r="I311" s="14">
        <f>(C305+D306+E307+F308+G309)/H310</f>
        <v>0.82167451975353389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5.7142857142857162E-2</v>
      </c>
      <c r="D312" s="11">
        <f>1-D311</f>
        <v>6.6666666666666652E-2</v>
      </c>
      <c r="E312" s="11">
        <f>1-E311</f>
        <v>0.2612107623318386</v>
      </c>
      <c r="F312" s="11">
        <f>1-F311</f>
        <v>0.30402930402930406</v>
      </c>
      <c r="G312" s="11">
        <f>1-G311</f>
        <v>4.1972717733472775E-3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317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1.9801019916304206E-2</v>
      </c>
      <c r="D316" s="31">
        <f>(D305/$L316)*$O316</f>
        <v>0</v>
      </c>
      <c r="E316" s="31">
        <f>(E305/$L316)*$O316</f>
        <v>0.13740707760102011</v>
      </c>
      <c r="F316" s="31">
        <f>(F305/$L316)*$O316</f>
        <v>0.11340584133883318</v>
      </c>
      <c r="G316" s="32">
        <f>(G305/$L316)*$O316</f>
        <v>0</v>
      </c>
      <c r="H316" s="17">
        <f>SUM(C316:G316)</f>
        <v>0.27061393885615748</v>
      </c>
      <c r="I316" s="17">
        <f>C316/H316*100</f>
        <v>7.3170731707317067</v>
      </c>
      <c r="J316" s="17">
        <f>SQRT(I316*(100-I316)/(L316-1))</f>
        <v>1.2276153553285771</v>
      </c>
      <c r="K316" s="18">
        <f>100-I316</f>
        <v>92.682926829268297</v>
      </c>
      <c r="L316" s="1">
        <f>H305</f>
        <v>451</v>
      </c>
      <c r="M316">
        <v>0</v>
      </c>
      <c r="N316" s="1">
        <v>250.87</v>
      </c>
      <c r="O316" s="17">
        <f>N316/N321*100</f>
        <v>0.27061393885615748</v>
      </c>
      <c r="P316" s="52">
        <f>((O316*O316*(I316/100)*(K316/100))/(L316-1))</f>
        <v>1.1036336895987614E-5</v>
      </c>
    </row>
    <row r="317" spans="1:41" x14ac:dyDescent="0.3">
      <c r="A317" t="s">
        <v>4</v>
      </c>
      <c r="B317" s="13">
        <v>1</v>
      </c>
      <c r="C317" s="33">
        <f t="shared" ref="C317:G320" si="43">(C306/$L317)*$O317</f>
        <v>0</v>
      </c>
      <c r="D317" s="34">
        <f t="shared" si="43"/>
        <v>0.94176048089543862</v>
      </c>
      <c r="E317" s="19">
        <f t="shared" si="43"/>
        <v>1.6817151444561404E-2</v>
      </c>
      <c r="F317" s="18">
        <f t="shared" si="43"/>
        <v>0</v>
      </c>
      <c r="G317" s="20">
        <f t="shared" si="43"/>
        <v>0</v>
      </c>
      <c r="H317" s="17">
        <f>SUM(C317:G317)</f>
        <v>0.95857763234000004</v>
      </c>
      <c r="I317" s="17">
        <f>D317/H317*100</f>
        <v>98.245614035087712</v>
      </c>
      <c r="J317" s="17">
        <f>SQRT(I317*(100-I317)/(L317-1))</f>
        <v>1.7543859649122842</v>
      </c>
      <c r="K317" s="18">
        <f>100-I317</f>
        <v>1.7543859649122879</v>
      </c>
      <c r="L317" s="1">
        <f>H306</f>
        <v>57</v>
      </c>
      <c r="M317">
        <v>1</v>
      </c>
      <c r="N317" s="1">
        <v>888.64</v>
      </c>
      <c r="O317" s="17">
        <f>N317/N321*100</f>
        <v>0.95857763234000004</v>
      </c>
      <c r="P317" s="52">
        <f>((O317*O317*(I317/100)*(K317/100))/(L317-1))</f>
        <v>2.8281658270931485E-4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43"/>
        <v>0</v>
      </c>
      <c r="D318" s="19">
        <f t="shared" si="43"/>
        <v>0</v>
      </c>
      <c r="E318" s="34">
        <f t="shared" si="43"/>
        <v>59.776318647173447</v>
      </c>
      <c r="F318" s="19">
        <f t="shared" si="43"/>
        <v>9.0707615549580331E-2</v>
      </c>
      <c r="G318" s="20">
        <f t="shared" si="43"/>
        <v>0</v>
      </c>
      <c r="H318" s="17">
        <f>SUM(C318:G318)</f>
        <v>59.86702626272303</v>
      </c>
      <c r="I318" s="17">
        <f>E318/H318*100</f>
        <v>99.848484848484844</v>
      </c>
      <c r="J318" s="17">
        <f>SQRT(I318*(100-I318)/(L318-1))</f>
        <v>0.15151515151515368</v>
      </c>
      <c r="K318" s="18">
        <f>100-I318</f>
        <v>0.15151515151515582</v>
      </c>
      <c r="L318" s="1">
        <f>H307</f>
        <v>660</v>
      </c>
      <c r="M318">
        <v>2</v>
      </c>
      <c r="N318" s="1">
        <v>55499.14</v>
      </c>
      <c r="O318" s="17">
        <f>N318/N321*100</f>
        <v>59.867026262723023</v>
      </c>
      <c r="P318" s="52">
        <f>((O318*O318*(I318/100)*(K318/100))/(L318-1))</f>
        <v>8.2278715186907027E-3</v>
      </c>
    </row>
    <row r="319" spans="1:41" x14ac:dyDescent="0.3">
      <c r="A319" t="s">
        <v>6</v>
      </c>
      <c r="B319" s="13">
        <v>3</v>
      </c>
      <c r="C319" s="33">
        <f t="shared" si="43"/>
        <v>0.1113408642307783</v>
      </c>
      <c r="D319" s="19">
        <f t="shared" si="43"/>
        <v>0.16701129634616743</v>
      </c>
      <c r="E319" s="19">
        <f t="shared" si="43"/>
        <v>0.16701129634616743</v>
      </c>
      <c r="F319" s="34">
        <f t="shared" si="43"/>
        <v>31.732146305771813</v>
      </c>
      <c r="G319" s="20">
        <f t="shared" si="43"/>
        <v>0.22268172846155659</v>
      </c>
      <c r="H319" s="17">
        <f>SUM(C319:G319)</f>
        <v>32.400191491156484</v>
      </c>
      <c r="I319" s="17">
        <f>F319/H319*100</f>
        <v>97.9381443298969</v>
      </c>
      <c r="J319" s="17">
        <f>SQRT(I319*(100-I319)/(L319-1))</f>
        <v>0.58954505375429189</v>
      </c>
      <c r="K319" s="18">
        <f>100-I319</f>
        <v>2.0618556701030997</v>
      </c>
      <c r="L319" s="1">
        <f>H308</f>
        <v>582</v>
      </c>
      <c r="M319">
        <v>3</v>
      </c>
      <c r="N319" s="1">
        <v>30036.28</v>
      </c>
      <c r="O319" s="17">
        <f>N319/N321*100</f>
        <v>32.400191491156484</v>
      </c>
      <c r="P319" s="52">
        <f>((O319*O319*(I319/100)*(K319/100))/(L319-1))</f>
        <v>3.6486243651450721E-2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43"/>
        <v>0</v>
      </c>
      <c r="D320" s="36">
        <f t="shared" si="43"/>
        <v>6.4455804508665475E-3</v>
      </c>
      <c r="E320" s="21">
        <f t="shared" si="43"/>
        <v>0</v>
      </c>
      <c r="F320" s="21">
        <f t="shared" si="43"/>
        <v>0.38028924660112629</v>
      </c>
      <c r="G320" s="37">
        <f t="shared" si="43"/>
        <v>6.1168558478723538</v>
      </c>
      <c r="H320" s="17">
        <f>SUM(C320:G320)</f>
        <v>6.5035906749243466</v>
      </c>
      <c r="I320" s="17">
        <f>G320/H320*100</f>
        <v>94.053518334985128</v>
      </c>
      <c r="J320" s="17">
        <f>SQRT(I320*(100-I320)/(L320-1))</f>
        <v>0.744881690236465</v>
      </c>
      <c r="K320" s="18">
        <f>100-I320</f>
        <v>5.946481665014872</v>
      </c>
      <c r="L320" s="1">
        <f>H309</f>
        <v>1009</v>
      </c>
      <c r="M320">
        <v>4</v>
      </c>
      <c r="N320" s="1">
        <v>6029.09</v>
      </c>
      <c r="O320" s="17">
        <f>N320/N321*100</f>
        <v>6.5035906749243466</v>
      </c>
      <c r="P320" s="52">
        <f>((O320*O320*(I320/100)*(K320/100))/(L320-1))</f>
        <v>2.3468265758223097E-3</v>
      </c>
    </row>
    <row r="321" spans="1:41" x14ac:dyDescent="0.3">
      <c r="B321" t="s">
        <v>28</v>
      </c>
      <c r="C321" s="17">
        <f t="shared" ref="C321:H321" si="44">SUM(C316:C320)</f>
        <v>0.1311418841470825</v>
      </c>
      <c r="D321" s="17">
        <f t="shared" si="44"/>
        <v>1.1152173576924727</v>
      </c>
      <c r="E321" s="17">
        <f t="shared" si="44"/>
        <v>60.097554172565196</v>
      </c>
      <c r="F321" s="17">
        <f t="shared" si="44"/>
        <v>32.316549009261351</v>
      </c>
      <c r="G321" s="17">
        <f t="shared" si="44"/>
        <v>6.3395375763339104</v>
      </c>
      <c r="H321" s="18">
        <f t="shared" si="44"/>
        <v>100.00000000000003</v>
      </c>
      <c r="I321" s="13" t="s">
        <v>24</v>
      </c>
      <c r="J321" s="12" t="s">
        <v>29</v>
      </c>
      <c r="N321" s="1">
        <f>SUM(N316:N320)</f>
        <v>92704.01999999999</v>
      </c>
      <c r="O321" s="17">
        <f>SUM(O316:O320)</f>
        <v>100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7.8664512753876731E-2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9.7821390960492624E-2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0.1333548261076769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0.21676333450380147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0.12106232872996101</v>
      </c>
      <c r="H322" s="1"/>
      <c r="I322" s="14">
        <f>(C316+D317+E318+F319+G320)/H321</f>
        <v>0.98586882301629331</v>
      </c>
      <c r="J322" s="53">
        <f>SQRT(SUM(P316:P320))/100</f>
        <v>2.1761156831742435E-3</v>
      </c>
      <c r="M322" s="1"/>
      <c r="N322" s="9"/>
    </row>
    <row r="323" spans="1:41" x14ac:dyDescent="0.3">
      <c r="B323" s="1" t="s">
        <v>30</v>
      </c>
      <c r="C323" s="17">
        <f>C316/C321*100</f>
        <v>15.098928953999414</v>
      </c>
      <c r="D323" s="17">
        <f>D317/D321*100</f>
        <v>84.446361455856604</v>
      </c>
      <c r="E323" s="17">
        <f>E318/E321*100</f>
        <v>99.46547654090989</v>
      </c>
      <c r="F323" s="17">
        <f>F319/F321*100</f>
        <v>98.191630228456447</v>
      </c>
      <c r="G323" s="17">
        <f>G320/G321*100</f>
        <v>96.487413698865851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215.26277861084793</v>
      </c>
      <c r="D324" s="18">
        <f>SQRT((D327+D328)/(D321*D321))</f>
        <v>7.672442181461629</v>
      </c>
      <c r="E324" s="18">
        <f>SQRT((E327+E328)/(E321*E321))</f>
        <v>0.16227117842840305</v>
      </c>
      <c r="F324" s="18">
        <f>SQRT((F327+F328)/(F321*F321))</f>
        <v>0.33027015105018964</v>
      </c>
      <c r="G324" s="18">
        <f>SQRT((G327+G328)/(G321*G321))</f>
        <v>1.7114015061036549</v>
      </c>
      <c r="H324" s="1"/>
    </row>
    <row r="325" spans="1:41" x14ac:dyDescent="0.3">
      <c r="B325" s="1" t="s">
        <v>37</v>
      </c>
      <c r="C325" s="18">
        <f>100-C323</f>
        <v>84.901071046000581</v>
      </c>
      <c r="D325" s="18">
        <f>100-D323</f>
        <v>15.553638544143396</v>
      </c>
      <c r="E325" s="18">
        <f>100-E323</f>
        <v>0.53452345909011001</v>
      </c>
      <c r="F325" s="18">
        <f>100-F323</f>
        <v>1.8083697715435534</v>
      </c>
      <c r="G325" s="18">
        <f>100-G323</f>
        <v>3.5125863011341494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35</v>
      </c>
      <c r="D326" s="1">
        <f>D310</f>
        <v>60</v>
      </c>
      <c r="E326" s="1">
        <f>E310</f>
        <v>892</v>
      </c>
      <c r="F326" s="1">
        <f>F310</f>
        <v>819</v>
      </c>
      <c r="G326" s="1">
        <f>G310</f>
        <v>953</v>
      </c>
    </row>
    <row r="327" spans="1:41" x14ac:dyDescent="0.3">
      <c r="B327" s="1" t="s">
        <v>34</v>
      </c>
      <c r="C327" s="18">
        <f>(O316*O316*(100-C323)*(100-C323)*(I316)*(100-I316))/(L316-1)</f>
        <v>795.52033830386881</v>
      </c>
      <c r="D327" s="18">
        <f>(O317*O317*(100-D323)*(100-D323)*(I317)*(100-I317))/((L317-1)*100)</f>
        <v>6.8417763648081742</v>
      </c>
      <c r="E327" s="18">
        <f>(O318*O318*(100-E323)*(100-E323)*(I318)*(100-I318))/((L318-1)*100)</f>
        <v>0.23508290123182088</v>
      </c>
      <c r="F327" s="18">
        <f>(O319*O319*(100-F323)*(100-F323)*(I319)*(100-I319))/((L319-1)*100)</f>
        <v>11.931735889013076</v>
      </c>
      <c r="G327" s="18">
        <f>(O320*O320*(100-G323)*(100-G323)*(I320)*(100-I320))/((L320-1)*100)</f>
        <v>2.8955762388250013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1.4106631599146879</v>
      </c>
      <c r="D328" s="18">
        <f>D323*D323*(SUM((H316*D316*(1-D305/H305))/(H305-1),(H318*D318*(1-D307/H307))/(H307-1), (H319*D319*(1-D308/H308))/(H308-1),(H320*D320*(1-D309/H309))/(H309-1)))</f>
        <v>66.370901030615514</v>
      </c>
      <c r="E328" s="18">
        <f>E323*E323*(SUM((H316*E316*(1-E305/H305))/(H305-1),(H317*E317*(1-E306/H306))/(H306-1), (H319*E319*(1-E308/H308))/(H308-1),(H320*E320*(1-E309/H309))/(H309-1)))</f>
        <v>94.868389769516725</v>
      </c>
      <c r="F328" s="18">
        <f>F323*F323*(SUM((H316*F316*(1-F305/H305))/(H305-1),(H317*F317*(1-F306/H306))/(H306-1), (H318*F318*(1-F307/H307))/(H307-1),(H320*F320*(1-F309/H309))/(H309-1)))</f>
        <v>101.98528139142708</v>
      </c>
      <c r="G328" s="18">
        <f>G323*G323*(SUM((H316*G316*(1-G305/H305))/(H305-1),(H317*G317*(1-G306/H306))/(H306-1), (H318*G318*(1-G307/H307))/(H307-1),(H319*G319*(1-G308/H308))/(H308-1)))</f>
        <v>114.81594720525993</v>
      </c>
    </row>
    <row r="329" spans="1:41" x14ac:dyDescent="0.3">
      <c r="AM329" s="78"/>
    </row>
    <row r="331" spans="1:41" x14ac:dyDescent="0.3">
      <c r="A331" s="348" t="s">
        <v>384</v>
      </c>
      <c r="B331" s="348"/>
      <c r="C331" s="348"/>
      <c r="D331" s="348"/>
      <c r="E331" s="348"/>
      <c r="F331" s="348"/>
      <c r="G331" s="348"/>
      <c r="H331" s="348"/>
      <c r="I331" s="348"/>
      <c r="J331" s="348"/>
      <c r="K331" s="348"/>
      <c r="L331" s="348" t="s">
        <v>84</v>
      </c>
      <c r="M331" s="348"/>
      <c r="N331" s="348"/>
      <c r="O331" s="348"/>
      <c r="P331" s="348"/>
      <c r="AM331" s="78"/>
    </row>
    <row r="332" spans="1:41" x14ac:dyDescent="0.3">
      <c r="A332" t="s">
        <v>315</v>
      </c>
      <c r="B332" t="s">
        <v>21</v>
      </c>
      <c r="I332" s="1" t="s">
        <v>53</v>
      </c>
      <c r="O332" s="142"/>
      <c r="P332" s="142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51</v>
      </c>
      <c r="O333" s="13"/>
      <c r="P333" s="13"/>
      <c r="AM333" s="78"/>
    </row>
    <row r="334" spans="1:41" x14ac:dyDescent="0.3">
      <c r="A334" t="s">
        <v>3</v>
      </c>
      <c r="B334" s="13">
        <v>0</v>
      </c>
      <c r="C334" s="26">
        <v>33</v>
      </c>
      <c r="D334" s="3">
        <v>0</v>
      </c>
      <c r="E334" s="3">
        <v>372</v>
      </c>
      <c r="F334" s="3">
        <v>46</v>
      </c>
      <c r="G334" s="4">
        <v>0</v>
      </c>
      <c r="H334" s="1">
        <f>SUM(C334:G334)</f>
        <v>451</v>
      </c>
      <c r="I334" s="10">
        <f>C334/H334</f>
        <v>7.3170731707317069E-2</v>
      </c>
      <c r="J334" s="11">
        <f>1-I334</f>
        <v>0.92682926829268297</v>
      </c>
      <c r="K334">
        <f>H334-C339</f>
        <v>416</v>
      </c>
      <c r="N334" s="10">
        <f>2*(C340*I334)/(C340+I334)</f>
        <v>0.13580246913580246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52</v>
      </c>
      <c r="E335" s="1">
        <v>5</v>
      </c>
      <c r="F335" s="1">
        <v>0</v>
      </c>
      <c r="G335" s="6">
        <v>0</v>
      </c>
      <c r="H335" s="1">
        <f>SUM(C335:G335)</f>
        <v>57</v>
      </c>
      <c r="I335" s="10">
        <f>D335/H335</f>
        <v>0.91228070175438591</v>
      </c>
      <c r="J335" s="11">
        <f>1-I335</f>
        <v>8.7719298245614086E-2</v>
      </c>
      <c r="K335">
        <f>H335-D339</f>
        <v>-1</v>
      </c>
      <c r="N335" s="10">
        <f>2*(D340*I335)/(D340+I335)</f>
        <v>0.90434782608695652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2</v>
      </c>
      <c r="E336" s="27">
        <v>657</v>
      </c>
      <c r="F336" s="1">
        <v>1</v>
      </c>
      <c r="G336" s="6">
        <v>0</v>
      </c>
      <c r="H336" s="1">
        <f>SUM(C336:G336)</f>
        <v>660</v>
      </c>
      <c r="I336" s="10">
        <f>E336/H336</f>
        <v>0.99545454545454548</v>
      </c>
      <c r="J336" s="11">
        <f>1-I336</f>
        <v>4.5454545454545192E-3</v>
      </c>
      <c r="K336">
        <f>H336-E339</f>
        <v>-377</v>
      </c>
      <c r="N336" s="10">
        <f>2*(E340*I336)/(E340+I336)</f>
        <v>0.77430760164997059</v>
      </c>
      <c r="O336" s="1"/>
      <c r="P336" s="1"/>
    </row>
    <row r="337" spans="1:40" x14ac:dyDescent="0.3">
      <c r="A337" t="s">
        <v>6</v>
      </c>
      <c r="B337" s="13">
        <v>3</v>
      </c>
      <c r="C337" s="5">
        <v>2</v>
      </c>
      <c r="D337" s="1">
        <v>3</v>
      </c>
      <c r="E337" s="1">
        <v>3</v>
      </c>
      <c r="F337" s="27">
        <v>571</v>
      </c>
      <c r="G337" s="6">
        <v>3</v>
      </c>
      <c r="H337" s="1">
        <f>SUM(C337:G337)</f>
        <v>582</v>
      </c>
      <c r="I337" s="10">
        <f>F337/H337</f>
        <v>0.98109965635738827</v>
      </c>
      <c r="J337" s="11">
        <f>1-I337</f>
        <v>1.8900343642611728E-2</v>
      </c>
      <c r="K337">
        <f>H337-F339</f>
        <v>-100</v>
      </c>
      <c r="N337" s="10">
        <f>2*(F340*I337)/(F340+I337)</f>
        <v>0.90348101265822789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1</v>
      </c>
      <c r="E338" s="8">
        <v>0</v>
      </c>
      <c r="F338" s="8">
        <v>64</v>
      </c>
      <c r="G338" s="28">
        <v>944</v>
      </c>
      <c r="H338" s="1">
        <f>SUM(C338:G338)</f>
        <v>1009</v>
      </c>
      <c r="I338" s="10">
        <f>G338/H338</f>
        <v>0.93557978196233893</v>
      </c>
      <c r="J338" s="11">
        <f>1-I338</f>
        <v>6.442021803766107E-2</v>
      </c>
      <c r="K338">
        <f>H338-G339</f>
        <v>62</v>
      </c>
      <c r="N338" s="10">
        <f>2*(G340*I338)/(G340+I338)</f>
        <v>0.96523517382413082</v>
      </c>
      <c r="O338" s="1"/>
      <c r="P338" s="1"/>
    </row>
    <row r="339" spans="1:40" ht="15.6" x14ac:dyDescent="0.35">
      <c r="B339" s="1" t="s">
        <v>19</v>
      </c>
      <c r="C339" s="1">
        <f>SUM(C334:C338)</f>
        <v>35</v>
      </c>
      <c r="D339" s="1">
        <f>SUM(D334:D338)</f>
        <v>58</v>
      </c>
      <c r="E339" s="1">
        <f>SUM(E334:E338)</f>
        <v>1037</v>
      </c>
      <c r="F339" s="1">
        <f>SUM(F334:F338)</f>
        <v>682</v>
      </c>
      <c r="G339" s="1">
        <f>SUM(G334:G338)</f>
        <v>947</v>
      </c>
      <c r="H339" s="1">
        <f>SUM(H333:H338)</f>
        <v>2759</v>
      </c>
      <c r="I339" s="13" t="s">
        <v>12</v>
      </c>
      <c r="N339" s="16"/>
      <c r="O339" s="1"/>
      <c r="P339" s="1"/>
      <c r="AM339" s="78"/>
    </row>
    <row r="340" spans="1:40" x14ac:dyDescent="0.3">
      <c r="A340" s="1" t="s">
        <v>316</v>
      </c>
      <c r="B340" s="1" t="s">
        <v>2</v>
      </c>
      <c r="C340" s="10">
        <f>C334/C339</f>
        <v>0.94285714285714284</v>
      </c>
      <c r="D340" s="10">
        <f>D335/D339</f>
        <v>0.89655172413793105</v>
      </c>
      <c r="E340" s="10">
        <f>E336/E339</f>
        <v>0.63355834136933464</v>
      </c>
      <c r="F340" s="10">
        <f>F337/F339</f>
        <v>0.83724340175953083</v>
      </c>
      <c r="G340" s="10">
        <f>G338/G339</f>
        <v>0.99683210137275602</v>
      </c>
      <c r="H340" s="10"/>
      <c r="I340" s="14">
        <f>(C334+D335+E336+F337+G338)/H339</f>
        <v>0.8180500181225081</v>
      </c>
    </row>
    <row r="341" spans="1:40" x14ac:dyDescent="0.3">
      <c r="B341" s="1" t="s">
        <v>14</v>
      </c>
      <c r="C341" s="11">
        <f>1-C340</f>
        <v>5.7142857142857162E-2</v>
      </c>
      <c r="D341" s="11">
        <f>1-D340</f>
        <v>0.10344827586206895</v>
      </c>
      <c r="E341" s="11">
        <f>1-E340</f>
        <v>0.36644165863066536</v>
      </c>
      <c r="F341" s="11">
        <f>1-F340</f>
        <v>0.16275659824046917</v>
      </c>
      <c r="G341" s="11">
        <f>1-G340</f>
        <v>3.1678986272439813E-3</v>
      </c>
      <c r="AM341" s="78"/>
      <c r="AN341" s="78"/>
    </row>
    <row r="342" spans="1:40" x14ac:dyDescent="0.3">
      <c r="C342" s="2"/>
    </row>
    <row r="343" spans="1:40" ht="15.6" x14ac:dyDescent="0.35">
      <c r="A343" t="s">
        <v>317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1.9218518831829245E-2</v>
      </c>
      <c r="D345" s="31">
        <f>(D334/$L345)*$O345</f>
        <v>0</v>
      </c>
      <c r="E345" s="31">
        <f>(E334/$L345)*$O345</f>
        <v>0.21664512137698425</v>
      </c>
      <c r="F345" s="31">
        <f>(F334/$L345)*$O345</f>
        <v>2.6789450492852886E-2</v>
      </c>
      <c r="G345" s="32">
        <f>(G334/$L345)*$O345</f>
        <v>0</v>
      </c>
      <c r="H345" s="17">
        <f>SUM(C345:G345)</f>
        <v>0.26265309070166637</v>
      </c>
      <c r="I345" s="17">
        <f>C345/H345*100</f>
        <v>7.3170731707317067</v>
      </c>
      <c r="J345" s="17">
        <f>SQRT(I345*(100-I345)/(L345-1))</f>
        <v>1.2276153553285771</v>
      </c>
      <c r="K345" s="18">
        <f>100-I345</f>
        <v>92.682926829268297</v>
      </c>
      <c r="L345" s="1">
        <f>H334</f>
        <v>451</v>
      </c>
      <c r="M345">
        <v>0</v>
      </c>
      <c r="N345" s="1">
        <v>243.49</v>
      </c>
      <c r="O345" s="17">
        <f>N345/N350*100</f>
        <v>0.26265309070166637</v>
      </c>
      <c r="P345" s="52">
        <f>((O345*O345*(I345/100)*(K345/100))/(L345-1))</f>
        <v>1.0396559786219455E-5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45">(C335/$L346)*$O346</f>
        <v>0</v>
      </c>
      <c r="D346" s="34">
        <f t="shared" si="45"/>
        <v>0.88662547233345645</v>
      </c>
      <c r="E346" s="19">
        <f t="shared" si="45"/>
        <v>8.5252449262832347E-2</v>
      </c>
      <c r="F346" s="18">
        <f t="shared" si="45"/>
        <v>0</v>
      </c>
      <c r="G346" s="20">
        <f t="shared" si="45"/>
        <v>0</v>
      </c>
      <c r="H346" s="17">
        <f>SUM(C346:G346)</f>
        <v>0.97187792159628883</v>
      </c>
      <c r="I346" s="17">
        <f>D346/H346*100</f>
        <v>91.228070175438589</v>
      </c>
      <c r="J346" s="17">
        <f>SQRT(I346*(100-I346)/(L346-1))</f>
        <v>3.7802263481198901</v>
      </c>
      <c r="K346" s="18">
        <f>100-I346</f>
        <v>8.7719298245614112</v>
      </c>
      <c r="L346" s="1">
        <f>H335</f>
        <v>57</v>
      </c>
      <c r="M346">
        <v>1</v>
      </c>
      <c r="N346" s="1">
        <v>900.97</v>
      </c>
      <c r="O346" s="17">
        <f>N346/N350*100</f>
        <v>0.97187792159628883</v>
      </c>
      <c r="P346" s="52">
        <f>((O346*O346*(I346/100)*(K346/100))/(L346-1))</f>
        <v>1.3497677338436219E-3</v>
      </c>
    </row>
    <row r="347" spans="1:40" x14ac:dyDescent="0.3">
      <c r="A347" t="s">
        <v>5</v>
      </c>
      <c r="B347" s="13">
        <v>2</v>
      </c>
      <c r="C347" s="33">
        <f t="shared" si="45"/>
        <v>0</v>
      </c>
      <c r="D347" s="19">
        <f t="shared" si="45"/>
        <v>0.18040865203928128</v>
      </c>
      <c r="E347" s="34">
        <f t="shared" si="45"/>
        <v>59.2642421949039</v>
      </c>
      <c r="F347" s="19">
        <f t="shared" si="45"/>
        <v>9.0204326019640638E-2</v>
      </c>
      <c r="G347" s="20">
        <f t="shared" si="45"/>
        <v>0</v>
      </c>
      <c r="H347" s="17">
        <f>SUM(C347:G347)</f>
        <v>59.534855172962821</v>
      </c>
      <c r="I347" s="17">
        <f>E347/H347*100</f>
        <v>99.545454545454547</v>
      </c>
      <c r="J347" s="17">
        <f>SQRT(I347*(100-I347)/(L347-1))</f>
        <v>0.26203341040868389</v>
      </c>
      <c r="K347" s="18">
        <f>100-I347</f>
        <v>0.45454545454545325</v>
      </c>
      <c r="L347" s="1">
        <f>H336</f>
        <v>660</v>
      </c>
      <c r="M347">
        <v>2</v>
      </c>
      <c r="N347" s="1">
        <v>55191.21</v>
      </c>
      <c r="O347" s="17">
        <f>N347/N350*100</f>
        <v>59.534855172962821</v>
      </c>
      <c r="P347" s="52">
        <f>((O347*O347*(I347/100)*(K347/100))/(L347-1))</f>
        <v>2.4336377955642061E-2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45"/>
        <v>0.11279535735868076</v>
      </c>
      <c r="D348" s="19">
        <f t="shared" si="45"/>
        <v>0.16919303603802116</v>
      </c>
      <c r="E348" s="19">
        <f t="shared" si="45"/>
        <v>0.16919303603802116</v>
      </c>
      <c r="F348" s="34">
        <f t="shared" si="45"/>
        <v>32.203074525903361</v>
      </c>
      <c r="G348" s="20">
        <f t="shared" si="45"/>
        <v>0.16919303603802116</v>
      </c>
      <c r="H348" s="17">
        <f>SUM(C348:G348)</f>
        <v>32.823448991376111</v>
      </c>
      <c r="I348" s="17">
        <f>F348/H348*100</f>
        <v>98.109965635738817</v>
      </c>
      <c r="J348" s="17">
        <f>SQRT(I348*(100-I348)/(L348-1))</f>
        <v>0.5649413271715491</v>
      </c>
      <c r="K348" s="18">
        <f>100-I348</f>
        <v>1.890034364261183</v>
      </c>
      <c r="L348" s="1">
        <f>H337</f>
        <v>582</v>
      </c>
      <c r="M348">
        <v>3</v>
      </c>
      <c r="N348" s="1">
        <v>30428.66</v>
      </c>
      <c r="O348" s="17">
        <f>N348/N350*100</f>
        <v>32.823448991376104</v>
      </c>
      <c r="P348" s="52">
        <f>((O348*O348*(I348/100)*(K348/100))/(L348-1))</f>
        <v>3.4385482178289829E-2</v>
      </c>
    </row>
    <row r="349" spans="1:40" x14ac:dyDescent="0.3">
      <c r="A349" t="s">
        <v>7</v>
      </c>
      <c r="B349" s="13">
        <v>4</v>
      </c>
      <c r="C349" s="35">
        <f t="shared" si="45"/>
        <v>0</v>
      </c>
      <c r="D349" s="36">
        <f t="shared" si="45"/>
        <v>6.3500146911428402E-3</v>
      </c>
      <c r="E349" s="21">
        <f t="shared" si="45"/>
        <v>0</v>
      </c>
      <c r="F349" s="21">
        <f t="shared" si="45"/>
        <v>0.40640094023314177</v>
      </c>
      <c r="G349" s="37">
        <f t="shared" si="45"/>
        <v>5.9944138684388415</v>
      </c>
      <c r="H349" s="17">
        <f>SUM(C349:G349)</f>
        <v>6.407164823363126</v>
      </c>
      <c r="I349" s="17">
        <f>G349/H349*100</f>
        <v>93.55797819623389</v>
      </c>
      <c r="J349" s="17">
        <f>SQRT(I349*(100-I349)/(L349-1))</f>
        <v>0.77325234044289171</v>
      </c>
      <c r="K349" s="18">
        <f>100-I349</f>
        <v>6.4420218037661101</v>
      </c>
      <c r="L349" s="1">
        <f>H338</f>
        <v>1009</v>
      </c>
      <c r="M349">
        <v>4</v>
      </c>
      <c r="N349" s="1">
        <v>5939.7</v>
      </c>
      <c r="O349" s="17">
        <f>N349/N350*100</f>
        <v>6.407164823363126</v>
      </c>
      <c r="P349" s="52">
        <f>((O349*O349*(I349/100)*(K349/100))/(L349-1))</f>
        <v>2.4545635400887982E-3</v>
      </c>
      <c r="AM349" s="78"/>
      <c r="AN349" s="78"/>
    </row>
    <row r="350" spans="1:40" x14ac:dyDescent="0.3">
      <c r="B350" t="s">
        <v>28</v>
      </c>
      <c r="C350" s="17">
        <f t="shared" ref="C350:H350" si="46">SUM(C345:C349)</f>
        <v>0.13201387619051</v>
      </c>
      <c r="D350" s="17">
        <f t="shared" si="46"/>
        <v>1.2425771751019017</v>
      </c>
      <c r="E350" s="17">
        <f t="shared" si="46"/>
        <v>59.735332801581741</v>
      </c>
      <c r="F350" s="17">
        <f t="shared" si="46"/>
        <v>32.726469242648996</v>
      </c>
      <c r="G350" s="17">
        <f t="shared" si="46"/>
        <v>6.1636069044768629</v>
      </c>
      <c r="H350" s="18">
        <f t="shared" si="46"/>
        <v>100.00000000000003</v>
      </c>
      <c r="I350" s="13" t="s">
        <v>24</v>
      </c>
      <c r="J350" s="12" t="s">
        <v>29</v>
      </c>
      <c r="N350" s="1">
        <f>SUM(N345:N349)</f>
        <v>92704.03</v>
      </c>
      <c r="O350" s="17">
        <f>SUM(O345:O349)</f>
        <v>100.00000000000001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7.9686318524116756E-2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0.16457097420576564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0.18745826562448628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0.21185340745613693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0.10929336346641377</v>
      </c>
      <c r="H351" s="1"/>
      <c r="I351" s="14">
        <f>(C345+D346+E347+F348+G349)/H350</f>
        <v>0.98367574580411354</v>
      </c>
      <c r="J351" s="53">
        <f>SQRT(SUM(P345:P349))/100</f>
        <v>2.5007316522899958E-3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14.557953592768449</v>
      </c>
      <c r="D352" s="17">
        <f>D346/D350*100</f>
        <v>71.353754929607959</v>
      </c>
      <c r="E352" s="17">
        <f>E347/E350*100</f>
        <v>99.211370248421275</v>
      </c>
      <c r="F352" s="17">
        <f>F348/F350*100</f>
        <v>98.400699101192529</v>
      </c>
      <c r="G352" s="17">
        <f>G349/G350*100</f>
        <v>97.254967121359897</v>
      </c>
      <c r="H352" s="1"/>
    </row>
    <row r="353" spans="1:40" x14ac:dyDescent="0.3">
      <c r="B353" s="16" t="s">
        <v>39</v>
      </c>
      <c r="C353" s="18">
        <f>SQRT((C356+C357)/(C350*C350))</f>
        <v>208.87266281369261</v>
      </c>
      <c r="D353" s="18">
        <f>SQRT((D356+D357)/(D350*D350))</f>
        <v>12.522330652096301</v>
      </c>
      <c r="E353" s="18">
        <f>SQRT((E356+E357)/(E350*E350))</f>
        <v>0.17446772622411943</v>
      </c>
      <c r="F353" s="18">
        <f>SQRT((F356+F357)/(F350*F350))</f>
        <v>0.32213834605190672</v>
      </c>
      <c r="G353" s="18">
        <f>SQRT((G356+G357)/(G350*G350))</f>
        <v>1.554425716340619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85.442046407231544</v>
      </c>
      <c r="D354" s="18">
        <f>100-D352</f>
        <v>28.646245070392041</v>
      </c>
      <c r="E354" s="18">
        <f>100-E352</f>
        <v>0.78862975157872484</v>
      </c>
      <c r="F354" s="18">
        <f>100-F352</f>
        <v>1.5993008988074706</v>
      </c>
      <c r="G354" s="18">
        <f>100-G352</f>
        <v>2.745032878640103</v>
      </c>
    </row>
    <row r="355" spans="1:40" ht="15.6" x14ac:dyDescent="0.35">
      <c r="B355" s="1" t="s">
        <v>25</v>
      </c>
      <c r="C355" s="1">
        <f>C339</f>
        <v>35</v>
      </c>
      <c r="D355" s="1">
        <f>D339</f>
        <v>58</v>
      </c>
      <c r="E355" s="1">
        <f>E339</f>
        <v>1037</v>
      </c>
      <c r="F355" s="1">
        <f>F339</f>
        <v>682</v>
      </c>
      <c r="G355" s="1">
        <f>G339</f>
        <v>947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758.9845551865368</v>
      </c>
      <c r="D356" s="18">
        <f>(O346*O346*(100-D352)*(100-D352)*(I346)*(100-I346))/((L346-1)*100)</f>
        <v>110.76293321378756</v>
      </c>
      <c r="E356" s="18">
        <f>(O347*O347*(100-E352)*(100-E352)*(I347)*(100-I347))/((L347-1)*100)</f>
        <v>1.513569109974287</v>
      </c>
      <c r="F356" s="18">
        <f>(O348*O348*(100-F352)*(100-F352)*(I348)*(100-I348))/((L348-1)*100)</f>
        <v>8.794992660095879</v>
      </c>
      <c r="G356" s="18">
        <f>(O349*O349*(100-G352)*(100-G352)*(I349)*(100-I349))/((L349-1)*100)</f>
        <v>1.8495640699195723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1.3458757738723128</v>
      </c>
      <c r="D357" s="18">
        <f>D352*D352*(SUM((H345*D345*(1-D334/H334))/(H334-1),(H347*D347*(1-D336/H336))/(H336-1), (H348*D348*(1-D337/H337))/(H337-1),(H349*D349*(1-D338/H338))/(H338-1)))</f>
        <v>131.3494919259096</v>
      </c>
      <c r="E357" s="18">
        <f>E352*E352*(SUM((H345*E345*(1-E334/H334))/(H334-1),(H346*E346*(1-E335/H335))/(H335-1), (H348*E348*(1-E337/H337))/(H337-1),(H349*E349*(1-E338/H338))/(H338-1)))</f>
        <v>107.10217389492821</v>
      </c>
      <c r="F357" s="18">
        <f>F352*F352*(SUM((H345*F345*(1-F334/H334))/(H334-1),(H346*F346*(1-F335/H335))/(H335-1), (H347*F347*(1-F336/H336))/(H336-1),(H349*F349*(1-F338/H338))/(H338-1)))</f>
        <v>102.348273552479</v>
      </c>
      <c r="G357" s="18">
        <f>G352*G352*(SUM((H345*G345*(1-G334/H334))/(H334-1),(H346*G346*(1-G335/H335))/(H335-1), (H347*G347*(1-G336/H336))/(H336-1),(H348*G348*(1-G337/H337))/(H337-1)))</f>
        <v>89.943488214749109</v>
      </c>
      <c r="AM357" s="78"/>
      <c r="AN357" s="78"/>
    </row>
    <row r="359" spans="1:40" x14ac:dyDescent="0.3">
      <c r="AM359" s="78"/>
      <c r="AN359" s="78"/>
    </row>
    <row r="360" spans="1:40" x14ac:dyDescent="0.3">
      <c r="A360" s="348" t="s">
        <v>384</v>
      </c>
      <c r="B360" s="348"/>
      <c r="C360" s="348"/>
      <c r="D360" s="348"/>
      <c r="E360" s="348"/>
      <c r="F360" s="348"/>
      <c r="G360" s="348"/>
      <c r="H360" s="348"/>
      <c r="I360" s="348"/>
      <c r="J360" s="348"/>
      <c r="K360" s="348"/>
      <c r="L360" s="348" t="s">
        <v>85</v>
      </c>
      <c r="M360" s="348"/>
      <c r="N360" s="348"/>
      <c r="O360" s="348"/>
      <c r="P360" s="348"/>
    </row>
    <row r="361" spans="1:40" x14ac:dyDescent="0.3">
      <c r="A361" t="s">
        <v>15</v>
      </c>
      <c r="B361" t="s">
        <v>21</v>
      </c>
      <c r="I361" s="1" t="s">
        <v>53</v>
      </c>
      <c r="O361" s="142"/>
      <c r="P361" s="142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51</v>
      </c>
      <c r="O362" s="13"/>
      <c r="P362" s="13"/>
    </row>
    <row r="363" spans="1:40" x14ac:dyDescent="0.3">
      <c r="A363" t="s">
        <v>3</v>
      </c>
      <c r="B363" s="13">
        <v>0</v>
      </c>
      <c r="C363" s="26">
        <v>33</v>
      </c>
      <c r="D363" s="3">
        <v>0</v>
      </c>
      <c r="E363" s="3">
        <v>418</v>
      </c>
      <c r="F363" s="3">
        <v>0</v>
      </c>
      <c r="G363" s="4">
        <v>0</v>
      </c>
      <c r="H363" s="1">
        <f>SUM(C363:G363)</f>
        <v>451</v>
      </c>
      <c r="I363" s="10">
        <f>C363/H363</f>
        <v>7.3170731707317069E-2</v>
      </c>
      <c r="J363" s="11">
        <f>1-I363</f>
        <v>0.92682926829268297</v>
      </c>
      <c r="K363">
        <f>H363-C368</f>
        <v>416</v>
      </c>
      <c r="N363" s="10">
        <f>2*(C369*I363)/(C369+I363)</f>
        <v>0.13580246913580246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55</v>
      </c>
      <c r="E364" s="1">
        <v>2</v>
      </c>
      <c r="F364" s="1">
        <v>0</v>
      </c>
      <c r="G364" s="6">
        <v>0</v>
      </c>
      <c r="H364" s="1">
        <f>SUM(C364:G364)</f>
        <v>57</v>
      </c>
      <c r="I364" s="10">
        <f>D364/H364</f>
        <v>0.96491228070175439</v>
      </c>
      <c r="J364" s="11">
        <f>1-I364</f>
        <v>3.5087719298245612E-2</v>
      </c>
      <c r="K364">
        <f>H364-D368</f>
        <v>-2</v>
      </c>
      <c r="N364" s="10">
        <f>2*(D369*I364)/(D369+I364)</f>
        <v>0.94827586206896541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1</v>
      </c>
      <c r="E365" s="27">
        <v>658</v>
      </c>
      <c r="F365" s="1">
        <v>1</v>
      </c>
      <c r="G365" s="6">
        <v>0</v>
      </c>
      <c r="H365" s="1">
        <f>SUM(C365:G365)</f>
        <v>660</v>
      </c>
      <c r="I365" s="10">
        <f>E365/H365</f>
        <v>0.99696969696969695</v>
      </c>
      <c r="J365" s="11">
        <f>1-I365</f>
        <v>3.0303030303030498E-3</v>
      </c>
      <c r="K365">
        <f>H365-E368</f>
        <v>-421</v>
      </c>
      <c r="N365" s="10">
        <f>2*(E369*I365)/(E369+I365)</f>
        <v>0.75588742102240092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2</v>
      </c>
      <c r="D366" s="1">
        <v>2</v>
      </c>
      <c r="E366" s="1">
        <v>3</v>
      </c>
      <c r="F366" s="27">
        <v>571</v>
      </c>
      <c r="G366" s="6">
        <v>4</v>
      </c>
      <c r="H366" s="1">
        <f>SUM(C366:G366)</f>
        <v>582</v>
      </c>
      <c r="I366" s="10">
        <f>F366/H366</f>
        <v>0.98109965635738827</v>
      </c>
      <c r="J366" s="11">
        <f>1-I366</f>
        <v>1.8900343642611728E-2</v>
      </c>
      <c r="K366">
        <f>H366-F368</f>
        <v>-49</v>
      </c>
      <c r="N366" s="10">
        <f>2*(F369*I366)/(F369+I366)</f>
        <v>0.941467436108821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1</v>
      </c>
      <c r="E367" s="8">
        <v>0</v>
      </c>
      <c r="F367" s="8">
        <v>59</v>
      </c>
      <c r="G367" s="28">
        <v>949</v>
      </c>
      <c r="H367" s="1">
        <f>SUM(C367:G367)</f>
        <v>1009</v>
      </c>
      <c r="I367" s="10">
        <f>G367/H367</f>
        <v>0.94053518334985131</v>
      </c>
      <c r="J367" s="11">
        <f>1-I367</f>
        <v>5.9464816650148689E-2</v>
      </c>
      <c r="K367">
        <f>H367-G368</f>
        <v>56</v>
      </c>
      <c r="N367" s="10">
        <f>2*(G369*I367)/(G369+I367)</f>
        <v>0.96738022426095827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35</v>
      </c>
      <c r="D368" s="1">
        <f>SUM(D363:D367)</f>
        <v>59</v>
      </c>
      <c r="E368" s="1">
        <f>SUM(E363:E367)</f>
        <v>1081</v>
      </c>
      <c r="F368" s="1">
        <f>SUM(F363:F367)</f>
        <v>631</v>
      </c>
      <c r="G368" s="1">
        <f>SUM(G363:G367)</f>
        <v>953</v>
      </c>
      <c r="H368" s="1">
        <f>SUM(H362:H367)</f>
        <v>2759</v>
      </c>
      <c r="I368" s="13" t="s">
        <v>12</v>
      </c>
      <c r="N368" s="16"/>
      <c r="O368" s="1"/>
      <c r="P368" s="1"/>
    </row>
    <row r="369" spans="1:40" x14ac:dyDescent="0.3">
      <c r="A369" s="1" t="s">
        <v>52</v>
      </c>
      <c r="B369" s="1" t="s">
        <v>2</v>
      </c>
      <c r="C369" s="10">
        <f>C363/C368</f>
        <v>0.94285714285714284</v>
      </c>
      <c r="D369" s="10">
        <f>D364/D368</f>
        <v>0.93220338983050843</v>
      </c>
      <c r="E369" s="10">
        <f>E365/E368</f>
        <v>0.60869565217391308</v>
      </c>
      <c r="F369" s="10">
        <f>F366/F368</f>
        <v>0.90491283676703649</v>
      </c>
      <c r="G369" s="10">
        <f>G367/G368</f>
        <v>0.99580272822665272</v>
      </c>
      <c r="H369" s="10"/>
      <c r="I369" s="14">
        <f>(C363+D364+E365+F366+G367)/H368</f>
        <v>0.82131206959043135</v>
      </c>
      <c r="AM369" s="78"/>
      <c r="AN369" s="78"/>
    </row>
    <row r="370" spans="1:40" x14ac:dyDescent="0.3">
      <c r="B370" s="1" t="s">
        <v>14</v>
      </c>
      <c r="C370" s="11">
        <f>1-C369</f>
        <v>5.7142857142857162E-2</v>
      </c>
      <c r="D370" s="11">
        <f>1-D369</f>
        <v>6.7796610169491567E-2</v>
      </c>
      <c r="E370" s="11">
        <f>1-E369</f>
        <v>0.39130434782608692</v>
      </c>
      <c r="F370" s="11">
        <f>1-F369</f>
        <v>9.5087163232963512E-2</v>
      </c>
      <c r="G370" s="11">
        <f>1-G369</f>
        <v>4.1972717733472775E-3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1.9651843340221711E-2</v>
      </c>
      <c r="D374" s="31">
        <f>(D363/$L374)*$O374</f>
        <v>0</v>
      </c>
      <c r="E374" s="31">
        <f>(E363/$L374)*$O374</f>
        <v>0.24892334897614171</v>
      </c>
      <c r="F374" s="31">
        <f>(F363/$L374)*$O374</f>
        <v>0</v>
      </c>
      <c r="G374" s="32">
        <f>(G363/$L374)*$O374</f>
        <v>0</v>
      </c>
      <c r="H374" s="17">
        <f>SUM(C374:G374)</f>
        <v>0.2685751923163634</v>
      </c>
      <c r="I374" s="17">
        <f>C374/H374*100</f>
        <v>7.3170731707317067</v>
      </c>
      <c r="J374" s="17">
        <f>SQRT(I374*(100-I374)/(L374-1))</f>
        <v>1.2276153553285771</v>
      </c>
      <c r="K374" s="18">
        <f>100-I374</f>
        <v>92.682926829268297</v>
      </c>
      <c r="L374" s="1">
        <f>H363</f>
        <v>451</v>
      </c>
      <c r="M374">
        <v>0</v>
      </c>
      <c r="N374" s="1">
        <v>248.98</v>
      </c>
      <c r="O374" s="17">
        <f>N374/N379*100</f>
        <v>0.2685751923163634</v>
      </c>
      <c r="P374" s="52">
        <f>((O374*O374*(I374/100)*(K374/100))/(L374-1))</f>
        <v>1.0870672572894387E-5</v>
      </c>
    </row>
    <row r="375" spans="1:40" x14ac:dyDescent="0.3">
      <c r="A375" t="s">
        <v>4</v>
      </c>
      <c r="B375" s="13">
        <v>1</v>
      </c>
      <c r="C375" s="33">
        <f t="shared" ref="C375:G378" si="47">(C364/$L375)*$O375</f>
        <v>0</v>
      </c>
      <c r="D375" s="34">
        <f t="shared" si="47"/>
        <v>0.91904169473042074</v>
      </c>
      <c r="E375" s="19">
        <f t="shared" si="47"/>
        <v>3.3419697990197117E-2</v>
      </c>
      <c r="F375" s="18">
        <f t="shared" si="47"/>
        <v>0</v>
      </c>
      <c r="G375" s="20">
        <f t="shared" si="47"/>
        <v>0</v>
      </c>
      <c r="H375" s="17">
        <f>SUM(C375:G375)</f>
        <v>0.95246139272061781</v>
      </c>
      <c r="I375" s="17">
        <f>D375/H375*100</f>
        <v>96.491228070175438</v>
      </c>
      <c r="J375" s="17">
        <f>SQRT(I375*(100-I375)/(L375-1))</f>
        <v>2.4588241692166148</v>
      </c>
      <c r="K375" s="18">
        <f>100-I375</f>
        <v>3.5087719298245617</v>
      </c>
      <c r="L375" s="1">
        <f>H364</f>
        <v>57</v>
      </c>
      <c r="M375">
        <v>1</v>
      </c>
      <c r="N375" s="1">
        <v>882.97</v>
      </c>
      <c r="O375" s="17">
        <f>N375/N379*100</f>
        <v>0.95246139272061792</v>
      </c>
      <c r="P375" s="52">
        <f>((O375*O375*(I375/100)*(K375/100))/(L375-1))</f>
        <v>5.4846599782660003E-4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47"/>
        <v>0</v>
      </c>
      <c r="D376" s="19">
        <f t="shared" si="47"/>
        <v>9.0609927654211178E-2</v>
      </c>
      <c r="E376" s="34">
        <f t="shared" si="47"/>
        <v>59.621332396470962</v>
      </c>
      <c r="F376" s="19">
        <f t="shared" si="47"/>
        <v>9.0609927654211178E-2</v>
      </c>
      <c r="G376" s="20">
        <f t="shared" si="47"/>
        <v>0</v>
      </c>
      <c r="H376" s="17">
        <f>SUM(C376:G376)</f>
        <v>59.802552251779389</v>
      </c>
      <c r="I376" s="17">
        <f>E376/H376*100</f>
        <v>99.696969696969688</v>
      </c>
      <c r="J376" s="17">
        <f>SQRT(I376*(100-I376)/(L376-1))</f>
        <v>0.21411214474848439</v>
      </c>
      <c r="K376" s="18">
        <f>100-I376</f>
        <v>0.30303030303031164</v>
      </c>
      <c r="L376" s="1">
        <f>H365</f>
        <v>660</v>
      </c>
      <c r="M376">
        <v>2</v>
      </c>
      <c r="N376" s="1">
        <v>55439.37</v>
      </c>
      <c r="O376" s="17">
        <f>N376/N379*100</f>
        <v>59.802552251779382</v>
      </c>
      <c r="P376" s="52">
        <f>((O376*O376*(I376/100)*(K376/100))/(L376-1))</f>
        <v>1.6395400956273336E-2</v>
      </c>
    </row>
    <row r="377" spans="1:40" x14ac:dyDescent="0.3">
      <c r="A377" t="s">
        <v>6</v>
      </c>
      <c r="B377" s="13">
        <v>3</v>
      </c>
      <c r="C377" s="33">
        <f t="shared" si="47"/>
        <v>0.11187610053122168</v>
      </c>
      <c r="D377" s="19">
        <f t="shared" si="47"/>
        <v>0.11187610053122168</v>
      </c>
      <c r="E377" s="19">
        <f t="shared" si="47"/>
        <v>0.16781415079683251</v>
      </c>
      <c r="F377" s="34">
        <f t="shared" si="47"/>
        <v>31.940626701663788</v>
      </c>
      <c r="G377" s="20">
        <f t="shared" si="47"/>
        <v>0.22375220106244337</v>
      </c>
      <c r="H377" s="17">
        <f>SUM(C377:G377)</f>
        <v>32.555945254585509</v>
      </c>
      <c r="I377" s="17">
        <f>F377/H377*100</f>
        <v>98.109965635738831</v>
      </c>
      <c r="J377" s="17">
        <f>SQRT(I377*(100-I377)/(L377-1))</f>
        <v>0.5649413271715471</v>
      </c>
      <c r="K377" s="18">
        <f>100-I377</f>
        <v>1.8900343642611688</v>
      </c>
      <c r="L377" s="1">
        <f>H366</f>
        <v>582</v>
      </c>
      <c r="M377">
        <v>3</v>
      </c>
      <c r="N377" s="1">
        <v>30180.67</v>
      </c>
      <c r="O377" s="17">
        <f>N377/N379*100</f>
        <v>32.555945254585509</v>
      </c>
      <c r="P377" s="52">
        <f>((O377*O377*(I377/100)*(K377/100))/(L377-1))</f>
        <v>3.3827298109260912E-2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47"/>
        <v>0</v>
      </c>
      <c r="D378" s="36">
        <f t="shared" si="47"/>
        <v>6.363197134388641E-3</v>
      </c>
      <c r="E378" s="21">
        <f t="shared" si="47"/>
        <v>0</v>
      </c>
      <c r="F378" s="21">
        <f t="shared" si="47"/>
        <v>0.37542863092892981</v>
      </c>
      <c r="G378" s="37">
        <f t="shared" si="47"/>
        <v>6.03867408053482</v>
      </c>
      <c r="H378" s="17">
        <f>SUM(C378:G378)</f>
        <v>6.4204659085981381</v>
      </c>
      <c r="I378" s="17">
        <f>G378/H378*100</f>
        <v>94.053518334985142</v>
      </c>
      <c r="J378" s="17">
        <f>SQRT(I378*(100-I378)/(L378-1))</f>
        <v>0.744881690236464</v>
      </c>
      <c r="K378" s="18">
        <f>100-I378</f>
        <v>5.9464816650148578</v>
      </c>
      <c r="L378" s="1">
        <f>H367</f>
        <v>1009</v>
      </c>
      <c r="M378">
        <v>4</v>
      </c>
      <c r="N378" s="1">
        <v>5952.03</v>
      </c>
      <c r="O378" s="17">
        <f>N378/N379*100</f>
        <v>6.420465908598139</v>
      </c>
      <c r="P378" s="52">
        <f>((O378*O378*(I378/100)*(K378/100))/(L378-1))</f>
        <v>2.2872186669503623E-3</v>
      </c>
    </row>
    <row r="379" spans="1:40" x14ac:dyDescent="0.3">
      <c r="B379" t="s">
        <v>28</v>
      </c>
      <c r="C379" s="17">
        <f t="shared" ref="C379:H379" si="48">SUM(C374:C378)</f>
        <v>0.1315279438714434</v>
      </c>
      <c r="D379" s="17">
        <f t="shared" si="48"/>
        <v>1.1278909200502423</v>
      </c>
      <c r="E379" s="17">
        <f t="shared" si="48"/>
        <v>60.07148959423413</v>
      </c>
      <c r="F379" s="17">
        <f t="shared" si="48"/>
        <v>32.406665260246932</v>
      </c>
      <c r="G379" s="17">
        <f t="shared" si="48"/>
        <v>6.2624262815972633</v>
      </c>
      <c r="H379" s="18">
        <f t="shared" si="48"/>
        <v>100.00000000000001</v>
      </c>
      <c r="I379" s="13" t="s">
        <v>24</v>
      </c>
      <c r="J379" s="12" t="s">
        <v>29</v>
      </c>
      <c r="N379" s="1">
        <f>SUM(N374:N378)</f>
        <v>92704.01999999999</v>
      </c>
      <c r="O379" s="17">
        <f>SUM(O374:O378)</f>
        <v>100.00000000000003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7.9040950775748478E-2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0.12253015392592487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0.16204647045933457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0.21027632271662769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0.12130618822368557</v>
      </c>
      <c r="H380" s="1"/>
      <c r="I380" s="14">
        <f>(C374+D375+E376+F377+G378)/H379</f>
        <v>0.98539326716740194</v>
      </c>
      <c r="J380" s="53">
        <f>SQRT(SUM(P374:P378))/100</f>
        <v>2.3036765051300955E-3</v>
      </c>
      <c r="M380" s="1"/>
      <c r="N380" s="9"/>
    </row>
    <row r="381" spans="1:40" x14ac:dyDescent="0.3">
      <c r="B381" s="1" t="s">
        <v>30</v>
      </c>
      <c r="C381" s="17">
        <f>C374/C379*100</f>
        <v>14.941192541890262</v>
      </c>
      <c r="D381" s="17">
        <f>D375/D379*100</f>
        <v>81.483207142893008</v>
      </c>
      <c r="E381" s="17">
        <f>E376/E379*100</f>
        <v>99.250630871976284</v>
      </c>
      <c r="F381" s="17">
        <f>F377/F379*100</f>
        <v>98.561905228938102</v>
      </c>
      <c r="G381" s="17">
        <f>G378/G379*100</f>
        <v>96.427068503465492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213.4097136851959</v>
      </c>
      <c r="D382" s="18">
        <f>SQRT((D385+D386)/(D379*D379))</f>
        <v>9.510528178754182</v>
      </c>
      <c r="E382" s="18">
        <f>SQRT((E385+E386)/(E379*E379))</f>
        <v>0.16528432201470108</v>
      </c>
      <c r="F382" s="18">
        <f>SQRT((F385+F386)/(F379*F379))</f>
        <v>0.32161048888679861</v>
      </c>
      <c r="G382" s="18">
        <f>SQRT((G385+G386)/(G379*G379))</f>
        <v>1.7397141450021461</v>
      </c>
      <c r="H382" s="1"/>
    </row>
    <row r="383" spans="1:40" x14ac:dyDescent="0.3">
      <c r="B383" s="1" t="s">
        <v>37</v>
      </c>
      <c r="C383" s="18">
        <f>100-C381</f>
        <v>85.05880745810974</v>
      </c>
      <c r="D383" s="18">
        <f>100-D381</f>
        <v>18.516792857106992</v>
      </c>
      <c r="E383" s="18">
        <f>100-E381</f>
        <v>0.7493691280237158</v>
      </c>
      <c r="F383" s="18">
        <f>100-F381</f>
        <v>1.4380947710618983</v>
      </c>
      <c r="G383" s="18">
        <f>100-G381</f>
        <v>3.5729314965345083</v>
      </c>
      <c r="AM383" s="78"/>
      <c r="AN383" s="78"/>
    </row>
    <row r="384" spans="1:40" ht="15.6" x14ac:dyDescent="0.35">
      <c r="B384" s="1" t="s">
        <v>25</v>
      </c>
      <c r="C384" s="1">
        <f>C368</f>
        <v>35</v>
      </c>
      <c r="D384" s="1">
        <f>D368</f>
        <v>59</v>
      </c>
      <c r="E384" s="1">
        <f>E368</f>
        <v>1081</v>
      </c>
      <c r="F384" s="1">
        <f>F368</f>
        <v>631</v>
      </c>
      <c r="G384" s="1">
        <f>G368</f>
        <v>953</v>
      </c>
    </row>
    <row r="385" spans="1:40" x14ac:dyDescent="0.3">
      <c r="B385" s="1" t="s">
        <v>34</v>
      </c>
      <c r="C385" s="18">
        <f>(O374*O374*(100-C381)*(100-C381)*(I374)*(100-I374))/(L374-1)</f>
        <v>786.49323959127503</v>
      </c>
      <c r="D385" s="18">
        <f>(O375*O375*(100-D381)*(100-D381)*(I375)*(100-I375))/((L375-1)*100)</f>
        <v>18.805342393538577</v>
      </c>
      <c r="E385" s="18">
        <f>(O376*O376*(100-E381)*(100-E381)*(I376)*(100-I376))/((L376-1)*100)</f>
        <v>0.92069044647594378</v>
      </c>
      <c r="F385" s="18">
        <f>(O377*O377*(100-F381)*(100-F381)*(I377)*(100-I377))/((L377-1)*100)</f>
        <v>6.9958795756885728</v>
      </c>
      <c r="G385" s="18">
        <f>(O378*O378*(100-G381)*(100-G381)*(I378)*(100-I378))/((L378-1)*100)</f>
        <v>2.9198266355496747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1.3946557808677602</v>
      </c>
      <c r="D386" s="18">
        <f>D381*D381*(SUM((H374*D374*(1-D363/H363))/(H363-1),(H376*D376*(1-D365/H365))/(H365-1), (H377*D377*(1-D366/H366))/(H366-1),(H378*D378*(1-D367/H367))/(H367-1)))</f>
        <v>96.259719187733424</v>
      </c>
      <c r="E386" s="18">
        <f>E381*E381*(SUM((H374*E374*(1-E363/H363))/(H363-1),(H375*E375*(1-E364/H364))/(H364-1), (H377*E377*(1-E366/H366))/(H366-1),(H378*E378*(1-E367/H367))/(H367-1)))</f>
        <v>97.661876857905469</v>
      </c>
      <c r="F386" s="18">
        <f>F381*F381*(SUM((H374*F374*(1-F363/H363))/(H363-1),(H375*F375*(1-F364/H364))/(H364-1), (H376*F376*(1-F365/H365))/(H365-1),(H378*F378*(1-F367/H367))/(H367-1)))</f>
        <v>101.62894667787597</v>
      </c>
      <c r="G386" s="18">
        <f>G381*G381*(SUM((H374*G374*(1-G363/H363))/(H363-1),(H375*G375*(1-G364/H364))/(H364-1), (H376*G376*(1-G365/H365))/(H365-1),(H377*G377*(1-G366/H366))/(H366-1)))</f>
        <v>115.77752861096231</v>
      </c>
    </row>
    <row r="387" spans="1:40" x14ac:dyDescent="0.3">
      <c r="AM387" s="78"/>
      <c r="AN387" s="78"/>
    </row>
    <row r="389" spans="1:40" x14ac:dyDescent="0.3">
      <c r="A389" s="348" t="s">
        <v>384</v>
      </c>
      <c r="B389" s="348"/>
      <c r="C389" s="348"/>
      <c r="D389" s="348"/>
      <c r="E389" s="348"/>
      <c r="F389" s="348"/>
      <c r="G389" s="348"/>
      <c r="H389" s="348"/>
      <c r="I389" s="348"/>
      <c r="J389" s="348"/>
      <c r="K389" s="348"/>
      <c r="L389" s="348" t="s">
        <v>86</v>
      </c>
      <c r="M389" s="348"/>
      <c r="N389" s="348"/>
      <c r="O389" s="348"/>
      <c r="P389" s="348"/>
      <c r="AM389" s="78"/>
      <c r="AN389" s="78"/>
    </row>
    <row r="390" spans="1:40" x14ac:dyDescent="0.3">
      <c r="A390" t="s">
        <v>15</v>
      </c>
      <c r="B390" t="s">
        <v>21</v>
      </c>
      <c r="I390" s="1" t="s">
        <v>53</v>
      </c>
      <c r="O390" s="142"/>
      <c r="P390" s="142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51</v>
      </c>
      <c r="O391" s="13"/>
      <c r="P391" s="13"/>
      <c r="AM391" s="78"/>
      <c r="AN391" s="78"/>
    </row>
    <row r="392" spans="1:40" x14ac:dyDescent="0.3">
      <c r="A392" t="s">
        <v>3</v>
      </c>
      <c r="B392" s="13">
        <v>0</v>
      </c>
      <c r="C392" s="26">
        <v>53</v>
      </c>
      <c r="D392" s="3">
        <v>0</v>
      </c>
      <c r="E392" s="3">
        <v>398</v>
      </c>
      <c r="F392" s="3">
        <v>0</v>
      </c>
      <c r="G392" s="4">
        <v>0</v>
      </c>
      <c r="H392" s="1">
        <f>SUM(C392:G392)</f>
        <v>451</v>
      </c>
      <c r="I392" s="10">
        <f>C392/H392</f>
        <v>0.11751662971175167</v>
      </c>
      <c r="J392" s="11">
        <f>1-I392</f>
        <v>0.8824833702882483</v>
      </c>
      <c r="K392">
        <f>H392-C397</f>
        <v>396</v>
      </c>
      <c r="N392" s="10">
        <f>2*(C398*I392)/(C398+I392)</f>
        <v>0.20948616600790515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54</v>
      </c>
      <c r="E393" s="1">
        <v>2</v>
      </c>
      <c r="F393" s="1">
        <v>0</v>
      </c>
      <c r="G393" s="6">
        <v>1</v>
      </c>
      <c r="H393" s="1">
        <f>SUM(C393:G393)</f>
        <v>57</v>
      </c>
      <c r="I393" s="10">
        <f>D393/H393</f>
        <v>0.94736842105263153</v>
      </c>
      <c r="J393" s="11">
        <f>1-I393</f>
        <v>5.2631578947368474E-2</v>
      </c>
      <c r="K393">
        <f>H393-D397</f>
        <v>-4</v>
      </c>
      <c r="N393" s="10">
        <f>2*(D398*I393)/(D398+I393)</f>
        <v>0.9152542372881356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0</v>
      </c>
      <c r="E394" s="27">
        <v>659</v>
      </c>
      <c r="F394" s="1">
        <v>1</v>
      </c>
      <c r="G394" s="6">
        <v>0</v>
      </c>
      <c r="H394" s="1">
        <f>SUM(C394:G394)</f>
        <v>660</v>
      </c>
      <c r="I394" s="10">
        <f>E394/H394</f>
        <v>0.99848484848484853</v>
      </c>
      <c r="J394" s="11">
        <f>1-I394</f>
        <v>1.5151515151514694E-3</v>
      </c>
      <c r="K394">
        <f>H394-E397</f>
        <v>-402</v>
      </c>
      <c r="N394" s="10">
        <f>2*(E398*I394)/(E398+I394)</f>
        <v>0.76538908246225323</v>
      </c>
      <c r="O394" s="1"/>
      <c r="P394" s="1"/>
    </row>
    <row r="395" spans="1:40" x14ac:dyDescent="0.3">
      <c r="A395" t="s">
        <v>6</v>
      </c>
      <c r="B395" s="13">
        <v>3</v>
      </c>
      <c r="C395" s="5">
        <v>2</v>
      </c>
      <c r="D395" s="1">
        <v>3</v>
      </c>
      <c r="E395" s="1">
        <v>3</v>
      </c>
      <c r="F395" s="27">
        <v>571</v>
      </c>
      <c r="G395" s="6">
        <v>3</v>
      </c>
      <c r="H395" s="1">
        <f>SUM(C395:G395)</f>
        <v>582</v>
      </c>
      <c r="I395" s="10">
        <f>F395/H395</f>
        <v>0.98109965635738827</v>
      </c>
      <c r="J395" s="11">
        <f>1-I395</f>
        <v>1.8900343642611728E-2</v>
      </c>
      <c r="K395">
        <f>H395-F397</f>
        <v>-49</v>
      </c>
      <c r="N395" s="10">
        <f>2*(F398*I395)/(F398+I395)</f>
        <v>0.941467436108821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4</v>
      </c>
      <c r="E396" s="8">
        <v>0</v>
      </c>
      <c r="F396" s="8">
        <v>59</v>
      </c>
      <c r="G396" s="28">
        <v>946</v>
      </c>
      <c r="H396" s="1">
        <f>SUM(C396:G396)</f>
        <v>1009</v>
      </c>
      <c r="I396" s="10">
        <f>G396/H396</f>
        <v>0.93756194251734393</v>
      </c>
      <c r="J396" s="11">
        <f>1-I396</f>
        <v>6.2438057482656073E-2</v>
      </c>
      <c r="K396">
        <f>H396-G397</f>
        <v>59</v>
      </c>
      <c r="N396" s="10">
        <f>2*(G398*I396)/(G398+I396)</f>
        <v>0.96579887697805</v>
      </c>
      <c r="O396" s="1"/>
      <c r="P396" s="1"/>
    </row>
    <row r="397" spans="1:40" ht="15.6" x14ac:dyDescent="0.35">
      <c r="B397" s="1" t="s">
        <v>19</v>
      </c>
      <c r="C397" s="1">
        <f>SUM(C392:C396)</f>
        <v>55</v>
      </c>
      <c r="D397" s="1">
        <f>SUM(D392:D396)</f>
        <v>61</v>
      </c>
      <c r="E397" s="1">
        <f>SUM(E392:E396)</f>
        <v>1062</v>
      </c>
      <c r="F397" s="1">
        <f>SUM(F392:F396)</f>
        <v>631</v>
      </c>
      <c r="G397" s="1">
        <f>SUM(G392:G396)</f>
        <v>950</v>
      </c>
      <c r="H397" s="1">
        <f>SUM(H391:H396)</f>
        <v>2759</v>
      </c>
      <c r="I397" s="13" t="s">
        <v>12</v>
      </c>
      <c r="N397" s="16"/>
      <c r="O397" s="1"/>
      <c r="P397" s="1"/>
      <c r="AM397" s="78"/>
      <c r="AN397" s="78"/>
    </row>
    <row r="398" spans="1:40" x14ac:dyDescent="0.3">
      <c r="A398" s="1" t="s">
        <v>52</v>
      </c>
      <c r="B398" s="1" t="s">
        <v>2</v>
      </c>
      <c r="C398" s="10">
        <f>C392/C397</f>
        <v>0.96363636363636362</v>
      </c>
      <c r="D398" s="10">
        <f>D393/D397</f>
        <v>0.88524590163934425</v>
      </c>
      <c r="E398" s="10">
        <f>E394/E397</f>
        <v>0.62052730696798497</v>
      </c>
      <c r="F398" s="10">
        <f>F395/F397</f>
        <v>0.90491283676703649</v>
      </c>
      <c r="G398" s="10">
        <f>G396/G397</f>
        <v>0.99578947368421056</v>
      </c>
      <c r="H398" s="10"/>
      <c r="I398" s="14">
        <f>(C392+D393+E394+F395+G396)/H397</f>
        <v>0.82747372236317507</v>
      </c>
    </row>
    <row r="399" spans="1:40" x14ac:dyDescent="0.3">
      <c r="B399" s="1" t="s">
        <v>14</v>
      </c>
      <c r="C399" s="11">
        <f>1-C398</f>
        <v>3.6363636363636376E-2</v>
      </c>
      <c r="D399" s="11">
        <f>1-D398</f>
        <v>0.11475409836065575</v>
      </c>
      <c r="E399" s="11">
        <f>1-E398</f>
        <v>0.37947269303201503</v>
      </c>
      <c r="F399" s="11">
        <f>1-F398</f>
        <v>9.5087163232963512E-2</v>
      </c>
      <c r="G399" s="11">
        <f>1-G398</f>
        <v>4.2105263157894424E-3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3.4221589696956482E-2</v>
      </c>
      <c r="D403" s="31">
        <f>(D392/$L403)*$O403</f>
        <v>0</v>
      </c>
      <c r="E403" s="31">
        <f>(E392/$L403)*$O403</f>
        <v>0.25698476791299396</v>
      </c>
      <c r="F403" s="31">
        <f>(F392/$L403)*$O403</f>
        <v>0</v>
      </c>
      <c r="G403" s="32">
        <f>(G392/$L403)*$O403</f>
        <v>0</v>
      </c>
      <c r="H403" s="17">
        <f>SUM(C403:G403)</f>
        <v>0.29120635760995045</v>
      </c>
      <c r="I403" s="17">
        <f>C403/H403*100</f>
        <v>11.751662971175165</v>
      </c>
      <c r="J403" s="17">
        <f>SQRT(I403*(100-I403)/(L403-1))</f>
        <v>1.5180870378571307</v>
      </c>
      <c r="K403" s="18">
        <f>100-I403</f>
        <v>88.248337028824835</v>
      </c>
      <c r="L403" s="1">
        <f>H392</f>
        <v>451</v>
      </c>
      <c r="M403">
        <v>0</v>
      </c>
      <c r="N403" s="1">
        <v>269.95999999999998</v>
      </c>
      <c r="O403" s="17">
        <f>N403/N408*100</f>
        <v>0.29120635760995045</v>
      </c>
      <c r="P403" s="52">
        <f>((O403*O403*(I403/100)*(K403/100))/(L403-1))</f>
        <v>1.9543171746413473E-5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49">(C393/$L404)*$O404</f>
        <v>0</v>
      </c>
      <c r="D404" s="34">
        <f t="shared" si="49"/>
        <v>0.9654256860194752</v>
      </c>
      <c r="E404" s="19">
        <f t="shared" si="49"/>
        <v>3.5756506889610191E-2</v>
      </c>
      <c r="F404" s="18">
        <f t="shared" si="49"/>
        <v>0</v>
      </c>
      <c r="G404" s="20">
        <f t="shared" si="49"/>
        <v>1.7878253444805096E-2</v>
      </c>
      <c r="H404" s="17">
        <f>SUM(C404:G404)</f>
        <v>1.0190604463538906</v>
      </c>
      <c r="I404" s="17">
        <f>D404/H404*100</f>
        <v>94.73684210526315</v>
      </c>
      <c r="J404" s="17">
        <f>SQRT(I404*(100-I404)/(L404-1))</f>
        <v>2.9839300500728485</v>
      </c>
      <c r="K404" s="18">
        <f>100-I404</f>
        <v>5.2631578947368496</v>
      </c>
      <c r="L404" s="1">
        <f>H393</f>
        <v>57</v>
      </c>
      <c r="M404">
        <v>1</v>
      </c>
      <c r="N404" s="1">
        <v>944.71</v>
      </c>
      <c r="O404" s="17">
        <f>N404/N408*100</f>
        <v>1.0190604463538906</v>
      </c>
      <c r="P404" s="52">
        <f>((O404*O404*(I404/100)*(K404/100))/(L404-1))</f>
        <v>9.2464955875612681E-4</v>
      </c>
    </row>
    <row r="405" spans="1:40" x14ac:dyDescent="0.3">
      <c r="A405" t="s">
        <v>5</v>
      </c>
      <c r="B405" s="13">
        <v>2</v>
      </c>
      <c r="C405" s="33">
        <f t="shared" si="49"/>
        <v>0</v>
      </c>
      <c r="D405" s="19">
        <f t="shared" si="49"/>
        <v>0</v>
      </c>
      <c r="E405" s="34">
        <f t="shared" si="49"/>
        <v>59.396264617546279</v>
      </c>
      <c r="F405" s="19">
        <f t="shared" si="49"/>
        <v>9.013090230280163E-2</v>
      </c>
      <c r="G405" s="20">
        <f t="shared" si="49"/>
        <v>0</v>
      </c>
      <c r="H405" s="17">
        <f>SUM(C405:G405)</f>
        <v>59.486395519849083</v>
      </c>
      <c r="I405" s="17">
        <f>E405/H405*100</f>
        <v>99.848484848484844</v>
      </c>
      <c r="J405" s="17">
        <f>SQRT(I405*(100-I405)/(L405-1))</f>
        <v>0.15151515151515368</v>
      </c>
      <c r="K405" s="18">
        <f>100-I405</f>
        <v>0.15151515151515582</v>
      </c>
      <c r="L405" s="1">
        <f>H394</f>
        <v>660</v>
      </c>
      <c r="M405">
        <v>2</v>
      </c>
      <c r="N405" s="1">
        <v>55146.28</v>
      </c>
      <c r="O405" s="17">
        <f>N405/N408*100</f>
        <v>59.486395519849076</v>
      </c>
      <c r="P405" s="52">
        <f>((O405*O405*(I405/100)*(K405/100))/(L405-1))</f>
        <v>8.1235795499174038E-3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49"/>
        <v>0.11212268214148205</v>
      </c>
      <c r="D406" s="19">
        <f t="shared" si="49"/>
        <v>0.16818402321222306</v>
      </c>
      <c r="E406" s="19">
        <f t="shared" si="49"/>
        <v>0.16818402321222306</v>
      </c>
      <c r="F406" s="34">
        <f t="shared" si="49"/>
        <v>32.01102575139312</v>
      </c>
      <c r="G406" s="20">
        <f t="shared" si="49"/>
        <v>0.16818402321222306</v>
      </c>
      <c r="H406" s="17">
        <f>SUM(C406:G406)</f>
        <v>32.627700503171269</v>
      </c>
      <c r="I406" s="17">
        <f>F406/H406*100</f>
        <v>98.109965635738831</v>
      </c>
      <c r="J406" s="17">
        <f>SQRT(I406*(100-I406)/(L406-1))</f>
        <v>0.5649413271715471</v>
      </c>
      <c r="K406" s="18">
        <f>100-I406</f>
        <v>1.8900343642611688</v>
      </c>
      <c r="L406" s="1">
        <f>H395</f>
        <v>582</v>
      </c>
      <c r="M406">
        <v>3</v>
      </c>
      <c r="N406" s="1">
        <v>30247.19</v>
      </c>
      <c r="O406" s="17">
        <f>N406/N408*100</f>
        <v>32.627700503171276</v>
      </c>
      <c r="P406" s="52">
        <f>((O406*O406*(I406/100)*(K406/100))/(L406-1))</f>
        <v>3.3976577210678774E-2</v>
      </c>
    </row>
    <row r="407" spans="1:40" x14ac:dyDescent="0.3">
      <c r="A407" t="s">
        <v>7</v>
      </c>
      <c r="B407" s="13">
        <v>4</v>
      </c>
      <c r="C407" s="35">
        <f t="shared" si="49"/>
        <v>0</v>
      </c>
      <c r="D407" s="36">
        <f t="shared" si="49"/>
        <v>2.6067937256752421E-2</v>
      </c>
      <c r="E407" s="21">
        <f t="shared" si="49"/>
        <v>0</v>
      </c>
      <c r="F407" s="21">
        <f t="shared" si="49"/>
        <v>0.38450207453709823</v>
      </c>
      <c r="G407" s="37">
        <f t="shared" si="49"/>
        <v>6.1650671612219483</v>
      </c>
      <c r="H407" s="17">
        <f>SUM(C407:G407)</f>
        <v>6.5756371730157994</v>
      </c>
      <c r="I407" s="17">
        <f>G407/H407*100</f>
        <v>93.756194251734385</v>
      </c>
      <c r="J407" s="17">
        <f>SQRT(I407*(100-I407)/(L407-1))</f>
        <v>0.76206920214220542</v>
      </c>
      <c r="K407" s="18">
        <f>100-I407</f>
        <v>6.2438057482656149</v>
      </c>
      <c r="L407" s="1">
        <f>H396</f>
        <v>1009</v>
      </c>
      <c r="M407">
        <v>4</v>
      </c>
      <c r="N407" s="1">
        <v>6095.88</v>
      </c>
      <c r="O407" s="17">
        <f>N407/N408*100</f>
        <v>6.5756371730157985</v>
      </c>
      <c r="P407" s="52">
        <f>((O407*O407*(I407/100)*(K407/100))/(L407-1))</f>
        <v>2.5111028740999785E-3</v>
      </c>
      <c r="AM407" s="78"/>
      <c r="AN407" s="78"/>
    </row>
    <row r="408" spans="1:40" x14ac:dyDescent="0.3">
      <c r="B408" t="s">
        <v>28</v>
      </c>
      <c r="C408" s="17">
        <f t="shared" ref="C408:H408" si="50">SUM(C403:C407)</f>
        <v>0.14634427183843854</v>
      </c>
      <c r="D408" s="17">
        <f t="shared" si="50"/>
        <v>1.1596776464884508</v>
      </c>
      <c r="E408" s="17">
        <f t="shared" si="50"/>
        <v>59.857189915561101</v>
      </c>
      <c r="F408" s="17">
        <f t="shared" si="50"/>
        <v>32.48565872823302</v>
      </c>
      <c r="G408" s="17">
        <f t="shared" si="50"/>
        <v>6.3511294378789769</v>
      </c>
      <c r="H408" s="18">
        <f t="shared" si="50"/>
        <v>100</v>
      </c>
      <c r="I408" s="13" t="s">
        <v>24</v>
      </c>
      <c r="J408" s="12" t="s">
        <v>29</v>
      </c>
      <c r="N408" s="1">
        <f>SUM(N403:N407)</f>
        <v>92704.02</v>
      </c>
      <c r="O408" s="17">
        <f>SUM(O403:O407)</f>
        <v>99.999999999999986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7.9269459792135025E-2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0.10226269722145762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0.13463886979427259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0.2106863549438607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0.11046564751992699</v>
      </c>
      <c r="H409" s="1"/>
      <c r="I409" s="56">
        <f>(C403+D404+E405+F406+G407)/H408</f>
        <v>0.98572004805877778</v>
      </c>
      <c r="J409" s="53">
        <f>SQRT(SUM(P403:P407))/100</f>
        <v>2.1343723284656477E-3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23.384304193837192</v>
      </c>
      <c r="D410" s="17">
        <f>D404/D408*100</f>
        <v>83.249486522640296</v>
      </c>
      <c r="E410" s="17">
        <f>E405/E408*100</f>
        <v>99.229958341403872</v>
      </c>
      <c r="F410" s="17">
        <f>F406/F408*100</f>
        <v>98.538946121392939</v>
      </c>
      <c r="G410" s="17">
        <f>G407/G408*100</f>
        <v>97.070406476880649</v>
      </c>
      <c r="H410" s="1"/>
    </row>
    <row r="411" spans="1:40" x14ac:dyDescent="0.3">
      <c r="B411" s="16" t="s">
        <v>39</v>
      </c>
      <c r="C411" s="18">
        <f>SQRT((C414+C415)/(C408*C408))</f>
        <v>231.78646945481498</v>
      </c>
      <c r="D411" s="18">
        <f>SQRT((D414+D415)/(D408*D408))</f>
        <v>8.2816457183626166</v>
      </c>
      <c r="E411" s="18">
        <f>SQRT((E414+E415)/(E408*E408))</f>
        <v>0.16654261440292603</v>
      </c>
      <c r="F411" s="18">
        <f>SQRT((F414+F415)/(F408*F408))</f>
        <v>0.32147534064542371</v>
      </c>
      <c r="G411" s="18">
        <f>SQRT((G414+G415)/(G408*G408))</f>
        <v>1.5241501541330629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76.615695806162805</v>
      </c>
      <c r="D412" s="18">
        <f>100-D410</f>
        <v>16.750513477359704</v>
      </c>
      <c r="E412" s="18">
        <f>100-E410</f>
        <v>0.77004165859612783</v>
      </c>
      <c r="F412" s="18">
        <f>100-F410</f>
        <v>1.4610538786070606</v>
      </c>
      <c r="G412" s="18">
        <f>100-G410</f>
        <v>2.9295935231193511</v>
      </c>
    </row>
    <row r="413" spans="1:40" ht="15.6" x14ac:dyDescent="0.35">
      <c r="B413" s="1" t="s">
        <v>25</v>
      </c>
      <c r="C413" s="1">
        <f>C397</f>
        <v>55</v>
      </c>
      <c r="D413" s="1">
        <f>D397</f>
        <v>61</v>
      </c>
      <c r="E413" s="1">
        <f>E397</f>
        <v>1062</v>
      </c>
      <c r="F413" s="1">
        <f>F397</f>
        <v>631</v>
      </c>
      <c r="G413" s="1">
        <f>G397</f>
        <v>950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1147.1773108901348</v>
      </c>
      <c r="D414" s="18">
        <f>(O404*O404*(100-D410)*(100-D410)*(I404)*(100-I404))/((L404-1)*100)</f>
        <v>25.943789742387967</v>
      </c>
      <c r="E414" s="18">
        <f>(O405*O405*(100-E410)*(100-E410)*(I405)*(100-I405))/((L405-1)*100)</f>
        <v>0.48169914913001588</v>
      </c>
      <c r="F414" s="18">
        <f>(O406*O406*(100-F410)*(100-F410)*(I406)*(100-I406))/((L406-1)*100)</f>
        <v>7.2529066707273495</v>
      </c>
      <c r="G414" s="18">
        <f>(O407*O407*(100-G410)*(100-G410)*(I407)*(100-I407))/((L407-1)*100)</f>
        <v>2.1551586145911337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3.4312923787490024</v>
      </c>
      <c r="D415" s="18">
        <f>D410*D410*(SUM((H403*D403*(1-D392/H392))/(H392-1),(H405*D405*(1-D394/H394))/(H394-1), (H406*D406*(1-D395/H395))/(H395-1),(H407*D407*(1-D396/H396))/(H396-1)))</f>
        <v>66.293783356352193</v>
      </c>
      <c r="E415" s="18">
        <f>E410*E410*(SUM((H403*E403*(1-E392/H392))/(H392-1),(H404*E404*(1-E393/H393))/(H393-1), (H406*E406*(1-E395/H395))/(H395-1),(H407*E407*(1-E396/H396))/(H396-1)))</f>
        <v>98.894733969685092</v>
      </c>
      <c r="F415" s="18">
        <f>F410*F410*(SUM((H403*F403*(1-F392/H392))/(H392-1),(H404*F404*(1-F393/H393))/(H393-1), (H405*F405*(1-F394/H394))/(H394-1),(H407*F407*(1-F396/H396))/(H396-1)))</f>
        <v>101.81040620894383</v>
      </c>
      <c r="G415" s="18">
        <f>G410*G410*(SUM((H403*G403*(1-G392/H392))/(H392-1),(H404*G404*(1-G393/H393))/(H393-1), (H405*G405*(1-G394/H394))/(H394-1),(H406*G406*(1-G395/H395))/(H395-1)))</f>
        <v>91.548691680802278</v>
      </c>
      <c r="AM415" s="78"/>
      <c r="AN415" s="78"/>
    </row>
    <row r="417" spans="1:40" x14ac:dyDescent="0.3">
      <c r="AM417" s="78"/>
      <c r="AN417" s="78"/>
    </row>
    <row r="418" spans="1:40" x14ac:dyDescent="0.3">
      <c r="A418" s="348" t="s">
        <v>384</v>
      </c>
      <c r="B418" s="348"/>
      <c r="C418" s="348"/>
      <c r="D418" s="348"/>
      <c r="E418" s="348"/>
      <c r="F418" s="348"/>
      <c r="G418" s="348"/>
      <c r="H418" s="348"/>
      <c r="I418" s="348"/>
      <c r="J418" s="348"/>
      <c r="K418" s="348"/>
      <c r="L418" s="348" t="s">
        <v>87</v>
      </c>
      <c r="M418" s="348"/>
      <c r="N418" s="348"/>
      <c r="O418" s="348"/>
      <c r="P418" s="348"/>
    </row>
    <row r="419" spans="1:40" x14ac:dyDescent="0.3">
      <c r="A419" t="s">
        <v>15</v>
      </c>
      <c r="B419" t="s">
        <v>21</v>
      </c>
      <c r="I419" s="1" t="s">
        <v>53</v>
      </c>
      <c r="O419" s="142"/>
      <c r="P419" s="142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51</v>
      </c>
      <c r="O420" s="13"/>
      <c r="P420" s="13"/>
    </row>
    <row r="421" spans="1:40" x14ac:dyDescent="0.3">
      <c r="A421" t="s">
        <v>3</v>
      </c>
      <c r="B421" s="13">
        <v>0</v>
      </c>
      <c r="C421" s="26">
        <v>50</v>
      </c>
      <c r="D421" s="3">
        <v>0</v>
      </c>
      <c r="E421" s="3">
        <v>401</v>
      </c>
      <c r="F421" s="3">
        <v>0</v>
      </c>
      <c r="G421" s="4">
        <v>0</v>
      </c>
      <c r="H421" s="1">
        <f>SUM(C421:G421)</f>
        <v>451</v>
      </c>
      <c r="I421" s="10">
        <f>C421/H421</f>
        <v>0.11086474501108648</v>
      </c>
      <c r="J421" s="11">
        <f>1-I421</f>
        <v>0.88913525498891355</v>
      </c>
      <c r="K421">
        <f>H421-C426</f>
        <v>399</v>
      </c>
      <c r="N421" s="10">
        <f>2*(C427*I421)/(C427+I421)</f>
        <v>0.19880715705765406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54</v>
      </c>
      <c r="E422" s="1">
        <v>3</v>
      </c>
      <c r="F422" s="1">
        <v>0</v>
      </c>
      <c r="G422" s="6">
        <v>0</v>
      </c>
      <c r="H422" s="1">
        <f>SUM(C422:G422)</f>
        <v>57</v>
      </c>
      <c r="I422" s="10">
        <f>D422/H422</f>
        <v>0.94736842105263153</v>
      </c>
      <c r="J422" s="11">
        <f>1-I422</f>
        <v>5.2631578947368474E-2</v>
      </c>
      <c r="K422">
        <f>H422-D426</f>
        <v>-5</v>
      </c>
      <c r="N422" s="10">
        <f>2*(D427*I422)/(D427+I422)</f>
        <v>0.90756302521008392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3</v>
      </c>
      <c r="E423" s="27">
        <v>655</v>
      </c>
      <c r="F423" s="1">
        <v>2</v>
      </c>
      <c r="G423" s="6">
        <v>0</v>
      </c>
      <c r="H423" s="1">
        <f>SUM(C423:G423)</f>
        <v>660</v>
      </c>
      <c r="I423" s="10">
        <f>E423/H423</f>
        <v>0.99242424242424243</v>
      </c>
      <c r="J423" s="11">
        <f>1-I423</f>
        <v>7.575757575757569E-3</v>
      </c>
      <c r="K423">
        <f>H423-E426</f>
        <v>-402</v>
      </c>
      <c r="N423" s="10">
        <f>2*(E427*I423)/(E427+I423)</f>
        <v>0.76074332171893133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2</v>
      </c>
      <c r="D424" s="1">
        <v>2</v>
      </c>
      <c r="E424" s="1">
        <v>3</v>
      </c>
      <c r="F424" s="27">
        <v>571</v>
      </c>
      <c r="G424" s="6">
        <v>4</v>
      </c>
      <c r="H424" s="1">
        <f>SUM(C424:G424)</f>
        <v>582</v>
      </c>
      <c r="I424" s="10">
        <f>F424/H424</f>
        <v>0.98109965635738827</v>
      </c>
      <c r="J424" s="11">
        <f>1-I424</f>
        <v>1.8900343642611728E-2</v>
      </c>
      <c r="K424">
        <f>H424-F426</f>
        <v>-48</v>
      </c>
      <c r="N424" s="10">
        <f>2*(F427*I424)/(F427+I424)</f>
        <v>0.94224422442244227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3</v>
      </c>
      <c r="E425" s="8">
        <v>0</v>
      </c>
      <c r="F425" s="8">
        <v>57</v>
      </c>
      <c r="G425" s="28">
        <v>949</v>
      </c>
      <c r="H425" s="1">
        <f>SUM(C425:G425)</f>
        <v>1009</v>
      </c>
      <c r="I425" s="10">
        <f>G425/H425</f>
        <v>0.94053518334985131</v>
      </c>
      <c r="J425" s="11">
        <f>1-I425</f>
        <v>5.9464816650148689E-2</v>
      </c>
      <c r="K425">
        <f>H425-G426</f>
        <v>56</v>
      </c>
      <c r="N425" s="10">
        <f>2*(G427*I425)/(G427+I425)</f>
        <v>0.96738022426095827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52</v>
      </c>
      <c r="D426" s="1">
        <f>SUM(D421:D425)</f>
        <v>62</v>
      </c>
      <c r="E426" s="1">
        <f>SUM(E421:E425)</f>
        <v>1062</v>
      </c>
      <c r="F426" s="1">
        <f>SUM(F421:F425)</f>
        <v>630</v>
      </c>
      <c r="G426" s="1">
        <f>SUM(G421:G425)</f>
        <v>953</v>
      </c>
      <c r="H426" s="1">
        <f>SUM(H420:H425)</f>
        <v>2759</v>
      </c>
      <c r="I426" s="13" t="s">
        <v>12</v>
      </c>
      <c r="N426" s="16"/>
      <c r="O426" s="1"/>
      <c r="P426" s="1"/>
    </row>
    <row r="427" spans="1:40" x14ac:dyDescent="0.3">
      <c r="A427" s="1" t="s">
        <v>52</v>
      </c>
      <c r="B427" s="1" t="s">
        <v>2</v>
      </c>
      <c r="C427" s="10">
        <f>C421/C426</f>
        <v>0.96153846153846156</v>
      </c>
      <c r="D427" s="10">
        <f>D422/D426</f>
        <v>0.87096774193548387</v>
      </c>
      <c r="E427" s="10">
        <f>E423/E426</f>
        <v>0.6167608286252354</v>
      </c>
      <c r="F427" s="10">
        <f>F424/F426</f>
        <v>0.90634920634920635</v>
      </c>
      <c r="G427" s="10">
        <f>G425/G426</f>
        <v>0.99580272822665272</v>
      </c>
      <c r="H427" s="10"/>
      <c r="I427" s="14">
        <f>(C421+D422+E423+F424+G425)/H426</f>
        <v>0.82602392171076477</v>
      </c>
      <c r="AM427" s="78"/>
      <c r="AN427" s="78"/>
    </row>
    <row r="428" spans="1:40" x14ac:dyDescent="0.3">
      <c r="B428" s="1" t="s">
        <v>14</v>
      </c>
      <c r="C428" s="11">
        <f>1-C427</f>
        <v>3.8461538461538436E-2</v>
      </c>
      <c r="D428" s="11">
        <f>1-D427</f>
        <v>0.12903225806451613</v>
      </c>
      <c r="E428" s="11">
        <f>1-E427</f>
        <v>0.3832391713747646</v>
      </c>
      <c r="F428" s="11">
        <f>1-F427</f>
        <v>9.3650793650793651E-2</v>
      </c>
      <c r="G428" s="11">
        <f>1-G427</f>
        <v>4.1972717733472775E-3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3.0292149047374869E-2</v>
      </c>
      <c r="D432" s="31">
        <f>(D421/$L432)*$O432</f>
        <v>0</v>
      </c>
      <c r="E432" s="31">
        <f>(E421/$L432)*$O432</f>
        <v>0.24294303535994644</v>
      </c>
      <c r="F432" s="31">
        <f>(F421/$L432)*$O432</f>
        <v>0</v>
      </c>
      <c r="G432" s="32">
        <f>(G421/$L432)*$O432</f>
        <v>0</v>
      </c>
      <c r="H432" s="17">
        <f>SUM(C432:G432)</f>
        <v>0.27323518440732131</v>
      </c>
      <c r="I432" s="17">
        <f>C432/H432*100</f>
        <v>11.086474501108649</v>
      </c>
      <c r="J432" s="17">
        <f>SQRT(I432*(100-I432)/(L432-1))</f>
        <v>1.4800431924982105</v>
      </c>
      <c r="K432" s="18">
        <f>100-I432</f>
        <v>88.913525498891346</v>
      </c>
      <c r="L432" s="1">
        <f>H421</f>
        <v>451</v>
      </c>
      <c r="M432">
        <v>0</v>
      </c>
      <c r="N432" s="1">
        <v>253.3</v>
      </c>
      <c r="O432" s="17">
        <f>N432/N437*100</f>
        <v>0.27323518440732131</v>
      </c>
      <c r="P432" s="52">
        <f>((O432*O432*(I432/100)*(K432/100))/(L432-1))</f>
        <v>1.6353925860322584E-5</v>
      </c>
    </row>
    <row r="433" spans="1:40" x14ac:dyDescent="0.3">
      <c r="A433" t="s">
        <v>4</v>
      </c>
      <c r="B433" s="13">
        <v>1</v>
      </c>
      <c r="C433" s="33">
        <f t="shared" ref="C433:G436" si="51">(C422/$L433)*$O433</f>
        <v>0</v>
      </c>
      <c r="D433" s="34">
        <f t="shared" si="51"/>
        <v>0.90242381926343296</v>
      </c>
      <c r="E433" s="19">
        <f t="shared" si="51"/>
        <v>5.0134656625746274E-2</v>
      </c>
      <c r="F433" s="18">
        <f t="shared" si="51"/>
        <v>0</v>
      </c>
      <c r="G433" s="20">
        <f t="shared" si="51"/>
        <v>0</v>
      </c>
      <c r="H433" s="17">
        <f>SUM(C433:G433)</f>
        <v>0.95255847588917919</v>
      </c>
      <c r="I433" s="17">
        <f>D433/H433*100</f>
        <v>94.736842105263165</v>
      </c>
      <c r="J433" s="17">
        <f>SQRT(I433*(100-I433)/(L433-1))</f>
        <v>2.983930050072845</v>
      </c>
      <c r="K433" s="18">
        <f>100-I433</f>
        <v>5.2631578947368354</v>
      </c>
      <c r="L433" s="1">
        <f>H422</f>
        <v>57</v>
      </c>
      <c r="M433">
        <v>1</v>
      </c>
      <c r="N433" s="1">
        <v>883.06</v>
      </c>
      <c r="O433" s="17">
        <f>N433/N437*100</f>
        <v>0.9525584758891793</v>
      </c>
      <c r="P433" s="52">
        <f>((O433*O433*(I433/100)*(K433/100))/(L433-1))</f>
        <v>8.0790550552976219E-4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51"/>
        <v>0</v>
      </c>
      <c r="D434" s="19">
        <f t="shared" si="51"/>
        <v>0.27107106329075342</v>
      </c>
      <c r="E434" s="34">
        <f t="shared" si="51"/>
        <v>59.183848818481167</v>
      </c>
      <c r="F434" s="19">
        <f t="shared" si="51"/>
        <v>0.18071404219383563</v>
      </c>
      <c r="G434" s="20">
        <f t="shared" si="51"/>
        <v>0</v>
      </c>
      <c r="H434" s="17">
        <f>SUM(C434:G434)</f>
        <v>59.635633923965756</v>
      </c>
      <c r="I434" s="17">
        <f>E434/H434*100</f>
        <v>99.242424242424249</v>
      </c>
      <c r="J434" s="17">
        <f>SQRT(I434*(100-I434)/(L434-1))</f>
        <v>0.33776839432968786</v>
      </c>
      <c r="K434" s="18">
        <f>100-I434</f>
        <v>0.75757575757575069</v>
      </c>
      <c r="L434" s="1">
        <f>H423</f>
        <v>660</v>
      </c>
      <c r="M434">
        <v>2</v>
      </c>
      <c r="N434" s="1">
        <v>55284.63</v>
      </c>
      <c r="O434" s="17">
        <f>N434/N437*100</f>
        <v>59.635633923965756</v>
      </c>
      <c r="P434" s="52">
        <f>((O434*O434*(I434/100)*(K434/100))/(L434-1))</f>
        <v>4.0574175085646806E-2</v>
      </c>
    </row>
    <row r="435" spans="1:40" x14ac:dyDescent="0.3">
      <c r="A435" t="s">
        <v>6</v>
      </c>
      <c r="B435" s="13">
        <v>3</v>
      </c>
      <c r="C435" s="33">
        <f t="shared" si="51"/>
        <v>0.11252776991011185</v>
      </c>
      <c r="D435" s="19">
        <f t="shared" si="51"/>
        <v>0.11252776991011185</v>
      </c>
      <c r="E435" s="19">
        <f t="shared" si="51"/>
        <v>0.16879165486516778</v>
      </c>
      <c r="F435" s="34">
        <f t="shared" si="51"/>
        <v>32.126678309336931</v>
      </c>
      <c r="G435" s="20">
        <f t="shared" si="51"/>
        <v>0.22505553982022369</v>
      </c>
      <c r="H435" s="17">
        <f>SUM(C435:G435)</f>
        <v>32.745581043842549</v>
      </c>
      <c r="I435" s="17">
        <f>F435/H435*100</f>
        <v>98.109965635738831</v>
      </c>
      <c r="J435" s="17">
        <f>SQRT(I435*(100-I435)/(L435-1))</f>
        <v>0.5649413271715471</v>
      </c>
      <c r="K435" s="18">
        <f>100-I435</f>
        <v>1.8900343642611688</v>
      </c>
      <c r="L435" s="1">
        <f>H424</f>
        <v>582</v>
      </c>
      <c r="M435">
        <v>3</v>
      </c>
      <c r="N435" s="1">
        <v>30356.47</v>
      </c>
      <c r="O435" s="17">
        <f>N435/N437*100</f>
        <v>32.745581043842549</v>
      </c>
      <c r="P435" s="52">
        <f>((O435*O435*(I435/100)*(K435/100))/(L435-1))</f>
        <v>3.4222528496094425E-2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51"/>
        <v>0</v>
      </c>
      <c r="D436" s="36">
        <f t="shared" si="51"/>
        <v>1.9007902988786522E-2</v>
      </c>
      <c r="E436" s="21">
        <f t="shared" si="51"/>
        <v>0</v>
      </c>
      <c r="F436" s="21">
        <f t="shared" si="51"/>
        <v>0.3611501567869439</v>
      </c>
      <c r="G436" s="37">
        <f t="shared" si="51"/>
        <v>6.0128333121194695</v>
      </c>
      <c r="H436" s="17">
        <f>SUM(C436:G436)</f>
        <v>6.3929913718952003</v>
      </c>
      <c r="I436" s="17">
        <f>G436/H436*100</f>
        <v>94.053518334985128</v>
      </c>
      <c r="J436" s="17">
        <f>SQRT(I436*(100-I436)/(L436-1))</f>
        <v>0.744881690236465</v>
      </c>
      <c r="K436" s="18">
        <f>100-I436</f>
        <v>5.946481665014872</v>
      </c>
      <c r="L436" s="1">
        <f>H425</f>
        <v>1009</v>
      </c>
      <c r="M436">
        <v>4</v>
      </c>
      <c r="N436" s="1">
        <v>5926.56</v>
      </c>
      <c r="O436" s="17">
        <f>N436/N437*100</f>
        <v>6.3929913718952003</v>
      </c>
      <c r="P436" s="52">
        <f>((O436*O436*(I436/100)*(K436/100))/(L436-1))</f>
        <v>2.2676855612006135E-3</v>
      </c>
    </row>
    <row r="437" spans="1:40" x14ac:dyDescent="0.3">
      <c r="B437" t="s">
        <v>28</v>
      </c>
      <c r="C437" s="17">
        <f t="shared" ref="C437:H437" si="52">SUM(C432:C436)</f>
        <v>0.14281991895748672</v>
      </c>
      <c r="D437" s="17">
        <f t="shared" si="52"/>
        <v>1.305030555453085</v>
      </c>
      <c r="E437" s="17">
        <f t="shared" si="52"/>
        <v>59.645718165332028</v>
      </c>
      <c r="F437" s="17">
        <f t="shared" si="52"/>
        <v>32.668542508317707</v>
      </c>
      <c r="G437" s="17">
        <f t="shared" si="52"/>
        <v>6.2378888519396929</v>
      </c>
      <c r="H437" s="18">
        <f t="shared" si="52"/>
        <v>100.00000000000001</v>
      </c>
      <c r="I437" s="13" t="s">
        <v>24</v>
      </c>
      <c r="J437" s="12" t="s">
        <v>29</v>
      </c>
      <c r="N437" s="1">
        <f>SUM(N432:N436)</f>
        <v>92704.01999999999</v>
      </c>
      <c r="O437" s="17">
        <f>SUM(O432:O436)</f>
        <v>100.00000000000001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7.9534962712758034E-2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0.17777834770151865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0.22532347801007582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0.2293512544942502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0.12182327207543656</v>
      </c>
      <c r="H438" s="1"/>
      <c r="I438" s="56">
        <f>(C432+D433+E434+F435+G436)/H437</f>
        <v>0.98256076408248361</v>
      </c>
      <c r="J438" s="53">
        <f>SQRT(SUM(P432:P436))/100</f>
        <v>2.7908537864662834E-3</v>
      </c>
      <c r="M438" s="1"/>
      <c r="N438" s="9"/>
    </row>
    <row r="439" spans="1:40" x14ac:dyDescent="0.3">
      <c r="B439" s="1" t="s">
        <v>30</v>
      </c>
      <c r="C439" s="17">
        <f>C432/C437*100</f>
        <v>21.210030973615066</v>
      </c>
      <c r="D439" s="17">
        <f>D433/D437*100</f>
        <v>69.149631439098854</v>
      </c>
      <c r="E439" s="17">
        <f>E434/E437*100</f>
        <v>99.225645425928803</v>
      </c>
      <c r="F439" s="17">
        <f>F435/F437*100</f>
        <v>98.341327291100271</v>
      </c>
      <c r="G439" s="17">
        <f>G436/G437*100</f>
        <v>96.392120071997738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223.40889719044739</v>
      </c>
      <c r="D440" s="18">
        <f>SQRT((D443+D444)/(D437*D437))</f>
        <v>11.479964562766456</v>
      </c>
      <c r="E440" s="18">
        <f>SQRT((E443+E444)/(E437*E437))</f>
        <v>0.17075491353343458</v>
      </c>
      <c r="F440" s="18">
        <f>SQRT((F443+F444)/(F437*F437))</f>
        <v>0.4197006211383475</v>
      </c>
      <c r="G440" s="18">
        <f>SQRT((G443+G444)/(G437*G437))</f>
        <v>1.7560943637569957</v>
      </c>
      <c r="H440" s="1"/>
    </row>
    <row r="441" spans="1:40" x14ac:dyDescent="0.3">
      <c r="B441" s="1" t="s">
        <v>37</v>
      </c>
      <c r="C441" s="18">
        <f>100-C439</f>
        <v>78.789969026384938</v>
      </c>
      <c r="D441" s="18">
        <f>100-D439</f>
        <v>30.850368560901146</v>
      </c>
      <c r="E441" s="18">
        <f>100-E439</f>
        <v>0.77435457407119657</v>
      </c>
      <c r="F441" s="18">
        <f>100-F439</f>
        <v>1.6586727088997293</v>
      </c>
      <c r="G441" s="18">
        <f>100-G439</f>
        <v>3.6078799280022622</v>
      </c>
      <c r="AM441" s="78"/>
      <c r="AN441" s="78"/>
    </row>
    <row r="442" spans="1:40" ht="15.6" x14ac:dyDescent="0.35">
      <c r="B442" s="1" t="s">
        <v>25</v>
      </c>
      <c r="C442" s="1">
        <f>C426</f>
        <v>52</v>
      </c>
      <c r="D442" s="1">
        <f>D426</f>
        <v>62</v>
      </c>
      <c r="E442" s="1">
        <f>E426</f>
        <v>1062</v>
      </c>
      <c r="F442" s="1">
        <f>F426</f>
        <v>630</v>
      </c>
      <c r="G442" s="1">
        <f>G426</f>
        <v>953</v>
      </c>
    </row>
    <row r="443" spans="1:40" x14ac:dyDescent="0.3">
      <c r="B443" s="1" t="s">
        <v>34</v>
      </c>
      <c r="C443" s="18">
        <f>(O432*O432*(100-C439)*(100-C439)*(I432)*(100-I432))/(L432-1)</f>
        <v>1015.2286942176844</v>
      </c>
      <c r="D443" s="18">
        <f>(O433*O433*(100-D439)*(100-D439)*(I433)*(100-I433))/((L433-1)*100)</f>
        <v>76.892021953521009</v>
      </c>
      <c r="E443" s="18">
        <f>(O434*O434*(100-E439)*(100-E439)*(I434)*(100-I434))/((L434-1)*100)</f>
        <v>2.4329289994796435</v>
      </c>
      <c r="F443" s="18">
        <f>(O435*O435*(100-F439)*(100-F439)*(I435)*(100-I435))/((L435-1)*100)</f>
        <v>9.4152854598817868</v>
      </c>
      <c r="G443" s="18">
        <f>(O436*O436*(100-G439)*(100-G439)*(I436)*(100-I436))/((L436-1)*100)</f>
        <v>2.9518003913630193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2.8433079220066828</v>
      </c>
      <c r="D444" s="18">
        <f>D439*D439*(SUM((H432*D432*(1-D421/H421))/(H421-1),(H434*D434*(1-D423/H423))/(H423-1), (H435*D435*(1-D424/H424))/(H424-1),(H436*D436*(1-D425/H425))/(H425-1)))</f>
        <v>147.55944866856939</v>
      </c>
      <c r="E444" s="18">
        <f>E439*E439*(SUM((H432*E432*(1-E421/H421))/(H421-1),(H433*E433*(1-E422/H422))/(H422-1), (H435*E435*(1-E424/H424))/(H424-1),(H436*E436*(1-E425/H425))/(H425-1)))</f>
        <v>101.29721079570457</v>
      </c>
      <c r="F444" s="18">
        <f>F439*F439*(SUM((H432*F432*(1-F421/H421))/(H421-1),(H433*F433*(1-F422/H422))/(H422-1), (H434*F434*(1-F423/H423))/(H423-1),(H436*F436*(1-F425/H425))/(H425-1)))</f>
        <v>178.57644346544643</v>
      </c>
      <c r="G444" s="18">
        <f>G439*G439*(SUM((H432*G432*(1-G421/H421))/(H421-1),(H433*G433*(1-G422/H422))/(H422-1), (H434*G434*(1-G423/H423))/(H423-1),(H435*G435*(1-G424/H424))/(H424-1)))</f>
        <v>117.04535814008933</v>
      </c>
    </row>
    <row r="445" spans="1:40" x14ac:dyDescent="0.3">
      <c r="AM445" s="78"/>
      <c r="AN445" s="78"/>
    </row>
    <row r="447" spans="1:40" x14ac:dyDescent="0.3">
      <c r="A447" s="348" t="s">
        <v>384</v>
      </c>
      <c r="B447" s="348"/>
      <c r="C447" s="348"/>
      <c r="D447" s="348"/>
      <c r="E447" s="348"/>
      <c r="F447" s="348"/>
      <c r="G447" s="348"/>
      <c r="H447" s="348"/>
      <c r="I447" s="348"/>
      <c r="J447" s="348"/>
      <c r="K447" s="348"/>
      <c r="L447" s="348" t="s">
        <v>88</v>
      </c>
      <c r="M447" s="348"/>
      <c r="N447" s="348"/>
      <c r="O447" s="348"/>
      <c r="P447" s="348"/>
      <c r="AM447" s="78"/>
      <c r="AN447" s="78"/>
    </row>
    <row r="448" spans="1:40" x14ac:dyDescent="0.3">
      <c r="A448" t="s">
        <v>15</v>
      </c>
      <c r="B448" t="s">
        <v>21</v>
      </c>
      <c r="I448" s="1" t="s">
        <v>53</v>
      </c>
      <c r="O448" s="142"/>
      <c r="P448" s="142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51</v>
      </c>
      <c r="O449" s="13"/>
      <c r="P449" s="13"/>
      <c r="AM449" s="78"/>
      <c r="AN449" s="78"/>
    </row>
    <row r="450" spans="1:40" x14ac:dyDescent="0.3">
      <c r="A450" t="s">
        <v>3</v>
      </c>
      <c r="B450" s="13">
        <v>0</v>
      </c>
      <c r="C450" s="26">
        <v>33</v>
      </c>
      <c r="D450" s="3">
        <v>0</v>
      </c>
      <c r="E450" s="3">
        <v>417</v>
      </c>
      <c r="F450" s="3">
        <v>1</v>
      </c>
      <c r="G450" s="4">
        <v>0</v>
      </c>
      <c r="H450" s="1">
        <f>SUM(C450:G450)</f>
        <v>451</v>
      </c>
      <c r="I450" s="10">
        <f>C450/H450</f>
        <v>7.3170731707317069E-2</v>
      </c>
      <c r="J450" s="11">
        <f>1-I450</f>
        <v>0.92682926829268297</v>
      </c>
      <c r="K450">
        <f>H450-C455</f>
        <v>416</v>
      </c>
      <c r="N450" s="10">
        <f>2*(C456*I450)/(C456+I450)</f>
        <v>0.13580246913580246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54</v>
      </c>
      <c r="E451" s="1">
        <v>2</v>
      </c>
      <c r="F451" s="1">
        <v>0</v>
      </c>
      <c r="G451" s="6">
        <v>1</v>
      </c>
      <c r="H451" s="1">
        <f>SUM(C451:G451)</f>
        <v>57</v>
      </c>
      <c r="I451" s="10">
        <f>D451/H451</f>
        <v>0.94736842105263153</v>
      </c>
      <c r="J451" s="11">
        <f>1-I451</f>
        <v>5.2631578947368474E-2</v>
      </c>
      <c r="K451">
        <f>H451-D455</f>
        <v>-4</v>
      </c>
      <c r="N451" s="10">
        <f>2*(D456*I451)/(D456+I451)</f>
        <v>0.9152542372881356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2</v>
      </c>
      <c r="E452" s="27">
        <v>657</v>
      </c>
      <c r="F452" s="1">
        <v>1</v>
      </c>
      <c r="G452" s="6">
        <v>0</v>
      </c>
      <c r="H452" s="1">
        <f>SUM(C452:G452)</f>
        <v>660</v>
      </c>
      <c r="I452" s="10">
        <f>E452/H452</f>
        <v>0.99545454545454548</v>
      </c>
      <c r="J452" s="11">
        <f>1-I452</f>
        <v>4.5454545454545192E-3</v>
      </c>
      <c r="K452">
        <f>H452-E455</f>
        <v>-419</v>
      </c>
      <c r="N452" s="10">
        <f>2*(E456*I452)/(E456+I452)</f>
        <v>0.75560667050028751</v>
      </c>
      <c r="O452" s="1"/>
      <c r="P452" s="1"/>
    </row>
    <row r="453" spans="1:40" x14ac:dyDescent="0.3">
      <c r="A453" t="s">
        <v>6</v>
      </c>
      <c r="B453" s="13">
        <v>3</v>
      </c>
      <c r="C453" s="5">
        <v>2</v>
      </c>
      <c r="D453" s="1">
        <v>3</v>
      </c>
      <c r="E453" s="1">
        <v>3</v>
      </c>
      <c r="F453" s="27">
        <v>570</v>
      </c>
      <c r="G453" s="6">
        <v>4</v>
      </c>
      <c r="H453" s="1">
        <f>SUM(C453:G453)</f>
        <v>582</v>
      </c>
      <c r="I453" s="10">
        <f>F453/H453</f>
        <v>0.97938144329896903</v>
      </c>
      <c r="J453" s="11">
        <f>1-I453</f>
        <v>2.0618556701030966E-2</v>
      </c>
      <c r="K453">
        <f>H453-F455</f>
        <v>-47</v>
      </c>
      <c r="N453" s="10">
        <f>2*(F456*I453)/(F456+I453)</f>
        <v>0.94137076796036334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2</v>
      </c>
      <c r="E454" s="8">
        <v>0</v>
      </c>
      <c r="F454" s="8">
        <v>57</v>
      </c>
      <c r="G454" s="28">
        <v>950</v>
      </c>
      <c r="H454" s="1">
        <f>SUM(C454:G454)</f>
        <v>1009</v>
      </c>
      <c r="I454" s="10">
        <f>G454/H454</f>
        <v>0.94152626362735381</v>
      </c>
      <c r="J454" s="11">
        <f>1-I454</f>
        <v>5.847373637264619E-2</v>
      </c>
      <c r="K454">
        <f>H454-G455</f>
        <v>54</v>
      </c>
      <c r="N454" s="10">
        <f>2*(G456*I454)/(G456+I454)</f>
        <v>0.96741344195519352</v>
      </c>
      <c r="O454" s="1"/>
      <c r="P454" s="1"/>
    </row>
    <row r="455" spans="1:40" ht="15.6" x14ac:dyDescent="0.35">
      <c r="B455" s="1" t="s">
        <v>19</v>
      </c>
      <c r="C455" s="1">
        <f>SUM(C450:C454)</f>
        <v>35</v>
      </c>
      <c r="D455" s="1">
        <f>SUM(D450:D454)</f>
        <v>61</v>
      </c>
      <c r="E455" s="1">
        <f>SUM(E450:E454)</f>
        <v>1079</v>
      </c>
      <c r="F455" s="1">
        <f>SUM(F450:F454)</f>
        <v>629</v>
      </c>
      <c r="G455" s="1">
        <f>SUM(G450:G454)</f>
        <v>955</v>
      </c>
      <c r="H455" s="1">
        <f>SUM(H449:H454)</f>
        <v>2759</v>
      </c>
      <c r="I455" s="13" t="s">
        <v>12</v>
      </c>
      <c r="N455" s="16"/>
      <c r="O455" s="1"/>
      <c r="P455" s="1"/>
      <c r="AM455" s="78"/>
      <c r="AN455" s="78"/>
    </row>
    <row r="456" spans="1:40" x14ac:dyDescent="0.3">
      <c r="A456" s="1" t="s">
        <v>52</v>
      </c>
      <c r="B456" s="1" t="s">
        <v>2</v>
      </c>
      <c r="C456" s="10">
        <f>C450/C455</f>
        <v>0.94285714285714284</v>
      </c>
      <c r="D456" s="10">
        <f>D451/D455</f>
        <v>0.88524590163934425</v>
      </c>
      <c r="E456" s="10">
        <f>E452/E455</f>
        <v>0.60889712696941611</v>
      </c>
      <c r="F456" s="10">
        <f>F453/F455</f>
        <v>0.90620031796502387</v>
      </c>
      <c r="G456" s="10">
        <f>G454/G455</f>
        <v>0.99476439790575921</v>
      </c>
      <c r="H456" s="10"/>
      <c r="I456" s="14">
        <f>(C450+D451+E452+F453+G454)/H455</f>
        <v>0.82058716926422615</v>
      </c>
    </row>
    <row r="457" spans="1:40" x14ac:dyDescent="0.3">
      <c r="B457" s="1" t="s">
        <v>14</v>
      </c>
      <c r="C457" s="11">
        <f>1-C456</f>
        <v>5.7142857142857162E-2</v>
      </c>
      <c r="D457" s="11">
        <f>1-D456</f>
        <v>0.11475409836065575</v>
      </c>
      <c r="E457" s="11">
        <f>1-E456</f>
        <v>0.39110287303058389</v>
      </c>
      <c r="F457" s="11">
        <f>1-F456</f>
        <v>9.3799682034976128E-2</v>
      </c>
      <c r="G457" s="11">
        <f>1-G456</f>
        <v>5.2356020942407877E-3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1.9303762580395407E-2</v>
      </c>
      <c r="D461" s="31">
        <f>(D450/$L461)*$O461</f>
        <v>0</v>
      </c>
      <c r="E461" s="31">
        <f>(E450/$L461)*$O461</f>
        <v>0.24392936351590558</v>
      </c>
      <c r="F461" s="31">
        <f>(F450/$L461)*$O461</f>
        <v>5.8496250243622442E-4</v>
      </c>
      <c r="G461" s="32">
        <f>(G450/$L461)*$O461</f>
        <v>0</v>
      </c>
      <c r="H461" s="17">
        <f>SUM(C461:G461)</f>
        <v>0.26381808859873723</v>
      </c>
      <c r="I461" s="17">
        <f>C461/H461*100</f>
        <v>7.3170731707317067</v>
      </c>
      <c r="J461" s="17">
        <f>SQRT(I461*(100-I461)/(L461-1))</f>
        <v>1.2276153553285771</v>
      </c>
      <c r="K461" s="18">
        <f>100-I461</f>
        <v>92.682926829268297</v>
      </c>
      <c r="L461" s="1">
        <f>H450</f>
        <v>451</v>
      </c>
      <c r="M461">
        <v>0</v>
      </c>
      <c r="N461" s="1">
        <v>244.57</v>
      </c>
      <c r="O461" s="17">
        <f>N461/N466*100</f>
        <v>0.26381808859873723</v>
      </c>
      <c r="P461" s="52">
        <f>((O461*O461*(I461/100)*(K461/100))/(L461-1))</f>
        <v>1.0488992215474379E-5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53">(C451/$L462)*$O462</f>
        <v>0</v>
      </c>
      <c r="D462" s="34">
        <f t="shared" si="53"/>
        <v>0.90711437134649719</v>
      </c>
      <c r="E462" s="19">
        <f t="shared" si="53"/>
        <v>3.3596828568388783E-2</v>
      </c>
      <c r="F462" s="18">
        <f t="shared" si="53"/>
        <v>0</v>
      </c>
      <c r="G462" s="20">
        <f t="shared" si="53"/>
        <v>1.6798414284194391E-2</v>
      </c>
      <c r="H462" s="17">
        <f>SUM(C462:G462)</f>
        <v>0.95750961419908032</v>
      </c>
      <c r="I462" s="17">
        <f>D462/H462*100</f>
        <v>94.736842105263165</v>
      </c>
      <c r="J462" s="17">
        <f>SQRT(I462*(100-I462)/(L462-1))</f>
        <v>2.983930050072845</v>
      </c>
      <c r="K462" s="18">
        <f>100-I462</f>
        <v>5.2631578947368354</v>
      </c>
      <c r="L462" s="1">
        <f>H451</f>
        <v>57</v>
      </c>
      <c r="M462">
        <v>1</v>
      </c>
      <c r="N462" s="1">
        <v>887.65</v>
      </c>
      <c r="O462" s="17">
        <f>N462/N466*100</f>
        <v>0.95750961419908043</v>
      </c>
      <c r="P462" s="52">
        <f>((O462*O462*(I462/100)*(K462/100))/(L462-1))</f>
        <v>8.1632587569776768E-4</v>
      </c>
    </row>
    <row r="463" spans="1:40" x14ac:dyDescent="0.3">
      <c r="A463" t="s">
        <v>5</v>
      </c>
      <c r="B463" s="13">
        <v>2</v>
      </c>
      <c r="C463" s="33">
        <f t="shared" si="53"/>
        <v>0</v>
      </c>
      <c r="D463" s="19">
        <f t="shared" si="53"/>
        <v>0.18232468786236514</v>
      </c>
      <c r="E463" s="34">
        <f t="shared" si="53"/>
        <v>59.893659962786948</v>
      </c>
      <c r="F463" s="19">
        <f t="shared" si="53"/>
        <v>9.1162343931182568E-2</v>
      </c>
      <c r="G463" s="20">
        <f t="shared" si="53"/>
        <v>0</v>
      </c>
      <c r="H463" s="17">
        <f>SUM(C463:G463)</f>
        <v>60.167146994580492</v>
      </c>
      <c r="I463" s="17">
        <f>E463/H463*100</f>
        <v>99.545454545454547</v>
      </c>
      <c r="J463" s="17">
        <f>SQRT(I463*(100-I463)/(L463-1))</f>
        <v>0.26203341040868389</v>
      </c>
      <c r="K463" s="18">
        <f>100-I463</f>
        <v>0.45454545454545325</v>
      </c>
      <c r="L463" s="1">
        <f>H452</f>
        <v>660</v>
      </c>
      <c r="M463">
        <v>2</v>
      </c>
      <c r="N463" s="1">
        <v>55777.37</v>
      </c>
      <c r="O463" s="17">
        <f>N463/N466*100</f>
        <v>60.167146994580492</v>
      </c>
      <c r="P463" s="52">
        <f>((O463*O463*(I463/100)*(K463/100))/(L463-1))</f>
        <v>2.485605354548498E-2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53"/>
        <v>0.11034288628606358</v>
      </c>
      <c r="D464" s="19">
        <f t="shared" si="53"/>
        <v>0.16551432942909536</v>
      </c>
      <c r="E464" s="19">
        <f t="shared" si="53"/>
        <v>0.16551432942909536</v>
      </c>
      <c r="F464" s="34">
        <f t="shared" si="53"/>
        <v>31.44772259152812</v>
      </c>
      <c r="G464" s="20">
        <f t="shared" si="53"/>
        <v>0.22068577257212715</v>
      </c>
      <c r="H464" s="17">
        <f>SUM(C464:G464)</f>
        <v>32.109779909244502</v>
      </c>
      <c r="I464" s="17">
        <f>F464/H464*100</f>
        <v>97.9381443298969</v>
      </c>
      <c r="J464" s="17">
        <f>SQRT(I464*(100-I464)/(L464-1))</f>
        <v>0.58954505375429189</v>
      </c>
      <c r="K464" s="18">
        <f>100-I464</f>
        <v>2.0618556701030997</v>
      </c>
      <c r="L464" s="1">
        <f>H453</f>
        <v>582</v>
      </c>
      <c r="M464">
        <v>3</v>
      </c>
      <c r="N464" s="1">
        <v>29767.06</v>
      </c>
      <c r="O464" s="17">
        <f>N464/N466*100</f>
        <v>32.109779909244502</v>
      </c>
      <c r="P464" s="52">
        <f>((O464*O464*(I464/100)*(K464/100))/(L464-1))</f>
        <v>3.5835103041714333E-2</v>
      </c>
    </row>
    <row r="465" spans="1:40" x14ac:dyDescent="0.3">
      <c r="A465" t="s">
        <v>7</v>
      </c>
      <c r="B465" s="13">
        <v>4</v>
      </c>
      <c r="C465" s="35">
        <f t="shared" si="53"/>
        <v>0</v>
      </c>
      <c r="D465" s="36">
        <f t="shared" si="53"/>
        <v>1.2887503257437424E-2</v>
      </c>
      <c r="E465" s="21">
        <f t="shared" si="53"/>
        <v>0</v>
      </c>
      <c r="F465" s="21">
        <f t="shared" si="53"/>
        <v>0.36729384283696659</v>
      </c>
      <c r="G465" s="37">
        <f t="shared" si="53"/>
        <v>6.1215640472827761</v>
      </c>
      <c r="H465" s="17">
        <f>SUM(C465:G465)</f>
        <v>6.5017453933771803</v>
      </c>
      <c r="I465" s="17">
        <f>G465/H465*100</f>
        <v>94.152626362735376</v>
      </c>
      <c r="J465" s="17">
        <f>SQRT(I465*(100-I465)/(L465-1))</f>
        <v>0.73903733049539455</v>
      </c>
      <c r="K465" s="18">
        <f>100-I465</f>
        <v>5.8473736372646243</v>
      </c>
      <c r="L465" s="1">
        <f>H454</f>
        <v>1009</v>
      </c>
      <c r="M465">
        <v>4</v>
      </c>
      <c r="N465" s="1">
        <v>6027.38</v>
      </c>
      <c r="O465" s="17">
        <f>N465/N466*100</f>
        <v>6.5017453933771803</v>
      </c>
      <c r="P465" s="52">
        <f>((O465*O465*(I465/100)*(K465/100))/(L465-1))</f>
        <v>2.3088337893840045E-3</v>
      </c>
      <c r="AM465" s="78"/>
      <c r="AN465" s="78"/>
    </row>
    <row r="466" spans="1:40" x14ac:dyDescent="0.3">
      <c r="B466" t="s">
        <v>28</v>
      </c>
      <c r="C466" s="17">
        <f t="shared" ref="C466:H466" si="54">SUM(C461:C465)</f>
        <v>0.12964664886645899</v>
      </c>
      <c r="D466" s="17">
        <f t="shared" si="54"/>
        <v>1.267840891895395</v>
      </c>
      <c r="E466" s="17">
        <f t="shared" si="54"/>
        <v>60.336700484300337</v>
      </c>
      <c r="F466" s="17">
        <f t="shared" si="54"/>
        <v>31.906763740798706</v>
      </c>
      <c r="G466" s="17">
        <f t="shared" si="54"/>
        <v>6.3590482341390979</v>
      </c>
      <c r="H466" s="18">
        <f t="shared" si="54"/>
        <v>99.999999999999986</v>
      </c>
      <c r="I466" s="13" t="s">
        <v>24</v>
      </c>
      <c r="J466" s="12" t="s">
        <v>29</v>
      </c>
      <c r="N466" s="1">
        <f>SUM(N461:N465)</f>
        <v>92704.030000000013</v>
      </c>
      <c r="O466" s="17">
        <f>SUM(O461:O465)</f>
        <v>99.999999999999986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7.7957179391025033E-2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0.16291180560816226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0.18562950947702769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0.21518573870044896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0.12114311127065196</v>
      </c>
      <c r="H467" s="1"/>
      <c r="I467" s="14">
        <f>(C461+D462+E463+F464+G465)/H466</f>
        <v>0.98389364735524754</v>
      </c>
      <c r="J467" s="53">
        <f>SQRT(SUM(P461:P465))/100</f>
        <v>2.5263967472369925E-3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14.889519126930169</v>
      </c>
      <c r="D468" s="17">
        <f>D462/D466*100</f>
        <v>71.547966085111881</v>
      </c>
      <c r="E468" s="17">
        <f>E463/E466*100</f>
        <v>99.265719673171944</v>
      </c>
      <c r="F468" s="17">
        <f>F464/F466*100</f>
        <v>98.561304577926791</v>
      </c>
      <c r="G468" s="17">
        <f>G465/G466*100</f>
        <v>96.265413028613821</v>
      </c>
      <c r="H468" s="1"/>
    </row>
    <row r="469" spans="1:40" x14ac:dyDescent="0.3">
      <c r="B469" s="16" t="s">
        <v>39</v>
      </c>
      <c r="C469" s="18">
        <f>SQRT((C472+C473)/(C466*C466))</f>
        <v>212.80084467950448</v>
      </c>
      <c r="D469" s="18">
        <f>SQRT((D472+D473)/(D466*D466))</f>
        <v>11.099970617870037</v>
      </c>
      <c r="E469" s="18">
        <f>SQRT((E472+E473)/(E466*E466))</f>
        <v>0.16287703340948392</v>
      </c>
      <c r="F469" s="18">
        <f>SQRT((F472+F473)/(F466*F466))</f>
        <v>0.32851080411026046</v>
      </c>
      <c r="G469" s="18">
        <f>SQRT((G472+G473)/(G466*G466))</f>
        <v>1.7088464377869981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85.110480873069832</v>
      </c>
      <c r="D470" s="18">
        <f>100-D468</f>
        <v>28.452033914888119</v>
      </c>
      <c r="E470" s="18">
        <f>100-E468</f>
        <v>0.73428032682805622</v>
      </c>
      <c r="F470" s="18">
        <f>100-F468</f>
        <v>1.4386954220732093</v>
      </c>
      <c r="G470" s="18">
        <f>100-G468</f>
        <v>3.7345869713861788</v>
      </c>
    </row>
    <row r="471" spans="1:40" ht="15.6" x14ac:dyDescent="0.35">
      <c r="B471" s="1" t="s">
        <v>25</v>
      </c>
      <c r="C471" s="1">
        <f>C455</f>
        <v>35</v>
      </c>
      <c r="D471" s="1">
        <f>D455</f>
        <v>61</v>
      </c>
      <c r="E471" s="1">
        <f>E455</f>
        <v>1079</v>
      </c>
      <c r="F471" s="1">
        <f>F455</f>
        <v>629</v>
      </c>
      <c r="G471" s="1">
        <f>G455</f>
        <v>955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759.80098398675921</v>
      </c>
      <c r="D472" s="18">
        <f>(O462*O462*(100-D468)*(100-D468)*(I462)*(100-I462))/((L462-1)*100)</f>
        <v>66.083068117678394</v>
      </c>
      <c r="E472" s="18">
        <f>(O463*O463*(100-E468)*(100-E468)*(I463)*(100-I463))/((L463-1)*100)</f>
        <v>1.3401578694993661</v>
      </c>
      <c r="F472" s="18">
        <f>(O464*O464*(100-F468)*(100-F468)*(I464)*(100-I464))/((L464-1)*100)</f>
        <v>7.4173091564739675</v>
      </c>
      <c r="G472" s="18">
        <f>(O465*O465*(100-G468)*(100-G468)*(I465)*(100-I465))/((L465-1)*100)</f>
        <v>3.2201627743665306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1.3473235131389445</v>
      </c>
      <c r="D473" s="18">
        <f>D468*D468*(SUM((H461*D461*(1-D450/H450))/(H450-1),(H463*D463*(1-D452/H452))/(H452-1), (H464*D464*(1-D453/H453))/(H453-1),(H465*D465*(1-D454/H454))/(H454-1)))</f>
        <v>131.96616654181082</v>
      </c>
      <c r="E473" s="18">
        <f>E468*E468*(SUM((H461*E461*(1-E450/H450))/(H450-1),(H462*E462*(1-E451/H451))/(H451-1), (H464*E464*(1-E453/H453))/(H453-1),(H465*E465*(1-E454/H454))/(H454-1)))</f>
        <v>95.238866834567347</v>
      </c>
      <c r="F473" s="18">
        <f>F468*F468*(SUM((H461*F461*(1-F450/H450))/(H450-1),(H462*F462*(1-F451/H451))/(H451-1), (H463*F463*(1-F452/H452))/(H452-1),(H465*F465*(1-F454/H454))/(H454-1)))</f>
        <v>102.44907399972814</v>
      </c>
      <c r="G473" s="18">
        <f>G468*G468*(SUM((H461*G461*(1-G450/H450))/(H450-1),(H462*G462*(1-G451/H451))/(H451-1), (H463*G463*(1-G452/H452))/(H452-1),(H464*G464*(1-G453/H453))/(H453-1)))</f>
        <v>114.86363523377514</v>
      </c>
      <c r="AM473" s="78"/>
      <c r="AN473" s="78"/>
    </row>
    <row r="475" spans="1:40" x14ac:dyDescent="0.3">
      <c r="AM475" s="78"/>
      <c r="AN475" s="78"/>
    </row>
    <row r="476" spans="1:40" x14ac:dyDescent="0.3">
      <c r="A476" s="348" t="s">
        <v>384</v>
      </c>
      <c r="B476" s="348"/>
      <c r="C476" s="348"/>
      <c r="D476" s="348"/>
      <c r="E476" s="348"/>
      <c r="F476" s="348"/>
      <c r="G476" s="348"/>
      <c r="H476" s="348"/>
      <c r="I476" s="348"/>
      <c r="J476" s="348"/>
      <c r="K476" s="348"/>
      <c r="L476" s="348" t="s">
        <v>89</v>
      </c>
      <c r="M476" s="348"/>
      <c r="N476" s="348"/>
      <c r="O476" s="348"/>
      <c r="P476" s="348"/>
    </row>
    <row r="477" spans="1:40" x14ac:dyDescent="0.3">
      <c r="A477" t="s">
        <v>15</v>
      </c>
      <c r="B477" t="s">
        <v>21</v>
      </c>
      <c r="I477" s="1" t="s">
        <v>53</v>
      </c>
      <c r="O477" s="142"/>
      <c r="P477" s="142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51</v>
      </c>
      <c r="O478" s="13"/>
      <c r="P478" s="13"/>
    </row>
    <row r="479" spans="1:40" x14ac:dyDescent="0.3">
      <c r="A479" t="s">
        <v>3</v>
      </c>
      <c r="B479" s="13">
        <v>0</v>
      </c>
      <c r="C479" s="26">
        <v>49</v>
      </c>
      <c r="D479" s="3">
        <v>0</v>
      </c>
      <c r="E479" s="3">
        <v>402</v>
      </c>
      <c r="F479" s="3">
        <v>0</v>
      </c>
      <c r="G479" s="4">
        <v>0</v>
      </c>
      <c r="H479" s="1">
        <f>SUM(C479:G479)</f>
        <v>451</v>
      </c>
      <c r="I479" s="10">
        <f>C479/H479</f>
        <v>0.10864745011086474</v>
      </c>
      <c r="J479" s="11">
        <f>1-I479</f>
        <v>0.89135254988913526</v>
      </c>
      <c r="K479">
        <f>H479-C484</f>
        <v>400</v>
      </c>
      <c r="N479" s="10">
        <f>2*(C485*I479)/(C485+I479)</f>
        <v>0.19521912350597612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55</v>
      </c>
      <c r="E480" s="1">
        <v>2</v>
      </c>
      <c r="F480" s="1">
        <v>0</v>
      </c>
      <c r="G480" s="6">
        <v>0</v>
      </c>
      <c r="H480" s="1">
        <f>SUM(C480:G480)</f>
        <v>57</v>
      </c>
      <c r="I480" s="10">
        <f>D480/H480</f>
        <v>0.96491228070175439</v>
      </c>
      <c r="J480" s="11">
        <f>1-I480</f>
        <v>3.5087719298245612E-2</v>
      </c>
      <c r="K480">
        <f>H480-D484</f>
        <v>-3</v>
      </c>
      <c r="N480" s="10">
        <f>2*(D485*I480)/(D485+I480)</f>
        <v>0.94017094017094016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0</v>
      </c>
      <c r="E481" s="27">
        <v>659</v>
      </c>
      <c r="F481" s="1">
        <v>1</v>
      </c>
      <c r="G481" s="6">
        <v>0</v>
      </c>
      <c r="H481" s="1">
        <f>SUM(C481:G481)</f>
        <v>660</v>
      </c>
      <c r="I481" s="10">
        <f>E481/H481</f>
        <v>0.99848484848484853</v>
      </c>
      <c r="J481" s="11">
        <f>1-I481</f>
        <v>1.5151515151514694E-3</v>
      </c>
      <c r="K481">
        <f>H481-E484</f>
        <v>-406</v>
      </c>
      <c r="N481" s="10">
        <f>2*(E485*I481)/(E485+I481)</f>
        <v>0.7636152954808807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2</v>
      </c>
      <c r="D482" s="1">
        <v>3</v>
      </c>
      <c r="E482" s="1">
        <v>3</v>
      </c>
      <c r="F482" s="27">
        <v>571</v>
      </c>
      <c r="G482" s="6">
        <v>3</v>
      </c>
      <c r="H482" s="1">
        <f>SUM(C482:G482)</f>
        <v>582</v>
      </c>
      <c r="I482" s="10">
        <f>F482/H482</f>
        <v>0.98109965635738827</v>
      </c>
      <c r="J482" s="11">
        <f>1-I482</f>
        <v>1.8900343642611728E-2</v>
      </c>
      <c r="K482">
        <f>H482-F484</f>
        <v>-60</v>
      </c>
      <c r="N482" s="10">
        <f>2*(F485*I482)/(F485+I482)</f>
        <v>0.93300653594771243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2</v>
      </c>
      <c r="E483" s="8">
        <v>0</v>
      </c>
      <c r="F483" s="8">
        <v>70</v>
      </c>
      <c r="G483" s="28">
        <v>937</v>
      </c>
      <c r="H483" s="1">
        <f>SUM(C483:G483)</f>
        <v>1009</v>
      </c>
      <c r="I483" s="10">
        <f>G483/H483</f>
        <v>0.92864222001982155</v>
      </c>
      <c r="J483" s="11">
        <f>1-I483</f>
        <v>7.1357779980178448E-2</v>
      </c>
      <c r="K483">
        <f>H483-G484</f>
        <v>69</v>
      </c>
      <c r="N483" s="10">
        <f>2*(G485*I483)/(G485+I483)</f>
        <v>0.96151872755259105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51</v>
      </c>
      <c r="D484" s="1">
        <f>SUM(D479:D483)</f>
        <v>60</v>
      </c>
      <c r="E484" s="1">
        <f>SUM(E479:E483)</f>
        <v>1066</v>
      </c>
      <c r="F484" s="1">
        <f>SUM(F479:F483)</f>
        <v>642</v>
      </c>
      <c r="G484" s="1">
        <f>SUM(G479:G483)</f>
        <v>940</v>
      </c>
      <c r="H484" s="1">
        <f>SUM(H478:H483)</f>
        <v>2759</v>
      </c>
      <c r="I484" s="13" t="s">
        <v>12</v>
      </c>
      <c r="N484" s="16"/>
      <c r="O484" s="1"/>
      <c r="P484" s="1"/>
    </row>
    <row r="485" spans="1:40" x14ac:dyDescent="0.3">
      <c r="A485" s="1" t="s">
        <v>52</v>
      </c>
      <c r="B485" s="1" t="s">
        <v>2</v>
      </c>
      <c r="C485" s="10">
        <f>C479/C484</f>
        <v>0.96078431372549022</v>
      </c>
      <c r="D485" s="10">
        <f>D480/D484</f>
        <v>0.91666666666666663</v>
      </c>
      <c r="E485" s="10">
        <f>E481/E484</f>
        <v>0.61819887429643527</v>
      </c>
      <c r="F485" s="10">
        <f>F482/F484</f>
        <v>0.88940809968847356</v>
      </c>
      <c r="G485" s="10">
        <f>G483/G484</f>
        <v>0.9968085106382979</v>
      </c>
      <c r="H485" s="10"/>
      <c r="I485" s="14">
        <f>(C479+D480+E481+F482+G483)/H484</f>
        <v>0.82312432040594419</v>
      </c>
      <c r="AM485" s="78"/>
      <c r="AN485" s="78"/>
    </row>
    <row r="486" spans="1:40" x14ac:dyDescent="0.3">
      <c r="B486" s="1" t="s">
        <v>14</v>
      </c>
      <c r="C486" s="11">
        <f>1-C485</f>
        <v>3.9215686274509776E-2</v>
      </c>
      <c r="D486" s="11">
        <f>1-D485</f>
        <v>8.333333333333337E-2</v>
      </c>
      <c r="E486" s="11">
        <f>1-E485</f>
        <v>0.38180112570356473</v>
      </c>
      <c r="F486" s="11">
        <f>1-F485</f>
        <v>0.11059190031152644</v>
      </c>
      <c r="G486" s="11">
        <f>1-G485</f>
        <v>3.1914893617021045E-3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2.9137821596458655E-2</v>
      </c>
      <c r="D490" s="31">
        <f>(D479/$L490)*$O490</f>
        <v>0</v>
      </c>
      <c r="E490" s="31">
        <f>(E479/$L490)*$O490</f>
        <v>0.23904906697502815</v>
      </c>
      <c r="F490" s="31">
        <f>(F479/$L490)*$O490</f>
        <v>0</v>
      </c>
      <c r="G490" s="32">
        <f>(G479/$L490)*$O490</f>
        <v>0</v>
      </c>
      <c r="H490" s="17">
        <f>SUM(C490:G490)</f>
        <v>0.26818688857148681</v>
      </c>
      <c r="I490" s="17">
        <f>C490/H490*100</f>
        <v>10.864745011086473</v>
      </c>
      <c r="J490" s="17">
        <f>SQRT(I490*(100-I490)/(L490-1))</f>
        <v>1.4669937642469293</v>
      </c>
      <c r="K490" s="18">
        <f>100-I490</f>
        <v>89.13525498891353</v>
      </c>
      <c r="L490" s="1">
        <f>H479</f>
        <v>451</v>
      </c>
      <c r="M490">
        <v>0</v>
      </c>
      <c r="N490" s="1">
        <v>248.62</v>
      </c>
      <c r="O490" s="17">
        <f>N490/N495*100</f>
        <v>0.26818688857148681</v>
      </c>
      <c r="P490" s="52">
        <f>((O490*O490*(I490/100)*(K490/100))/(L490-1))</f>
        <v>1.5478597925151699E-5</v>
      </c>
    </row>
    <row r="491" spans="1:40" x14ac:dyDescent="0.3">
      <c r="A491" t="s">
        <v>4</v>
      </c>
      <c r="B491" s="13">
        <v>1</v>
      </c>
      <c r="C491" s="33">
        <f t="shared" ref="C491:G494" si="55">(C480/$L491)*$O491</f>
        <v>0</v>
      </c>
      <c r="D491" s="34">
        <f t="shared" si="55"/>
        <v>0.90657237736363416</v>
      </c>
      <c r="E491" s="19">
        <f t="shared" si="55"/>
        <v>3.2966268267768516E-2</v>
      </c>
      <c r="F491" s="18">
        <f t="shared" si="55"/>
        <v>0</v>
      </c>
      <c r="G491" s="20">
        <f t="shared" si="55"/>
        <v>0</v>
      </c>
      <c r="H491" s="17">
        <f>SUM(C491:G491)</f>
        <v>0.93953864563140266</v>
      </c>
      <c r="I491" s="17">
        <f>D491/H491*100</f>
        <v>96.491228070175438</v>
      </c>
      <c r="J491" s="17">
        <f>SQRT(I491*(100-I491)/(L491-1))</f>
        <v>2.4588241692166148</v>
      </c>
      <c r="K491" s="18">
        <f>100-I491</f>
        <v>3.5087719298245617</v>
      </c>
      <c r="L491" s="1">
        <f>H480</f>
        <v>57</v>
      </c>
      <c r="M491">
        <v>1</v>
      </c>
      <c r="N491" s="1">
        <v>870.99</v>
      </c>
      <c r="O491" s="17">
        <f>N491/N495*100</f>
        <v>0.93953864563140266</v>
      </c>
      <c r="P491" s="52">
        <f>((O491*O491*(I491/100)*(K491/100))/(L491-1))</f>
        <v>5.336840749342542E-4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55"/>
        <v>0</v>
      </c>
      <c r="D492" s="19">
        <f t="shared" si="55"/>
        <v>0</v>
      </c>
      <c r="E492" s="34">
        <f t="shared" si="55"/>
        <v>59.69808690535119</v>
      </c>
      <c r="F492" s="19">
        <f t="shared" si="55"/>
        <v>9.0588902739531393E-2</v>
      </c>
      <c r="G492" s="20">
        <f t="shared" si="55"/>
        <v>0</v>
      </c>
      <c r="H492" s="17">
        <f>SUM(C492:G492)</f>
        <v>59.788675808090723</v>
      </c>
      <c r="I492" s="17">
        <f>E492/H492*100</f>
        <v>99.848484848484844</v>
      </c>
      <c r="J492" s="17">
        <f>SQRT(I492*(100-I492)/(L492-1))</f>
        <v>0.15151515151515368</v>
      </c>
      <c r="K492" s="18">
        <f>100-I492</f>
        <v>0.15151515151515582</v>
      </c>
      <c r="L492" s="1">
        <f>H481</f>
        <v>660</v>
      </c>
      <c r="M492">
        <v>2</v>
      </c>
      <c r="N492" s="1">
        <v>55426.5</v>
      </c>
      <c r="O492" s="17">
        <f>N492/N495*100</f>
        <v>59.788675808090716</v>
      </c>
      <c r="P492" s="52">
        <f>((O492*O492*(I492/100)*(K492/100))/(L492-1))</f>
        <v>8.2063492995525112E-3</v>
      </c>
    </row>
    <row r="493" spans="1:40" x14ac:dyDescent="0.3">
      <c r="A493" t="s">
        <v>6</v>
      </c>
      <c r="B493" s="13">
        <v>3</v>
      </c>
      <c r="C493" s="33">
        <f t="shared" si="55"/>
        <v>0.11241898512965602</v>
      </c>
      <c r="D493" s="19">
        <f t="shared" si="55"/>
        <v>0.16862847769448402</v>
      </c>
      <c r="E493" s="19">
        <f t="shared" si="55"/>
        <v>0.16862847769448402</v>
      </c>
      <c r="F493" s="34">
        <f t="shared" si="55"/>
        <v>32.095620254516795</v>
      </c>
      <c r="G493" s="20">
        <f t="shared" si="55"/>
        <v>0.16862847769448402</v>
      </c>
      <c r="H493" s="17">
        <f>SUM(C493:G493)</f>
        <v>32.713924672729902</v>
      </c>
      <c r="I493" s="17">
        <f>F493/H493*100</f>
        <v>98.109965635738831</v>
      </c>
      <c r="J493" s="17">
        <f>SQRT(I493*(100-I493)/(L493-1))</f>
        <v>0.5649413271715471</v>
      </c>
      <c r="K493" s="18">
        <f>100-I493</f>
        <v>1.8900343642611688</v>
      </c>
      <c r="L493" s="1">
        <f>H482</f>
        <v>582</v>
      </c>
      <c r="M493">
        <v>3</v>
      </c>
      <c r="N493" s="1">
        <v>30327.119999999999</v>
      </c>
      <c r="O493" s="17">
        <f>N493/N495*100</f>
        <v>32.713924672729902</v>
      </c>
      <c r="P493" s="52">
        <f>((O493*O493*(I493/100)*(K493/100))/(L493-1))</f>
        <v>3.4156392097517828E-2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55"/>
        <v>0</v>
      </c>
      <c r="D494" s="36">
        <f t="shared" si="55"/>
        <v>1.2467143676861222E-2</v>
      </c>
      <c r="E494" s="21">
        <f t="shared" si="55"/>
        <v>0</v>
      </c>
      <c r="F494" s="21">
        <f t="shared" si="55"/>
        <v>0.43635002869014278</v>
      </c>
      <c r="G494" s="37">
        <f t="shared" si="55"/>
        <v>5.8408568126094824</v>
      </c>
      <c r="H494" s="17">
        <f>SUM(C494:G494)</f>
        <v>6.2896739849764867</v>
      </c>
      <c r="I494" s="17">
        <f>G494/H494*100</f>
        <v>92.864222001982156</v>
      </c>
      <c r="J494" s="17">
        <f>SQRT(I494*(100-I494)/(L494-1))</f>
        <v>0.81080162675050105</v>
      </c>
      <c r="K494" s="18">
        <f>100-I494</f>
        <v>7.1357779980178435</v>
      </c>
      <c r="L494" s="1">
        <f>H483</f>
        <v>1009</v>
      </c>
      <c r="M494">
        <v>4</v>
      </c>
      <c r="N494" s="1">
        <v>5830.78</v>
      </c>
      <c r="O494" s="17">
        <f>N494/N495*100</f>
        <v>6.2896739849764867</v>
      </c>
      <c r="P494" s="52">
        <f>((O494*O494*(I494/100)*(K494/100))/(L494-1))</f>
        <v>2.6006714670991477E-3</v>
      </c>
    </row>
    <row r="495" spans="1:40" x14ac:dyDescent="0.3">
      <c r="B495" t="s">
        <v>28</v>
      </c>
      <c r="C495" s="17">
        <f t="shared" ref="C495:H495" si="56">SUM(C490:C494)</f>
        <v>0.14155680672611468</v>
      </c>
      <c r="D495" s="17">
        <f t="shared" si="56"/>
        <v>1.0876679987349795</v>
      </c>
      <c r="E495" s="17">
        <f t="shared" si="56"/>
        <v>60.138730718288471</v>
      </c>
      <c r="F495" s="17">
        <f t="shared" si="56"/>
        <v>32.622559185946471</v>
      </c>
      <c r="G495" s="17">
        <f t="shared" si="56"/>
        <v>6.0094852903039664</v>
      </c>
      <c r="H495" s="18">
        <f t="shared" si="56"/>
        <v>100</v>
      </c>
      <c r="I495" s="13" t="s">
        <v>24</v>
      </c>
      <c r="J495" s="12" t="s">
        <v>29</v>
      </c>
      <c r="N495" s="1">
        <f>SUM(N490:N494)</f>
        <v>92704.01</v>
      </c>
      <c r="O495" s="17">
        <f>SUM(O490:O494)</f>
        <v>99.999999999999986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7.9452775665697792E-2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0.10015759978927991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0.13477144993427798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0.21171427870068432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0.10967113020104671</v>
      </c>
      <c r="H496" s="1"/>
      <c r="I496" s="14">
        <f>(C490+D491+E492+F493+G494)/H495</f>
        <v>0.98570274171437555</v>
      </c>
      <c r="J496" s="53">
        <f>SQRT(SUM(P490:P494))/100</f>
        <v>2.1333676555396843E-3</v>
      </c>
      <c r="M496" s="1"/>
      <c r="N496" s="9"/>
    </row>
    <row r="497" spans="1:40" x14ac:dyDescent="0.3">
      <c r="B497" s="1" t="s">
        <v>30</v>
      </c>
      <c r="C497" s="17">
        <f>C490/C495*100</f>
        <v>20.583836461382436</v>
      </c>
      <c r="D497" s="17">
        <f>D491/D495*100</f>
        <v>83.350101172235455</v>
      </c>
      <c r="E497" s="17">
        <f>E492/E495*100</f>
        <v>99.26728780658604</v>
      </c>
      <c r="F497" s="17">
        <f>F493/F495*100</f>
        <v>98.384740668486003</v>
      </c>
      <c r="G497" s="17">
        <f>G494/G495*100</f>
        <v>97.193961386900156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221.02309325043535</v>
      </c>
      <c r="D498" s="18">
        <f>SQRT((D501+D502)/(D495*D495))</f>
        <v>8.2723866674244135</v>
      </c>
      <c r="E498" s="18">
        <f>SQRT((E501+E502)/(E495*E495))</f>
        <v>0.16539168945665428</v>
      </c>
      <c r="F498" s="18">
        <f>SQRT((F501+F502)/(F495*F495))</f>
        <v>0.32566766779286749</v>
      </c>
      <c r="G498" s="18">
        <f>SQRT((G501+G502)/(G495*G495))</f>
        <v>1.5898288166614274</v>
      </c>
      <c r="H498" s="1"/>
    </row>
    <row r="499" spans="1:40" x14ac:dyDescent="0.3">
      <c r="B499" s="1" t="s">
        <v>37</v>
      </c>
      <c r="C499" s="18">
        <f>100-C497</f>
        <v>79.416163538617567</v>
      </c>
      <c r="D499" s="18">
        <f>100-D497</f>
        <v>16.649898827764545</v>
      </c>
      <c r="E499" s="18">
        <f>100-E497</f>
        <v>0.73271219341395977</v>
      </c>
      <c r="F499" s="18">
        <f>100-F497</f>
        <v>1.6152593315139967</v>
      </c>
      <c r="G499" s="18">
        <f>100-G497</f>
        <v>2.8060386130998438</v>
      </c>
      <c r="AM499" s="78"/>
      <c r="AN499" s="78"/>
    </row>
    <row r="500" spans="1:40" ht="15.6" x14ac:dyDescent="0.35">
      <c r="B500" s="1" t="s">
        <v>25</v>
      </c>
      <c r="C500" s="1">
        <f>C484</f>
        <v>51</v>
      </c>
      <c r="D500" s="1">
        <f>D484</f>
        <v>60</v>
      </c>
      <c r="E500" s="1">
        <f>E484</f>
        <v>1066</v>
      </c>
      <c r="F500" s="1">
        <f>F484</f>
        <v>642</v>
      </c>
      <c r="G500" s="1">
        <f>G484</f>
        <v>940</v>
      </c>
    </row>
    <row r="501" spans="1:40" x14ac:dyDescent="0.3">
      <c r="B501" s="1" t="s">
        <v>34</v>
      </c>
      <c r="C501" s="18">
        <f>(O490*O490*(100-C497)*(100-C497)*(I490)*(100-I490))/(L490-1)</f>
        <v>976.22387659098661</v>
      </c>
      <c r="D501" s="18">
        <f>(O491*O491*(100-D497)*(100-D497)*(I491)*(100-I491))/((L491-1)*100)</f>
        <v>14.794743546836143</v>
      </c>
      <c r="E501" s="18">
        <f>(O492*O492*(100-E497)*(100-E497)*(I492)*(100-I492))/((L492-1)*100)</f>
        <v>0.44057194291039109</v>
      </c>
      <c r="F501" s="18">
        <f>(O493*O493*(100-F497)*(100-F497)*(I493)*(100-I493))/((L493-1)*100)</f>
        <v>8.9116168862929896</v>
      </c>
      <c r="G501" s="18">
        <f>(O494*O494*(100-G497)*(100-G497)*(I494)*(100-I494))/((L494-1)*100)</f>
        <v>2.0477304048369347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2.6727222659769416</v>
      </c>
      <c r="D502" s="18">
        <f>D497*D497*(SUM((H490*D490*(1-D479/H479))/(H479-1),(H492*D492*(1-D481/H481))/(H481-1), (H493*D493*(1-D482/H482))/(H482-1),(H494*D494*(1-D483/H483))/(H483-1)))</f>
        <v>66.162246687812512</v>
      </c>
      <c r="E502" s="18">
        <f>E497*E497*(SUM((H490*E490*(1-E479/H479))/(H479-1),(H491*E491*(1-E480/H480))/(H480-1), (H493*E493*(1-E482/H482))/(H482-1),(H494*E494*(1-E483/H483))/(H483-1)))</f>
        <v>98.491221564051813</v>
      </c>
      <c r="F502" s="18">
        <f>F497*F497*(SUM((H490*F490*(1-F479/H479))/(H479-1),(H491*F491*(1-F480/H480))/(H480-1), (H492*F492*(1-F481/H481))/(H481-1),(H494*F494*(1-F483/H483))/(H483-1)))</f>
        <v>103.96015521073042</v>
      </c>
      <c r="G502" s="18">
        <f>G497*G497*(SUM((H490*G490*(1-G479/H479))/(H479-1),(H491*G491*(1-G480/H480))/(H480-1), (H492*G492*(1-G481/H481))/(H481-1),(H493*G493*(1-G482/H482))/(H482-1)))</f>
        <v>89.232196178581603</v>
      </c>
    </row>
    <row r="503" spans="1:40" x14ac:dyDescent="0.3">
      <c r="AM503" s="78"/>
      <c r="AN503" s="78"/>
    </row>
    <row r="505" spans="1:40" x14ac:dyDescent="0.3">
      <c r="A505" s="348" t="s">
        <v>384</v>
      </c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 t="s">
        <v>90</v>
      </c>
      <c r="M505" s="348"/>
      <c r="N505" s="348"/>
      <c r="O505" s="348"/>
      <c r="P505" s="348"/>
      <c r="AM505" s="78"/>
      <c r="AN505" s="78"/>
    </row>
    <row r="506" spans="1:40" x14ac:dyDescent="0.3">
      <c r="A506" t="s">
        <v>15</v>
      </c>
      <c r="B506" t="s">
        <v>21</v>
      </c>
      <c r="I506" s="1" t="s">
        <v>53</v>
      </c>
      <c r="O506" s="142"/>
      <c r="P506" s="142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51</v>
      </c>
      <c r="O507" s="13"/>
      <c r="P507" s="13"/>
      <c r="AM507" s="78"/>
      <c r="AN507" s="78"/>
    </row>
    <row r="508" spans="1:40" x14ac:dyDescent="0.3">
      <c r="A508" t="s">
        <v>3</v>
      </c>
      <c r="B508" s="13">
        <v>0</v>
      </c>
      <c r="C508" s="26">
        <v>40</v>
      </c>
      <c r="D508" s="3">
        <v>0</v>
      </c>
      <c r="E508" s="3">
        <v>405</v>
      </c>
      <c r="F508" s="3">
        <v>6</v>
      </c>
      <c r="G508" s="4">
        <v>0</v>
      </c>
      <c r="H508" s="1">
        <f>SUM(C508:G508)</f>
        <v>451</v>
      </c>
      <c r="I508" s="10">
        <f>C508/H508</f>
        <v>8.8691796008869186E-2</v>
      </c>
      <c r="J508" s="11">
        <f>1-I508</f>
        <v>0.91130820399113077</v>
      </c>
      <c r="K508">
        <f>H508-C513</f>
        <v>409</v>
      </c>
      <c r="N508" s="10">
        <f>2*(C514*I508)/(C514+I508)</f>
        <v>0.1622718052738337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53</v>
      </c>
      <c r="E509" s="1">
        <v>4</v>
      </c>
      <c r="F509" s="1">
        <v>0</v>
      </c>
      <c r="G509" s="6">
        <v>0</v>
      </c>
      <c r="H509" s="1">
        <f>SUM(C509:G509)</f>
        <v>57</v>
      </c>
      <c r="I509" s="10">
        <f>D509/H509</f>
        <v>0.92982456140350878</v>
      </c>
      <c r="J509" s="11">
        <f>1-I509</f>
        <v>7.0175438596491224E-2</v>
      </c>
      <c r="K509">
        <f>H509-D513</f>
        <v>0</v>
      </c>
      <c r="N509" s="10">
        <f>2*(D514*I509)/(D514+I509)</f>
        <v>0.92982456140350878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0</v>
      </c>
      <c r="E510" s="27">
        <v>658</v>
      </c>
      <c r="F510" s="1">
        <v>1</v>
      </c>
      <c r="G510" s="6">
        <v>1</v>
      </c>
      <c r="H510" s="1">
        <f>SUM(C510:G510)</f>
        <v>660</v>
      </c>
      <c r="I510" s="10">
        <f>E510/H510</f>
        <v>0.99696969696969695</v>
      </c>
      <c r="J510" s="11">
        <f>1-I510</f>
        <v>3.0303030303030498E-3</v>
      </c>
      <c r="K510">
        <f>H510-E513</f>
        <v>-411</v>
      </c>
      <c r="N510" s="10">
        <f>2*(E514*I510)/(E514+I510)</f>
        <v>0.76025418833044478</v>
      </c>
      <c r="O510" s="1"/>
      <c r="P510" s="1"/>
    </row>
    <row r="511" spans="1:40" x14ac:dyDescent="0.3">
      <c r="A511" t="s">
        <v>6</v>
      </c>
      <c r="B511" s="13">
        <v>3</v>
      </c>
      <c r="C511" s="5">
        <v>2</v>
      </c>
      <c r="D511" s="1">
        <v>2</v>
      </c>
      <c r="E511" s="1">
        <v>3</v>
      </c>
      <c r="F511" s="27">
        <v>573</v>
      </c>
      <c r="G511" s="6">
        <v>2</v>
      </c>
      <c r="H511" s="1">
        <f>SUM(C511:G511)</f>
        <v>582</v>
      </c>
      <c r="I511" s="10">
        <f>F511/H511</f>
        <v>0.98453608247422686</v>
      </c>
      <c r="J511" s="11">
        <f>1-I511</f>
        <v>1.5463917525773141E-2</v>
      </c>
      <c r="K511">
        <f>H511-F513</f>
        <v>-72</v>
      </c>
      <c r="N511" s="10">
        <f>2*(F514*I511)/(F514+I511)</f>
        <v>0.9271844660194174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2</v>
      </c>
      <c r="E512" s="8">
        <v>1</v>
      </c>
      <c r="F512" s="8">
        <v>74</v>
      </c>
      <c r="G512" s="28">
        <v>932</v>
      </c>
      <c r="H512" s="1">
        <f>SUM(C512:G512)</f>
        <v>1009</v>
      </c>
      <c r="I512" s="10">
        <f>G512/H512</f>
        <v>0.92368681863230917</v>
      </c>
      <c r="J512" s="11">
        <f>1-I512</f>
        <v>7.631318136769083E-2</v>
      </c>
      <c r="K512">
        <f>H512-G513</f>
        <v>74</v>
      </c>
      <c r="N512" s="10">
        <f>2*(G514*I512)/(G514+I512)</f>
        <v>0.95884773662551426</v>
      </c>
      <c r="O512" s="1"/>
      <c r="P512" s="1"/>
    </row>
    <row r="513" spans="1:40" ht="15.6" x14ac:dyDescent="0.35">
      <c r="B513" s="1" t="s">
        <v>19</v>
      </c>
      <c r="C513" s="1">
        <f>SUM(C508:C512)</f>
        <v>42</v>
      </c>
      <c r="D513" s="1">
        <f>SUM(D508:D512)</f>
        <v>57</v>
      </c>
      <c r="E513" s="1">
        <f>SUM(E508:E512)</f>
        <v>1071</v>
      </c>
      <c r="F513" s="1">
        <f>SUM(F508:F512)</f>
        <v>654</v>
      </c>
      <c r="G513" s="1">
        <f>SUM(G508:G512)</f>
        <v>935</v>
      </c>
      <c r="H513" s="1">
        <f>SUM(H507:H512)</f>
        <v>2759</v>
      </c>
      <c r="I513" s="13" t="s">
        <v>12</v>
      </c>
      <c r="N513" s="16"/>
      <c r="O513" s="1"/>
      <c r="P513" s="1"/>
      <c r="AM513" s="78"/>
      <c r="AN513" s="78"/>
    </row>
    <row r="514" spans="1:40" x14ac:dyDescent="0.3">
      <c r="A514" s="1" t="s">
        <v>52</v>
      </c>
      <c r="B514" s="1" t="s">
        <v>2</v>
      </c>
      <c r="C514" s="10">
        <f>C508/C513</f>
        <v>0.95238095238095233</v>
      </c>
      <c r="D514" s="10">
        <f>D509/D513</f>
        <v>0.92982456140350878</v>
      </c>
      <c r="E514" s="10">
        <f>E510/E513</f>
        <v>0.6143790849673203</v>
      </c>
      <c r="F514" s="10">
        <f>F511/F513</f>
        <v>0.87614678899082565</v>
      </c>
      <c r="G514" s="10">
        <f>G512/G513</f>
        <v>0.99679144385026741</v>
      </c>
      <c r="H514" s="10"/>
      <c r="I514" s="14">
        <f>(C508+D509+E510+F511+G512)/H513</f>
        <v>0.81768756795940556</v>
      </c>
    </row>
    <row r="515" spans="1:40" x14ac:dyDescent="0.3">
      <c r="B515" s="1" t="s">
        <v>14</v>
      </c>
      <c r="C515" s="11">
        <f>1-C514</f>
        <v>4.7619047619047672E-2</v>
      </c>
      <c r="D515" s="11">
        <f>1-D514</f>
        <v>7.0175438596491224E-2</v>
      </c>
      <c r="E515" s="11">
        <f>1-E514</f>
        <v>0.3856209150326797</v>
      </c>
      <c r="F515" s="11">
        <f>1-F514</f>
        <v>0.12385321100917435</v>
      </c>
      <c r="G515" s="11">
        <f>1-G514</f>
        <v>3.2085561497325887E-3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2.5664012966188372E-2</v>
      </c>
      <c r="D519" s="31">
        <f>(D508/$L519)*$O519</f>
        <v>0</v>
      </c>
      <c r="E519" s="31">
        <f>(E508/$L519)*$O519</f>
        <v>0.25984813128265721</v>
      </c>
      <c r="F519" s="31">
        <f>(F508/$L519)*$O519</f>
        <v>3.8496019449282552E-3</v>
      </c>
      <c r="G519" s="32">
        <f>(G508/$L519)*$O519</f>
        <v>0</v>
      </c>
      <c r="H519" s="17">
        <f>SUM(C519:G519)</f>
        <v>0.28936174619377386</v>
      </c>
      <c r="I519" s="17">
        <f>C519/H519*100</f>
        <v>8.8691796008869179</v>
      </c>
      <c r="J519" s="17">
        <f>SQRT(I519*(100-I519)/(L519-1))</f>
        <v>1.340195353335478</v>
      </c>
      <c r="K519" s="18">
        <f>100-I519</f>
        <v>91.130820399113077</v>
      </c>
      <c r="L519" s="1">
        <f>H508</f>
        <v>451</v>
      </c>
      <c r="M519">
        <v>0</v>
      </c>
      <c r="N519" s="1">
        <v>268.25</v>
      </c>
      <c r="O519" s="17">
        <f>N519/N524*100</f>
        <v>0.28936174619377386</v>
      </c>
      <c r="P519" s="52">
        <f>((O519*O519*(I519/100)*(K519/100))/(L519-1))</f>
        <v>1.5038982321571632E-5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57">(C509/$L520)*$O520</f>
        <v>0</v>
      </c>
      <c r="D520" s="34">
        <f t="shared" si="57"/>
        <v>0.85203131775506702</v>
      </c>
      <c r="E520" s="19">
        <f t="shared" si="57"/>
        <v>6.4304250396608822E-2</v>
      </c>
      <c r="F520" s="18">
        <f t="shared" si="57"/>
        <v>0</v>
      </c>
      <c r="G520" s="20">
        <f t="shared" si="57"/>
        <v>0</v>
      </c>
      <c r="H520" s="17">
        <f>SUM(C520:G520)</f>
        <v>0.91633556815167583</v>
      </c>
      <c r="I520" s="17">
        <f>D520/H520*100</f>
        <v>92.982456140350877</v>
      </c>
      <c r="J520" s="17">
        <f>SQRT(I520*(100-I520)/(L520-1))</f>
        <v>3.4134933513474275</v>
      </c>
      <c r="K520" s="18">
        <f>100-I520</f>
        <v>7.0175438596491233</v>
      </c>
      <c r="L520" s="1">
        <f>H509</f>
        <v>57</v>
      </c>
      <c r="M520">
        <v>1</v>
      </c>
      <c r="N520" s="1">
        <v>849.48</v>
      </c>
      <c r="O520" s="17">
        <f>N520/N524*100</f>
        <v>0.91633556815167583</v>
      </c>
      <c r="P520" s="52">
        <f>((O520*O520*(I520/100)*(K520/100))/(L520-1))</f>
        <v>9.7837920004775736E-4</v>
      </c>
    </row>
    <row r="521" spans="1:40" x14ac:dyDescent="0.3">
      <c r="A521" t="s">
        <v>5</v>
      </c>
      <c r="B521" s="13">
        <v>2</v>
      </c>
      <c r="C521" s="33">
        <f t="shared" si="57"/>
        <v>0</v>
      </c>
      <c r="D521" s="19">
        <f t="shared" si="57"/>
        <v>0</v>
      </c>
      <c r="E521" s="34">
        <f t="shared" si="57"/>
        <v>59.799643504759672</v>
      </c>
      <c r="F521" s="19">
        <f t="shared" si="57"/>
        <v>9.0880917180485826E-2</v>
      </c>
      <c r="G521" s="20">
        <f t="shared" si="57"/>
        <v>9.0880917180485826E-2</v>
      </c>
      <c r="H521" s="17">
        <f>SUM(C521:G521)</f>
        <v>59.981405339120641</v>
      </c>
      <c r="I521" s="17">
        <f>E521/H521*100</f>
        <v>99.696969696969688</v>
      </c>
      <c r="J521" s="17">
        <f>SQRT(I521*(100-I521)/(L521-1))</f>
        <v>0.21411214474848439</v>
      </c>
      <c r="K521" s="18">
        <f>100-I521</f>
        <v>0.30303030303031164</v>
      </c>
      <c r="L521" s="1">
        <f>H510</f>
        <v>660</v>
      </c>
      <c r="M521">
        <v>2</v>
      </c>
      <c r="N521" s="1">
        <v>55605.18</v>
      </c>
      <c r="O521" s="17">
        <f>N521/N524*100</f>
        <v>59.981405339120641</v>
      </c>
      <c r="P521" s="52">
        <f>((O521*O521*(I521/100)*(K521/100))/(L521-1))</f>
        <v>1.6493615929525932E-2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57"/>
        <v>0.11169356174665841</v>
      </c>
      <c r="D522" s="19">
        <f t="shared" si="57"/>
        <v>0.11169356174665841</v>
      </c>
      <c r="E522" s="19">
        <f t="shared" si="57"/>
        <v>0.1675403426199876</v>
      </c>
      <c r="F522" s="34">
        <f t="shared" si="57"/>
        <v>32.000205440417638</v>
      </c>
      <c r="G522" s="20">
        <f t="shared" si="57"/>
        <v>0.11169356174665841</v>
      </c>
      <c r="H522" s="17">
        <f>SUM(C522:G522)</f>
        <v>32.502826468277597</v>
      </c>
      <c r="I522" s="17">
        <f>F522/H522*100</f>
        <v>98.453608247422693</v>
      </c>
      <c r="J522" s="17">
        <f>SQRT(I522*(100-I522)/(L522-1))</f>
        <v>0.51190281155436723</v>
      </c>
      <c r="K522" s="18">
        <f>100-I522</f>
        <v>1.546391752577307</v>
      </c>
      <c r="L522" s="1">
        <f>H511</f>
        <v>582</v>
      </c>
      <c r="M522">
        <v>3</v>
      </c>
      <c r="N522" s="1">
        <v>30131.43</v>
      </c>
      <c r="O522" s="17">
        <f>N522/N524*100</f>
        <v>32.502826468277597</v>
      </c>
      <c r="P522" s="52">
        <f>((O522*O522*(I522/100)*(K522/100))/(L522-1))</f>
        <v>2.7683263597577553E-2</v>
      </c>
    </row>
    <row r="523" spans="1:40" x14ac:dyDescent="0.3">
      <c r="A523" t="s">
        <v>7</v>
      </c>
      <c r="B523" s="13">
        <v>4</v>
      </c>
      <c r="C523" s="35">
        <f t="shared" si="57"/>
        <v>0</v>
      </c>
      <c r="D523" s="36">
        <f t="shared" si="57"/>
        <v>1.2507573594165147E-2</v>
      </c>
      <c r="E523" s="21">
        <f t="shared" si="57"/>
        <v>6.2537867970825734E-3</v>
      </c>
      <c r="F523" s="21">
        <f t="shared" si="57"/>
        <v>0.46278022298411048</v>
      </c>
      <c r="G523" s="37">
        <f t="shared" si="57"/>
        <v>5.8285292948809584</v>
      </c>
      <c r="H523" s="17">
        <f>SUM(C523:G523)</f>
        <v>6.3100708782563162</v>
      </c>
      <c r="I523" s="17">
        <f>G523/H523*100</f>
        <v>92.368681863230933</v>
      </c>
      <c r="J523" s="17">
        <f>SQRT(I523*(100-I523)/(L523-1))</f>
        <v>0.83624182747585929</v>
      </c>
      <c r="K523" s="18">
        <f>100-I523</f>
        <v>7.6313181367690675</v>
      </c>
      <c r="L523" s="1">
        <f>H512</f>
        <v>1009</v>
      </c>
      <c r="M523">
        <v>4</v>
      </c>
      <c r="N523" s="1">
        <v>5849.69</v>
      </c>
      <c r="O523" s="17">
        <f>N523/N524*100</f>
        <v>6.3100708782563171</v>
      </c>
      <c r="P523" s="52">
        <f>((O523*O523*(I523/100)*(K523/100))/(L523-1))</f>
        <v>2.7844039934589618E-3</v>
      </c>
      <c r="AM523" s="78"/>
      <c r="AN523" s="78"/>
    </row>
    <row r="524" spans="1:40" x14ac:dyDescent="0.3">
      <c r="B524" t="s">
        <v>28</v>
      </c>
      <c r="C524" s="17">
        <f>SUM(C519:C523)</f>
        <v>0.13735757471284679</v>
      </c>
      <c r="D524" s="17">
        <f>SUM(D519:D523)</f>
        <v>0.97623245309589057</v>
      </c>
      <c r="E524" s="17">
        <f>SUM(E519:E523)</f>
        <v>60.297590015856009</v>
      </c>
      <c r="F524" s="17">
        <f>SUM(F519:F523)</f>
        <v>32.557716182527159</v>
      </c>
      <c r="G524" s="17">
        <f>SUM(G519:G523)</f>
        <v>6.0311037738081028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92704.03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7.8938558513619833E-2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8.517963190240635E-2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0.16368956859979139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0.19638440738647719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0.13131931222670529</v>
      </c>
      <c r="H525" s="1"/>
      <c r="I525" s="14">
        <f>(C519+D520+E521+F522+G523)/H524</f>
        <v>0.98506073570779507</v>
      </c>
      <c r="J525" s="53">
        <f>SQRT(SUM(P519:P523))/100</f>
        <v>2.1898561985420817E-3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18.684090061898907</v>
      </c>
      <c r="D526" s="17">
        <f>D520/D524*100</f>
        <v>87.277503944173446</v>
      </c>
      <c r="E526" s="17">
        <f>E521/E524*100</f>
        <v>99.174185052892838</v>
      </c>
      <c r="F526" s="17">
        <f>F522/F524*100</f>
        <v>98.287623311831922</v>
      </c>
      <c r="G526" s="17">
        <f>G523/G524*100</f>
        <v>96.641170728865816</v>
      </c>
      <c r="H526" s="1"/>
    </row>
    <row r="527" spans="1:40" x14ac:dyDescent="0.3">
      <c r="B527" s="16" t="s">
        <v>39</v>
      </c>
      <c r="C527" s="18">
        <f>SQRT((C530+C531)/(C524*C524))</f>
        <v>229.8297819389098</v>
      </c>
      <c r="D527" s="18">
        <f>SQRT((D530+D531)/(D524*D524))</f>
        <v>8.1861033592428996</v>
      </c>
      <c r="E527" s="18">
        <f>SQRT((E530+E531)/(E524*E524))</f>
        <v>0.16832162834043929</v>
      </c>
      <c r="F527" s="18">
        <f>SQRT((F530+F531)/(F524*F524))</f>
        <v>0.32774715133666299</v>
      </c>
      <c r="G527" s="18">
        <f>SQRT((G530+G531)/(G524*G524))</f>
        <v>1.9508715347559811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81.3159099381011</v>
      </c>
      <c r="D528" s="18">
        <f>100-D526</f>
        <v>12.722496055826554</v>
      </c>
      <c r="E528" s="18">
        <f>100-E526</f>
        <v>0.82581494710716186</v>
      </c>
      <c r="F528" s="18">
        <f>100-F526</f>
        <v>1.712376688168078</v>
      </c>
      <c r="G528" s="18">
        <f>100-G526</f>
        <v>3.3588292711341836</v>
      </c>
    </row>
    <row r="529" spans="1:40" ht="15.6" x14ac:dyDescent="0.35">
      <c r="B529" s="1" t="s">
        <v>25</v>
      </c>
      <c r="C529" s="1">
        <f>C513</f>
        <v>42</v>
      </c>
      <c r="D529" s="1">
        <f>D513</f>
        <v>57</v>
      </c>
      <c r="E529" s="1">
        <f>E513</f>
        <v>1071</v>
      </c>
      <c r="F529" s="1">
        <f>F513</f>
        <v>654</v>
      </c>
      <c r="G529" s="1">
        <f>G513</f>
        <v>935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994.41920052404953</v>
      </c>
      <c r="D530" s="18">
        <f>(O520*O520*(100-D526)*(100-D526)*(I520)*(100-I520))/((L520-1)*100)</f>
        <v>15.83623220033745</v>
      </c>
      <c r="E530" s="18">
        <f>(O521*O521*(100-E526)*(100-E526)*(I521)*(100-I521))/((L521-1)*100)</f>
        <v>1.1248156646654541</v>
      </c>
      <c r="F530" s="18">
        <f>(O522*O522*(100-F526)*(100-F526)*(I522)*(100-I522))/((L522-1)*100)</f>
        <v>8.1173804597508479</v>
      </c>
      <c r="G530" s="18">
        <f>(O523*O523*(100-G526)*(100-G526)*(I523)*(100-I523))/((L523-1)*100)</f>
        <v>3.1412905404966858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2.173812340806621</v>
      </c>
      <c r="D531" s="18">
        <f>D526*D526*(SUM((H519*D519*(1-D508/H508))/(H508-1),(H521*D521*(1-D510/H510))/(H510-1), (H522*D522*(1-D511/H511))/(H511-1),(H523*D523*(1-D512/H512))/(H512-1)))</f>
        <v>48.028475594304268</v>
      </c>
      <c r="E531" s="18">
        <f>E526*E526*(SUM((H519*E519*(1-E508/H508))/(H508-1),(H520*E520*(1-E509/H509))/(H509-1), (H522*E522*(1-E511/H511))/(H511-1),(H523*E523*(1-E512/H512))/(H512-1)))</f>
        <v>101.88527199962607</v>
      </c>
      <c r="F531" s="18">
        <f>F526*F526*(SUM((H519*F519*(1-F508/H508))/(H508-1),(H520*F520*(1-F509/H509))/(H509-1), (H521*F521*(1-F510/H510))/(H510-1),(H523*F523*(1-F512/H512))/(H512-1)))</f>
        <v>105.74643098751388</v>
      </c>
      <c r="G531" s="18">
        <f>G526*G526*(SUM((H519*G519*(1-G508/H508))/(H508-1),(H520*G520*(1-G509/H509))/(H509-1), (H521*G521*(1-G510/H510))/(H510-1),(H522*G522*(1-G511/H511))/(H511-1)))</f>
        <v>135.29531641927656</v>
      </c>
      <c r="AM531" s="78"/>
      <c r="AN531" s="78"/>
    </row>
    <row r="533" spans="1:40" x14ac:dyDescent="0.3">
      <c r="AM533" s="78"/>
      <c r="AN533" s="78"/>
    </row>
    <row r="534" spans="1:40" x14ac:dyDescent="0.3">
      <c r="A534" s="348" t="s">
        <v>384</v>
      </c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 t="s">
        <v>91</v>
      </c>
      <c r="M534" s="348"/>
      <c r="N534" s="348"/>
      <c r="O534" s="348"/>
      <c r="P534" s="348"/>
    </row>
    <row r="535" spans="1:40" x14ac:dyDescent="0.3">
      <c r="A535" t="s">
        <v>15</v>
      </c>
      <c r="B535" t="s">
        <v>21</v>
      </c>
      <c r="I535" s="1" t="s">
        <v>53</v>
      </c>
      <c r="O535" s="142"/>
      <c r="P535" s="142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51</v>
      </c>
      <c r="O536" s="13"/>
      <c r="P536" s="13"/>
    </row>
    <row r="537" spans="1:40" x14ac:dyDescent="0.3">
      <c r="A537" t="s">
        <v>3</v>
      </c>
      <c r="B537" s="13">
        <v>0</v>
      </c>
      <c r="C537" s="26">
        <v>40</v>
      </c>
      <c r="D537" s="3">
        <v>0</v>
      </c>
      <c r="E537" s="3">
        <v>406</v>
      </c>
      <c r="F537" s="3">
        <v>5</v>
      </c>
      <c r="G537" s="4">
        <v>0</v>
      </c>
      <c r="H537" s="1">
        <f>SUM(C537:G537)</f>
        <v>451</v>
      </c>
      <c r="I537" s="10">
        <f>C537/H537</f>
        <v>8.8691796008869186E-2</v>
      </c>
      <c r="J537" s="11">
        <f>1-I537</f>
        <v>0.91130820399113077</v>
      </c>
      <c r="K537">
        <f>H537-C542</f>
        <v>409</v>
      </c>
      <c r="N537" s="10">
        <f>2*(C543*I537)/(C543+I537)</f>
        <v>0.1622718052738337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52</v>
      </c>
      <c r="E538" s="1">
        <v>4</v>
      </c>
      <c r="F538" s="1">
        <v>0</v>
      </c>
      <c r="G538" s="6">
        <v>1</v>
      </c>
      <c r="H538" s="1">
        <f>SUM(C538:G538)</f>
        <v>57</v>
      </c>
      <c r="I538" s="10">
        <f>D538/H538</f>
        <v>0.91228070175438591</v>
      </c>
      <c r="J538" s="11">
        <f>1-I538</f>
        <v>8.7719298245614086E-2</v>
      </c>
      <c r="K538">
        <f>H538-D542</f>
        <v>0</v>
      </c>
      <c r="N538" s="10">
        <f>2*(D543*I538)/(D543+I538)</f>
        <v>0.91228070175438591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0</v>
      </c>
      <c r="E539" s="27">
        <v>659</v>
      </c>
      <c r="F539" s="1">
        <v>1</v>
      </c>
      <c r="G539" s="6">
        <v>0</v>
      </c>
      <c r="H539" s="1">
        <f>SUM(C539:G539)</f>
        <v>660</v>
      </c>
      <c r="I539" s="10">
        <f>E539/H539</f>
        <v>0.99848484848484853</v>
      </c>
      <c r="J539" s="11">
        <f>1-I539</f>
        <v>1.5151515151514694E-3</v>
      </c>
      <c r="K539">
        <f>H539-E542</f>
        <v>-413</v>
      </c>
      <c r="N539" s="10">
        <f>2*(E543*I539)/(E543+I539)</f>
        <v>0.76053087132140806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2</v>
      </c>
      <c r="D540" s="1">
        <v>3</v>
      </c>
      <c r="E540" s="1">
        <v>3</v>
      </c>
      <c r="F540" s="27">
        <v>570</v>
      </c>
      <c r="G540" s="6">
        <v>4</v>
      </c>
      <c r="H540" s="1">
        <f>SUM(C540:G540)</f>
        <v>582</v>
      </c>
      <c r="I540" s="10">
        <f>F540/H540</f>
        <v>0.97938144329896903</v>
      </c>
      <c r="J540" s="11">
        <f>1-I540</f>
        <v>2.0618556701030966E-2</v>
      </c>
      <c r="K540">
        <f>H540-F542</f>
        <v>-53</v>
      </c>
      <c r="N540" s="10">
        <f>2*(F543*I540)/(F543+I540)</f>
        <v>0.93672966310599837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2</v>
      </c>
      <c r="E541" s="8">
        <v>1</v>
      </c>
      <c r="F541" s="8">
        <v>59</v>
      </c>
      <c r="G541" s="28">
        <v>947</v>
      </c>
      <c r="H541" s="1">
        <f>SUM(C541:G541)</f>
        <v>1009</v>
      </c>
      <c r="I541" s="10">
        <f>G541/H541</f>
        <v>0.93855302279484643</v>
      </c>
      <c r="J541" s="11">
        <f>1-I541</f>
        <v>6.1446977205153575E-2</v>
      </c>
      <c r="K541">
        <f>H541-G542</f>
        <v>57</v>
      </c>
      <c r="N541" s="10">
        <f>2*(G543*I541)/(G543+I541)</f>
        <v>0.96583375828658857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42</v>
      </c>
      <c r="D542" s="1">
        <f>SUM(D537:D541)</f>
        <v>57</v>
      </c>
      <c r="E542" s="1">
        <f>SUM(E537:E541)</f>
        <v>1073</v>
      </c>
      <c r="F542" s="1">
        <f>SUM(F537:F541)</f>
        <v>635</v>
      </c>
      <c r="G542" s="1">
        <f>SUM(G537:G541)</f>
        <v>952</v>
      </c>
      <c r="H542" s="1">
        <f>SUM(H536:H541)</f>
        <v>2759</v>
      </c>
      <c r="I542" s="13" t="s">
        <v>12</v>
      </c>
      <c r="N542" s="16"/>
      <c r="O542" s="1"/>
      <c r="P542" s="1"/>
    </row>
    <row r="543" spans="1:40" x14ac:dyDescent="0.3">
      <c r="A543" s="1" t="s">
        <v>52</v>
      </c>
      <c r="B543" s="1" t="s">
        <v>2</v>
      </c>
      <c r="C543" s="10">
        <f>C537/C542</f>
        <v>0.95238095238095233</v>
      </c>
      <c r="D543" s="10">
        <f>D538/D542</f>
        <v>0.91228070175438591</v>
      </c>
      <c r="E543" s="10">
        <f>E539/E542</f>
        <v>0.61416589002795896</v>
      </c>
      <c r="F543" s="10">
        <f>F540/F542</f>
        <v>0.89763779527559051</v>
      </c>
      <c r="G543" s="10">
        <f>G541/G542</f>
        <v>0.99474789915966388</v>
      </c>
      <c r="H543" s="10"/>
      <c r="I543" s="14">
        <f>(C537+D538+E539+F540+G541)/H542</f>
        <v>0.82203696991663644</v>
      </c>
    </row>
    <row r="544" spans="1:40" x14ac:dyDescent="0.3">
      <c r="B544" s="1" t="s">
        <v>14</v>
      </c>
      <c r="C544" s="11">
        <f>1-C543</f>
        <v>4.7619047619047672E-2</v>
      </c>
      <c r="D544" s="11">
        <f>1-D543</f>
        <v>8.7719298245614086E-2</v>
      </c>
      <c r="E544" s="11">
        <f>1-E543</f>
        <v>0.38583410997204104</v>
      </c>
      <c r="F544" s="11">
        <f>1-F543</f>
        <v>0.10236220472440949</v>
      </c>
      <c r="G544" s="11">
        <f>1-G543</f>
        <v>5.2521008403361158E-3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2.4276769022070082E-2</v>
      </c>
      <c r="D548" s="31">
        <f>(D537/$L548)*$O548</f>
        <v>0</v>
      </c>
      <c r="E548" s="31">
        <f>(E537/$L548)*$O548</f>
        <v>0.24640920557401133</v>
      </c>
      <c r="F548" s="31">
        <f>(F537/$L548)*$O548</f>
        <v>3.0345961277587602E-3</v>
      </c>
      <c r="G548" s="32">
        <f>(G537/$L548)*$O548</f>
        <v>0</v>
      </c>
      <c r="H548" s="17">
        <f>SUM(C548:G548)</f>
        <v>0.27372057072384015</v>
      </c>
      <c r="I548" s="17">
        <f>C548/H548*100</f>
        <v>8.8691796008869179</v>
      </c>
      <c r="J548" s="17">
        <f>SQRT(I548*(100-I548)/(L548-1))</f>
        <v>1.340195353335478</v>
      </c>
      <c r="K548" s="18">
        <f>100-I548</f>
        <v>91.130820399113077</v>
      </c>
      <c r="L548" s="1">
        <f>H537</f>
        <v>451</v>
      </c>
      <c r="M548">
        <v>0</v>
      </c>
      <c r="N548" s="1">
        <v>253.75</v>
      </c>
      <c r="O548" s="17">
        <f>N548/N553*100</f>
        <v>0.27372057072384015</v>
      </c>
      <c r="P548" s="52">
        <f>((O548*O548*(I548/100)*(K548/100))/(L548-1))</f>
        <v>1.3457087906446496E-5</v>
      </c>
    </row>
    <row r="549" spans="1:16" x14ac:dyDescent="0.3">
      <c r="A549" t="s">
        <v>4</v>
      </c>
      <c r="B549" s="13">
        <v>1</v>
      </c>
      <c r="C549" s="33">
        <f t="shared" ref="C549:G552" si="58">(C538/$L549)*$O549</f>
        <v>0</v>
      </c>
      <c r="D549" s="34">
        <f t="shared" si="58"/>
        <v>0.89202806492045783</v>
      </c>
      <c r="E549" s="19">
        <f t="shared" si="58"/>
        <v>6.861754345541983E-2</v>
      </c>
      <c r="F549" s="18">
        <f t="shared" si="58"/>
        <v>0</v>
      </c>
      <c r="G549" s="20">
        <f t="shared" si="58"/>
        <v>1.7154385863854957E-2</v>
      </c>
      <c r="H549" s="17">
        <f>SUM(C549:G549)</f>
        <v>0.97779999423973263</v>
      </c>
      <c r="I549" s="17">
        <f>D549/H549*100</f>
        <v>91.228070175438589</v>
      </c>
      <c r="J549" s="17">
        <f>SQRT(I549*(100-I549)/(L549-1))</f>
        <v>3.7802263481198901</v>
      </c>
      <c r="K549" s="18">
        <f>100-I549</f>
        <v>8.7719298245614112</v>
      </c>
      <c r="L549" s="1">
        <f>H538</f>
        <v>57</v>
      </c>
      <c r="M549">
        <v>1</v>
      </c>
      <c r="N549" s="1">
        <v>906.46</v>
      </c>
      <c r="O549" s="17">
        <f>N549/N553*100</f>
        <v>0.97779999423973263</v>
      </c>
      <c r="P549" s="52">
        <f>((O549*O549*(I549/100)*(K549/100))/(L549-1))</f>
        <v>1.3662672881279828E-3</v>
      </c>
    </row>
    <row r="550" spans="1:16" x14ac:dyDescent="0.3">
      <c r="A550" t="s">
        <v>5</v>
      </c>
      <c r="B550" s="13">
        <v>2</v>
      </c>
      <c r="C550" s="33">
        <f t="shared" si="58"/>
        <v>0</v>
      </c>
      <c r="D550" s="19">
        <f t="shared" si="58"/>
        <v>0</v>
      </c>
      <c r="E550" s="34">
        <f t="shared" si="58"/>
        <v>60.313811894399059</v>
      </c>
      <c r="F550" s="19">
        <f t="shared" si="58"/>
        <v>9.1523235044611628E-2</v>
      </c>
      <c r="G550" s="20">
        <f t="shared" si="58"/>
        <v>0</v>
      </c>
      <c r="H550" s="17">
        <f>SUM(C550:G550)</f>
        <v>60.405335129443671</v>
      </c>
      <c r="I550" s="17">
        <f>E550/H550*100</f>
        <v>99.848484848484858</v>
      </c>
      <c r="J550" s="17">
        <f>SQRT(I550*(100-I550)/(L550-1))</f>
        <v>0.15151515151514658</v>
      </c>
      <c r="K550" s="18">
        <f>100-I550</f>
        <v>0.15151515151514161</v>
      </c>
      <c r="L550" s="1">
        <f>H539</f>
        <v>660</v>
      </c>
      <c r="M550">
        <v>2</v>
      </c>
      <c r="N550" s="1">
        <v>55998.18</v>
      </c>
      <c r="O550" s="17">
        <f>N550/N553*100</f>
        <v>60.405335129443671</v>
      </c>
      <c r="P550" s="52">
        <f>((O550*O550*(I550/100)*(K550/100))/(L550-1))</f>
        <v>8.3765025530306778E-3</v>
      </c>
    </row>
    <row r="551" spans="1:16" x14ac:dyDescent="0.3">
      <c r="A551" t="s">
        <v>6</v>
      </c>
      <c r="B551" s="13">
        <v>3</v>
      </c>
      <c r="C551" s="33">
        <f t="shared" si="58"/>
        <v>0.10965485249557315</v>
      </c>
      <c r="D551" s="19">
        <f t="shared" si="58"/>
        <v>0.16448227874335972</v>
      </c>
      <c r="E551" s="19">
        <f t="shared" si="58"/>
        <v>0.16448227874335972</v>
      </c>
      <c r="F551" s="34">
        <f t="shared" si="58"/>
        <v>31.251632961238347</v>
      </c>
      <c r="G551" s="20">
        <f t="shared" si="58"/>
        <v>0.2193097049911463</v>
      </c>
      <c r="H551" s="17">
        <f>SUM(C551:G551)</f>
        <v>31.909562076211785</v>
      </c>
      <c r="I551" s="17">
        <f>F551/H551*100</f>
        <v>97.938144329896915</v>
      </c>
      <c r="J551" s="17">
        <f>SQRT(I551*(100-I551)/(L551-1))</f>
        <v>0.58954505375428989</v>
      </c>
      <c r="K551" s="18">
        <f>100-I551</f>
        <v>2.0618556701030855</v>
      </c>
      <c r="L551" s="1">
        <f>H540</f>
        <v>582</v>
      </c>
      <c r="M551">
        <v>3</v>
      </c>
      <c r="N551" s="1">
        <v>29581.45</v>
      </c>
      <c r="O551" s="17">
        <f>N551/N553*100</f>
        <v>31.909562076211788</v>
      </c>
      <c r="P551" s="52">
        <f>((O551*O551*(I551/100)*(K551/100))/(L551-1))</f>
        <v>3.5389602780829997E-2</v>
      </c>
    </row>
    <row r="552" spans="1:16" x14ac:dyDescent="0.3">
      <c r="A552" t="s">
        <v>7</v>
      </c>
      <c r="B552" s="13">
        <v>4</v>
      </c>
      <c r="C552" s="35">
        <f t="shared" si="58"/>
        <v>0</v>
      </c>
      <c r="D552" s="36">
        <f t="shared" si="58"/>
        <v>1.2752392922459794E-2</v>
      </c>
      <c r="E552" s="21">
        <f t="shared" si="58"/>
        <v>6.3761964612298969E-3</v>
      </c>
      <c r="F552" s="21">
        <f t="shared" si="58"/>
        <v>0.37619559121256391</v>
      </c>
      <c r="G552" s="37">
        <f t="shared" si="58"/>
        <v>6.0382580487847131</v>
      </c>
      <c r="H552" s="17">
        <f>SUM(C552:G552)</f>
        <v>6.433582229380967</v>
      </c>
      <c r="I552" s="17">
        <f>G552/H552*100</f>
        <v>93.855302279484633</v>
      </c>
      <c r="J552" s="17">
        <f>SQRT(I552*(100-I552)/(L552-1))</f>
        <v>0.75639631076802727</v>
      </c>
      <c r="K552" s="18">
        <f>100-I552</f>
        <v>6.1446977205153672</v>
      </c>
      <c r="L552" s="1">
        <f>H541</f>
        <v>1009</v>
      </c>
      <c r="M552">
        <v>4</v>
      </c>
      <c r="N552" s="1">
        <v>5964.19</v>
      </c>
      <c r="O552" s="17">
        <f>N552/N553*100</f>
        <v>6.4335822293809661</v>
      </c>
      <c r="P552" s="52">
        <f>((O552*O552*(I552/100)*(K552/100))/(L552-1))</f>
        <v>2.3681244200045152E-3</v>
      </c>
    </row>
    <row r="553" spans="1:16" x14ac:dyDescent="0.3">
      <c r="B553" t="s">
        <v>28</v>
      </c>
      <c r="C553" s="17">
        <f>SUM(C548:C552)</f>
        <v>0.13393162151764323</v>
      </c>
      <c r="D553" s="17">
        <f>SUM(D548:D552)</f>
        <v>1.0692627365862772</v>
      </c>
      <c r="E553" s="17">
        <f>SUM(E548:E552)</f>
        <v>60.799697118633077</v>
      </c>
      <c r="F553" s="17">
        <f>SUM(F548:F552)</f>
        <v>31.722386383623281</v>
      </c>
      <c r="G553" s="17">
        <f>SUM(G548:G552)</f>
        <v>6.2747221396397146</v>
      </c>
      <c r="H553" s="1">
        <f>SUM(H547:H552)</f>
        <v>100</v>
      </c>
      <c r="I553" s="13" t="s">
        <v>24</v>
      </c>
      <c r="J553" s="12" t="s">
        <v>29</v>
      </c>
      <c r="N553" s="1">
        <f>SUM(N548:N552)</f>
        <v>92704.03</v>
      </c>
      <c r="O553" s="17">
        <f>SUM(O548:O552)</f>
        <v>99.999999999999986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7.7491034790637153E-2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0.10195637805130098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0.13596136212631296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0.21436619216521977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0.12081570223744129</v>
      </c>
      <c r="H554" s="1"/>
      <c r="I554" s="56">
        <f>(C548+D549+E550+F551+G552)/H553</f>
        <v>0.98520007738364646</v>
      </c>
      <c r="J554" s="53">
        <f>SQRT(SUM(P548:P552))/100</f>
        <v>2.1797695779577166E-3</v>
      </c>
      <c r="M554" s="1"/>
      <c r="N554" s="9"/>
    </row>
    <row r="555" spans="1:16" x14ac:dyDescent="0.3">
      <c r="B555" s="1" t="s">
        <v>30</v>
      </c>
      <c r="C555" s="17">
        <f>C548/C553*100</f>
        <v>18.126241396153056</v>
      </c>
      <c r="D555" s="17">
        <f>D549/D553*100</f>
        <v>83.42459101944786</v>
      </c>
      <c r="E555" s="17">
        <f>E550/E553*100</f>
        <v>99.200842689584533</v>
      </c>
      <c r="F555" s="17">
        <f>F551/F553*100</f>
        <v>98.51602140932259</v>
      </c>
      <c r="G555" s="17">
        <f>G552/G553*100</f>
        <v>96.231481082466246</v>
      </c>
      <c r="H555" s="1"/>
    </row>
    <row r="556" spans="1:16" x14ac:dyDescent="0.3">
      <c r="B556" s="16" t="s">
        <v>39</v>
      </c>
      <c r="C556" s="18">
        <f>SQRT((C559+C560)/(C553*C553))</f>
        <v>224.49739933705007</v>
      </c>
      <c r="D556" s="18">
        <f>SQRT((D559+D560)/(D553*D553))</f>
        <v>9.3825791385632105</v>
      </c>
      <c r="E556" s="18">
        <f>SQRT((E559+E560)/(E553*E553))</f>
        <v>0.16487327770098242</v>
      </c>
      <c r="F556" s="18">
        <f>SQRT((F559+F560)/(F553*F553))</f>
        <v>0.33219426713680761</v>
      </c>
      <c r="G556" s="18">
        <f>SQRT((G559+G560)/(G553*G553))</f>
        <v>1.7228382344673558</v>
      </c>
      <c r="H556" s="1"/>
    </row>
    <row r="557" spans="1:16" x14ac:dyDescent="0.3">
      <c r="B557" s="1" t="s">
        <v>37</v>
      </c>
      <c r="C557" s="18">
        <f>100-C555</f>
        <v>81.873758603846937</v>
      </c>
      <c r="D557" s="18">
        <f>100-D555</f>
        <v>16.57540898055214</v>
      </c>
      <c r="E557" s="18">
        <f>100-E555</f>
        <v>0.79915731041546678</v>
      </c>
      <c r="F557" s="18">
        <f>100-F555</f>
        <v>1.4839785906774097</v>
      </c>
      <c r="G557" s="18">
        <f>100-G555</f>
        <v>3.7685189175337541</v>
      </c>
    </row>
    <row r="558" spans="1:16" ht="15.6" x14ac:dyDescent="0.35">
      <c r="B558" s="1" t="s">
        <v>25</v>
      </c>
      <c r="C558" s="1">
        <f>C542</f>
        <v>42</v>
      </c>
      <c r="D558" s="1">
        <f>D542</f>
        <v>57</v>
      </c>
      <c r="E558" s="1">
        <f>E542</f>
        <v>1073</v>
      </c>
      <c r="F558" s="1">
        <f>F542</f>
        <v>635</v>
      </c>
      <c r="G558" s="1">
        <f>G542</f>
        <v>952</v>
      </c>
    </row>
    <row r="559" spans="1:16" x14ac:dyDescent="0.3">
      <c r="B559" s="1" t="s">
        <v>34</v>
      </c>
      <c r="C559" s="18">
        <f>(O548*O548*(100-C555)*(100-C555)*(I548)*(100-I548))/(L548-1)</f>
        <v>902.07063530341168</v>
      </c>
      <c r="D559" s="18">
        <f>(O549*O549*(100-D555)*(100-D555)*(I549)*(100-I549))/((L549-1)*100)</f>
        <v>37.537398966224281</v>
      </c>
      <c r="E559" s="18">
        <f>(O550*O550*(100-E555)*(100-E555)*(I550)*(100-I550))/((L550-1)*100)</f>
        <v>0.53496735159796649</v>
      </c>
      <c r="F559" s="18">
        <f>(O551*O551*(100-F555)*(100-F555)*(I551)*(100-I551))/((L551-1)*100)</f>
        <v>7.7934716321011361</v>
      </c>
      <c r="G559" s="18">
        <f>(O552*O552*(100-G555)*(100-G555)*(I552)*(100-I552))/((L552-1)*100)</f>
        <v>3.3631475061637452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1.9719372657611927</v>
      </c>
      <c r="D560" s="18">
        <f>D555*D555*(SUM((H548*D548*(1-D537/H537))/(H537-1),(H550*D550*(1-D539/H539))/(H539-1), (H551*D551*(1-D540/H540))/(H540-1),(H552*D552*(1-D541/H541))/(H541-1)))</f>
        <v>63.112498451845489</v>
      </c>
      <c r="E560" s="18">
        <f>E555*E555*(SUM((H548*E548*(1-E537/H537))/(H537-1),(H549*E549*(1-E538/H538))/(H538-1), (H551*E551*(1-E540/H540))/(H540-1),(H552*E552*(1-E541/H541))/(H541-1)))</f>
        <v>99.950527428781982</v>
      </c>
      <c r="F560" s="18">
        <f>F555*F555*(SUM((H548*F548*(1-F537/H537))/(H537-1),(H549*F549*(1-F538/H538))/(H538-1), (H550*F550*(1-F539/H539))/(H539-1),(H552*F552*(1-F541/H541))/(H541-1)))</f>
        <v>103.25586480736781</v>
      </c>
      <c r="G560" s="18">
        <f>G555*G555*(SUM((H548*G548*(1-G537/H537))/(H537-1),(H549*G549*(1-G538/H538))/(H538-1), (H550*G550*(1-G539/H539))/(H539-1),(H551*G551*(1-G540/H540))/(H540-1)))</f>
        <v>113.50011342492529</v>
      </c>
    </row>
    <row r="563" spans="1:16" x14ac:dyDescent="0.3">
      <c r="A563" s="348" t="s">
        <v>384</v>
      </c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 t="s">
        <v>92</v>
      </c>
      <c r="M563" s="348"/>
      <c r="N563" s="348"/>
      <c r="O563" s="348"/>
      <c r="P563" s="348"/>
    </row>
    <row r="564" spans="1:16" x14ac:dyDescent="0.3">
      <c r="A564" t="s">
        <v>15</v>
      </c>
      <c r="B564" t="s">
        <v>21</v>
      </c>
      <c r="I564" s="1" t="s">
        <v>53</v>
      </c>
      <c r="O564" s="142"/>
      <c r="P564" s="142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51</v>
      </c>
      <c r="O565" s="13"/>
      <c r="P565" s="13"/>
    </row>
    <row r="566" spans="1:16" x14ac:dyDescent="0.3">
      <c r="A566" t="s">
        <v>3</v>
      </c>
      <c r="B566" s="13">
        <v>0</v>
      </c>
      <c r="C566" s="26">
        <v>36</v>
      </c>
      <c r="D566" s="3">
        <v>0</v>
      </c>
      <c r="E566" s="3">
        <v>415</v>
      </c>
      <c r="F566" s="3">
        <v>0</v>
      </c>
      <c r="G566" s="4">
        <v>0</v>
      </c>
      <c r="H566" s="1">
        <f>SUM(C566:G566)</f>
        <v>451</v>
      </c>
      <c r="I566" s="10">
        <f>C566/H566</f>
        <v>7.9822616407982258E-2</v>
      </c>
      <c r="J566" s="11">
        <f>1-I566</f>
        <v>0.92017738359201773</v>
      </c>
      <c r="K566">
        <f>H566-C571</f>
        <v>413</v>
      </c>
      <c r="N566" s="10">
        <f>2*(C572*I566)/(C572+I566)</f>
        <v>0.14723926380368099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54</v>
      </c>
      <c r="E567" s="1">
        <v>3</v>
      </c>
      <c r="F567" s="1">
        <v>0</v>
      </c>
      <c r="G567" s="6">
        <v>0</v>
      </c>
      <c r="H567" s="1">
        <f>SUM(C567:G567)</f>
        <v>57</v>
      </c>
      <c r="I567" s="10">
        <f>D567/H567</f>
        <v>0.94736842105263153</v>
      </c>
      <c r="J567" s="11">
        <f>1-I567</f>
        <v>5.2631578947368474E-2</v>
      </c>
      <c r="K567">
        <f>H567-D571</f>
        <v>0</v>
      </c>
      <c r="N567" s="10">
        <f>2*(D572*I567)/(D572+I567)</f>
        <v>0.94736842105263153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0</v>
      </c>
      <c r="E568" s="27">
        <v>659</v>
      </c>
      <c r="F568" s="1">
        <v>1</v>
      </c>
      <c r="G568" s="6">
        <v>0</v>
      </c>
      <c r="H568" s="1">
        <f>SUM(C568:G568)</f>
        <v>660</v>
      </c>
      <c r="I568" s="10">
        <f>E568/H568</f>
        <v>0.99848484848484853</v>
      </c>
      <c r="J568" s="11">
        <f>1-I568</f>
        <v>1.5151515151514694E-3</v>
      </c>
      <c r="K568">
        <f>H568-E571</f>
        <v>-421</v>
      </c>
      <c r="N568" s="10">
        <f>2*(E572*I568)/(E572+I568)</f>
        <v>0.7570361860999425</v>
      </c>
      <c r="O568" s="1"/>
      <c r="P568" s="1"/>
    </row>
    <row r="569" spans="1:16" x14ac:dyDescent="0.3">
      <c r="A569" t="s">
        <v>6</v>
      </c>
      <c r="B569" s="13">
        <v>3</v>
      </c>
      <c r="C569" s="5">
        <v>2</v>
      </c>
      <c r="D569" s="1">
        <v>3</v>
      </c>
      <c r="E569" s="1">
        <v>3</v>
      </c>
      <c r="F569" s="27">
        <v>569</v>
      </c>
      <c r="G569" s="6">
        <v>5</v>
      </c>
      <c r="H569" s="1">
        <f>SUM(C569:G569)</f>
        <v>582</v>
      </c>
      <c r="I569" s="10">
        <f>F569/H569</f>
        <v>0.9776632302405498</v>
      </c>
      <c r="J569" s="11">
        <f>1-I569</f>
        <v>2.2336769759450203E-2</v>
      </c>
      <c r="K569">
        <f>H569-F571</f>
        <v>-48</v>
      </c>
      <c r="N569" s="10">
        <f>2*(F572*I569)/(F572+I569)</f>
        <v>0.93894389438943893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0</v>
      </c>
      <c r="E570" s="8">
        <v>1</v>
      </c>
      <c r="F570" s="8">
        <v>60</v>
      </c>
      <c r="G570" s="28">
        <v>948</v>
      </c>
      <c r="H570" s="1">
        <f>SUM(C570:G570)</f>
        <v>1009</v>
      </c>
      <c r="I570" s="10">
        <f>G570/H570</f>
        <v>0.93954410307234881</v>
      </c>
      <c r="J570" s="11">
        <f>1-I570</f>
        <v>6.0455896927651187E-2</v>
      </c>
      <c r="K570">
        <f>H570-G571</f>
        <v>56</v>
      </c>
      <c r="N570" s="10">
        <f>2*(G572*I570)/(G572+I570)</f>
        <v>0.96636085626911317</v>
      </c>
      <c r="O570" s="1"/>
      <c r="P570" s="1"/>
    </row>
    <row r="571" spans="1:16" ht="15.6" x14ac:dyDescent="0.35">
      <c r="B571" s="1" t="s">
        <v>19</v>
      </c>
      <c r="C571" s="1">
        <f>SUM(C566:C570)</f>
        <v>38</v>
      </c>
      <c r="D571" s="1">
        <f>SUM(D566:D570)</f>
        <v>57</v>
      </c>
      <c r="E571" s="1">
        <f>SUM(E566:E570)</f>
        <v>1081</v>
      </c>
      <c r="F571" s="1">
        <f>SUM(F566:F570)</f>
        <v>630</v>
      </c>
      <c r="G571" s="1">
        <f>SUM(G566:G570)</f>
        <v>953</v>
      </c>
      <c r="H571" s="1">
        <f>SUM(H565:H570)</f>
        <v>2759</v>
      </c>
      <c r="I571" s="13" t="s">
        <v>12</v>
      </c>
      <c r="N571" s="16"/>
      <c r="O571" s="1"/>
      <c r="P571" s="1"/>
    </row>
    <row r="572" spans="1:16" x14ac:dyDescent="0.3">
      <c r="A572" s="1" t="s">
        <v>52</v>
      </c>
      <c r="B572" s="1" t="s">
        <v>2</v>
      </c>
      <c r="C572" s="10">
        <f>C566/C571</f>
        <v>0.94736842105263153</v>
      </c>
      <c r="D572" s="10">
        <f>D567/D571</f>
        <v>0.94736842105263153</v>
      </c>
      <c r="E572" s="10">
        <f>E568/E571</f>
        <v>0.60962072155411651</v>
      </c>
      <c r="F572" s="10">
        <f>F569/F571</f>
        <v>0.90317460317460319</v>
      </c>
      <c r="G572" s="10">
        <f>G570/G571</f>
        <v>0.99475341028331588</v>
      </c>
      <c r="H572" s="10"/>
      <c r="I572" s="14">
        <f>(C566+D567+E568+F569+G570)/H571</f>
        <v>0.82131206959043135</v>
      </c>
    </row>
    <row r="573" spans="1:16" x14ac:dyDescent="0.3">
      <c r="B573" s="1" t="s">
        <v>14</v>
      </c>
      <c r="C573" s="11">
        <f>1-C572</f>
        <v>5.2631578947368474E-2</v>
      </c>
      <c r="D573" s="11">
        <f>1-D572</f>
        <v>5.2631578947368474E-2</v>
      </c>
      <c r="E573" s="11">
        <f>1-E572</f>
        <v>0.39037927844588349</v>
      </c>
      <c r="F573" s="11">
        <f>1-F572</f>
        <v>9.6825396825396814E-2</v>
      </c>
      <c r="G573" s="11">
        <f>1-G572</f>
        <v>5.2465897166841247E-3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2.0562686459682761E-2</v>
      </c>
      <c r="D577" s="31">
        <f>(D566/$L577)*$O577</f>
        <v>0</v>
      </c>
      <c r="E577" s="31">
        <f>(E566/$L577)*$O577</f>
        <v>0.23704208002134294</v>
      </c>
      <c r="F577" s="31">
        <f>(F566/$L577)*$O577</f>
        <v>0</v>
      </c>
      <c r="G577" s="32">
        <f>(G566/$L577)*$O577</f>
        <v>0</v>
      </c>
      <c r="H577" s="17">
        <f>SUM(C577:G577)</f>
        <v>0.2576047664810257</v>
      </c>
      <c r="I577" s="17">
        <f>C577/H577*100</f>
        <v>7.9822616407982254</v>
      </c>
      <c r="J577" s="17">
        <f>SQRT(I577*(100-I577)/(L577-1))</f>
        <v>1.2775929304556923</v>
      </c>
      <c r="K577" s="18">
        <f>100-I577</f>
        <v>92.017738359201772</v>
      </c>
      <c r="L577" s="1">
        <f>H566</f>
        <v>451</v>
      </c>
      <c r="M577">
        <v>0</v>
      </c>
      <c r="N577" s="1">
        <v>238.81</v>
      </c>
      <c r="O577" s="17">
        <f>N577/N582*100</f>
        <v>0.2576047664810257</v>
      </c>
      <c r="P577" s="52">
        <f>((O577*O577*(I577/100)*(K577/100))/(L577-1))</f>
        <v>1.0831604376066458E-5</v>
      </c>
    </row>
    <row r="578" spans="1:16" x14ac:dyDescent="0.3">
      <c r="A578" t="s">
        <v>4</v>
      </c>
      <c r="B578" s="13">
        <v>1</v>
      </c>
      <c r="C578" s="33">
        <f t="shared" ref="C578:G581" si="59">(C567/$L578)*$O578</f>
        <v>0</v>
      </c>
      <c r="D578" s="34">
        <f t="shared" si="59"/>
        <v>0.921830134256867</v>
      </c>
      <c r="E578" s="19">
        <f t="shared" si="59"/>
        <v>5.1212785236492607E-2</v>
      </c>
      <c r="F578" s="18">
        <f t="shared" si="59"/>
        <v>0</v>
      </c>
      <c r="G578" s="20">
        <f t="shared" si="59"/>
        <v>0</v>
      </c>
      <c r="H578" s="17">
        <f>SUM(C578:G578)</f>
        <v>0.97304291949335964</v>
      </c>
      <c r="I578" s="17">
        <f>D578/H578*100</f>
        <v>94.73684210526315</v>
      </c>
      <c r="J578" s="17">
        <f>SQRT(I578*(100-I578)/(L578-1))</f>
        <v>2.9839300500728485</v>
      </c>
      <c r="K578" s="18">
        <f>100-I578</f>
        <v>5.2631578947368496</v>
      </c>
      <c r="L578" s="1">
        <f>H567</f>
        <v>57</v>
      </c>
      <c r="M578">
        <v>1</v>
      </c>
      <c r="N578" s="1">
        <v>902.05</v>
      </c>
      <c r="O578" s="17">
        <f>N578/N582*100</f>
        <v>0.97304291949335964</v>
      </c>
      <c r="P578" s="52">
        <f>((O578*O578*(I578/100)*(K578/100))/(L578-1))</f>
        <v>8.4302658375400258E-4</v>
      </c>
    </row>
    <row r="579" spans="1:16" x14ac:dyDescent="0.3">
      <c r="A579" t="s">
        <v>5</v>
      </c>
      <c r="B579" s="13">
        <v>2</v>
      </c>
      <c r="C579" s="33">
        <f t="shared" si="59"/>
        <v>0</v>
      </c>
      <c r="D579" s="19">
        <f t="shared" si="59"/>
        <v>0</v>
      </c>
      <c r="E579" s="34">
        <f t="shared" si="59"/>
        <v>59.875305460144119</v>
      </c>
      <c r="F579" s="19">
        <f t="shared" si="59"/>
        <v>9.085782315651611E-2</v>
      </c>
      <c r="G579" s="20">
        <f t="shared" si="59"/>
        <v>0</v>
      </c>
      <c r="H579" s="17">
        <f>SUM(C579:G579)</f>
        <v>59.966163283300638</v>
      </c>
      <c r="I579" s="17">
        <f>E579/H579*100</f>
        <v>99.848484848484844</v>
      </c>
      <c r="J579" s="17">
        <f>SQRT(I579*(100-I579)/(L579-1))</f>
        <v>0.15151515151515368</v>
      </c>
      <c r="K579" s="18">
        <f>100-I579</f>
        <v>0.15151515151515582</v>
      </c>
      <c r="L579" s="1">
        <f>H568</f>
        <v>660</v>
      </c>
      <c r="M579">
        <v>2</v>
      </c>
      <c r="N579" s="1">
        <v>55591.05</v>
      </c>
      <c r="O579" s="17">
        <f>N579/N582*100</f>
        <v>59.966163283300631</v>
      </c>
      <c r="P579" s="52">
        <f>((O579*O579*(I579/100)*(K579/100))/(L579-1))</f>
        <v>8.2551440287409877E-3</v>
      </c>
    </row>
    <row r="580" spans="1:16" x14ac:dyDescent="0.3">
      <c r="A580" t="s">
        <v>6</v>
      </c>
      <c r="B580" s="13">
        <v>3</v>
      </c>
      <c r="C580" s="33">
        <f t="shared" si="59"/>
        <v>0.11114635228514125</v>
      </c>
      <c r="D580" s="19">
        <f t="shared" si="59"/>
        <v>0.16671952842771187</v>
      </c>
      <c r="E580" s="19">
        <f t="shared" si="59"/>
        <v>0.16671952842771187</v>
      </c>
      <c r="F580" s="34">
        <f t="shared" si="59"/>
        <v>31.621137225122684</v>
      </c>
      <c r="G580" s="20">
        <f t="shared" si="59"/>
        <v>0.27786588071285317</v>
      </c>
      <c r="H580" s="17">
        <f>SUM(C580:G580)</f>
        <v>32.343588514976105</v>
      </c>
      <c r="I580" s="17">
        <f>F580/H580*100</f>
        <v>97.766323024054984</v>
      </c>
      <c r="J580" s="17">
        <f>SQRT(I580*(100-I580)/(L580-1))</f>
        <v>0.61307944913319135</v>
      </c>
      <c r="K580" s="18">
        <f>100-I580</f>
        <v>2.2336769759450164</v>
      </c>
      <c r="L580" s="1">
        <f>H569</f>
        <v>582</v>
      </c>
      <c r="M580">
        <v>3</v>
      </c>
      <c r="N580" s="1">
        <v>29983.81</v>
      </c>
      <c r="O580" s="17">
        <f>N580/N582*100</f>
        <v>32.343588514976105</v>
      </c>
      <c r="P580" s="52">
        <f>((O580*O580*(I580/100)*(K580/100))/(L580-1))</f>
        <v>3.9319675344099504E-2</v>
      </c>
    </row>
    <row r="581" spans="1:16" x14ac:dyDescent="0.3">
      <c r="A581" t="s">
        <v>7</v>
      </c>
      <c r="B581" s="13">
        <v>4</v>
      </c>
      <c r="C581" s="35">
        <f t="shared" si="59"/>
        <v>0</v>
      </c>
      <c r="D581" s="36">
        <f t="shared" si="59"/>
        <v>0</v>
      </c>
      <c r="E581" s="21">
        <f t="shared" si="59"/>
        <v>6.4019826717035518E-3</v>
      </c>
      <c r="F581" s="21">
        <f t="shared" si="59"/>
        <v>0.3841189603022131</v>
      </c>
      <c r="G581" s="37">
        <f t="shared" si="59"/>
        <v>6.0690795727749665</v>
      </c>
      <c r="H581" s="17">
        <f>SUM(C581:G581)</f>
        <v>6.4596005157488827</v>
      </c>
      <c r="I581" s="17">
        <f>G581/H581*100</f>
        <v>93.954410307234895</v>
      </c>
      <c r="J581" s="17">
        <f>SQRT(I581*(100-I581)/(L581-1))</f>
        <v>0.75066756966190173</v>
      </c>
      <c r="K581" s="18">
        <f>100-I581</f>
        <v>6.0455896927651054</v>
      </c>
      <c r="L581" s="1">
        <f>H570</f>
        <v>1009</v>
      </c>
      <c r="M581">
        <v>4</v>
      </c>
      <c r="N581" s="1">
        <v>5988.31</v>
      </c>
      <c r="O581" s="17">
        <f>N581/N582*100</f>
        <v>6.4596005157488836</v>
      </c>
      <c r="P581" s="52">
        <f>((O581*O581*(I581/100)*(K581/100))/(L581-1))</f>
        <v>2.3512923390315594E-3</v>
      </c>
    </row>
    <row r="582" spans="1:16" x14ac:dyDescent="0.3">
      <c r="B582" t="s">
        <v>28</v>
      </c>
      <c r="C582" s="17">
        <f t="shared" ref="C582:H582" si="60">SUM(C577:C581)</f>
        <v>0.13170903874482401</v>
      </c>
      <c r="D582" s="17">
        <f t="shared" si="60"/>
        <v>1.0885496626845788</v>
      </c>
      <c r="E582" s="17">
        <f t="shared" si="60"/>
        <v>60.33668183650137</v>
      </c>
      <c r="F582" s="17">
        <f t="shared" si="60"/>
        <v>32.096114008581409</v>
      </c>
      <c r="G582" s="17">
        <f t="shared" si="60"/>
        <v>6.3469454534878196</v>
      </c>
      <c r="H582" s="18">
        <f t="shared" si="60"/>
        <v>100.00000000000001</v>
      </c>
      <c r="I582" s="13" t="s">
        <v>24</v>
      </c>
      <c r="J582" s="12" t="s">
        <v>29</v>
      </c>
      <c r="N582" s="1">
        <f>SUM(N577:N581)</f>
        <v>92704.03</v>
      </c>
      <c r="O582" s="17">
        <f>SUM(O577:O581)</f>
        <v>100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7.8526030306310876E-2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0.10022780024609948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0.13542525808271294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0.22317626135621685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0.13288411971045838</v>
      </c>
      <c r="H583" s="1"/>
      <c r="I583" s="56">
        <f>(C577+D578+E579+F580+G581)/H582</f>
        <v>0.98507915078758301</v>
      </c>
      <c r="J583" s="53">
        <f>SQRT(SUM(P577:P581))/100</f>
        <v>2.2534411441171949E-3</v>
      </c>
      <c r="M583" s="1"/>
      <c r="N583" s="9"/>
    </row>
    <row r="584" spans="1:16" x14ac:dyDescent="0.3">
      <c r="B584" s="1" t="s">
        <v>30</v>
      </c>
      <c r="C584" s="17">
        <f>C577/C582*100</f>
        <v>15.612206007760305</v>
      </c>
      <c r="D584" s="17">
        <f>D578/D582*100</f>
        <v>84.684251518984581</v>
      </c>
      <c r="E584" s="17">
        <f>E579/E582*100</f>
        <v>99.235330213206822</v>
      </c>
      <c r="F584" s="17">
        <f>F580/F582*100</f>
        <v>98.520142396890378</v>
      </c>
      <c r="G584" s="17">
        <f>G581/G582*100</f>
        <v>95.622053431069602</v>
      </c>
      <c r="H584" s="1"/>
    </row>
    <row r="585" spans="1:16" x14ac:dyDescent="0.3">
      <c r="B585" s="16" t="s">
        <v>39</v>
      </c>
      <c r="C585" s="18">
        <f>SQRT((C588+C589)/(C582*C582))</f>
        <v>211.07322062230389</v>
      </c>
      <c r="D585" s="18">
        <f>SQRT((D588+D589)/(D582*D582))</f>
        <v>8.5187729093990328</v>
      </c>
      <c r="E585" s="18">
        <f>SQRT((E588+E589)/(E582*E582))</f>
        <v>0.16591930212662173</v>
      </c>
      <c r="F585" s="18">
        <f>SQRT((F588+F589)/(F582*F582))</f>
        <v>0.32856192744181739</v>
      </c>
      <c r="G585" s="18">
        <f>SQRT((G588+G589)/(G582*G582))</f>
        <v>1.8954504611605261</v>
      </c>
      <c r="H585" s="1"/>
    </row>
    <row r="586" spans="1:16" x14ac:dyDescent="0.3">
      <c r="B586" s="1" t="s">
        <v>37</v>
      </c>
      <c r="C586" s="18">
        <f>100-C584</f>
        <v>84.387793992239693</v>
      </c>
      <c r="D586" s="18">
        <f>100-D584</f>
        <v>15.315748481015419</v>
      </c>
      <c r="E586" s="18">
        <f>100-E584</f>
        <v>0.76466978679317776</v>
      </c>
      <c r="F586" s="18">
        <f>100-F584</f>
        <v>1.4798576031096218</v>
      </c>
      <c r="G586" s="18">
        <f>100-G584</f>
        <v>4.3779465689303976</v>
      </c>
    </row>
    <row r="587" spans="1:16" ht="15.6" x14ac:dyDescent="0.35">
      <c r="B587" s="1" t="s">
        <v>25</v>
      </c>
      <c r="C587" s="1">
        <f>C571</f>
        <v>38</v>
      </c>
      <c r="D587" s="1">
        <f>D571</f>
        <v>57</v>
      </c>
      <c r="E587" s="1">
        <f>E571</f>
        <v>1081</v>
      </c>
      <c r="F587" s="1">
        <f>F571</f>
        <v>630</v>
      </c>
      <c r="G587" s="1">
        <f>G571</f>
        <v>953</v>
      </c>
    </row>
    <row r="588" spans="1:16" x14ac:dyDescent="0.3">
      <c r="B588" s="1" t="s">
        <v>34</v>
      </c>
      <c r="C588" s="18">
        <f>(O577*O577*(100-C584)*(100-C584)*(I577)*(100-I577))/(L577-1)</f>
        <v>771.35101804835381</v>
      </c>
      <c r="D588" s="18">
        <f>(O578*O578*(100-D584)*(100-D584)*(I578)*(100-I578))/((L578-1)*100)</f>
        <v>19.775055955130334</v>
      </c>
      <c r="E588" s="18">
        <f>(O579*O579*(100-E584)*(100-E584)*(I579)*(100-I579))/((L579-1)*100)</f>
        <v>0.48269468492659007</v>
      </c>
      <c r="F588" s="18">
        <f>(O580*O580*(100-F584)*(100-F584)*(I580)*(100-I580))/((L580-1)*100)</f>
        <v>8.6109244632476631</v>
      </c>
      <c r="G588" s="18">
        <f>(O581*O581*(100-G584)*(100-G584)*(I581)*(100-I581))/((L581-1)*100)</f>
        <v>4.506584748466139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1.5029372219858439</v>
      </c>
      <c r="D589" s="18">
        <f>D584*D584*(SUM((H577*D577*(1-D566/H566))/(H566-1),(H579*D579*(1-D568/H568))/(H568-1), (H580*D580*(1-D569/H569))/(H569-1),(H581*D581*(1-D570/H570))/(H570-1)))</f>
        <v>66.215464470479716</v>
      </c>
      <c r="E589" s="18">
        <f>E584*E584*(SUM((H577*E577*(1-E566/H566))/(H566-1),(H578*E578*(1-E567/H567))/(H567-1), (H580*E580*(1-E569/H569))/(H569-1),(H581*E581*(1-E570/H570))/(H570-1)))</f>
        <v>99.737829617590435</v>
      </c>
      <c r="F589" s="18">
        <f>F584*F584*(SUM((H577*F577*(1-F566/H566))/(H566-1),(H578*F578*(1-F567/H567))/(H567-1), (H579*F579*(1-F568/H568))/(H568-1),(H581*F581*(1-F570/H570))/(H570-1)))</f>
        <v>102.59793407203836</v>
      </c>
      <c r="G589" s="18">
        <f>G584*G584*(SUM((H577*G577*(1-G566/H566))/(H566-1),(H578*G578*(1-G567/H567))/(H567-1), (H579*G579*(1-G568/H568))/(H568-1),(H580*G580*(1-G569/H569))/(H569-1)))</f>
        <v>140.22203107816091</v>
      </c>
    </row>
    <row r="592" spans="1:16" x14ac:dyDescent="0.3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48"/>
      <c r="B998" s="348"/>
      <c r="C998" s="348"/>
      <c r="D998" s="348"/>
      <c r="E998" s="348"/>
      <c r="F998" s="348"/>
      <c r="G998" s="348"/>
      <c r="H998" s="348"/>
      <c r="I998" s="348"/>
      <c r="J998" s="348"/>
      <c r="K998" s="348"/>
      <c r="L998" s="348"/>
      <c r="M998" s="348"/>
      <c r="N998" s="348"/>
      <c r="O998" s="348"/>
      <c r="P998" s="348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48"/>
      <c r="B1027" s="348"/>
      <c r="C1027" s="348"/>
      <c r="D1027" s="348"/>
      <c r="E1027" s="348"/>
      <c r="F1027" s="348"/>
      <c r="G1027" s="348"/>
      <c r="H1027" s="348"/>
      <c r="I1027" s="348"/>
      <c r="J1027" s="348"/>
      <c r="K1027" s="348"/>
      <c r="L1027" s="348"/>
      <c r="M1027" s="348"/>
      <c r="N1027" s="348"/>
      <c r="O1027" s="348"/>
      <c r="P1027" s="348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48"/>
      <c r="B1056" s="348"/>
      <c r="C1056" s="348"/>
      <c r="D1056" s="348"/>
      <c r="E1056" s="348"/>
      <c r="F1056" s="348"/>
      <c r="G1056" s="348"/>
      <c r="H1056" s="348"/>
      <c r="I1056" s="348"/>
      <c r="J1056" s="348"/>
      <c r="K1056" s="348"/>
      <c r="L1056" s="348"/>
      <c r="M1056" s="348"/>
      <c r="N1056" s="348"/>
      <c r="O1056" s="348"/>
      <c r="P1056" s="348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48"/>
      <c r="B1085" s="348"/>
      <c r="C1085" s="348"/>
      <c r="D1085" s="348"/>
      <c r="E1085" s="348"/>
      <c r="F1085" s="348"/>
      <c r="G1085" s="348"/>
      <c r="H1085" s="348"/>
      <c r="I1085" s="348"/>
      <c r="J1085" s="348"/>
      <c r="K1085" s="348"/>
      <c r="L1085" s="348"/>
      <c r="M1085" s="348"/>
      <c r="N1085" s="348"/>
      <c r="O1085" s="348"/>
      <c r="P1085" s="348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48"/>
      <c r="B1114" s="348"/>
      <c r="C1114" s="348"/>
      <c r="D1114" s="348"/>
      <c r="E1114" s="348"/>
      <c r="F1114" s="348"/>
      <c r="G1114" s="348"/>
      <c r="H1114" s="348"/>
      <c r="I1114" s="348"/>
      <c r="J1114" s="348"/>
      <c r="K1114" s="348"/>
      <c r="L1114" s="348"/>
      <c r="M1114" s="348"/>
      <c r="N1114" s="348"/>
      <c r="O1114" s="348"/>
      <c r="P1114" s="348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48"/>
      <c r="B1143" s="348"/>
      <c r="C1143" s="348"/>
      <c r="D1143" s="348"/>
      <c r="E1143" s="348"/>
      <c r="F1143" s="348"/>
      <c r="G1143" s="348"/>
      <c r="H1143" s="348"/>
      <c r="I1143" s="348"/>
      <c r="J1143" s="348"/>
      <c r="K1143" s="348"/>
      <c r="L1143" s="348"/>
      <c r="M1143" s="348"/>
      <c r="N1143" s="348"/>
      <c r="O1143" s="348"/>
      <c r="P1143" s="348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48"/>
      <c r="B1172" s="348"/>
      <c r="C1172" s="348"/>
      <c r="D1172" s="348"/>
      <c r="E1172" s="348"/>
      <c r="F1172" s="348"/>
      <c r="G1172" s="348"/>
      <c r="H1172" s="348"/>
      <c r="I1172" s="348"/>
      <c r="J1172" s="348"/>
      <c r="K1172" s="348"/>
      <c r="L1172" s="348"/>
      <c r="M1172" s="348"/>
      <c r="N1172" s="348"/>
      <c r="O1172" s="348"/>
      <c r="P1172" s="348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48"/>
      <c r="B1201" s="348"/>
      <c r="C1201" s="348"/>
      <c r="D1201" s="348"/>
      <c r="E1201" s="348"/>
      <c r="F1201" s="348"/>
      <c r="G1201" s="348"/>
      <c r="H1201" s="348"/>
      <c r="I1201" s="348"/>
      <c r="J1201" s="348"/>
      <c r="K1201" s="348"/>
      <c r="L1201" s="348"/>
      <c r="M1201" s="348"/>
      <c r="N1201" s="348"/>
      <c r="O1201" s="348"/>
      <c r="P1201" s="348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48"/>
      <c r="B1230" s="348"/>
      <c r="C1230" s="348"/>
      <c r="D1230" s="348"/>
      <c r="E1230" s="348"/>
      <c r="F1230" s="348"/>
      <c r="G1230" s="348"/>
      <c r="H1230" s="348"/>
      <c r="I1230" s="348"/>
      <c r="J1230" s="348"/>
      <c r="K1230" s="348"/>
      <c r="L1230" s="348"/>
      <c r="M1230" s="348"/>
      <c r="N1230" s="348"/>
      <c r="O1230" s="348"/>
      <c r="P1230" s="348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48"/>
      <c r="B1259" s="348"/>
      <c r="C1259" s="348"/>
      <c r="D1259" s="348"/>
      <c r="E1259" s="348"/>
      <c r="F1259" s="348"/>
      <c r="G1259" s="348"/>
      <c r="H1259" s="348"/>
      <c r="I1259" s="348"/>
      <c r="J1259" s="348"/>
      <c r="K1259" s="348"/>
      <c r="L1259" s="348"/>
      <c r="M1259" s="348"/>
      <c r="N1259" s="348"/>
      <c r="O1259" s="348"/>
      <c r="P1259" s="348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48"/>
      <c r="B1288" s="348"/>
      <c r="C1288" s="348"/>
      <c r="D1288" s="348"/>
      <c r="E1288" s="348"/>
      <c r="F1288" s="348"/>
      <c r="G1288" s="348"/>
      <c r="H1288" s="348"/>
      <c r="I1288" s="348"/>
      <c r="J1288" s="348"/>
      <c r="K1288" s="348"/>
      <c r="L1288" s="348"/>
      <c r="M1288" s="348"/>
      <c r="N1288" s="348"/>
      <c r="O1288" s="348"/>
      <c r="P1288" s="348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48"/>
      <c r="B1317" s="348"/>
      <c r="C1317" s="348"/>
      <c r="D1317" s="348"/>
      <c r="E1317" s="348"/>
      <c r="F1317" s="348"/>
      <c r="G1317" s="348"/>
      <c r="H1317" s="348"/>
      <c r="I1317" s="348"/>
      <c r="J1317" s="348"/>
      <c r="K1317" s="348"/>
      <c r="L1317" s="348"/>
      <c r="M1317" s="348"/>
      <c r="N1317" s="348"/>
      <c r="O1317" s="348"/>
      <c r="P1317" s="348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48"/>
      <c r="B1346" s="348"/>
      <c r="C1346" s="348"/>
      <c r="D1346" s="348"/>
      <c r="E1346" s="348"/>
      <c r="F1346" s="348"/>
      <c r="G1346" s="348"/>
      <c r="H1346" s="348"/>
      <c r="I1346" s="348"/>
      <c r="J1346" s="348"/>
      <c r="K1346" s="348"/>
      <c r="L1346" s="348"/>
      <c r="M1346" s="348"/>
      <c r="N1346" s="348"/>
      <c r="O1346" s="348"/>
      <c r="P1346" s="348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48"/>
      <c r="B1375" s="348"/>
      <c r="C1375" s="348"/>
      <c r="D1375" s="348"/>
      <c r="E1375" s="348"/>
      <c r="F1375" s="348"/>
      <c r="G1375" s="348"/>
      <c r="H1375" s="348"/>
      <c r="I1375" s="348"/>
      <c r="J1375" s="348"/>
      <c r="K1375" s="348"/>
      <c r="L1375" s="348"/>
      <c r="M1375" s="348"/>
      <c r="N1375" s="348"/>
      <c r="O1375" s="348"/>
      <c r="P1375" s="348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48"/>
      <c r="B1404" s="348"/>
      <c r="C1404" s="348"/>
      <c r="D1404" s="348"/>
      <c r="E1404" s="348"/>
      <c r="F1404" s="348"/>
      <c r="G1404" s="348"/>
      <c r="H1404" s="348"/>
      <c r="I1404" s="348"/>
      <c r="J1404" s="348"/>
      <c r="K1404" s="348"/>
      <c r="L1404" s="348"/>
      <c r="M1404" s="348"/>
      <c r="N1404" s="348"/>
      <c r="O1404" s="348"/>
      <c r="P1404" s="348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48"/>
      <c r="B1433" s="348"/>
      <c r="C1433" s="348"/>
      <c r="D1433" s="348"/>
      <c r="E1433" s="348"/>
      <c r="F1433" s="348"/>
      <c r="G1433" s="348"/>
      <c r="H1433" s="348"/>
      <c r="I1433" s="348"/>
      <c r="J1433" s="348"/>
      <c r="K1433" s="348"/>
      <c r="L1433" s="348"/>
      <c r="M1433" s="348"/>
      <c r="N1433" s="348"/>
      <c r="O1433" s="348"/>
      <c r="P1433" s="348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02"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9060F-9A3B-4B2E-A278-470033924A4C}">
  <dimension ref="A1:BE1459"/>
  <sheetViews>
    <sheetView topLeftCell="AC107" zoomScale="80" zoomScaleNormal="80" workbookViewId="0">
      <selection activeCell="AL109" sqref="AL109:AS135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</cols>
  <sheetData>
    <row r="1" spans="1:57" x14ac:dyDescent="0.3">
      <c r="A1" s="12"/>
      <c r="B1" s="12" t="s">
        <v>10</v>
      </c>
      <c r="C1" s="12"/>
      <c r="D1" s="12"/>
      <c r="E1" s="12"/>
      <c r="F1" s="12"/>
    </row>
    <row r="2" spans="1:57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AG2" s="51" t="s">
        <v>122</v>
      </c>
      <c r="AH2" s="51" t="s">
        <v>126</v>
      </c>
    </row>
    <row r="3" spans="1:57" x14ac:dyDescent="0.3">
      <c r="A3" s="12" t="s">
        <v>3</v>
      </c>
      <c r="B3" s="103">
        <v>51.51</v>
      </c>
      <c r="C3" s="22">
        <f>B3/$B$8</f>
        <v>7.4793088427472038E-2</v>
      </c>
      <c r="D3" s="85">
        <v>0.01</v>
      </c>
      <c r="E3" s="86">
        <f>D3-C3</f>
        <v>-6.4793088427472043E-2</v>
      </c>
      <c r="F3" s="12"/>
      <c r="G3" t="s">
        <v>46</v>
      </c>
      <c r="AG3" s="51" t="s">
        <v>123</v>
      </c>
      <c r="AH3" s="51" t="s">
        <v>129</v>
      </c>
    </row>
    <row r="4" spans="1:57" x14ac:dyDescent="0.3">
      <c r="A4" s="12" t="s">
        <v>4</v>
      </c>
      <c r="B4" s="103">
        <v>20.98</v>
      </c>
      <c r="C4" s="22">
        <f>B4/$B$8</f>
        <v>3.0463191520255551E-2</v>
      </c>
      <c r="D4" s="85">
        <v>0.01</v>
      </c>
      <c r="E4" s="86">
        <f>D4-C4</f>
        <v>-2.0463191520255553E-2</v>
      </c>
      <c r="F4" s="12"/>
      <c r="G4" t="s">
        <v>635</v>
      </c>
      <c r="AG4" s="51" t="s">
        <v>124</v>
      </c>
      <c r="AH4" s="51" t="s">
        <v>127</v>
      </c>
    </row>
    <row r="5" spans="1:57" x14ac:dyDescent="0.3">
      <c r="A5" s="12" t="s">
        <v>5</v>
      </c>
      <c r="B5" s="103">
        <v>234.23</v>
      </c>
      <c r="C5" s="22">
        <f>B5/$B$8</f>
        <v>0.34010454479454039</v>
      </c>
      <c r="D5" s="85">
        <v>0.42</v>
      </c>
      <c r="E5" s="86">
        <f>D5-C5</f>
        <v>7.9895455205459598E-2</v>
      </c>
      <c r="F5" s="12" t="s">
        <v>45</v>
      </c>
      <c r="AG5" s="51" t="s">
        <v>125</v>
      </c>
      <c r="AH5" s="51" t="s">
        <v>128</v>
      </c>
    </row>
    <row r="6" spans="1:57" x14ac:dyDescent="0.3">
      <c r="A6" s="12" t="s">
        <v>6</v>
      </c>
      <c r="B6" s="103">
        <v>206.92</v>
      </c>
      <c r="C6" s="22">
        <f>B6/$B$8</f>
        <v>0.30045012342093796</v>
      </c>
      <c r="D6" s="85">
        <v>0.35</v>
      </c>
      <c r="E6" s="86">
        <f>D6-C6</f>
        <v>4.9549876579062013E-2</v>
      </c>
      <c r="F6" s="12" t="s">
        <v>45</v>
      </c>
      <c r="I6" s="12"/>
      <c r="J6" s="12" t="s">
        <v>50</v>
      </c>
      <c r="K6" s="12"/>
      <c r="AG6" s="51" t="s">
        <v>150</v>
      </c>
      <c r="AH6" s="51" t="s">
        <v>152</v>
      </c>
    </row>
    <row r="7" spans="1:57" x14ac:dyDescent="0.3">
      <c r="A7" s="12" t="s">
        <v>7</v>
      </c>
      <c r="B7" s="103">
        <v>175.06</v>
      </c>
      <c r="C7" s="22">
        <f>B7/$B$8</f>
        <v>0.25418905183679397</v>
      </c>
      <c r="D7" s="85">
        <v>0.21</v>
      </c>
      <c r="E7" s="86">
        <f>D7-C7</f>
        <v>-4.4189051836793974E-2</v>
      </c>
      <c r="F7" s="12"/>
      <c r="I7" s="12"/>
      <c r="J7" s="12">
        <v>8609</v>
      </c>
      <c r="K7" s="12"/>
      <c r="AG7" s="51" t="s">
        <v>151</v>
      </c>
      <c r="AH7" s="51" t="s">
        <v>153</v>
      </c>
    </row>
    <row r="8" spans="1:57" x14ac:dyDescent="0.3">
      <c r="A8" s="12"/>
      <c r="B8" s="103">
        <f>SUM(B3:B7)</f>
        <v>688.7</v>
      </c>
      <c r="C8" s="61">
        <f>SUM(C3:C7)</f>
        <v>0.99999999999999989</v>
      </c>
      <c r="D8" s="12"/>
      <c r="E8" s="12" t="s">
        <v>16</v>
      </c>
      <c r="F8" s="134">
        <v>96540.15</v>
      </c>
      <c r="I8" s="12" t="s">
        <v>55</v>
      </c>
      <c r="J8" s="12" t="s">
        <v>50</v>
      </c>
      <c r="K8" s="12" t="s">
        <v>54</v>
      </c>
      <c r="AG8" s="51" t="s">
        <v>205</v>
      </c>
      <c r="AH8" s="51" t="s">
        <v>210</v>
      </c>
    </row>
    <row r="9" spans="1:57" x14ac:dyDescent="0.3">
      <c r="A9" s="12"/>
      <c r="B9" s="87">
        <f>B8/0.36</f>
        <v>1913.0555555555557</v>
      </c>
      <c r="C9" s="12" t="s">
        <v>44</v>
      </c>
      <c r="D9" s="12"/>
      <c r="E9" s="12" t="s">
        <v>47</v>
      </c>
      <c r="F9" s="88">
        <f>B8/F8</f>
        <v>7.1338194523211333E-3</v>
      </c>
      <c r="G9" s="46"/>
      <c r="I9" s="12">
        <v>2893</v>
      </c>
      <c r="J9" s="12">
        <v>8529</v>
      </c>
      <c r="K9" s="89">
        <f>(J7-J9)/J7</f>
        <v>9.2926007666395624E-3</v>
      </c>
      <c r="AG9" s="51" t="s">
        <v>206</v>
      </c>
      <c r="AH9" s="51" t="s">
        <v>211</v>
      </c>
    </row>
    <row r="10" spans="1:57" x14ac:dyDescent="0.3">
      <c r="A10" s="129" t="s">
        <v>636</v>
      </c>
      <c r="B10" s="130">
        <v>24756</v>
      </c>
      <c r="F10" s="46"/>
      <c r="I10" s="89">
        <f>I9/(I9+J9)</f>
        <v>0.25328313780423745</v>
      </c>
      <c r="J10" s="89">
        <f>J9/(J9+I9)</f>
        <v>0.74671686219576261</v>
      </c>
      <c r="K10" s="12"/>
      <c r="AG10" s="51" t="s">
        <v>207</v>
      </c>
      <c r="AH10" s="51" t="s">
        <v>212</v>
      </c>
    </row>
    <row r="11" spans="1:57" x14ac:dyDescent="0.3">
      <c r="B11" s="18"/>
      <c r="F11" s="46"/>
      <c r="I11" s="45"/>
      <c r="J11" s="45"/>
      <c r="AG11" s="51" t="s">
        <v>208</v>
      </c>
      <c r="AH11" s="51" t="s">
        <v>213</v>
      </c>
    </row>
    <row r="12" spans="1:57" x14ac:dyDescent="0.3">
      <c r="A12" s="348" t="s">
        <v>386</v>
      </c>
      <c r="B12" s="348"/>
      <c r="C12" s="348"/>
      <c r="D12" s="348"/>
      <c r="E12" s="348"/>
      <c r="F12" s="348"/>
      <c r="G12" s="348"/>
      <c r="H12" s="348"/>
      <c r="I12" s="348"/>
      <c r="J12" s="348"/>
      <c r="K12" s="348"/>
      <c r="L12" s="348" t="s">
        <v>48</v>
      </c>
      <c r="M12" s="348"/>
      <c r="N12" s="348"/>
      <c r="O12" s="348"/>
      <c r="P12" s="348"/>
      <c r="R12" s="47" t="s">
        <v>386</v>
      </c>
      <c r="S12" s="47" t="s">
        <v>633</v>
      </c>
      <c r="T12" s="47"/>
      <c r="U12" s="47"/>
      <c r="V12" s="47"/>
      <c r="W12" s="47"/>
      <c r="X12" s="47"/>
      <c r="Y12" s="47"/>
      <c r="Z12" s="47"/>
      <c r="AA12" s="47"/>
      <c r="AB12" s="47" t="s">
        <v>58</v>
      </c>
      <c r="AC12" s="47"/>
      <c r="AD12" s="47"/>
      <c r="AE12" s="47"/>
      <c r="AF12" s="47"/>
      <c r="AG12" s="51" t="s">
        <v>209</v>
      </c>
      <c r="AH12" s="51" t="s">
        <v>214</v>
      </c>
      <c r="AW12" s="66"/>
      <c r="AX12" s="77" t="s">
        <v>323</v>
      </c>
      <c r="AY12" s="77" t="s">
        <v>326</v>
      </c>
      <c r="AZ12" s="77" t="s">
        <v>324</v>
      </c>
      <c r="BA12" s="77" t="s">
        <v>325</v>
      </c>
      <c r="BB12" s="77" t="s">
        <v>327</v>
      </c>
      <c r="BC12" s="77" t="s">
        <v>328</v>
      </c>
      <c r="BD12" s="77" t="s">
        <v>349</v>
      </c>
      <c r="BE12" s="13"/>
    </row>
    <row r="13" spans="1:57" x14ac:dyDescent="0.3">
      <c r="A13" t="s">
        <v>315</v>
      </c>
      <c r="B13" t="s">
        <v>21</v>
      </c>
      <c r="I13" s="1" t="s">
        <v>53</v>
      </c>
      <c r="AG13" s="51" t="s">
        <v>319</v>
      </c>
      <c r="AH13" s="51" t="s">
        <v>321</v>
      </c>
      <c r="AW13" s="51" t="s">
        <v>126</v>
      </c>
      <c r="AX13" s="80">
        <f>MIN($AE$16:$AE$20)</f>
        <v>0.94614323419407387</v>
      </c>
      <c r="AY13" s="80">
        <f>_xlfn.QUARTILE.EXC($AE$16:$AE$20,1)</f>
        <v>0.94615722064727348</v>
      </c>
      <c r="AZ13" s="80">
        <f>MEDIAN($AE$16:$AE$20)</f>
        <v>0.94748432188976028</v>
      </c>
      <c r="BA13" s="80">
        <f>AVERAGE($AE$16:$AE$20)</f>
        <v>0.94798280496673759</v>
      </c>
      <c r="BB13" s="80">
        <f>_xlfn.QUARTILE.EXC(AE16:AE20,3)</f>
        <v>0.95005763082469008</v>
      </c>
      <c r="BC13" s="80">
        <f>MAX(AE16:AE20)</f>
        <v>0.95028143100886453</v>
      </c>
      <c r="BD13" s="80">
        <f>(BB13-AY13)/AZ13</f>
        <v>4.1165960082982928E-3</v>
      </c>
      <c r="BE13" s="80"/>
    </row>
    <row r="14" spans="1:57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51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320</v>
      </c>
      <c r="AH14" s="51" t="s">
        <v>322</v>
      </c>
      <c r="AW14" s="51" t="s">
        <v>129</v>
      </c>
      <c r="AX14" s="80">
        <f>MIN($AE$16:$AE$25)</f>
        <v>0.94416912335835579</v>
      </c>
      <c r="AY14" s="80">
        <f>_xlfn.QUARTILE.EXC($AE$16:$AE$25,1)</f>
        <v>0.9458320358669654</v>
      </c>
      <c r="AZ14" s="80">
        <f>MEDIAN($AE$16:$AE$25)</f>
        <v>0.94715958555663726</v>
      </c>
      <c r="BA14" s="80">
        <f>AVERAGE($AE$16:$AE$25)</f>
        <v>0.94717761519807286</v>
      </c>
      <c r="BB14" s="80">
        <f>_xlfn.QUARTILE.EXC($AE$16:$AE$25,3)</f>
        <v>0.94881500150245712</v>
      </c>
      <c r="BC14" s="80">
        <f>MAX($AE$16:$AE$25)</f>
        <v>0.95028143100886453</v>
      </c>
      <c r="BD14" s="80">
        <f t="shared" ref="BD14:BD23" si="0">(BB14-AY14)/AZ14</f>
        <v>3.1493801899694193E-3</v>
      </c>
      <c r="BE14" s="80"/>
    </row>
    <row r="15" spans="1:57" x14ac:dyDescent="0.3">
      <c r="A15" t="s">
        <v>3</v>
      </c>
      <c r="B15" s="13">
        <v>0</v>
      </c>
      <c r="C15" s="26">
        <v>168</v>
      </c>
      <c r="D15" s="3">
        <v>223</v>
      </c>
      <c r="E15" s="3">
        <v>0</v>
      </c>
      <c r="F15" s="3">
        <v>37</v>
      </c>
      <c r="G15" s="4">
        <v>22</v>
      </c>
      <c r="H15" s="1">
        <f>SUM(C15:G15)</f>
        <v>450</v>
      </c>
      <c r="I15" s="10">
        <f>C15/H15</f>
        <v>0.37333333333333335</v>
      </c>
      <c r="J15" s="11">
        <f>1-I15</f>
        <v>0.62666666666666671</v>
      </c>
      <c r="K15">
        <f>H15-C20</f>
        <v>282</v>
      </c>
      <c r="N15" s="10">
        <f>2*(C21*I15)/(C21+I15)</f>
        <v>0.54368932038834961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72</v>
      </c>
      <c r="AF15" s="12" t="s">
        <v>29</v>
      </c>
      <c r="AH15" t="s">
        <v>120</v>
      </c>
      <c r="AI15" t="s">
        <v>121</v>
      </c>
      <c r="AW15" s="51" t="s">
        <v>127</v>
      </c>
      <c r="AX15" s="80">
        <f>MIN($AE$16:$AE$35)</f>
        <v>0.94416912335835579</v>
      </c>
      <c r="AY15" s="80">
        <f>_xlfn.QUARTILE.EXC($AE$16:$AE$35,1)</f>
        <v>0.94634635944837231</v>
      </c>
      <c r="AZ15" s="126">
        <f>MEDIAN($AE$16:$AE$35)</f>
        <v>0.9474455147836105</v>
      </c>
      <c r="BA15" s="126">
        <f>AVERAGE($AE$16:$AE$35)</f>
        <v>0.94831324169447873</v>
      </c>
      <c r="BB15" s="80">
        <f>_xlfn.QUARTILE.EXC($AE$16:$AE$35,3)</f>
        <v>0.95024103225347145</v>
      </c>
      <c r="BC15" s="80">
        <f>MAX($AE$16:$AE$35)</f>
        <v>0.95408280300926263</v>
      </c>
      <c r="BD15" s="80">
        <f t="shared" si="0"/>
        <v>4.1107090004945095E-3</v>
      </c>
      <c r="BE15" s="80"/>
    </row>
    <row r="16" spans="1:57" x14ac:dyDescent="0.3">
      <c r="A16" t="s">
        <v>4</v>
      </c>
      <c r="B16" s="13">
        <v>1</v>
      </c>
      <c r="C16" s="5">
        <v>0</v>
      </c>
      <c r="D16" s="27">
        <v>59</v>
      </c>
      <c r="E16" s="1">
        <v>5</v>
      </c>
      <c r="F16" s="1">
        <v>0</v>
      </c>
      <c r="G16" s="6">
        <v>0</v>
      </c>
      <c r="H16" s="1">
        <f>SUM(C16:G16)</f>
        <v>64</v>
      </c>
      <c r="I16" s="10">
        <f>D16/H16</f>
        <v>0.921875</v>
      </c>
      <c r="J16" s="11">
        <f>1-I16</f>
        <v>7.8125E-2</v>
      </c>
      <c r="K16">
        <f>H16-D20</f>
        <v>-218</v>
      </c>
      <c r="N16" s="10">
        <f>2*(D21*I16)/(D21+I16)</f>
        <v>0.34104046242774572</v>
      </c>
      <c r="R16" t="s">
        <v>65</v>
      </c>
      <c r="S16" t="s">
        <v>28</v>
      </c>
      <c r="T16" s="57">
        <f t="shared" ref="T16:X19" si="1">C31</f>
        <v>6.6081521522392495E-2</v>
      </c>
      <c r="U16" s="57">
        <f t="shared" si="1"/>
        <v>0.78813491286613224</v>
      </c>
      <c r="V16" s="57">
        <f t="shared" si="1"/>
        <v>62.168263574291437</v>
      </c>
      <c r="W16" s="57">
        <f t="shared" si="1"/>
        <v>30.456855571737073</v>
      </c>
      <c r="X16" s="57">
        <f t="shared" si="1"/>
        <v>6.5206644195829551</v>
      </c>
      <c r="AC16" t="s">
        <v>65</v>
      </c>
      <c r="AD16" s="51">
        <f>I21</f>
        <v>0.85758727964051162</v>
      </c>
      <c r="AE16" s="55">
        <f>I32</f>
        <v>0.94614323419407387</v>
      </c>
      <c r="AF16" s="55">
        <f>J32</f>
        <v>5.2451462333725288E-3</v>
      </c>
      <c r="AH16">
        <v>21</v>
      </c>
      <c r="AI16">
        <v>32</v>
      </c>
      <c r="AW16" s="51" t="s">
        <v>128</v>
      </c>
      <c r="AX16" s="80">
        <f>MIN($AE$16:$AE$45)</f>
        <v>0.94416912335835579</v>
      </c>
      <c r="AY16" s="80">
        <f>_xlfn.QUARTILE.EXC($AE$16:$AE$45,1)</f>
        <v>0.94634635944837231</v>
      </c>
      <c r="AZ16" s="80">
        <f>MEDIAN($AE$16:$AE$45)</f>
        <v>0.9474455147836105</v>
      </c>
      <c r="BA16" s="80">
        <f>AVERAGE($AE$16:$AE$45)</f>
        <v>0.94831324169447873</v>
      </c>
      <c r="BB16" s="80">
        <f>_xlfn.QUARTILE.EXC($AE$16:$AE$45,3)</f>
        <v>0.95024103225347145</v>
      </c>
      <c r="BC16" s="80">
        <f>MAX($AE$16:$AE$45)</f>
        <v>0.95408280300926263</v>
      </c>
      <c r="BD16" s="80">
        <f t="shared" si="0"/>
        <v>4.1107090004945095E-3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0</v>
      </c>
      <c r="E17" s="27">
        <v>733</v>
      </c>
      <c r="F17" s="1">
        <v>14</v>
      </c>
      <c r="G17" s="6">
        <v>1</v>
      </c>
      <c r="H17" s="1">
        <f>SUM(C17:G17)</f>
        <v>748</v>
      </c>
      <c r="I17" s="10">
        <f>E17/H17</f>
        <v>0.97994652406417115</v>
      </c>
      <c r="J17" s="11">
        <f>1-I17</f>
        <v>2.0053475935828846E-2</v>
      </c>
      <c r="K17">
        <f>H17-E20</f>
        <v>-51</v>
      </c>
      <c r="N17" s="10">
        <f>2*(E21*I17)/(E21+I17)</f>
        <v>0.94764059469941819</v>
      </c>
      <c r="S17" s="66" t="s">
        <v>39</v>
      </c>
      <c r="T17" s="67">
        <f t="shared" si="1"/>
        <v>4.0359306068292475E-3</v>
      </c>
      <c r="U17" s="67">
        <f t="shared" si="1"/>
        <v>2.5826675955777631E-2</v>
      </c>
      <c r="V17" s="67">
        <f t="shared" si="1"/>
        <v>0.49884183662809323</v>
      </c>
      <c r="W17" s="67">
        <f t="shared" si="1"/>
        <v>0.51748015301265859</v>
      </c>
      <c r="X17" s="67">
        <f t="shared" si="1"/>
        <v>0.19585676070840971</v>
      </c>
      <c r="AC17" t="s">
        <v>66</v>
      </c>
      <c r="AD17" s="51">
        <f>I50</f>
        <v>0.90425164189422746</v>
      </c>
      <c r="AE17" s="55">
        <f>I61</f>
        <v>0.94983383064051563</v>
      </c>
      <c r="AF17" s="55">
        <f>J61</f>
        <v>5.1024625989500583E-3</v>
      </c>
      <c r="AH17">
        <v>50</v>
      </c>
      <c r="AI17">
        <v>61</v>
      </c>
      <c r="AW17" s="51" t="s">
        <v>152</v>
      </c>
      <c r="AX17" s="80">
        <f>MIN($AE$16:$AE$55)</f>
        <v>0.94416912335835579</v>
      </c>
      <c r="AY17" s="80">
        <f>_xlfn.QUARTILE.EXC($AE$16:$AE$55,1)</f>
        <v>0.94634635944837231</v>
      </c>
      <c r="AZ17" s="80">
        <f>MEDIAN($AE$16:$AE$55)</f>
        <v>0.9474455147836105</v>
      </c>
      <c r="BA17" s="80">
        <f>AVERAGE($AE$16:$AE$55)</f>
        <v>0.94831324169447873</v>
      </c>
      <c r="BB17" s="80">
        <f>_xlfn.QUARTILE.EXC($AE$16:$AE$55,3)</f>
        <v>0.95024103225347145</v>
      </c>
      <c r="BC17" s="80">
        <f>MAX($AE$16:$AE$55)</f>
        <v>0.95408280300926263</v>
      </c>
      <c r="BD17" s="80">
        <f t="shared" si="0"/>
        <v>4.1107090004945095E-3</v>
      </c>
      <c r="BE17" s="80"/>
    </row>
    <row r="18" spans="1:57" x14ac:dyDescent="0.3">
      <c r="A18" t="s">
        <v>6</v>
      </c>
      <c r="B18" s="13">
        <v>3</v>
      </c>
      <c r="C18" s="5">
        <v>0</v>
      </c>
      <c r="D18" s="1">
        <v>0</v>
      </c>
      <c r="E18" s="1">
        <v>60</v>
      </c>
      <c r="F18" s="27">
        <v>547</v>
      </c>
      <c r="G18" s="6">
        <v>11</v>
      </c>
      <c r="H18" s="1">
        <f>SUM(C18:G18)</f>
        <v>618</v>
      </c>
      <c r="I18" s="10">
        <f>F18/H18</f>
        <v>0.88511326860841422</v>
      </c>
      <c r="J18" s="11">
        <f>1-I18</f>
        <v>0.11488673139158578</v>
      </c>
      <c r="K18">
        <f>H18-F20</f>
        <v>-18</v>
      </c>
      <c r="N18" s="10">
        <f>2*(F21*I18)/(F21+I18)</f>
        <v>0.87240829346092508</v>
      </c>
      <c r="S18" s="70" t="s">
        <v>30</v>
      </c>
      <c r="T18" s="64">
        <f t="shared" si="1"/>
        <v>100</v>
      </c>
      <c r="U18" s="64">
        <f t="shared" si="1"/>
        <v>88.870515499156099</v>
      </c>
      <c r="V18" s="64">
        <f t="shared" si="1"/>
        <v>94.762424332326148</v>
      </c>
      <c r="W18" s="64">
        <f t="shared" si="1"/>
        <v>95.508873810903495</v>
      </c>
      <c r="X18" s="64">
        <f t="shared" si="1"/>
        <v>89.66369803274533</v>
      </c>
      <c r="AC18" t="s">
        <v>67</v>
      </c>
      <c r="AD18" s="51">
        <f>I79</f>
        <v>0.87901832008295888</v>
      </c>
      <c r="AE18" s="55">
        <f>I90</f>
        <v>0.94748432188976028</v>
      </c>
      <c r="AF18" s="55">
        <f>J90</f>
        <v>5.2370342640840192E-3</v>
      </c>
      <c r="AH18">
        <v>79</v>
      </c>
      <c r="AI18">
        <v>90</v>
      </c>
      <c r="AW18" s="51" t="s">
        <v>153</v>
      </c>
      <c r="AX18" s="80">
        <f>MIN($AE$16:$AE$65)</f>
        <v>0.94416912335835579</v>
      </c>
      <c r="AY18" s="80">
        <f>_xlfn.QUARTILE.EXC($AE$16:$AE$65,1)</f>
        <v>0.94634635944837231</v>
      </c>
      <c r="AZ18" s="80">
        <f>MEDIAN($AE$16:$AE$65)</f>
        <v>0.9474455147836105</v>
      </c>
      <c r="BA18" s="80">
        <f>AVERAGE($AE$16:$AE$65)</f>
        <v>0.94831324169447873</v>
      </c>
      <c r="BB18" s="80">
        <f>_xlfn.QUARTILE.EXC($AE$16:$AE$65,3)</f>
        <v>0.95024103225347145</v>
      </c>
      <c r="BC18" s="80">
        <f>MAX($AE$16:$AE$65)</f>
        <v>0.95408280300926263</v>
      </c>
      <c r="BD18" s="80">
        <f t="shared" si="0"/>
        <v>4.1107090004945095E-3</v>
      </c>
      <c r="BE18" s="80"/>
    </row>
    <row r="19" spans="1:57" x14ac:dyDescent="0.3">
      <c r="A19" t="s">
        <v>7</v>
      </c>
      <c r="B19" s="13">
        <v>4</v>
      </c>
      <c r="C19" s="7">
        <v>0</v>
      </c>
      <c r="D19" s="8">
        <v>0</v>
      </c>
      <c r="E19" s="8">
        <v>1</v>
      </c>
      <c r="F19" s="8">
        <v>38</v>
      </c>
      <c r="G19" s="28">
        <v>974</v>
      </c>
      <c r="H19" s="1">
        <f>SUM(C19:G19)</f>
        <v>1013</v>
      </c>
      <c r="I19" s="10">
        <f>G19/H19</f>
        <v>0.96150049358341561</v>
      </c>
      <c r="J19" s="11">
        <f>1-I19</f>
        <v>3.8499506416584395E-2</v>
      </c>
      <c r="K19">
        <f>H19-G20</f>
        <v>5</v>
      </c>
      <c r="N19" s="10">
        <f>2*(G21*I19)/(G21+I19)</f>
        <v>0.9638792676892628</v>
      </c>
      <c r="S19" s="66" t="s">
        <v>39</v>
      </c>
      <c r="T19" s="67">
        <f t="shared" si="1"/>
        <v>0</v>
      </c>
      <c r="U19" s="67">
        <f t="shared" si="1"/>
        <v>3.6580591423378879</v>
      </c>
      <c r="V19" s="67">
        <f t="shared" si="1"/>
        <v>0.65241772478190785</v>
      </c>
      <c r="W19" s="67">
        <f t="shared" si="1"/>
        <v>1.1286764810122674</v>
      </c>
      <c r="X19" s="67">
        <f t="shared" si="1"/>
        <v>2.7108147588068991</v>
      </c>
      <c r="AC19" t="s">
        <v>68</v>
      </c>
      <c r="AD19" s="51">
        <f>I108</f>
        <v>0.87763567231247841</v>
      </c>
      <c r="AE19" s="73">
        <f>I119</f>
        <v>0.95028143100886453</v>
      </c>
      <c r="AF19" s="73">
        <f>J119</f>
        <v>5.098391888770243E-3</v>
      </c>
      <c r="AH19">
        <v>108</v>
      </c>
      <c r="AI19">
        <v>119</v>
      </c>
      <c r="AW19" s="51" t="s">
        <v>210</v>
      </c>
      <c r="AX19" s="80">
        <f>MIN($AE$16:$AE$75)</f>
        <v>0.94416912335835579</v>
      </c>
      <c r="AY19" s="80">
        <f>_xlfn.QUARTILE.EXC($AE$16:$AE$75,1)</f>
        <v>0.94634635944837231</v>
      </c>
      <c r="AZ19" s="80">
        <f>MEDIAN($AE$16:$AE$75)</f>
        <v>0.9474455147836105</v>
      </c>
      <c r="BA19" s="80">
        <f>AVERAGE($AE$16:$AE$75)</f>
        <v>0.94831324169447873</v>
      </c>
      <c r="BB19" s="80">
        <f>_xlfn.QUARTILE.EXC($AE$16:$AE$75,3)</f>
        <v>0.95024103225347145</v>
      </c>
      <c r="BC19" s="80">
        <f>MAX($AE$16:$AE$75)</f>
        <v>0.95408280300926263</v>
      </c>
      <c r="BD19" s="80">
        <f t="shared" si="0"/>
        <v>4.1107090004945095E-3</v>
      </c>
      <c r="BE19" s="80"/>
    </row>
    <row r="20" spans="1:57" ht="15.6" x14ac:dyDescent="0.35">
      <c r="B20" s="1" t="s">
        <v>19</v>
      </c>
      <c r="C20" s="1">
        <f>SUM(C15:C19)</f>
        <v>168</v>
      </c>
      <c r="D20" s="1">
        <f>SUM(D15:D19)</f>
        <v>282</v>
      </c>
      <c r="E20" s="1">
        <f>SUM(E15:E19)</f>
        <v>799</v>
      </c>
      <c r="F20" s="1">
        <f>SUM(F15:F19)</f>
        <v>636</v>
      </c>
      <c r="G20" s="1">
        <f>SUM(G15:G19)</f>
        <v>1008</v>
      </c>
      <c r="H20" s="1">
        <f>SUM(H14:H19)</f>
        <v>2893</v>
      </c>
      <c r="I20" s="13" t="s">
        <v>12</v>
      </c>
      <c r="N20" s="16"/>
      <c r="S20" s="70" t="s">
        <v>31</v>
      </c>
      <c r="T20" s="64">
        <f>I26</f>
        <v>37.333333333333336</v>
      </c>
      <c r="U20" s="64">
        <f>I27</f>
        <v>92.1875</v>
      </c>
      <c r="V20" s="64">
        <f>I28</f>
        <v>97.994652406417117</v>
      </c>
      <c r="W20" s="64">
        <f>I29</f>
        <v>88.511326860841422</v>
      </c>
      <c r="X20" s="64">
        <f>I30</f>
        <v>96.150049358341562</v>
      </c>
      <c r="AC20" t="s">
        <v>71</v>
      </c>
      <c r="AD20" s="51">
        <f>I137</f>
        <v>0.87694434842723812</v>
      </c>
      <c r="AE20" s="73">
        <f>I148</f>
        <v>0.94617120710047298</v>
      </c>
      <c r="AF20" s="73">
        <f>J148</f>
        <v>5.1849688798121032E-3</v>
      </c>
      <c r="AH20">
        <v>137</v>
      </c>
      <c r="AI20">
        <v>148</v>
      </c>
      <c r="AW20" s="51" t="s">
        <v>211</v>
      </c>
      <c r="AX20" s="80">
        <f>MIN($AE$16:$AE$85)</f>
        <v>0.94416912335835579</v>
      </c>
      <c r="AY20" s="80">
        <f>_xlfn.QUARTILE.EXC($AE$16:$AE$85,1)</f>
        <v>0.94634635944837231</v>
      </c>
      <c r="AZ20" s="80">
        <f>MEDIAN($AE$16:$AE$85)</f>
        <v>0.9474455147836105</v>
      </c>
      <c r="BA20" s="80">
        <f>AVERAGE($AE$16:$AE$85)</f>
        <v>0.94831324169447873</v>
      </c>
      <c r="BB20" s="80">
        <f>_xlfn.QUARTILE.EXC($AE$16:$AE$85,3)</f>
        <v>0.95024103225347145</v>
      </c>
      <c r="BC20" s="80">
        <f>MAX($AE$16:$AE$85)</f>
        <v>0.95408280300926263</v>
      </c>
      <c r="BD20" s="80">
        <f t="shared" si="0"/>
        <v>4.1107090004945095E-3</v>
      </c>
      <c r="BE20" s="80"/>
    </row>
    <row r="21" spans="1:57" x14ac:dyDescent="0.3">
      <c r="A21" s="1" t="s">
        <v>316</v>
      </c>
      <c r="B21" s="1" t="s">
        <v>2</v>
      </c>
      <c r="C21" s="10">
        <f>C15/C20</f>
        <v>1</v>
      </c>
      <c r="D21" s="10">
        <f>D16/D20</f>
        <v>0.20921985815602837</v>
      </c>
      <c r="E21" s="10">
        <f>E17/E20</f>
        <v>0.91739674593241549</v>
      </c>
      <c r="F21" s="10">
        <f>F18/F20</f>
        <v>0.86006289308176098</v>
      </c>
      <c r="G21" s="10">
        <f>G19/G20</f>
        <v>0.96626984126984128</v>
      </c>
      <c r="H21" s="10"/>
      <c r="I21" s="14">
        <f>(C15+D16+E17+F18+G19)/H20</f>
        <v>0.85758727964051162</v>
      </c>
      <c r="S21" s="66" t="s">
        <v>39</v>
      </c>
      <c r="T21" s="67">
        <f>J26</f>
        <v>2.2826719952202792</v>
      </c>
      <c r="U21" s="67">
        <f>J27</f>
        <v>3.3811213593755247</v>
      </c>
      <c r="V21" s="67">
        <f>J28</f>
        <v>0.5129035654513856</v>
      </c>
      <c r="W21" s="67">
        <f>J29</f>
        <v>1.2837834729964359</v>
      </c>
      <c r="X21" s="67">
        <f>J30</f>
        <v>0.60480041478323565</v>
      </c>
      <c r="AC21" t="s">
        <v>93</v>
      </c>
      <c r="AD21" s="51">
        <f>I166</f>
        <v>0.87452471482889738</v>
      </c>
      <c r="AE21" s="55">
        <f>I177</f>
        <v>0.94847539178977092</v>
      </c>
      <c r="AF21" s="55">
        <f>J177</f>
        <v>5.1001825051705243E-3</v>
      </c>
      <c r="AH21">
        <v>166</v>
      </c>
      <c r="AI21">
        <v>177</v>
      </c>
      <c r="AW21" s="51" t="s">
        <v>212</v>
      </c>
      <c r="AX21" s="80">
        <f>MIN($AE$16:$AE$95)</f>
        <v>0.94416912335835579</v>
      </c>
      <c r="AY21" s="80">
        <f>_xlfn.QUARTILE.EXC($AE$16:$AE$95,1)</f>
        <v>0.94634635944837231</v>
      </c>
      <c r="AZ21" s="80">
        <f>MEDIAN($AE$16:$AE$95)</f>
        <v>0.9474455147836105</v>
      </c>
      <c r="BA21" s="80">
        <f>AVERAGE($AE$16:$AE$95)</f>
        <v>0.94831324169447873</v>
      </c>
      <c r="BB21" s="80">
        <f>_xlfn.QUARTILE.EXC($AE$16:$AE$95,3)</f>
        <v>0.95024103225347145</v>
      </c>
      <c r="BC21" s="80">
        <f>MAX($AE$16:$AE$95)</f>
        <v>0.95408280300926263</v>
      </c>
      <c r="BD21" s="80">
        <f t="shared" si="0"/>
        <v>4.1107090004945095E-3</v>
      </c>
      <c r="BE21" s="80"/>
    </row>
    <row r="22" spans="1:57" x14ac:dyDescent="0.3">
      <c r="B22" s="1" t="s">
        <v>14</v>
      </c>
      <c r="C22" s="11">
        <f>1-C21</f>
        <v>0</v>
      </c>
      <c r="D22" s="11">
        <f>1-D21</f>
        <v>0.79078014184397161</v>
      </c>
      <c r="E22" s="11">
        <f>1-E21</f>
        <v>8.2603254067584508E-2</v>
      </c>
      <c r="F22" s="11">
        <f>1-F21</f>
        <v>0.13993710691823902</v>
      </c>
      <c r="G22" s="11">
        <f>1-G21</f>
        <v>3.3730158730158721E-2</v>
      </c>
      <c r="S22" s="68" t="s">
        <v>51</v>
      </c>
      <c r="T22" s="65">
        <f>N15*100</f>
        <v>54.368932038834963</v>
      </c>
      <c r="U22" s="65">
        <f>N16*100</f>
        <v>34.104046242774572</v>
      </c>
      <c r="V22" s="65">
        <f>N17*100</f>
        <v>94.764059469941813</v>
      </c>
      <c r="W22" s="65">
        <f>N18*100</f>
        <v>87.240829346092511</v>
      </c>
      <c r="X22" s="65">
        <f>N19*100</f>
        <v>96.387926768926278</v>
      </c>
      <c r="Y22" s="46"/>
      <c r="Z22" s="46"/>
      <c r="AA22" s="46"/>
      <c r="AC22" t="s">
        <v>94</v>
      </c>
      <c r="AD22" s="51">
        <f>I195</f>
        <v>0.85724161769789142</v>
      </c>
      <c r="AE22" s="55">
        <f>I206</f>
        <v>0.94740670767746082</v>
      </c>
      <c r="AF22" s="55">
        <f>J206</f>
        <v>5.2506765072368976E-3</v>
      </c>
      <c r="AH22">
        <v>195</v>
      </c>
      <c r="AI22">
        <v>206</v>
      </c>
      <c r="AW22" s="51" t="s">
        <v>213</v>
      </c>
      <c r="AX22" s="80">
        <f>MIN($AE$16:$AE$105)</f>
        <v>0.94416912335835579</v>
      </c>
      <c r="AY22" s="80">
        <f>_xlfn.QUARTILE.EXC($AE$16:$AE$105,1)</f>
        <v>0.94634635944837231</v>
      </c>
      <c r="AZ22" s="80">
        <f>MEDIAN($AE$16:$AE$105)</f>
        <v>0.9474455147836105</v>
      </c>
      <c r="BA22" s="80">
        <f>AVERAGE($AE$16:$AE$105)</f>
        <v>0.94831324169447873</v>
      </c>
      <c r="BB22" s="80">
        <f>_xlfn.QUARTILE.EXC($AE$16:$AE$105,3)</f>
        <v>0.95024103225347145</v>
      </c>
      <c r="BC22" s="80">
        <f>MAX($AE$16:$AE$105)</f>
        <v>0.95408280300926263</v>
      </c>
      <c r="BD22" s="80">
        <f t="shared" si="0"/>
        <v>4.1107090004945095E-3</v>
      </c>
      <c r="BE22" s="80"/>
    </row>
    <row r="23" spans="1:57" x14ac:dyDescent="0.3">
      <c r="C23" s="2"/>
      <c r="R23" s="16" t="s">
        <v>61</v>
      </c>
      <c r="S23" t="s">
        <v>9</v>
      </c>
      <c r="T23" s="30">
        <f>N26</f>
        <v>170.88</v>
      </c>
      <c r="U23" s="30">
        <f>N27</f>
        <v>733.49</v>
      </c>
      <c r="V23" s="30">
        <f>N28</f>
        <v>58037.74</v>
      </c>
      <c r="W23" s="30">
        <f>N29</f>
        <v>31727.65</v>
      </c>
      <c r="X23" s="30">
        <f>N30</f>
        <v>5870.39</v>
      </c>
      <c r="Z23" t="s">
        <v>36</v>
      </c>
      <c r="AA23" s="1">
        <f>N31</f>
        <v>96540.150000000009</v>
      </c>
      <c r="AC23" t="s">
        <v>95</v>
      </c>
      <c r="AD23" s="51">
        <f>I224</f>
        <v>0.85309367438645001</v>
      </c>
      <c r="AE23" s="55">
        <f>I235</f>
        <v>0.9448984408856399</v>
      </c>
      <c r="AF23" s="55">
        <f>J235</f>
        <v>5.2847696449661837E-3</v>
      </c>
      <c r="AH23">
        <v>224</v>
      </c>
      <c r="AI23">
        <v>235</v>
      </c>
      <c r="AW23" s="51" t="s">
        <v>214</v>
      </c>
      <c r="AX23" s="80">
        <f>MIN($AE$16:$AE$115)</f>
        <v>0.94416912335835579</v>
      </c>
      <c r="AY23" s="80">
        <f>_xlfn.QUARTILE.EXC($AE$16:$AE$115,1)</f>
        <v>0.94634635944837231</v>
      </c>
      <c r="AZ23" s="126">
        <f>MEDIAN($AE$16:$AE$115)</f>
        <v>0.9474455147836105</v>
      </c>
      <c r="BA23" s="126">
        <f>AVERAGE($AE$16:$AE$115)</f>
        <v>0.94831324169447873</v>
      </c>
      <c r="BB23" s="80">
        <f>_xlfn.QUARTILE.EXC($AE$16:$AE$115,3)</f>
        <v>0.95024103225347145</v>
      </c>
      <c r="BC23" s="80">
        <f>MAX($AE$16:$AE$115)</f>
        <v>0.95408280300926263</v>
      </c>
      <c r="BD23" s="80">
        <f t="shared" si="0"/>
        <v>4.1107090004945095E-3</v>
      </c>
      <c r="BE23" s="80"/>
    </row>
    <row r="24" spans="1:57" ht="15.6" x14ac:dyDescent="0.35">
      <c r="A24" t="s">
        <v>317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318</v>
      </c>
      <c r="S24" t="s">
        <v>63</v>
      </c>
      <c r="T24" s="57">
        <f>$AA23*T16/100</f>
        <v>63.795200000000001</v>
      </c>
      <c r="U24" s="57">
        <f>$AA23*U16/100</f>
        <v>760.86662708333347</v>
      </c>
      <c r="V24" s="57">
        <f>$AA23*V16/100</f>
        <v>60017.334907016317</v>
      </c>
      <c r="W24" s="57">
        <f>$AA23*W16/100</f>
        <v>29403.094054238332</v>
      </c>
      <c r="X24" s="57">
        <f>$AA23*X16/100</f>
        <v>6295.0592116620146</v>
      </c>
      <c r="Z24" t="s">
        <v>36</v>
      </c>
      <c r="AA24" s="25">
        <f>SUM(T24:X24)</f>
        <v>96540.15</v>
      </c>
      <c r="AC24" t="s">
        <v>96</v>
      </c>
      <c r="AD24" s="51">
        <f>I253</f>
        <v>0.92360871068095407</v>
      </c>
      <c r="AE24" s="55">
        <f>I264</f>
        <v>0.94691246343581359</v>
      </c>
      <c r="AF24" s="55">
        <f>J264</f>
        <v>5.2907831319925387E-3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62</v>
      </c>
      <c r="T25" s="67">
        <f>$AA23*T17/100</f>
        <v>3.8962934617288663</v>
      </c>
      <c r="U25" s="67">
        <f>$AA23*U17/100</f>
        <v>24.933111707721661</v>
      </c>
      <c r="V25" s="67">
        <f>$AA23*V17/100</f>
        <v>481.58265734351619</v>
      </c>
      <c r="W25" s="67">
        <f>$AA23*W17/100</f>
        <v>499.57611593865016</v>
      </c>
      <c r="X25" s="67">
        <f>$AA23*X17/100</f>
        <v>189.08041057303981</v>
      </c>
      <c r="AA25" s="1"/>
      <c r="AC25" t="s">
        <v>97</v>
      </c>
      <c r="AD25" s="51">
        <f>I282</f>
        <v>0.87383339094365708</v>
      </c>
      <c r="AE25" s="55">
        <f>I293</f>
        <v>0.94416912335835579</v>
      </c>
      <c r="AF25" s="55">
        <f>J293</f>
        <v>5.4766612983960664E-3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6.6081521522392495E-2</v>
      </c>
      <c r="D26" s="31">
        <f t="shared" ref="C26:G30" si="2">(D15/$L26)*$O26</f>
        <v>8.7715352973175745E-2</v>
      </c>
      <c r="E26" s="31">
        <f t="shared" si="2"/>
        <v>0</v>
      </c>
      <c r="F26" s="31">
        <f t="shared" si="2"/>
        <v>1.4553668430526918E-2</v>
      </c>
      <c r="G26" s="32">
        <f t="shared" si="2"/>
        <v>8.6535325803133029E-3</v>
      </c>
      <c r="H26" s="17">
        <f>SUM(C26:G26)</f>
        <v>0.17700407550640845</v>
      </c>
      <c r="I26" s="17">
        <f>C26/H26*100</f>
        <v>37.333333333333336</v>
      </c>
      <c r="J26" s="17">
        <f>SQRT(I26*(100-I26)/(L26-1))</f>
        <v>2.2826719952202792</v>
      </c>
      <c r="K26" s="18">
        <f>100-I26</f>
        <v>62.666666666666664</v>
      </c>
      <c r="L26" s="1">
        <f>H15</f>
        <v>450</v>
      </c>
      <c r="M26">
        <v>0</v>
      </c>
      <c r="N26" s="1">
        <v>170.88</v>
      </c>
      <c r="O26" s="17">
        <f>N26/N31*100</f>
        <v>0.17700407550640845</v>
      </c>
      <c r="P26" s="52">
        <f>((O26*O26*(I26/100)*(K26/100))/(L26-1))</f>
        <v>1.6325013671299539E-5</v>
      </c>
      <c r="R26" t="s">
        <v>66</v>
      </c>
      <c r="S26" s="70" t="s">
        <v>28</v>
      </c>
      <c r="T26" s="64">
        <f t="shared" ref="T26:X29" si="3">C60</f>
        <v>0.14512856395327056</v>
      </c>
      <c r="U26" s="64">
        <f t="shared" si="3"/>
        <v>0.86540507603869721</v>
      </c>
      <c r="V26" s="64">
        <f t="shared" si="3"/>
        <v>61.706777742994589</v>
      </c>
      <c r="W26" s="64">
        <f t="shared" si="3"/>
        <v>30.908493269278917</v>
      </c>
      <c r="X26" s="64">
        <f t="shared" si="3"/>
        <v>6.374195347734541</v>
      </c>
      <c r="Y26" s="13"/>
      <c r="Z26" s="74"/>
      <c r="AA26" s="12"/>
      <c r="AC26" t="s">
        <v>98</v>
      </c>
      <c r="AD26" s="51">
        <f>I311</f>
        <v>0.86726581403387482</v>
      </c>
      <c r="AE26" s="55">
        <f>I322</f>
        <v>0.94647118922713869</v>
      </c>
      <c r="AF26" s="55">
        <f>J322</f>
        <v>5.1858079746230825E-3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0.70041955989295646</v>
      </c>
      <c r="E27" s="19">
        <f t="shared" si="2"/>
        <v>5.935758982143699E-2</v>
      </c>
      <c r="F27" s="18">
        <f t="shared" si="2"/>
        <v>0</v>
      </c>
      <c r="G27" s="20">
        <f t="shared" si="2"/>
        <v>0</v>
      </c>
      <c r="H27" s="17">
        <f>SUM(C27:G27)</f>
        <v>0.75977714971439347</v>
      </c>
      <c r="I27" s="17">
        <f>D27/H27*100</f>
        <v>92.1875</v>
      </c>
      <c r="J27" s="17">
        <f>SQRT(I27*(100-I27)/(L27-1))</f>
        <v>3.3811213593755247</v>
      </c>
      <c r="K27" s="18">
        <f>100-I27</f>
        <v>7.8125</v>
      </c>
      <c r="L27" s="1">
        <f>H16</f>
        <v>64</v>
      </c>
      <c r="M27">
        <v>1</v>
      </c>
      <c r="N27" s="1">
        <v>733.49</v>
      </c>
      <c r="O27" s="17">
        <f>N27/N31*100</f>
        <v>0.75977714971439347</v>
      </c>
      <c r="P27" s="52">
        <f>((O27*O27*(I27/100)*(K27/100))/(L27-1))</f>
        <v>6.5992407839742103E-4</v>
      </c>
      <c r="S27" s="66" t="s">
        <v>39</v>
      </c>
      <c r="T27" s="67">
        <f t="shared" si="3"/>
        <v>4.9835093225521132E-3</v>
      </c>
      <c r="U27" s="67">
        <f t="shared" si="3"/>
        <v>6.0613349811720701E-2</v>
      </c>
      <c r="V27" s="67">
        <f t="shared" si="3"/>
        <v>0.48057152511778473</v>
      </c>
      <c r="W27" s="67">
        <f t="shared" si="3"/>
        <v>0.5028827635564419</v>
      </c>
      <c r="X27" s="67">
        <f t="shared" si="3"/>
        <v>0.19681562896412033</v>
      </c>
      <c r="AC27" t="s">
        <v>99</v>
      </c>
      <c r="AD27" s="51">
        <f>I340</f>
        <v>0.86035257518147257</v>
      </c>
      <c r="AE27" s="55">
        <f>I351</f>
        <v>0.94853962441278372</v>
      </c>
      <c r="AF27" s="55">
        <f>J351</f>
        <v>5.1858534575739577E-3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0</v>
      </c>
      <c r="E28" s="34">
        <f t="shared" si="2"/>
        <v>58.912153728309001</v>
      </c>
      <c r="F28" s="19">
        <f t="shared" si="2"/>
        <v>1.1251980248244555</v>
      </c>
      <c r="G28" s="20">
        <f>(G17/$L28)*$O28</f>
        <v>8.0371287487461113E-2</v>
      </c>
      <c r="H28" s="17">
        <f>SUM(C28:G28)</f>
        <v>60.117723040620916</v>
      </c>
      <c r="I28" s="17">
        <f>E28/H28*100</f>
        <v>97.994652406417117</v>
      </c>
      <c r="J28" s="17">
        <f>SQRT(I28*(100-I28)/(L28-1))</f>
        <v>0.5129035654513856</v>
      </c>
      <c r="K28" s="18">
        <f>100-I28</f>
        <v>2.0053475935828828</v>
      </c>
      <c r="L28" s="1">
        <f>H17</f>
        <v>748</v>
      </c>
      <c r="M28">
        <v>2</v>
      </c>
      <c r="N28" s="1">
        <v>58037.74</v>
      </c>
      <c r="O28" s="17">
        <f>N28/N31*100</f>
        <v>60.117723040620916</v>
      </c>
      <c r="P28" s="52">
        <f>((O28*O28*(I28/100)*(K28/100))/(L28-1))</f>
        <v>9.5077221763120806E-2</v>
      </c>
      <c r="S28" t="s">
        <v>30</v>
      </c>
      <c r="T28" s="57">
        <f t="shared" si="3"/>
        <v>100</v>
      </c>
      <c r="U28" s="57">
        <f t="shared" si="3"/>
        <v>88.489536819872058</v>
      </c>
      <c r="V28" s="57">
        <f t="shared" si="3"/>
        <v>95.166765635631293</v>
      </c>
      <c r="W28" s="57">
        <f t="shared" si="3"/>
        <v>95.911090218221389</v>
      </c>
      <c r="X28" s="57">
        <f t="shared" si="3"/>
        <v>89.477084164929622</v>
      </c>
      <c r="AC28" t="s">
        <v>100</v>
      </c>
      <c r="AD28" s="51">
        <f>I369</f>
        <v>0.87175941928793643</v>
      </c>
      <c r="AE28" s="55">
        <f>I380</f>
        <v>0.95408280300926263</v>
      </c>
      <c r="AF28" s="55">
        <f>J380</f>
        <v>4.8278311375360297E-3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0</v>
      </c>
      <c r="E29" s="19">
        <f t="shared" si="2"/>
        <v>3.1907495160635637</v>
      </c>
      <c r="F29" s="34">
        <f t="shared" si="2"/>
        <v>29.08899975477949</v>
      </c>
      <c r="G29" s="20">
        <f t="shared" si="2"/>
        <v>0.58497074461165344</v>
      </c>
      <c r="H29" s="17">
        <f>SUM(C29:G29)</f>
        <v>32.864720015454708</v>
      </c>
      <c r="I29" s="17">
        <f>F29/H29*100</f>
        <v>88.511326860841422</v>
      </c>
      <c r="J29" s="17">
        <f>SQRT(I29*(100-I29)/(L29-1))</f>
        <v>1.2837834729964359</v>
      </c>
      <c r="K29" s="18">
        <f>100-I29</f>
        <v>11.488673139158578</v>
      </c>
      <c r="L29" s="1">
        <f>H18</f>
        <v>618</v>
      </c>
      <c r="M29">
        <v>3</v>
      </c>
      <c r="N29" s="1">
        <v>31727.65</v>
      </c>
      <c r="O29" s="17">
        <f>N29/N31*100</f>
        <v>32.864720015454708</v>
      </c>
      <c r="P29" s="52">
        <f>((O29*O29*(I29/100)*(K29/100))/(L29-1))</f>
        <v>0.17800960411166511</v>
      </c>
      <c r="S29" s="66" t="s">
        <v>39</v>
      </c>
      <c r="T29" s="67">
        <f t="shared" si="3"/>
        <v>0</v>
      </c>
      <c r="U29" s="67">
        <f t="shared" si="3"/>
        <v>6.6557490085732152</v>
      </c>
      <c r="V29" s="67">
        <f t="shared" si="3"/>
        <v>0.62829579429155735</v>
      </c>
      <c r="W29" s="67">
        <f t="shared" si="3"/>
        <v>1.0473937356420726</v>
      </c>
      <c r="X29" s="67">
        <f t="shared" si="3"/>
        <v>2.7810463219685566</v>
      </c>
      <c r="AC29" t="s">
        <v>101</v>
      </c>
      <c r="AD29" s="51">
        <f>I398</f>
        <v>0.89491876944348425</v>
      </c>
      <c r="AE29" s="55">
        <f>I409</f>
        <v>0.95267214840239733</v>
      </c>
      <c r="AF29" s="55">
        <f>J409</f>
        <v>4.962887776050506E-3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0</v>
      </c>
      <c r="E30" s="21">
        <f t="shared" si="2"/>
        <v>6.0027400974368853E-3</v>
      </c>
      <c r="F30" s="21">
        <f t="shared" si="2"/>
        <v>0.22810412370260164</v>
      </c>
      <c r="G30" s="37">
        <f t="shared" si="2"/>
        <v>5.8466688549035268</v>
      </c>
      <c r="H30" s="17">
        <f>SUM(C30:G30)</f>
        <v>6.0807757187035651</v>
      </c>
      <c r="I30" s="17">
        <f>G30/H30*100</f>
        <v>96.150049358341562</v>
      </c>
      <c r="J30" s="17">
        <f>SQRT(I30*(100-I30)/(L30-1))</f>
        <v>0.60480041478323565</v>
      </c>
      <c r="K30" s="18">
        <f>100-I30</f>
        <v>3.8499506416584381</v>
      </c>
      <c r="L30" s="1">
        <f>H19</f>
        <v>1013</v>
      </c>
      <c r="M30">
        <v>4</v>
      </c>
      <c r="N30" s="1">
        <v>5870.39</v>
      </c>
      <c r="O30" s="17">
        <f>N30/N31*100</f>
        <v>6.0807757187035651</v>
      </c>
      <c r="P30" s="52">
        <f>((O30*O30*(I30/100)*(K30/100))/(L30-1))</f>
        <v>1.3525151277656387E-3</v>
      </c>
      <c r="S30" t="s">
        <v>31</v>
      </c>
      <c r="T30" s="57">
        <f>I55</f>
        <v>65.333333333333329</v>
      </c>
      <c r="U30" s="57">
        <f>I56</f>
        <v>92.1875</v>
      </c>
      <c r="V30" s="57">
        <f>I57</f>
        <v>98.128342245989302</v>
      </c>
      <c r="W30" s="57">
        <f>I58</f>
        <v>89.320388349514573</v>
      </c>
      <c r="X30" s="57">
        <f>I59</f>
        <v>96.446199407699908</v>
      </c>
      <c r="AC30" t="s">
        <v>102</v>
      </c>
      <c r="AD30" s="51">
        <f>I427</f>
        <v>0.86588316626339445</v>
      </c>
      <c r="AE30" s="55">
        <f>I438</f>
        <v>0.94710542340548254</v>
      </c>
      <c r="AF30" s="55">
        <f>J438</f>
        <v>5.2058685942027848E-3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6.6081521522392495E-2</v>
      </c>
      <c r="D31" s="17">
        <f>SUM(D26:D30)</f>
        <v>0.78813491286613224</v>
      </c>
      <c r="E31" s="17">
        <f>SUM(E26:E30)</f>
        <v>62.168263574291437</v>
      </c>
      <c r="F31" s="17">
        <f>SUM(F26:F30)</f>
        <v>30.456855571737073</v>
      </c>
      <c r="G31" s="17">
        <f>SUM(G26:G30)</f>
        <v>6.5206644195829551</v>
      </c>
      <c r="H31" s="1">
        <f>SUM(H25:H30)</f>
        <v>99.999999999999986</v>
      </c>
      <c r="I31" s="13" t="s">
        <v>24</v>
      </c>
      <c r="J31" s="12" t="s">
        <v>29</v>
      </c>
      <c r="N31" s="1">
        <f>SUM(N26:N30)</f>
        <v>96540.150000000009</v>
      </c>
      <c r="O31" s="17">
        <f>SUM(O26:O30)</f>
        <v>99.999999999999986</v>
      </c>
      <c r="S31" s="66" t="s">
        <v>39</v>
      </c>
      <c r="T31" s="67">
        <f>J55</f>
        <v>2.2459510160163703</v>
      </c>
      <c r="U31" s="67">
        <f>J56</f>
        <v>3.3811213593755247</v>
      </c>
      <c r="V31" s="67">
        <f>J57</f>
        <v>0.49584980756665031</v>
      </c>
      <c r="W31" s="67">
        <f>J58</f>
        <v>1.2433988161300378</v>
      </c>
      <c r="X31" s="67">
        <f>J59</f>
        <v>0.58196763198993218</v>
      </c>
      <c r="AC31" t="s">
        <v>103</v>
      </c>
      <c r="AD31" s="51">
        <f>I456</f>
        <v>0.86622882820601455</v>
      </c>
      <c r="AE31" s="55">
        <f>I467</f>
        <v>0.95011983598729233</v>
      </c>
      <c r="AF31" s="55">
        <f>J467</f>
        <v>5.0552989262087223E-3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4.0359306068292475E-3</v>
      </c>
      <c r="D32" s="18">
        <f>SQRT(SUM((O26*O26*(D26/O26)*(1-D26/O26))/L26,(O27*O27*(D27/O27)*(1-D27/O27))/L27,(O28*O28*(D28/O28)*(1-D28/O28))/L28,(O29*O29*(D29/O29)*(1-D29/O29))/L29,(O30*O30*(D30/O30)*(1-D30/O30))/L30))</f>
        <v>2.5826675955777631E-2</v>
      </c>
      <c r="E32" s="18">
        <f>SQRT(SUM((O26*O26*(E26/O26)*(1-E26/O26))/L26,(O27*O27*(E27/O27)*(1-E27/O27))/L27,(O28*O28*(E28/O28)*(1-E28/O28))/L28,(O29*O29*(E29/O29)*(1-E29/O29))/L29,(O30*O30*(E30/O30)*(1-E30/O30))/L30))</f>
        <v>0.49884183662809323</v>
      </c>
      <c r="F32" s="18">
        <f>SQRT(SUM((O26*O26*(F26/O26)*(1-F26/O26))/L26,(O27*O27*(F27/O27)*(1-F27/O27))/L27,(O28*O28*(F28/O28)*(1-F28/O28))/L28,(O29*O29*(F29/O29)*(1-F29/O29))/L29,(O30*O30*(F30/O30)*(1-F30/O30))/L30))</f>
        <v>0.51748015301265859</v>
      </c>
      <c r="G32" s="18">
        <f>SQRT(SUM((O26*O26*(G26/O26)*(1-G26/O26))/L26,(O27*O27*(G27/O27)*(1-G27/O27))/L27,(O28*O28*(G28/O28)*(1-G28/O28))/L28,(O29*O29*(G29/O29)*(1-G29/O29))/L29,(O30*O30*(G30/O30)*(1-G30/O30))/L30))</f>
        <v>0.19585676070840971</v>
      </c>
      <c r="H32" s="1"/>
      <c r="I32" s="14">
        <f>(C26+D27+E28+F29+G30)/H31</f>
        <v>0.94614323419407387</v>
      </c>
      <c r="J32" s="53">
        <f>SQRT(SUM(P26:P30))/100</f>
        <v>5.2451462333725288E-3</v>
      </c>
      <c r="M32" s="1"/>
      <c r="N32" s="9"/>
      <c r="S32" s="66" t="s">
        <v>51</v>
      </c>
      <c r="T32" s="67">
        <f>N44*100</f>
        <v>79.032258064516128</v>
      </c>
      <c r="U32" s="67">
        <f>N45*100</f>
        <v>54.377880184331808</v>
      </c>
      <c r="V32" s="67">
        <f>N46*100</f>
        <v>95.077720207253876</v>
      </c>
      <c r="W32" s="67">
        <f>N47*100</f>
        <v>86.317435496481636</v>
      </c>
      <c r="X32" s="67">
        <f>N48*100</f>
        <v>97.602397602397602</v>
      </c>
      <c r="AC32" t="s">
        <v>104</v>
      </c>
      <c r="AD32" s="51">
        <f>I485</f>
        <v>0.88282060145178021</v>
      </c>
      <c r="AE32" s="55">
        <f>I496</f>
        <v>0.94738509500421109</v>
      </c>
      <c r="AF32" s="55">
        <f>J496</f>
        <v>5.2028699870308491E-3</v>
      </c>
      <c r="AH32">
        <v>485</v>
      </c>
      <c r="AI32">
        <v>496</v>
      </c>
    </row>
    <row r="33" spans="1:35" x14ac:dyDescent="0.3">
      <c r="B33" s="1" t="s">
        <v>30</v>
      </c>
      <c r="C33" s="17">
        <f>C26/C31*100</f>
        <v>100</v>
      </c>
      <c r="D33" s="17">
        <f>D27/D31*100</f>
        <v>88.870515499156099</v>
      </c>
      <c r="E33" s="17">
        <f>E28/E31*100</f>
        <v>94.762424332326148</v>
      </c>
      <c r="F33" s="17">
        <f>F29/F31*100</f>
        <v>95.508873810903495</v>
      </c>
      <c r="G33" s="17">
        <f>G30/G31*100</f>
        <v>89.66369803274533</v>
      </c>
      <c r="H33" s="1"/>
      <c r="R33" s="16" t="s">
        <v>61</v>
      </c>
      <c r="S33" t="s">
        <v>9</v>
      </c>
      <c r="T33" s="30">
        <f>N55</f>
        <v>214.45</v>
      </c>
      <c r="U33" s="30">
        <f>N56</f>
        <v>801.95</v>
      </c>
      <c r="V33" s="30">
        <f>N57</f>
        <v>57773.9</v>
      </c>
      <c r="W33" s="30">
        <f>N58</f>
        <v>32040.85</v>
      </c>
      <c r="X33" s="30">
        <f>N59</f>
        <v>5709</v>
      </c>
      <c r="Z33" t="s">
        <v>36</v>
      </c>
      <c r="AA33" s="1">
        <f>N60</f>
        <v>96540.15</v>
      </c>
      <c r="AC33" t="s">
        <v>105</v>
      </c>
      <c r="AD33" s="51">
        <f>I514</f>
        <v>0.87867265814033879</v>
      </c>
      <c r="AE33" s="55">
        <f>I525</f>
        <v>0.95080675270523429</v>
      </c>
      <c r="AF33" s="55">
        <f>J525</f>
        <v>5.0690677372711053E-3</v>
      </c>
      <c r="AH33">
        <v>514</v>
      </c>
      <c r="AI33">
        <v>525</v>
      </c>
    </row>
    <row r="34" spans="1:35" ht="15.6" x14ac:dyDescent="0.35">
      <c r="B34" s="16" t="s">
        <v>39</v>
      </c>
      <c r="C34" s="18">
        <f>SQRT((C37+C38)/(C31*C31))</f>
        <v>0</v>
      </c>
      <c r="D34" s="18">
        <f>SQRT((D37+D38)/(D31*D31))</f>
        <v>3.6580591423378879</v>
      </c>
      <c r="E34" s="18">
        <f>SQRT((E37+E38)/(E31*E31))</f>
        <v>0.65241772478190785</v>
      </c>
      <c r="F34" s="18">
        <f>SQRT((F37+F38)/(F31*F31))</f>
        <v>1.1286764810122674</v>
      </c>
      <c r="G34" s="18">
        <f>SQRT((G37+G38)/(G31*G31))</f>
        <v>2.7108147588068991</v>
      </c>
      <c r="H34" s="1"/>
      <c r="R34" s="16" t="s">
        <v>318</v>
      </c>
      <c r="S34" t="s">
        <v>63</v>
      </c>
      <c r="T34" s="57">
        <f>$AA33*T26/100</f>
        <v>140.10733333333332</v>
      </c>
      <c r="U34" s="57">
        <f>$AA33*U26/100</f>
        <v>835.46335851537219</v>
      </c>
      <c r="V34" s="57">
        <f>$AA33*V26/100</f>
        <v>59571.815793253583</v>
      </c>
      <c r="W34" s="57">
        <f>$AA33*W26/100</f>
        <v>29839.105764901768</v>
      </c>
      <c r="X34" s="57">
        <f>$AA33*X26/100</f>
        <v>6153.6577499959467</v>
      </c>
      <c r="Z34" t="s">
        <v>36</v>
      </c>
      <c r="AA34" s="25">
        <f>SUM(T34:X34)</f>
        <v>96540.150000000009</v>
      </c>
      <c r="AB34" s="25"/>
      <c r="AC34" t="s">
        <v>106</v>
      </c>
      <c r="AD34" s="51">
        <f>I543</f>
        <v>0.85966125129623228</v>
      </c>
      <c r="AE34" s="55">
        <f>I554</f>
        <v>0.94630474952211685</v>
      </c>
      <c r="AF34" s="55">
        <f>J554</f>
        <v>5.2817913249198888E-3</v>
      </c>
      <c r="AH34">
        <v>543</v>
      </c>
      <c r="AI34">
        <v>554</v>
      </c>
    </row>
    <row r="35" spans="1:35" x14ac:dyDescent="0.3">
      <c r="B35" s="1" t="s">
        <v>37</v>
      </c>
      <c r="C35" s="18">
        <f>100-C33</f>
        <v>0</v>
      </c>
      <c r="D35" s="18">
        <f>100-D33</f>
        <v>11.129484500843901</v>
      </c>
      <c r="E35" s="18">
        <f>100-E33</f>
        <v>5.2375756676738519</v>
      </c>
      <c r="F35" s="18">
        <f>100-F33</f>
        <v>4.4911261890965051</v>
      </c>
      <c r="G35" s="18">
        <f>100-G33</f>
        <v>10.33630196725467</v>
      </c>
      <c r="R35" s="66"/>
      <c r="S35" s="66" t="s">
        <v>62</v>
      </c>
      <c r="T35" s="67">
        <f>$AA33*T27/100</f>
        <v>4.8110873752557941</v>
      </c>
      <c r="U35" s="67">
        <f>$AA33*U27/100</f>
        <v>58.516218828259881</v>
      </c>
      <c r="V35" s="67">
        <f>$AA33*V27/100</f>
        <v>463.94447120599705</v>
      </c>
      <c r="W35" s="67">
        <f>$AA33*W27/100</f>
        <v>485.48377426153434</v>
      </c>
      <c r="X35" s="67">
        <f>$AA33*X27/100</f>
        <v>190.0061034254052</v>
      </c>
      <c r="AA35" s="1"/>
      <c r="AB35" s="25"/>
      <c r="AC35" s="58" t="s">
        <v>107</v>
      </c>
      <c r="AD35" s="120">
        <f>I572</f>
        <v>0.86277220877981331</v>
      </c>
      <c r="AE35" s="121">
        <f>I583</f>
        <v>0.95100106023292896</v>
      </c>
      <c r="AF35" s="121">
        <f>J583</f>
        <v>5.0517993313575716E-3</v>
      </c>
      <c r="AH35">
        <v>572</v>
      </c>
      <c r="AI35">
        <v>583</v>
      </c>
    </row>
    <row r="36" spans="1:35" ht="15.6" x14ac:dyDescent="0.35">
      <c r="B36" s="1" t="s">
        <v>25</v>
      </c>
      <c r="C36" s="1">
        <f>C20</f>
        <v>168</v>
      </c>
      <c r="D36" s="1">
        <f>D20</f>
        <v>282</v>
      </c>
      <c r="E36" s="1">
        <f>E20</f>
        <v>799</v>
      </c>
      <c r="F36" s="1">
        <f>F20</f>
        <v>636</v>
      </c>
      <c r="G36" s="1">
        <f>G20</f>
        <v>1008</v>
      </c>
      <c r="R36" t="s">
        <v>67</v>
      </c>
      <c r="S36" t="s">
        <v>28</v>
      </c>
      <c r="T36" s="57">
        <f t="shared" ref="T36:X39" si="4">C89</f>
        <v>0.10498006385023341</v>
      </c>
      <c r="U36" s="57">
        <f t="shared" si="4"/>
        <v>0.80901816463190812</v>
      </c>
      <c r="V36" s="57">
        <f t="shared" si="4"/>
        <v>61.814991356356337</v>
      </c>
      <c r="W36" s="57">
        <f t="shared" si="4"/>
        <v>31.205732236295542</v>
      </c>
      <c r="X36" s="57">
        <f t="shared" si="4"/>
        <v>6.0652781788659871</v>
      </c>
      <c r="Y36" s="13"/>
      <c r="Z36" s="74"/>
      <c r="AA36" s="12"/>
      <c r="AC36" t="s">
        <v>108</v>
      </c>
      <c r="AD36" s="51"/>
      <c r="AE36" s="51"/>
      <c r="AH36">
        <v>601</v>
      </c>
      <c r="AI36">
        <v>612</v>
      </c>
    </row>
    <row r="37" spans="1:3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8.1741776606396801</v>
      </c>
      <c r="E37" s="18">
        <f>(O28*O28*(100-E33)*(100-E33)*(I28)*(100-I28))/((L28-1)*100)</f>
        <v>260.81772558512512</v>
      </c>
      <c r="F37" s="18">
        <f>(O29*O29*(100-F33)*(100-F33)*(I29)*(100-I29))/((L29-1)*100)</f>
        <v>359.04918884490047</v>
      </c>
      <c r="G37" s="18">
        <f>(O30*O30*(100-G33)*(100-G33)*(I30)*(100-I30))/((L30-1)*100)</f>
        <v>14.450155086701006</v>
      </c>
      <c r="S37" s="66" t="s">
        <v>39</v>
      </c>
      <c r="T37" s="67">
        <f t="shared" si="4"/>
        <v>4.797166917860393E-3</v>
      </c>
      <c r="U37" s="67">
        <f t="shared" si="4"/>
        <v>5.9590534150629745E-2</v>
      </c>
      <c r="V37" s="67">
        <f t="shared" si="4"/>
        <v>0.49927131499015542</v>
      </c>
      <c r="W37" s="67">
        <f t="shared" si="4"/>
        <v>0.51663483189471182</v>
      </c>
      <c r="X37" s="67">
        <f t="shared" si="4"/>
        <v>0.18315932902196988</v>
      </c>
      <c r="AC37" t="s">
        <v>109</v>
      </c>
      <c r="AD37" s="51"/>
      <c r="AE37" s="51"/>
      <c r="AH37">
        <v>630</v>
      </c>
      <c r="AI37">
        <v>641</v>
      </c>
    </row>
    <row r="38" spans="1:35" x14ac:dyDescent="0.3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0.13776575686405609</v>
      </c>
      <c r="E38" s="18">
        <f>E33*E33*(SUM((H26*E26*(1-E15/H15))/(H15-1),(H27*E27*(1-E16/H16))/(H16-1), (H29*E29*(1-E18/H18))/(H18-1),(H30*E30*(1-E19/H19))/(H19-1)))</f>
        <v>1384.2696788254045</v>
      </c>
      <c r="F38" s="18">
        <f>F33*F33*(SUM((H26*F26*(1-F15/H15))/(H15-1),(H27*F27*(1-F16/H16))/(H16-1), (H28*F28*(1-F17/H17))/(H17-1),(H30*F30*(1-F19/H19))/(H19-1)))</f>
        <v>822.6558261789977</v>
      </c>
      <c r="G38" s="18">
        <f>G33*G33*(SUM((H26*G26*(1-G15/H15))/(H15-1),(H27*G27*(1-G16/H16))/(H16-1), (H28*G28*(1-G17/H17))/(H17-1),(H29*G29*(1-G18/H18))/(H18-1)))</f>
        <v>298.00189841335504</v>
      </c>
      <c r="S38" t="s">
        <v>30</v>
      </c>
      <c r="T38" s="57">
        <f t="shared" si="4"/>
        <v>100</v>
      </c>
      <c r="U38" s="57">
        <f t="shared" si="4"/>
        <v>85.567306034603661</v>
      </c>
      <c r="V38" s="57">
        <f t="shared" si="4"/>
        <v>94.98848683745841</v>
      </c>
      <c r="W38" s="57">
        <f t="shared" si="4"/>
        <v>95.283131297393325</v>
      </c>
      <c r="X38" s="57">
        <f t="shared" si="4"/>
        <v>90.684601216707833</v>
      </c>
      <c r="Z38" s="50"/>
      <c r="AA38" s="54"/>
      <c r="AC38" t="s">
        <v>110</v>
      </c>
      <c r="AD38" s="51"/>
      <c r="AE38" s="51"/>
      <c r="AH38">
        <v>659</v>
      </c>
      <c r="AI38">
        <v>670</v>
      </c>
    </row>
    <row r="39" spans="1:35" x14ac:dyDescent="0.3">
      <c r="S39" s="66" t="s">
        <v>39</v>
      </c>
      <c r="T39" s="67">
        <f t="shared" si="4"/>
        <v>0</v>
      </c>
      <c r="U39" s="67">
        <f t="shared" si="4"/>
        <v>7.2934429619178811</v>
      </c>
      <c r="V39" s="67">
        <f t="shared" si="4"/>
        <v>0.64622716759467458</v>
      </c>
      <c r="W39" s="67">
        <f t="shared" si="4"/>
        <v>1.1341876553327774</v>
      </c>
      <c r="X39" s="67">
        <f t="shared" si="4"/>
        <v>2.7437300147597452</v>
      </c>
      <c r="AC39" t="s">
        <v>111</v>
      </c>
      <c r="AD39" s="51"/>
      <c r="AE39" s="51"/>
      <c r="AH39">
        <v>688</v>
      </c>
      <c r="AI39">
        <v>699</v>
      </c>
    </row>
    <row r="40" spans="1:35" x14ac:dyDescent="0.3">
      <c r="S40" t="s">
        <v>31</v>
      </c>
      <c r="T40" s="57">
        <f>I84</f>
        <v>51.555555555555564</v>
      </c>
      <c r="U40" s="57">
        <f>I85</f>
        <v>92.1875</v>
      </c>
      <c r="V40" s="57">
        <f>I86</f>
        <v>97.860962566844918</v>
      </c>
      <c r="W40" s="57">
        <f>I87</f>
        <v>89.320388349514559</v>
      </c>
      <c r="X40" s="57">
        <f>I88</f>
        <v>95.557749259624885</v>
      </c>
      <c r="AC40" t="s">
        <v>112</v>
      </c>
      <c r="AD40" s="51"/>
      <c r="AE40" s="51"/>
      <c r="AH40">
        <v>717</v>
      </c>
      <c r="AI40">
        <v>728</v>
      </c>
    </row>
    <row r="41" spans="1:35" x14ac:dyDescent="0.3">
      <c r="A41" s="348" t="s">
        <v>386</v>
      </c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 t="s">
        <v>49</v>
      </c>
      <c r="M41" s="348"/>
      <c r="N41" s="348"/>
      <c r="O41" s="348"/>
      <c r="P41" s="348"/>
      <c r="S41" s="66" t="s">
        <v>39</v>
      </c>
      <c r="T41" s="67">
        <f>J84</f>
        <v>2.3585036623715472</v>
      </c>
      <c r="U41" s="67">
        <f>J85</f>
        <v>3.3811213593755247</v>
      </c>
      <c r="V41" s="67">
        <f>J86</f>
        <v>0.52936306120566767</v>
      </c>
      <c r="W41" s="67">
        <f>J87</f>
        <v>1.2433988161300384</v>
      </c>
      <c r="X41" s="67">
        <f>J88</f>
        <v>0.64765576239113853</v>
      </c>
      <c r="AC41" t="s">
        <v>113</v>
      </c>
      <c r="AD41" s="51"/>
      <c r="AE41" s="51"/>
      <c r="AH41">
        <v>746</v>
      </c>
      <c r="AI41">
        <v>757</v>
      </c>
    </row>
    <row r="42" spans="1:35" x14ac:dyDescent="0.3">
      <c r="A42" t="s">
        <v>315</v>
      </c>
      <c r="B42" t="s">
        <v>21</v>
      </c>
      <c r="I42" s="1" t="s">
        <v>53</v>
      </c>
      <c r="S42" s="66" t="s">
        <v>51</v>
      </c>
      <c r="T42" s="67">
        <f>N73*100</f>
        <v>68.035190615835774</v>
      </c>
      <c r="U42" s="67">
        <f>N74*100</f>
        <v>44.866920152091254</v>
      </c>
      <c r="V42" s="67">
        <f>N75*100</f>
        <v>94.757281553398059</v>
      </c>
      <c r="W42" s="67">
        <f>N76*100</f>
        <v>84.597701149425291</v>
      </c>
      <c r="X42" s="67">
        <f>N77*100</f>
        <v>97.237569060773481</v>
      </c>
      <c r="AC42" t="s">
        <v>114</v>
      </c>
      <c r="AD42" s="51"/>
      <c r="AE42" s="51"/>
      <c r="AH42">
        <v>775</v>
      </c>
      <c r="AI42">
        <v>786</v>
      </c>
    </row>
    <row r="43" spans="1:3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51</v>
      </c>
      <c r="R43" s="16" t="s">
        <v>61</v>
      </c>
      <c r="S43" t="s">
        <v>9</v>
      </c>
      <c r="T43" s="30">
        <f>N84</f>
        <v>196.58</v>
      </c>
      <c r="U43" s="30">
        <f>N85</f>
        <v>724.94</v>
      </c>
      <c r="V43" s="30">
        <f>N86</f>
        <v>57924.63</v>
      </c>
      <c r="W43" s="30">
        <f>N87</f>
        <v>32137.18</v>
      </c>
      <c r="X43" s="30">
        <f>N88</f>
        <v>5556.82</v>
      </c>
      <c r="Z43" t="s">
        <v>36</v>
      </c>
      <c r="AA43" s="1">
        <f>N89</f>
        <v>96540.15</v>
      </c>
      <c r="AC43" t="s">
        <v>115</v>
      </c>
      <c r="AD43" s="51"/>
      <c r="AE43" s="51"/>
      <c r="AH43">
        <v>804</v>
      </c>
      <c r="AI43">
        <v>815</v>
      </c>
    </row>
    <row r="44" spans="1:35" ht="15.6" x14ac:dyDescent="0.35">
      <c r="A44" t="s">
        <v>3</v>
      </c>
      <c r="B44" s="13">
        <v>0</v>
      </c>
      <c r="C44" s="26">
        <v>294</v>
      </c>
      <c r="D44" s="3">
        <v>93</v>
      </c>
      <c r="E44" s="3">
        <v>0</v>
      </c>
      <c r="F44" s="3">
        <v>63</v>
      </c>
      <c r="G44" s="4">
        <v>0</v>
      </c>
      <c r="H44" s="1">
        <f>SUM(C44:G44)</f>
        <v>450</v>
      </c>
      <c r="I44" s="10">
        <f>C44/H44</f>
        <v>0.65333333333333332</v>
      </c>
      <c r="J44" s="11">
        <f>1-I44</f>
        <v>0.34666666666666668</v>
      </c>
      <c r="K44">
        <f>H44-C49</f>
        <v>156</v>
      </c>
      <c r="N44" s="10">
        <f>2*(C50*I44)/(C50+I44)</f>
        <v>0.79032258064516125</v>
      </c>
      <c r="R44" s="16" t="s">
        <v>318</v>
      </c>
      <c r="S44" t="s">
        <v>63</v>
      </c>
      <c r="T44" s="57">
        <f>$AA43*T36/100</f>
        <v>101.3479111111111</v>
      </c>
      <c r="U44" s="57">
        <f>$AA43*U36/100</f>
        <v>781.02734966289108</v>
      </c>
      <c r="V44" s="57">
        <f>$AA43*V36/100</f>
        <v>59676.285377913446</v>
      </c>
      <c r="W44" s="57">
        <f>$AA43*W36/100</f>
        <v>30126.060709518068</v>
      </c>
      <c r="X44" s="57">
        <f>$AA43*X36/100</f>
        <v>5855.428651794492</v>
      </c>
      <c r="Z44" t="s">
        <v>36</v>
      </c>
      <c r="AA44" s="25">
        <f>SUM(T44:X44)</f>
        <v>96540.150000000009</v>
      </c>
      <c r="AC44" t="s">
        <v>116</v>
      </c>
      <c r="AD44" s="51"/>
      <c r="AE44" s="51"/>
      <c r="AH44">
        <v>833</v>
      </c>
      <c r="AI44">
        <v>844</v>
      </c>
    </row>
    <row r="45" spans="1:35" x14ac:dyDescent="0.3">
      <c r="A45" t="s">
        <v>4</v>
      </c>
      <c r="B45" s="13">
        <v>1</v>
      </c>
      <c r="C45" s="5">
        <v>0</v>
      </c>
      <c r="D45" s="27">
        <v>59</v>
      </c>
      <c r="E45" s="1">
        <v>5</v>
      </c>
      <c r="F45" s="1">
        <v>0</v>
      </c>
      <c r="G45" s="6">
        <v>0</v>
      </c>
      <c r="H45" s="1">
        <f>SUM(C45:G45)</f>
        <v>64</v>
      </c>
      <c r="I45" s="10">
        <f>D45/H45</f>
        <v>0.921875</v>
      </c>
      <c r="J45" s="11">
        <f>1-I45</f>
        <v>7.8125E-2</v>
      </c>
      <c r="K45">
        <f>H45-D49</f>
        <v>-89</v>
      </c>
      <c r="N45" s="10">
        <f>2*(D50*I45)/(D50+I45)</f>
        <v>0.54377880184331806</v>
      </c>
      <c r="R45" s="66"/>
      <c r="S45" s="66" t="s">
        <v>62</v>
      </c>
      <c r="T45" s="67">
        <f>$AA43*T37/100</f>
        <v>4.6311921382527999</v>
      </c>
      <c r="U45" s="67">
        <f>$AA43*U37/100</f>
        <v>57.528791054819173</v>
      </c>
      <c r="V45" s="67">
        <f>$AA43*V37/100</f>
        <v>481.99727639846856</v>
      </c>
      <c r="W45" s="67">
        <f>$AA43*W37/100</f>
        <v>498.7600416634026</v>
      </c>
      <c r="X45" s="67">
        <f>$AA43*X37/100</f>
        <v>176.82229097680323</v>
      </c>
      <c r="AA45" s="1"/>
      <c r="AC45" t="s">
        <v>117</v>
      </c>
      <c r="AD45" s="51"/>
      <c r="AE45" s="51"/>
      <c r="AH45">
        <v>862</v>
      </c>
      <c r="AI45">
        <v>873</v>
      </c>
    </row>
    <row r="46" spans="1:35" x14ac:dyDescent="0.3">
      <c r="A46" t="s">
        <v>5</v>
      </c>
      <c r="B46" s="13">
        <v>2</v>
      </c>
      <c r="C46" s="5">
        <v>0</v>
      </c>
      <c r="D46" s="1">
        <v>0</v>
      </c>
      <c r="E46" s="27">
        <v>734</v>
      </c>
      <c r="F46" s="1">
        <v>13</v>
      </c>
      <c r="G46" s="6">
        <v>1</v>
      </c>
      <c r="H46" s="1">
        <f>SUM(C46:G46)</f>
        <v>748</v>
      </c>
      <c r="I46" s="10">
        <f>E46/H46</f>
        <v>0.98128342245989308</v>
      </c>
      <c r="J46" s="11">
        <f>1-I46</f>
        <v>1.8716577540106916E-2</v>
      </c>
      <c r="K46">
        <f>H46-E49</f>
        <v>-48</v>
      </c>
      <c r="N46" s="10">
        <f>2*(E50*I46)/(E50+I46)</f>
        <v>0.9507772020725388</v>
      </c>
      <c r="R46" t="s">
        <v>68</v>
      </c>
      <c r="S46" t="s">
        <v>28</v>
      </c>
      <c r="T46" s="57">
        <f t="shared" ref="T46:X49" si="5">C118</f>
        <v>9.8647924525947894E-2</v>
      </c>
      <c r="U46" s="57">
        <f t="shared" si="5"/>
        <v>0.72465755467037107</v>
      </c>
      <c r="V46" s="57">
        <f t="shared" si="5"/>
        <v>61.607199842156291</v>
      </c>
      <c r="W46" s="57">
        <f t="shared" si="5"/>
        <v>31.204211063211694</v>
      </c>
      <c r="X46" s="57">
        <f t="shared" si="5"/>
        <v>6.3652836154356915</v>
      </c>
      <c r="Y46" s="60"/>
      <c r="Z46" s="74"/>
      <c r="AA46" s="12"/>
      <c r="AC46" t="s">
        <v>130</v>
      </c>
      <c r="AD46" s="51"/>
      <c r="AE46" s="51"/>
      <c r="AH46">
        <v>891</v>
      </c>
      <c r="AI46">
        <v>902</v>
      </c>
    </row>
    <row r="47" spans="1:35" x14ac:dyDescent="0.3">
      <c r="A47" t="s">
        <v>6</v>
      </c>
      <c r="B47" s="13">
        <v>3</v>
      </c>
      <c r="C47" s="5">
        <v>0</v>
      </c>
      <c r="D47" s="1">
        <v>1</v>
      </c>
      <c r="E47" s="1">
        <v>54</v>
      </c>
      <c r="F47" s="27">
        <v>552</v>
      </c>
      <c r="G47" s="6">
        <v>11</v>
      </c>
      <c r="H47" s="1">
        <f>SUM(C47:G47)</f>
        <v>618</v>
      </c>
      <c r="I47" s="10">
        <f>F47/H47</f>
        <v>0.89320388349514568</v>
      </c>
      <c r="J47" s="11">
        <f>1-I47</f>
        <v>0.10679611650485432</v>
      </c>
      <c r="K47">
        <f>H47-F49</f>
        <v>-43</v>
      </c>
      <c r="N47" s="10">
        <f>2*(F50*I47)/(F50+I47)</f>
        <v>0.86317435496481631</v>
      </c>
      <c r="S47" s="66" t="s">
        <v>39</v>
      </c>
      <c r="T47" s="67">
        <f t="shared" si="5"/>
        <v>4.6710219270797897E-3</v>
      </c>
      <c r="U47" s="67">
        <f t="shared" si="5"/>
        <v>5.9265349867477786E-2</v>
      </c>
      <c r="V47" s="67">
        <f t="shared" si="5"/>
        <v>0.48450975560350557</v>
      </c>
      <c r="W47" s="67">
        <f t="shared" si="5"/>
        <v>0.50263661807665716</v>
      </c>
      <c r="X47" s="67">
        <f t="shared" si="5"/>
        <v>0.18218742643931149</v>
      </c>
      <c r="AC47" t="s">
        <v>131</v>
      </c>
      <c r="AD47" s="51"/>
      <c r="AE47" s="51"/>
      <c r="AH47">
        <v>920</v>
      </c>
      <c r="AI47">
        <v>931</v>
      </c>
    </row>
    <row r="48" spans="1:35" x14ac:dyDescent="0.3">
      <c r="A48" t="s">
        <v>7</v>
      </c>
      <c r="B48" s="13">
        <v>4</v>
      </c>
      <c r="C48" s="7">
        <v>0</v>
      </c>
      <c r="D48" s="8">
        <v>0</v>
      </c>
      <c r="E48" s="8">
        <v>3</v>
      </c>
      <c r="F48" s="8">
        <v>33</v>
      </c>
      <c r="G48" s="28">
        <v>977</v>
      </c>
      <c r="H48" s="1">
        <f>SUM(C48:G48)</f>
        <v>1013</v>
      </c>
      <c r="I48" s="10">
        <f>G48/H48</f>
        <v>0.96446199407699906</v>
      </c>
      <c r="J48" s="11">
        <f>1-I48</f>
        <v>3.5538005923000937E-2</v>
      </c>
      <c r="K48">
        <f>H48-G49</f>
        <v>24</v>
      </c>
      <c r="N48" s="10">
        <f>2*(G50*I48)/(G50+I48)</f>
        <v>0.97602397602397606</v>
      </c>
      <c r="S48" t="s">
        <v>30</v>
      </c>
      <c r="T48" s="57">
        <f t="shared" si="5"/>
        <v>100</v>
      </c>
      <c r="U48" s="57">
        <f t="shared" si="5"/>
        <v>88.450600063461266</v>
      </c>
      <c r="V48" s="57">
        <f t="shared" si="5"/>
        <v>95.469830626994806</v>
      </c>
      <c r="W48" s="57">
        <f t="shared" si="5"/>
        <v>95.15295529342464</v>
      </c>
      <c r="X48" s="57">
        <f t="shared" si="5"/>
        <v>90.813123563688521</v>
      </c>
      <c r="AC48" t="s">
        <v>132</v>
      </c>
      <c r="AD48" s="51"/>
      <c r="AE48" s="51"/>
      <c r="AH48">
        <v>949</v>
      </c>
      <c r="AI48">
        <v>960</v>
      </c>
    </row>
    <row r="49" spans="1:35" ht="15.6" x14ac:dyDescent="0.35">
      <c r="B49" s="1" t="s">
        <v>19</v>
      </c>
      <c r="C49" s="1">
        <f>SUM(C44:C48)</f>
        <v>294</v>
      </c>
      <c r="D49" s="1">
        <f>SUM(D44:D48)</f>
        <v>153</v>
      </c>
      <c r="E49" s="1">
        <f>SUM(E44:E48)</f>
        <v>796</v>
      </c>
      <c r="F49" s="1">
        <f>SUM(F44:F48)</f>
        <v>661</v>
      </c>
      <c r="G49" s="1">
        <f>SUM(G44:G48)</f>
        <v>989</v>
      </c>
      <c r="H49" s="1">
        <f>SUM(H43:H48)</f>
        <v>2893</v>
      </c>
      <c r="I49" s="13" t="s">
        <v>12</v>
      </c>
      <c r="S49" s="66" t="s">
        <v>39</v>
      </c>
      <c r="T49" s="67">
        <f t="shared" si="5"/>
        <v>0</v>
      </c>
      <c r="U49" s="67">
        <f t="shared" si="5"/>
        <v>7.7226698456937015</v>
      </c>
      <c r="V49" s="67">
        <f t="shared" si="5"/>
        <v>0.61339472206618106</v>
      </c>
      <c r="W49" s="67">
        <f t="shared" si="5"/>
        <v>1.1292891868902317</v>
      </c>
      <c r="X49" s="67">
        <f t="shared" si="5"/>
        <v>2.6026577376757416</v>
      </c>
      <c r="AC49" t="s">
        <v>133</v>
      </c>
      <c r="AD49" s="51"/>
      <c r="AE49" s="51"/>
      <c r="AH49">
        <v>978</v>
      </c>
      <c r="AI49">
        <v>989</v>
      </c>
    </row>
    <row r="50" spans="1:35" x14ac:dyDescent="0.3">
      <c r="A50" s="1" t="s">
        <v>316</v>
      </c>
      <c r="B50" s="1" t="s">
        <v>2</v>
      </c>
      <c r="C50" s="10">
        <f>C44/C49</f>
        <v>1</v>
      </c>
      <c r="D50" s="10">
        <f>D45/D49</f>
        <v>0.38562091503267976</v>
      </c>
      <c r="E50" s="10">
        <f>E46/E49</f>
        <v>0.92211055276381915</v>
      </c>
      <c r="F50" s="10">
        <f>F47/F49</f>
        <v>0.83509833585476556</v>
      </c>
      <c r="G50" s="10">
        <f>G48/G49</f>
        <v>0.98786653185035389</v>
      </c>
      <c r="H50" s="10"/>
      <c r="I50" s="14">
        <f>(C44+D45+E46+F47+G48)/H49</f>
        <v>0.90425164189422746</v>
      </c>
      <c r="S50" s="15" t="s">
        <v>31</v>
      </c>
      <c r="T50" s="71">
        <f>I113</f>
        <v>49.777777777777771</v>
      </c>
      <c r="U50" s="71">
        <f>I114</f>
        <v>90.625</v>
      </c>
      <c r="V50" s="71">
        <f>I115</f>
        <v>97.860962566844918</v>
      </c>
      <c r="W50" s="71">
        <f>I116</f>
        <v>90.129449838187696</v>
      </c>
      <c r="X50" s="71">
        <f>I117</f>
        <v>95.557749259624885</v>
      </c>
      <c r="AC50" t="s">
        <v>134</v>
      </c>
      <c r="AD50" s="51"/>
      <c r="AE50" s="51"/>
      <c r="AH50">
        <v>1007</v>
      </c>
      <c r="AI50">
        <v>1018</v>
      </c>
    </row>
    <row r="51" spans="1:35" x14ac:dyDescent="0.3">
      <c r="B51" s="1" t="s">
        <v>14</v>
      </c>
      <c r="C51" s="11">
        <f>1-C50</f>
        <v>0</v>
      </c>
      <c r="D51" s="11">
        <f>1-D50</f>
        <v>0.6143790849673203</v>
      </c>
      <c r="E51" s="11">
        <f>1-E50</f>
        <v>7.7889447236180853E-2</v>
      </c>
      <c r="F51" s="11">
        <f>1-F50</f>
        <v>0.16490166414523444</v>
      </c>
      <c r="G51" s="11">
        <f>1-G50</f>
        <v>1.2133468149646109E-2</v>
      </c>
      <c r="S51" s="75" t="s">
        <v>39</v>
      </c>
      <c r="T51" s="76">
        <f>J113</f>
        <v>2.3596225856553534</v>
      </c>
      <c r="U51" s="76">
        <f>J114</f>
        <v>3.6723103212062695</v>
      </c>
      <c r="V51" s="76">
        <f>J115</f>
        <v>0.52936306120566767</v>
      </c>
      <c r="W51" s="76">
        <f>J116</f>
        <v>1.2007745040335751</v>
      </c>
      <c r="X51" s="76">
        <f>J117</f>
        <v>0.64765576239113853</v>
      </c>
      <c r="AC51" t="s">
        <v>135</v>
      </c>
      <c r="AD51" s="51"/>
      <c r="AE51" s="51"/>
      <c r="AH51">
        <v>1036</v>
      </c>
      <c r="AI51">
        <v>1047</v>
      </c>
    </row>
    <row r="52" spans="1:35" x14ac:dyDescent="0.3">
      <c r="C52" s="2"/>
      <c r="S52" s="66" t="s">
        <v>51</v>
      </c>
      <c r="T52" s="67">
        <f>N102*100</f>
        <v>66.468842729970319</v>
      </c>
      <c r="U52" s="67">
        <f>N103*100</f>
        <v>60.416666666666664</v>
      </c>
      <c r="V52" s="67">
        <f>N104*100</f>
        <v>95.188556566970092</v>
      </c>
      <c r="W52" s="67">
        <f>N105*100</f>
        <v>83.445692883895134</v>
      </c>
      <c r="X52" s="67">
        <f>N106*100</f>
        <v>94.57743038593064</v>
      </c>
      <c r="AC52" t="s">
        <v>136</v>
      </c>
      <c r="AD52" s="51"/>
      <c r="AE52" s="51"/>
      <c r="AH52">
        <v>1065</v>
      </c>
      <c r="AI52">
        <v>1076</v>
      </c>
    </row>
    <row r="53" spans="1:35" ht="15.6" x14ac:dyDescent="0.35">
      <c r="A53" t="s">
        <v>317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61</v>
      </c>
      <c r="S53" t="s">
        <v>9</v>
      </c>
      <c r="T53" s="30">
        <f>N113</f>
        <v>191.32</v>
      </c>
      <c r="U53" s="30">
        <f>N114</f>
        <v>682.8</v>
      </c>
      <c r="V53" s="30">
        <f>N115</f>
        <v>58022.45</v>
      </c>
      <c r="W53" s="30">
        <f>N116</f>
        <v>31803.63</v>
      </c>
      <c r="X53" s="30">
        <f>N117</f>
        <v>5839.94</v>
      </c>
      <c r="Z53" t="s">
        <v>36</v>
      </c>
      <c r="AA53" s="1">
        <f>N118</f>
        <v>96540.14</v>
      </c>
      <c r="AC53" t="s">
        <v>137</v>
      </c>
      <c r="AD53" s="51"/>
      <c r="AE53" s="51"/>
      <c r="AH53">
        <v>1094</v>
      </c>
      <c r="AI53">
        <v>1105</v>
      </c>
    </row>
    <row r="54" spans="1:35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318</v>
      </c>
      <c r="S54" t="s">
        <v>63</v>
      </c>
      <c r="T54" s="57">
        <f>$AA53*T46/100</f>
        <v>95.23484444444442</v>
      </c>
      <c r="U54" s="57">
        <f>$AA53*U46/100</f>
        <v>699.58541779935274</v>
      </c>
      <c r="V54" s="57">
        <f>$AA53*V46/100</f>
        <v>59475.676977697462</v>
      </c>
      <c r="W54" s="57">
        <f>$AA53*W46/100</f>
        <v>30124.589046320059</v>
      </c>
      <c r="X54" s="57">
        <f>$AA53*X46/100</f>
        <v>6145.0537137386782</v>
      </c>
      <c r="Z54" t="s">
        <v>36</v>
      </c>
      <c r="AA54" s="25">
        <f>SUM(T54:X54)</f>
        <v>96540.139999999985</v>
      </c>
      <c r="AC54" t="s">
        <v>138</v>
      </c>
      <c r="AD54" s="51"/>
      <c r="AE54" s="51"/>
      <c r="AH54">
        <v>1123</v>
      </c>
      <c r="AI54">
        <v>1134</v>
      </c>
    </row>
    <row r="55" spans="1:35" x14ac:dyDescent="0.3">
      <c r="A55" t="s">
        <v>3</v>
      </c>
      <c r="B55" s="13">
        <v>0</v>
      </c>
      <c r="C55" s="29">
        <f>(C44/$L55)*$O55</f>
        <v>0.14512856395327056</v>
      </c>
      <c r="D55" s="31">
        <f>(D44/$L55)*$O55</f>
        <v>4.5908015128075387E-2</v>
      </c>
      <c r="E55" s="31">
        <f>(E44/$L55)*$O55</f>
        <v>0</v>
      </c>
      <c r="F55" s="31">
        <f>(F44/$L55)*$O55</f>
        <v>3.1098977989986554E-2</v>
      </c>
      <c r="G55" s="32">
        <f>(G44/$L55)*$O55</f>
        <v>0</v>
      </c>
      <c r="H55" s="17">
        <f>SUM(C55:G55)</f>
        <v>0.22213555707133251</v>
      </c>
      <c r="I55" s="17">
        <f>C55/H55*100</f>
        <v>65.333333333333329</v>
      </c>
      <c r="J55" s="17">
        <f>SQRT(I55*(100-I55)/(L55-1))</f>
        <v>2.2459510160163703</v>
      </c>
      <c r="K55" s="18">
        <f>100-I55</f>
        <v>34.666666666666671</v>
      </c>
      <c r="L55" s="1">
        <f>H44</f>
        <v>450</v>
      </c>
      <c r="M55">
        <v>0</v>
      </c>
      <c r="N55" s="1">
        <v>214.45</v>
      </c>
      <c r="O55" s="17">
        <f>N55/N60*100</f>
        <v>0.22213555707133251</v>
      </c>
      <c r="P55" s="52">
        <f>((O55*O55*(I55/100)*(K55/100))/(L55-1))</f>
        <v>2.489067778526441E-5</v>
      </c>
      <c r="R55" s="66"/>
      <c r="S55" s="66" t="s">
        <v>62</v>
      </c>
      <c r="T55" s="67">
        <f>$AA53*T47/100</f>
        <v>4.5094111078335271</v>
      </c>
      <c r="U55" s="67">
        <f>$AA53*U47/100</f>
        <v>57.214851733552869</v>
      </c>
      <c r="V55" s="67">
        <f>$AA53*V47/100</f>
        <v>467.7463963732821</v>
      </c>
      <c r="W55" s="67">
        <f>$AA53*W47/100</f>
        <v>485.2460947824701</v>
      </c>
      <c r="X55" s="67">
        <f>$AA53*X47/100</f>
        <v>175.88399654690832</v>
      </c>
      <c r="AA55" s="1"/>
      <c r="AC55" t="s">
        <v>139</v>
      </c>
      <c r="AD55" s="51"/>
      <c r="AE55" s="51"/>
      <c r="AH55">
        <v>1152</v>
      </c>
      <c r="AI55">
        <v>1163</v>
      </c>
    </row>
    <row r="56" spans="1:35" x14ac:dyDescent="0.3">
      <c r="A56" t="s">
        <v>4</v>
      </c>
      <c r="B56" s="13">
        <v>1</v>
      </c>
      <c r="C56" s="33">
        <f t="shared" ref="C56:G59" si="6">(C45/$L56)*$O56</f>
        <v>0</v>
      </c>
      <c r="D56" s="34">
        <f t="shared" si="6"/>
        <v>0.76579294340230475</v>
      </c>
      <c r="E56" s="19">
        <f t="shared" si="6"/>
        <v>6.489770706799193E-2</v>
      </c>
      <c r="F56" s="18">
        <f t="shared" si="6"/>
        <v>0</v>
      </c>
      <c r="G56" s="20">
        <f t="shared" si="6"/>
        <v>0</v>
      </c>
      <c r="H56" s="17">
        <f>SUM(C56:G56)</f>
        <v>0.83069065047029667</v>
      </c>
      <c r="I56" s="17">
        <f>D56/H56*100</f>
        <v>92.1875</v>
      </c>
      <c r="J56" s="17">
        <f>SQRT(I56*(100-I56)/(L56-1))</f>
        <v>3.3811213593755247</v>
      </c>
      <c r="K56" s="18">
        <f>100-I56</f>
        <v>7.8125</v>
      </c>
      <c r="L56" s="1">
        <f>H45</f>
        <v>64</v>
      </c>
      <c r="M56">
        <v>1</v>
      </c>
      <c r="N56" s="1">
        <v>801.95</v>
      </c>
      <c r="O56" s="17">
        <f>N56/N60*100</f>
        <v>0.83069065047029667</v>
      </c>
      <c r="P56" s="52">
        <f>((O56*O56*(I56/100)*(K56/100))/(L56-1))</f>
        <v>7.888604145342554E-4</v>
      </c>
      <c r="R56" t="s">
        <v>71</v>
      </c>
      <c r="S56" t="s">
        <v>28</v>
      </c>
      <c r="T56" s="57">
        <f t="shared" ref="T56:X59" si="7">C147</f>
        <v>0.10605741693405109</v>
      </c>
      <c r="U56" s="57">
        <f t="shared" si="7"/>
        <v>0.87968608081765542</v>
      </c>
      <c r="V56" s="57">
        <f t="shared" si="7"/>
        <v>62.06334571229187</v>
      </c>
      <c r="W56" s="57">
        <f t="shared" si="7"/>
        <v>30.694068385512516</v>
      </c>
      <c r="X56" s="57">
        <f t="shared" si="7"/>
        <v>6.2568424044439119</v>
      </c>
      <c r="Y56" s="13"/>
      <c r="Z56" s="74"/>
      <c r="AA56" s="12"/>
      <c r="AC56" t="s">
        <v>140</v>
      </c>
      <c r="AD56" s="51"/>
      <c r="AE56" s="51"/>
      <c r="AH56">
        <v>1181</v>
      </c>
      <c r="AI56">
        <v>1192</v>
      </c>
    </row>
    <row r="57" spans="1:35" x14ac:dyDescent="0.3">
      <c r="A57" t="s">
        <v>5</v>
      </c>
      <c r="B57" s="13">
        <v>2</v>
      </c>
      <c r="C57" s="33">
        <f t="shared" si="6"/>
        <v>0</v>
      </c>
      <c r="D57" s="19">
        <f t="shared" si="6"/>
        <v>0</v>
      </c>
      <c r="E57" s="34">
        <f t="shared" si="6"/>
        <v>58.724344555975549</v>
      </c>
      <c r="F57" s="19">
        <f t="shared" si="6"/>
        <v>1.0400769471766786</v>
      </c>
      <c r="G57" s="20">
        <f t="shared" si="6"/>
        <v>8.0005919013590651E-2</v>
      </c>
      <c r="H57" s="17">
        <f>SUM(C57:G57)</f>
        <v>59.844427422165822</v>
      </c>
      <c r="I57" s="17">
        <f>E57/H57*100</f>
        <v>98.128342245989302</v>
      </c>
      <c r="J57" s="17">
        <f>SQRT(I57*(100-I57)/(L57-1))</f>
        <v>0.49584980756665031</v>
      </c>
      <c r="K57" s="18">
        <f>100-I57</f>
        <v>1.8716577540106982</v>
      </c>
      <c r="L57" s="1">
        <f>H46</f>
        <v>748</v>
      </c>
      <c r="M57">
        <v>2</v>
      </c>
      <c r="N57" s="1">
        <v>57773.9</v>
      </c>
      <c r="O57" s="17">
        <f>N57/N60*100</f>
        <v>59.844427422165815</v>
      </c>
      <c r="P57" s="52">
        <f>((O57*O57*(I57/100)*(K57/100))/(L57-1))</f>
        <v>8.8053724451676196E-2</v>
      </c>
      <c r="S57" s="66" t="s">
        <v>39</v>
      </c>
      <c r="T57" s="67">
        <f t="shared" si="7"/>
        <v>4.8034550998049671E-3</v>
      </c>
      <c r="U57" s="67">
        <f t="shared" si="7"/>
        <v>6.2760420886085258E-2</v>
      </c>
      <c r="V57" s="67">
        <f t="shared" si="7"/>
        <v>0.48944240419558066</v>
      </c>
      <c r="W57" s="67">
        <f t="shared" si="7"/>
        <v>0.51701480559525892</v>
      </c>
      <c r="X57" s="67">
        <f t="shared" si="7"/>
        <v>0.18128770335279312</v>
      </c>
      <c r="AC57" t="s">
        <v>141</v>
      </c>
      <c r="AD57" s="51"/>
      <c r="AE57" s="51"/>
      <c r="AH57">
        <v>1210</v>
      </c>
      <c r="AI57">
        <v>1221</v>
      </c>
    </row>
    <row r="58" spans="1:35" x14ac:dyDescent="0.3">
      <c r="A58" t="s">
        <v>6</v>
      </c>
      <c r="B58" s="13">
        <v>3</v>
      </c>
      <c r="C58" s="33">
        <f t="shared" si="6"/>
        <v>0</v>
      </c>
      <c r="D58" s="19">
        <f t="shared" si="6"/>
        <v>5.3704117508317016E-2</v>
      </c>
      <c r="E58" s="19">
        <f t="shared" si="6"/>
        <v>2.9000223454491185</v>
      </c>
      <c r="F58" s="34">
        <f t="shared" si="6"/>
        <v>29.644672864590991</v>
      </c>
      <c r="G58" s="20">
        <f t="shared" si="6"/>
        <v>0.59074529259148711</v>
      </c>
      <c r="H58" s="17">
        <f>SUM(C58:G58)</f>
        <v>33.189144620139913</v>
      </c>
      <c r="I58" s="17">
        <f>F58/H58*100</f>
        <v>89.320388349514573</v>
      </c>
      <c r="J58" s="17">
        <f>SQRT(I58*(100-I58)/(L58-1))</f>
        <v>1.2433988161300378</v>
      </c>
      <c r="K58" s="18">
        <f>100-I58</f>
        <v>10.679611650485427</v>
      </c>
      <c r="L58" s="1">
        <f>H47</f>
        <v>618</v>
      </c>
      <c r="M58">
        <v>3</v>
      </c>
      <c r="N58" s="1">
        <v>32040.85</v>
      </c>
      <c r="O58" s="17">
        <f>N58/N60*100</f>
        <v>33.189144620139913</v>
      </c>
      <c r="P58" s="52">
        <f>((O58*O58*(I58/100)*(K58/100))/(L58-1))</f>
        <v>0.17029936089307984</v>
      </c>
      <c r="S58" t="s">
        <v>30</v>
      </c>
      <c r="T58" s="57">
        <f t="shared" si="7"/>
        <v>100</v>
      </c>
      <c r="U58" s="57">
        <f t="shared" si="7"/>
        <v>83.062741754207437</v>
      </c>
      <c r="V58" s="57">
        <f t="shared" si="7"/>
        <v>94.633914853678064</v>
      </c>
      <c r="W58" s="57">
        <f t="shared" si="7"/>
        <v>95.72850791050513</v>
      </c>
      <c r="X58" s="57">
        <f t="shared" si="7"/>
        <v>90.531679243470791</v>
      </c>
      <c r="AC58" t="s">
        <v>142</v>
      </c>
      <c r="AD58" s="51"/>
      <c r="AE58" s="51"/>
      <c r="AH58">
        <v>1239</v>
      </c>
      <c r="AI58">
        <v>1250</v>
      </c>
    </row>
    <row r="59" spans="1:35" x14ac:dyDescent="0.3">
      <c r="A59" t="s">
        <v>7</v>
      </c>
      <c r="B59" s="13">
        <v>4</v>
      </c>
      <c r="C59" s="35">
        <f t="shared" si="6"/>
        <v>0</v>
      </c>
      <c r="D59" s="36">
        <f t="shared" si="6"/>
        <v>0</v>
      </c>
      <c r="E59" s="21">
        <f t="shared" si="6"/>
        <v>1.7513134501932846E-2</v>
      </c>
      <c r="F59" s="21">
        <f t="shared" si="6"/>
        <v>0.19264447952126129</v>
      </c>
      <c r="G59" s="37">
        <f t="shared" si="6"/>
        <v>5.7034441361294634</v>
      </c>
      <c r="H59" s="17">
        <f>SUM(C59:G59)</f>
        <v>5.9136017501526572</v>
      </c>
      <c r="I59" s="17">
        <f>G59/H59*100</f>
        <v>96.446199407699908</v>
      </c>
      <c r="J59" s="17">
        <f>SQRT(I59*(100-I59)/(L59-1))</f>
        <v>0.58196763198993218</v>
      </c>
      <c r="K59" s="18">
        <f>100-I59</f>
        <v>3.5538005923000924</v>
      </c>
      <c r="L59" s="1">
        <f>H48</f>
        <v>1013</v>
      </c>
      <c r="M59">
        <v>4</v>
      </c>
      <c r="N59" s="1">
        <v>5709</v>
      </c>
      <c r="O59" s="17">
        <f>N59/N60*100</f>
        <v>5.9136017501526572</v>
      </c>
      <c r="P59" s="52">
        <f>((O59*O59*(I59/100)*(K59/100))/(L59-1))</f>
        <v>1.1844092997663474E-3</v>
      </c>
      <c r="S59" s="66" t="s">
        <v>39</v>
      </c>
      <c r="T59" s="67">
        <f t="shared" si="7"/>
        <v>0</v>
      </c>
      <c r="U59" s="67">
        <f t="shared" si="7"/>
        <v>8.0378918925555229</v>
      </c>
      <c r="V59" s="67">
        <f t="shared" si="7"/>
        <v>0.65498503831449184</v>
      </c>
      <c r="W59" s="67">
        <f t="shared" si="7"/>
        <v>1.0800717870635026</v>
      </c>
      <c r="X59" s="67">
        <f t="shared" si="7"/>
        <v>2.6310712794689053</v>
      </c>
      <c r="AC59" t="s">
        <v>143</v>
      </c>
      <c r="AD59" s="51"/>
      <c r="AE59" s="51"/>
      <c r="AH59">
        <v>1268</v>
      </c>
      <c r="AI59">
        <v>1279</v>
      </c>
    </row>
    <row r="60" spans="1:35" x14ac:dyDescent="0.3">
      <c r="B60" t="s">
        <v>28</v>
      </c>
      <c r="C60" s="17">
        <f>SUM(C55:C59)</f>
        <v>0.14512856395327056</v>
      </c>
      <c r="D60" s="17">
        <f>SUM(D55:D59)</f>
        <v>0.86540507603869721</v>
      </c>
      <c r="E60" s="17">
        <f>SUM(E55:E59)</f>
        <v>61.706777742994589</v>
      </c>
      <c r="F60" s="17">
        <f>SUM(F55:F59)</f>
        <v>30.908493269278917</v>
      </c>
      <c r="G60" s="17">
        <f>SUM(G55:G59)</f>
        <v>6.374195347734541</v>
      </c>
      <c r="H60" s="1">
        <f>SUM(H54:H59)</f>
        <v>100.00000000000001</v>
      </c>
      <c r="I60" s="13" t="s">
        <v>24</v>
      </c>
      <c r="J60" s="12" t="s">
        <v>29</v>
      </c>
      <c r="N60" s="1">
        <f>SUM(N55:N59)</f>
        <v>96540.15</v>
      </c>
      <c r="O60" s="17">
        <f>SUM(O55:O59)</f>
        <v>100</v>
      </c>
      <c r="S60" s="15" t="s">
        <v>31</v>
      </c>
      <c r="T60" s="71">
        <f>I142</f>
        <v>52</v>
      </c>
      <c r="U60" s="71">
        <f>I143</f>
        <v>89.0625</v>
      </c>
      <c r="V60" s="71">
        <f>I144</f>
        <v>98.262032085561486</v>
      </c>
      <c r="W60" s="71">
        <f>I145</f>
        <v>88.349514563106794</v>
      </c>
      <c r="X60" s="71">
        <f>I146</f>
        <v>95.261599210266539</v>
      </c>
      <c r="AC60" t="s">
        <v>144</v>
      </c>
      <c r="AD60" s="51"/>
      <c r="AE60" s="51"/>
      <c r="AH60">
        <v>1297</v>
      </c>
      <c r="AI60">
        <v>1308</v>
      </c>
    </row>
    <row r="61" spans="1:35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4.9835093225521132E-3</v>
      </c>
      <c r="D61" s="18">
        <f>SQRT(SUM((O55*O55*(D55/O55)*(1-D55/O55))/L55,(O56*O56*(D56/O56)*(1-D56/O56))/L56,(O57*O57*(D57/O57)*(1-D57/O57))/L57,(O58*O58*(D58/O58)*(1-D58/O58))/L58,(O59*O59*(D59/O59)*(1-D59/O59))/L59))</f>
        <v>6.0613349811720701E-2</v>
      </c>
      <c r="E61" s="18">
        <f>SQRT(SUM((O55*O55*(E55/O55)*(1-E55/O55))/L55,(O56*O56*(E56/O56)*(1-E56/O56))/L56,(O57*O57*(E57/O57)*(1-E57/O57))/L57,(O58*O58*(E58/O58)*(1-E58/O58))/L58,(O59*O59*(E59/O59)*(1-E59/O59))/L59))</f>
        <v>0.48057152511778473</v>
      </c>
      <c r="F61" s="18">
        <f>SQRT(SUM((O55*O55*(F55/O55)*(1-F55/O55))/L55,(O56*O56*(F56/O56)*(1-F56/O56))/L56,(O57*O57*(F57/O57)*(1-F57/O57))/L57,(O58*O58*(F58/O58)*(1-F58/O58))/L58,(O59*O59*(F59/O59)*(1-F59/O59))/L59))</f>
        <v>0.5028827635564419</v>
      </c>
      <c r="G61" s="18">
        <f>SQRT(SUM((O55*O55*(G55/O55)*(1-G55/O55))/L55,(O56*O56*(G56/O56)*(1-G56/O56))/L56,(O57*O57*(G57/O57)*(1-G57/O57))/L57,(O58*O58*(G58/O58)*(1-G58/O58))/L58,(O59*O59*(G59/O59)*(1-G59/O59))/L59))</f>
        <v>0.19681562896412033</v>
      </c>
      <c r="H61" s="1"/>
      <c r="I61" s="14">
        <f>(C55+D56+E57+F58+G59)/H60</f>
        <v>0.94983383064051563</v>
      </c>
      <c r="J61" s="53">
        <f>SQRT(SUM(P55:P59))/100</f>
        <v>5.1024625989500583E-3</v>
      </c>
      <c r="M61" s="1"/>
      <c r="N61" s="9"/>
      <c r="S61" s="75" t="s">
        <v>39</v>
      </c>
      <c r="T61" s="76">
        <f>J142</f>
        <v>2.3577574185109524</v>
      </c>
      <c r="U61" s="76">
        <f>J143</f>
        <v>3.9322054350368489</v>
      </c>
      <c r="V61" s="76">
        <f>J144</f>
        <v>0.47813820512740307</v>
      </c>
      <c r="W61" s="76">
        <f>J145</f>
        <v>1.2916103380803661</v>
      </c>
      <c r="X61" s="76">
        <f>J146</f>
        <v>0.66785867843198421</v>
      </c>
      <c r="AC61" t="s">
        <v>145</v>
      </c>
      <c r="AD61" s="51"/>
      <c r="AE61" s="51"/>
      <c r="AH61">
        <v>1326</v>
      </c>
      <c r="AI61">
        <v>1337</v>
      </c>
    </row>
    <row r="62" spans="1:35" x14ac:dyDescent="0.3">
      <c r="B62" s="1" t="s">
        <v>30</v>
      </c>
      <c r="C62" s="17">
        <f>C55/C60*100</f>
        <v>100</v>
      </c>
      <c r="D62" s="17">
        <f>D56/D60*100</f>
        <v>88.489536819872058</v>
      </c>
      <c r="E62" s="17">
        <f>E57/E60*100</f>
        <v>95.166765635631293</v>
      </c>
      <c r="F62" s="17">
        <f>F58/F60*100</f>
        <v>95.911090218221389</v>
      </c>
      <c r="G62" s="17">
        <f>G59/G60*100</f>
        <v>89.477084164929622</v>
      </c>
      <c r="H62" s="1"/>
      <c r="S62" s="66" t="s">
        <v>51</v>
      </c>
      <c r="T62" s="67">
        <f>N131*100</f>
        <v>68.421052631578945</v>
      </c>
      <c r="U62" s="67">
        <f>N132*100</f>
        <v>34.337349397590359</v>
      </c>
      <c r="V62" s="67">
        <f>N133*100</f>
        <v>94.716494845360828</v>
      </c>
      <c r="W62" s="67">
        <f>N134*100</f>
        <v>88.925081433224761</v>
      </c>
      <c r="X62" s="67">
        <f>N135*100</f>
        <v>96.984924623115575</v>
      </c>
      <c r="AC62" t="s">
        <v>146</v>
      </c>
      <c r="AD62" s="51"/>
      <c r="AE62" s="51"/>
      <c r="AH62">
        <v>1355</v>
      </c>
      <c r="AI62">
        <v>1366</v>
      </c>
    </row>
    <row r="63" spans="1:35" x14ac:dyDescent="0.3">
      <c r="B63" s="16" t="s">
        <v>39</v>
      </c>
      <c r="C63" s="18">
        <f>SQRT((C66+C67)/(C60*C60))</f>
        <v>0</v>
      </c>
      <c r="D63" s="18">
        <f>SQRT((D66+D67)/(D60*D60))</f>
        <v>6.6557490085732152</v>
      </c>
      <c r="E63" s="18">
        <f>SQRT((E66+E67)/(E60*E60))</f>
        <v>0.62829579429155735</v>
      </c>
      <c r="F63" s="18">
        <f>SQRT((F66+F67)/(F60*F60))</f>
        <v>1.0473937356420726</v>
      </c>
      <c r="G63" s="18">
        <f>SQRT((G66+G67)/(G60*G60))</f>
        <v>2.7810463219685566</v>
      </c>
      <c r="H63" s="1"/>
      <c r="R63" s="16" t="s">
        <v>61</v>
      </c>
      <c r="S63" t="s">
        <v>9</v>
      </c>
      <c r="T63" s="30">
        <f>N142</f>
        <v>196.9</v>
      </c>
      <c r="U63" s="30">
        <f>N143</f>
        <v>792.04</v>
      </c>
      <c r="V63" s="30">
        <f>N144</f>
        <v>57703.78</v>
      </c>
      <c r="W63" s="30">
        <f>N145</f>
        <v>32106.99</v>
      </c>
      <c r="X63" s="30">
        <f>N146</f>
        <v>5740.45</v>
      </c>
      <c r="Z63" t="s">
        <v>36</v>
      </c>
      <c r="AA63" s="1">
        <f>N147</f>
        <v>96540.160000000003</v>
      </c>
      <c r="AC63" t="s">
        <v>147</v>
      </c>
      <c r="AD63" s="51"/>
      <c r="AE63" s="51"/>
      <c r="AH63">
        <v>1384</v>
      </c>
      <c r="AI63">
        <v>1395</v>
      </c>
    </row>
    <row r="64" spans="1:35" ht="15.6" x14ac:dyDescent="0.35">
      <c r="B64" s="1" t="s">
        <v>37</v>
      </c>
      <c r="C64" s="18">
        <f>100-C62</f>
        <v>0</v>
      </c>
      <c r="D64" s="18">
        <f>100-D62</f>
        <v>11.510463180127942</v>
      </c>
      <c r="E64" s="18">
        <f>100-E62</f>
        <v>4.8332343643687068</v>
      </c>
      <c r="F64" s="18">
        <f>100-F62</f>
        <v>4.0889097817786109</v>
      </c>
      <c r="G64" s="18">
        <f>100-G62</f>
        <v>10.522915835070378</v>
      </c>
      <c r="R64" s="16" t="s">
        <v>318</v>
      </c>
      <c r="S64" t="s">
        <v>63</v>
      </c>
      <c r="T64" s="57">
        <f>$AA63*T56/100</f>
        <v>102.38800000000001</v>
      </c>
      <c r="U64" s="57">
        <f>$AA63*U56/100</f>
        <v>849.25034991909388</v>
      </c>
      <c r="V64" s="57">
        <f>$AA63*V56/100</f>
        <v>59916.053251999707</v>
      </c>
      <c r="W64" s="57">
        <f>$AA63*W56/100</f>
        <v>29632.102729883198</v>
      </c>
      <c r="X64" s="57">
        <f>$AA63*X56/100</f>
        <v>6040.3656681979992</v>
      </c>
      <c r="Z64" t="s">
        <v>36</v>
      </c>
      <c r="AA64" s="25">
        <f>SUM(T64:X64)</f>
        <v>96540.160000000003</v>
      </c>
      <c r="AC64" t="s">
        <v>148</v>
      </c>
      <c r="AD64" s="51"/>
      <c r="AE64" s="51"/>
      <c r="AH64">
        <v>1413</v>
      </c>
      <c r="AI64">
        <v>1424</v>
      </c>
    </row>
    <row r="65" spans="1:51" ht="15.6" x14ac:dyDescent="0.35">
      <c r="B65" s="1" t="s">
        <v>25</v>
      </c>
      <c r="C65" s="1">
        <f>C49</f>
        <v>294</v>
      </c>
      <c r="D65" s="1">
        <f>D49</f>
        <v>153</v>
      </c>
      <c r="E65" s="1">
        <f>E49</f>
        <v>796</v>
      </c>
      <c r="F65" s="1">
        <f>F49</f>
        <v>661</v>
      </c>
      <c r="G65" s="1">
        <f>G49</f>
        <v>989</v>
      </c>
      <c r="R65" s="66"/>
      <c r="S65" s="66" t="s">
        <v>62</v>
      </c>
      <c r="T65" s="67">
        <f>$AA63*T57/100</f>
        <v>4.6372632388798749</v>
      </c>
      <c r="U65" s="67">
        <f>$AA63*U57/100</f>
        <v>60.589010740100129</v>
      </c>
      <c r="V65" s="67">
        <f>$AA63*V57/100</f>
        <v>472.50848011826025</v>
      </c>
      <c r="W65" s="67">
        <f>$AA63*W57/100</f>
        <v>499.12692054535188</v>
      </c>
      <c r="X65" s="67">
        <f>$AA63*X57/100</f>
        <v>175.01543887711185</v>
      </c>
      <c r="AA65" s="1"/>
      <c r="AC65" t="s">
        <v>149</v>
      </c>
      <c r="AD65" s="51"/>
      <c r="AE65" s="51"/>
      <c r="AH65">
        <v>1442</v>
      </c>
      <c r="AI65">
        <v>1453</v>
      </c>
    </row>
    <row r="66" spans="1:51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10.451671792322566</v>
      </c>
      <c r="E66" s="18">
        <f>(O57*O57*(100-E62)*(100-E62)*(I57)*(100-I57))/((L57-1)*100)</f>
        <v>205.69486005278179</v>
      </c>
      <c r="F66" s="18">
        <f>(O58*O58*(100-F62)*(100-F62)*(I58)*(100-I58))/((L58-1)*100)</f>
        <v>284.72662142145896</v>
      </c>
      <c r="G66" s="18">
        <f>(O59*O59*(100-G62)*(100-G62)*(I59)*(100-I59))/((L59-1)*100)</f>
        <v>13.115172356616069</v>
      </c>
      <c r="R66" t="s">
        <v>93</v>
      </c>
      <c r="S66" t="s">
        <v>28</v>
      </c>
      <c r="T66" s="57">
        <f>C176</f>
        <v>0.10227649186503202</v>
      </c>
      <c r="U66" s="57">
        <f t="shared" ref="U66:X69" si="8">D176</f>
        <v>1.0041236601291832</v>
      </c>
      <c r="V66" s="57">
        <f t="shared" si="8"/>
        <v>61.623856761241733</v>
      </c>
      <c r="W66" s="57">
        <f t="shared" si="8"/>
        <v>30.651718973514154</v>
      </c>
      <c r="X66" s="57">
        <f t="shared" si="8"/>
        <v>6.6180241132499056</v>
      </c>
      <c r="Y66" s="13"/>
      <c r="Z66" s="74"/>
      <c r="AA66" s="12"/>
      <c r="AC66" t="s">
        <v>158</v>
      </c>
      <c r="AD66" s="51"/>
      <c r="AE66" s="51"/>
      <c r="AH66" s="78"/>
    </row>
    <row r="67" spans="1:51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22.724994827655411</v>
      </c>
      <c r="E67" s="18">
        <f>E62*E62*(SUM((H55*E55*(1-E44/H44))/(H44-1),(H56*E56*(1-E45/H45))/(H45-1), (H58*E58*(1-E47/H47))/(H47-1),(H59*E59*(1-E48/H48))/(H48-1)))</f>
        <v>1297.4264867950649</v>
      </c>
      <c r="F67" s="18">
        <f>F62*F62*(SUM((H55*F55*(1-F44/H44))/(H44-1),(H56*F56*(1-F45/H45))/(H45-1), (H57*F57*(1-F46/H46))/(H46-1),(H59*F59*(1-F48/H48))/(H48-1)))</f>
        <v>763.30796054830591</v>
      </c>
      <c r="G67" s="18">
        <f>G62*G62*(SUM((H55*G55*(1-G44/H44))/(H44-1),(H56*G56*(1-G45/H45))/(H45-1), (H57*G57*(1-G46/H46))/(H46-1),(H58*G58*(1-G47/H47))/(H47-1)))</f>
        <v>301.12896447176058</v>
      </c>
      <c r="S67" s="66" t="s">
        <v>39</v>
      </c>
      <c r="T67" s="67">
        <f>C177</f>
        <v>4.9078487539525231E-3</v>
      </c>
      <c r="U67" s="67">
        <f t="shared" si="8"/>
        <v>8.0631547655832261E-2</v>
      </c>
      <c r="V67" s="67">
        <f t="shared" si="8"/>
        <v>0.4754605972605751</v>
      </c>
      <c r="W67" s="67">
        <f t="shared" si="8"/>
        <v>0.5026447566169725</v>
      </c>
      <c r="X67" s="67">
        <f t="shared" si="8"/>
        <v>0.20354592967759502</v>
      </c>
      <c r="AC67" t="s">
        <v>159</v>
      </c>
      <c r="AD67" s="51"/>
      <c r="AE67" s="51"/>
      <c r="AI67" s="78"/>
    </row>
    <row r="68" spans="1:51" x14ac:dyDescent="0.3">
      <c r="S68" t="s">
        <v>30</v>
      </c>
      <c r="T68" s="57">
        <f>C178</f>
        <v>100</v>
      </c>
      <c r="U68" s="57">
        <f t="shared" si="8"/>
        <v>78.891435966426087</v>
      </c>
      <c r="V68" s="57">
        <f t="shared" si="8"/>
        <v>95.303916971884647</v>
      </c>
      <c r="W68" s="57">
        <f t="shared" si="8"/>
        <v>95.669148241845875</v>
      </c>
      <c r="X68" s="57">
        <f t="shared" si="8"/>
        <v>89.133966056351355</v>
      </c>
      <c r="AC68" t="s">
        <v>160</v>
      </c>
      <c r="AD68" s="51"/>
      <c r="AE68" s="51"/>
      <c r="AH68" s="2"/>
      <c r="AI68" s="2"/>
    </row>
    <row r="69" spans="1:51" x14ac:dyDescent="0.3">
      <c r="S69" s="66" t="s">
        <v>39</v>
      </c>
      <c r="T69" s="67">
        <f>C179</f>
        <v>0</v>
      </c>
      <c r="U69" s="67">
        <f t="shared" si="8"/>
        <v>8.506695714951805</v>
      </c>
      <c r="V69" s="67">
        <f t="shared" si="8"/>
        <v>0.61809337370083617</v>
      </c>
      <c r="W69" s="67">
        <f t="shared" si="8"/>
        <v>1.0735036868444134</v>
      </c>
      <c r="X69" s="67">
        <f t="shared" si="8"/>
        <v>2.770905935539393</v>
      </c>
      <c r="AC69" t="s">
        <v>161</v>
      </c>
      <c r="AD69" s="51"/>
      <c r="AE69" s="51"/>
    </row>
    <row r="70" spans="1:51" x14ac:dyDescent="0.3">
      <c r="A70" s="348" t="s">
        <v>386</v>
      </c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 t="s">
        <v>56</v>
      </c>
      <c r="M70" s="348"/>
      <c r="N70" s="348"/>
      <c r="O70" s="348"/>
      <c r="P70" s="348"/>
      <c r="S70" s="15" t="s">
        <v>31</v>
      </c>
      <c r="T70" s="71">
        <f>I171</f>
        <v>49.111111111111114</v>
      </c>
      <c r="U70" s="71">
        <f>I172</f>
        <v>92.1875</v>
      </c>
      <c r="V70" s="71">
        <f>I173</f>
        <v>98.128342245989302</v>
      </c>
      <c r="W70" s="71">
        <f>I174</f>
        <v>89.158576051779946</v>
      </c>
      <c r="X70" s="71">
        <f>I175</f>
        <v>95.261599210266539</v>
      </c>
      <c r="AC70" t="s">
        <v>162</v>
      </c>
      <c r="AD70" s="51"/>
      <c r="AE70" s="51"/>
      <c r="AH70" s="2"/>
      <c r="AI70" s="2"/>
    </row>
    <row r="71" spans="1:51" x14ac:dyDescent="0.3">
      <c r="A71" t="s">
        <v>315</v>
      </c>
      <c r="B71" t="s">
        <v>21</v>
      </c>
      <c r="I71" s="1" t="s">
        <v>53</v>
      </c>
      <c r="O71" s="142"/>
      <c r="P71" s="142"/>
      <c r="S71" s="75" t="s">
        <v>39</v>
      </c>
      <c r="T71" s="76">
        <f>J171</f>
        <v>2.3592729791344542</v>
      </c>
      <c r="U71" s="76">
        <f>J172</f>
        <v>3.3811213593755247</v>
      </c>
      <c r="V71" s="76">
        <f>J173</f>
        <v>0.49584980756665031</v>
      </c>
      <c r="W71" s="76">
        <f>J174</f>
        <v>1.2516478095762902</v>
      </c>
      <c r="X71" s="76">
        <f>J175</f>
        <v>0.66785867843198421</v>
      </c>
      <c r="AC71" t="s">
        <v>163</v>
      </c>
      <c r="AD71" s="51"/>
      <c r="AE71" s="51"/>
    </row>
    <row r="72" spans="1:51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51</v>
      </c>
      <c r="O72" s="13"/>
      <c r="P72" s="13"/>
      <c r="S72" s="66" t="s">
        <v>51</v>
      </c>
      <c r="T72" s="67">
        <f>N160*100</f>
        <v>65.871833084947838</v>
      </c>
      <c r="U72" s="67">
        <f>N161*100</f>
        <v>33.427762039660053</v>
      </c>
      <c r="V72" s="67">
        <f>N162*100</f>
        <v>95.262816353017527</v>
      </c>
      <c r="W72" s="67">
        <f>N163*100</f>
        <v>89.666395443449957</v>
      </c>
      <c r="X72" s="67">
        <f>N164*100</f>
        <v>96.887550200803204</v>
      </c>
      <c r="AC72" t="s">
        <v>154</v>
      </c>
      <c r="AD72" s="51"/>
      <c r="AE72" s="51"/>
      <c r="AH72" s="2"/>
      <c r="AI72" s="2"/>
    </row>
    <row r="73" spans="1:51" x14ac:dyDescent="0.3">
      <c r="A73" t="s">
        <v>3</v>
      </c>
      <c r="B73" s="13">
        <v>0</v>
      </c>
      <c r="C73" s="26">
        <v>232</v>
      </c>
      <c r="D73" s="3">
        <v>139</v>
      </c>
      <c r="E73" s="3">
        <v>0</v>
      </c>
      <c r="F73" s="3">
        <v>79</v>
      </c>
      <c r="G73" s="4">
        <v>0</v>
      </c>
      <c r="H73" s="1">
        <f>SUM(C73:G73)</f>
        <v>450</v>
      </c>
      <c r="I73" s="10">
        <f>C73/H73</f>
        <v>0.51555555555555554</v>
      </c>
      <c r="J73" s="11">
        <f>1-I73</f>
        <v>0.48444444444444446</v>
      </c>
      <c r="K73">
        <f>H73-C78</f>
        <v>218</v>
      </c>
      <c r="N73" s="10">
        <f>2*(C79*I73)/(C79+I73)</f>
        <v>0.68035190615835772</v>
      </c>
      <c r="O73" s="1"/>
      <c r="P73" s="1"/>
      <c r="R73" s="16" t="s">
        <v>61</v>
      </c>
      <c r="S73" t="s">
        <v>9</v>
      </c>
      <c r="T73" s="1">
        <f>N171</f>
        <v>201.05</v>
      </c>
      <c r="U73" s="1">
        <f>N172</f>
        <v>829.57</v>
      </c>
      <c r="V73" s="1">
        <f>N173</f>
        <v>57779.42</v>
      </c>
      <c r="W73" s="1">
        <f>N174</f>
        <v>31752.04</v>
      </c>
      <c r="X73" s="1">
        <f>N175</f>
        <v>5978.08</v>
      </c>
      <c r="Z73" t="s">
        <v>36</v>
      </c>
      <c r="AA73" s="1">
        <f>N176</f>
        <v>96540.160000000003</v>
      </c>
      <c r="AC73" t="s">
        <v>164</v>
      </c>
      <c r="AD73" s="51"/>
      <c r="AE73" s="51"/>
    </row>
    <row r="74" spans="1:51" ht="15.6" x14ac:dyDescent="0.35">
      <c r="A74" t="s">
        <v>4</v>
      </c>
      <c r="B74" s="13">
        <v>1</v>
      </c>
      <c r="C74" s="5">
        <v>0</v>
      </c>
      <c r="D74" s="27">
        <v>59</v>
      </c>
      <c r="E74" s="1">
        <v>5</v>
      </c>
      <c r="F74" s="1">
        <v>0</v>
      </c>
      <c r="G74" s="6">
        <v>0</v>
      </c>
      <c r="H74" s="1">
        <f>SUM(C74:G74)</f>
        <v>64</v>
      </c>
      <c r="I74" s="10">
        <f>D74/H74</f>
        <v>0.921875</v>
      </c>
      <c r="J74" s="11">
        <f>1-I74</f>
        <v>7.8125E-2</v>
      </c>
      <c r="K74">
        <f>H74-D78</f>
        <v>-135</v>
      </c>
      <c r="N74" s="10">
        <f>2*(D79*I74)/(D79+I74)</f>
        <v>0.44866920152091255</v>
      </c>
      <c r="O74" s="1"/>
      <c r="P74" s="1"/>
      <c r="R74" s="16" t="s">
        <v>318</v>
      </c>
      <c r="S74" t="s">
        <v>63</v>
      </c>
      <c r="T74" s="57">
        <f>$AA73*T66/100</f>
        <v>98.737888888888904</v>
      </c>
      <c r="U74" s="57">
        <f>$AA73*U66/100</f>
        <v>969.38258808656974</v>
      </c>
      <c r="V74" s="57">
        <f>$AA73*V66/100</f>
        <v>59491.769915473589</v>
      </c>
      <c r="W74" s="57">
        <f>$AA73*W66/100</f>
        <v>29591.218539780923</v>
      </c>
      <c r="X74" s="57">
        <f>$AA73*X66/100</f>
        <v>6389.0510677700404</v>
      </c>
      <c r="Z74" t="s">
        <v>36</v>
      </c>
      <c r="AA74" s="25">
        <f>SUM(T74:X74)</f>
        <v>96540.160000000003</v>
      </c>
      <c r="AC74" t="s">
        <v>165</v>
      </c>
      <c r="AD74" s="51"/>
      <c r="AE74" s="51"/>
      <c r="AH74" s="2"/>
      <c r="AI74" s="2"/>
    </row>
    <row r="75" spans="1:51" x14ac:dyDescent="0.3">
      <c r="A75" t="s">
        <v>5</v>
      </c>
      <c r="B75" s="13">
        <v>2</v>
      </c>
      <c r="C75" s="5">
        <v>0</v>
      </c>
      <c r="D75" s="1">
        <v>0</v>
      </c>
      <c r="E75" s="27">
        <v>732</v>
      </c>
      <c r="F75" s="1">
        <v>15</v>
      </c>
      <c r="G75" s="6">
        <v>1</v>
      </c>
      <c r="H75" s="1">
        <f>SUM(C75:G75)</f>
        <v>748</v>
      </c>
      <c r="I75" s="10">
        <f>E75/H75</f>
        <v>0.97860962566844922</v>
      </c>
      <c r="J75" s="11">
        <f>1-I75</f>
        <v>2.1390374331550777E-2</v>
      </c>
      <c r="K75">
        <f>H75-E78</f>
        <v>-49</v>
      </c>
      <c r="N75" s="10">
        <f>2*(E79*I75)/(E79+I75)</f>
        <v>0.94757281553398054</v>
      </c>
      <c r="O75" s="1"/>
      <c r="P75" s="1"/>
      <c r="R75" s="66"/>
      <c r="S75" s="66" t="s">
        <v>62</v>
      </c>
      <c r="T75" s="67">
        <f>$AA73*T67/100</f>
        <v>4.7380450396237723</v>
      </c>
      <c r="U75" s="67">
        <f>$AA73*U67/100</f>
        <v>77.841825117416718</v>
      </c>
      <c r="V75" s="67">
        <f>$AA73*V67/100</f>
        <v>459.01042133231488</v>
      </c>
      <c r="W75" s="67">
        <f>$AA73*W67/100</f>
        <v>485.25405226963585</v>
      </c>
      <c r="X75" s="67">
        <f>$AA73*X67/100</f>
        <v>196.50356618423771</v>
      </c>
      <c r="AA75" s="1"/>
      <c r="AC75" t="s">
        <v>166</v>
      </c>
      <c r="AD75" s="51"/>
      <c r="AE75" s="51"/>
    </row>
    <row r="76" spans="1:51" x14ac:dyDescent="0.3">
      <c r="A76" t="s">
        <v>6</v>
      </c>
      <c r="B76" s="13">
        <v>3</v>
      </c>
      <c r="C76" s="5">
        <v>0</v>
      </c>
      <c r="D76" s="1">
        <v>1</v>
      </c>
      <c r="E76" s="1">
        <v>56</v>
      </c>
      <c r="F76" s="27">
        <v>552</v>
      </c>
      <c r="G76" s="6">
        <v>9</v>
      </c>
      <c r="H76" s="1">
        <f>SUM(C76:G76)</f>
        <v>618</v>
      </c>
      <c r="I76" s="10">
        <f>F76/H76</f>
        <v>0.89320388349514568</v>
      </c>
      <c r="J76" s="11">
        <f>1-I76</f>
        <v>0.10679611650485432</v>
      </c>
      <c r="K76">
        <f>H76-F78</f>
        <v>-69</v>
      </c>
      <c r="N76" s="10">
        <f>2*(F79*I76)/(F79+I76)</f>
        <v>0.84597701149425286</v>
      </c>
      <c r="O76" s="1"/>
      <c r="P76" s="1"/>
      <c r="R76" t="s">
        <v>94</v>
      </c>
      <c r="S76" t="s">
        <v>28</v>
      </c>
      <c r="T76" s="57">
        <f>C205</f>
        <v>6.7684700211374335E-2</v>
      </c>
      <c r="U76" s="57">
        <f t="shared" ref="U76:X79" si="9">D205</f>
        <v>0.85664345426713218</v>
      </c>
      <c r="V76" s="57">
        <f t="shared" si="9"/>
        <v>61.313128280192714</v>
      </c>
      <c r="W76" s="57">
        <f t="shared" si="9"/>
        <v>31.426302728930605</v>
      </c>
      <c r="X76" s="57">
        <f t="shared" si="9"/>
        <v>6.3362408363981579</v>
      </c>
      <c r="AC76" t="s">
        <v>167</v>
      </c>
      <c r="AD76" s="51"/>
      <c r="AE76" s="51"/>
      <c r="AH76" s="78"/>
      <c r="AI76" s="78"/>
    </row>
    <row r="77" spans="1:51" x14ac:dyDescent="0.3">
      <c r="A77" t="s">
        <v>7</v>
      </c>
      <c r="B77" s="13">
        <v>4</v>
      </c>
      <c r="C77" s="7">
        <v>0</v>
      </c>
      <c r="D77" s="8">
        <v>0</v>
      </c>
      <c r="E77" s="8">
        <v>4</v>
      </c>
      <c r="F77" s="8">
        <v>41</v>
      </c>
      <c r="G77" s="28">
        <v>968</v>
      </c>
      <c r="H77" s="1">
        <f>SUM(C77:G77)</f>
        <v>1013</v>
      </c>
      <c r="I77" s="10">
        <f>G77/H77</f>
        <v>0.9555774925962488</v>
      </c>
      <c r="J77" s="11">
        <f>1-I77</f>
        <v>4.4422507403751199E-2</v>
      </c>
      <c r="K77">
        <f>H77-G78</f>
        <v>35</v>
      </c>
      <c r="N77" s="10">
        <f>2*(G79*I77)/(G79+I77)</f>
        <v>0.97237569060773477</v>
      </c>
      <c r="O77" s="1"/>
      <c r="P77" s="1"/>
      <c r="S77" s="66" t="s">
        <v>39</v>
      </c>
      <c r="T77" s="67">
        <f>C206</f>
        <v>4.1142820451292991E-3</v>
      </c>
      <c r="U77" s="67">
        <f t="shared" si="9"/>
        <v>6.1143224372185112E-2</v>
      </c>
      <c r="V77" s="67">
        <f t="shared" si="9"/>
        <v>0.49548197094622903</v>
      </c>
      <c r="W77" s="67">
        <f t="shared" si="9"/>
        <v>0.5179517860270012</v>
      </c>
      <c r="X77" s="67">
        <f t="shared" si="9"/>
        <v>0.19816657790150904</v>
      </c>
      <c r="AC77" t="s">
        <v>168</v>
      </c>
      <c r="AD77" s="51"/>
      <c r="AE77" s="51"/>
    </row>
    <row r="78" spans="1:51" ht="15.6" x14ac:dyDescent="0.35">
      <c r="B78" s="1" t="s">
        <v>19</v>
      </c>
      <c r="C78" s="1">
        <f>SUM(C73:C77)</f>
        <v>232</v>
      </c>
      <c r="D78" s="1">
        <f>SUM(D73:D77)</f>
        <v>199</v>
      </c>
      <c r="E78" s="1">
        <f>SUM(E73:E77)</f>
        <v>797</v>
      </c>
      <c r="F78" s="1">
        <f>SUM(F73:F77)</f>
        <v>687</v>
      </c>
      <c r="G78" s="1">
        <f>SUM(G73:G77)</f>
        <v>978</v>
      </c>
      <c r="H78" s="1">
        <f>SUM(H72:H77)</f>
        <v>2893</v>
      </c>
      <c r="I78" s="13" t="s">
        <v>12</v>
      </c>
      <c r="N78" s="16"/>
      <c r="O78" s="1"/>
      <c r="P78" s="1"/>
      <c r="S78" s="70" t="s">
        <v>30</v>
      </c>
      <c r="T78" s="64">
        <f>C207</f>
        <v>100</v>
      </c>
      <c r="U78" s="64">
        <f t="shared" si="9"/>
        <v>82.998641562642874</v>
      </c>
      <c r="V78" s="64">
        <f t="shared" si="9"/>
        <v>95.287440247907085</v>
      </c>
      <c r="W78" s="64">
        <f t="shared" si="9"/>
        <v>95.064138989107988</v>
      </c>
      <c r="X78" s="64">
        <f t="shared" si="9"/>
        <v>89.376796182469775</v>
      </c>
      <c r="AC78" t="s">
        <v>169</v>
      </c>
      <c r="AD78" s="51"/>
      <c r="AE78" s="51"/>
      <c r="AH78" s="78"/>
      <c r="AI78" s="78"/>
    </row>
    <row r="79" spans="1:51" x14ac:dyDescent="0.3">
      <c r="A79" s="1" t="s">
        <v>316</v>
      </c>
      <c r="B79" s="1" t="s">
        <v>2</v>
      </c>
      <c r="C79" s="10">
        <f>C73/C78</f>
        <v>1</v>
      </c>
      <c r="D79" s="10">
        <f>D74/D78</f>
        <v>0.29648241206030151</v>
      </c>
      <c r="E79" s="10">
        <f>E75/E78</f>
        <v>0.918444165621079</v>
      </c>
      <c r="F79" s="10">
        <f>F76/F78</f>
        <v>0.80349344978165937</v>
      </c>
      <c r="G79" s="10">
        <f>G77/G78</f>
        <v>0.9897750511247444</v>
      </c>
      <c r="H79" s="10"/>
      <c r="I79" s="14">
        <f>(C73+D74+E75+F76+G77)/H78</f>
        <v>0.87901832008295888</v>
      </c>
      <c r="S79" s="66" t="s">
        <v>39</v>
      </c>
      <c r="T79" s="67">
        <f>C208</f>
        <v>0</v>
      </c>
      <c r="U79" s="67">
        <f t="shared" si="9"/>
        <v>7.7565607039830944</v>
      </c>
      <c r="V79" s="67">
        <f t="shared" si="9"/>
        <v>0.63244648930387437</v>
      </c>
      <c r="W79" s="67">
        <f t="shared" si="9"/>
        <v>1.1582934371876124</v>
      </c>
      <c r="X79" s="67">
        <f t="shared" si="9"/>
        <v>2.8189768436087754</v>
      </c>
      <c r="AC79" t="s">
        <v>170</v>
      </c>
      <c r="AD79" s="51"/>
      <c r="AE79" s="51"/>
    </row>
    <row r="80" spans="1:51" x14ac:dyDescent="0.3">
      <c r="B80" s="1" t="s">
        <v>14</v>
      </c>
      <c r="C80" s="11">
        <f>1-C79</f>
        <v>0</v>
      </c>
      <c r="D80" s="11">
        <f>1-D79</f>
        <v>0.70351758793969843</v>
      </c>
      <c r="E80" s="11">
        <f>1-E79</f>
        <v>8.1555834378920999E-2</v>
      </c>
      <c r="F80" s="11">
        <f>1-F79</f>
        <v>0.19650655021834063</v>
      </c>
      <c r="G80" s="11">
        <f>1-G79</f>
        <v>1.0224948875255602E-2</v>
      </c>
      <c r="S80" s="70" t="s">
        <v>31</v>
      </c>
      <c r="T80" s="64">
        <f>I200</f>
        <v>37.55555555555555</v>
      </c>
      <c r="U80" s="64">
        <f>I201</f>
        <v>90.625000000000014</v>
      </c>
      <c r="V80" s="64">
        <f>I202</f>
        <v>97.727272727272734</v>
      </c>
      <c r="W80" s="64">
        <f>I203</f>
        <v>89.644012944983814</v>
      </c>
      <c r="X80" s="64">
        <f>I204</f>
        <v>95.557749259624885</v>
      </c>
      <c r="AC80" t="s">
        <v>171</v>
      </c>
      <c r="AD80" s="51"/>
      <c r="AE80" s="51"/>
      <c r="AH80" s="78"/>
      <c r="AI80" s="78"/>
      <c r="AJ80" s="348" t="s">
        <v>387</v>
      </c>
      <c r="AK80" s="348"/>
      <c r="AL80" s="348"/>
      <c r="AM80" s="348"/>
      <c r="AN80" s="348"/>
      <c r="AO80" s="348"/>
      <c r="AP80" s="348"/>
      <c r="AQ80" s="348"/>
      <c r="AR80" s="348"/>
      <c r="AS80" s="348"/>
      <c r="AT80" s="348"/>
      <c r="AU80" s="348" t="s">
        <v>351</v>
      </c>
      <c r="AV80" s="348"/>
      <c r="AW80" s="348"/>
      <c r="AX80" s="348"/>
      <c r="AY80" s="348"/>
    </row>
    <row r="81" spans="1:51" x14ac:dyDescent="0.3">
      <c r="C81" s="2"/>
      <c r="S81" s="66" t="s">
        <v>39</v>
      </c>
      <c r="T81" s="67">
        <f>J200</f>
        <v>2.2853926587368569</v>
      </c>
      <c r="U81" s="67">
        <f>J201</f>
        <v>3.6723103212062673</v>
      </c>
      <c r="V81" s="67">
        <f>J202</f>
        <v>0.54528211139992067</v>
      </c>
      <c r="W81" s="67">
        <f>J203</f>
        <v>1.2266306499540665</v>
      </c>
      <c r="X81" s="67">
        <f>J204</f>
        <v>0.64765576239113853</v>
      </c>
      <c r="AC81" t="s">
        <v>172</v>
      </c>
      <c r="AD81" s="51"/>
      <c r="AE81" s="51"/>
      <c r="AJ81" t="s">
        <v>315</v>
      </c>
      <c r="AK81" t="s">
        <v>21</v>
      </c>
      <c r="AR81" s="1" t="s">
        <v>53</v>
      </c>
    </row>
    <row r="82" spans="1:51" ht="15.6" x14ac:dyDescent="0.35">
      <c r="A82" t="s">
        <v>317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51</v>
      </c>
      <c r="T82" s="65">
        <f>N189*100</f>
        <v>54.604200323101772</v>
      </c>
      <c r="U82" s="65">
        <f>N190*100</f>
        <v>32.954545454545453</v>
      </c>
      <c r="V82" s="65">
        <f>N191*100</f>
        <v>94.996751137102024</v>
      </c>
      <c r="W82" s="65">
        <f>N192*100</f>
        <v>86.360093530787211</v>
      </c>
      <c r="X82" s="65">
        <f>N193*100</f>
        <v>97.13998996487706</v>
      </c>
      <c r="Z82" s="46"/>
      <c r="AA82" s="46"/>
      <c r="AC82" t="s">
        <v>173</v>
      </c>
      <c r="AD82" s="51"/>
      <c r="AE82" s="51"/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51</v>
      </c>
    </row>
    <row r="83" spans="1:51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61</v>
      </c>
      <c r="S83" t="s">
        <v>9</v>
      </c>
      <c r="T83" s="30">
        <f>N200</f>
        <v>173.99</v>
      </c>
      <c r="U83" s="30">
        <f>N201</f>
        <v>757.41</v>
      </c>
      <c r="V83" s="30">
        <f>N202</f>
        <v>57714.02</v>
      </c>
      <c r="W83" s="30">
        <f>N203</f>
        <v>32173.38</v>
      </c>
      <c r="X83" s="30">
        <f>N204</f>
        <v>5721.35</v>
      </c>
      <c r="Z83" t="s">
        <v>36</v>
      </c>
      <c r="AA83" s="1">
        <f>N205</f>
        <v>96540.150000000009</v>
      </c>
      <c r="AC83" t="s">
        <v>174</v>
      </c>
      <c r="AD83" s="51"/>
      <c r="AE83" s="51"/>
      <c r="AJ83" t="s">
        <v>3</v>
      </c>
      <c r="AK83" s="13">
        <v>0</v>
      </c>
      <c r="AL83" s="26">
        <v>216</v>
      </c>
      <c r="AM83" s="3">
        <v>213</v>
      </c>
      <c r="AN83" s="3">
        <v>0</v>
      </c>
      <c r="AO83" s="3">
        <v>21</v>
      </c>
      <c r="AP83" s="4">
        <v>0</v>
      </c>
      <c r="AQ83" s="1">
        <f>SUM(AL83:AP83)</f>
        <v>450</v>
      </c>
      <c r="AR83" s="10">
        <f>AL83/AQ83</f>
        <v>0.48</v>
      </c>
      <c r="AS83" s="11">
        <f>1-AR83</f>
        <v>0.52</v>
      </c>
      <c r="AT83">
        <f>AQ83-AL88</f>
        <v>234</v>
      </c>
      <c r="AW83" s="10">
        <f>2*(AL89*AR83)/(AL89+AR83)</f>
        <v>0.64864864864864868</v>
      </c>
    </row>
    <row r="84" spans="1:51" ht="15.6" x14ac:dyDescent="0.35">
      <c r="A84" t="s">
        <v>3</v>
      </c>
      <c r="B84" s="13">
        <v>0</v>
      </c>
      <c r="C84" s="29">
        <f>(C73/$L84)*$O84</f>
        <v>0.10498006385023341</v>
      </c>
      <c r="D84" s="31">
        <f>(D73/$L84)*$O84</f>
        <v>6.2897538255096738E-2</v>
      </c>
      <c r="E84" s="31">
        <f>(E73/$L84)*$O84</f>
        <v>0</v>
      </c>
      <c r="F84" s="31">
        <f>(F73/$L84)*$O84</f>
        <v>3.574752174210534E-2</v>
      </c>
      <c r="G84" s="32">
        <f>(G73/$L84)*$O84</f>
        <v>0</v>
      </c>
      <c r="H84" s="17">
        <f>SUM(C84:G84)</f>
        <v>0.20362512384743547</v>
      </c>
      <c r="I84" s="17">
        <f>C84/H84*100</f>
        <v>51.555555555555564</v>
      </c>
      <c r="J84" s="17">
        <f>SQRT(I84*(100-I84)/(L84-1))</f>
        <v>2.3585036623715472</v>
      </c>
      <c r="K84" s="18">
        <f>100-I84</f>
        <v>48.444444444444436</v>
      </c>
      <c r="L84" s="1">
        <f>H73</f>
        <v>450</v>
      </c>
      <c r="M84">
        <v>0</v>
      </c>
      <c r="N84" s="1">
        <v>196.58</v>
      </c>
      <c r="O84" s="17">
        <f>N84/N89*100</f>
        <v>0.2036251238474355</v>
      </c>
      <c r="P84" s="52">
        <f>((O84*O84*(I84/100)*(K84/100))/(L84-1))</f>
        <v>2.3064063913176795E-5</v>
      </c>
      <c r="R84" s="16" t="s">
        <v>318</v>
      </c>
      <c r="S84" t="s">
        <v>63</v>
      </c>
      <c r="T84" s="57">
        <f>$AA83*T76/100</f>
        <v>65.342911111111107</v>
      </c>
      <c r="U84" s="57">
        <f>$AA83*U76/100</f>
        <v>827.0048757146709</v>
      </c>
      <c r="V84" s="57">
        <f>$AA83*V76/100</f>
        <v>59191.786011390475</v>
      </c>
      <c r="W84" s="57">
        <f>$AA83*W76/100</f>
        <v>30338.999793963703</v>
      </c>
      <c r="X84" s="57">
        <f>$AA83*X76/100</f>
        <v>6117.016407820036</v>
      </c>
      <c r="Z84" t="s">
        <v>36</v>
      </c>
      <c r="AA84" s="25">
        <f>SUM(T84:X84)</f>
        <v>96540.15</v>
      </c>
      <c r="AC84" t="s">
        <v>175</v>
      </c>
      <c r="AD84" s="51"/>
      <c r="AE84" s="51"/>
      <c r="AH84" s="78"/>
      <c r="AI84" s="78"/>
      <c r="AJ84" t="s">
        <v>4</v>
      </c>
      <c r="AK84" s="13">
        <v>1</v>
      </c>
      <c r="AL84" s="5">
        <v>0</v>
      </c>
      <c r="AM84" s="27">
        <v>56</v>
      </c>
      <c r="AN84" s="1">
        <v>8</v>
      </c>
      <c r="AO84" s="1">
        <v>0</v>
      </c>
      <c r="AP84" s="6">
        <v>0</v>
      </c>
      <c r="AQ84" s="1">
        <f>SUM(AL84:AP84)</f>
        <v>64</v>
      </c>
      <c r="AR84" s="10">
        <f>AM84/AQ84</f>
        <v>0.875</v>
      </c>
      <c r="AS84" s="11">
        <f>1-AR84</f>
        <v>0.125</v>
      </c>
      <c r="AT84">
        <f>AQ84-AM88</f>
        <v>-205</v>
      </c>
      <c r="AW84" s="10">
        <f>2*(AM89*AR84)/(AM89+AR84)</f>
        <v>0.33633633633633636</v>
      </c>
    </row>
    <row r="85" spans="1:51" x14ac:dyDescent="0.3">
      <c r="A85" t="s">
        <v>4</v>
      </c>
      <c r="B85" s="13">
        <v>1</v>
      </c>
      <c r="C85" s="33">
        <f t="shared" ref="C85:G88" si="10">(C74/$L85)*$O85</f>
        <v>0</v>
      </c>
      <c r="D85" s="34">
        <f t="shared" si="10"/>
        <v>0.69225504880611854</v>
      </c>
      <c r="E85" s="19">
        <f t="shared" si="10"/>
        <v>5.8665682102213436E-2</v>
      </c>
      <c r="F85" s="18">
        <f t="shared" si="10"/>
        <v>0</v>
      </c>
      <c r="G85" s="20">
        <f t="shared" si="10"/>
        <v>0</v>
      </c>
      <c r="H85" s="17">
        <f>SUM(C85:G85)</f>
        <v>0.750920730908332</v>
      </c>
      <c r="I85" s="17">
        <f>D85/H85*100</f>
        <v>92.1875</v>
      </c>
      <c r="J85" s="17">
        <f>SQRT(I85*(100-I85)/(L85-1))</f>
        <v>3.3811213593755247</v>
      </c>
      <c r="K85" s="18">
        <f>100-I85</f>
        <v>7.8125</v>
      </c>
      <c r="L85" s="1">
        <f>H74</f>
        <v>64</v>
      </c>
      <c r="M85">
        <v>1</v>
      </c>
      <c r="N85" s="1">
        <v>724.94</v>
      </c>
      <c r="O85" s="17">
        <f>N85/N89*100</f>
        <v>0.750920730908332</v>
      </c>
      <c r="P85" s="52">
        <f>((O85*O85*(I85/100)*(K85/100))/(L85-1))</f>
        <v>6.4462880360177774E-4</v>
      </c>
      <c r="R85" s="66"/>
      <c r="S85" s="66" t="s">
        <v>62</v>
      </c>
      <c r="T85" s="67">
        <f>$AA83*T77/100</f>
        <v>3.9719340577908935</v>
      </c>
      <c r="U85" s="67">
        <f>$AA83*U77/100</f>
        <v>59.027760523744071</v>
      </c>
      <c r="V85" s="67">
        <f>$AA83*V77/100</f>
        <v>478.33903797444594</v>
      </c>
      <c r="W85" s="67">
        <f>$AA83*W77/100</f>
        <v>500.03143115814606</v>
      </c>
      <c r="X85" s="67">
        <f>$AA83*X77/100</f>
        <v>191.31031155598373</v>
      </c>
      <c r="AA85" s="1"/>
      <c r="AC85" t="s">
        <v>176</v>
      </c>
      <c r="AD85" s="51"/>
      <c r="AE85" s="51"/>
      <c r="AJ85" t="s">
        <v>5</v>
      </c>
      <c r="AK85" s="13">
        <v>2</v>
      </c>
      <c r="AL85" s="5">
        <v>0</v>
      </c>
      <c r="AM85" s="1">
        <v>0</v>
      </c>
      <c r="AN85" s="27">
        <v>730</v>
      </c>
      <c r="AO85" s="1">
        <v>15</v>
      </c>
      <c r="AP85" s="6">
        <v>3</v>
      </c>
      <c r="AQ85" s="1">
        <f>SUM(AL85:AP85)</f>
        <v>748</v>
      </c>
      <c r="AR85" s="10">
        <f>AN85/AQ85</f>
        <v>0.97593582887700536</v>
      </c>
      <c r="AS85" s="11">
        <f>1-AR85</f>
        <v>2.4064171122994638E-2</v>
      </c>
      <c r="AT85">
        <f>AQ85-AN88</f>
        <v>-52</v>
      </c>
      <c r="AW85" s="10">
        <f>2*(AN89*AR85)/(AN89+AR85)</f>
        <v>0.94315245478036169</v>
      </c>
    </row>
    <row r="86" spans="1:51" x14ac:dyDescent="0.3">
      <c r="A86" t="s">
        <v>5</v>
      </c>
      <c r="B86" s="13">
        <v>2</v>
      </c>
      <c r="C86" s="33">
        <f t="shared" si="10"/>
        <v>0</v>
      </c>
      <c r="D86" s="19">
        <f t="shared" si="10"/>
        <v>0</v>
      </c>
      <c r="E86" s="34">
        <f t="shared" si="10"/>
        <v>58.717124928108589</v>
      </c>
      <c r="F86" s="19">
        <f t="shared" si="10"/>
        <v>1.2032197731169794</v>
      </c>
      <c r="G86" s="20">
        <f t="shared" si="10"/>
        <v>8.0214651541131943E-2</v>
      </c>
      <c r="H86" s="17">
        <f>SUM(C86:G86)</f>
        <v>60.0005593527667</v>
      </c>
      <c r="I86" s="17">
        <f>E86/H86*100</f>
        <v>97.860962566844918</v>
      </c>
      <c r="J86" s="17">
        <f>SQRT(I86*(100-I86)/(L86-1))</f>
        <v>0.52936306120566767</v>
      </c>
      <c r="K86" s="18">
        <f>100-I86</f>
        <v>2.1390374331550817</v>
      </c>
      <c r="L86" s="1">
        <f>H75</f>
        <v>748</v>
      </c>
      <c r="M86">
        <v>2</v>
      </c>
      <c r="N86" s="1">
        <v>57924.63</v>
      </c>
      <c r="O86" s="17">
        <f>N86/N89*100</f>
        <v>60.0005593527667</v>
      </c>
      <c r="P86" s="52">
        <f>((O86*O86*(I86/100)*(K86/100))/(L86-1))</f>
        <v>0.10088297115085079</v>
      </c>
      <c r="R86" t="s">
        <v>95</v>
      </c>
      <c r="S86" s="70" t="s">
        <v>28</v>
      </c>
      <c r="T86" s="64">
        <f>C234</f>
        <v>6.6477695204188794E-2</v>
      </c>
      <c r="U86" s="64">
        <f t="shared" ref="U86:X89" si="11">D234</f>
        <v>0.86129858789193858</v>
      </c>
      <c r="V86" s="64">
        <f t="shared" si="11"/>
        <v>62.205091951869825</v>
      </c>
      <c r="W86" s="64">
        <f t="shared" si="11"/>
        <v>30.598417176323537</v>
      </c>
      <c r="X86" s="64">
        <f t="shared" si="11"/>
        <v>6.2687145887105187</v>
      </c>
      <c r="AA86" s="12"/>
      <c r="AC86" t="s">
        <v>177</v>
      </c>
      <c r="AD86" s="51"/>
      <c r="AE86" s="51"/>
      <c r="AH86" s="78"/>
      <c r="AI86" s="78"/>
      <c r="AJ86" t="s">
        <v>6</v>
      </c>
      <c r="AK86" s="13">
        <v>3</v>
      </c>
      <c r="AL86" s="5">
        <v>0</v>
      </c>
      <c r="AM86" s="1">
        <v>0</v>
      </c>
      <c r="AN86" s="1">
        <v>58</v>
      </c>
      <c r="AO86" s="27">
        <v>550</v>
      </c>
      <c r="AP86" s="6">
        <v>10</v>
      </c>
      <c r="AQ86" s="1">
        <f>SUM(AL86:AP86)</f>
        <v>618</v>
      </c>
      <c r="AR86" s="10">
        <f>AO86/AQ86</f>
        <v>0.88996763754045305</v>
      </c>
      <c r="AS86" s="11">
        <f>1-AR86</f>
        <v>0.11003236245954695</v>
      </c>
      <c r="AT86">
        <f>AQ86-AO88</f>
        <v>-28</v>
      </c>
      <c r="AW86" s="10">
        <f>2*(AO89*AR86)/(AO89+AR86)</f>
        <v>0.870253164556962</v>
      </c>
    </row>
    <row r="87" spans="1:51" x14ac:dyDescent="0.3">
      <c r="A87" t="s">
        <v>6</v>
      </c>
      <c r="B87" s="13">
        <v>3</v>
      </c>
      <c r="C87" s="33">
        <f t="shared" si="10"/>
        <v>0</v>
      </c>
      <c r="D87" s="19">
        <f t="shared" si="10"/>
        <v>5.3865577570692894E-2</v>
      </c>
      <c r="E87" s="19">
        <f t="shared" si="10"/>
        <v>3.0164723439588021</v>
      </c>
      <c r="F87" s="34">
        <f t="shared" si="10"/>
        <v>29.733798819022478</v>
      </c>
      <c r="G87" s="20">
        <f t="shared" si="10"/>
        <v>0.48479019813623603</v>
      </c>
      <c r="H87" s="17">
        <f>SUM(C87:G87)</f>
        <v>33.288926938688213</v>
      </c>
      <c r="I87" s="17">
        <f>F87/H87*100</f>
        <v>89.320388349514559</v>
      </c>
      <c r="J87" s="17">
        <f>SQRT(I87*(100-I87)/(L87-1))</f>
        <v>1.2433988161300384</v>
      </c>
      <c r="K87" s="18">
        <f>100-I87</f>
        <v>10.679611650485441</v>
      </c>
      <c r="L87" s="1">
        <f>H76</f>
        <v>618</v>
      </c>
      <c r="M87">
        <v>3</v>
      </c>
      <c r="N87" s="1">
        <v>32137.18</v>
      </c>
      <c r="O87" s="17">
        <f>N87/N89*100</f>
        <v>33.288926938688206</v>
      </c>
      <c r="P87" s="52">
        <f>((O87*O87*(I87/100)*(K87/100))/(L87-1))</f>
        <v>0.17132490159803976</v>
      </c>
      <c r="S87" s="66" t="s">
        <v>39</v>
      </c>
      <c r="T87" s="67">
        <f>C235</f>
        <v>4.1186051192110924E-3</v>
      </c>
      <c r="U87" s="67">
        <f t="shared" si="11"/>
        <v>5.9651267787189807E-2</v>
      </c>
      <c r="V87" s="67">
        <f t="shared" si="11"/>
        <v>0.50266615460535813</v>
      </c>
      <c r="W87" s="67">
        <f t="shared" si="11"/>
        <v>0.52143431053465539</v>
      </c>
      <c r="X87" s="67">
        <f t="shared" si="11"/>
        <v>0.19005792271724486</v>
      </c>
      <c r="AC87" t="s">
        <v>178</v>
      </c>
      <c r="AD87" s="51"/>
      <c r="AE87" s="51"/>
      <c r="AJ87" t="s">
        <v>7</v>
      </c>
      <c r="AK87" s="13">
        <v>4</v>
      </c>
      <c r="AL87" s="7">
        <v>0</v>
      </c>
      <c r="AM87" s="8">
        <v>0</v>
      </c>
      <c r="AN87" s="8">
        <v>4</v>
      </c>
      <c r="AO87" s="8">
        <v>60</v>
      </c>
      <c r="AP87" s="28">
        <v>949</v>
      </c>
      <c r="AQ87" s="1">
        <f>SUM(AL87:AP87)</f>
        <v>1013</v>
      </c>
      <c r="AR87" s="10">
        <f>AP87/AQ87</f>
        <v>0.93682132280355379</v>
      </c>
      <c r="AS87" s="11">
        <f>1-AR87</f>
        <v>6.3178677196446209E-2</v>
      </c>
      <c r="AT87">
        <f>AQ87-AP88</f>
        <v>51</v>
      </c>
      <c r="AW87" s="10">
        <f>2*(AP89*AR87)/(AP89+AR87)</f>
        <v>0.9610126582278482</v>
      </c>
    </row>
    <row r="88" spans="1:51" ht="15.6" x14ac:dyDescent="0.35">
      <c r="A88" t="s">
        <v>7</v>
      </c>
      <c r="B88" s="13">
        <v>4</v>
      </c>
      <c r="C88" s="35">
        <f t="shared" si="10"/>
        <v>0</v>
      </c>
      <c r="D88" s="36">
        <f t="shared" si="10"/>
        <v>0</v>
      </c>
      <c r="E88" s="21">
        <f t="shared" si="10"/>
        <v>2.2728402186729831E-2</v>
      </c>
      <c r="F88" s="21">
        <f t="shared" si="10"/>
        <v>0.23296612241398076</v>
      </c>
      <c r="G88" s="37">
        <f t="shared" si="10"/>
        <v>5.5002733291886194</v>
      </c>
      <c r="H88" s="17">
        <f>SUM(C88:G88)</f>
        <v>5.75596785378933</v>
      </c>
      <c r="I88" s="17">
        <f>G88/H88*100</f>
        <v>95.557749259624885</v>
      </c>
      <c r="J88" s="17">
        <f>SQRT(I88*(100-I88)/(L88-1))</f>
        <v>0.64765576239113853</v>
      </c>
      <c r="K88" s="18">
        <f>100-I88</f>
        <v>4.4422507403751155</v>
      </c>
      <c r="L88" s="1">
        <f>H77</f>
        <v>1013</v>
      </c>
      <c r="M88">
        <v>4</v>
      </c>
      <c r="N88" s="1">
        <v>5556.82</v>
      </c>
      <c r="O88" s="17">
        <f>N88/N89*100</f>
        <v>5.75596785378933</v>
      </c>
      <c r="P88" s="52">
        <f>((O88*O88*(I88/100)*(K88/100))/(L88-1))</f>
        <v>1.3897132154949106E-3</v>
      </c>
      <c r="S88" t="s">
        <v>30</v>
      </c>
      <c r="T88" s="57">
        <f>C236</f>
        <v>100</v>
      </c>
      <c r="U88" s="57">
        <f t="shared" si="11"/>
        <v>83.642938735929363</v>
      </c>
      <c r="V88" s="57">
        <f t="shared" si="11"/>
        <v>94.641113503538406</v>
      </c>
      <c r="W88" s="57">
        <f t="shared" si="11"/>
        <v>95.38523875734181</v>
      </c>
      <c r="X88" s="57">
        <f t="shared" si="11"/>
        <v>90.05013555041846</v>
      </c>
      <c r="AC88" t="s">
        <v>179</v>
      </c>
      <c r="AD88" s="51"/>
      <c r="AE88" s="51"/>
      <c r="AH88" s="78"/>
      <c r="AI88" s="78"/>
      <c r="AK88" s="1" t="s">
        <v>19</v>
      </c>
      <c r="AL88" s="1">
        <f>SUM(AL83:AL87)</f>
        <v>216</v>
      </c>
      <c r="AM88" s="1">
        <f>SUM(AM83:AM87)</f>
        <v>269</v>
      </c>
      <c r="AN88" s="1">
        <f>SUM(AN83:AN87)</f>
        <v>800</v>
      </c>
      <c r="AO88" s="1">
        <f>SUM(AO83:AO87)</f>
        <v>646</v>
      </c>
      <c r="AP88" s="1">
        <f>SUM(AP83:AP87)</f>
        <v>962</v>
      </c>
      <c r="AQ88" s="1">
        <f>SUM(AQ82:AQ87)</f>
        <v>2893</v>
      </c>
      <c r="AR88" s="13" t="s">
        <v>12</v>
      </c>
    </row>
    <row r="89" spans="1:51" x14ac:dyDescent="0.3">
      <c r="B89" t="s">
        <v>28</v>
      </c>
      <c r="C89" s="17">
        <f>SUM(C84:C88)</f>
        <v>0.10498006385023341</v>
      </c>
      <c r="D89" s="17">
        <f>SUM(D84:D88)</f>
        <v>0.80901816463190812</v>
      </c>
      <c r="E89" s="17">
        <f>SUM(E84:E88)</f>
        <v>61.814991356356337</v>
      </c>
      <c r="F89" s="17">
        <f>SUM(F84:F88)</f>
        <v>31.205732236295542</v>
      </c>
      <c r="G89" s="17">
        <f>SUM(G84:G88)</f>
        <v>6.0652781788659871</v>
      </c>
      <c r="H89" s="1">
        <f>SUM(H83:H88)</f>
        <v>100.00000000000001</v>
      </c>
      <c r="I89" s="13" t="s">
        <v>24</v>
      </c>
      <c r="J89" s="12" t="s">
        <v>29</v>
      </c>
      <c r="N89" s="1">
        <f>SUM(N84:N88)</f>
        <v>96540.15</v>
      </c>
      <c r="O89" s="17">
        <f>SUM(O84:O88)</f>
        <v>100</v>
      </c>
      <c r="S89" s="66" t="s">
        <v>39</v>
      </c>
      <c r="T89" s="67">
        <f>C237</f>
        <v>0</v>
      </c>
      <c r="U89" s="67">
        <f t="shared" si="11"/>
        <v>7.2318619582847381</v>
      </c>
      <c r="V89" s="67">
        <f t="shared" si="11"/>
        <v>0.66066288747426982</v>
      </c>
      <c r="W89" s="67">
        <f t="shared" si="11"/>
        <v>1.1362735259123449</v>
      </c>
      <c r="X89" s="67">
        <f t="shared" si="11"/>
        <v>2.7453207757331568</v>
      </c>
      <c r="AC89" t="s">
        <v>180</v>
      </c>
      <c r="AD89" s="51"/>
      <c r="AE89" s="51"/>
      <c r="AJ89" s="1" t="s">
        <v>316</v>
      </c>
      <c r="AK89" s="1" t="s">
        <v>2</v>
      </c>
      <c r="AL89" s="10">
        <f>AL83/AL88</f>
        <v>1</v>
      </c>
      <c r="AM89" s="10">
        <f>AM84/AM88</f>
        <v>0.20817843866171004</v>
      </c>
      <c r="AN89" s="10">
        <f>AN85/AN88</f>
        <v>0.91249999999999998</v>
      </c>
      <c r="AO89" s="10">
        <f>AO86/AO88</f>
        <v>0.85139318885448911</v>
      </c>
      <c r="AP89" s="10">
        <f>AP87/AP88</f>
        <v>0.98648648648648651</v>
      </c>
      <c r="AQ89" s="10"/>
      <c r="AR89" s="14">
        <f>(AL83+AM84+AN85+AO86+AP87)/AQ88</f>
        <v>0.86450051849291398</v>
      </c>
    </row>
    <row r="90" spans="1:51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4.797166917860393E-3</v>
      </c>
      <c r="D90" s="18">
        <f>SQRT(SUM((O84*O84*(D84/O84)*(1-D84/O84))/L84,(O85*O85*(D85/O85)*(1-D85/O85))/L85,(O86*O86*(D86/O86)*(1-D86/O86))/L86,(O87*O87*(D87/O87)*(1-D87/O87))/L87,(O88*O88*(D88/O88)*(1-D88/O88))/L88))</f>
        <v>5.9590534150629745E-2</v>
      </c>
      <c r="E90" s="18">
        <f>SQRT(SUM((O84*O84*(E84/O84)*(1-E84/O84))/L84,(O85*O85*(E85/O85)*(1-E85/O85))/L85,(O86*O86*(E86/O86)*(1-E86/O86))/L86,(O87*O87*(E87/O87)*(1-E87/O87))/L87,(O88*O88*(E88/O88)*(1-E88/O88))/L88))</f>
        <v>0.49927131499015542</v>
      </c>
      <c r="F90" s="18">
        <f>SQRT(SUM((O84*O84*(F84/O84)*(1-F84/O84))/L84,(O85*O85*(F85/O85)*(1-F85/O85))/L85,(O86*O86*(F86/O86)*(1-F86/O86))/L86,(O87*O87*(F87/O87)*(1-F87/O87))/L87,(O88*O88*(F88/O88)*(1-F88/O88))/L88))</f>
        <v>0.51663483189471182</v>
      </c>
      <c r="G90" s="18">
        <f>SQRT(SUM((O84*O84*(G84/O84)*(1-G84/O84))/L84,(O85*O85*(G85/O85)*(1-G85/O85))/L85,(O86*O86*(G86/O86)*(1-G86/O86))/L86,(O87*O87*(G87/O87)*(1-G87/O87))/L87,(O88*O88*(G88/O88)*(1-G88/O88))/L88))</f>
        <v>0.18315932902196988</v>
      </c>
      <c r="H90" s="1"/>
      <c r="I90" s="14">
        <f>(C84+D85+E86+F87+G88)/H89</f>
        <v>0.94748432188976028</v>
      </c>
      <c r="J90" s="53">
        <f>SQRT(SUM(P84:P88))/100</f>
        <v>5.2370342640840192E-3</v>
      </c>
      <c r="M90" s="1"/>
      <c r="N90" s="9"/>
      <c r="S90" t="s">
        <v>31</v>
      </c>
      <c r="T90" s="57">
        <f>I229</f>
        <v>36.666666666666664</v>
      </c>
      <c r="U90" s="57">
        <f>I230</f>
        <v>92.1875</v>
      </c>
      <c r="V90" s="57">
        <f>I231</f>
        <v>97.994652406417117</v>
      </c>
      <c r="W90" s="57">
        <f>I232</f>
        <v>88.349514563106794</v>
      </c>
      <c r="X90" s="57">
        <f>I233</f>
        <v>95.261599210266539</v>
      </c>
      <c r="AC90" t="s">
        <v>181</v>
      </c>
      <c r="AD90" s="51"/>
      <c r="AE90" s="51"/>
      <c r="AH90" s="78"/>
      <c r="AI90" s="78"/>
      <c r="AK90" s="1" t="s">
        <v>14</v>
      </c>
      <c r="AL90" s="11">
        <f>1-AL89</f>
        <v>0</v>
      </c>
      <c r="AM90" s="11">
        <f>1-AM89</f>
        <v>0.79182156133828996</v>
      </c>
      <c r="AN90" s="11">
        <f>1-AN89</f>
        <v>8.7500000000000022E-2</v>
      </c>
      <c r="AO90" s="11">
        <f>1-AO89</f>
        <v>0.14860681114551089</v>
      </c>
      <c r="AP90" s="11">
        <f>1-AP89</f>
        <v>1.3513513513513487E-2</v>
      </c>
    </row>
    <row r="91" spans="1:51" x14ac:dyDescent="0.3">
      <c r="B91" s="1" t="s">
        <v>30</v>
      </c>
      <c r="C91" s="17">
        <f>C84/C89*100</f>
        <v>100</v>
      </c>
      <c r="D91" s="17">
        <f>D85/D89*100</f>
        <v>85.567306034603661</v>
      </c>
      <c r="E91" s="17">
        <f>E86/E89*100</f>
        <v>94.98848683745841</v>
      </c>
      <c r="F91" s="17">
        <f>F87/F89*100</f>
        <v>95.283131297393325</v>
      </c>
      <c r="G91" s="17">
        <f>G88/G89*100</f>
        <v>90.684601216707833</v>
      </c>
      <c r="H91" s="1"/>
      <c r="S91" s="66" t="s">
        <v>39</v>
      </c>
      <c r="T91" s="67">
        <f>J229</f>
        <v>2.2742003280049992</v>
      </c>
      <c r="U91" s="67">
        <f>J230</f>
        <v>3.3811213593755247</v>
      </c>
      <c r="V91" s="67">
        <f>J231</f>
        <v>0.5129035654513856</v>
      </c>
      <c r="W91" s="67">
        <f>J232</f>
        <v>1.2916103380803661</v>
      </c>
      <c r="X91" s="67">
        <f>J233</f>
        <v>0.66785867843198421</v>
      </c>
      <c r="AC91" t="s">
        <v>182</v>
      </c>
      <c r="AD91" s="51"/>
      <c r="AE91" s="51"/>
      <c r="AL91" s="2"/>
    </row>
    <row r="92" spans="1:51" ht="15.6" x14ac:dyDescent="0.35">
      <c r="B92" s="16" t="s">
        <v>39</v>
      </c>
      <c r="C92" s="18">
        <f>SQRT((C95+C96)/(C89*C89))</f>
        <v>0</v>
      </c>
      <c r="D92" s="18">
        <f>SQRT((D95+D96)/(D89*D89))</f>
        <v>7.2934429619178811</v>
      </c>
      <c r="E92" s="18">
        <f>SQRT((E95+E96)/(E89*E89))</f>
        <v>0.64622716759467458</v>
      </c>
      <c r="F92" s="18">
        <f>SQRT((F95+F96)/(F89*F89))</f>
        <v>1.1341876553327774</v>
      </c>
      <c r="G92" s="18">
        <f>SQRT((G95+G96)/(G89*G89))</f>
        <v>2.7437300147597452</v>
      </c>
      <c r="H92" s="1"/>
      <c r="S92" s="66" t="s">
        <v>51</v>
      </c>
      <c r="T92" s="67">
        <f>N218*100</f>
        <v>53.658536585365844</v>
      </c>
      <c r="U92" s="67">
        <f>N219*100</f>
        <v>34.604105571847512</v>
      </c>
      <c r="V92" s="67">
        <f>N220*100</f>
        <v>94.641704325371194</v>
      </c>
      <c r="W92" s="67">
        <f>N221*100</f>
        <v>85.984251968503941</v>
      </c>
      <c r="X92" s="67">
        <f>N222*100</f>
        <v>95.972153157633031</v>
      </c>
      <c r="AC92" t="s">
        <v>183</v>
      </c>
      <c r="AD92" s="51"/>
      <c r="AE92" s="51"/>
      <c r="AH92" s="78"/>
      <c r="AI92" s="78"/>
      <c r="AJ92" t="s">
        <v>317</v>
      </c>
      <c r="AK92" s="15" t="s">
        <v>23</v>
      </c>
      <c r="AW92" s="12" t="s">
        <v>17</v>
      </c>
      <c r="AX92" s="1" t="s">
        <v>27</v>
      </c>
      <c r="AY92" s="1" t="s">
        <v>33</v>
      </c>
    </row>
    <row r="93" spans="1:51" ht="15.6" x14ac:dyDescent="0.35">
      <c r="B93" s="1" t="s">
        <v>37</v>
      </c>
      <c r="C93" s="18">
        <f>100-C91</f>
        <v>0</v>
      </c>
      <c r="D93" s="18">
        <f>100-D91</f>
        <v>14.432693965396339</v>
      </c>
      <c r="E93" s="18">
        <f>100-E91</f>
        <v>5.0115131625415898</v>
      </c>
      <c r="F93" s="18">
        <f>100-F91</f>
        <v>4.7168687026066749</v>
      </c>
      <c r="G93" s="18">
        <f>100-G91</f>
        <v>9.3153987832921672</v>
      </c>
      <c r="R93" s="16" t="s">
        <v>61</v>
      </c>
      <c r="S93" t="s">
        <v>9</v>
      </c>
      <c r="T93" s="30">
        <f>N229</f>
        <v>175.03</v>
      </c>
      <c r="U93" s="30">
        <f>N230</f>
        <v>754.43</v>
      </c>
      <c r="V93" s="30">
        <f>N231</f>
        <v>57997.78</v>
      </c>
      <c r="W93" s="30">
        <f>N232</f>
        <v>31892.16</v>
      </c>
      <c r="X93" s="30">
        <f>N233</f>
        <v>5720.75</v>
      </c>
      <c r="Z93" t="s">
        <v>36</v>
      </c>
      <c r="AA93" s="1">
        <f>N234</f>
        <v>96540.15</v>
      </c>
      <c r="AC93" t="s">
        <v>184</v>
      </c>
      <c r="AD93" s="51"/>
      <c r="AE93" s="51"/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</row>
    <row r="94" spans="1:51" ht="15.6" x14ac:dyDescent="0.35">
      <c r="B94" s="1" t="s">
        <v>25</v>
      </c>
      <c r="C94" s="1">
        <f>C78</f>
        <v>232</v>
      </c>
      <c r="D94" s="1">
        <f>D78</f>
        <v>199</v>
      </c>
      <c r="E94" s="1">
        <f>E78</f>
        <v>797</v>
      </c>
      <c r="F94" s="1">
        <f>F78</f>
        <v>687</v>
      </c>
      <c r="G94" s="1">
        <f>G78</f>
        <v>978</v>
      </c>
      <c r="R94" s="16" t="s">
        <v>318</v>
      </c>
      <c r="S94" t="s">
        <v>63</v>
      </c>
      <c r="T94" s="57">
        <f>$AA93*T86/100</f>
        <v>64.177666666666667</v>
      </c>
      <c r="U94" s="57">
        <f>$AA93*U86/100</f>
        <v>831.49894869875936</v>
      </c>
      <c r="V94" s="57">
        <f>$AA93*V86/100</f>
        <v>60052.88907797305</v>
      </c>
      <c r="W94" s="57">
        <f>$AA93*W86/100</f>
        <v>29539.757839648504</v>
      </c>
      <c r="X94" s="57">
        <f>$AA93*X86/100</f>
        <v>6051.8264670130184</v>
      </c>
      <c r="Z94" t="s">
        <v>36</v>
      </c>
      <c r="AA94" s="25">
        <f>SUM(T94:X94)</f>
        <v>96540.15</v>
      </c>
      <c r="AC94" t="s">
        <v>185</v>
      </c>
      <c r="AD94" s="51"/>
      <c r="AE94" s="51"/>
      <c r="AH94" s="78"/>
      <c r="AI94" s="78"/>
      <c r="AJ94" t="s">
        <v>3</v>
      </c>
      <c r="AK94" s="13">
        <v>0</v>
      </c>
      <c r="AL94" s="29">
        <f>(AL83/$AU94)*$AX94</f>
        <v>9.5229187027366338E-2</v>
      </c>
      <c r="AM94" s="31">
        <f t="shared" ref="AM94:AO95" si="12">(AM83/$AU94)*$AX94</f>
        <v>9.390655942976403E-2</v>
      </c>
      <c r="AN94" s="31">
        <f t="shared" si="12"/>
        <v>0</v>
      </c>
      <c r="AO94" s="31">
        <f t="shared" si="12"/>
        <v>9.2583931832161733E-3</v>
      </c>
      <c r="AP94" s="32">
        <f>(AP83/$AU94)*$AX94</f>
        <v>0</v>
      </c>
      <c r="AQ94" s="17">
        <f>SUM(AL94:AP94)</f>
        <v>0.19839413964034655</v>
      </c>
      <c r="AR94" s="17">
        <f>AL94/AQ94*100</f>
        <v>48</v>
      </c>
      <c r="AS94" s="17">
        <f>SQRT(AR94*(100-AR94)/(AU94-1))</f>
        <v>2.3577574185109524</v>
      </c>
      <c r="AT94" s="18">
        <f>100-AR94</f>
        <v>52</v>
      </c>
      <c r="AU94" s="1">
        <f>AQ83</f>
        <v>450</v>
      </c>
      <c r="AV94">
        <v>0</v>
      </c>
      <c r="AW94" s="1">
        <v>191.53</v>
      </c>
      <c r="AX94" s="17">
        <f>AW94/AW99*100</f>
        <v>0.19839413964034655</v>
      </c>
      <c r="AY94" s="52">
        <f>((AX94*AX94*(AR94/100)*(AT94/100))/(AU94-1))</f>
        <v>2.1880433334189038E-5</v>
      </c>
    </row>
    <row r="95" spans="1:51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13.427789134340539</v>
      </c>
      <c r="E95" s="18">
        <f>(O86*O86*(100-E91)*(100-E91)*(I86)*(100-I86))/((L86-1)*100)</f>
        <v>253.37024715482195</v>
      </c>
      <c r="F95" s="18">
        <f>(O87*O87*(100-F91)*(100-F91)*(I87)*(100-I87))/((L87-1)*100)</f>
        <v>381.17820981905368</v>
      </c>
      <c r="G95" s="18">
        <f>(O88*O88*(100-G91)*(100-G91)*(I88)*(100-I88))/((L88-1)*100)</f>
        <v>12.059466354363632</v>
      </c>
      <c r="R95" s="66"/>
      <c r="S95" s="66" t="s">
        <v>62</v>
      </c>
      <c r="T95" s="67">
        <f>$AA93*T87/100</f>
        <v>3.976107559994067</v>
      </c>
      <c r="U95" s="67">
        <f>$AA93*U87/100</f>
        <v>57.587423398654721</v>
      </c>
      <c r="V95" s="67">
        <f>$AA93*V87/100</f>
        <v>485.27465965524459</v>
      </c>
      <c r="W95" s="67">
        <f>$AA93*W87/100</f>
        <v>503.39346554162205</v>
      </c>
      <c r="X95" s="67">
        <f>$AA93*X87/100</f>
        <v>183.48220367811228</v>
      </c>
      <c r="AA95" s="1"/>
      <c r="AC95" t="s">
        <v>186</v>
      </c>
      <c r="AD95" s="51"/>
      <c r="AE95" s="51"/>
      <c r="AJ95" t="s">
        <v>4</v>
      </c>
      <c r="AK95" s="13">
        <v>1</v>
      </c>
      <c r="AL95" s="33">
        <f t="shared" ref="AL95:AO98" si="13">(AL84/$AU95)*$AX95</f>
        <v>0</v>
      </c>
      <c r="AM95" s="34">
        <f>(AM84/$AU95)*$AX95</f>
        <v>0.69893847274942089</v>
      </c>
      <c r="AN95" s="19">
        <f t="shared" si="12"/>
        <v>9.9848353249917268E-2</v>
      </c>
      <c r="AO95" s="18">
        <f t="shared" si="12"/>
        <v>0</v>
      </c>
      <c r="AP95" s="20">
        <f>(AP84/$AU95)*$AX95</f>
        <v>0</v>
      </c>
      <c r="AQ95" s="17">
        <f>SUM(AL95:AP95)</f>
        <v>0.79878682599933815</v>
      </c>
      <c r="AR95" s="17">
        <f>AM95/AQ95*100</f>
        <v>87.5</v>
      </c>
      <c r="AS95" s="17">
        <f>SQRT(AR95*(100-AR95)/(AU95-1))</f>
        <v>4.166666666666667</v>
      </c>
      <c r="AT95" s="18">
        <f>100-AR95</f>
        <v>12.5</v>
      </c>
      <c r="AU95" s="1">
        <f>AQ84</f>
        <v>64</v>
      </c>
      <c r="AV95">
        <v>1</v>
      </c>
      <c r="AW95" s="1">
        <v>771.15</v>
      </c>
      <c r="AX95" s="17">
        <f>AW95/AW99*100</f>
        <v>0.79878682599933815</v>
      </c>
      <c r="AY95" s="52">
        <f>((AX95*AX95*(AR95/100)*(AT95/100))/(AU95-1))</f>
        <v>1.1077437385244738E-3</v>
      </c>
    </row>
    <row r="96" spans="1:51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21.388439643273447</v>
      </c>
      <c r="E96" s="18">
        <f>E91*E91*(SUM((H84*E84*(1-E73/H73))/(H73-1),(H85*E85*(1-E74/H74))/(H74-1), (H87*E87*(1-E76/H76))/(H76-1),(H88*E88*(1-E77/H77))/(H77-1)))</f>
        <v>1342.3547545591261</v>
      </c>
      <c r="F96" s="18">
        <f>F91*F91*(SUM((H84*F84*(1-F73/H73))/(H73-1),(H85*F85*(1-F74/H74))/(H74-1), (H86*F86*(1-F75/H75))/(H75-1),(H88*F88*(1-F77/H77))/(H77-1)))</f>
        <v>871.4973015017539</v>
      </c>
      <c r="G96" s="18">
        <f>G91*G91*(SUM((H84*G84*(1-G73/H73))/(H73-1),(H85*G85*(1-G74/H74))/(H74-1), (H86*G86*(1-G75/H75))/(H75-1),(H87*G87*(1-G76/H76))/(H76-1)))</f>
        <v>264.87958285194605</v>
      </c>
      <c r="R96" t="s">
        <v>96</v>
      </c>
      <c r="S96" t="s">
        <v>28</v>
      </c>
      <c r="T96" s="57">
        <f>C263</f>
        <v>0.19117816668908102</v>
      </c>
      <c r="U96" s="57">
        <f t="shared" ref="U96:X99" si="14">D263</f>
        <v>0.75429981339815</v>
      </c>
      <c r="V96" s="57">
        <f t="shared" si="14"/>
        <v>61.784742902905876</v>
      </c>
      <c r="W96" s="57">
        <f t="shared" si="14"/>
        <v>30.988804081749041</v>
      </c>
      <c r="X96" s="57">
        <f t="shared" si="14"/>
        <v>6.2809750352578559</v>
      </c>
      <c r="Y96" s="13"/>
      <c r="Z96" s="74"/>
      <c r="AA96" s="12"/>
      <c r="AC96" t="s">
        <v>187</v>
      </c>
      <c r="AD96" s="51"/>
      <c r="AE96" s="51"/>
      <c r="AH96" s="78"/>
      <c r="AI96" s="78"/>
      <c r="AJ96" t="s">
        <v>5</v>
      </c>
      <c r="AK96" s="13">
        <v>2</v>
      </c>
      <c r="AL96" s="33">
        <f t="shared" si="13"/>
        <v>0</v>
      </c>
      <c r="AM96" s="19">
        <f t="shared" si="13"/>
        <v>0</v>
      </c>
      <c r="AN96" s="34">
        <f t="shared" si="13"/>
        <v>58.671151066151552</v>
      </c>
      <c r="AO96" s="19">
        <f t="shared" si="13"/>
        <v>1.2055715972496894</v>
      </c>
      <c r="AP96" s="20">
        <f>(AP85/$AU96)*$AX96</f>
        <v>0.24111431944993791</v>
      </c>
      <c r="AQ96" s="17">
        <f>SUM(AL96:AP96)</f>
        <v>60.117836982851173</v>
      </c>
      <c r="AR96" s="17">
        <f>AN96/AQ96*100</f>
        <v>97.593582887700549</v>
      </c>
      <c r="AS96" s="17">
        <f>SQRT(AR96*(100-AR96)/(AU96-1))</f>
        <v>0.560706749365393</v>
      </c>
      <c r="AT96" s="18">
        <f>100-AR96</f>
        <v>2.4064171122994509</v>
      </c>
      <c r="AU96" s="1">
        <f>AQ85</f>
        <v>748</v>
      </c>
      <c r="AV96">
        <v>2</v>
      </c>
      <c r="AW96" s="1">
        <v>58037.85</v>
      </c>
      <c r="AX96" s="17">
        <f>AW96/AW99*100</f>
        <v>60.11783698285118</v>
      </c>
      <c r="AY96" s="52">
        <f>((AX96*AX96*(AR96/100)*(AT96/100))/(AU96-1))</f>
        <v>0.11362614185268713</v>
      </c>
    </row>
    <row r="97" spans="1:51" x14ac:dyDescent="0.3">
      <c r="S97" s="66" t="s">
        <v>39</v>
      </c>
      <c r="T97" s="67">
        <f>C264</f>
        <v>4.4434376087567184E-3</v>
      </c>
      <c r="U97" s="67">
        <f t="shared" si="14"/>
        <v>2.7855524506900795E-2</v>
      </c>
      <c r="V97" s="67">
        <f t="shared" si="14"/>
        <v>0.50528611373224708</v>
      </c>
      <c r="W97" s="67">
        <f t="shared" si="14"/>
        <v>0.52201430757815837</v>
      </c>
      <c r="X97" s="67">
        <f t="shared" si="14"/>
        <v>0.18951645743575468</v>
      </c>
      <c r="AC97" t="s">
        <v>188</v>
      </c>
      <c r="AD97" s="51"/>
      <c r="AE97" s="51"/>
      <c r="AJ97" t="s">
        <v>6</v>
      </c>
      <c r="AK97" s="13">
        <v>3</v>
      </c>
      <c r="AL97" s="33">
        <f t="shared" si="13"/>
        <v>0</v>
      </c>
      <c r="AM97" s="19">
        <f t="shared" si="13"/>
        <v>0</v>
      </c>
      <c r="AN97" s="19">
        <f t="shared" si="13"/>
        <v>3.103281942353723</v>
      </c>
      <c r="AO97" s="34">
        <f t="shared" si="13"/>
        <v>29.427673591285306</v>
      </c>
      <c r="AP97" s="20">
        <f>(AP86/$AU97)*$AX97</f>
        <v>0.53504861075064192</v>
      </c>
      <c r="AQ97" s="17">
        <f>SUM(AL97:AP97)</f>
        <v>33.066004144389673</v>
      </c>
      <c r="AR97" s="17">
        <f>AO97/AQ97*100</f>
        <v>88.996763754045304</v>
      </c>
      <c r="AS97" s="17">
        <f>SQRT(AR97*(100-AR97)/(AU97-1))</f>
        <v>1.2598091084793046</v>
      </c>
      <c r="AT97" s="18">
        <f>100-AR97</f>
        <v>11.003236245954696</v>
      </c>
      <c r="AU97" s="1">
        <f>AQ86</f>
        <v>618</v>
      </c>
      <c r="AV97">
        <v>3</v>
      </c>
      <c r="AW97" s="1">
        <v>31921.97</v>
      </c>
      <c r="AX97" s="17">
        <f>AW97/AW99*100</f>
        <v>33.066004144389673</v>
      </c>
      <c r="AY97" s="52">
        <f>((AX97*AX97*(AR97/100)*(AT97/100))/(AU97-1))</f>
        <v>0.17352934187026881</v>
      </c>
    </row>
    <row r="98" spans="1:51" x14ac:dyDescent="0.3">
      <c r="S98" t="s">
        <v>30</v>
      </c>
      <c r="T98" s="57">
        <f>C265</f>
        <v>100</v>
      </c>
      <c r="U98" s="57">
        <f t="shared" si="14"/>
        <v>99.224698129616669</v>
      </c>
      <c r="V98" s="57">
        <f t="shared" si="14"/>
        <v>94.952774522506118</v>
      </c>
      <c r="W98" s="57">
        <f t="shared" si="14"/>
        <v>94.932606383834255</v>
      </c>
      <c r="X98" s="57">
        <f t="shared" si="14"/>
        <v>90.221811300868467</v>
      </c>
      <c r="AA98" s="54"/>
      <c r="AC98" t="s">
        <v>189</v>
      </c>
      <c r="AD98" s="51"/>
      <c r="AE98" s="51"/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3"/>
        <v>0</v>
      </c>
      <c r="AN98" s="21">
        <f t="shared" si="13"/>
        <v>2.297720792544708E-2</v>
      </c>
      <c r="AO98" s="21">
        <f t="shared" si="13"/>
        <v>0.34465811888170622</v>
      </c>
      <c r="AP98" s="37">
        <f>(AP87/$AU98)*$AX98</f>
        <v>5.4513425803123194</v>
      </c>
      <c r="AQ98" s="17">
        <f>SUM(AL98:AP98)</f>
        <v>5.8189779071194732</v>
      </c>
      <c r="AR98" s="17">
        <f>AP98/AQ98*100</f>
        <v>93.682132280355361</v>
      </c>
      <c r="AS98" s="17">
        <f>SQRT(AR98*(100-AR98)/(AU98-1))</f>
        <v>0.76475687800248704</v>
      </c>
      <c r="AT98" s="18">
        <f>100-AR98</f>
        <v>6.3178677196446387</v>
      </c>
      <c r="AU98" s="1">
        <f>AQ87</f>
        <v>1013</v>
      </c>
      <c r="AV98">
        <v>4</v>
      </c>
      <c r="AW98" s="1">
        <v>5617.65</v>
      </c>
      <c r="AX98" s="17">
        <f>AW98/AW99*100</f>
        <v>5.8189779071194732</v>
      </c>
      <c r="AY98" s="52">
        <f>((AX98*AX98*(AR98/100)*(AT98/100))/(AU98-1))</f>
        <v>1.9803420069672683E-3</v>
      </c>
    </row>
    <row r="99" spans="1:51" x14ac:dyDescent="0.3">
      <c r="A99" s="348" t="s">
        <v>386</v>
      </c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 t="s">
        <v>57</v>
      </c>
      <c r="M99" s="348"/>
      <c r="N99" s="348"/>
      <c r="O99" s="348"/>
      <c r="P99" s="348"/>
      <c r="S99" s="66" t="s">
        <v>39</v>
      </c>
      <c r="T99" s="67">
        <f>C266</f>
        <v>0</v>
      </c>
      <c r="U99" s="67">
        <f t="shared" si="14"/>
        <v>0.81940033652171973</v>
      </c>
      <c r="V99" s="67">
        <f t="shared" si="14"/>
        <v>0.64990678319515471</v>
      </c>
      <c r="W99" s="67">
        <f t="shared" si="14"/>
        <v>1.1902143511058851</v>
      </c>
      <c r="X99" s="67">
        <f t="shared" si="14"/>
        <v>2.7338839220424713</v>
      </c>
      <c r="AC99" t="s">
        <v>190</v>
      </c>
      <c r="AD99" s="51"/>
      <c r="AE99" s="51"/>
      <c r="AK99" t="s">
        <v>28</v>
      </c>
      <c r="AL99" s="17">
        <f t="shared" ref="AL99:AQ99" si="15">SUM(AL94:AL98)</f>
        <v>9.5229187027366338E-2</v>
      </c>
      <c r="AM99" s="17">
        <f t="shared" si="15"/>
        <v>0.79284503217918489</v>
      </c>
      <c r="AN99" s="17">
        <f t="shared" si="15"/>
        <v>61.897258569680645</v>
      </c>
      <c r="AO99" s="17">
        <f t="shared" si="15"/>
        <v>30.98716170059992</v>
      </c>
      <c r="AP99" s="17">
        <f t="shared" si="15"/>
        <v>6.2275055105128994</v>
      </c>
      <c r="AQ99" s="18">
        <f t="shared" si="15"/>
        <v>100.00000000000001</v>
      </c>
      <c r="AR99" s="13" t="s">
        <v>24</v>
      </c>
      <c r="AS99" s="12" t="s">
        <v>29</v>
      </c>
      <c r="AW99" s="1">
        <f>SUM(AW94:AW98)</f>
        <v>96540.15</v>
      </c>
      <c r="AX99" s="17">
        <f>SUM(AX94:AX98)</f>
        <v>100.00000000000001</v>
      </c>
    </row>
    <row r="100" spans="1:51" x14ac:dyDescent="0.3">
      <c r="A100" t="s">
        <v>315</v>
      </c>
      <c r="B100" t="s">
        <v>21</v>
      </c>
      <c r="I100" s="1" t="s">
        <v>53</v>
      </c>
      <c r="O100" s="142"/>
      <c r="P100" s="142"/>
      <c r="S100" t="s">
        <v>31</v>
      </c>
      <c r="T100" s="57">
        <f>I258</f>
        <v>80.444444444444443</v>
      </c>
      <c r="U100" s="57">
        <f>I259</f>
        <v>92.1875</v>
      </c>
      <c r="V100" s="57">
        <f>I260</f>
        <v>97.727272727272734</v>
      </c>
      <c r="W100" s="57">
        <f>I261</f>
        <v>89.158576051779932</v>
      </c>
      <c r="X100" s="57">
        <f>I262</f>
        <v>95.656465942744319</v>
      </c>
      <c r="AC100" t="s">
        <v>191</v>
      </c>
      <c r="AD100" s="51"/>
      <c r="AE100" s="51"/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4.6724522628917194E-3</v>
      </c>
      <c r="AM100" s="18">
        <f>SQRT(SUM((AX94*AM94-AM94*AM94)/AU94,(AX95*AM95-AM95*AM95)/AU95,(AX96*AM96-AM96*AM96)/AU96,(AX97*AM97-AM97*AM97)/AU97,(AX98*AM98-AM98*AM98)/AU98))</f>
        <v>3.3350259980170403E-2</v>
      </c>
      <c r="AN100" s="18">
        <f>SQRT(SUM((AX94*AN94-AN94*AN94)/AU94,(AX95*AN95-AN95*AN95)/AU95,(AX96*AN96-AN96*AN96)/AU96,(AX97*AN97-AN97*AN97)/AU97,(AX98*AN98-AN98*AN98)/AU98))</f>
        <v>0.51493077365657691</v>
      </c>
      <c r="AO100" s="18">
        <f>SQRT(SUM((AX94*AO94-AO94*AO94)/AU94,(AX95*AO95-AO95*AO95)/AU95,(AX96*AO96-AO96*AO96)/AU96,(AX97*AO97-AO97*AO97)/AU97,(AX98*AO98-AO98*AO98)/AU98))</f>
        <v>0.5196782369995413</v>
      </c>
      <c r="AP100" s="18">
        <f>SQRT(SUM((AX94*AP94-AP94*AP94)/AU94,(AX95*AP95-AP95*AP95)/AU95,(AX96*AP96-AP96*AP96)/AU96,(AX97*AP97-AP97*AP97)/AU97,(AX98*AP98-AP98*AP98)/AU98))</f>
        <v>0.22235970899434596</v>
      </c>
      <c r="AQ100" s="1"/>
      <c r="AR100" s="56">
        <f>(AL94+AM95+AN96+AO97+AP98)/AQ99</f>
        <v>0.94344334897525939</v>
      </c>
      <c r="AS100" s="53">
        <f>SQRT(SUM(AY94:AY98))/100</f>
        <v>5.3876288838577389E-3</v>
      </c>
      <c r="AV100" s="1"/>
      <c r="AW100" s="9"/>
    </row>
    <row r="101" spans="1:51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51</v>
      </c>
      <c r="O101" s="13"/>
      <c r="P101" s="13"/>
      <c r="S101" s="66" t="s">
        <v>39</v>
      </c>
      <c r="T101" s="67">
        <f>J258</f>
        <v>1.8718021296670591</v>
      </c>
      <c r="U101" s="67">
        <f>J259</f>
        <v>3.3811213593755247</v>
      </c>
      <c r="V101" s="67">
        <f>J260</f>
        <v>0.54528211139992067</v>
      </c>
      <c r="W101" s="67">
        <f>J261</f>
        <v>1.2516478095762908</v>
      </c>
      <c r="X101" s="67">
        <f>J262</f>
        <v>0.64074986765833819</v>
      </c>
      <c r="AC101" t="s">
        <v>192</v>
      </c>
      <c r="AD101" s="51"/>
      <c r="AE101" s="51"/>
      <c r="AK101" s="1" t="s">
        <v>30</v>
      </c>
      <c r="AL101" s="17">
        <f>AL94/AL99*100</f>
        <v>100</v>
      </c>
      <c r="AM101" s="17">
        <f>AM95/AM99*100</f>
        <v>88.155748523560035</v>
      </c>
      <c r="AN101" s="17">
        <f>AN96/AN99*100</f>
        <v>94.78796383219894</v>
      </c>
      <c r="AO101" s="17">
        <f>AO97/AO99*100</f>
        <v>94.967308963684715</v>
      </c>
      <c r="AP101" s="17">
        <f>AP98/AP99*100</f>
        <v>87.536535633885691</v>
      </c>
      <c r="AQ101" s="1"/>
    </row>
    <row r="102" spans="1:51" x14ac:dyDescent="0.3">
      <c r="A102" t="s">
        <v>3</v>
      </c>
      <c r="B102" s="13">
        <v>0</v>
      </c>
      <c r="C102" s="26">
        <v>224</v>
      </c>
      <c r="D102" s="3">
        <v>69</v>
      </c>
      <c r="E102" s="3">
        <v>0</v>
      </c>
      <c r="F102" s="3">
        <v>101</v>
      </c>
      <c r="G102" s="4">
        <v>56</v>
      </c>
      <c r="H102" s="1">
        <f>SUM(C102:G102)</f>
        <v>450</v>
      </c>
      <c r="I102" s="10">
        <f>C102/H102</f>
        <v>0.49777777777777776</v>
      </c>
      <c r="J102" s="11">
        <f>1-I102</f>
        <v>0.50222222222222224</v>
      </c>
      <c r="K102">
        <f>H102-C107</f>
        <v>226</v>
      </c>
      <c r="N102" s="10">
        <f>2*(C108*I102)/(C108+I102)</f>
        <v>0.66468842729970323</v>
      </c>
      <c r="O102" s="1"/>
      <c r="P102" s="1"/>
      <c r="S102" s="66" t="s">
        <v>51</v>
      </c>
      <c r="T102" s="67">
        <f>N247*100</f>
        <v>89.162561576354676</v>
      </c>
      <c r="U102" s="67">
        <f>N248*100</f>
        <v>95.161290322580641</v>
      </c>
      <c r="V102" s="67">
        <f>N249*100</f>
        <v>94.750486066104983</v>
      </c>
      <c r="W102" s="67">
        <f>N250*100</f>
        <v>83.866057838660581</v>
      </c>
      <c r="X102" s="67">
        <f>N251*100</f>
        <v>97.240341194179635</v>
      </c>
      <c r="AC102" t="s">
        <v>193</v>
      </c>
      <c r="AD102" s="51"/>
      <c r="AE102" s="51"/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4.9991847269285401</v>
      </c>
      <c r="AN102" s="18">
        <f>SQRT((AN105+AN106)/(AN99*AN99))</f>
        <v>0.66097185068799191</v>
      </c>
      <c r="AO102" s="18">
        <f>SQRT((AO105+AO106)/(AO99*AO99))</f>
        <v>1.1697443872659721</v>
      </c>
      <c r="AP102" s="18">
        <f>SQRT((AP105+AP106)/(AP99*AP99))</f>
        <v>3.1915079009809917</v>
      </c>
      <c r="AQ102" s="1"/>
    </row>
    <row r="103" spans="1:51" x14ac:dyDescent="0.3">
      <c r="A103" t="s">
        <v>4</v>
      </c>
      <c r="B103" s="13">
        <v>1</v>
      </c>
      <c r="C103" s="5">
        <v>0</v>
      </c>
      <c r="D103" s="27">
        <v>58</v>
      </c>
      <c r="E103" s="1">
        <v>6</v>
      </c>
      <c r="F103" s="1">
        <v>0</v>
      </c>
      <c r="G103" s="6">
        <v>0</v>
      </c>
      <c r="H103" s="1">
        <f>SUM(C103:G103)</f>
        <v>64</v>
      </c>
      <c r="I103" s="10">
        <f>D103/H103</f>
        <v>0.90625</v>
      </c>
      <c r="J103" s="11">
        <f>1-I103</f>
        <v>9.375E-2</v>
      </c>
      <c r="K103">
        <f>H103-D107</f>
        <v>-64</v>
      </c>
      <c r="N103" s="10">
        <f>2*(D108*I103)/(D108+I103)</f>
        <v>0.60416666666666663</v>
      </c>
      <c r="O103" s="1"/>
      <c r="P103" s="1"/>
      <c r="R103" s="16" t="s">
        <v>61</v>
      </c>
      <c r="S103" t="s">
        <v>9</v>
      </c>
      <c r="T103" s="30">
        <f>N258</f>
        <v>229.43</v>
      </c>
      <c r="U103" s="30">
        <f>N259</f>
        <v>783.79</v>
      </c>
      <c r="V103" s="30">
        <f>N260</f>
        <v>57953.69</v>
      </c>
      <c r="W103" s="30">
        <f>N261</f>
        <v>31854.080000000002</v>
      </c>
      <c r="X103" s="30">
        <f>N262</f>
        <v>5719.16</v>
      </c>
      <c r="Z103" t="s">
        <v>36</v>
      </c>
      <c r="AA103" s="1">
        <f>N263</f>
        <v>96540.150000000009</v>
      </c>
      <c r="AC103" t="s">
        <v>194</v>
      </c>
      <c r="AD103" s="51"/>
      <c r="AE103" s="51"/>
      <c r="AK103" s="1" t="s">
        <v>37</v>
      </c>
      <c r="AL103" s="18">
        <f>100-AL101</f>
        <v>0</v>
      </c>
      <c r="AM103" s="18">
        <f>100-AM101</f>
        <v>11.844251476439965</v>
      </c>
      <c r="AN103" s="18">
        <f>100-AN101</f>
        <v>5.2120361678010596</v>
      </c>
      <c r="AO103" s="18">
        <f>100-AO101</f>
        <v>5.0326910363152848</v>
      </c>
      <c r="AP103" s="18">
        <f>100-AP101</f>
        <v>12.463464366114309</v>
      </c>
    </row>
    <row r="104" spans="1:51" ht="15.6" x14ac:dyDescent="0.35">
      <c r="A104" t="s">
        <v>5</v>
      </c>
      <c r="B104" s="13">
        <v>2</v>
      </c>
      <c r="C104" s="5">
        <v>0</v>
      </c>
      <c r="D104" s="1">
        <v>0</v>
      </c>
      <c r="E104" s="27">
        <v>732</v>
      </c>
      <c r="F104" s="1">
        <v>15</v>
      </c>
      <c r="G104" s="6">
        <v>1</v>
      </c>
      <c r="H104" s="1">
        <f>SUM(C104:G104)</f>
        <v>748</v>
      </c>
      <c r="I104" s="10">
        <f>E104/H104</f>
        <v>0.97860962566844922</v>
      </c>
      <c r="J104" s="11">
        <f>1-I104</f>
        <v>2.1390374331550777E-2</v>
      </c>
      <c r="K104">
        <f>H104-E107</f>
        <v>-42</v>
      </c>
      <c r="N104" s="10">
        <f>2*(E108*I104)/(E108+I104)</f>
        <v>0.95188556566970095</v>
      </c>
      <c r="O104" s="1"/>
      <c r="P104" s="1"/>
      <c r="R104" s="16" t="s">
        <v>318</v>
      </c>
      <c r="S104" t="s">
        <v>63</v>
      </c>
      <c r="T104" s="57">
        <f>$AA103*T96/100</f>
        <v>184.56368888888886</v>
      </c>
      <c r="U104" s="57">
        <f>$AA103*U96/100</f>
        <v>728.20217130429421</v>
      </c>
      <c r="V104" s="57">
        <f>$AA103*V96/100</f>
        <v>59647.083475579697</v>
      </c>
      <c r="W104" s="57">
        <f>$AA103*W96/100</f>
        <v>29916.637943726648</v>
      </c>
      <c r="X104" s="57">
        <f>$AA103*X96/100</f>
        <v>6063.6627205004879</v>
      </c>
      <c r="Z104" t="s">
        <v>36</v>
      </c>
      <c r="AA104" s="25">
        <f>SUM(T104:X104)</f>
        <v>96540.150000000023</v>
      </c>
      <c r="AC104" t="s">
        <v>195</v>
      </c>
      <c r="AD104" s="51"/>
      <c r="AE104" s="51"/>
      <c r="AH104" s="78"/>
      <c r="AI104" s="78"/>
      <c r="AK104" s="1" t="s">
        <v>25</v>
      </c>
      <c r="AL104" s="1">
        <f>AL88</f>
        <v>216</v>
      </c>
      <c r="AM104" s="1">
        <f>AM88</f>
        <v>269</v>
      </c>
      <c r="AN104" s="1">
        <f>AN88</f>
        <v>800</v>
      </c>
      <c r="AO104" s="1">
        <f>AO88</f>
        <v>646</v>
      </c>
      <c r="AP104" s="1">
        <f>AP88</f>
        <v>962</v>
      </c>
    </row>
    <row r="105" spans="1:51" x14ac:dyDescent="0.3">
      <c r="A105" t="s">
        <v>6</v>
      </c>
      <c r="B105" s="13">
        <v>3</v>
      </c>
      <c r="C105" s="5">
        <v>0</v>
      </c>
      <c r="D105" s="1">
        <v>1</v>
      </c>
      <c r="E105" s="1">
        <v>51</v>
      </c>
      <c r="F105" s="27">
        <v>557</v>
      </c>
      <c r="G105" s="6">
        <v>9</v>
      </c>
      <c r="H105" s="1">
        <f>SUM(C105:G105)</f>
        <v>618</v>
      </c>
      <c r="I105" s="10">
        <f>F105/H105</f>
        <v>0.90129449838187703</v>
      </c>
      <c r="J105" s="11">
        <f>1-I105</f>
        <v>9.8705501618122971E-2</v>
      </c>
      <c r="K105">
        <f>H105-F107</f>
        <v>-99</v>
      </c>
      <c r="N105" s="10">
        <f>2*(F108*I105)/(F108+I105)</f>
        <v>0.83445692883895128</v>
      </c>
      <c r="O105" s="1"/>
      <c r="P105" s="1"/>
      <c r="R105" s="66"/>
      <c r="S105" s="66" t="s">
        <v>62</v>
      </c>
      <c r="T105" s="67">
        <f>$AA103*T97/100</f>
        <v>4.2897013326501501</v>
      </c>
      <c r="U105" s="67">
        <f>$AA103*U97/100</f>
        <v>26.89176514224879</v>
      </c>
      <c r="V105" s="67">
        <f>$AA103*V97/100</f>
        <v>487.80397212628196</v>
      </c>
      <c r="W105" s="67">
        <f>$AA103*W97/100</f>
        <v>503.95339555741549</v>
      </c>
      <c r="X105" s="67">
        <f>$AA103*X97/100</f>
        <v>182.95947228316373</v>
      </c>
      <c r="AA105" s="1"/>
      <c r="AC105" t="s">
        <v>196</v>
      </c>
      <c r="AD105" s="51"/>
      <c r="AE105" s="51"/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15.540126271271271</v>
      </c>
      <c r="AN105" s="18">
        <f>(AX96*AX96*(100-AN101)*(100-AN101)*(AR96)*(100-AR96))/((AU96-1)*100)</f>
        <v>308.6690619063537</v>
      </c>
      <c r="AO105" s="18">
        <f>(AX97*AX97*(100-AO101)*(100-AO101)*(AR97)*(100-AR97))/((AU97-1)*100)</f>
        <v>439.51475384018806</v>
      </c>
      <c r="AP105" s="18">
        <f>(AX98*AX98*(100-AP101)*(100-AP101)*(AR98)*(100-AR98))/((AU98-1)*100)</f>
        <v>30.762225578982527</v>
      </c>
    </row>
    <row r="106" spans="1:51" x14ac:dyDescent="0.3">
      <c r="A106" t="s">
        <v>7</v>
      </c>
      <c r="B106" s="13">
        <v>4</v>
      </c>
      <c r="C106" s="7">
        <v>0</v>
      </c>
      <c r="D106" s="8">
        <v>0</v>
      </c>
      <c r="E106" s="8">
        <v>1</v>
      </c>
      <c r="F106" s="8">
        <v>44</v>
      </c>
      <c r="G106" s="28">
        <v>968</v>
      </c>
      <c r="H106" s="1">
        <f>SUM(C106:G106)</f>
        <v>1013</v>
      </c>
      <c r="I106" s="10">
        <f>G106/H106</f>
        <v>0.9555774925962488</v>
      </c>
      <c r="J106" s="11">
        <f>1-I106</f>
        <v>4.4422507403751199E-2</v>
      </c>
      <c r="K106">
        <f>H106-G107</f>
        <v>-21</v>
      </c>
      <c r="N106" s="10">
        <f>2*(G108*I106)/(G108+I106)</f>
        <v>0.94577430385930639</v>
      </c>
      <c r="O106" s="1"/>
      <c r="P106" s="1"/>
      <c r="R106" t="s">
        <v>97</v>
      </c>
      <c r="S106" t="s">
        <v>28</v>
      </c>
      <c r="T106" s="57">
        <f>C292</f>
        <v>9.5748418317836342E-2</v>
      </c>
      <c r="U106" s="57">
        <f t="shared" ref="U106:X109" si="16">D292</f>
        <v>0.87474321996254067</v>
      </c>
      <c r="V106" s="57">
        <f t="shared" si="16"/>
        <v>61.390704893895105</v>
      </c>
      <c r="W106" s="57">
        <f t="shared" si="16"/>
        <v>31.339808490373198</v>
      </c>
      <c r="X106" s="57">
        <f t="shared" si="16"/>
        <v>6.2989949774513265</v>
      </c>
      <c r="Y106" s="60"/>
      <c r="Z106" s="74"/>
      <c r="AA106" s="12"/>
      <c r="AC106" t="s">
        <v>197</v>
      </c>
      <c r="AD106" s="51"/>
      <c r="AE106" s="51"/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0.1698304398396499</v>
      </c>
      <c r="AN106" s="18">
        <f>AN101*AN101*(SUM((AQ94*AN94*(1-AN83/AQ83))/(AQ83-1),(AQ95*AN95*(1-AN84/AQ84))/(AQ84-1), (AQ97*AN97*(1-AN86/AQ86))/(AQ86-1),(AQ98*AN98*(1-AN87/AQ87))/(AQ87-1)))</f>
        <v>1365.1509564402002</v>
      </c>
      <c r="AO106" s="18">
        <f>AO101*AO101*(SUM((AQ94*AO94*(1-AO83/AQ83))/(AQ83-1),(AQ95*AO95*(1-AO84/AQ84))/(AQ84-1), (AQ96*AO96*(1-AO85/AQ85))/(AQ85-1),(AQ98*AO98*(1-AO87/AQ87))/(AQ87-1)))</f>
        <v>874.33449436441151</v>
      </c>
      <c r="AP106" s="18">
        <f>AP101*AP101*(SUM((AQ94*AP94*(1-AP83/AQ83))/(AQ83-1),(AQ95*AP95*(1-AP84/AQ84))/(AQ84-1), (AQ96*AP96*(1-AP85/AQ85))/(AQ85-1),(AQ97*AP97*(1-AP86/AQ86))/(AQ86-1)))</f>
        <v>364.25868778684941</v>
      </c>
    </row>
    <row r="107" spans="1:51" ht="15.6" x14ac:dyDescent="0.35">
      <c r="B107" s="1" t="s">
        <v>19</v>
      </c>
      <c r="C107" s="1">
        <f>SUM(C102:C106)</f>
        <v>224</v>
      </c>
      <c r="D107" s="1">
        <f>SUM(D102:D106)</f>
        <v>128</v>
      </c>
      <c r="E107" s="1">
        <f>SUM(E102:E106)</f>
        <v>790</v>
      </c>
      <c r="F107" s="1">
        <f>SUM(F102:F106)</f>
        <v>717</v>
      </c>
      <c r="G107" s="1">
        <f>SUM(G102:G106)</f>
        <v>1034</v>
      </c>
      <c r="H107" s="1">
        <f>SUM(H101:H106)</f>
        <v>2893</v>
      </c>
      <c r="I107" s="13" t="s">
        <v>12</v>
      </c>
      <c r="N107" s="16"/>
      <c r="O107" s="1"/>
      <c r="P107" s="1"/>
      <c r="S107" s="66" t="s">
        <v>39</v>
      </c>
      <c r="T107" s="67">
        <f>C293</f>
        <v>4.7188921623249691E-3</v>
      </c>
      <c r="U107" s="67">
        <f t="shared" si="16"/>
        <v>2.5369743343626693E-2</v>
      </c>
      <c r="V107" s="67">
        <f t="shared" si="16"/>
        <v>0.52011332535397214</v>
      </c>
      <c r="W107" s="67">
        <f t="shared" si="16"/>
        <v>0.5409747771735659</v>
      </c>
      <c r="X107" s="67">
        <f t="shared" si="16"/>
        <v>0.20402100854499564</v>
      </c>
      <c r="AC107" t="s">
        <v>198</v>
      </c>
      <c r="AD107" s="51"/>
      <c r="AE107" s="51"/>
    </row>
    <row r="108" spans="1:51" x14ac:dyDescent="0.3">
      <c r="A108" s="1" t="s">
        <v>316</v>
      </c>
      <c r="B108" s="1" t="s">
        <v>2</v>
      </c>
      <c r="C108" s="10">
        <f>C102/C107</f>
        <v>1</v>
      </c>
      <c r="D108" s="10">
        <f>D103/D107</f>
        <v>0.453125</v>
      </c>
      <c r="E108" s="10">
        <f>E104/E107</f>
        <v>0.92658227848101271</v>
      </c>
      <c r="F108" s="10">
        <f>F105/F107</f>
        <v>0.77684797768479774</v>
      </c>
      <c r="G108" s="10">
        <f>G106/G107</f>
        <v>0.93617021276595747</v>
      </c>
      <c r="H108" s="10"/>
      <c r="I108" s="14">
        <f>(C102+D103+E104+F105+G106)/H107</f>
        <v>0.87763567231247841</v>
      </c>
      <c r="S108" t="s">
        <v>30</v>
      </c>
      <c r="T108" s="57">
        <f>C294</f>
        <v>100</v>
      </c>
      <c r="U108" s="57">
        <f t="shared" si="16"/>
        <v>88.290444762699195</v>
      </c>
      <c r="V108" s="57">
        <f t="shared" si="16"/>
        <v>95.073996619939578</v>
      </c>
      <c r="W108" s="57">
        <f t="shared" si="16"/>
        <v>94.474914876574957</v>
      </c>
      <c r="X108" s="57">
        <f t="shared" si="16"/>
        <v>88.490230084228315</v>
      </c>
      <c r="AC108" t="s">
        <v>199</v>
      </c>
      <c r="AD108" s="51"/>
      <c r="AE108" s="51"/>
      <c r="AH108" s="78"/>
      <c r="AI108" s="78"/>
      <c r="AJ108" s="118" t="s">
        <v>352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</row>
    <row r="109" spans="1:51" x14ac:dyDescent="0.3">
      <c r="B109" s="1" t="s">
        <v>14</v>
      </c>
      <c r="C109" s="11">
        <f>1-C108</f>
        <v>0</v>
      </c>
      <c r="D109" s="11">
        <f>1-D108</f>
        <v>0.546875</v>
      </c>
      <c r="E109" s="11">
        <f>1-E108</f>
        <v>7.3417721518987289E-2</v>
      </c>
      <c r="F109" s="11">
        <f>1-F108</f>
        <v>0.22315202231520226</v>
      </c>
      <c r="G109" s="11">
        <f>1-G108</f>
        <v>6.3829787234042534E-2</v>
      </c>
      <c r="S109" s="66" t="s">
        <v>39</v>
      </c>
      <c r="T109" s="67">
        <f>C295</f>
        <v>0</v>
      </c>
      <c r="U109" s="67">
        <f t="shared" si="16"/>
        <v>3.3967714002033471</v>
      </c>
      <c r="V109" s="67">
        <f t="shared" si="16"/>
        <v>0.65572294984982915</v>
      </c>
      <c r="W109" s="67">
        <f t="shared" si="16"/>
        <v>1.2768778465728334</v>
      </c>
      <c r="X109" s="67">
        <f t="shared" si="16"/>
        <v>2.8974905316220601</v>
      </c>
      <c r="AC109" t="s">
        <v>200</v>
      </c>
      <c r="AD109" s="51"/>
      <c r="AE109" s="51"/>
      <c r="AJ109" s="106" t="s">
        <v>672</v>
      </c>
      <c r="AK109" s="107" t="s">
        <v>28</v>
      </c>
      <c r="AL109" s="108">
        <f t="shared" ref="AL109:AP112" si="17">AL99</f>
        <v>9.5229187027366338E-2</v>
      </c>
      <c r="AM109" s="108">
        <f t="shared" si="17"/>
        <v>0.79284503217918489</v>
      </c>
      <c r="AN109" s="108">
        <f t="shared" si="17"/>
        <v>61.897258569680645</v>
      </c>
      <c r="AO109" s="108">
        <f t="shared" si="17"/>
        <v>30.98716170059992</v>
      </c>
      <c r="AP109" s="108">
        <f t="shared" si="17"/>
        <v>6.2275055105128994</v>
      </c>
      <c r="AQ109" s="107"/>
      <c r="AR109" s="228" t="s">
        <v>72</v>
      </c>
      <c r="AS109" s="229">
        <f>AR100</f>
        <v>0.94344334897525939</v>
      </c>
    </row>
    <row r="110" spans="1:51" x14ac:dyDescent="0.3">
      <c r="C110" s="2"/>
      <c r="S110" s="15" t="s">
        <v>31</v>
      </c>
      <c r="T110" s="71">
        <f>I287</f>
        <v>47.777777777777779</v>
      </c>
      <c r="U110" s="71">
        <f>I288</f>
        <v>93.75</v>
      </c>
      <c r="V110" s="71">
        <f>I289</f>
        <v>97.326203208556166</v>
      </c>
      <c r="W110" s="71">
        <f>I290</f>
        <v>89.158576051779932</v>
      </c>
      <c r="X110" s="71">
        <f>I291</f>
        <v>96.150049358341562</v>
      </c>
      <c r="AC110" t="s">
        <v>201</v>
      </c>
      <c r="AD110" s="51"/>
      <c r="AE110" s="51"/>
      <c r="AH110" s="78"/>
      <c r="AI110" s="78"/>
      <c r="AJ110" s="107"/>
      <c r="AK110" s="109" t="s">
        <v>39</v>
      </c>
      <c r="AL110" s="110">
        <f t="shared" si="17"/>
        <v>4.6724522628917194E-3</v>
      </c>
      <c r="AM110" s="110">
        <f t="shared" si="17"/>
        <v>3.3350259980170403E-2</v>
      </c>
      <c r="AN110" s="110">
        <f t="shared" si="17"/>
        <v>0.51493077365657691</v>
      </c>
      <c r="AO110" s="110">
        <f t="shared" si="17"/>
        <v>0.5196782369995413</v>
      </c>
      <c r="AP110" s="110">
        <f t="shared" si="17"/>
        <v>0.22235970899434596</v>
      </c>
      <c r="AQ110" s="107"/>
      <c r="AR110" s="228" t="s">
        <v>29</v>
      </c>
      <c r="AS110" s="230">
        <f>AS100</f>
        <v>5.3876288838577389E-3</v>
      </c>
      <c r="AX110" s="103" t="s">
        <v>363</v>
      </c>
    </row>
    <row r="111" spans="1:51" ht="15.6" x14ac:dyDescent="0.35">
      <c r="A111" t="s">
        <v>317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2.3573142244454739</v>
      </c>
      <c r="U111" s="76">
        <f>J288</f>
        <v>3.0496877279641659</v>
      </c>
      <c r="V111" s="76">
        <f>J289</f>
        <v>0.59022661436815782</v>
      </c>
      <c r="W111" s="76">
        <f>J290</f>
        <v>1.2516478095762908</v>
      </c>
      <c r="X111" s="76">
        <f>J291</f>
        <v>0.60480041478323565</v>
      </c>
      <c r="AC111" t="s">
        <v>155</v>
      </c>
      <c r="AD111" s="51"/>
      <c r="AE111" s="51"/>
      <c r="AJ111" s="107"/>
      <c r="AK111" s="107" t="s">
        <v>30</v>
      </c>
      <c r="AL111" s="108">
        <f t="shared" si="17"/>
        <v>100</v>
      </c>
      <c r="AM111" s="108">
        <f t="shared" si="17"/>
        <v>88.155748523560035</v>
      </c>
      <c r="AN111" s="108">
        <f t="shared" si="17"/>
        <v>94.78796383219894</v>
      </c>
      <c r="AO111" s="108">
        <f t="shared" si="17"/>
        <v>94.967308963684715</v>
      </c>
      <c r="AP111" s="108">
        <f t="shared" si="17"/>
        <v>87.536535633885691</v>
      </c>
      <c r="AQ111" s="107"/>
      <c r="AR111" s="107"/>
      <c r="AS111" s="107"/>
      <c r="AU111" s="103" t="s">
        <v>363</v>
      </c>
      <c r="AW111" s="101"/>
      <c r="AX111" s="1" t="s">
        <v>357</v>
      </c>
      <c r="AY111" s="96"/>
    </row>
    <row r="112" spans="1:51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51</v>
      </c>
      <c r="T112" s="67">
        <f>N276*100</f>
        <v>64.661654135338338</v>
      </c>
      <c r="U112" s="67">
        <f>N277*100</f>
        <v>33.898305084745758</v>
      </c>
      <c r="V112" s="67">
        <f>N278*100</f>
        <v>94.668400520156055</v>
      </c>
      <c r="W112" s="67">
        <f>N279*100</f>
        <v>89.666395443449957</v>
      </c>
      <c r="X112" s="67">
        <f>N280*100</f>
        <v>97.4</v>
      </c>
      <c r="AC112" t="s">
        <v>202</v>
      </c>
      <c r="AD112" s="51"/>
      <c r="AE112" s="51"/>
      <c r="AH112" s="78"/>
      <c r="AI112" s="78"/>
      <c r="AJ112" s="107"/>
      <c r="AK112" s="109" t="s">
        <v>39</v>
      </c>
      <c r="AL112" s="110">
        <f t="shared" si="17"/>
        <v>0</v>
      </c>
      <c r="AM112" s="110">
        <f t="shared" si="17"/>
        <v>4.9991847269285401</v>
      </c>
      <c r="AN112" s="110">
        <f t="shared" si="17"/>
        <v>0.66097185068799191</v>
      </c>
      <c r="AO112" s="110">
        <f t="shared" si="17"/>
        <v>1.1697443872659721</v>
      </c>
      <c r="AP112" s="110">
        <f t="shared" si="17"/>
        <v>3.1915079009809917</v>
      </c>
      <c r="AQ112" s="107"/>
      <c r="AR112" s="107"/>
      <c r="AS112" s="107"/>
      <c r="AU112" s="93"/>
      <c r="AV112" s="1" t="s">
        <v>357</v>
      </c>
      <c r="AW112" s="97"/>
      <c r="AX112" s="71" t="s">
        <v>358</v>
      </c>
      <c r="AY112" s="95"/>
    </row>
    <row r="113" spans="1:51" x14ac:dyDescent="0.3">
      <c r="A113" t="s">
        <v>3</v>
      </c>
      <c r="B113" s="13">
        <v>0</v>
      </c>
      <c r="C113" s="29">
        <f>(C102/$L113)*$O113</f>
        <v>9.8647924525947894E-2</v>
      </c>
      <c r="D113" s="31">
        <f>(D102/$L113)*$O113</f>
        <v>3.038708389415359E-2</v>
      </c>
      <c r="E113" s="31">
        <f>(E102/$L113)*$O113</f>
        <v>0</v>
      </c>
      <c r="F113" s="31">
        <f>(F102/$L113)*$O113</f>
        <v>4.4479644540717581E-2</v>
      </c>
      <c r="G113" s="32">
        <f>(G102/$L113)*$O113</f>
        <v>2.4661981131486974E-2</v>
      </c>
      <c r="H113" s="17">
        <f>SUM(C113:G113)</f>
        <v>0.19817663409230607</v>
      </c>
      <c r="I113" s="17">
        <f>C113/H113*100</f>
        <v>49.777777777777771</v>
      </c>
      <c r="J113" s="17">
        <f>SQRT(I113*(100-I113)/(L113-1))</f>
        <v>2.3596225856553534</v>
      </c>
      <c r="K113" s="18">
        <f>100-I113</f>
        <v>50.222222222222229</v>
      </c>
      <c r="L113" s="1">
        <f>H102</f>
        <v>450</v>
      </c>
      <c r="M113">
        <v>0</v>
      </c>
      <c r="N113" s="1">
        <v>191.32</v>
      </c>
      <c r="O113" s="17">
        <f>N113/N118*100</f>
        <v>0.19817663409230604</v>
      </c>
      <c r="P113" s="52">
        <f>((O113*O113*(I113/100)*(K113/100))/(L113-1))</f>
        <v>2.1867039263846514E-5</v>
      </c>
      <c r="R113" s="16" t="s">
        <v>61</v>
      </c>
      <c r="S113" t="s">
        <v>9</v>
      </c>
      <c r="T113" s="30">
        <f>N287</f>
        <v>193.47</v>
      </c>
      <c r="U113" s="30">
        <f>N288</f>
        <v>795.3</v>
      </c>
      <c r="V113" s="30">
        <f>N289</f>
        <v>57895.199999999997</v>
      </c>
      <c r="W113" s="30">
        <f>N290</f>
        <v>32059.57</v>
      </c>
      <c r="X113" s="30">
        <f>N291</f>
        <v>5596.61</v>
      </c>
      <c r="Z113" t="s">
        <v>36</v>
      </c>
      <c r="AA113" s="1">
        <f>N292</f>
        <v>96540.15</v>
      </c>
      <c r="AC113" t="s">
        <v>156</v>
      </c>
      <c r="AD113" s="51"/>
      <c r="AE113" s="51"/>
      <c r="AJ113" s="107"/>
      <c r="AK113" s="111" t="s">
        <v>31</v>
      </c>
      <c r="AL113" s="112">
        <f>AR94</f>
        <v>48</v>
      </c>
      <c r="AM113" s="112">
        <f>AR95</f>
        <v>87.5</v>
      </c>
      <c r="AN113" s="112">
        <f>AR96</f>
        <v>97.593582887700549</v>
      </c>
      <c r="AO113" s="112">
        <f>AR97</f>
        <v>88.996763754045304</v>
      </c>
      <c r="AP113" s="112">
        <f>AR98</f>
        <v>93.682132280355361</v>
      </c>
      <c r="AQ113" s="107"/>
      <c r="AR113" s="107"/>
      <c r="AS113" s="107"/>
      <c r="AU113" s="94"/>
      <c r="AV113" s="71" t="s">
        <v>360</v>
      </c>
      <c r="AW113" s="98"/>
      <c r="AX113" s="71" t="s">
        <v>359</v>
      </c>
      <c r="AY113" s="93"/>
    </row>
    <row r="114" spans="1:51" ht="15.6" x14ac:dyDescent="0.35">
      <c r="A114" t="s">
        <v>4</v>
      </c>
      <c r="B114" s="13">
        <v>1</v>
      </c>
      <c r="C114" s="33">
        <f t="shared" ref="C114:G117" si="18">(C103/$L114)*$O114</f>
        <v>0</v>
      </c>
      <c r="D114" s="34">
        <f t="shared" si="18"/>
        <v>0.64096395551114804</v>
      </c>
      <c r="E114" s="19">
        <f t="shared" si="18"/>
        <v>6.6306616087360132E-2</v>
      </c>
      <c r="F114" s="18">
        <f t="shared" si="18"/>
        <v>0</v>
      </c>
      <c r="G114" s="20">
        <f t="shared" si="18"/>
        <v>0</v>
      </c>
      <c r="H114" s="17">
        <f>SUM(C114:G114)</f>
        <v>0.70727057159850815</v>
      </c>
      <c r="I114" s="17">
        <f>D114/H114*100</f>
        <v>90.625</v>
      </c>
      <c r="J114" s="17">
        <f>SQRT(I114*(100-I114)/(L114-1))</f>
        <v>3.6723103212062695</v>
      </c>
      <c r="K114" s="18">
        <f>100-I114</f>
        <v>9.375</v>
      </c>
      <c r="L114" s="1">
        <f>H103</f>
        <v>64</v>
      </c>
      <c r="M114">
        <v>1</v>
      </c>
      <c r="N114" s="1">
        <v>682.8</v>
      </c>
      <c r="O114" s="17">
        <f>N114/N118*100</f>
        <v>0.70727057159850815</v>
      </c>
      <c r="P114" s="52">
        <f>((O114*O114*(I114/100)*(K114/100))/(L114-1))</f>
        <v>6.7460557022084883E-4</v>
      </c>
      <c r="R114" s="16" t="s">
        <v>318</v>
      </c>
      <c r="S114" t="s">
        <v>63</v>
      </c>
      <c r="T114" s="57">
        <f>$AA113*T106/100</f>
        <v>92.435666666666677</v>
      </c>
      <c r="U114" s="57">
        <f>$AA113*U106/100</f>
        <v>844.47841666666659</v>
      </c>
      <c r="V114" s="57">
        <f>$AA113*V106/100</f>
        <v>59266.678590623669</v>
      </c>
      <c r="W114" s="57">
        <f>$AA113*W106/100</f>
        <v>30255.498126319017</v>
      </c>
      <c r="X114" s="57">
        <f>$AA113*X106/100</f>
        <v>6081.0591997239762</v>
      </c>
      <c r="Z114" t="s">
        <v>36</v>
      </c>
      <c r="AA114" s="25">
        <f>SUM(T114:X114)</f>
        <v>96540.150000000009</v>
      </c>
      <c r="AC114" t="s">
        <v>203</v>
      </c>
      <c r="AD114" s="51"/>
      <c r="AE114" s="51"/>
      <c r="AH114" s="78"/>
      <c r="AI114" s="78"/>
      <c r="AJ114" s="107"/>
      <c r="AK114" s="113" t="s">
        <v>39</v>
      </c>
      <c r="AL114" s="114">
        <f>AS94</f>
        <v>2.3577574185109524</v>
      </c>
      <c r="AM114" s="114">
        <f>AS95</f>
        <v>4.166666666666667</v>
      </c>
      <c r="AN114" s="114">
        <f>AS96</f>
        <v>0.560706749365393</v>
      </c>
      <c r="AO114" s="114">
        <f>AS97</f>
        <v>1.2598091084793046</v>
      </c>
      <c r="AP114" s="114">
        <f>AS98</f>
        <v>0.76475687800248704</v>
      </c>
      <c r="AQ114" s="107"/>
      <c r="AR114" s="107"/>
      <c r="AS114" s="107"/>
      <c r="AU114" s="95"/>
      <c r="AV114" s="1" t="s">
        <v>361</v>
      </c>
      <c r="AW114" s="99"/>
      <c r="AX114" s="1" t="s">
        <v>364</v>
      </c>
      <c r="AY114" s="99"/>
    </row>
    <row r="115" spans="1:51" x14ac:dyDescent="0.3">
      <c r="A115" t="s">
        <v>5</v>
      </c>
      <c r="B115" s="13">
        <v>2</v>
      </c>
      <c r="C115" s="33">
        <f t="shared" si="18"/>
        <v>0</v>
      </c>
      <c r="D115" s="19">
        <f t="shared" si="18"/>
        <v>0</v>
      </c>
      <c r="E115" s="34">
        <f t="shared" si="18"/>
        <v>58.81628934334082</v>
      </c>
      <c r="F115" s="19">
        <f t="shared" si="18"/>
        <v>1.2052518308061644</v>
      </c>
      <c r="G115" s="20">
        <f t="shared" si="18"/>
        <v>8.0350122053744283E-2</v>
      </c>
      <c r="H115" s="17">
        <f>SUM(C115:G115)</f>
        <v>60.101891296200726</v>
      </c>
      <c r="I115" s="17">
        <f>E115/H115*100</f>
        <v>97.860962566844918</v>
      </c>
      <c r="J115" s="17">
        <f>SQRT(I115*(100-I115)/(L115-1))</f>
        <v>0.52936306120566767</v>
      </c>
      <c r="K115" s="18">
        <f>100-I115</f>
        <v>2.1390374331550817</v>
      </c>
      <c r="L115" s="1">
        <f>H104</f>
        <v>748</v>
      </c>
      <c r="M115">
        <v>2</v>
      </c>
      <c r="N115" s="1">
        <v>58022.45</v>
      </c>
      <c r="O115" s="17">
        <f>N115/N118*100</f>
        <v>60.101891296200726</v>
      </c>
      <c r="P115" s="52">
        <f>((O115*O115*(I115/100)*(K115/100))/(L115-1))</f>
        <v>0.10122401129822281</v>
      </c>
      <c r="R115" s="66"/>
      <c r="S115" s="66" t="s">
        <v>62</v>
      </c>
      <c r="T115" s="67">
        <f>$AA113*T107/100</f>
        <v>4.5556255718467682</v>
      </c>
      <c r="U115" s="67">
        <f>$AA113*U107/100</f>
        <v>24.49198827855222</v>
      </c>
      <c r="V115" s="67">
        <f>$AA113*V107/100</f>
        <v>502.11818446671271</v>
      </c>
      <c r="W115" s="67">
        <f>$AA113*W107/100</f>
        <v>522.25786134552629</v>
      </c>
      <c r="X115" s="67">
        <f>$AA113*X107/100</f>
        <v>196.9621876808516</v>
      </c>
      <c r="AA115" s="1"/>
      <c r="AC115" t="s">
        <v>204</v>
      </c>
      <c r="AD115" s="51"/>
      <c r="AE115" s="51"/>
      <c r="AJ115" s="107"/>
      <c r="AK115" s="109" t="s">
        <v>51</v>
      </c>
      <c r="AL115" s="110">
        <f>AW83*100</f>
        <v>64.86486486486487</v>
      </c>
      <c r="AM115" s="110">
        <f>AW84*100</f>
        <v>33.633633633633636</v>
      </c>
      <c r="AN115" s="110">
        <f>AW85*100</f>
        <v>94.315245478036175</v>
      </c>
      <c r="AO115" s="110">
        <f>AW86*100</f>
        <v>87.025316455696199</v>
      </c>
      <c r="AP115" s="110">
        <f>AW87*100</f>
        <v>96.101265822784825</v>
      </c>
      <c r="AQ115" s="107"/>
      <c r="AR115" s="107"/>
      <c r="AS115" s="107"/>
      <c r="AU115" s="96"/>
      <c r="AV115" s="1" t="s">
        <v>362</v>
      </c>
      <c r="AW115" s="100"/>
      <c r="AX115" s="71" t="s">
        <v>365</v>
      </c>
      <c r="AY115" s="102"/>
    </row>
    <row r="116" spans="1:51" x14ac:dyDescent="0.3">
      <c r="A116" t="s">
        <v>6</v>
      </c>
      <c r="B116" s="13">
        <v>3</v>
      </c>
      <c r="C116" s="33">
        <f t="shared" si="18"/>
        <v>0</v>
      </c>
      <c r="D116" s="19">
        <f t="shared" si="18"/>
        <v>5.3306515265069458E-2</v>
      </c>
      <c r="E116" s="19">
        <f t="shared" si="18"/>
        <v>2.7186322785185424</v>
      </c>
      <c r="F116" s="34">
        <f t="shared" si="18"/>
        <v>29.691729002643687</v>
      </c>
      <c r="G116" s="20">
        <f t="shared" si="18"/>
        <v>0.47975863738562513</v>
      </c>
      <c r="H116" s="17">
        <f>SUM(C116:G116)</f>
        <v>32.943426433812924</v>
      </c>
      <c r="I116" s="17">
        <f>F116/H116*100</f>
        <v>90.129449838187696</v>
      </c>
      <c r="J116" s="17">
        <f>SQRT(I116*(100-I116)/(L116-1))</f>
        <v>1.2007745040335751</v>
      </c>
      <c r="K116" s="18">
        <f>100-I116</f>
        <v>9.8705501618123037</v>
      </c>
      <c r="L116" s="1">
        <f>H105</f>
        <v>618</v>
      </c>
      <c r="M116">
        <v>3</v>
      </c>
      <c r="N116" s="1">
        <v>31803.63</v>
      </c>
      <c r="O116" s="17">
        <f>N116/N118*100</f>
        <v>32.943426433812924</v>
      </c>
      <c r="P116" s="52">
        <f>((O116*O116*(I116/100)*(K116/100))/(L116-1))</f>
        <v>0.15648058172588278</v>
      </c>
      <c r="R116" t="s">
        <v>98</v>
      </c>
      <c r="S116" t="s">
        <v>28</v>
      </c>
      <c r="T116" s="57">
        <f>C321</f>
        <v>8.9402756838015643E-2</v>
      </c>
      <c r="U116" s="57">
        <f t="shared" ref="U116:X119" si="19">D321</f>
        <v>0.86779101032633121</v>
      </c>
      <c r="V116" s="57">
        <f t="shared" si="19"/>
        <v>62.412381721462381</v>
      </c>
      <c r="W116" s="57">
        <f t="shared" si="19"/>
        <v>30.439457509395982</v>
      </c>
      <c r="X116" s="57">
        <f t="shared" si="19"/>
        <v>6.1909670019772962</v>
      </c>
      <c r="Z116" s="74"/>
      <c r="AA116" s="12"/>
      <c r="AD116" s="51"/>
      <c r="AE116" s="51"/>
      <c r="AH116" s="78"/>
      <c r="AI116" s="78"/>
      <c r="AJ116" s="115" t="s">
        <v>356</v>
      </c>
      <c r="AK116" s="107" t="s">
        <v>9</v>
      </c>
      <c r="AL116" s="116">
        <f>AW94</f>
        <v>191.53</v>
      </c>
      <c r="AM116" s="116">
        <f>AW95</f>
        <v>771.15</v>
      </c>
      <c r="AN116" s="116">
        <f>AW96</f>
        <v>58037.85</v>
      </c>
      <c r="AO116" s="116">
        <f>AW97</f>
        <v>31921.97</v>
      </c>
      <c r="AP116" s="116">
        <f>AW98</f>
        <v>5617.65</v>
      </c>
      <c r="AQ116" s="107"/>
      <c r="AR116" s="115" t="s">
        <v>36</v>
      </c>
      <c r="AS116" s="136">
        <f>AW99</f>
        <v>96540.15</v>
      </c>
      <c r="AW116" s="102"/>
      <c r="AX116" s="1" t="s">
        <v>362</v>
      </c>
      <c r="AY116" s="104"/>
    </row>
    <row r="117" spans="1:51" ht="15.6" x14ac:dyDescent="0.35">
      <c r="A117" t="s">
        <v>7</v>
      </c>
      <c r="B117" s="13">
        <v>4</v>
      </c>
      <c r="C117" s="35">
        <f t="shared" si="18"/>
        <v>0</v>
      </c>
      <c r="D117" s="36">
        <f t="shared" si="18"/>
        <v>0</v>
      </c>
      <c r="E117" s="21">
        <f t="shared" si="18"/>
        <v>5.9716042095711097E-3</v>
      </c>
      <c r="F117" s="21">
        <f t="shared" si="18"/>
        <v>0.26275058522112882</v>
      </c>
      <c r="G117" s="37">
        <f t="shared" si="18"/>
        <v>5.7805128748648347</v>
      </c>
      <c r="H117" s="17">
        <f>SUM(C117:G117)</f>
        <v>6.0492350642955346</v>
      </c>
      <c r="I117" s="17">
        <f>G117/H117*100</f>
        <v>95.557749259624885</v>
      </c>
      <c r="J117" s="17">
        <f>SQRT(I117*(100-I117)/(L117-1))</f>
        <v>0.64765576239113853</v>
      </c>
      <c r="K117" s="18">
        <f>100-I117</f>
        <v>4.4422507403751155</v>
      </c>
      <c r="L117" s="1">
        <f>H106</f>
        <v>1013</v>
      </c>
      <c r="M117">
        <v>4</v>
      </c>
      <c r="N117" s="1">
        <v>5839.94</v>
      </c>
      <c r="O117" s="17">
        <f>N117/N118*100</f>
        <v>6.0492350642955346</v>
      </c>
      <c r="P117" s="52">
        <f>((O117*O117*(I117/100)*(K117/100))/(L117-1))</f>
        <v>1.5349328811917245E-3</v>
      </c>
      <c r="S117" s="66" t="s">
        <v>39</v>
      </c>
      <c r="T117" s="67">
        <f>C322</f>
        <v>4.6073453406962287E-3</v>
      </c>
      <c r="U117" s="67">
        <f t="shared" si="19"/>
        <v>2.869697071815314E-2</v>
      </c>
      <c r="V117" s="67">
        <f t="shared" si="19"/>
        <v>0.4925196053746923</v>
      </c>
      <c r="W117" s="67">
        <f t="shared" si="19"/>
        <v>0.5173274965218474</v>
      </c>
      <c r="X117" s="67">
        <f t="shared" si="19"/>
        <v>0.17885274723555261</v>
      </c>
      <c r="AD117" s="51"/>
      <c r="AE117" s="51"/>
      <c r="AJ117" s="115" t="s">
        <v>355</v>
      </c>
      <c r="AK117" s="107" t="s">
        <v>63</v>
      </c>
      <c r="AL117" s="108">
        <f>$AS116*AL109/100</f>
        <v>91.934400000000011</v>
      </c>
      <c r="AM117" s="108">
        <f>$AS116*AM109/100</f>
        <v>765.4137833333333</v>
      </c>
      <c r="AN117" s="108">
        <f>$AS116*AN109/100</f>
        <v>59755.70626905754</v>
      </c>
      <c r="AO117" s="108">
        <f>$AS116*AO109/100</f>
        <v>29915.052386501709</v>
      </c>
      <c r="AP117" s="108">
        <f>$AS116*AP109/100</f>
        <v>6012.0431611074182</v>
      </c>
      <c r="AQ117" s="107"/>
      <c r="AR117" s="115" t="s">
        <v>36</v>
      </c>
      <c r="AS117" s="136">
        <f>SUM(AL117:AP117)</f>
        <v>96540.150000000009</v>
      </c>
    </row>
    <row r="118" spans="1:51" x14ac:dyDescent="0.3">
      <c r="B118" t="s">
        <v>28</v>
      </c>
      <c r="C118" s="17">
        <f t="shared" ref="C118:H118" si="20">SUM(C113:C117)</f>
        <v>9.8647924525947894E-2</v>
      </c>
      <c r="D118" s="17">
        <f t="shared" si="20"/>
        <v>0.72465755467037107</v>
      </c>
      <c r="E118" s="17">
        <f t="shared" si="20"/>
        <v>61.607199842156291</v>
      </c>
      <c r="F118" s="17">
        <f t="shared" si="20"/>
        <v>31.204211063211694</v>
      </c>
      <c r="G118" s="17">
        <f t="shared" si="20"/>
        <v>6.3652836154356915</v>
      </c>
      <c r="H118" s="18">
        <f t="shared" si="20"/>
        <v>99.999999999999986</v>
      </c>
      <c r="I118" s="13" t="s">
        <v>24</v>
      </c>
      <c r="J118" s="12" t="s">
        <v>29</v>
      </c>
      <c r="N118" s="1">
        <f>SUM(N113:N117)</f>
        <v>96540.14</v>
      </c>
      <c r="O118" s="17">
        <f>SUM(O113:O117)</f>
        <v>99.999999999999986</v>
      </c>
      <c r="S118" t="s">
        <v>30</v>
      </c>
      <c r="T118" s="57">
        <f>C323</f>
        <v>100</v>
      </c>
      <c r="U118" s="57">
        <f t="shared" si="19"/>
        <v>89.697662712085943</v>
      </c>
      <c r="V118" s="57">
        <f t="shared" si="19"/>
        <v>94.775359190480017</v>
      </c>
      <c r="W118" s="57">
        <f t="shared" si="19"/>
        <v>95.338075688409447</v>
      </c>
      <c r="X118" s="57">
        <f t="shared" si="19"/>
        <v>90.573506776857556</v>
      </c>
      <c r="AD118" s="51"/>
      <c r="AE118" s="51"/>
      <c r="AH118" s="78"/>
      <c r="AI118" s="78"/>
      <c r="AJ118" s="109"/>
      <c r="AK118" s="109" t="s">
        <v>354</v>
      </c>
      <c r="AL118" s="110">
        <f>$AS116*AL110/100</f>
        <v>4.5107924232740597</v>
      </c>
      <c r="AM118" s="110">
        <f>$AS116*AM110/100</f>
        <v>32.196391010246472</v>
      </c>
      <c r="AN118" s="110">
        <f>$AS116*AN110/100</f>
        <v>497.11494128421981</v>
      </c>
      <c r="AO118" s="110">
        <f>$AS116*AO110/100</f>
        <v>501.69814951671265</v>
      </c>
      <c r="AP118" s="110">
        <f>$AS116*AP110/100</f>
        <v>214.66639660270505</v>
      </c>
      <c r="AQ118" s="107"/>
      <c r="AR118" s="107"/>
      <c r="AS118" s="107"/>
    </row>
    <row r="119" spans="1:51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4.6710219270797897E-3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5.9265349867477786E-2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0.48450975560350557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0.50263661807665716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0.18218742643931149</v>
      </c>
      <c r="H119" s="1"/>
      <c r="I119" s="56">
        <f>(C113+D114+E115+F116+G117)/H118</f>
        <v>0.95028143100886453</v>
      </c>
      <c r="J119" s="53">
        <f>SQRT(SUM(P113:P117))/100</f>
        <v>5.098391888770243E-3</v>
      </c>
      <c r="M119" s="1"/>
      <c r="N119" s="9"/>
      <c r="S119" s="66" t="s">
        <v>39</v>
      </c>
      <c r="T119" s="67">
        <f>C324</f>
        <v>0</v>
      </c>
      <c r="U119" s="67">
        <f t="shared" si="19"/>
        <v>3.4226337644513434</v>
      </c>
      <c r="V119" s="67">
        <f t="shared" si="19"/>
        <v>0.64562749831765909</v>
      </c>
      <c r="W119" s="67">
        <f t="shared" si="19"/>
        <v>1.1432122820781951</v>
      </c>
      <c r="X119" s="67">
        <f t="shared" si="19"/>
        <v>2.6240471653003778</v>
      </c>
      <c r="AD119" s="51"/>
      <c r="AE119" s="51"/>
      <c r="AJ119" s="115" t="s">
        <v>376</v>
      </c>
      <c r="AK119" s="122" t="s">
        <v>9</v>
      </c>
      <c r="AL119" s="135">
        <f>AVERAGE(AR195:AR214)</f>
        <v>191.45150000000001</v>
      </c>
      <c r="AM119" s="135">
        <f>AVERAGE(AS195:AS214)</f>
        <v>774.88200000000006</v>
      </c>
      <c r="AN119" s="135">
        <f>AVERAGE(AT195:AT214)</f>
        <v>57887.061999999991</v>
      </c>
      <c r="AO119" s="135">
        <f>AVERAGE(AU195:AU214)</f>
        <v>31938.059500000003</v>
      </c>
      <c r="AP119" s="135">
        <f>AVERAGE(AV195:AV214)</f>
        <v>5748.6969999999992</v>
      </c>
      <c r="AQ119" s="107"/>
      <c r="AR119" s="115" t="s">
        <v>36</v>
      </c>
      <c r="AS119" s="136">
        <f>SUM(AL119:AP119)</f>
        <v>96540.151999999987</v>
      </c>
    </row>
    <row r="120" spans="1:51" x14ac:dyDescent="0.3">
      <c r="B120" s="1" t="s">
        <v>30</v>
      </c>
      <c r="C120" s="17">
        <f>C113/C118*100</f>
        <v>100</v>
      </c>
      <c r="D120" s="17">
        <f>D114/D118*100</f>
        <v>88.450600063461266</v>
      </c>
      <c r="E120" s="17">
        <f>E115/E118*100</f>
        <v>95.469830626994806</v>
      </c>
      <c r="F120" s="17">
        <f>F116/F118*100</f>
        <v>95.15295529342464</v>
      </c>
      <c r="G120" s="17">
        <f>G117/G118*100</f>
        <v>90.813123563688521</v>
      </c>
      <c r="H120" s="1"/>
      <c r="S120" s="15" t="s">
        <v>31</v>
      </c>
      <c r="T120" s="71">
        <f>I316</f>
        <v>45.555555555555557</v>
      </c>
      <c r="U120" s="71">
        <f>I317</f>
        <v>92.1875</v>
      </c>
      <c r="V120" s="71">
        <f>I318</f>
        <v>98.128342245989302</v>
      </c>
      <c r="W120" s="71">
        <f>I319</f>
        <v>88.511326860841422</v>
      </c>
      <c r="X120" s="71">
        <f>I320</f>
        <v>95.16288252714709</v>
      </c>
      <c r="AD120" s="51"/>
      <c r="AE120" s="51"/>
      <c r="AH120" s="78"/>
      <c r="AI120" s="78"/>
      <c r="AJ120" s="140"/>
      <c r="AK120" s="128" t="s">
        <v>368</v>
      </c>
      <c r="AL120" s="125">
        <f>_xlfn.STDEV.S(AR195:AR214)/SQRT($AK$108)</f>
        <v>3.4096215467563642</v>
      </c>
      <c r="AM120" s="125">
        <f>_xlfn.STDEV.S(AS195:AS214)/SQRT($AK$108)</f>
        <v>8.9804053536457644</v>
      </c>
      <c r="AN120" s="125">
        <f>_xlfn.STDEV.S(AT195:AT214)/SQRT($AK$108)</f>
        <v>32.17719777469101</v>
      </c>
      <c r="AO120" s="125">
        <f>_xlfn.STDEV.S(AU195:AU214)/SQRT($AK$108)</f>
        <v>36.173800525525714</v>
      </c>
      <c r="AP120" s="125">
        <f>_xlfn.STDEV.S(AV195:AV214)/SQRT($AK$108)</f>
        <v>28.788774823568069</v>
      </c>
      <c r="AQ120" s="107"/>
      <c r="AR120" s="107"/>
      <c r="AS120" s="107"/>
    </row>
    <row r="121" spans="1:51" x14ac:dyDescent="0.3">
      <c r="B121" s="16" t="s">
        <v>39</v>
      </c>
      <c r="C121" s="18">
        <f>SQRT((C124+C125)/(C118*C118))</f>
        <v>0</v>
      </c>
      <c r="D121" s="18">
        <f>SQRT((D124+D125)/(D118*D118))</f>
        <v>7.7226698456937015</v>
      </c>
      <c r="E121" s="18">
        <f>SQRT((E124+E125)/(E118*E118))</f>
        <v>0.61339472206618106</v>
      </c>
      <c r="F121" s="18">
        <f>SQRT((F124+F125)/(F118*F118))</f>
        <v>1.1292891868902317</v>
      </c>
      <c r="G121" s="18">
        <f>SQRT((G124+G125)/(G118*G118))</f>
        <v>2.6026577376757416</v>
      </c>
      <c r="H121" s="1"/>
      <c r="S121" s="75" t="s">
        <v>39</v>
      </c>
      <c r="T121" s="76">
        <f>J316</f>
        <v>2.3503053460253023</v>
      </c>
      <c r="U121" s="76">
        <f>J317</f>
        <v>3.3811213593755247</v>
      </c>
      <c r="V121" s="76">
        <f>J318</f>
        <v>0.49584980756665031</v>
      </c>
      <c r="W121" s="76">
        <f>J319</f>
        <v>1.2837834729964359</v>
      </c>
      <c r="X121" s="76">
        <f>J320</f>
        <v>0.67442996120300924</v>
      </c>
      <c r="AD121" s="51"/>
      <c r="AE121" s="51"/>
      <c r="AJ121" s="119" t="s">
        <v>709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</row>
    <row r="122" spans="1:51" x14ac:dyDescent="0.3">
      <c r="B122" s="1" t="s">
        <v>37</v>
      </c>
      <c r="C122" s="18">
        <f>100-C120</f>
        <v>0</v>
      </c>
      <c r="D122" s="18">
        <f>100-D120</f>
        <v>11.549399936538734</v>
      </c>
      <c r="E122" s="18">
        <f>100-E120</f>
        <v>4.5301693730051937</v>
      </c>
      <c r="F122" s="18">
        <f>100-F120</f>
        <v>4.8470447065753604</v>
      </c>
      <c r="G122" s="18">
        <f>100-G120</f>
        <v>9.1868764363114792</v>
      </c>
      <c r="S122" s="66" t="s">
        <v>51</v>
      </c>
      <c r="T122" s="67">
        <f>N305*100</f>
        <v>62.595419847328252</v>
      </c>
      <c r="U122" s="67">
        <f>N306*100</f>
        <v>35.975609756097562</v>
      </c>
      <c r="V122" s="67">
        <f>N307*100</f>
        <v>94.770819883795994</v>
      </c>
      <c r="W122" s="67">
        <f>N308*100</f>
        <v>86.413902053712491</v>
      </c>
      <c r="X122" s="67">
        <f>N309*100</f>
        <v>96.981891348088524</v>
      </c>
      <c r="AD122" s="51"/>
      <c r="AE122" s="51"/>
      <c r="AH122" s="78"/>
      <c r="AI122" s="78"/>
      <c r="AJ122" s="115" t="s">
        <v>375</v>
      </c>
      <c r="AK122" s="122" t="s">
        <v>9</v>
      </c>
      <c r="AL122" s="135">
        <v>1.59</v>
      </c>
      <c r="AM122" s="135">
        <v>158.12</v>
      </c>
      <c r="AN122" s="135">
        <v>5132.1000000000004</v>
      </c>
      <c r="AO122" s="135">
        <v>771.17</v>
      </c>
      <c r="AP122" s="135">
        <v>161.30000000000001</v>
      </c>
      <c r="AQ122" s="107"/>
      <c r="AR122" s="115" t="s">
        <v>36</v>
      </c>
      <c r="AS122" s="136">
        <f>SUM(AL122:AP122)</f>
        <v>6224.2800000000007</v>
      </c>
      <c r="AU122">
        <v>1</v>
      </c>
      <c r="AV122">
        <v>68</v>
      </c>
    </row>
    <row r="123" spans="1:51" ht="15.6" x14ac:dyDescent="0.35">
      <c r="B123" s="1" t="s">
        <v>25</v>
      </c>
      <c r="C123" s="1">
        <f>C107</f>
        <v>224</v>
      </c>
      <c r="D123" s="1">
        <f>D107</f>
        <v>128</v>
      </c>
      <c r="E123" s="1">
        <f>E107</f>
        <v>790</v>
      </c>
      <c r="F123" s="1">
        <f>F107</f>
        <v>717</v>
      </c>
      <c r="G123" s="1">
        <f>G107</f>
        <v>1034</v>
      </c>
      <c r="R123" s="16" t="s">
        <v>61</v>
      </c>
      <c r="S123" t="s">
        <v>9</v>
      </c>
      <c r="T123" s="30">
        <f>N316</f>
        <v>189.46</v>
      </c>
      <c r="U123" s="30">
        <f>N317</f>
        <v>815.14</v>
      </c>
      <c r="V123" s="30">
        <f>N318</f>
        <v>58194.2</v>
      </c>
      <c r="W123" s="30">
        <f>N319</f>
        <v>31652.82</v>
      </c>
      <c r="X123" s="30">
        <f>N320</f>
        <v>5688.53</v>
      </c>
      <c r="Z123" t="s">
        <v>36</v>
      </c>
      <c r="AA123" s="1">
        <f>N321</f>
        <v>96540.15</v>
      </c>
      <c r="AD123" s="51"/>
      <c r="AE123" s="51"/>
      <c r="AJ123" s="107"/>
      <c r="AK123" s="107" t="s">
        <v>367</v>
      </c>
      <c r="AL123" s="108">
        <f>(AL122/$AS122)*100</f>
        <v>2.554512329136864E-2</v>
      </c>
      <c r="AM123" s="108">
        <f>(AM122/$AS122)*100</f>
        <v>2.5403741476925843</v>
      </c>
      <c r="AN123" s="108">
        <f>(AN122/$AS122)*100</f>
        <v>82.452910216121381</v>
      </c>
      <c r="AO123" s="108">
        <f>(AO122/$AS122)*100</f>
        <v>12.38970611861934</v>
      </c>
      <c r="AP123" s="108">
        <f>(AP122/$AS122)*100</f>
        <v>2.5914643942753215</v>
      </c>
      <c r="AQ123" s="107"/>
      <c r="AR123" s="107"/>
      <c r="AS123" s="107"/>
      <c r="AU123">
        <v>2</v>
      </c>
      <c r="AV123">
        <v>97</v>
      </c>
    </row>
    <row r="124" spans="1:51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8.9984718802151331</v>
      </c>
      <c r="E124" s="18">
        <f>(O115*O115*(100-E120)*(100-E120)*(I115)*(100-I115))/((L115-1)*100)</f>
        <v>207.73631465653568</v>
      </c>
      <c r="F124" s="18">
        <f>(O116*O116*(100-F120)*(100-F120)*(I116)*(100-I116))/((L116-1)*100)</f>
        <v>367.63301237784958</v>
      </c>
      <c r="G124" s="18">
        <f>(O117*O117*(100-G120)*(100-G120)*(I117)*(100-I117))/((L117-1)*100)</f>
        <v>12.954633769697081</v>
      </c>
      <c r="R124" s="16" t="s">
        <v>318</v>
      </c>
      <c r="S124" t="s">
        <v>63</v>
      </c>
      <c r="T124" s="57">
        <f>$AA123*T116/100</f>
        <v>86.309555555555562</v>
      </c>
      <c r="U124" s="57">
        <f>$AA123*U116/100</f>
        <v>837.76674305555559</v>
      </c>
      <c r="V124" s="57">
        <f>$AA123*V116/100</f>
        <v>60253.006932472366</v>
      </c>
      <c r="W124" s="57">
        <f>$AA123*W116/100</f>
        <v>29386.297938757143</v>
      </c>
      <c r="X124" s="57">
        <f>$AA123*X116/100</f>
        <v>5976.7688301593844</v>
      </c>
      <c r="Z124" t="s">
        <v>36</v>
      </c>
      <c r="AA124" s="25">
        <f>SUM(T124:X124)</f>
        <v>96540.150000000009</v>
      </c>
      <c r="AD124" s="51"/>
      <c r="AE124" s="51"/>
      <c r="AH124" s="78"/>
      <c r="AI124" s="78"/>
      <c r="AJ124" s="115" t="s">
        <v>376</v>
      </c>
      <c r="AK124" s="122" t="s">
        <v>9</v>
      </c>
      <c r="AL124" s="135">
        <f>AVERAGE(AR216:AR235)</f>
        <v>1.5734999999999999</v>
      </c>
      <c r="AM124" s="139">
        <f>AVERAGE(AS216:AS235)</f>
        <v>160.285</v>
      </c>
      <c r="AN124" s="135">
        <f>AVERAGE(AT216:AT235)</f>
        <v>5109.5734999999995</v>
      </c>
      <c r="AO124" s="135">
        <f>AVERAGE(AU216:AU235)</f>
        <v>784.70900000000006</v>
      </c>
      <c r="AP124" s="135">
        <f>AVERAGE(AV216:AV235)</f>
        <v>168.1405</v>
      </c>
      <c r="AQ124" s="107"/>
      <c r="AR124" s="115" t="s">
        <v>36</v>
      </c>
      <c r="AS124" s="136">
        <f>SUM(AL124:AP124)</f>
        <v>6224.2815000000001</v>
      </c>
      <c r="AU124">
        <v>3</v>
      </c>
      <c r="AV124">
        <v>126</v>
      </c>
    </row>
    <row r="125" spans="1:51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22.320001590283837</v>
      </c>
      <c r="E125" s="18">
        <f>E120*E120*(SUM((H113*E113*(1-E102/H102))/(H102-1),(H114*E114*(1-E103/H103))/(H103-1), (H116*E116*(1-E105/H105))/(H105-1),(H117*E117*(1-E106/H106))/(H106-1)))</f>
        <v>1220.3123555075342</v>
      </c>
      <c r="F125" s="18">
        <f>F120*F120*(SUM((H113*F113*(1-F102/H102))/(H102-1),(H114*F114*(1-F103/H103))/(H103-1), (H115*F115*(1-F104/H104))/(H104-1),(H117*F117*(1-F106/H106))/(H106-1)))</f>
        <v>874.12437688940429</v>
      </c>
      <c r="G125" s="18">
        <f>G120*G120*(SUM((H113*G113*(1-G102/H102))/(H102-1),(H114*G114*(1-G103/H103))/(H103-1), (H115*G115*(1-G104/H104))/(H104-1),(H116*G116*(1-G105/H105))/(H105-1)))</f>
        <v>261.499412662304</v>
      </c>
      <c r="R125" s="66"/>
      <c r="S125" s="66" t="s">
        <v>62</v>
      </c>
      <c r="T125" s="67">
        <f>$AA123*T117/100</f>
        <v>4.44793810292615</v>
      </c>
      <c r="U125" s="67">
        <f>$AA123*U117/100</f>
        <v>27.704098576761115</v>
      </c>
      <c r="V125" s="67">
        <f>$AA123*V117/100</f>
        <v>475.47916580813597</v>
      </c>
      <c r="W125" s="67">
        <f>$AA123*W117/100</f>
        <v>499.42874113343618</v>
      </c>
      <c r="X125" s="67">
        <f>$AA123*X117/100</f>
        <v>172.66471046032333</v>
      </c>
      <c r="AA125" s="1"/>
      <c r="AD125" s="51"/>
      <c r="AE125" s="51"/>
      <c r="AJ125" s="107"/>
      <c r="AK125" s="128" t="s">
        <v>368</v>
      </c>
      <c r="AL125" s="125">
        <f>_xlfn.STDEV.S(AR216:AR235)/SQRT($AK$108)</f>
        <v>2.3252334348008562E-2</v>
      </c>
      <c r="AM125" s="125">
        <f>_xlfn.STDEV.S(AS216:AS235)/SQRT($AK$108)</f>
        <v>1.4943055947584205</v>
      </c>
      <c r="AN125" s="125">
        <f>_xlfn.STDEV.S(AT216:AT235)/SQRT($AK$108)</f>
        <v>2.4340515579670963</v>
      </c>
      <c r="AO125" s="125">
        <f>_xlfn.STDEV.S(AU216:AU235)/SQRT($AK$108)</f>
        <v>2.6090400432665666</v>
      </c>
      <c r="AP125" s="125">
        <f>_xlfn.STDEV.S(AV216:AV235)/SQRT($AK$108)</f>
        <v>2.0470659973162619</v>
      </c>
      <c r="AQ125" s="107"/>
      <c r="AR125" s="107"/>
      <c r="AS125" s="141"/>
      <c r="AU125">
        <v>4</v>
      </c>
      <c r="AV125">
        <v>155</v>
      </c>
    </row>
    <row r="126" spans="1:51" x14ac:dyDescent="0.3">
      <c r="R126" t="s">
        <v>99</v>
      </c>
      <c r="S126" t="s">
        <v>28</v>
      </c>
      <c r="T126" s="57">
        <f>C350</f>
        <v>6.9292620738625327E-2</v>
      </c>
      <c r="U126" s="57">
        <f t="shared" ref="U126:X129" si="21">D350</f>
        <v>0.77167723092412843</v>
      </c>
      <c r="V126" s="57">
        <f t="shared" si="21"/>
        <v>61.682214810780529</v>
      </c>
      <c r="W126" s="57">
        <f t="shared" si="21"/>
        <v>31.269626904444404</v>
      </c>
      <c r="X126" s="57">
        <f t="shared" si="21"/>
        <v>6.2071884331123091</v>
      </c>
      <c r="Y126" s="13"/>
      <c r="Z126" s="74"/>
      <c r="AA126" s="12"/>
      <c r="AD126" s="51"/>
      <c r="AE126" s="51"/>
      <c r="AH126" s="78"/>
      <c r="AI126" s="78"/>
      <c r="AJ126" s="119" t="s">
        <v>673</v>
      </c>
      <c r="AK126" s="107"/>
      <c r="AL126" s="116"/>
      <c r="AM126" s="116"/>
      <c r="AN126" s="116"/>
      <c r="AO126" s="116"/>
      <c r="AP126" s="116"/>
      <c r="AQ126" s="107"/>
      <c r="AR126" s="107"/>
      <c r="AS126" s="141"/>
      <c r="AU126">
        <v>5</v>
      </c>
      <c r="AV126">
        <v>184</v>
      </c>
    </row>
    <row r="127" spans="1:51" x14ac:dyDescent="0.3">
      <c r="S127" s="66" t="s">
        <v>39</v>
      </c>
      <c r="T127" s="67">
        <f>C351</f>
        <v>4.17238885609996E-3</v>
      </c>
      <c r="U127" s="67">
        <f t="shared" si="21"/>
        <v>3.1636322682669145E-2</v>
      </c>
      <c r="V127" s="67">
        <f t="shared" si="21"/>
        <v>0.49865667356803334</v>
      </c>
      <c r="W127" s="67">
        <f t="shared" si="21"/>
        <v>0.51119834270552267</v>
      </c>
      <c r="X127" s="67">
        <f t="shared" si="21"/>
        <v>0.17461908048593891</v>
      </c>
      <c r="AD127" s="51"/>
      <c r="AE127" s="51"/>
      <c r="AJ127" s="115" t="s">
        <v>375</v>
      </c>
      <c r="AK127" s="122" t="s">
        <v>9</v>
      </c>
      <c r="AL127" s="135">
        <v>185.14</v>
      </c>
      <c r="AM127" s="135">
        <v>124.18</v>
      </c>
      <c r="AN127" s="135">
        <v>4084.66</v>
      </c>
      <c r="AO127" s="135">
        <v>15998.6</v>
      </c>
      <c r="AP127" s="135">
        <v>4255.21</v>
      </c>
      <c r="AQ127" s="107"/>
      <c r="AR127" s="115" t="s">
        <v>36</v>
      </c>
      <c r="AS127" s="136">
        <f>SUM(AL127:AP127)</f>
        <v>24647.79</v>
      </c>
      <c r="AU127">
        <v>6</v>
      </c>
      <c r="AV127">
        <v>213</v>
      </c>
    </row>
    <row r="128" spans="1:51" x14ac:dyDescent="0.3">
      <c r="A128" s="348" t="s">
        <v>386</v>
      </c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 t="s">
        <v>59</v>
      </c>
      <c r="M128" s="348"/>
      <c r="N128" s="348"/>
      <c r="O128" s="348"/>
      <c r="P128" s="348"/>
      <c r="S128" t="s">
        <v>30</v>
      </c>
      <c r="T128" s="57">
        <f>C352</f>
        <v>100</v>
      </c>
      <c r="U128" s="57">
        <f t="shared" si="21"/>
        <v>92.858423395303845</v>
      </c>
      <c r="V128" s="57">
        <f t="shared" si="21"/>
        <v>94.954666093828351</v>
      </c>
      <c r="W128" s="57">
        <f t="shared" si="21"/>
        <v>95.303753089492318</v>
      </c>
      <c r="X128" s="57">
        <f t="shared" si="21"/>
        <v>91.777999680845724</v>
      </c>
      <c r="AD128" s="51"/>
      <c r="AE128" s="51"/>
      <c r="AH128" s="78"/>
      <c r="AI128" s="78"/>
      <c r="AJ128" s="107"/>
      <c r="AK128" s="107" t="s">
        <v>367</v>
      </c>
      <c r="AL128" s="108">
        <f>(AL127/$AS127)*100</f>
        <v>0.75114239451082621</v>
      </c>
      <c r="AM128" s="108">
        <f>(AM127/$AS127)*100</f>
        <v>0.50381798936131805</v>
      </c>
      <c r="AN128" s="108">
        <f>(AN127/$AS127)*100</f>
        <v>16.572114579035279</v>
      </c>
      <c r="AO128" s="108">
        <f>(AO127/$AS127)*100</f>
        <v>64.908862011563713</v>
      </c>
      <c r="AP128" s="108">
        <f>(AP127/$AS127)*100</f>
        <v>17.264063025528863</v>
      </c>
      <c r="AQ128" s="107"/>
      <c r="AR128" s="107"/>
      <c r="AS128" s="141"/>
      <c r="AU128">
        <v>7</v>
      </c>
      <c r="AV128">
        <v>242</v>
      </c>
    </row>
    <row r="129" spans="1:48" x14ac:dyDescent="0.3">
      <c r="A129" t="s">
        <v>315</v>
      </c>
      <c r="B129" t="s">
        <v>21</v>
      </c>
      <c r="I129" s="1" t="s">
        <v>53</v>
      </c>
      <c r="O129" s="142"/>
      <c r="P129" s="142"/>
      <c r="S129" s="66" t="s">
        <v>39</v>
      </c>
      <c r="T129" s="67">
        <f>C353</f>
        <v>0</v>
      </c>
      <c r="U129" s="67">
        <f t="shared" si="21"/>
        <v>2.9662697658338084</v>
      </c>
      <c r="V129" s="67">
        <f t="shared" si="21"/>
        <v>0.64766837578051772</v>
      </c>
      <c r="W129" s="67">
        <f t="shared" si="21"/>
        <v>1.123201624024998</v>
      </c>
      <c r="X129" s="67">
        <f t="shared" si="21"/>
        <v>2.5733966995172044</v>
      </c>
      <c r="AD129" s="51"/>
      <c r="AE129" s="51"/>
      <c r="AJ129" s="115" t="s">
        <v>376</v>
      </c>
      <c r="AK129" s="122" t="s">
        <v>9</v>
      </c>
      <c r="AL129" s="135">
        <f>AVERAGE(AL195:AL214)</f>
        <v>184.64399999999995</v>
      </c>
      <c r="AM129" s="135">
        <f>AVERAGE(AM195:AM214)</f>
        <v>116.90649999999998</v>
      </c>
      <c r="AN129" s="135">
        <f>AVERAGE(AN195:AN214)</f>
        <v>4083.0325000000003</v>
      </c>
      <c r="AO129" s="135">
        <f>AVERAGE(AO195:AO214)</f>
        <v>15958.811999999996</v>
      </c>
      <c r="AP129" s="135">
        <f>AVERAGE(AP195:AP214)</f>
        <v>4304.4009999999998</v>
      </c>
      <c r="AQ129" s="107"/>
      <c r="AR129" s="115" t="s">
        <v>36</v>
      </c>
      <c r="AS129" s="136">
        <f>SUM(AL129:AP129)</f>
        <v>24647.795999999995</v>
      </c>
      <c r="AU129">
        <v>8</v>
      </c>
      <c r="AV129">
        <v>271</v>
      </c>
    </row>
    <row r="130" spans="1:48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51</v>
      </c>
      <c r="O130" s="13"/>
      <c r="P130" s="13"/>
      <c r="S130" s="15" t="s">
        <v>31</v>
      </c>
      <c r="T130" s="71">
        <f>I345</f>
        <v>38</v>
      </c>
      <c r="U130" s="71">
        <f>I346</f>
        <v>89.0625</v>
      </c>
      <c r="V130" s="71">
        <f>I347</f>
        <v>97.860962566844918</v>
      </c>
      <c r="W130" s="71">
        <f>I348</f>
        <v>89.644012944983814</v>
      </c>
      <c r="X130" s="71">
        <f>I349</f>
        <v>96.24876604146101</v>
      </c>
      <c r="AD130" s="51"/>
      <c r="AE130" s="51"/>
      <c r="AH130" s="78"/>
      <c r="AI130" s="78"/>
      <c r="AJ130" s="107"/>
      <c r="AK130" s="128" t="s">
        <v>368</v>
      </c>
      <c r="AL130" s="125">
        <f>_xlfn.STDEV.S(AL195:AL214)/SQRT($AK$108)</f>
        <v>3.3858340650110819</v>
      </c>
      <c r="AM130" s="125">
        <f>_xlfn.STDEV.S(AM195:AM214)/SQRT($AK$108)</f>
        <v>3.680568196624022</v>
      </c>
      <c r="AN130" s="125">
        <f>_xlfn.STDEV.S(AN195:AN214)/SQRT($AK$108)</f>
        <v>7.6566734866767572</v>
      </c>
      <c r="AO130" s="125">
        <f>_xlfn.STDEV.S(AO195:AO214)/SQRT($AK$108)</f>
        <v>14.893564463252341</v>
      </c>
      <c r="AP130" s="125">
        <f>_xlfn.STDEV.S(AP195:AP214)/SQRT($AK$108)</f>
        <v>16.995821156668899</v>
      </c>
      <c r="AQ130" s="107"/>
      <c r="AR130" s="107"/>
      <c r="AS130" s="141"/>
      <c r="AU130">
        <v>9</v>
      </c>
      <c r="AV130">
        <v>300</v>
      </c>
    </row>
    <row r="131" spans="1:48" x14ac:dyDescent="0.3">
      <c r="A131" t="s">
        <v>3</v>
      </c>
      <c r="B131" s="13">
        <v>0</v>
      </c>
      <c r="C131" s="26">
        <v>234</v>
      </c>
      <c r="D131" s="3">
        <v>210</v>
      </c>
      <c r="E131" s="3">
        <v>0</v>
      </c>
      <c r="F131" s="3">
        <v>5</v>
      </c>
      <c r="G131" s="4">
        <v>1</v>
      </c>
      <c r="H131" s="1">
        <f>SUM(C131:G131)</f>
        <v>450</v>
      </c>
      <c r="I131" s="10">
        <f>C131/H131</f>
        <v>0.52</v>
      </c>
      <c r="J131" s="11">
        <f>1-I131</f>
        <v>0.48</v>
      </c>
      <c r="K131">
        <f>H131-C136</f>
        <v>216</v>
      </c>
      <c r="N131" s="10">
        <f>2*(C137*I131)/(C137+I131)</f>
        <v>0.68421052631578949</v>
      </c>
      <c r="O131" s="1"/>
      <c r="P131" s="1"/>
      <c r="S131" s="75" t="s">
        <v>39</v>
      </c>
      <c r="T131" s="76">
        <f>J345</f>
        <v>2.2906802560887329</v>
      </c>
      <c r="U131" s="76">
        <f>J346</f>
        <v>3.9322054350368489</v>
      </c>
      <c r="V131" s="76">
        <f>J347</f>
        <v>0.52936306120566767</v>
      </c>
      <c r="W131" s="76">
        <f>J348</f>
        <v>1.2266306499540665</v>
      </c>
      <c r="X131" s="76">
        <f>J349</f>
        <v>0.59730259910983352</v>
      </c>
      <c r="AD131" s="51"/>
      <c r="AE131" s="51"/>
      <c r="AJ131" s="119" t="s">
        <v>710</v>
      </c>
      <c r="AK131" s="107"/>
      <c r="AL131" s="116"/>
      <c r="AM131" s="116"/>
      <c r="AN131" s="116"/>
      <c r="AO131" s="116"/>
      <c r="AP131" s="116"/>
      <c r="AQ131" s="107"/>
      <c r="AR131" s="107"/>
      <c r="AS131" s="141"/>
      <c r="AU131">
        <v>10</v>
      </c>
      <c r="AV131">
        <v>329</v>
      </c>
    </row>
    <row r="132" spans="1:48" x14ac:dyDescent="0.3">
      <c r="A132" t="s">
        <v>4</v>
      </c>
      <c r="B132" s="13">
        <v>1</v>
      </c>
      <c r="C132" s="5">
        <v>0</v>
      </c>
      <c r="D132" s="27">
        <v>57</v>
      </c>
      <c r="E132" s="1">
        <v>7</v>
      </c>
      <c r="F132" s="1">
        <v>0</v>
      </c>
      <c r="G132" s="6">
        <v>0</v>
      </c>
      <c r="H132" s="1">
        <f>SUM(C132:G132)</f>
        <v>64</v>
      </c>
      <c r="I132" s="10">
        <f>D132/H132</f>
        <v>0.890625</v>
      </c>
      <c r="J132" s="11">
        <f>1-I132</f>
        <v>0.109375</v>
      </c>
      <c r="K132">
        <f>H132-D136</f>
        <v>-204</v>
      </c>
      <c r="N132" s="10">
        <f>2*(D137*I132)/(D137+I132)</f>
        <v>0.34337349397590361</v>
      </c>
      <c r="O132" s="1"/>
      <c r="P132" s="1"/>
      <c r="S132" s="66" t="s">
        <v>51</v>
      </c>
      <c r="T132" s="67">
        <f>N334*100</f>
        <v>55.072463768115945</v>
      </c>
      <c r="U132" s="67">
        <f>N335*100</f>
        <v>44.357976653696504</v>
      </c>
      <c r="V132" s="67">
        <f>N336*100</f>
        <v>94.757281553398059</v>
      </c>
      <c r="W132" s="67">
        <f>N337*100</f>
        <v>81.112737920937036</v>
      </c>
      <c r="X132" s="67">
        <f>N338*100</f>
        <v>97.646469704556836</v>
      </c>
      <c r="AD132" s="51"/>
      <c r="AE132" s="51"/>
      <c r="AH132" s="78"/>
      <c r="AI132" s="78"/>
      <c r="AJ132" s="115" t="s">
        <v>375</v>
      </c>
      <c r="AK132" s="122" t="s">
        <v>9</v>
      </c>
      <c r="AL132" s="135">
        <v>0</v>
      </c>
      <c r="AM132" s="135">
        <v>12.41</v>
      </c>
      <c r="AN132" s="135">
        <v>1132.43</v>
      </c>
      <c r="AO132" s="135">
        <v>292.58</v>
      </c>
      <c r="AP132" s="135">
        <v>24.89</v>
      </c>
      <c r="AQ132" s="107"/>
      <c r="AR132" s="115" t="s">
        <v>36</v>
      </c>
      <c r="AS132" s="136">
        <f>SUM(AL132:AP132)</f>
        <v>1462.3100000000002</v>
      </c>
      <c r="AU132">
        <v>11</v>
      </c>
      <c r="AV132">
        <v>358</v>
      </c>
    </row>
    <row r="133" spans="1:48" x14ac:dyDescent="0.3">
      <c r="A133" t="s">
        <v>5</v>
      </c>
      <c r="B133" s="13">
        <v>2</v>
      </c>
      <c r="C133" s="5">
        <v>0</v>
      </c>
      <c r="D133" s="1">
        <v>0</v>
      </c>
      <c r="E133" s="27">
        <v>735</v>
      </c>
      <c r="F133" s="1">
        <v>13</v>
      </c>
      <c r="G133" s="6">
        <v>0</v>
      </c>
      <c r="H133" s="1">
        <f>SUM(C133:G133)</f>
        <v>748</v>
      </c>
      <c r="I133" s="10">
        <f>E133/H133</f>
        <v>0.98262032085561501</v>
      </c>
      <c r="J133" s="11">
        <f>1-I133</f>
        <v>1.7379679144384985E-2</v>
      </c>
      <c r="K133">
        <f>H133-E136</f>
        <v>-56</v>
      </c>
      <c r="N133" s="10">
        <f>2*(E137*I133)/(E137+I133)</f>
        <v>0.94716494845360832</v>
      </c>
      <c r="O133" s="1"/>
      <c r="P133" s="1"/>
      <c r="R133" s="16" t="s">
        <v>61</v>
      </c>
      <c r="S133" t="s">
        <v>9</v>
      </c>
      <c r="T133" s="30">
        <f>N345</f>
        <v>176.04</v>
      </c>
      <c r="U133" s="30">
        <f>N346</f>
        <v>776.73</v>
      </c>
      <c r="V133" s="30">
        <f>N347</f>
        <v>57779.63</v>
      </c>
      <c r="W133" s="30">
        <f>N348</f>
        <v>32093.67</v>
      </c>
      <c r="X133" s="30">
        <f>N349</f>
        <v>5714.08</v>
      </c>
      <c r="Z133" t="s">
        <v>36</v>
      </c>
      <c r="AA133" s="1">
        <f>N350</f>
        <v>96540.15</v>
      </c>
      <c r="AD133" s="51"/>
      <c r="AE133" s="51"/>
      <c r="AJ133" s="107"/>
      <c r="AK133" s="107" t="s">
        <v>367</v>
      </c>
      <c r="AL133" s="108">
        <f>(AL132/$AS132)*100</f>
        <v>0</v>
      </c>
      <c r="AM133" s="108">
        <f>(AM132/$AS132)*100</f>
        <v>0.84865726145618903</v>
      </c>
      <c r="AN133" s="108">
        <f>(AN132/$AS132)*100</f>
        <v>77.441171844547313</v>
      </c>
      <c r="AO133" s="108">
        <f>(AO132/$AS132)*100</f>
        <v>20.00806942440385</v>
      </c>
      <c r="AP133" s="108">
        <f>(AP132/$AS132)*100</f>
        <v>1.7021014695926306</v>
      </c>
      <c r="AQ133" s="107"/>
      <c r="AR133" s="107"/>
      <c r="AS133" s="141"/>
      <c r="AU133">
        <v>12</v>
      </c>
      <c r="AV133">
        <v>387</v>
      </c>
    </row>
    <row r="134" spans="1:48" ht="15.6" x14ac:dyDescent="0.35">
      <c r="A134" t="s">
        <v>6</v>
      </c>
      <c r="B134" s="13">
        <v>3</v>
      </c>
      <c r="C134" s="5">
        <v>0</v>
      </c>
      <c r="D134" s="1">
        <v>1</v>
      </c>
      <c r="E134" s="1">
        <v>60</v>
      </c>
      <c r="F134" s="27">
        <v>546</v>
      </c>
      <c r="G134" s="6">
        <v>11</v>
      </c>
      <c r="H134" s="1">
        <f>SUM(C134:G134)</f>
        <v>618</v>
      </c>
      <c r="I134" s="10">
        <f>F134/H134</f>
        <v>0.88349514563106801</v>
      </c>
      <c r="J134" s="11">
        <f>1-I134</f>
        <v>0.11650485436893199</v>
      </c>
      <c r="K134">
        <f>H134-F136</f>
        <v>8</v>
      </c>
      <c r="N134" s="10">
        <f>2*(F137*I134)/(F137+I134)</f>
        <v>0.88925081433224762</v>
      </c>
      <c r="O134" s="1"/>
      <c r="P134" s="1"/>
      <c r="R134" s="16" t="s">
        <v>318</v>
      </c>
      <c r="S134" t="s">
        <v>63</v>
      </c>
      <c r="T134" s="57">
        <f>$AA133*T126/100</f>
        <v>66.895199999999988</v>
      </c>
      <c r="U134" s="57">
        <f>$AA133*U126/100</f>
        <v>744.97835624999993</v>
      </c>
      <c r="V134" s="57">
        <f>$AA133*V126/100</f>
        <v>59548.102701649732</v>
      </c>
      <c r="W134" s="57">
        <f>$AA133*W126/100</f>
        <v>30187.744717990983</v>
      </c>
      <c r="X134" s="57">
        <f>$AA133*X126/100</f>
        <v>5992.4290241092722</v>
      </c>
      <c r="Z134" t="s">
        <v>36</v>
      </c>
      <c r="AA134" s="25">
        <f>SUM(T134:X134)</f>
        <v>96540.14999999998</v>
      </c>
      <c r="AD134" s="51"/>
      <c r="AE134" s="51"/>
      <c r="AH134" s="78"/>
      <c r="AI134" s="78"/>
      <c r="AJ134" s="115" t="s">
        <v>376</v>
      </c>
      <c r="AK134" s="122" t="s">
        <v>9</v>
      </c>
      <c r="AL134" s="135">
        <f>AVERAGE(AL216:AL235)</f>
        <v>0</v>
      </c>
      <c r="AM134" s="135">
        <f>AVERAGE(AM216:AM235)</f>
        <v>13.386499999999998</v>
      </c>
      <c r="AN134" s="135">
        <f>AVERAGE(AN216:AN235)</f>
        <v>1126.1655000000001</v>
      </c>
      <c r="AO134" s="139">
        <f>AVERAGE(AO216:AO235)</f>
        <v>296.73550000000006</v>
      </c>
      <c r="AP134" s="135">
        <f>AVERAGE(AP216:AP235)</f>
        <v>26.028499999999998</v>
      </c>
      <c r="AQ134" s="107"/>
      <c r="AR134" s="115" t="s">
        <v>36</v>
      </c>
      <c r="AS134" s="136">
        <f>SUM(AL134:AP134)</f>
        <v>1462.316</v>
      </c>
      <c r="AU134">
        <v>13</v>
      </c>
      <c r="AV134">
        <v>416</v>
      </c>
    </row>
    <row r="135" spans="1:48" x14ac:dyDescent="0.3">
      <c r="A135" t="s">
        <v>7</v>
      </c>
      <c r="B135" s="13">
        <v>4</v>
      </c>
      <c r="C135" s="7">
        <v>0</v>
      </c>
      <c r="D135" s="8">
        <v>0</v>
      </c>
      <c r="E135" s="8">
        <v>2</v>
      </c>
      <c r="F135" s="8">
        <v>46</v>
      </c>
      <c r="G135" s="28">
        <v>965</v>
      </c>
      <c r="H135" s="1">
        <f>SUM(C135:G135)</f>
        <v>1013</v>
      </c>
      <c r="I135" s="10">
        <f>G135/H135</f>
        <v>0.95261599210266534</v>
      </c>
      <c r="J135" s="11">
        <f>1-I135</f>
        <v>4.7384007897334657E-2</v>
      </c>
      <c r="K135">
        <f>H135-G136</f>
        <v>36</v>
      </c>
      <c r="N135" s="10">
        <f>2*(G137*I135)/(G137+I135)</f>
        <v>0.96984924623115576</v>
      </c>
      <c r="O135" s="1"/>
      <c r="P135" s="1"/>
      <c r="R135" s="66"/>
      <c r="S135" s="66" t="s">
        <v>62</v>
      </c>
      <c r="T135" s="67">
        <f>$AA133*T127/100</f>
        <v>4.028030460262185</v>
      </c>
      <c r="U135" s="67">
        <f>$AA133*U127/100</f>
        <v>30.541753372332813</v>
      </c>
      <c r="V135" s="67">
        <f>$AA133*V127/100</f>
        <v>481.40390064758969</v>
      </c>
      <c r="W135" s="67">
        <f>$AA133*W127/100</f>
        <v>493.51164684542562</v>
      </c>
      <c r="X135" s="67">
        <f>$AA133*X127/100</f>
        <v>168.57752222974614</v>
      </c>
      <c r="AA135" s="1"/>
      <c r="AD135" s="51"/>
      <c r="AE135" s="51"/>
      <c r="AJ135" s="107"/>
      <c r="AK135" s="128" t="s">
        <v>368</v>
      </c>
      <c r="AL135" s="125">
        <f>_xlfn.STDEV.S(AL216:AL235)/SQRT($AK$108)</f>
        <v>0</v>
      </c>
      <c r="AM135" s="125">
        <f>_xlfn.STDEV.S(AM216:AM235)/SQRT($AK$108)</f>
        <v>0.19041405714362244</v>
      </c>
      <c r="AN135" s="125">
        <f>_xlfn.STDEV.S(AN216:AN235)/SQRT($AK$108)</f>
        <v>0.61144672057773275</v>
      </c>
      <c r="AO135" s="125">
        <f>_xlfn.STDEV.S(AO216:AO235)/SQRT($AK$108)</f>
        <v>0.60647925941887204</v>
      </c>
      <c r="AP135" s="125">
        <f>_xlfn.STDEV.S(AP216:AP235)/SQRT($AK$108)</f>
        <v>0.41015996558467405</v>
      </c>
      <c r="AQ135" s="107"/>
      <c r="AR135" s="107"/>
      <c r="AS135" s="107"/>
      <c r="AU135">
        <v>14</v>
      </c>
      <c r="AV135">
        <v>445</v>
      </c>
    </row>
    <row r="136" spans="1:48" ht="15.6" x14ac:dyDescent="0.35">
      <c r="B136" s="1" t="s">
        <v>19</v>
      </c>
      <c r="C136" s="1">
        <f>SUM(C131:C135)</f>
        <v>234</v>
      </c>
      <c r="D136" s="1">
        <f>SUM(D131:D135)</f>
        <v>268</v>
      </c>
      <c r="E136" s="1">
        <f>SUM(E131:E135)</f>
        <v>804</v>
      </c>
      <c r="F136" s="1">
        <f>SUM(F131:F135)</f>
        <v>610</v>
      </c>
      <c r="G136" s="1">
        <f>SUM(G131:G135)</f>
        <v>977</v>
      </c>
      <c r="H136" s="1">
        <f>SUM(H130:H135)</f>
        <v>2893</v>
      </c>
      <c r="I136" s="13" t="s">
        <v>12</v>
      </c>
      <c r="N136" s="16"/>
      <c r="O136" s="1"/>
      <c r="P136" s="1"/>
      <c r="R136" t="s">
        <v>100</v>
      </c>
      <c r="S136" t="s">
        <v>28</v>
      </c>
      <c r="T136" s="57">
        <f>C379</f>
        <v>8.6946415558707954E-2</v>
      </c>
      <c r="U136" s="57">
        <f t="shared" ref="U136:X139" si="22">D379</f>
        <v>0.98393829928000165</v>
      </c>
      <c r="V136" s="57">
        <f t="shared" si="22"/>
        <v>61.585929779858731</v>
      </c>
      <c r="W136" s="57">
        <f t="shared" si="22"/>
        <v>30.928877060707418</v>
      </c>
      <c r="X136" s="57">
        <f t="shared" si="22"/>
        <v>6.4143084445951528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</row>
    <row r="137" spans="1:48" x14ac:dyDescent="0.3">
      <c r="A137" s="1" t="s">
        <v>316</v>
      </c>
      <c r="B137" s="1" t="s">
        <v>2</v>
      </c>
      <c r="C137" s="10">
        <f>C131/C136</f>
        <v>1</v>
      </c>
      <c r="D137" s="10">
        <f>D132/D136</f>
        <v>0.21268656716417911</v>
      </c>
      <c r="E137" s="10">
        <f>E133/E136</f>
        <v>0.91417910447761197</v>
      </c>
      <c r="F137" s="10">
        <f>F134/F136</f>
        <v>0.89508196721311473</v>
      </c>
      <c r="G137" s="10">
        <f>G135/G136</f>
        <v>0.9877175025588536</v>
      </c>
      <c r="H137" s="10"/>
      <c r="I137" s="14">
        <f>(C131+D132+E133+F134+G135)/H136</f>
        <v>0.87694434842723812</v>
      </c>
      <c r="S137" s="66" t="s">
        <v>39</v>
      </c>
      <c r="T137" s="67">
        <f>C380</f>
        <v>4.6031565818566052E-3</v>
      </c>
      <c r="U137" s="67">
        <f t="shared" si="22"/>
        <v>8.0005818098789566E-2</v>
      </c>
      <c r="V137" s="67">
        <f t="shared" si="22"/>
        <v>0.45048820195000638</v>
      </c>
      <c r="W137" s="67">
        <f t="shared" si="22"/>
        <v>0.46857376170581255</v>
      </c>
      <c r="X137" s="67">
        <f t="shared" si="22"/>
        <v>0.20584559430184377</v>
      </c>
      <c r="AD137" s="51"/>
      <c r="AE137" s="51"/>
      <c r="AU137">
        <v>16</v>
      </c>
      <c r="AV137">
        <v>503</v>
      </c>
    </row>
    <row r="138" spans="1:48" x14ac:dyDescent="0.3">
      <c r="B138" s="1" t="s">
        <v>14</v>
      </c>
      <c r="C138" s="11">
        <f>1-C137</f>
        <v>0</v>
      </c>
      <c r="D138" s="11">
        <f>1-D137</f>
        <v>0.78731343283582089</v>
      </c>
      <c r="E138" s="11">
        <f>1-E137</f>
        <v>8.582089552238803E-2</v>
      </c>
      <c r="F138" s="11">
        <f>1-F137</f>
        <v>0.10491803278688527</v>
      </c>
      <c r="G138" s="11">
        <f>1-G137</f>
        <v>1.2282497441146401E-2</v>
      </c>
      <c r="S138" t="s">
        <v>30</v>
      </c>
      <c r="T138" s="57">
        <f>C381</f>
        <v>100</v>
      </c>
      <c r="U138" s="57">
        <f t="shared" si="22"/>
        <v>82.564344363863782</v>
      </c>
      <c r="V138" s="57">
        <f t="shared" si="22"/>
        <v>95.746468247398781</v>
      </c>
      <c r="W138" s="57">
        <f t="shared" si="22"/>
        <v>96.424410325314952</v>
      </c>
      <c r="X138" s="57">
        <f t="shared" si="22"/>
        <v>89.169576135289702</v>
      </c>
      <c r="AA138" s="54"/>
      <c r="AD138" s="51"/>
      <c r="AE138" s="51"/>
      <c r="AH138" s="78"/>
      <c r="AI138" s="78"/>
      <c r="AU138">
        <v>17</v>
      </c>
      <c r="AV138">
        <v>532</v>
      </c>
    </row>
    <row r="139" spans="1:48" x14ac:dyDescent="0.3">
      <c r="C139" s="2"/>
      <c r="S139" s="66" t="s">
        <v>39</v>
      </c>
      <c r="T139" s="67">
        <f>C382</f>
        <v>0</v>
      </c>
      <c r="U139" s="67">
        <f t="shared" si="22"/>
        <v>7.8882668078379021</v>
      </c>
      <c r="V139" s="67">
        <f t="shared" si="22"/>
        <v>0.58655674130854296</v>
      </c>
      <c r="W139" s="67">
        <f t="shared" si="22"/>
        <v>0.91538632865664327</v>
      </c>
      <c r="X139" s="67">
        <f t="shared" si="22"/>
        <v>2.8872024032187009</v>
      </c>
      <c r="AD139" s="51"/>
      <c r="AE139" s="51"/>
      <c r="AU139">
        <v>18</v>
      </c>
      <c r="AV139">
        <v>561</v>
      </c>
    </row>
    <row r="140" spans="1:48" ht="15.6" x14ac:dyDescent="0.35">
      <c r="A140" t="s">
        <v>317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44.222222222222221</v>
      </c>
      <c r="U140" s="57">
        <f>I375</f>
        <v>93.75</v>
      </c>
      <c r="V140" s="57">
        <f>I376</f>
        <v>98.395721925133699</v>
      </c>
      <c r="W140" s="57">
        <f>I377</f>
        <v>90.291262135922338</v>
      </c>
      <c r="X140" s="57">
        <f>I378</f>
        <v>95.656465942744319</v>
      </c>
      <c r="AD140" s="51"/>
      <c r="AE140" s="51"/>
      <c r="AH140" s="78"/>
      <c r="AI140" s="78"/>
      <c r="AU140">
        <v>19</v>
      </c>
      <c r="AV140">
        <v>590</v>
      </c>
    </row>
    <row r="141" spans="1:48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2.3438386670150089</v>
      </c>
      <c r="U141" s="67">
        <f>J375</f>
        <v>3.0496877279641659</v>
      </c>
      <c r="V141" s="67">
        <f>J376</f>
        <v>0.45969272570756609</v>
      </c>
      <c r="W141" s="67">
        <f>J377</f>
        <v>1.1919599616740577</v>
      </c>
      <c r="X141" s="67">
        <f>J378</f>
        <v>0.64074986765833819</v>
      </c>
      <c r="AD141" s="51"/>
      <c r="AE141" s="51"/>
    </row>
    <row r="142" spans="1:48" x14ac:dyDescent="0.3">
      <c r="A142" t="s">
        <v>3</v>
      </c>
      <c r="B142" s="13">
        <v>0</v>
      </c>
      <c r="C142" s="29">
        <f>(C131/$L142)*$O142</f>
        <v>0.10605741693405109</v>
      </c>
      <c r="D142" s="31">
        <f>(D131/$L142)*$O142</f>
        <v>9.5179733145943274E-2</v>
      </c>
      <c r="E142" s="31">
        <f>(E131/$L142)*$O142</f>
        <v>0</v>
      </c>
      <c r="F142" s="31">
        <f>(F131/$L142)*$O142</f>
        <v>2.2661841225224588E-3</v>
      </c>
      <c r="G142" s="32">
        <f>(G131/$L142)*$O142</f>
        <v>4.5323682450449179E-4</v>
      </c>
      <c r="H142" s="17">
        <f>SUM(C142:G142)</f>
        <v>0.20395657102702133</v>
      </c>
      <c r="I142" s="17">
        <f>C142/H142*100</f>
        <v>52</v>
      </c>
      <c r="J142" s="17">
        <f>SQRT(I142*(100-I142)/(L142-1))</f>
        <v>2.3577574185109524</v>
      </c>
      <c r="K142" s="18">
        <f>100-I142</f>
        <v>48</v>
      </c>
      <c r="L142" s="1">
        <f>H131</f>
        <v>450</v>
      </c>
      <c r="M142">
        <v>0</v>
      </c>
      <c r="N142" s="1">
        <v>196.9</v>
      </c>
      <c r="O142" s="17">
        <f>N142/N147*100</f>
        <v>0.20395657102702131</v>
      </c>
      <c r="P142" s="52">
        <f>((O142*O142*(I142/100)*(K142/100))/(L142-1))</f>
        <v>2.3124568826568053E-5</v>
      </c>
      <c r="S142" s="66" t="s">
        <v>51</v>
      </c>
      <c r="T142" s="67">
        <f>N363*100</f>
        <v>61.325115562403695</v>
      </c>
      <c r="U142" s="67">
        <f>N364*100</f>
        <v>43.79562043795621</v>
      </c>
      <c r="V142" s="67">
        <f>N365*100</f>
        <v>95.833333333333343</v>
      </c>
      <c r="W142" s="67">
        <f>N366*100</f>
        <v>83.720930232558132</v>
      </c>
      <c r="X142" s="67">
        <f>N367*100</f>
        <v>97.191574724172526</v>
      </c>
      <c r="AD142" s="51"/>
      <c r="AE142" s="51"/>
      <c r="AH142" s="78"/>
      <c r="AI142" s="78"/>
    </row>
    <row r="143" spans="1:48" x14ac:dyDescent="0.3">
      <c r="A143" t="s">
        <v>4</v>
      </c>
      <c r="B143" s="13">
        <v>1</v>
      </c>
      <c r="C143" s="33">
        <f t="shared" ref="C143:G146" si="23">(C132/$L143)*$O143</f>
        <v>0</v>
      </c>
      <c r="D143" s="34">
        <f t="shared" si="23"/>
        <v>0.73069137755727764</v>
      </c>
      <c r="E143" s="19">
        <f t="shared" si="23"/>
        <v>8.9734028822823567E-2</v>
      </c>
      <c r="F143" s="18">
        <f t="shared" si="23"/>
        <v>0</v>
      </c>
      <c r="G143" s="20">
        <f t="shared" si="23"/>
        <v>0</v>
      </c>
      <c r="H143" s="17">
        <f>SUM(C143:G143)</f>
        <v>0.8204254063801012</v>
      </c>
      <c r="I143" s="17">
        <f>D143/H143*100</f>
        <v>89.0625</v>
      </c>
      <c r="J143" s="17">
        <f>SQRT(I143*(100-I143)/(L143-1))</f>
        <v>3.9322054350368489</v>
      </c>
      <c r="K143" s="18">
        <f>100-I143</f>
        <v>10.9375</v>
      </c>
      <c r="L143" s="1">
        <f>H132</f>
        <v>64</v>
      </c>
      <c r="M143">
        <v>1</v>
      </c>
      <c r="N143" s="1">
        <v>792.04</v>
      </c>
      <c r="O143" s="17">
        <f>N143/N147*100</f>
        <v>0.8204254063801012</v>
      </c>
      <c r="P143" s="52">
        <f>((O143*O143*(I143/100)*(K143/100))/(L143-1))</f>
        <v>1.0407600180049748E-3</v>
      </c>
      <c r="R143" s="16" t="s">
        <v>61</v>
      </c>
      <c r="S143" t="s">
        <v>9</v>
      </c>
      <c r="T143" s="30">
        <f>N374</f>
        <v>189.81</v>
      </c>
      <c r="U143" s="30">
        <f>N375</f>
        <v>836.56</v>
      </c>
      <c r="V143" s="30">
        <f>N376</f>
        <v>57854.35</v>
      </c>
      <c r="W143" s="30">
        <f>N377</f>
        <v>31886.98</v>
      </c>
      <c r="X143" s="30">
        <f>N378</f>
        <v>5772.45</v>
      </c>
      <c r="Z143" t="s">
        <v>36</v>
      </c>
      <c r="AA143" s="1">
        <f>N379</f>
        <v>96540.15</v>
      </c>
      <c r="AD143" s="51"/>
      <c r="AE143" s="51"/>
    </row>
    <row r="144" spans="1:48" ht="15.6" x14ac:dyDescent="0.35">
      <c r="A144" t="s">
        <v>5</v>
      </c>
      <c r="B144" s="13">
        <v>2</v>
      </c>
      <c r="C144" s="33">
        <f t="shared" si="23"/>
        <v>0</v>
      </c>
      <c r="D144" s="19">
        <f t="shared" si="23"/>
        <v>0</v>
      </c>
      <c r="E144" s="34">
        <f t="shared" si="23"/>
        <v>58.73297373671415</v>
      </c>
      <c r="F144" s="19">
        <f t="shared" si="23"/>
        <v>1.0388145014656924</v>
      </c>
      <c r="G144" s="20">
        <f t="shared" si="23"/>
        <v>0</v>
      </c>
      <c r="H144" s="17">
        <f>SUM(C144:G144)</f>
        <v>59.771788238179845</v>
      </c>
      <c r="I144" s="17">
        <f>E144/H144*100</f>
        <v>98.262032085561486</v>
      </c>
      <c r="J144" s="17">
        <f>SQRT(I144*(100-I144)/(L144-1))</f>
        <v>0.47813820512740307</v>
      </c>
      <c r="K144" s="18">
        <f>100-I144</f>
        <v>1.7379679144385136</v>
      </c>
      <c r="L144" s="1">
        <f>H133</f>
        <v>748</v>
      </c>
      <c r="M144">
        <v>2</v>
      </c>
      <c r="N144" s="1">
        <v>57703.78</v>
      </c>
      <c r="O144" s="17">
        <f>N144/N147*100</f>
        <v>59.771788238179838</v>
      </c>
      <c r="P144" s="52">
        <f>((O144*O144*(I144/100)*(K144/100))/(L144-1))</f>
        <v>8.1676927485813511E-2</v>
      </c>
      <c r="R144" s="16" t="s">
        <v>318</v>
      </c>
      <c r="S144" t="s">
        <v>63</v>
      </c>
      <c r="T144" s="57">
        <f>$AA143*T136/100</f>
        <v>83.938199999999995</v>
      </c>
      <c r="U144" s="57">
        <f>$AA143*U136/100</f>
        <v>949.89551003236249</v>
      </c>
      <c r="V144" s="57">
        <f>$AA143*V136/100</f>
        <v>59455.148988370282</v>
      </c>
      <c r="W144" s="57">
        <f>$AA143*W136/100</f>
        <v>29858.78430772253</v>
      </c>
      <c r="X144" s="57">
        <f>$AA143*X136/100</f>
        <v>6192.3829938748268</v>
      </c>
      <c r="Z144" t="s">
        <v>36</v>
      </c>
      <c r="AA144" s="25">
        <f>SUM(T144:X144)</f>
        <v>96540.15</v>
      </c>
      <c r="AD144" s="51"/>
      <c r="AE144" s="51"/>
      <c r="AH144" s="78"/>
      <c r="AI144" s="78"/>
    </row>
    <row r="145" spans="1:35" x14ac:dyDescent="0.3">
      <c r="A145" t="s">
        <v>6</v>
      </c>
      <c r="B145" s="13">
        <v>3</v>
      </c>
      <c r="C145" s="33">
        <f t="shared" si="23"/>
        <v>0</v>
      </c>
      <c r="D145" s="19">
        <f t="shared" si="23"/>
        <v>5.3814970114434438E-2</v>
      </c>
      <c r="E145" s="19">
        <f t="shared" si="23"/>
        <v>3.2288982068660661</v>
      </c>
      <c r="F145" s="34">
        <f t="shared" si="23"/>
        <v>29.382973682481204</v>
      </c>
      <c r="G145" s="20">
        <f t="shared" si="23"/>
        <v>0.59196467125877883</v>
      </c>
      <c r="H145" s="17">
        <f>SUM(C145:G145)</f>
        <v>33.25765153072048</v>
      </c>
      <c r="I145" s="17">
        <f>F145/H145*100</f>
        <v>88.349514563106794</v>
      </c>
      <c r="J145" s="17">
        <f>SQRT(I145*(100-I145)/(L145-1))</f>
        <v>1.2916103380803661</v>
      </c>
      <c r="K145" s="18">
        <f>100-I145</f>
        <v>11.650485436893206</v>
      </c>
      <c r="L145" s="1">
        <f>H134</f>
        <v>618</v>
      </c>
      <c r="M145">
        <v>3</v>
      </c>
      <c r="N145" s="1">
        <v>32106.99</v>
      </c>
      <c r="O145" s="17">
        <f>N145/N147*100</f>
        <v>33.25765153072048</v>
      </c>
      <c r="P145" s="52">
        <f>((O145*O145*(I145/100)*(K145/100))/(L145-1))</f>
        <v>0.18452116246824576</v>
      </c>
      <c r="R145" s="66"/>
      <c r="S145" s="66" t="s">
        <v>62</v>
      </c>
      <c r="T145" s="67">
        <f>$AA143*T137/100</f>
        <v>4.4438942688592391</v>
      </c>
      <c r="U145" s="67">
        <f>$AA143*U137/100</f>
        <v>77.237736801298581</v>
      </c>
      <c r="V145" s="67">
        <f>$AA143*V137/100</f>
        <v>434.90198589483907</v>
      </c>
      <c r="W145" s="67">
        <f>$AA143*W137/100</f>
        <v>452.36181241143402</v>
      </c>
      <c r="X145" s="67">
        <f>$AA143*X137/100</f>
        <v>198.72364550739141</v>
      </c>
      <c r="AA145" s="1"/>
      <c r="AD145" s="51"/>
      <c r="AE145" s="51"/>
    </row>
    <row r="146" spans="1:35" x14ac:dyDescent="0.3">
      <c r="A146" t="s">
        <v>7</v>
      </c>
      <c r="B146" s="13">
        <v>4</v>
      </c>
      <c r="C146" s="35">
        <f t="shared" si="23"/>
        <v>0</v>
      </c>
      <c r="D146" s="36">
        <f t="shared" si="23"/>
        <v>0</v>
      </c>
      <c r="E146" s="21">
        <f t="shared" si="23"/>
        <v>1.1739739888830317E-2</v>
      </c>
      <c r="F146" s="21">
        <f t="shared" si="23"/>
        <v>0.27001401744309733</v>
      </c>
      <c r="G146" s="37">
        <f t="shared" si="23"/>
        <v>5.6644244963606285</v>
      </c>
      <c r="H146" s="17">
        <f>SUM(C146:G146)</f>
        <v>5.9461782536925565</v>
      </c>
      <c r="I146" s="17">
        <f>G146/H146*100</f>
        <v>95.261599210266539</v>
      </c>
      <c r="J146" s="17">
        <f>SQRT(I146*(100-I146)/(L146-1))</f>
        <v>0.66785867843198421</v>
      </c>
      <c r="K146" s="18">
        <f>100-I146</f>
        <v>4.7384007897334612</v>
      </c>
      <c r="L146" s="1">
        <f>H135</f>
        <v>1013</v>
      </c>
      <c r="M146">
        <v>4</v>
      </c>
      <c r="N146" s="1">
        <v>5740.45</v>
      </c>
      <c r="O146" s="17">
        <f>N146/N147*100</f>
        <v>5.9461782536925565</v>
      </c>
      <c r="P146" s="52">
        <f>((O146*O146*(I146/100)*(K146/100))/(L146-1))</f>
        <v>1.5770483053089111E-3</v>
      </c>
      <c r="R146" t="s">
        <v>101</v>
      </c>
      <c r="S146" t="s">
        <v>28</v>
      </c>
      <c r="T146" s="57">
        <f>C408</f>
        <v>0.12672022825641796</v>
      </c>
      <c r="U146" s="57">
        <f t="shared" ref="U146:X149" si="24">D408</f>
        <v>0.74123453087640767</v>
      </c>
      <c r="V146" s="57">
        <f t="shared" si="24"/>
        <v>61.403214528994802</v>
      </c>
      <c r="W146" s="57">
        <f t="shared" si="24"/>
        <v>31.254715124908937</v>
      </c>
      <c r="X146" s="57">
        <f t="shared" si="24"/>
        <v>6.474115586963447</v>
      </c>
      <c r="Y146" s="60"/>
      <c r="Z146" s="74"/>
      <c r="AA146" s="12"/>
      <c r="AD146" s="51"/>
      <c r="AE146" s="51"/>
      <c r="AH146" s="78"/>
      <c r="AI146" s="78"/>
    </row>
    <row r="147" spans="1:35" x14ac:dyDescent="0.3">
      <c r="B147" t="s">
        <v>28</v>
      </c>
      <c r="C147" s="17">
        <f t="shared" ref="C147:H147" si="25">SUM(C142:C146)</f>
        <v>0.10605741693405109</v>
      </c>
      <c r="D147" s="17">
        <f t="shared" si="25"/>
        <v>0.87968608081765542</v>
      </c>
      <c r="E147" s="17">
        <f t="shared" si="25"/>
        <v>62.06334571229187</v>
      </c>
      <c r="F147" s="17">
        <f t="shared" si="25"/>
        <v>30.694068385512516</v>
      </c>
      <c r="G147" s="17">
        <f t="shared" si="25"/>
        <v>6.2568424044439119</v>
      </c>
      <c r="H147" s="18">
        <f t="shared" si="25"/>
        <v>100</v>
      </c>
      <c r="I147" s="13" t="s">
        <v>24</v>
      </c>
      <c r="J147" s="12" t="s">
        <v>29</v>
      </c>
      <c r="N147" s="1">
        <f>SUM(N142:N146)</f>
        <v>96540.160000000003</v>
      </c>
      <c r="O147" s="17">
        <f>SUM(O142:O146)</f>
        <v>100</v>
      </c>
      <c r="S147" s="66" t="s">
        <v>39</v>
      </c>
      <c r="T147" s="67">
        <f>C409</f>
        <v>5.037123727985612E-3</v>
      </c>
      <c r="U147" s="67">
        <f t="shared" si="24"/>
        <v>3.0898162923303902E-2</v>
      </c>
      <c r="V147" s="67">
        <f t="shared" si="24"/>
        <v>0.47265430945282277</v>
      </c>
      <c r="W147" s="67">
        <f t="shared" si="24"/>
        <v>0.48863615026442264</v>
      </c>
      <c r="X147" s="67">
        <f t="shared" si="24"/>
        <v>0.18221787381636217</v>
      </c>
      <c r="AD147" s="51"/>
      <c r="AE147" s="51"/>
    </row>
    <row r="148" spans="1:35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4.8034550998049671E-3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6.2760420886085258E-2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0.48944240419558066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0.51701480559525892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0.18128770335279312</v>
      </c>
      <c r="H148" s="1"/>
      <c r="I148" s="56">
        <f>(C142+D143+E144+F145+G146)/H147</f>
        <v>0.94617120710047298</v>
      </c>
      <c r="J148" s="53">
        <f>SQRT(SUM(P142:P146))/100</f>
        <v>5.1849688798121032E-3</v>
      </c>
      <c r="M148" s="1"/>
      <c r="N148" s="9"/>
      <c r="S148" t="s">
        <v>30</v>
      </c>
      <c r="T148" s="57">
        <f>C410</f>
        <v>100</v>
      </c>
      <c r="U148" s="57">
        <f t="shared" si="24"/>
        <v>94.344723966478654</v>
      </c>
      <c r="V148" s="57">
        <f t="shared" si="24"/>
        <v>95.380324510712214</v>
      </c>
      <c r="W148" s="57">
        <f t="shared" si="24"/>
        <v>95.87046872022178</v>
      </c>
      <c r="X148" s="57">
        <f t="shared" si="24"/>
        <v>91.295122790226202</v>
      </c>
      <c r="AD148" s="51"/>
      <c r="AE148" s="51"/>
      <c r="AH148" s="78"/>
      <c r="AI148" s="78"/>
    </row>
    <row r="149" spans="1:35" x14ac:dyDescent="0.3">
      <c r="B149" s="1" t="s">
        <v>30</v>
      </c>
      <c r="C149" s="17">
        <f>C142/C147*100</f>
        <v>100</v>
      </c>
      <c r="D149" s="17">
        <f>D143/D147*100</f>
        <v>83.062741754207437</v>
      </c>
      <c r="E149" s="17">
        <f>E144/E147*100</f>
        <v>94.633914853678064</v>
      </c>
      <c r="F149" s="17">
        <f>F145/F147*100</f>
        <v>95.72850791050513</v>
      </c>
      <c r="G149" s="17">
        <f>G146/G147*100</f>
        <v>90.531679243470791</v>
      </c>
      <c r="H149" s="1"/>
      <c r="S149" s="66" t="s">
        <v>39</v>
      </c>
      <c r="T149" s="67">
        <f>C411</f>
        <v>0</v>
      </c>
      <c r="U149" s="67">
        <f t="shared" si="24"/>
        <v>2.4111559378522913</v>
      </c>
      <c r="V149" s="67">
        <f t="shared" si="24"/>
        <v>0.61493021565677886</v>
      </c>
      <c r="W149" s="67">
        <f t="shared" si="24"/>
        <v>1.0251203022200057</v>
      </c>
      <c r="X149" s="67">
        <f t="shared" si="24"/>
        <v>2.5670646233808121</v>
      </c>
      <c r="AD149" s="51"/>
      <c r="AE149" s="51"/>
    </row>
    <row r="150" spans="1:35" x14ac:dyDescent="0.3">
      <c r="B150" s="16" t="s">
        <v>39</v>
      </c>
      <c r="C150" s="18">
        <f>SQRT((C153+C154)/(C147*C147))</f>
        <v>0</v>
      </c>
      <c r="D150" s="18">
        <f>SQRT((D153+D154)/(D147*D147))</f>
        <v>8.0378918925555229</v>
      </c>
      <c r="E150" s="18">
        <f>SQRT((E153+E154)/(E147*E147))</f>
        <v>0.65498503831449184</v>
      </c>
      <c r="F150" s="18">
        <f>SQRT((F153+F154)/(F147*F147))</f>
        <v>1.0800717870635026</v>
      </c>
      <c r="G150" s="18">
        <f>SQRT((G153+G154)/(G147*G147))</f>
        <v>2.6310712794689053</v>
      </c>
      <c r="H150" s="1"/>
      <c r="S150" s="15" t="s">
        <v>31</v>
      </c>
      <c r="T150" s="71">
        <f>I403</f>
        <v>58.444444444444443</v>
      </c>
      <c r="U150" s="71">
        <f>I404</f>
        <v>89.0625</v>
      </c>
      <c r="V150" s="71">
        <f>I405</f>
        <v>98.128342245989302</v>
      </c>
      <c r="W150" s="71">
        <f>I406</f>
        <v>90.291262135922338</v>
      </c>
      <c r="X150" s="71">
        <f>I407</f>
        <v>96.446199407699893</v>
      </c>
      <c r="AD150" s="51"/>
      <c r="AE150" s="51"/>
      <c r="AH150" s="78"/>
      <c r="AI150" s="78"/>
    </row>
    <row r="151" spans="1:35" x14ac:dyDescent="0.3">
      <c r="B151" s="1" t="s">
        <v>37</v>
      </c>
      <c r="C151" s="18">
        <f>100-C149</f>
        <v>0</v>
      </c>
      <c r="D151" s="18">
        <f>100-D149</f>
        <v>16.937258245792563</v>
      </c>
      <c r="E151" s="18">
        <f>100-E149</f>
        <v>5.3660851463219359</v>
      </c>
      <c r="F151" s="18">
        <f>100-F149</f>
        <v>4.2714920894948705</v>
      </c>
      <c r="G151" s="18">
        <f>100-G149</f>
        <v>9.4683207565292093</v>
      </c>
      <c r="S151" s="75" t="s">
        <v>39</v>
      </c>
      <c r="T151" s="76">
        <f>J403</f>
        <v>2.3257498051073755</v>
      </c>
      <c r="U151" s="76">
        <f>J404</f>
        <v>3.9322054350368489</v>
      </c>
      <c r="V151" s="76">
        <f>J405</f>
        <v>0.49584980756665031</v>
      </c>
      <c r="W151" s="76">
        <f>J406</f>
        <v>1.1919599616740577</v>
      </c>
      <c r="X151" s="76">
        <f>J407</f>
        <v>0.58196763198993329</v>
      </c>
      <c r="AD151" s="51"/>
      <c r="AE151" s="51"/>
    </row>
    <row r="152" spans="1:35" ht="15.6" x14ac:dyDescent="0.35">
      <c r="B152" s="1" t="s">
        <v>25</v>
      </c>
      <c r="C152" s="1">
        <f>C136</f>
        <v>234</v>
      </c>
      <c r="D152" s="1">
        <f>D136</f>
        <v>268</v>
      </c>
      <c r="E152" s="1">
        <f>E136</f>
        <v>804</v>
      </c>
      <c r="F152" s="1">
        <f>F136</f>
        <v>610</v>
      </c>
      <c r="G152" s="1">
        <f>G136</f>
        <v>977</v>
      </c>
      <c r="S152" s="66" t="s">
        <v>51</v>
      </c>
      <c r="T152" s="67">
        <f>N392*100</f>
        <v>73.772791023842927</v>
      </c>
      <c r="U152" s="67">
        <f>N393*100</f>
        <v>54.807692307692314</v>
      </c>
      <c r="V152" s="67">
        <f>N394*100</f>
        <v>95.201037613488964</v>
      </c>
      <c r="W152" s="67">
        <f>N395*100</f>
        <v>84.41754916792739</v>
      </c>
      <c r="X152" s="67">
        <f>N396*100</f>
        <v>97.651174412793608</v>
      </c>
      <c r="AD152" s="51"/>
      <c r="AE152" s="51"/>
      <c r="AH152" s="78"/>
      <c r="AI152" s="78"/>
    </row>
    <row r="153" spans="1:35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29.856357246998723</v>
      </c>
      <c r="E153" s="18">
        <f>(O144*O144*(100-E149)*(100-E149)*(I144)*(100-I144))/((L144-1)*100)</f>
        <v>235.18764924201312</v>
      </c>
      <c r="F153" s="18">
        <f>(O145*O145*(100-F149)*(100-F149)*(I145)*(100-I145))/((L145-1)*100)</f>
        <v>336.67075646048488</v>
      </c>
      <c r="G153" s="18">
        <f>(O146*O146*(100-G149)*(100-G149)*(I146)*(100-I146))/((L146-1)*100)</f>
        <v>14.138095799218897</v>
      </c>
      <c r="R153" s="16" t="s">
        <v>61</v>
      </c>
      <c r="S153" t="s">
        <v>9</v>
      </c>
      <c r="T153" s="30">
        <f>N403</f>
        <v>209.32</v>
      </c>
      <c r="U153" s="30">
        <f>N404</f>
        <v>758.03</v>
      </c>
      <c r="V153" s="30">
        <f>N405</f>
        <v>57618.7</v>
      </c>
      <c r="W153" s="30">
        <f>N406</f>
        <v>32037.8</v>
      </c>
      <c r="X153" s="30">
        <f>N407</f>
        <v>5916.31</v>
      </c>
      <c r="Z153" t="s">
        <v>36</v>
      </c>
      <c r="AA153" s="1">
        <f>N408</f>
        <v>96540.159999999989</v>
      </c>
      <c r="AD153" s="51"/>
      <c r="AE153" s="51"/>
    </row>
    <row r="154" spans="1:35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20.140161092409958</v>
      </c>
      <c r="E154" s="18">
        <f>E149*E149*(SUM((H142*E142*(1-E131/H131))/(H131-1),(H143*E143*(1-E132/H132))/(H132-1), (H145*E145*(1-E134/H134))/(H134-1),(H146*E146*(1-E135/H135))/(H135-1)))</f>
        <v>1417.2806123481705</v>
      </c>
      <c r="F154" s="18">
        <f>F149*F149*(SUM((H142*F142*(1-F131/H131))/(H131-1),(H143*F143*(1-F132/H132))/(H132-1), (H144*F144*(1-F133/H133))/(H133-1),(H146*F146*(1-F135/H135))/(H135-1)))</f>
        <v>762.37090732152649</v>
      </c>
      <c r="G154" s="18">
        <f>G149*G149*(SUM((H142*G142*(1-G131/H131))/(H131-1),(H143*G143*(1-G132/H132))/(H132-1), (H144*G144*(1-G133/H133))/(H133-1),(H145*G145*(1-G134/H134))/(H134-1)))</f>
        <v>256.86587873183936</v>
      </c>
      <c r="R154" s="16" t="s">
        <v>318</v>
      </c>
      <c r="S154" t="s">
        <v>63</v>
      </c>
      <c r="T154" s="57">
        <f>$AA153*T146/100</f>
        <v>122.33591111111109</v>
      </c>
      <c r="U154" s="57">
        <f>$AA153*U146/100</f>
        <v>715.5890020833333</v>
      </c>
      <c r="V154" s="57">
        <f>$AA153*V146/100</f>
        <v>59278.761551434814</v>
      </c>
      <c r="W154" s="57">
        <f>$AA153*W146/100</f>
        <v>30173.351989131286</v>
      </c>
      <c r="X154" s="57">
        <f>$AA153*X146/100</f>
        <v>6250.1215462394503</v>
      </c>
      <c r="Z154" t="s">
        <v>36</v>
      </c>
      <c r="AA154" s="25">
        <f>SUM(T154:X154)</f>
        <v>96540.159999999989</v>
      </c>
      <c r="AD154" s="51"/>
      <c r="AE154" s="51"/>
      <c r="AH154" s="78"/>
      <c r="AI154" s="78"/>
    </row>
    <row r="155" spans="1:35" x14ac:dyDescent="0.3">
      <c r="R155" s="66"/>
      <c r="S155" s="66" t="s">
        <v>62</v>
      </c>
      <c r="T155" s="67">
        <f>$AA153*T147/100</f>
        <v>4.862847306395274</v>
      </c>
      <c r="U155" s="67">
        <f>$AA153*U147/100</f>
        <v>29.82913592321826</v>
      </c>
      <c r="V155" s="67">
        <f>$AA153*V147/100</f>
        <v>456.30122659265021</v>
      </c>
      <c r="W155" s="67">
        <f>$AA153*W147/100</f>
        <v>471.73012128311399</v>
      </c>
      <c r="X155" s="67">
        <f>$AA153*X147/100</f>
        <v>175.91342693091414</v>
      </c>
      <c r="AA155" s="1"/>
      <c r="AD155" s="51"/>
      <c r="AE155" s="51"/>
    </row>
    <row r="156" spans="1:35" x14ac:dyDescent="0.3">
      <c r="R156" t="s">
        <v>102</v>
      </c>
      <c r="S156" t="s">
        <v>28</v>
      </c>
      <c r="T156" s="57">
        <f>C437</f>
        <v>8.1741465424834486E-2</v>
      </c>
      <c r="U156" s="57">
        <f t="shared" ref="U156:X159" si="26">D437</f>
        <v>0.87082083536828248</v>
      </c>
      <c r="V156" s="57">
        <f t="shared" si="26"/>
        <v>62.099813843839449</v>
      </c>
      <c r="W156" s="57">
        <f t="shared" si="26"/>
        <v>30.579120471698154</v>
      </c>
      <c r="X156" s="57">
        <f t="shared" si="26"/>
        <v>6.3685033836692906</v>
      </c>
      <c r="Z156" s="74"/>
      <c r="AA156" s="12"/>
      <c r="AD156" s="51"/>
      <c r="AE156" s="51"/>
      <c r="AH156" s="78"/>
      <c r="AI156" s="78"/>
    </row>
    <row r="157" spans="1:35" x14ac:dyDescent="0.3">
      <c r="A157" s="348" t="s">
        <v>386</v>
      </c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 t="s">
        <v>78</v>
      </c>
      <c r="M157" s="348"/>
      <c r="N157" s="348"/>
      <c r="O157" s="348"/>
      <c r="P157" s="348"/>
      <c r="S157" s="66" t="s">
        <v>39</v>
      </c>
      <c r="T157" s="67">
        <f>C438</f>
        <v>4.5076069092715738E-3</v>
      </c>
      <c r="U157" s="67">
        <f t="shared" si="26"/>
        <v>6.0709555729323864E-2</v>
      </c>
      <c r="V157" s="67">
        <f t="shared" si="26"/>
        <v>0.496807637256928</v>
      </c>
      <c r="W157" s="67">
        <f t="shared" si="26"/>
        <v>0.51335341723051719</v>
      </c>
      <c r="X157" s="67">
        <f t="shared" si="26"/>
        <v>0.18126446918918065</v>
      </c>
      <c r="AD157" s="51"/>
      <c r="AE157" s="51"/>
    </row>
    <row r="158" spans="1:35" x14ac:dyDescent="0.3">
      <c r="A158" t="s">
        <v>315</v>
      </c>
      <c r="B158" t="s">
        <v>21</v>
      </c>
      <c r="I158" s="1" t="s">
        <v>53</v>
      </c>
      <c r="O158" s="142"/>
      <c r="P158" s="142"/>
      <c r="S158" t="s">
        <v>30</v>
      </c>
      <c r="T158" s="57">
        <f>C439</f>
        <v>100</v>
      </c>
      <c r="U158" s="57">
        <f t="shared" si="26"/>
        <v>82.674700054119157</v>
      </c>
      <c r="V158" s="57">
        <f t="shared" si="26"/>
        <v>94.824410350143594</v>
      </c>
      <c r="W158" s="57">
        <f t="shared" si="26"/>
        <v>95.535177481711457</v>
      </c>
      <c r="X158" s="57">
        <f t="shared" si="26"/>
        <v>91.218496569064897</v>
      </c>
      <c r="AD158" s="51"/>
      <c r="AE158" s="51"/>
      <c r="AH158" s="78"/>
      <c r="AI158" s="78"/>
    </row>
    <row r="159" spans="1:35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51</v>
      </c>
      <c r="O159" s="13"/>
      <c r="P159" s="13"/>
      <c r="S159" s="66" t="s">
        <v>39</v>
      </c>
      <c r="T159" s="67">
        <f>C440</f>
        <v>0</v>
      </c>
      <c r="U159" s="67">
        <f t="shared" si="26"/>
        <v>7.7071054293622714</v>
      </c>
      <c r="V159" s="67">
        <f t="shared" si="26"/>
        <v>0.64875402537252036</v>
      </c>
      <c r="W159" s="67">
        <f t="shared" si="26"/>
        <v>1.1179929012627066</v>
      </c>
      <c r="X159" s="67">
        <f t="shared" si="26"/>
        <v>2.5945586817591115</v>
      </c>
      <c r="AD159" s="51"/>
      <c r="AE159" s="51"/>
    </row>
    <row r="160" spans="1:35" x14ac:dyDescent="0.3">
      <c r="A160" t="s">
        <v>3</v>
      </c>
      <c r="B160" s="13">
        <v>0</v>
      </c>
      <c r="C160" s="26">
        <v>221</v>
      </c>
      <c r="D160" s="3">
        <v>228</v>
      </c>
      <c r="E160" s="3">
        <v>0</v>
      </c>
      <c r="F160" s="3">
        <v>0</v>
      </c>
      <c r="G160" s="4">
        <v>1</v>
      </c>
      <c r="H160" s="1">
        <f>SUM(C160:G160)</f>
        <v>450</v>
      </c>
      <c r="I160" s="10">
        <f>C160/H160</f>
        <v>0.49111111111111111</v>
      </c>
      <c r="J160" s="11">
        <f>1-I160</f>
        <v>0.50888888888888895</v>
      </c>
      <c r="K160">
        <f>H160-C165</f>
        <v>229</v>
      </c>
      <c r="N160" s="10">
        <f>2*(C166*I160)/(C166+I160)</f>
        <v>0.6587183308494784</v>
      </c>
      <c r="O160" s="1"/>
      <c r="P160" s="1"/>
      <c r="S160" s="15" t="s">
        <v>31</v>
      </c>
      <c r="T160" s="71">
        <f>I432</f>
        <v>42.222222222222229</v>
      </c>
      <c r="U160" s="71">
        <f>I433</f>
        <v>90.624999999999986</v>
      </c>
      <c r="V160" s="71">
        <f>I434</f>
        <v>97.994652406417117</v>
      </c>
      <c r="W160" s="71">
        <f>I435</f>
        <v>88.834951456310662</v>
      </c>
      <c r="X160" s="71">
        <f>I436</f>
        <v>96.24876604146101</v>
      </c>
      <c r="AD160" s="51"/>
      <c r="AE160" s="51"/>
      <c r="AH160" s="78"/>
      <c r="AI160" s="78"/>
    </row>
    <row r="161" spans="1:35" x14ac:dyDescent="0.3">
      <c r="A161" t="s">
        <v>4</v>
      </c>
      <c r="B161" s="13">
        <v>1</v>
      </c>
      <c r="C161" s="5">
        <v>0</v>
      </c>
      <c r="D161" s="27">
        <v>59</v>
      </c>
      <c r="E161" s="1">
        <v>5</v>
      </c>
      <c r="F161" s="1">
        <v>0</v>
      </c>
      <c r="G161" s="6">
        <v>0</v>
      </c>
      <c r="H161" s="1">
        <f>SUM(C161:G161)</f>
        <v>64</v>
      </c>
      <c r="I161" s="10">
        <f>D161/H161</f>
        <v>0.921875</v>
      </c>
      <c r="J161" s="11">
        <f>1-I161</f>
        <v>7.8125E-2</v>
      </c>
      <c r="K161">
        <f>H161-D165</f>
        <v>-225</v>
      </c>
      <c r="N161" s="10">
        <f>2*(D166*I161)/(D166+I161)</f>
        <v>0.33427762039660053</v>
      </c>
      <c r="O161" s="1"/>
      <c r="P161" s="1"/>
      <c r="S161" s="75" t="s">
        <v>39</v>
      </c>
      <c r="T161" s="76">
        <f>J432</f>
        <v>2.3309222645137755</v>
      </c>
      <c r="U161" s="76">
        <f>J433</f>
        <v>3.6723103212062722</v>
      </c>
      <c r="V161" s="76">
        <f>J434</f>
        <v>0.5129035654513856</v>
      </c>
      <c r="W161" s="76">
        <f>J435</f>
        <v>1.2678844062943846</v>
      </c>
      <c r="X161" s="76">
        <f>J436</f>
        <v>0.59730259910983352</v>
      </c>
      <c r="AD161" s="51"/>
      <c r="AE161" s="51"/>
    </row>
    <row r="162" spans="1:35" x14ac:dyDescent="0.3">
      <c r="A162" t="s">
        <v>5</v>
      </c>
      <c r="B162" s="13">
        <v>2</v>
      </c>
      <c r="C162" s="5">
        <v>0</v>
      </c>
      <c r="D162" s="1">
        <v>0</v>
      </c>
      <c r="E162" s="27">
        <v>734</v>
      </c>
      <c r="F162" s="1">
        <v>13</v>
      </c>
      <c r="G162" s="6">
        <v>1</v>
      </c>
      <c r="H162" s="1">
        <f>SUM(C162:G162)</f>
        <v>748</v>
      </c>
      <c r="I162" s="10">
        <f>E162/H162</f>
        <v>0.98128342245989308</v>
      </c>
      <c r="J162" s="11">
        <f>1-I162</f>
        <v>1.8716577540106916E-2</v>
      </c>
      <c r="K162">
        <f>H162-E165</f>
        <v>-45</v>
      </c>
      <c r="N162" s="10">
        <f>2*(E166*I162)/(E166+I162)</f>
        <v>0.95262816353017521</v>
      </c>
      <c r="O162" s="1"/>
      <c r="P162" s="1"/>
      <c r="S162" s="66" t="s">
        <v>51</v>
      </c>
      <c r="T162" s="67">
        <f>N421*100</f>
        <v>59.375</v>
      </c>
      <c r="U162" s="67">
        <f>N422*100</f>
        <v>33.142857142857146</v>
      </c>
      <c r="V162" s="67">
        <f>N423*100</f>
        <v>94.825355756791723</v>
      </c>
      <c r="W162" s="67">
        <f>N424*100</f>
        <v>87.699680511182109</v>
      </c>
      <c r="X162" s="67">
        <f>N425*100</f>
        <v>97.597597597597584</v>
      </c>
      <c r="AD162" s="51"/>
      <c r="AE162" s="51"/>
      <c r="AH162" s="78"/>
      <c r="AI162" s="78"/>
    </row>
    <row r="163" spans="1:35" x14ac:dyDescent="0.3">
      <c r="A163" t="s">
        <v>6</v>
      </c>
      <c r="B163" s="13">
        <v>3</v>
      </c>
      <c r="C163" s="5">
        <v>0</v>
      </c>
      <c r="D163" s="1">
        <v>2</v>
      </c>
      <c r="E163" s="1">
        <v>53</v>
      </c>
      <c r="F163" s="27">
        <v>551</v>
      </c>
      <c r="G163" s="6">
        <v>12</v>
      </c>
      <c r="H163" s="1">
        <f>SUM(C163:G163)</f>
        <v>618</v>
      </c>
      <c r="I163" s="10">
        <f>F163/H163</f>
        <v>0.89158576051779936</v>
      </c>
      <c r="J163" s="11">
        <f>1-I163</f>
        <v>0.10841423948220064</v>
      </c>
      <c r="K163">
        <f>H163-F165</f>
        <v>7</v>
      </c>
      <c r="N163" s="10">
        <f>2*(F166*I163)/(F166+I163)</f>
        <v>0.89666395443449953</v>
      </c>
      <c r="O163" s="1"/>
      <c r="P163" s="1"/>
      <c r="R163" s="16" t="s">
        <v>61</v>
      </c>
      <c r="S163" t="s">
        <v>9</v>
      </c>
      <c r="T163" s="30">
        <f>N432</f>
        <v>186.9</v>
      </c>
      <c r="U163" s="30">
        <f>N433</f>
        <v>766.94</v>
      </c>
      <c r="V163" s="30">
        <f>N434</f>
        <v>58011.76</v>
      </c>
      <c r="W163" s="30">
        <f>N435</f>
        <v>31747.71</v>
      </c>
      <c r="X163" s="30">
        <f>N436</f>
        <v>5826.84</v>
      </c>
      <c r="Z163" t="s">
        <v>36</v>
      </c>
      <c r="AA163" s="1">
        <f>N437</f>
        <v>96540.15</v>
      </c>
      <c r="AD163" s="51"/>
      <c r="AE163" s="51"/>
    </row>
    <row r="164" spans="1:35" ht="15.6" x14ac:dyDescent="0.35">
      <c r="A164" t="s">
        <v>7</v>
      </c>
      <c r="B164" s="13">
        <v>4</v>
      </c>
      <c r="C164" s="7">
        <v>0</v>
      </c>
      <c r="D164" s="8">
        <v>0</v>
      </c>
      <c r="E164" s="8">
        <v>1</v>
      </c>
      <c r="F164" s="8">
        <v>47</v>
      </c>
      <c r="G164" s="28">
        <v>965</v>
      </c>
      <c r="H164" s="1">
        <f>SUM(C164:G164)</f>
        <v>1013</v>
      </c>
      <c r="I164" s="10">
        <f>G164/H164</f>
        <v>0.95261599210266534</v>
      </c>
      <c r="J164" s="11">
        <f>1-I164</f>
        <v>4.7384007897334657E-2</v>
      </c>
      <c r="K164">
        <f>H164-G165</f>
        <v>34</v>
      </c>
      <c r="N164" s="10">
        <f>2*(G166*I164)/(G166+I164)</f>
        <v>0.96887550200803207</v>
      </c>
      <c r="O164" s="1"/>
      <c r="P164" s="1"/>
      <c r="R164" s="16" t="s">
        <v>318</v>
      </c>
      <c r="S164" t="s">
        <v>63</v>
      </c>
      <c r="T164" s="57">
        <f>$AA163*T156/100</f>
        <v>78.913333333333355</v>
      </c>
      <c r="U164" s="57">
        <f>$AA163*U156/100</f>
        <v>840.69174069579287</v>
      </c>
      <c r="V164" s="57">
        <f>$AA163*V156/100</f>
        <v>59951.253434563361</v>
      </c>
      <c r="W164" s="57">
        <f>$AA163*W156/100</f>
        <v>29521.128772058106</v>
      </c>
      <c r="X164" s="57">
        <f>$AA163*X156/100</f>
        <v>6148.1627193494087</v>
      </c>
      <c r="Z164" t="s">
        <v>36</v>
      </c>
      <c r="AA164" s="25">
        <f>SUM(T164:X164)</f>
        <v>96540.15</v>
      </c>
      <c r="AD164" s="51"/>
      <c r="AE164" s="51"/>
      <c r="AH164" s="78"/>
      <c r="AI164" s="78"/>
    </row>
    <row r="165" spans="1:35" ht="15.6" x14ac:dyDescent="0.35">
      <c r="B165" s="1" t="s">
        <v>19</v>
      </c>
      <c r="C165" s="1">
        <f>SUM(C160:C164)</f>
        <v>221</v>
      </c>
      <c r="D165" s="1">
        <f>SUM(D160:D164)</f>
        <v>289</v>
      </c>
      <c r="E165" s="1">
        <f>SUM(E160:E164)</f>
        <v>793</v>
      </c>
      <c r="F165" s="1">
        <f>SUM(F160:F164)</f>
        <v>611</v>
      </c>
      <c r="G165" s="1">
        <f>SUM(G160:G164)</f>
        <v>979</v>
      </c>
      <c r="H165" s="1">
        <f>SUM(H159:H164)</f>
        <v>2893</v>
      </c>
      <c r="I165" s="13" t="s">
        <v>12</v>
      </c>
      <c r="N165" s="16"/>
      <c r="O165" s="1"/>
      <c r="P165" s="1"/>
      <c r="R165" s="66"/>
      <c r="S165" s="66" t="s">
        <v>62</v>
      </c>
      <c r="T165" s="67">
        <f>$AA163*T157/100</f>
        <v>4.3516504716211406</v>
      </c>
      <c r="U165" s="67">
        <f>$AA163*U157/100</f>
        <v>58.609096165422855</v>
      </c>
      <c r="V165" s="67">
        <f>$AA163*V157/100</f>
        <v>479.6188382192941</v>
      </c>
      <c r="W165" s="67">
        <f>$AA163*W157/100</f>
        <v>495.59215902446709</v>
      </c>
      <c r="X165" s="67">
        <f>$AA163*X157/100</f>
        <v>174.99299045193879</v>
      </c>
      <c r="AA165" s="1"/>
      <c r="AD165" s="51"/>
      <c r="AE165" s="51"/>
    </row>
    <row r="166" spans="1:35" x14ac:dyDescent="0.3">
      <c r="A166" s="1" t="s">
        <v>316</v>
      </c>
      <c r="B166" s="1" t="s">
        <v>2</v>
      </c>
      <c r="C166" s="10">
        <f>C160/C165</f>
        <v>1</v>
      </c>
      <c r="D166" s="10">
        <f>D161/D165</f>
        <v>0.20415224913494809</v>
      </c>
      <c r="E166" s="10">
        <f>E162/E165</f>
        <v>0.92559899117276168</v>
      </c>
      <c r="F166" s="10">
        <f>F163/F165</f>
        <v>0.90180032733224225</v>
      </c>
      <c r="G166" s="10">
        <f>G164/G165</f>
        <v>0.98569969356486209</v>
      </c>
      <c r="H166" s="10"/>
      <c r="I166" s="14">
        <f>(C160+D161+E162+F163+G164)/H165</f>
        <v>0.87452471482889738</v>
      </c>
      <c r="R166" t="s">
        <v>103</v>
      </c>
      <c r="S166" t="s">
        <v>28</v>
      </c>
      <c r="T166" s="57">
        <f>C466</f>
        <v>8.0280173585808592E-2</v>
      </c>
      <c r="U166" s="57">
        <f t="shared" ref="U166:X169" si="27">D466</f>
        <v>0.89840128508197348</v>
      </c>
      <c r="V166" s="57">
        <f t="shared" si="27"/>
        <v>61.661342118713186</v>
      </c>
      <c r="W166" s="57">
        <f t="shared" si="27"/>
        <v>30.986688836458633</v>
      </c>
      <c r="X166" s="57">
        <f t="shared" si="27"/>
        <v>6.3732875861604015</v>
      </c>
      <c r="Z166" s="74"/>
      <c r="AA166" s="12"/>
      <c r="AD166" s="51"/>
      <c r="AE166" s="51"/>
      <c r="AH166" s="78"/>
      <c r="AI166" s="78"/>
    </row>
    <row r="167" spans="1:35" x14ac:dyDescent="0.3">
      <c r="B167" s="1" t="s">
        <v>14</v>
      </c>
      <c r="C167" s="11">
        <f>1-C166</f>
        <v>0</v>
      </c>
      <c r="D167" s="11">
        <f>1-D166</f>
        <v>0.79584775086505188</v>
      </c>
      <c r="E167" s="11">
        <f>1-E166</f>
        <v>7.4401008827238324E-2</v>
      </c>
      <c r="F167" s="11">
        <f>1-F166</f>
        <v>9.8199672667757754E-2</v>
      </c>
      <c r="G167" s="11">
        <f>1-G166</f>
        <v>1.4300306435137911E-2</v>
      </c>
      <c r="S167" s="66" t="s">
        <v>39</v>
      </c>
      <c r="T167" s="67">
        <f>C467</f>
        <v>4.4472485026406019E-3</v>
      </c>
      <c r="U167" s="67">
        <f t="shared" si="27"/>
        <v>6.1533642089450058E-2</v>
      </c>
      <c r="V167" s="67">
        <f t="shared" si="27"/>
        <v>0.47767006639842263</v>
      </c>
      <c r="W167" s="67">
        <f t="shared" si="27"/>
        <v>0.49800746565988041</v>
      </c>
      <c r="X167" s="67">
        <f t="shared" si="27"/>
        <v>0.18995073761514006</v>
      </c>
      <c r="AD167" s="51"/>
      <c r="AE167" s="51"/>
    </row>
    <row r="168" spans="1:35" x14ac:dyDescent="0.3">
      <c r="C168" s="2"/>
      <c r="S168" t="s">
        <v>30</v>
      </c>
      <c r="T168" s="57">
        <f>C468</f>
        <v>100</v>
      </c>
      <c r="U168" s="57">
        <f t="shared" si="27"/>
        <v>82.922301040346653</v>
      </c>
      <c r="V168" s="57">
        <f t="shared" si="27"/>
        <v>95.248082900812634</v>
      </c>
      <c r="W168" s="57">
        <f t="shared" si="27"/>
        <v>95.84205681051796</v>
      </c>
      <c r="X168" s="57">
        <f t="shared" si="27"/>
        <v>90.333319371252287</v>
      </c>
      <c r="AD168" s="51"/>
      <c r="AE168" s="51"/>
      <c r="AH168" s="78"/>
      <c r="AI168" s="78"/>
    </row>
    <row r="169" spans="1:35" ht="15.6" x14ac:dyDescent="0.35">
      <c r="A169" t="s">
        <v>317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27"/>
        <v>7.5884306729238959</v>
      </c>
      <c r="V169" s="67">
        <f t="shared" si="27"/>
        <v>0.62244527393463478</v>
      </c>
      <c r="W169" s="67">
        <f t="shared" si="27"/>
        <v>1.0458393546870768</v>
      </c>
      <c r="X169" s="67">
        <f t="shared" si="27"/>
        <v>2.7020472059477885</v>
      </c>
      <c r="AD169" s="51"/>
      <c r="AE169" s="51"/>
    </row>
    <row r="170" spans="1:35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42</v>
      </c>
      <c r="U170" s="71">
        <f>I462</f>
        <v>90.625</v>
      </c>
      <c r="V170" s="71">
        <f>I463</f>
        <v>98.128342245989302</v>
      </c>
      <c r="W170" s="71">
        <f>I464</f>
        <v>89.644012944983814</v>
      </c>
      <c r="X170" s="71">
        <f>I465</f>
        <v>95.853899308983216</v>
      </c>
      <c r="AD170" s="51"/>
      <c r="AE170" s="51"/>
      <c r="AH170" s="78"/>
      <c r="AI170" s="78"/>
    </row>
    <row r="171" spans="1:35" x14ac:dyDescent="0.3">
      <c r="A171" t="s">
        <v>3</v>
      </c>
      <c r="B171" s="13">
        <v>0</v>
      </c>
      <c r="C171" s="29">
        <f>(C160/$L171)*$O171</f>
        <v>0.10227649186503202</v>
      </c>
      <c r="D171" s="31">
        <f>(D160/$L171)*$O171</f>
        <v>0.10551601875668462</v>
      </c>
      <c r="E171" s="31">
        <f>(E160/$L171)*$O171</f>
        <v>0</v>
      </c>
      <c r="F171" s="31">
        <f>(F160/$L171)*$O171</f>
        <v>0</v>
      </c>
      <c r="G171" s="32">
        <f>(G160/$L171)*$O171</f>
        <v>4.627895559503711E-4</v>
      </c>
      <c r="H171" s="17">
        <f>SUM(C171:G171)</f>
        <v>0.208255300177667</v>
      </c>
      <c r="I171" s="17">
        <f>C171/H171*100</f>
        <v>49.111111111111114</v>
      </c>
      <c r="J171" s="17">
        <f>SQRT(I171*(100-I171)/(L171-1))</f>
        <v>2.3592729791344542</v>
      </c>
      <c r="K171" s="18">
        <f>100-I171</f>
        <v>50.888888888888886</v>
      </c>
      <c r="L171" s="1">
        <f>H160</f>
        <v>450</v>
      </c>
      <c r="M171">
        <v>0</v>
      </c>
      <c r="N171" s="1">
        <v>201.05</v>
      </c>
      <c r="O171" s="17">
        <f>N171/N176*100</f>
        <v>0.208255300177667</v>
      </c>
      <c r="P171" s="52">
        <f>((O171*O171*(I171/100)*(K171/100))/(L171-1))</f>
        <v>2.4140625225507793E-5</v>
      </c>
      <c r="S171" s="75" t="s">
        <v>39</v>
      </c>
      <c r="T171" s="76">
        <f>J461</f>
        <v>2.3292466067402859</v>
      </c>
      <c r="U171" s="76">
        <f>J462</f>
        <v>3.6723103212062695</v>
      </c>
      <c r="V171" s="76">
        <f>J463</f>
        <v>0.49584980756665031</v>
      </c>
      <c r="W171" s="76">
        <f>J464</f>
        <v>1.2266306499540665</v>
      </c>
      <c r="X171" s="76">
        <f>J465</f>
        <v>0.62666372881591514</v>
      </c>
      <c r="AD171" s="51"/>
      <c r="AE171" s="51"/>
    </row>
    <row r="172" spans="1:35" x14ac:dyDescent="0.3">
      <c r="A172" t="s">
        <v>4</v>
      </c>
      <c r="B172" s="13">
        <v>1</v>
      </c>
      <c r="C172" s="33">
        <f t="shared" ref="C172:G175" si="28">(C161/$L172)*$O172</f>
        <v>0</v>
      </c>
      <c r="D172" s="34">
        <f t="shared" si="28"/>
        <v>0.79216757435454843</v>
      </c>
      <c r="E172" s="19">
        <f t="shared" si="28"/>
        <v>6.713284528428376E-2</v>
      </c>
      <c r="F172" s="18">
        <f t="shared" si="28"/>
        <v>0</v>
      </c>
      <c r="G172" s="20">
        <f t="shared" si="28"/>
        <v>0</v>
      </c>
      <c r="H172" s="17">
        <f>SUM(C172:G172)</f>
        <v>0.85930041963883219</v>
      </c>
      <c r="I172" s="17">
        <f>D172/H172*100</f>
        <v>92.1875</v>
      </c>
      <c r="J172" s="17">
        <f>SQRT(I172*(100-I172)/(L172-1))</f>
        <v>3.3811213593755247</v>
      </c>
      <c r="K172" s="18">
        <f>100-I172</f>
        <v>7.8125</v>
      </c>
      <c r="L172" s="1">
        <f>H161</f>
        <v>64</v>
      </c>
      <c r="M172">
        <v>1</v>
      </c>
      <c r="N172" s="1">
        <v>829.57</v>
      </c>
      <c r="O172" s="17">
        <f>N172/N176*100</f>
        <v>0.85930041963883219</v>
      </c>
      <c r="P172" s="52">
        <f>((O172*O172*(I172/100)*(K172/100))/(L172-1))</f>
        <v>8.4413433664079756E-4</v>
      </c>
      <c r="S172" s="66" t="s">
        <v>51</v>
      </c>
      <c r="T172" s="67">
        <f>N450*100</f>
        <v>59.154929577464785</v>
      </c>
      <c r="U172" s="67">
        <f>N451*100</f>
        <v>32.402234636871505</v>
      </c>
      <c r="V172" s="67">
        <f>N452*100</f>
        <v>95.139338950097212</v>
      </c>
      <c r="W172" s="67">
        <f>N453*100</f>
        <v>88.569144684252592</v>
      </c>
      <c r="X172" s="67">
        <f>N454*100</f>
        <v>97.343358395989966</v>
      </c>
      <c r="AD172" s="51"/>
      <c r="AE172" s="51"/>
      <c r="AH172" s="78"/>
      <c r="AI172" s="78"/>
    </row>
    <row r="173" spans="1:35" x14ac:dyDescent="0.3">
      <c r="A173" t="s">
        <v>5</v>
      </c>
      <c r="B173" s="13">
        <v>2</v>
      </c>
      <c r="C173" s="33">
        <f t="shared" si="28"/>
        <v>0</v>
      </c>
      <c r="D173" s="19">
        <f t="shared" si="28"/>
        <v>0</v>
      </c>
      <c r="E173" s="34">
        <f t="shared" si="28"/>
        <v>58.729949282606945</v>
      </c>
      <c r="F173" s="19">
        <f t="shared" si="28"/>
        <v>1.0401762134521666</v>
      </c>
      <c r="G173" s="20">
        <f t="shared" si="28"/>
        <v>8.001355488093588E-2</v>
      </c>
      <c r="H173" s="17">
        <f>SUM(C173:G173)</f>
        <v>59.850139050940044</v>
      </c>
      <c r="I173" s="17">
        <f>E173/H173*100</f>
        <v>98.128342245989302</v>
      </c>
      <c r="J173" s="17">
        <f>SQRT(I173*(100-I173)/(L173-1))</f>
        <v>0.49584980756665031</v>
      </c>
      <c r="K173" s="18">
        <f>100-I173</f>
        <v>1.8716577540106982</v>
      </c>
      <c r="L173" s="1">
        <f>H162</f>
        <v>748</v>
      </c>
      <c r="M173">
        <v>2</v>
      </c>
      <c r="N173" s="1">
        <v>57779.42</v>
      </c>
      <c r="O173" s="17">
        <f>N173/N176*100</f>
        <v>59.850139050940044</v>
      </c>
      <c r="P173" s="52">
        <f>((O173*O173*(I173/100)*(K173/100))/(L173-1))</f>
        <v>8.807053317416122E-2</v>
      </c>
      <c r="R173" s="16" t="s">
        <v>61</v>
      </c>
      <c r="S173" t="s">
        <v>9</v>
      </c>
      <c r="T173" s="1">
        <f>N461</f>
        <v>184.53</v>
      </c>
      <c r="U173" s="1">
        <f>N462</f>
        <v>793.6</v>
      </c>
      <c r="V173" s="1">
        <f>N463</f>
        <v>57780.69</v>
      </c>
      <c r="W173" s="1">
        <f>N464</f>
        <v>31982.91</v>
      </c>
      <c r="X173" s="1">
        <f>N465</f>
        <v>5798.42</v>
      </c>
      <c r="Z173" t="s">
        <v>36</v>
      </c>
      <c r="AA173" s="1">
        <f>N466</f>
        <v>96540.15</v>
      </c>
      <c r="AD173" s="51"/>
      <c r="AE173" s="51"/>
    </row>
    <row r="174" spans="1:35" ht="15.6" x14ac:dyDescent="0.35">
      <c r="A174" t="s">
        <v>6</v>
      </c>
      <c r="B174" s="13">
        <v>3</v>
      </c>
      <c r="C174" s="33">
        <f t="shared" si="28"/>
        <v>0</v>
      </c>
      <c r="D174" s="19">
        <f t="shared" si="28"/>
        <v>0.1064400670179501</v>
      </c>
      <c r="E174" s="19">
        <f t="shared" si="28"/>
        <v>2.8206617759756774</v>
      </c>
      <c r="F174" s="34">
        <f t="shared" si="28"/>
        <v>29.324238463445251</v>
      </c>
      <c r="G174" s="20">
        <f t="shared" si="28"/>
        <v>0.63864040210770057</v>
      </c>
      <c r="H174" s="17">
        <f>SUM(C174:G174)</f>
        <v>32.889980708546574</v>
      </c>
      <c r="I174" s="17">
        <f>F174/H174*100</f>
        <v>89.158576051779946</v>
      </c>
      <c r="J174" s="17">
        <f>SQRT(I174*(100-I174)/(L174-1))</f>
        <v>1.2516478095762902</v>
      </c>
      <c r="K174" s="18">
        <f>100-I174</f>
        <v>10.841423948220054</v>
      </c>
      <c r="L174" s="1">
        <f>H163</f>
        <v>618</v>
      </c>
      <c r="M174">
        <v>3</v>
      </c>
      <c r="N174" s="1">
        <v>31752.04</v>
      </c>
      <c r="O174" s="17">
        <f>N174/N176*100</f>
        <v>32.889980708546581</v>
      </c>
      <c r="P174" s="52">
        <f>((O174*O174*(I174/100)*(K174/100))/(L174-1))</f>
        <v>0.16946949091496261</v>
      </c>
      <c r="R174" s="16" t="s">
        <v>318</v>
      </c>
      <c r="S174" t="s">
        <v>63</v>
      </c>
      <c r="T174" s="57">
        <f>$AA173*T166/100</f>
        <v>77.502599999999987</v>
      </c>
      <c r="U174" s="57">
        <f>$AA173*U166/100</f>
        <v>867.31794822006475</v>
      </c>
      <c r="V174" s="57">
        <f>$AA173*V166/100</f>
        <v>59527.952173418889</v>
      </c>
      <c r="W174" s="57">
        <f>$AA173*W166/100</f>
        <v>29914.595882750418</v>
      </c>
      <c r="X174" s="57">
        <f>$AA173*X166/100</f>
        <v>6152.7813956106302</v>
      </c>
      <c r="Z174" t="s">
        <v>36</v>
      </c>
      <c r="AA174" s="25">
        <f>SUM(T174:X174)</f>
        <v>96540.15</v>
      </c>
      <c r="AD174" s="51"/>
      <c r="AE174" s="51"/>
      <c r="AH174" s="78"/>
      <c r="AI174" s="78"/>
    </row>
    <row r="175" spans="1:35" x14ac:dyDescent="0.3">
      <c r="A175" t="s">
        <v>7</v>
      </c>
      <c r="B175" s="13">
        <v>4</v>
      </c>
      <c r="C175" s="35">
        <f t="shared" si="28"/>
        <v>0</v>
      </c>
      <c r="D175" s="36">
        <f t="shared" si="28"/>
        <v>0</v>
      </c>
      <c r="E175" s="21">
        <f t="shared" si="28"/>
        <v>6.1128573748241641E-3</v>
      </c>
      <c r="F175" s="21">
        <f t="shared" si="28"/>
        <v>0.28730429661673573</v>
      </c>
      <c r="G175" s="37">
        <f t="shared" si="28"/>
        <v>5.8989073667053189</v>
      </c>
      <c r="H175" s="17">
        <f>SUM(C175:G175)</f>
        <v>6.1923245206968787</v>
      </c>
      <c r="I175" s="17">
        <f>G175/H175*100</f>
        <v>95.261599210266539</v>
      </c>
      <c r="J175" s="17">
        <f>SQRT(I175*(100-I175)/(L175-1))</f>
        <v>0.66785867843198421</v>
      </c>
      <c r="K175" s="18">
        <f>100-I175</f>
        <v>4.7384007897334612</v>
      </c>
      <c r="L175" s="1">
        <f>H164</f>
        <v>1013</v>
      </c>
      <c r="M175">
        <v>4</v>
      </c>
      <c r="N175" s="1">
        <v>5978.08</v>
      </c>
      <c r="O175" s="17">
        <f>N175/N176*100</f>
        <v>6.1923245206968787</v>
      </c>
      <c r="P175" s="52">
        <f>((O175*O175*(I175/100)*(K175/100))/(L175-1))</f>
        <v>1.7103168094847038E-3</v>
      </c>
      <c r="R175" s="66"/>
      <c r="S175" s="66" t="s">
        <v>62</v>
      </c>
      <c r="T175" s="67">
        <f>$AA173*T167/100</f>
        <v>4.2933803753219903</v>
      </c>
      <c r="U175" s="67">
        <f>$AA173*U167/100</f>
        <v>59.404670373618217</v>
      </c>
      <c r="V175" s="67">
        <f>$AA173*V167/100</f>
        <v>461.14339860613677</v>
      </c>
      <c r="W175" s="67">
        <f>$AA173*W167/100</f>
        <v>480.77715435924699</v>
      </c>
      <c r="X175" s="67">
        <f>$AA173*X167/100</f>
        <v>183.37872701976264</v>
      </c>
      <c r="AA175" s="1"/>
      <c r="AD175" s="51"/>
      <c r="AE175" s="51"/>
    </row>
    <row r="176" spans="1:35" x14ac:dyDescent="0.3">
      <c r="B176" t="s">
        <v>28</v>
      </c>
      <c r="C176" s="17">
        <f t="shared" ref="C176:H176" si="29">SUM(C171:C175)</f>
        <v>0.10227649186503202</v>
      </c>
      <c r="D176" s="17">
        <f t="shared" si="29"/>
        <v>1.0041236601291832</v>
      </c>
      <c r="E176" s="17">
        <f t="shared" si="29"/>
        <v>61.623856761241733</v>
      </c>
      <c r="F176" s="17">
        <f t="shared" si="29"/>
        <v>30.651718973514154</v>
      </c>
      <c r="G176" s="17">
        <f t="shared" si="29"/>
        <v>6.6180241132499056</v>
      </c>
      <c r="H176" s="18">
        <f t="shared" si="29"/>
        <v>100</v>
      </c>
      <c r="I176" s="13" t="s">
        <v>24</v>
      </c>
      <c r="J176" s="12" t="s">
        <v>29</v>
      </c>
      <c r="N176" s="1">
        <f>SUM(N171:N175)</f>
        <v>96540.160000000003</v>
      </c>
      <c r="O176" s="17">
        <f>SUM(O171:O175)</f>
        <v>100</v>
      </c>
      <c r="R176" t="s">
        <v>104</v>
      </c>
      <c r="S176" t="s">
        <v>28</v>
      </c>
      <c r="T176" s="57">
        <f>C495</f>
        <v>0.11568166726330956</v>
      </c>
      <c r="U176" s="57">
        <f t="shared" ref="U176:X179" si="30">D495</f>
        <v>0.9140843293992893</v>
      </c>
      <c r="V176" s="57">
        <f t="shared" si="30"/>
        <v>61.85111590462482</v>
      </c>
      <c r="W176" s="57">
        <f t="shared" si="30"/>
        <v>31.190980414985233</v>
      </c>
      <c r="X176" s="57">
        <f t="shared" si="30"/>
        <v>5.9281376837273543</v>
      </c>
      <c r="AD176" s="51"/>
      <c r="AE176" s="51"/>
      <c r="AH176" s="78"/>
      <c r="AI176" s="78"/>
    </row>
    <row r="177" spans="1:41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4.9078487539525231E-3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8.0631547655832261E-2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0.4754605972605751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0.5026447566169725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0.20354592967759502</v>
      </c>
      <c r="H177" s="1"/>
      <c r="I177" s="14">
        <f>(C171+D172+E173+F174+G175)/H176</f>
        <v>0.94847539178977092</v>
      </c>
      <c r="J177" s="53">
        <f>SQRT(SUM(P171:P175))/100</f>
        <v>5.1001825051705243E-3</v>
      </c>
      <c r="M177" s="1"/>
      <c r="N177" s="9"/>
      <c r="S177" s="66" t="s">
        <v>39</v>
      </c>
      <c r="T177" s="67">
        <f>C496</f>
        <v>4.899555003794142E-3</v>
      </c>
      <c r="U177" s="67">
        <f t="shared" si="30"/>
        <v>6.1150150512153958E-2</v>
      </c>
      <c r="V177" s="67">
        <f t="shared" si="30"/>
        <v>0.49554566453622617</v>
      </c>
      <c r="W177" s="67">
        <f t="shared" si="30"/>
        <v>0.51899543569455198</v>
      </c>
      <c r="X177" s="67">
        <f t="shared" si="30"/>
        <v>0.16531731819856527</v>
      </c>
      <c r="AD177" s="51"/>
      <c r="AE177" s="51"/>
    </row>
    <row r="178" spans="1:41" x14ac:dyDescent="0.3">
      <c r="B178" s="1" t="s">
        <v>30</v>
      </c>
      <c r="C178" s="17">
        <f>C171/C176*100</f>
        <v>100</v>
      </c>
      <c r="D178" s="17">
        <f>D172/D176*100</f>
        <v>78.891435966426087</v>
      </c>
      <c r="E178" s="17">
        <f>E173/E176*100</f>
        <v>95.303916971884647</v>
      </c>
      <c r="F178" s="17">
        <f>F174/F176*100</f>
        <v>95.669148241845875</v>
      </c>
      <c r="G178" s="17">
        <f>G175/G176*100</f>
        <v>89.133966056351355</v>
      </c>
      <c r="H178" s="1"/>
      <c r="S178" s="70" t="s">
        <v>30</v>
      </c>
      <c r="T178" s="64">
        <f>C497</f>
        <v>100</v>
      </c>
      <c r="U178" s="64">
        <f t="shared" si="30"/>
        <v>85.817281741285584</v>
      </c>
      <c r="V178" s="64">
        <f t="shared" si="30"/>
        <v>94.896505953571221</v>
      </c>
      <c r="W178" s="64">
        <f t="shared" si="30"/>
        <v>95.242185355025569</v>
      </c>
      <c r="X178" s="64">
        <f t="shared" si="30"/>
        <v>91.712887440112922</v>
      </c>
      <c r="AD178" s="51"/>
      <c r="AE178" s="51"/>
      <c r="AH178" s="78"/>
      <c r="AI178" s="78"/>
    </row>
    <row r="179" spans="1:41" x14ac:dyDescent="0.3">
      <c r="B179" s="16" t="s">
        <v>39</v>
      </c>
      <c r="C179" s="18">
        <f>SQRT((C182+C183)/(C176*C176))</f>
        <v>0</v>
      </c>
      <c r="D179" s="18">
        <f>SQRT((D182+D183)/(D176*D176))</f>
        <v>8.506695714951805</v>
      </c>
      <c r="E179" s="18">
        <f>SQRT((E182+E183)/(E176*E176))</f>
        <v>0.61809337370083617</v>
      </c>
      <c r="F179" s="18">
        <f>SQRT((F182+F183)/(F176*F176))</f>
        <v>1.0735036868444134</v>
      </c>
      <c r="G179" s="18">
        <f>SQRT((G182+G183)/(G176*G176))</f>
        <v>2.770905935539393</v>
      </c>
      <c r="H179" s="1"/>
      <c r="S179" s="66" t="s">
        <v>39</v>
      </c>
      <c r="T179" s="67">
        <f>C498</f>
        <v>0</v>
      </c>
      <c r="U179" s="67">
        <f t="shared" si="30"/>
        <v>6.7635839830889246</v>
      </c>
      <c r="V179" s="67">
        <f t="shared" si="30"/>
        <v>0.64888727862639439</v>
      </c>
      <c r="W179" s="67">
        <f t="shared" si="30"/>
        <v>1.1394379166866169</v>
      </c>
      <c r="X179" s="67">
        <f t="shared" si="30"/>
        <v>2.5462919274342832</v>
      </c>
      <c r="AD179" s="51"/>
      <c r="AE179" s="51"/>
    </row>
    <row r="180" spans="1:41" x14ac:dyDescent="0.3">
      <c r="B180" s="1" t="s">
        <v>37</v>
      </c>
      <c r="C180" s="18">
        <f>100-C178</f>
        <v>0</v>
      </c>
      <c r="D180" s="18">
        <f>100-D178</f>
        <v>21.108564033573913</v>
      </c>
      <c r="E180" s="18">
        <f>100-E178</f>
        <v>4.6960830281153534</v>
      </c>
      <c r="F180" s="18">
        <f>100-F178</f>
        <v>4.3308517581541253</v>
      </c>
      <c r="G180" s="18">
        <f>100-G178</f>
        <v>10.866033943648645</v>
      </c>
      <c r="S180" s="70" t="s">
        <v>31</v>
      </c>
      <c r="T180" s="64">
        <f>I490</f>
        <v>55.333333333333336</v>
      </c>
      <c r="U180" s="64">
        <f>I491</f>
        <v>92.1875</v>
      </c>
      <c r="V180" s="64">
        <f>I492</f>
        <v>97.994652406417117</v>
      </c>
      <c r="W180" s="64">
        <f>I493</f>
        <v>89.158576051779932</v>
      </c>
      <c r="X180" s="64">
        <f>I494</f>
        <v>94.965449160908193</v>
      </c>
      <c r="AD180" s="51"/>
      <c r="AE180" s="51"/>
      <c r="AH180" s="78"/>
      <c r="AI180" s="78"/>
    </row>
    <row r="181" spans="1:41" ht="15.6" x14ac:dyDescent="0.35">
      <c r="B181" s="1" t="s">
        <v>25</v>
      </c>
      <c r="C181" s="1">
        <f>C165</f>
        <v>221</v>
      </c>
      <c r="D181" s="1">
        <f>D165</f>
        <v>289</v>
      </c>
      <c r="E181" s="1">
        <f>E165</f>
        <v>793</v>
      </c>
      <c r="F181" s="1">
        <f>F165</f>
        <v>611</v>
      </c>
      <c r="G181" s="1">
        <f>G165</f>
        <v>979</v>
      </c>
      <c r="S181" s="66" t="s">
        <v>39</v>
      </c>
      <c r="T181" s="67">
        <f>J490</f>
        <v>2.3461837256988161</v>
      </c>
      <c r="U181" s="67">
        <f>J491</f>
        <v>3.3811213593755247</v>
      </c>
      <c r="V181" s="67">
        <f>J492</f>
        <v>0.5129035654513856</v>
      </c>
      <c r="W181" s="67">
        <f>J493</f>
        <v>1.2516478095762908</v>
      </c>
      <c r="X181" s="67">
        <f>J494</f>
        <v>0.68734206361088812</v>
      </c>
      <c r="AD181" s="51"/>
      <c r="AE181" s="51"/>
      <c r="AN181" s="2"/>
      <c r="AO181" s="2"/>
    </row>
    <row r="182" spans="1:41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37.612218194747165</v>
      </c>
      <c r="E182" s="18">
        <f>(O173*O173*(100-E178)*(100-E178)*(I173)*(100-I173))/((L173-1)*100)</f>
        <v>194.22367129125331</v>
      </c>
      <c r="F182" s="18">
        <f>(O174*O174*(100-F178)*(100-F178)*(I174)*(100-I174))/((L174-1)*100)</f>
        <v>317.8616706364096</v>
      </c>
      <c r="G182" s="18">
        <f>(O175*O175*(100-G178)*(100-G178)*(I175)*(100-I175))/((L175-1)*100)</f>
        <v>20.193829208195542</v>
      </c>
      <c r="S182" s="68" t="s">
        <v>51</v>
      </c>
      <c r="T182" s="65">
        <f>N479*100</f>
        <v>71.24463519313305</v>
      </c>
      <c r="U182" s="65">
        <f>N480*100</f>
        <v>41.11498257839721</v>
      </c>
      <c r="V182" s="65">
        <f>N481*100</f>
        <v>94.825355756791723</v>
      </c>
      <c r="W182" s="65">
        <f>N482*100</f>
        <v>87.669053301511539</v>
      </c>
      <c r="X182" s="65">
        <f>N483*100</f>
        <v>96.344516775162731</v>
      </c>
      <c r="AD182" s="51"/>
      <c r="AE182" s="51"/>
      <c r="AH182" s="78"/>
      <c r="AI182" s="78"/>
    </row>
    <row r="183" spans="1:41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35.349692336176318</v>
      </c>
      <c r="E183" s="18">
        <f>E178*E178*(SUM((H171*E171*(1-E160/H160))/(H160-1),(H172*E172*(1-E161/H161))/(H161-1), (H174*E174*(1-E163/H163))/(H163-1),(H175*E175*(1-E164/H164))/(H164-1)))</f>
        <v>1256.5709147338855</v>
      </c>
      <c r="F183" s="18">
        <f>F178*F178*(SUM((H171*F171*(1-F160/H160))/(H160-1),(H172*F172*(1-F161/H161))/(H161-1), (H173*F173*(1-F162/H162))/(H162-1),(H175*F175*(1-F164/H164))/(H164-1)))</f>
        <v>764.85980463102578</v>
      </c>
      <c r="G183" s="18">
        <f>G178*G178*(SUM((H171*G171*(1-G160/H160))/(H160-1),(H172*G172*(1-G161/H161))/(H161-1), (H173*G173*(1-G162/H162))/(H162-1),(H174*G174*(1-G163/H163))/(H163-1)))</f>
        <v>316.08556496067001</v>
      </c>
      <c r="R183" s="16" t="s">
        <v>61</v>
      </c>
      <c r="S183" t="s">
        <v>9</v>
      </c>
      <c r="T183" s="1">
        <f>N490</f>
        <v>201.83</v>
      </c>
      <c r="U183" s="1">
        <f>N491</f>
        <v>821.48</v>
      </c>
      <c r="V183" s="1">
        <f>N492</f>
        <v>57823.37</v>
      </c>
      <c r="W183" s="1">
        <f>N493</f>
        <v>32166.46</v>
      </c>
      <c r="X183" s="1">
        <f>N494</f>
        <v>5527.02</v>
      </c>
      <c r="Z183" t="s">
        <v>36</v>
      </c>
      <c r="AA183" s="1">
        <f>N495</f>
        <v>96540.160000000003</v>
      </c>
      <c r="AD183" s="51"/>
      <c r="AE183" s="51"/>
      <c r="AN183" s="78"/>
      <c r="AO183" s="78"/>
    </row>
    <row r="184" spans="1:41" ht="15.6" x14ac:dyDescent="0.35">
      <c r="R184" s="16" t="s">
        <v>318</v>
      </c>
      <c r="S184" t="s">
        <v>63</v>
      </c>
      <c r="T184" s="57">
        <f>$AA183*T176/100</f>
        <v>111.67926666666666</v>
      </c>
      <c r="U184" s="57">
        <f>$AA183*U176/100</f>
        <v>882.45847413700108</v>
      </c>
      <c r="V184" s="57">
        <f>$AA183*V176/100</f>
        <v>59711.166256110249</v>
      </c>
      <c r="W184" s="57">
        <f>$AA183*W176/100</f>
        <v>30111.822398195411</v>
      </c>
      <c r="X184" s="57">
        <f>$AA183*X176/100</f>
        <v>5723.033604890682</v>
      </c>
      <c r="Z184" t="s">
        <v>36</v>
      </c>
      <c r="AA184" s="25">
        <f>SUM(T184:X184)</f>
        <v>96540.160000000003</v>
      </c>
      <c r="AD184" s="51"/>
      <c r="AE184" s="51"/>
      <c r="AH184" s="78"/>
      <c r="AI184" s="78"/>
    </row>
    <row r="185" spans="1:41" x14ac:dyDescent="0.3">
      <c r="R185" s="66"/>
      <c r="S185" s="66" t="s">
        <v>62</v>
      </c>
      <c r="T185" s="67">
        <f>$AA183*T177/100</f>
        <v>4.7300382399508711</v>
      </c>
      <c r="U185" s="67">
        <f>$AA183*U177/100</f>
        <v>59.034453144674252</v>
      </c>
      <c r="V185" s="67">
        <f>$AA183*V177/100</f>
        <v>478.40057741633603</v>
      </c>
      <c r="W185" s="67">
        <f>$AA183*W177/100</f>
        <v>501.03902401221762</v>
      </c>
      <c r="X185" s="67">
        <f>$AA183*X177/100</f>
        <v>159.59760349660402</v>
      </c>
      <c r="AA185" s="1"/>
      <c r="AD185" s="51"/>
      <c r="AE185" s="51"/>
      <c r="AN185" s="78"/>
      <c r="AO185" s="78"/>
    </row>
    <row r="186" spans="1:41" x14ac:dyDescent="0.3">
      <c r="A186" s="348" t="s">
        <v>386</v>
      </c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 t="s">
        <v>79</v>
      </c>
      <c r="M186" s="348"/>
      <c r="N186" s="348"/>
      <c r="O186" s="348"/>
      <c r="P186" s="348"/>
      <c r="R186" t="s">
        <v>105</v>
      </c>
      <c r="S186" s="70" t="s">
        <v>28</v>
      </c>
      <c r="T186" s="64">
        <f>C524</f>
        <v>9.6362936764692875E-2</v>
      </c>
      <c r="U186" s="64">
        <f t="shared" ref="U186:X189" si="31">D524</f>
        <v>0.73051645754931871</v>
      </c>
      <c r="V186" s="64">
        <f t="shared" si="31"/>
        <v>61.583187112487103</v>
      </c>
      <c r="W186" s="64">
        <f t="shared" si="31"/>
        <v>30.912635424987403</v>
      </c>
      <c r="X186" s="64">
        <f t="shared" si="31"/>
        <v>6.6772980682114813</v>
      </c>
      <c r="AA186" s="12"/>
      <c r="AD186" s="51"/>
      <c r="AE186" s="51"/>
    </row>
    <row r="187" spans="1:41" x14ac:dyDescent="0.3">
      <c r="A187" t="s">
        <v>315</v>
      </c>
      <c r="B187" t="s">
        <v>21</v>
      </c>
      <c r="I187" s="1" t="s">
        <v>53</v>
      </c>
      <c r="O187" s="142"/>
      <c r="P187" s="142"/>
      <c r="S187" s="66" t="s">
        <v>39</v>
      </c>
      <c r="T187" s="67">
        <f>C525</f>
        <v>4.7916836896088862E-3</v>
      </c>
      <c r="U187" s="67">
        <f t="shared" si="31"/>
        <v>2.8847971087797217E-2</v>
      </c>
      <c r="V187" s="67">
        <f t="shared" si="31"/>
        <v>0.47978444657142499</v>
      </c>
      <c r="W187" s="67">
        <f t="shared" si="31"/>
        <v>0.49945276042555714</v>
      </c>
      <c r="X187" s="67">
        <f t="shared" si="31"/>
        <v>0.19520653417139677</v>
      </c>
      <c r="AD187" s="51"/>
      <c r="AE187" s="51"/>
      <c r="AN187" s="78"/>
      <c r="AO187" s="78"/>
    </row>
    <row r="188" spans="1:41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51</v>
      </c>
      <c r="O188" s="13"/>
      <c r="P188" s="13"/>
      <c r="S188" t="s">
        <v>30</v>
      </c>
      <c r="T188" s="57">
        <f>C526</f>
        <v>100</v>
      </c>
      <c r="U188" s="57">
        <f t="shared" si="31"/>
        <v>97.832453297905232</v>
      </c>
      <c r="V188" s="57">
        <f t="shared" si="31"/>
        <v>95.355967369331722</v>
      </c>
      <c r="W188" s="57">
        <f t="shared" si="31"/>
        <v>95.558493971198942</v>
      </c>
      <c r="X188" s="57">
        <f t="shared" si="31"/>
        <v>89.957606105476714</v>
      </c>
      <c r="AD188" s="51"/>
      <c r="AE188" s="51"/>
    </row>
    <row r="189" spans="1:41" x14ac:dyDescent="0.3">
      <c r="A189" t="s">
        <v>3</v>
      </c>
      <c r="B189" s="13">
        <v>0</v>
      </c>
      <c r="C189" s="26">
        <v>169</v>
      </c>
      <c r="D189" s="3">
        <v>229</v>
      </c>
      <c r="E189" s="3">
        <v>0</v>
      </c>
      <c r="F189" s="3">
        <v>52</v>
      </c>
      <c r="G189" s="4">
        <v>0</v>
      </c>
      <c r="H189" s="1">
        <f>SUM(C189:G189)</f>
        <v>450</v>
      </c>
      <c r="I189" s="10">
        <f>C189/H189</f>
        <v>0.37555555555555553</v>
      </c>
      <c r="J189" s="11">
        <f>1-I189</f>
        <v>0.62444444444444447</v>
      </c>
      <c r="K189">
        <f>H189-C194</f>
        <v>281</v>
      </c>
      <c r="N189" s="10">
        <f>2*(C195*I189)/(C195+I189)</f>
        <v>0.5460420032310177</v>
      </c>
      <c r="O189" s="1"/>
      <c r="P189" s="1"/>
      <c r="S189" s="66" t="s">
        <v>39</v>
      </c>
      <c r="T189" s="67">
        <f>C527</f>
        <v>0</v>
      </c>
      <c r="U189" s="67">
        <f t="shared" si="31"/>
        <v>0.92581872608582083</v>
      </c>
      <c r="V189" s="67">
        <f t="shared" si="31"/>
        <v>0.61643356474748778</v>
      </c>
      <c r="W189" s="67">
        <f t="shared" si="31"/>
        <v>1.0884379843924503</v>
      </c>
      <c r="X189" s="67">
        <f t="shared" si="31"/>
        <v>2.6411192818976632</v>
      </c>
      <c r="AD189" s="51"/>
      <c r="AE189" s="51"/>
      <c r="AN189" s="78"/>
      <c r="AO189" s="78"/>
    </row>
    <row r="190" spans="1:41" x14ac:dyDescent="0.3">
      <c r="A190" t="s">
        <v>4</v>
      </c>
      <c r="B190" s="13">
        <v>1</v>
      </c>
      <c r="C190" s="5">
        <v>0</v>
      </c>
      <c r="D190" s="27">
        <v>58</v>
      </c>
      <c r="E190" s="1">
        <v>6</v>
      </c>
      <c r="F190" s="1">
        <v>0</v>
      </c>
      <c r="G190" s="6">
        <v>0</v>
      </c>
      <c r="H190" s="1">
        <f>SUM(C190:G190)</f>
        <v>64</v>
      </c>
      <c r="I190" s="10">
        <f>D190/H190</f>
        <v>0.90625</v>
      </c>
      <c r="J190" s="11">
        <f>1-I190</f>
        <v>9.375E-2</v>
      </c>
      <c r="K190">
        <f>H190-D194</f>
        <v>-224</v>
      </c>
      <c r="N190" s="10">
        <f>2*(D195*I190)/(D195+I190)</f>
        <v>0.32954545454545453</v>
      </c>
      <c r="O190" s="1"/>
      <c r="P190" s="1"/>
      <c r="S190" t="s">
        <v>31</v>
      </c>
      <c r="T190" s="57">
        <f>I519</f>
        <v>47.333333333333336</v>
      </c>
      <c r="U190" s="57">
        <f>I520</f>
        <v>90.624999999999986</v>
      </c>
      <c r="V190" s="57">
        <f>I521</f>
        <v>97.994652406417117</v>
      </c>
      <c r="W190" s="57">
        <f>I522</f>
        <v>89.805825242718427</v>
      </c>
      <c r="X190" s="57">
        <f>I523</f>
        <v>97.038499506416585</v>
      </c>
      <c r="AD190" s="51"/>
      <c r="AE190" s="51"/>
    </row>
    <row r="191" spans="1:41" x14ac:dyDescent="0.3">
      <c r="A191" t="s">
        <v>5</v>
      </c>
      <c r="B191" s="13">
        <v>2</v>
      </c>
      <c r="C191" s="5">
        <v>0</v>
      </c>
      <c r="D191" s="1">
        <v>0</v>
      </c>
      <c r="E191" s="27">
        <v>731</v>
      </c>
      <c r="F191" s="1">
        <v>16</v>
      </c>
      <c r="G191" s="6">
        <v>1</v>
      </c>
      <c r="H191" s="1">
        <f>SUM(C191:G191)</f>
        <v>748</v>
      </c>
      <c r="I191" s="10">
        <f>E191/H191</f>
        <v>0.97727272727272729</v>
      </c>
      <c r="J191" s="11">
        <f>1-I191</f>
        <v>2.2727272727272707E-2</v>
      </c>
      <c r="K191">
        <f>H191-E194</f>
        <v>-43</v>
      </c>
      <c r="N191" s="10">
        <f>2*(E195*I191)/(E195+I191)</f>
        <v>0.9499675113710202</v>
      </c>
      <c r="O191" s="1"/>
      <c r="P191" s="1"/>
      <c r="S191" s="66" t="s">
        <v>39</v>
      </c>
      <c r="T191" s="67">
        <f>J519</f>
        <v>2.356287560245498</v>
      </c>
      <c r="U191" s="67">
        <f>J520</f>
        <v>3.6723103212062722</v>
      </c>
      <c r="V191" s="67">
        <f>J521</f>
        <v>0.5129035654513856</v>
      </c>
      <c r="W191" s="67">
        <f>J522</f>
        <v>1.2181077580097077</v>
      </c>
      <c r="X191" s="67">
        <f>J523</f>
        <v>0.5328901400555518</v>
      </c>
      <c r="AD191" s="51"/>
      <c r="AE191" s="51"/>
      <c r="AN191" s="78"/>
      <c r="AO191" s="78"/>
    </row>
    <row r="192" spans="1:41" x14ac:dyDescent="0.3">
      <c r="A192" t="s">
        <v>6</v>
      </c>
      <c r="B192" s="13">
        <v>3</v>
      </c>
      <c r="C192" s="5">
        <v>0</v>
      </c>
      <c r="D192" s="1">
        <v>1</v>
      </c>
      <c r="E192" s="1">
        <v>52</v>
      </c>
      <c r="F192" s="27">
        <v>554</v>
      </c>
      <c r="G192" s="6">
        <v>11</v>
      </c>
      <c r="H192" s="1">
        <f>SUM(C192:G192)</f>
        <v>618</v>
      </c>
      <c r="I192" s="10">
        <f>F192/H192</f>
        <v>0.8964401294498382</v>
      </c>
      <c r="J192" s="11">
        <f>1-I192</f>
        <v>0.1035598705501618</v>
      </c>
      <c r="K192">
        <f>H192-F194</f>
        <v>-47</v>
      </c>
      <c r="N192" s="10">
        <f>2*(F195*I192)/(F195+I192)</f>
        <v>0.86360093530787208</v>
      </c>
      <c r="O192" s="1"/>
      <c r="P192" s="1"/>
      <c r="S192" s="66" t="s">
        <v>51</v>
      </c>
      <c r="T192" s="67">
        <f>N508*100</f>
        <v>64.25339366515837</v>
      </c>
      <c r="U192" s="67">
        <f>N509*100</f>
        <v>73.885350318471339</v>
      </c>
      <c r="V192" s="67">
        <f>N510*100</f>
        <v>95.071335927367073</v>
      </c>
      <c r="W192" s="67">
        <f>N511*100</f>
        <v>79.003558718861214</v>
      </c>
      <c r="X192" s="67">
        <f>N512*100</f>
        <v>97.374938088162466</v>
      </c>
      <c r="AD192" s="51"/>
      <c r="AE192" s="51"/>
    </row>
    <row r="193" spans="1:48" x14ac:dyDescent="0.3">
      <c r="A193" t="s">
        <v>7</v>
      </c>
      <c r="B193" s="13">
        <v>4</v>
      </c>
      <c r="C193" s="7">
        <v>0</v>
      </c>
      <c r="D193" s="8">
        <v>0</v>
      </c>
      <c r="E193" s="8">
        <v>2</v>
      </c>
      <c r="F193" s="8">
        <v>43</v>
      </c>
      <c r="G193" s="28">
        <v>968</v>
      </c>
      <c r="H193" s="1">
        <f>SUM(C193:G193)</f>
        <v>1013</v>
      </c>
      <c r="I193" s="10">
        <f>G193/H193</f>
        <v>0.9555774925962488</v>
      </c>
      <c r="J193" s="11">
        <f>1-I193</f>
        <v>4.4422507403751199E-2</v>
      </c>
      <c r="K193">
        <f>H193-G194</f>
        <v>33</v>
      </c>
      <c r="N193" s="10">
        <f>2*(G195*I193)/(G195+I193)</f>
        <v>0.9713998996487706</v>
      </c>
      <c r="O193" s="1"/>
      <c r="P193" s="1"/>
      <c r="R193" s="16" t="s">
        <v>61</v>
      </c>
      <c r="S193" t="s">
        <v>9</v>
      </c>
      <c r="T193" s="1">
        <f>N519</f>
        <v>196.54</v>
      </c>
      <c r="U193" s="1">
        <f>N520</f>
        <v>761.33</v>
      </c>
      <c r="V193" s="1">
        <f>N521</f>
        <v>57851.64</v>
      </c>
      <c r="W193" s="1">
        <f>N522</f>
        <v>31754.76</v>
      </c>
      <c r="X193" s="1">
        <f>N523</f>
        <v>5975.89</v>
      </c>
      <c r="Z193" t="s">
        <v>36</v>
      </c>
      <c r="AA193" s="1">
        <f>N524</f>
        <v>96540.160000000003</v>
      </c>
      <c r="AD193" s="51"/>
      <c r="AE193" s="51"/>
      <c r="AL193" s="131">
        <v>0</v>
      </c>
      <c r="AM193" s="132">
        <v>1</v>
      </c>
      <c r="AN193" s="132">
        <v>2</v>
      </c>
      <c r="AO193" s="132">
        <v>3</v>
      </c>
      <c r="AP193" s="133">
        <v>4</v>
      </c>
    </row>
    <row r="194" spans="1:48" ht="15.6" x14ac:dyDescent="0.35">
      <c r="B194" s="1" t="s">
        <v>19</v>
      </c>
      <c r="C194" s="1">
        <f>SUM(C189:C193)</f>
        <v>169</v>
      </c>
      <c r="D194" s="1">
        <f>SUM(D189:D193)</f>
        <v>288</v>
      </c>
      <c r="E194" s="1">
        <f>SUM(E189:E193)</f>
        <v>791</v>
      </c>
      <c r="F194" s="1">
        <f>SUM(F189:F193)</f>
        <v>665</v>
      </c>
      <c r="G194" s="1">
        <f>SUM(G189:G193)</f>
        <v>980</v>
      </c>
      <c r="H194" s="1">
        <f>SUM(H188:H193)</f>
        <v>2893</v>
      </c>
      <c r="I194" s="13" t="s">
        <v>12</v>
      </c>
      <c r="N194" s="16"/>
      <c r="O194" s="1"/>
      <c r="P194" s="1"/>
      <c r="R194" s="16" t="s">
        <v>318</v>
      </c>
      <c r="S194" t="s">
        <v>63</v>
      </c>
      <c r="T194" s="57">
        <f>$AA193*T186/100</f>
        <v>93.028933333333327</v>
      </c>
      <c r="U194" s="57">
        <f>$AA193*U186/100</f>
        <v>705.24175694444432</v>
      </c>
      <c r="V194" s="57">
        <f>$AA193*V186/100</f>
        <v>59452.507371494437</v>
      </c>
      <c r="W194" s="57">
        <f>$AA193*W186/100</f>
        <v>29843.10769949952</v>
      </c>
      <c r="X194" s="57">
        <f>$AA193*X186/100</f>
        <v>6446.2742387282733</v>
      </c>
      <c r="Z194" t="s">
        <v>36</v>
      </c>
      <c r="AA194" s="25">
        <f>SUM(T194:X194)</f>
        <v>96540.160000000018</v>
      </c>
      <c r="AD194" s="51"/>
      <c r="AE194" s="51"/>
      <c r="AJ194" t="s">
        <v>2</v>
      </c>
      <c r="AQ194" t="s">
        <v>633</v>
      </c>
    </row>
    <row r="195" spans="1:48" x14ac:dyDescent="0.3">
      <c r="A195" s="1" t="s">
        <v>316</v>
      </c>
      <c r="B195" s="1" t="s">
        <v>2</v>
      </c>
      <c r="C195" s="10">
        <f>C189/C194</f>
        <v>1</v>
      </c>
      <c r="D195" s="10">
        <f>D190/D194</f>
        <v>0.2013888888888889</v>
      </c>
      <c r="E195" s="10">
        <f>E191/E194</f>
        <v>0.92414664981036665</v>
      </c>
      <c r="F195" s="10">
        <f>F192/F194</f>
        <v>0.83308270676691731</v>
      </c>
      <c r="G195" s="10">
        <f>G193/G194</f>
        <v>0.98775510204081629</v>
      </c>
      <c r="H195" s="10"/>
      <c r="I195" s="14">
        <f>(C189+D190+E191+F192+G193)/H194</f>
        <v>0.85724161769789142</v>
      </c>
      <c r="R195" s="66"/>
      <c r="S195" s="66" t="s">
        <v>62</v>
      </c>
      <c r="T195" s="67">
        <f>$AA193*T187/100</f>
        <v>4.6258991006423225</v>
      </c>
      <c r="U195" s="67">
        <f>$AA193*U187/100</f>
        <v>27.849877444913176</v>
      </c>
      <c r="V195" s="67">
        <f>$AA193*V187/100</f>
        <v>463.18467237516825</v>
      </c>
      <c r="W195" s="67">
        <f>$AA193*W187/100</f>
        <v>482.17249403924956</v>
      </c>
      <c r="X195" s="67">
        <f>$AA193*X187/100</f>
        <v>188.45270041952114</v>
      </c>
      <c r="AA195" s="1"/>
      <c r="AD195" s="51"/>
      <c r="AE195" s="51"/>
      <c r="AJ195" t="s">
        <v>633</v>
      </c>
      <c r="AK195">
        <v>0</v>
      </c>
      <c r="AL195" s="1">
        <v>164.9</v>
      </c>
      <c r="AM195" s="1">
        <v>121.72</v>
      </c>
      <c r="AN195" s="1">
        <v>4109.29</v>
      </c>
      <c r="AO195" s="1">
        <v>15901.15</v>
      </c>
      <c r="AP195" s="1">
        <v>4350.74</v>
      </c>
      <c r="AR195" s="1">
        <v>170.88</v>
      </c>
      <c r="AS195" s="1">
        <v>733.49</v>
      </c>
      <c r="AT195" s="1">
        <v>58037.74</v>
      </c>
      <c r="AU195" s="1">
        <v>31727.65</v>
      </c>
      <c r="AV195" s="1">
        <v>5870.39</v>
      </c>
    </row>
    <row r="196" spans="1:48" x14ac:dyDescent="0.3">
      <c r="B196" s="1" t="s">
        <v>14</v>
      </c>
      <c r="C196" s="11">
        <f>1-C195</f>
        <v>0</v>
      </c>
      <c r="D196" s="11">
        <f>1-D195</f>
        <v>0.79861111111111116</v>
      </c>
      <c r="E196" s="11">
        <f>1-E195</f>
        <v>7.5853350189633351E-2</v>
      </c>
      <c r="F196" s="11">
        <f>1-F195</f>
        <v>0.16691729323308269</v>
      </c>
      <c r="G196" s="11">
        <f>1-G195</f>
        <v>1.2244897959183709E-2</v>
      </c>
      <c r="R196" t="s">
        <v>106</v>
      </c>
      <c r="S196" t="s">
        <v>28</v>
      </c>
      <c r="T196" s="57">
        <f>C553</f>
        <v>7.0472233573285317E-2</v>
      </c>
      <c r="U196" s="57">
        <f t="shared" ref="U196:X199" si="32">D553</f>
        <v>0.67110946844395825</v>
      </c>
      <c r="V196" s="57">
        <f t="shared" si="32"/>
        <v>61.995546847923499</v>
      </c>
      <c r="W196" s="57">
        <f t="shared" si="32"/>
        <v>30.994775113076095</v>
      </c>
      <c r="X196" s="57">
        <f t="shared" si="32"/>
        <v>6.268096336983163</v>
      </c>
      <c r="Y196" s="13"/>
      <c r="Z196" s="74"/>
      <c r="AA196" s="12"/>
      <c r="AD196" s="51"/>
      <c r="AE196" s="51"/>
      <c r="AJ196" t="s">
        <v>633</v>
      </c>
      <c r="AK196">
        <v>1</v>
      </c>
      <c r="AL196" s="1">
        <v>208.51</v>
      </c>
      <c r="AM196" s="1">
        <v>108.34</v>
      </c>
      <c r="AN196" s="1">
        <v>4077.42</v>
      </c>
      <c r="AO196" s="1">
        <v>15892.34</v>
      </c>
      <c r="AP196" s="1">
        <v>4361.1899999999996</v>
      </c>
      <c r="AR196" s="1">
        <v>214.45</v>
      </c>
      <c r="AS196" s="1">
        <v>801.95</v>
      </c>
      <c r="AT196" s="1">
        <v>57773.9</v>
      </c>
      <c r="AU196" s="1">
        <v>32040.85</v>
      </c>
      <c r="AV196" s="1">
        <v>5709</v>
      </c>
    </row>
    <row r="197" spans="1:48" x14ac:dyDescent="0.3">
      <c r="C197" s="2"/>
      <c r="S197" s="66" t="s">
        <v>39</v>
      </c>
      <c r="T197" s="67">
        <f>C554</f>
        <v>4.2635006595291968E-3</v>
      </c>
      <c r="U197" s="67">
        <f t="shared" si="32"/>
        <v>2.6954447848920378E-2</v>
      </c>
      <c r="V197" s="67">
        <f t="shared" si="32"/>
        <v>0.50464234176938272</v>
      </c>
      <c r="W197" s="67">
        <f t="shared" si="32"/>
        <v>0.52705070887070493</v>
      </c>
      <c r="X197" s="67">
        <f t="shared" si="32"/>
        <v>0.17136813674450982</v>
      </c>
      <c r="AD197" s="51"/>
      <c r="AE197" s="51"/>
      <c r="AJ197" t="s">
        <v>633</v>
      </c>
      <c r="AK197">
        <v>2</v>
      </c>
      <c r="AL197" s="1">
        <v>191.66</v>
      </c>
      <c r="AM197" s="1">
        <v>104.46</v>
      </c>
      <c r="AN197" s="1">
        <v>4100.24</v>
      </c>
      <c r="AO197" s="1">
        <v>16083.27</v>
      </c>
      <c r="AP197" s="1">
        <v>4168.16</v>
      </c>
      <c r="AR197" s="1">
        <v>196.58</v>
      </c>
      <c r="AS197" s="1">
        <v>724.94</v>
      </c>
      <c r="AT197" s="1">
        <v>57924.63</v>
      </c>
      <c r="AU197" s="1">
        <v>32137.18</v>
      </c>
      <c r="AV197" s="1">
        <v>5556.82</v>
      </c>
    </row>
    <row r="198" spans="1:48" ht="15.6" x14ac:dyDescent="0.35">
      <c r="A198" t="s">
        <v>317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32"/>
        <v>99.876460526956279</v>
      </c>
      <c r="V198" s="57">
        <f t="shared" si="32"/>
        <v>94.782985548368941</v>
      </c>
      <c r="W198" s="57">
        <f t="shared" si="32"/>
        <v>94.841272495668022</v>
      </c>
      <c r="X198" s="57">
        <f t="shared" si="32"/>
        <v>91.4576402975772</v>
      </c>
      <c r="AD198" s="51"/>
      <c r="AE198" s="51"/>
      <c r="AJ198" t="s">
        <v>633</v>
      </c>
      <c r="AK198">
        <v>3</v>
      </c>
      <c r="AL198" s="1">
        <v>186.39</v>
      </c>
      <c r="AM198" s="1">
        <v>97.9</v>
      </c>
      <c r="AN198" s="1">
        <v>4093.78</v>
      </c>
      <c r="AO198" s="1">
        <v>15923.29</v>
      </c>
      <c r="AP198" s="1">
        <v>4346.42</v>
      </c>
      <c r="AR198" s="1">
        <v>191.32</v>
      </c>
      <c r="AS198" s="1">
        <v>682.8</v>
      </c>
      <c r="AT198" s="1">
        <v>58022.45</v>
      </c>
      <c r="AU198" s="1">
        <v>31803.63</v>
      </c>
      <c r="AV198" s="1">
        <v>5839.94</v>
      </c>
    </row>
    <row r="199" spans="1:48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32"/>
        <v>0.10047433389814336</v>
      </c>
      <c r="V199" s="67">
        <f t="shared" si="32"/>
        <v>0.6569386479387006</v>
      </c>
      <c r="W199" s="67">
        <f t="shared" si="32"/>
        <v>1.2018128136236499</v>
      </c>
      <c r="X199" s="67">
        <f t="shared" si="32"/>
        <v>2.4961065872054156</v>
      </c>
      <c r="AD199" s="51"/>
      <c r="AE199" s="51"/>
      <c r="AJ199" t="s">
        <v>633</v>
      </c>
      <c r="AK199">
        <v>4</v>
      </c>
      <c r="AL199" s="1">
        <v>190.39</v>
      </c>
      <c r="AM199" s="1">
        <v>123.35</v>
      </c>
      <c r="AN199" s="1">
        <v>4050.36</v>
      </c>
      <c r="AO199" s="1">
        <v>15981.34</v>
      </c>
      <c r="AP199" s="1">
        <v>4302.3599999999997</v>
      </c>
      <c r="AR199" s="1">
        <v>196.9</v>
      </c>
      <c r="AS199" s="1">
        <v>792.04</v>
      </c>
      <c r="AT199" s="1">
        <v>57703.78</v>
      </c>
      <c r="AU199" s="1">
        <v>32106.99</v>
      </c>
      <c r="AV199" s="1">
        <v>5740.45</v>
      </c>
    </row>
    <row r="200" spans="1:48" x14ac:dyDescent="0.3">
      <c r="A200" t="s">
        <v>3</v>
      </c>
      <c r="B200" s="13">
        <v>0</v>
      </c>
      <c r="C200" s="29">
        <f>(C189/$L200)*$O200</f>
        <v>6.7684700211374335E-2</v>
      </c>
      <c r="D200" s="31">
        <f>(D189/$L200)*$O200</f>
        <v>9.1714771292335642E-2</v>
      </c>
      <c r="E200" s="31">
        <f>(E189/$L200)*$O200</f>
        <v>0</v>
      </c>
      <c r="F200" s="31">
        <f>(F189/$L200)*$O200</f>
        <v>2.0826061603499799E-2</v>
      </c>
      <c r="G200" s="32">
        <f>(G189/$L200)*$O200</f>
        <v>0</v>
      </c>
      <c r="H200" s="17">
        <f>SUM(C200:G200)</f>
        <v>0.18022553310720979</v>
      </c>
      <c r="I200" s="17">
        <f>C200/H200*100</f>
        <v>37.55555555555555</v>
      </c>
      <c r="J200" s="17">
        <f>SQRT(I200*(100-I200)/(L200-1))</f>
        <v>2.2853926587368569</v>
      </c>
      <c r="K200" s="18">
        <f>100-I200</f>
        <v>62.44444444444445</v>
      </c>
      <c r="L200" s="1">
        <f>H189</f>
        <v>450</v>
      </c>
      <c r="M200">
        <v>0</v>
      </c>
      <c r="N200" s="1">
        <v>173.99</v>
      </c>
      <c r="O200" s="17">
        <f>N200/N205*100</f>
        <v>0.18022553310720979</v>
      </c>
      <c r="P200" s="52">
        <f>((O200*O200*(I200/100)*(K200/100))/(L200-1))</f>
        <v>1.6965016784171486E-5</v>
      </c>
      <c r="S200" t="s">
        <v>31</v>
      </c>
      <c r="T200" s="57">
        <f>I548</f>
        <v>37.777777777777779</v>
      </c>
      <c r="U200" s="57">
        <f>I549</f>
        <v>90.625000000000014</v>
      </c>
      <c r="V200" s="57">
        <f>I550</f>
        <v>97.860962566844918</v>
      </c>
      <c r="W200" s="57">
        <f>I551</f>
        <v>88.834951456310691</v>
      </c>
      <c r="X200" s="57">
        <f>I552</f>
        <v>96.544916090819342</v>
      </c>
      <c r="AD200" s="51"/>
      <c r="AE200" s="51"/>
      <c r="AJ200" t="s">
        <v>633</v>
      </c>
      <c r="AK200">
        <v>5</v>
      </c>
      <c r="AL200" s="1">
        <v>191.59</v>
      </c>
      <c r="AM200" s="1">
        <v>150.19999999999999</v>
      </c>
      <c r="AN200" s="1">
        <v>4027.34</v>
      </c>
      <c r="AO200" s="1">
        <v>15884.97</v>
      </c>
      <c r="AP200" s="1">
        <v>4393.6899999999996</v>
      </c>
      <c r="AR200" s="1">
        <v>201.05</v>
      </c>
      <c r="AS200" s="1">
        <v>829.57</v>
      </c>
      <c r="AT200" s="1">
        <v>57779.42</v>
      </c>
      <c r="AU200" s="1">
        <v>31752.04</v>
      </c>
      <c r="AV200" s="1">
        <v>5978.08</v>
      </c>
    </row>
    <row r="201" spans="1:48" x14ac:dyDescent="0.3">
      <c r="A201" t="s">
        <v>4</v>
      </c>
      <c r="B201" s="13">
        <v>1</v>
      </c>
      <c r="C201" s="33">
        <f t="shared" ref="C201:G204" si="33">(C190/$L201)*$O201</f>
        <v>0</v>
      </c>
      <c r="D201" s="34">
        <f t="shared" si="33"/>
        <v>0.71100243007701958</v>
      </c>
      <c r="E201" s="19">
        <f t="shared" si="33"/>
        <v>7.3551975525208924E-2</v>
      </c>
      <c r="F201" s="18">
        <f t="shared" si="33"/>
        <v>0</v>
      </c>
      <c r="G201" s="20">
        <f t="shared" si="33"/>
        <v>0</v>
      </c>
      <c r="H201" s="17">
        <f>SUM(C201:G201)</f>
        <v>0.78455440560222844</v>
      </c>
      <c r="I201" s="17">
        <f>D201/H201*100</f>
        <v>90.625000000000014</v>
      </c>
      <c r="J201" s="17">
        <f>SQRT(I201*(100-I201)/(L201-1))</f>
        <v>3.6723103212062673</v>
      </c>
      <c r="K201" s="18">
        <f>100-I201</f>
        <v>9.3749999999999858</v>
      </c>
      <c r="L201" s="1">
        <f>H190</f>
        <v>64</v>
      </c>
      <c r="M201">
        <v>1</v>
      </c>
      <c r="N201" s="1">
        <v>757.41</v>
      </c>
      <c r="O201" s="17">
        <f>N201/N205*100</f>
        <v>0.78455440560222856</v>
      </c>
      <c r="P201" s="52">
        <f>((O201*O201*(I201/100)*(K201/100))/(L201-1))</f>
        <v>8.3008941802204677E-4</v>
      </c>
      <c r="S201" s="66" t="s">
        <v>39</v>
      </c>
      <c r="T201" s="67">
        <f>J548</f>
        <v>2.2880620192422505</v>
      </c>
      <c r="U201" s="67">
        <f>J549</f>
        <v>3.6723103212062673</v>
      </c>
      <c r="V201" s="67">
        <f>J550</f>
        <v>0.52936306120566767</v>
      </c>
      <c r="W201" s="67">
        <f>J551</f>
        <v>1.2678844062943833</v>
      </c>
      <c r="X201" s="67">
        <f>J552</f>
        <v>0.57412141684768081</v>
      </c>
      <c r="AD201" s="51"/>
      <c r="AE201" s="51"/>
      <c r="AJ201" t="s">
        <v>633</v>
      </c>
      <c r="AK201">
        <v>6</v>
      </c>
      <c r="AL201" s="1">
        <v>168.61</v>
      </c>
      <c r="AM201" s="1">
        <v>127.73</v>
      </c>
      <c r="AN201" s="1">
        <v>4066.65</v>
      </c>
      <c r="AO201" s="1">
        <v>15988.18</v>
      </c>
      <c r="AP201" s="1">
        <v>4296.63</v>
      </c>
      <c r="AR201" s="1">
        <v>173.99</v>
      </c>
      <c r="AS201" s="1">
        <v>757.41</v>
      </c>
      <c r="AT201" s="1">
        <v>57714.02</v>
      </c>
      <c r="AU201" s="1">
        <v>32173.38</v>
      </c>
      <c r="AV201" s="1">
        <v>5721.35</v>
      </c>
    </row>
    <row r="202" spans="1:48" x14ac:dyDescent="0.3">
      <c r="A202" t="s">
        <v>5</v>
      </c>
      <c r="B202" s="13">
        <v>2</v>
      </c>
      <c r="C202" s="33">
        <f t="shared" si="33"/>
        <v>0</v>
      </c>
      <c r="D202" s="19">
        <f t="shared" si="33"/>
        <v>0</v>
      </c>
      <c r="E202" s="34">
        <f t="shared" si="33"/>
        <v>58.423710474111253</v>
      </c>
      <c r="F202" s="19">
        <f t="shared" si="33"/>
        <v>1.2787679447137894</v>
      </c>
      <c r="G202" s="20">
        <f t="shared" si="33"/>
        <v>7.9922996544611838E-2</v>
      </c>
      <c r="H202" s="17">
        <f>SUM(C202:G202)</f>
        <v>59.782401415369655</v>
      </c>
      <c r="I202" s="17">
        <f>E202/H202*100</f>
        <v>97.727272727272734</v>
      </c>
      <c r="J202" s="17">
        <f>SQRT(I202*(100-I202)/(L202-1))</f>
        <v>0.54528211139992067</v>
      </c>
      <c r="K202" s="18">
        <f>100-I202</f>
        <v>2.2727272727272663</v>
      </c>
      <c r="L202" s="1">
        <f>H191</f>
        <v>748</v>
      </c>
      <c r="M202">
        <v>2</v>
      </c>
      <c r="N202" s="1">
        <v>57714.02</v>
      </c>
      <c r="O202" s="17">
        <f>N202/N205*100</f>
        <v>59.782401415369655</v>
      </c>
      <c r="P202" s="52">
        <f>((O202*O202*(I202/100)*(K202/100))/(L202-1))</f>
        <v>0.106264747223398</v>
      </c>
      <c r="S202" s="66" t="s">
        <v>51</v>
      </c>
      <c r="T202" s="67">
        <f>N537*100</f>
        <v>54.838709677419352</v>
      </c>
      <c r="U202" s="67">
        <f>N538*100</f>
        <v>93.548387096774192</v>
      </c>
      <c r="V202" s="67">
        <f>N539*100</f>
        <v>94.695989650711525</v>
      </c>
      <c r="W202" s="67">
        <f>N540*100</f>
        <v>73.444816053511715</v>
      </c>
      <c r="X202" s="67">
        <f>N541*100</f>
        <v>97.751124437781115</v>
      </c>
      <c r="AD202" s="51"/>
      <c r="AE202" s="51"/>
      <c r="AJ202" t="s">
        <v>633</v>
      </c>
      <c r="AK202">
        <v>7</v>
      </c>
      <c r="AL202" s="1">
        <v>164.19</v>
      </c>
      <c r="AM202" s="1">
        <v>132.32</v>
      </c>
      <c r="AN202" s="1">
        <v>4107.78</v>
      </c>
      <c r="AO202" s="1">
        <v>15971.64</v>
      </c>
      <c r="AP202" s="1">
        <v>4271.87</v>
      </c>
      <c r="AR202" s="1">
        <v>175.03</v>
      </c>
      <c r="AS202" s="1">
        <v>754.43</v>
      </c>
      <c r="AT202" s="1">
        <v>57997.78</v>
      </c>
      <c r="AU202" s="1">
        <v>31892.16</v>
      </c>
      <c r="AV202" s="1">
        <v>5720.75</v>
      </c>
    </row>
    <row r="203" spans="1:48" x14ac:dyDescent="0.3">
      <c r="A203" t="s">
        <v>6</v>
      </c>
      <c r="B203" s="13">
        <v>3</v>
      </c>
      <c r="C203" s="33">
        <f t="shared" si="33"/>
        <v>0</v>
      </c>
      <c r="D203" s="19">
        <f t="shared" si="33"/>
        <v>5.3926252897776937E-2</v>
      </c>
      <c r="E203" s="19">
        <f t="shared" si="33"/>
        <v>2.8041651506844008</v>
      </c>
      <c r="F203" s="34">
        <f t="shared" si="33"/>
        <v>29.875144105368424</v>
      </c>
      <c r="G203" s="20">
        <f t="shared" si="33"/>
        <v>0.59318878187554636</v>
      </c>
      <c r="H203" s="17">
        <f>SUM(C203:G203)</f>
        <v>33.326424290826147</v>
      </c>
      <c r="I203" s="17">
        <f>F203/H203*100</f>
        <v>89.644012944983814</v>
      </c>
      <c r="J203" s="17">
        <f>SQRT(I203*(100-I203)/(L203-1))</f>
        <v>1.2266306499540665</v>
      </c>
      <c r="K203" s="18">
        <f>100-I203</f>
        <v>10.355987055016186</v>
      </c>
      <c r="L203" s="1">
        <f>H192</f>
        <v>618</v>
      </c>
      <c r="M203">
        <v>3</v>
      </c>
      <c r="N203" s="1">
        <v>32173.38</v>
      </c>
      <c r="O203" s="17">
        <f>N203/N205*100</f>
        <v>33.326424290826147</v>
      </c>
      <c r="P203" s="52">
        <f>((O203*O203*(I203/100)*(K203/100))/(L203-1))</f>
        <v>0.16711100954384472</v>
      </c>
      <c r="R203" s="16" t="s">
        <v>61</v>
      </c>
      <c r="S203" t="s">
        <v>9</v>
      </c>
      <c r="T203" s="1">
        <f>N548</f>
        <v>180.09</v>
      </c>
      <c r="U203" s="1">
        <f>N549</f>
        <v>714.03</v>
      </c>
      <c r="V203" s="1">
        <f>N550</f>
        <v>57968.14</v>
      </c>
      <c r="W203" s="1">
        <f>N551</f>
        <v>31945.52</v>
      </c>
      <c r="X203" s="1">
        <f>N552</f>
        <v>5732.37</v>
      </c>
      <c r="Z203" t="s">
        <v>36</v>
      </c>
      <c r="AA203" s="1">
        <f>N553</f>
        <v>96540.15</v>
      </c>
      <c r="AD203" s="51"/>
      <c r="AE203" s="51"/>
      <c r="AJ203" t="s">
        <v>633</v>
      </c>
      <c r="AK203">
        <v>8</v>
      </c>
      <c r="AL203" s="1">
        <v>221.98</v>
      </c>
      <c r="AM203" s="1">
        <v>111.85</v>
      </c>
      <c r="AN203" s="1">
        <v>4131.45</v>
      </c>
      <c r="AO203" s="1">
        <v>15955.88</v>
      </c>
      <c r="AP203" s="1">
        <v>4226.6499999999996</v>
      </c>
      <c r="AR203" s="1">
        <v>229.43</v>
      </c>
      <c r="AS203" s="1">
        <v>783.79</v>
      </c>
      <c r="AT203" s="1">
        <v>57953.69</v>
      </c>
      <c r="AU203" s="1">
        <v>31854.080000000002</v>
      </c>
      <c r="AV203" s="1">
        <v>5719.16</v>
      </c>
    </row>
    <row r="204" spans="1:48" ht="15.6" x14ac:dyDescent="0.35">
      <c r="A204" t="s">
        <v>7</v>
      </c>
      <c r="B204" s="13">
        <v>4</v>
      </c>
      <c r="C204" s="35">
        <f t="shared" si="33"/>
        <v>0</v>
      </c>
      <c r="D204" s="36">
        <f t="shared" si="33"/>
        <v>0</v>
      </c>
      <c r="E204" s="21">
        <f t="shared" si="33"/>
        <v>1.1700679871855371E-2</v>
      </c>
      <c r="F204" s="21">
        <f t="shared" si="33"/>
        <v>0.25156461724489049</v>
      </c>
      <c r="G204" s="37">
        <f t="shared" si="33"/>
        <v>5.6631290579779998</v>
      </c>
      <c r="H204" s="17">
        <f>SUM(C204:G204)</f>
        <v>5.9263943550947458</v>
      </c>
      <c r="I204" s="17">
        <f>G204/H204*100</f>
        <v>95.557749259624885</v>
      </c>
      <c r="J204" s="17">
        <f>SQRT(I204*(100-I204)/(L204-1))</f>
        <v>0.64765576239113853</v>
      </c>
      <c r="K204" s="18">
        <f>100-I204</f>
        <v>4.4422507403751155</v>
      </c>
      <c r="L204" s="1">
        <f>H193</f>
        <v>1013</v>
      </c>
      <c r="M204">
        <v>4</v>
      </c>
      <c r="N204" s="1">
        <v>5721.35</v>
      </c>
      <c r="O204" s="17">
        <f>N204/N205*100</f>
        <v>5.9263943550947458</v>
      </c>
      <c r="P204" s="52">
        <f>((O204*O204*(I204/100)*(K204/100))/(L204-1))</f>
        <v>1.4732266344457043E-3</v>
      </c>
      <c r="R204" s="16" t="s">
        <v>318</v>
      </c>
      <c r="S204" t="s">
        <v>63</v>
      </c>
      <c r="T204" s="57">
        <f>$AA203*T196/100</f>
        <v>68.034000000000006</v>
      </c>
      <c r="U204" s="57">
        <f>$AA203*U196/100</f>
        <v>647.89008749999994</v>
      </c>
      <c r="V204" s="57">
        <f>$AA203*V196/100</f>
        <v>59850.593920305611</v>
      </c>
      <c r="W204" s="57">
        <f>$AA203*W196/100</f>
        <v>29922.402386326328</v>
      </c>
      <c r="X204" s="57">
        <f>$AA203*X196/100</f>
        <v>6051.2296058680504</v>
      </c>
      <c r="Z204" t="s">
        <v>36</v>
      </c>
      <c r="AA204" s="25">
        <f>SUM(T204:X204)</f>
        <v>96540.15</v>
      </c>
      <c r="AD204" s="51"/>
      <c r="AE204" s="51"/>
      <c r="AJ204" t="s">
        <v>633</v>
      </c>
      <c r="AK204">
        <v>9</v>
      </c>
      <c r="AL204" s="1">
        <v>186.85</v>
      </c>
      <c r="AM204" s="1">
        <v>128.21</v>
      </c>
      <c r="AN204" s="1">
        <v>4103.7700000000004</v>
      </c>
      <c r="AO204" s="1">
        <v>16026.09</v>
      </c>
      <c r="AP204" s="1">
        <v>4202.87</v>
      </c>
      <c r="AR204" s="1">
        <v>193.47</v>
      </c>
      <c r="AS204" s="1">
        <v>795.3</v>
      </c>
      <c r="AT204" s="1">
        <v>57895.199999999997</v>
      </c>
      <c r="AU204" s="1">
        <v>32059.57</v>
      </c>
      <c r="AV204" s="1">
        <v>5596.61</v>
      </c>
    </row>
    <row r="205" spans="1:48" x14ac:dyDescent="0.3">
      <c r="B205" t="s">
        <v>28</v>
      </c>
      <c r="C205" s="17">
        <f t="shared" ref="C205:H205" si="34">SUM(C200:C204)</f>
        <v>6.7684700211374335E-2</v>
      </c>
      <c r="D205" s="17">
        <f t="shared" si="34"/>
        <v>0.85664345426713218</v>
      </c>
      <c r="E205" s="17">
        <f t="shared" si="34"/>
        <v>61.313128280192714</v>
      </c>
      <c r="F205" s="17">
        <f t="shared" si="34"/>
        <v>31.426302728930605</v>
      </c>
      <c r="G205" s="17">
        <f t="shared" si="34"/>
        <v>6.3362408363981579</v>
      </c>
      <c r="H205" s="18">
        <f t="shared" si="34"/>
        <v>99.999999999999986</v>
      </c>
      <c r="I205" s="13" t="s">
        <v>24</v>
      </c>
      <c r="J205" s="12" t="s">
        <v>29</v>
      </c>
      <c r="N205" s="1">
        <f>SUM(N200:N204)</f>
        <v>96540.150000000009</v>
      </c>
      <c r="O205" s="17">
        <f>SUM(O200:O204)</f>
        <v>99.999999999999986</v>
      </c>
      <c r="R205" s="66"/>
      <c r="S205" s="66" t="s">
        <v>62</v>
      </c>
      <c r="T205" s="67">
        <f>$AA203*T197/100</f>
        <v>4.1159899319604758</v>
      </c>
      <c r="U205" s="67">
        <f>$AA203*U197/100</f>
        <v>26.021864385019501</v>
      </c>
      <c r="V205" s="67">
        <f>$AA203*V197/100</f>
        <v>487.18247370767472</v>
      </c>
      <c r="W205" s="67">
        <f>$AA203*W197/100</f>
        <v>508.81554491984184</v>
      </c>
      <c r="X205" s="67">
        <f>$AA203*X197/100</f>
        <v>165.43905626535488</v>
      </c>
      <c r="AA205" s="1"/>
      <c r="AD205" s="51"/>
      <c r="AE205" s="51"/>
      <c r="AJ205" t="s">
        <v>633</v>
      </c>
      <c r="AK205">
        <v>10</v>
      </c>
      <c r="AL205" s="1">
        <v>180.91</v>
      </c>
      <c r="AM205" s="1">
        <v>125.55</v>
      </c>
      <c r="AN205" s="1">
        <v>4129.9799999999996</v>
      </c>
      <c r="AO205" s="1">
        <v>15939.72</v>
      </c>
      <c r="AP205" s="1">
        <v>4271.6499999999996</v>
      </c>
      <c r="AR205" s="1">
        <v>189.46</v>
      </c>
      <c r="AS205" s="1">
        <v>815.14</v>
      </c>
      <c r="AT205" s="1">
        <v>58194.2</v>
      </c>
      <c r="AU205" s="1">
        <v>31652.82</v>
      </c>
      <c r="AV205" s="1">
        <v>5688.53</v>
      </c>
    </row>
    <row r="206" spans="1:48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4.1142820451292991E-3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6.1143224372185112E-2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0.49548197094622903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0.5179517860270012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0.19816657790150904</v>
      </c>
      <c r="H206" s="1"/>
      <c r="I206" s="14">
        <f>(C200+D201+E202+F203+G204)/H205</f>
        <v>0.94740670767746082</v>
      </c>
      <c r="J206" s="53">
        <f>SQRT(SUM(P200:P204))/100</f>
        <v>5.2506765072368976E-3</v>
      </c>
      <c r="M206" s="1"/>
      <c r="N206" s="9"/>
      <c r="R206" t="s">
        <v>107</v>
      </c>
      <c r="S206" t="s">
        <v>28</v>
      </c>
      <c r="T206" s="57">
        <f>C582</f>
        <v>7.0626665577885356E-2</v>
      </c>
      <c r="U206" s="57">
        <f t="shared" ref="U206:X209" si="35">D582</f>
        <v>0.95006973977957387</v>
      </c>
      <c r="V206" s="57">
        <f t="shared" si="35"/>
        <v>61.624752773500902</v>
      </c>
      <c r="W206" s="57">
        <f t="shared" si="35"/>
        <v>31.225914416690333</v>
      </c>
      <c r="X206" s="57">
        <f>G582</f>
        <v>6.1286364044513171</v>
      </c>
      <c r="Y206" s="60"/>
      <c r="Z206" s="74"/>
      <c r="AA206" s="12"/>
      <c r="AD206" s="51"/>
      <c r="AE206" s="51"/>
      <c r="AJ206" t="s">
        <v>633</v>
      </c>
      <c r="AK206">
        <v>11</v>
      </c>
      <c r="AL206" s="1">
        <v>168.37</v>
      </c>
      <c r="AM206" s="1">
        <v>104.14</v>
      </c>
      <c r="AN206" s="1">
        <v>4056.43</v>
      </c>
      <c r="AO206" s="1">
        <v>16028.87</v>
      </c>
      <c r="AP206" s="1">
        <v>4289.99</v>
      </c>
      <c r="AR206" s="1">
        <v>176.04</v>
      </c>
      <c r="AS206" s="1">
        <v>776.73</v>
      </c>
      <c r="AT206" s="1">
        <v>57779.63</v>
      </c>
      <c r="AU206" s="1">
        <v>32093.67</v>
      </c>
      <c r="AV206" s="1">
        <v>5714.08</v>
      </c>
    </row>
    <row r="207" spans="1:48" x14ac:dyDescent="0.3">
      <c r="B207" s="1" t="s">
        <v>30</v>
      </c>
      <c r="C207" s="17">
        <f>C200/C205*100</f>
        <v>100</v>
      </c>
      <c r="D207" s="17">
        <f>D201/D205*100</f>
        <v>82.998641562642874</v>
      </c>
      <c r="E207" s="17">
        <f>E202/E205*100</f>
        <v>95.287440247907085</v>
      </c>
      <c r="F207" s="17">
        <f>F203/F205*100</f>
        <v>95.064138989107988</v>
      </c>
      <c r="G207" s="17">
        <f>G204/G205*100</f>
        <v>89.376796182469775</v>
      </c>
      <c r="H207" s="1"/>
      <c r="S207" s="66" t="s">
        <v>39</v>
      </c>
      <c r="T207" s="67">
        <f>C583</f>
        <v>4.0965718455786004E-3</v>
      </c>
      <c r="U207" s="67">
        <f t="shared" si="35"/>
        <v>8.0633075003014545E-2</v>
      </c>
      <c r="V207" s="67">
        <f t="shared" si="35"/>
        <v>0.4745018822682695</v>
      </c>
      <c r="W207" s="67">
        <f t="shared" si="35"/>
        <v>0.49778588657794332</v>
      </c>
      <c r="X207" s="67">
        <f t="shared" si="35"/>
        <v>0.18988115240661588</v>
      </c>
      <c r="AD207" s="51"/>
      <c r="AE207" s="51"/>
      <c r="AJ207" t="s">
        <v>633</v>
      </c>
      <c r="AK207">
        <v>12</v>
      </c>
      <c r="AL207" s="1">
        <v>183.77</v>
      </c>
      <c r="AM207" s="1">
        <v>114.77</v>
      </c>
      <c r="AN207" s="1">
        <v>4070.22</v>
      </c>
      <c r="AO207" s="1">
        <v>15954.66</v>
      </c>
      <c r="AP207" s="1">
        <v>4324.38</v>
      </c>
      <c r="AR207" s="1">
        <v>189.81</v>
      </c>
      <c r="AS207" s="1">
        <v>836.56</v>
      </c>
      <c r="AT207" s="1">
        <v>57854.35</v>
      </c>
      <c r="AU207" s="1">
        <v>31886.98</v>
      </c>
      <c r="AV207" s="1">
        <v>5772.45</v>
      </c>
    </row>
    <row r="208" spans="1:48" x14ac:dyDescent="0.3">
      <c r="B208" s="16" t="s">
        <v>39</v>
      </c>
      <c r="C208" s="18">
        <f>SQRT((C211+C212)/(C205*C205))</f>
        <v>0</v>
      </c>
      <c r="D208" s="18">
        <f>SQRT((D211+D212)/(D205*D205))</f>
        <v>7.7565607039830944</v>
      </c>
      <c r="E208" s="18">
        <f>SQRT((E211+E212)/(E205*E205))</f>
        <v>0.63244648930387437</v>
      </c>
      <c r="F208" s="18">
        <f>SQRT((F211+F212)/(F205*F205))</f>
        <v>1.1582934371876124</v>
      </c>
      <c r="G208" s="18">
        <f>SQRT((G211+G212)/(G205*G205))</f>
        <v>2.8189768436087754</v>
      </c>
      <c r="H208" s="1"/>
      <c r="S208" t="s">
        <v>30</v>
      </c>
      <c r="T208" s="57">
        <f>C584</f>
        <v>100</v>
      </c>
      <c r="U208" s="57">
        <f t="shared" si="35"/>
        <v>80.214893280839632</v>
      </c>
      <c r="V208" s="57">
        <f t="shared" si="35"/>
        <v>95.628523355546577</v>
      </c>
      <c r="W208" s="57">
        <f t="shared" si="35"/>
        <v>95.509569177434742</v>
      </c>
      <c r="X208" s="57">
        <f t="shared" si="35"/>
        <v>89.951567300560981</v>
      </c>
      <c r="AD208" s="51"/>
      <c r="AE208" s="51"/>
      <c r="AJ208" t="s">
        <v>633</v>
      </c>
      <c r="AK208">
        <v>13</v>
      </c>
      <c r="AL208" s="1">
        <v>201.91</v>
      </c>
      <c r="AM208" s="1">
        <v>97.05</v>
      </c>
      <c r="AN208" s="1">
        <v>3996.83</v>
      </c>
      <c r="AO208" s="1">
        <v>15936.43</v>
      </c>
      <c r="AP208" s="1">
        <v>4415.5600000000004</v>
      </c>
      <c r="AR208" s="1">
        <v>209.32</v>
      </c>
      <c r="AS208" s="1">
        <v>758.03</v>
      </c>
      <c r="AT208" s="1">
        <v>57618.7</v>
      </c>
      <c r="AU208" s="1">
        <v>32037.8</v>
      </c>
      <c r="AV208" s="1">
        <v>5916.31</v>
      </c>
    </row>
    <row r="209" spans="1:48" x14ac:dyDescent="0.3">
      <c r="B209" s="1" t="s">
        <v>37</v>
      </c>
      <c r="C209" s="18">
        <f>100-C207</f>
        <v>0</v>
      </c>
      <c r="D209" s="18">
        <f>100-D207</f>
        <v>17.001358437357126</v>
      </c>
      <c r="E209" s="18">
        <f>100-E207</f>
        <v>4.7125597520929148</v>
      </c>
      <c r="F209" s="18">
        <f>100-F207</f>
        <v>4.9358610108920118</v>
      </c>
      <c r="G209" s="18">
        <f>100-G207</f>
        <v>10.623203817530225</v>
      </c>
      <c r="S209" s="66" t="s">
        <v>39</v>
      </c>
      <c r="T209" s="67">
        <f>C585</f>
        <v>0</v>
      </c>
      <c r="U209" s="67">
        <f t="shared" si="35"/>
        <v>8.649457005905024</v>
      </c>
      <c r="V209" s="67">
        <f t="shared" si="35"/>
        <v>0.60149399044061913</v>
      </c>
      <c r="W209" s="67">
        <f t="shared" si="35"/>
        <v>1.0822182788512356</v>
      </c>
      <c r="X209" s="67">
        <f t="shared" si="35"/>
        <v>2.8024207530238949</v>
      </c>
      <c r="AD209" s="51"/>
      <c r="AE209" s="51"/>
      <c r="AJ209" t="s">
        <v>633</v>
      </c>
      <c r="AK209">
        <v>14</v>
      </c>
      <c r="AL209" s="1">
        <v>181.39</v>
      </c>
      <c r="AM209" s="1">
        <v>131.83000000000001</v>
      </c>
      <c r="AN209" s="1">
        <v>4107.21</v>
      </c>
      <c r="AO209" s="1">
        <v>15870.25</v>
      </c>
      <c r="AP209" s="1">
        <v>4357.1099999999997</v>
      </c>
      <c r="AR209" s="1">
        <v>186.9</v>
      </c>
      <c r="AS209" s="1">
        <v>766.94</v>
      </c>
      <c r="AT209" s="1">
        <v>58011.76</v>
      </c>
      <c r="AU209" s="1">
        <v>31747.71</v>
      </c>
      <c r="AV209" s="1">
        <v>5826.84</v>
      </c>
    </row>
    <row r="210" spans="1:48" ht="15.6" x14ac:dyDescent="0.35">
      <c r="B210" s="1" t="s">
        <v>25</v>
      </c>
      <c r="C210" s="1">
        <f>C194</f>
        <v>169</v>
      </c>
      <c r="D210" s="1">
        <f>D194</f>
        <v>288</v>
      </c>
      <c r="E210" s="1">
        <f>E194</f>
        <v>791</v>
      </c>
      <c r="F210" s="1">
        <f>F194</f>
        <v>665</v>
      </c>
      <c r="G210" s="1">
        <f>G194</f>
        <v>980</v>
      </c>
      <c r="S210" s="15" t="s">
        <v>31</v>
      </c>
      <c r="T210" s="71">
        <f>I577</f>
        <v>39.777777777777779</v>
      </c>
      <c r="U210" s="71">
        <f>I578</f>
        <v>92.1875</v>
      </c>
      <c r="V210" s="71">
        <f>I579</f>
        <v>97.994652406417117</v>
      </c>
      <c r="W210" s="71">
        <f>I580</f>
        <v>90.129449838187696</v>
      </c>
      <c r="X210" s="71">
        <f>I581</f>
        <v>95.55774925962487</v>
      </c>
      <c r="AD210" s="51"/>
      <c r="AE210" s="51"/>
      <c r="AJ210" t="s">
        <v>633</v>
      </c>
      <c r="AK210">
        <v>15</v>
      </c>
      <c r="AL210" s="1">
        <v>177.36</v>
      </c>
      <c r="AM210" s="1">
        <v>138.18</v>
      </c>
      <c r="AN210" s="1">
        <v>4064.88</v>
      </c>
      <c r="AO210" s="1">
        <v>15890.06</v>
      </c>
      <c r="AP210" s="1">
        <v>4377.3100000000004</v>
      </c>
      <c r="AR210" s="1">
        <v>184.53</v>
      </c>
      <c r="AS210" s="1">
        <v>793.6</v>
      </c>
      <c r="AT210" s="1">
        <v>57780.69</v>
      </c>
      <c r="AU210" s="1">
        <v>31982.91</v>
      </c>
      <c r="AV210" s="1">
        <v>5798.42</v>
      </c>
    </row>
    <row r="211" spans="1:48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23.993418257233543</v>
      </c>
      <c r="E211" s="18">
        <f>(O202*O202*(100-E207)*(100-E207)*(I202)*(100-I202))/((L202-1)*100)</f>
        <v>235.99508226341567</v>
      </c>
      <c r="F211" s="18">
        <f>(O203*O203*(100-F207)*(100-F207)*(I203)*(100-I203))/((L203-1)*100)</f>
        <v>407.12793893159801</v>
      </c>
      <c r="G211" s="18">
        <f>(O204*O204*(100-G207)*(100-G207)*(I204)*(100-I204))/((L204-1)*100)</f>
        <v>16.625724887533671</v>
      </c>
      <c r="S211" s="75" t="s">
        <v>39</v>
      </c>
      <c r="T211" s="76">
        <f>J577</f>
        <v>2.3098058484532875</v>
      </c>
      <c r="U211" s="76">
        <f>J578</f>
        <v>3.3811213593755247</v>
      </c>
      <c r="V211" s="76">
        <f>J579</f>
        <v>0.5129035654513856</v>
      </c>
      <c r="W211" s="76">
        <f>J580</f>
        <v>1.2007745040335751</v>
      </c>
      <c r="X211" s="76">
        <f>J581</f>
        <v>0.64765576239113953</v>
      </c>
      <c r="AD211" s="51"/>
      <c r="AE211" s="51"/>
      <c r="AJ211" t="s">
        <v>633</v>
      </c>
      <c r="AK211">
        <v>16</v>
      </c>
      <c r="AL211" s="1">
        <v>195.91</v>
      </c>
      <c r="AM211" s="1">
        <v>114.92</v>
      </c>
      <c r="AN211" s="1">
        <v>4065.77</v>
      </c>
      <c r="AO211" s="1">
        <v>16070.13</v>
      </c>
      <c r="AP211" s="1">
        <v>4201.07</v>
      </c>
      <c r="AR211" s="1">
        <v>201.83</v>
      </c>
      <c r="AS211" s="1">
        <v>821.48</v>
      </c>
      <c r="AT211" s="1">
        <v>57823.37</v>
      </c>
      <c r="AU211" s="1">
        <v>32166.46</v>
      </c>
      <c r="AV211" s="1">
        <v>5527.02</v>
      </c>
    </row>
    <row r="212" spans="1:48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20.157383325118079</v>
      </c>
      <c r="E212" s="18">
        <f>E207*E207*(SUM((H200*E200*(1-E189/H189))/(H189-1),(H201*E201*(1-E190/H190))/(H190-1), (H203*E203*(1-E192/H192))/(H192-1),(H204*E204*(1-E193/H193))/(H193-1)))</f>
        <v>1267.6817980393971</v>
      </c>
      <c r="F212" s="18">
        <f>F207*F207*(SUM((H200*F200*(1-F189/H189))/(H189-1),(H201*F201*(1-F190/H190))/(H190-1), (H202*F202*(1-F191/H191))/(H191-1),(H204*F204*(1-F193/H193))/(H193-1)))</f>
        <v>917.89614083934418</v>
      </c>
      <c r="G212" s="18">
        <f>G207*G207*(SUM((H200*G200*(1-G189/H189))/(H189-1),(H201*G201*(1-G190/H190))/(H190-1), (H202*G202*(1-G191/H191))/(H191-1),(H203*G203*(1-G192/H192))/(H192-1)))</f>
        <v>302.41518048370153</v>
      </c>
      <c r="S212" s="66" t="s">
        <v>51</v>
      </c>
      <c r="T212" s="67">
        <f>N566*100</f>
        <v>56.91573926868044</v>
      </c>
      <c r="U212" s="67">
        <f>N567*100</f>
        <v>35.757575757575758</v>
      </c>
      <c r="V212" s="67">
        <f>N568*100</f>
        <v>95.442708333333343</v>
      </c>
      <c r="W212" s="67">
        <f>N569*100</f>
        <v>85.758275596612776</v>
      </c>
      <c r="X212" s="67">
        <f>N570*100</f>
        <v>97.188755020080336</v>
      </c>
      <c r="AD212" s="51"/>
      <c r="AE212" s="51"/>
      <c r="AJ212" t="s">
        <v>633</v>
      </c>
      <c r="AK212">
        <v>17</v>
      </c>
      <c r="AL212" s="1">
        <v>186.84</v>
      </c>
      <c r="AM212" s="1">
        <v>92.68</v>
      </c>
      <c r="AN212" s="1">
        <v>4084.91</v>
      </c>
      <c r="AO212" s="1">
        <v>15852.75</v>
      </c>
      <c r="AP212" s="1">
        <v>4430.62</v>
      </c>
      <c r="AR212" s="1">
        <v>196.54</v>
      </c>
      <c r="AS212" s="1">
        <v>761.33</v>
      </c>
      <c r="AT212" s="1">
        <v>57851.64</v>
      </c>
      <c r="AU212" s="1">
        <v>31754.76</v>
      </c>
      <c r="AV212" s="1">
        <v>5975.89</v>
      </c>
    </row>
    <row r="213" spans="1:48" x14ac:dyDescent="0.3">
      <c r="R213" s="16" t="s">
        <v>61</v>
      </c>
      <c r="S213" t="s">
        <v>9</v>
      </c>
      <c r="T213" s="1">
        <f>N577</f>
        <v>171.41</v>
      </c>
      <c r="U213" s="1">
        <f>N578</f>
        <v>798.08</v>
      </c>
      <c r="V213" s="1">
        <f>N579</f>
        <v>58056.15</v>
      </c>
      <c r="W213" s="1">
        <f>N580</f>
        <v>31945.03</v>
      </c>
      <c r="X213" s="1">
        <f>N581</f>
        <v>5569.48</v>
      </c>
      <c r="Z213" t="s">
        <v>36</v>
      </c>
      <c r="AA213" s="1">
        <f>N582</f>
        <v>96540.15</v>
      </c>
      <c r="AD213" s="51"/>
      <c r="AE213" s="51"/>
      <c r="AJ213" t="s">
        <v>633</v>
      </c>
      <c r="AK213">
        <v>18</v>
      </c>
      <c r="AL213" s="1">
        <v>174.26</v>
      </c>
      <c r="AM213" s="1">
        <v>87.02</v>
      </c>
      <c r="AN213" s="1">
        <v>4095.24</v>
      </c>
      <c r="AO213" s="1">
        <v>15997.06</v>
      </c>
      <c r="AP213" s="1">
        <v>4294.22</v>
      </c>
      <c r="AR213" s="1">
        <v>180.09</v>
      </c>
      <c r="AS213" s="1">
        <v>714.03</v>
      </c>
      <c r="AT213" s="1">
        <v>57968.14</v>
      </c>
      <c r="AU213" s="1">
        <v>31945.52</v>
      </c>
      <c r="AV213" s="1">
        <v>5732.37</v>
      </c>
    </row>
    <row r="214" spans="1:48" ht="15.6" x14ac:dyDescent="0.35">
      <c r="R214" s="16" t="s">
        <v>318</v>
      </c>
      <c r="S214" t="s">
        <v>63</v>
      </c>
      <c r="T214" s="57">
        <f>$AA213*T206/100</f>
        <v>68.183088888888889</v>
      </c>
      <c r="U214" s="57">
        <f>$AA213*U206/100</f>
        <v>917.1987518878102</v>
      </c>
      <c r="V214" s="57">
        <f>$AA213*V206/100</f>
        <v>59492.628764666923</v>
      </c>
      <c r="W214" s="57">
        <f>$AA213*W206/100</f>
        <v>30145.544616744472</v>
      </c>
      <c r="X214" s="57">
        <f>$AA213*X206/100</f>
        <v>5916.594777811908</v>
      </c>
      <c r="Z214" t="s">
        <v>36</v>
      </c>
      <c r="AA214" s="25">
        <f>SUM(T214:X214)</f>
        <v>96540.15</v>
      </c>
      <c r="AD214" s="51"/>
      <c r="AE214" s="51"/>
      <c r="AJ214" t="s">
        <v>633</v>
      </c>
      <c r="AK214">
        <v>19</v>
      </c>
      <c r="AL214" s="1">
        <v>167.09</v>
      </c>
      <c r="AM214" s="1">
        <v>125.91</v>
      </c>
      <c r="AN214" s="1">
        <v>4121.1000000000004</v>
      </c>
      <c r="AO214" s="1">
        <v>16028.16</v>
      </c>
      <c r="AP214" s="1">
        <v>4205.53</v>
      </c>
      <c r="AR214" s="1">
        <v>171.41</v>
      </c>
      <c r="AS214" s="1">
        <v>798.08</v>
      </c>
      <c r="AT214" s="1">
        <v>58056.15</v>
      </c>
      <c r="AU214" s="1">
        <v>31945.03</v>
      </c>
      <c r="AV214" s="1">
        <v>5569.48</v>
      </c>
    </row>
    <row r="215" spans="1:48" x14ac:dyDescent="0.3">
      <c r="A215" s="348" t="s">
        <v>386</v>
      </c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 t="s">
        <v>80</v>
      </c>
      <c r="M215" s="348"/>
      <c r="N215" s="348"/>
      <c r="O215" s="348"/>
      <c r="P215" s="348"/>
      <c r="R215" s="66"/>
      <c r="S215" s="66" t="s">
        <v>62</v>
      </c>
      <c r="T215" s="67">
        <f>$AA213*T207/100</f>
        <v>3.954836604579349</v>
      </c>
      <c r="U215" s="67">
        <f>$AA213*U207/100</f>
        <v>77.843291557522747</v>
      </c>
      <c r="V215" s="67">
        <f>$AA213*V207/100</f>
        <v>458.08482889461078</v>
      </c>
      <c r="W215" s="67">
        <f>$AA213*W207/100</f>
        <v>480.56324158117633</v>
      </c>
      <c r="X215" s="67">
        <f>$AA213*X207/100</f>
        <v>183.31154935507556</v>
      </c>
      <c r="AA215" s="1"/>
      <c r="AD215" s="51"/>
      <c r="AE215" s="51"/>
      <c r="AL215" s="1"/>
      <c r="AM215" s="1"/>
      <c r="AN215" s="1"/>
      <c r="AO215" s="1"/>
      <c r="AP215" s="1"/>
      <c r="AQ215" t="s">
        <v>644</v>
      </c>
    </row>
    <row r="216" spans="1:48" x14ac:dyDescent="0.3">
      <c r="A216" t="s">
        <v>315</v>
      </c>
      <c r="B216" t="s">
        <v>21</v>
      </c>
      <c r="I216" s="1" t="s">
        <v>53</v>
      </c>
      <c r="O216" s="142"/>
      <c r="P216" s="142"/>
      <c r="AJ216" t="s">
        <v>644</v>
      </c>
      <c r="AK216">
        <v>0</v>
      </c>
      <c r="AL216" s="1">
        <v>0</v>
      </c>
      <c r="AM216" s="1">
        <v>13.5</v>
      </c>
      <c r="AN216" s="1">
        <v>1125.31</v>
      </c>
      <c r="AO216" s="1">
        <v>294.92</v>
      </c>
      <c r="AP216" s="1">
        <v>28.59</v>
      </c>
      <c r="AR216" s="1">
        <v>1.4</v>
      </c>
      <c r="AS216" s="1">
        <v>159.07</v>
      </c>
      <c r="AT216" s="1">
        <v>5090.84</v>
      </c>
      <c r="AU216" s="1">
        <v>787.99</v>
      </c>
      <c r="AV216" s="1">
        <v>184.98</v>
      </c>
    </row>
    <row r="217" spans="1:48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51</v>
      </c>
      <c r="O217" s="13"/>
      <c r="P217" s="13"/>
      <c r="AJ217" t="s">
        <v>644</v>
      </c>
      <c r="AK217">
        <v>1</v>
      </c>
      <c r="AL217" s="1">
        <v>0</v>
      </c>
      <c r="AM217" s="1">
        <v>14.87</v>
      </c>
      <c r="AN217" s="1">
        <v>1124.0999999999999</v>
      </c>
      <c r="AO217" s="1">
        <v>301.31</v>
      </c>
      <c r="AP217" s="1">
        <v>22.04</v>
      </c>
      <c r="AR217" s="1">
        <v>1.63</v>
      </c>
      <c r="AS217" s="1">
        <v>167.53</v>
      </c>
      <c r="AT217" s="1">
        <v>5103.34</v>
      </c>
      <c r="AU217" s="1">
        <v>805.78</v>
      </c>
      <c r="AV217" s="1">
        <v>146.01</v>
      </c>
    </row>
    <row r="218" spans="1:48" x14ac:dyDescent="0.3">
      <c r="A218" t="s">
        <v>3</v>
      </c>
      <c r="B218" s="13">
        <v>0</v>
      </c>
      <c r="C218" s="26">
        <v>165</v>
      </c>
      <c r="D218" s="3">
        <v>217</v>
      </c>
      <c r="E218" s="3">
        <v>0</v>
      </c>
      <c r="F218" s="3">
        <v>46</v>
      </c>
      <c r="G218" s="4">
        <v>22</v>
      </c>
      <c r="H218" s="1">
        <f>SUM(C218:G218)</f>
        <v>450</v>
      </c>
      <c r="I218" s="10">
        <f>C218/H218</f>
        <v>0.36666666666666664</v>
      </c>
      <c r="J218" s="11">
        <f>1-I218</f>
        <v>0.6333333333333333</v>
      </c>
      <c r="K218">
        <f>H218-C223</f>
        <v>285</v>
      </c>
      <c r="N218" s="10">
        <f>2*(C224*I218)/(C224+I218)</f>
        <v>0.53658536585365846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644</v>
      </c>
      <c r="AK218">
        <v>2</v>
      </c>
      <c r="AL218" s="1">
        <v>0</v>
      </c>
      <c r="AM218" s="1">
        <v>12.43</v>
      </c>
      <c r="AN218" s="1">
        <v>1121.5999999999999</v>
      </c>
      <c r="AO218" s="1">
        <v>302.18</v>
      </c>
      <c r="AP218" s="1">
        <v>26.11</v>
      </c>
      <c r="AR218" s="1">
        <v>1.52</v>
      </c>
      <c r="AS218" s="1">
        <v>152.07</v>
      </c>
      <c r="AT218" s="1">
        <v>5102.9399999999996</v>
      </c>
      <c r="AU218" s="1">
        <v>802.73</v>
      </c>
      <c r="AV218" s="1">
        <v>165.03</v>
      </c>
    </row>
    <row r="219" spans="1:48" x14ac:dyDescent="0.3">
      <c r="A219" t="s">
        <v>4</v>
      </c>
      <c r="B219" s="13">
        <v>1</v>
      </c>
      <c r="C219" s="5">
        <v>0</v>
      </c>
      <c r="D219" s="27">
        <v>59</v>
      </c>
      <c r="E219" s="1">
        <v>5</v>
      </c>
      <c r="F219" s="1">
        <v>0</v>
      </c>
      <c r="G219" s="6">
        <v>0</v>
      </c>
      <c r="H219" s="1">
        <f>SUM(C219:G219)</f>
        <v>64</v>
      </c>
      <c r="I219" s="10">
        <f>D219/H219</f>
        <v>0.921875</v>
      </c>
      <c r="J219" s="11">
        <f>1-I219</f>
        <v>7.8125E-2</v>
      </c>
      <c r="K219">
        <f>H219-D223</f>
        <v>-213</v>
      </c>
      <c r="N219" s="10">
        <f>2*(D224*I219)/(D224+I219)</f>
        <v>0.3460410557184751</v>
      </c>
      <c r="O219" s="1"/>
      <c r="P219" s="1"/>
      <c r="R219" t="s">
        <v>348</v>
      </c>
      <c r="S219" t="s">
        <v>28</v>
      </c>
      <c r="T219" s="57">
        <f>AVERAGE(T16,T26,T36,T46,T56,T66,T76,T86,T96,T106,T116,T126,T136,T146,T156,T166,T176,T186,T196,T206)</f>
        <v>9.6589406332749539E-2</v>
      </c>
      <c r="U219" s="57">
        <f>AVERAGE(U16,U26,U36,U46,U56,U66,U76,U86,U96,U106,U116,U126,U136,U146,U156,U166,U176,U186,U196,U206)</f>
        <v>0.84088268558514889</v>
      </c>
      <c r="V219" s="57">
        <f>AVERAGE(V16,V26,V36,V46,V56,V66,V76,V86,V96,V106,V116,V126,V136,V146,V156,V166,V176,V186,V196,V206)</f>
        <v>61.77888012301905</v>
      </c>
      <c r="W219" s="57">
        <f>AVERAGE(W16,W26,W36,W46,W56,W66,W76,W86,W96,W106,W116,W126,W136,W146,W156,W166,W176,W186,W196,W206)</f>
        <v>30.962860162713952</v>
      </c>
      <c r="X219" s="57">
        <f>AVERAGE(X16,X26,X36,X46,X56,X66,X76,X86,X96,X106,X116,X126,X136,X146,X156,X166,X176,X186,X196,X206)</f>
        <v>6.3207876223491031</v>
      </c>
      <c r="AJ219" t="s">
        <v>644</v>
      </c>
      <c r="AK219">
        <v>3</v>
      </c>
      <c r="AL219" s="1">
        <v>0</v>
      </c>
      <c r="AM219" s="1">
        <v>13.75</v>
      </c>
      <c r="AN219" s="1">
        <v>1131.28</v>
      </c>
      <c r="AO219" s="1">
        <v>292.27</v>
      </c>
      <c r="AP219" s="1">
        <v>25.02</v>
      </c>
      <c r="AR219" s="1">
        <v>1.54</v>
      </c>
      <c r="AS219" s="1">
        <v>154.85</v>
      </c>
      <c r="AT219" s="1">
        <v>5128.83</v>
      </c>
      <c r="AU219" s="1">
        <v>766.49</v>
      </c>
      <c r="AV219" s="1">
        <v>172.57</v>
      </c>
    </row>
    <row r="220" spans="1:48" x14ac:dyDescent="0.3">
      <c r="A220" t="s">
        <v>5</v>
      </c>
      <c r="B220" s="13">
        <v>2</v>
      </c>
      <c r="C220" s="5">
        <v>0</v>
      </c>
      <c r="D220" s="1">
        <v>0</v>
      </c>
      <c r="E220" s="27">
        <v>733</v>
      </c>
      <c r="F220" s="1">
        <v>14</v>
      </c>
      <c r="G220" s="6">
        <v>1</v>
      </c>
      <c r="H220" s="1">
        <f>SUM(C220:G220)</f>
        <v>748</v>
      </c>
      <c r="I220" s="10">
        <f>E220/H220</f>
        <v>0.97994652406417115</v>
      </c>
      <c r="J220" s="11">
        <f>1-I220</f>
        <v>2.0053475935828846E-2</v>
      </c>
      <c r="K220">
        <f>H220-E223</f>
        <v>-53</v>
      </c>
      <c r="N220" s="10">
        <f>2*(E224*I220)/(E224+I220)</f>
        <v>0.94641704325371201</v>
      </c>
      <c r="O220" s="1"/>
      <c r="P220" s="1"/>
      <c r="S220" s="66" t="s">
        <v>39</v>
      </c>
      <c r="T220" s="67">
        <f t="shared" ref="T220:X228" si="36">AVERAGE(T17,T27,T37,T47,T57,T67,T77,T87,T97,T107,T117,T127,T137,T147,T157,T167,T177,T187,T197,T207)</f>
        <v>4.5510165340281261E-3</v>
      </c>
      <c r="U220" s="67">
        <f t="shared" si="36"/>
        <v>5.0688687751550089E-2</v>
      </c>
      <c r="V220" s="67">
        <f t="shared" si="36"/>
        <v>0.48974579137898555</v>
      </c>
      <c r="W220" s="67">
        <f t="shared" si="36"/>
        <v>0.51010252678614221</v>
      </c>
      <c r="X220" s="67">
        <f t="shared" si="36"/>
        <v>0.18795691944644047</v>
      </c>
      <c r="AC220" t="s">
        <v>118</v>
      </c>
      <c r="AD220" t="s">
        <v>157</v>
      </c>
      <c r="AE220" t="s">
        <v>119</v>
      </c>
      <c r="AJ220" t="s">
        <v>644</v>
      </c>
      <c r="AK220">
        <v>4</v>
      </c>
      <c r="AL220" s="1">
        <v>0</v>
      </c>
      <c r="AM220" s="1">
        <v>13.9</v>
      </c>
      <c r="AN220" s="1">
        <v>1126.7</v>
      </c>
      <c r="AO220" s="1">
        <v>294.97000000000003</v>
      </c>
      <c r="AP220" s="1">
        <v>26.74</v>
      </c>
      <c r="AR220" s="1">
        <v>1.59</v>
      </c>
      <c r="AS220" s="1">
        <v>157.25</v>
      </c>
      <c r="AT220" s="1">
        <v>5105.5600000000004</v>
      </c>
      <c r="AU220" s="1">
        <v>786.49</v>
      </c>
      <c r="AV220" s="1">
        <v>173.39</v>
      </c>
    </row>
    <row r="221" spans="1:48" x14ac:dyDescent="0.3">
      <c r="A221" t="s">
        <v>6</v>
      </c>
      <c r="B221" s="13">
        <v>3</v>
      </c>
      <c r="C221" s="5">
        <v>0</v>
      </c>
      <c r="D221" s="1">
        <v>1</v>
      </c>
      <c r="E221" s="1">
        <v>61</v>
      </c>
      <c r="F221" s="27">
        <v>546</v>
      </c>
      <c r="G221" s="6">
        <v>10</v>
      </c>
      <c r="H221" s="1">
        <f>SUM(C221:G221)</f>
        <v>618</v>
      </c>
      <c r="I221" s="10">
        <f>F221/H221</f>
        <v>0.88349514563106801</v>
      </c>
      <c r="J221" s="11">
        <f>1-I221</f>
        <v>0.11650485436893199</v>
      </c>
      <c r="K221">
        <f>H221-F223</f>
        <v>-34</v>
      </c>
      <c r="N221" s="10">
        <f>2*(F224*I221)/(F224+I221)</f>
        <v>0.85984251968503944</v>
      </c>
      <c r="O221" s="1"/>
      <c r="P221" s="1"/>
      <c r="S221" t="s">
        <v>30</v>
      </c>
      <c r="T221" s="57">
        <f t="shared" si="36"/>
        <v>100</v>
      </c>
      <c r="U221" s="57">
        <f t="shared" si="36"/>
        <v>87.814605185389951</v>
      </c>
      <c r="V221" s="57">
        <f t="shared" si="36"/>
        <v>95.093697883602928</v>
      </c>
      <c r="W221" s="57">
        <f t="shared" si="36"/>
        <v>95.428803444707427</v>
      </c>
      <c r="X221" s="57">
        <f t="shared" si="36"/>
        <v>90.29454239315713</v>
      </c>
      <c r="AB221">
        <v>0</v>
      </c>
      <c r="AC221">
        <v>31</v>
      </c>
      <c r="AD221">
        <v>26</v>
      </c>
      <c r="AE221">
        <v>15</v>
      </c>
      <c r="AJ221" t="s">
        <v>644</v>
      </c>
      <c r="AK221">
        <v>5</v>
      </c>
      <c r="AL221" s="1">
        <v>0</v>
      </c>
      <c r="AM221" s="1">
        <v>13.81</v>
      </c>
      <c r="AN221" s="1">
        <v>1124.3800000000001</v>
      </c>
      <c r="AO221" s="1">
        <v>295.19</v>
      </c>
      <c r="AP221" s="1">
        <v>28.93</v>
      </c>
      <c r="AR221" s="1">
        <v>1.68</v>
      </c>
      <c r="AS221" s="1">
        <v>164.68</v>
      </c>
      <c r="AT221" s="1">
        <v>5106.6000000000004</v>
      </c>
      <c r="AU221" s="1">
        <v>769.97</v>
      </c>
      <c r="AV221" s="1">
        <v>181.35</v>
      </c>
    </row>
    <row r="222" spans="1:48" x14ac:dyDescent="0.3">
      <c r="A222" t="s">
        <v>7</v>
      </c>
      <c r="B222" s="13">
        <v>4</v>
      </c>
      <c r="C222" s="7">
        <v>0</v>
      </c>
      <c r="D222" s="8">
        <v>0</v>
      </c>
      <c r="E222" s="8">
        <v>2</v>
      </c>
      <c r="F222" s="8">
        <v>46</v>
      </c>
      <c r="G222" s="28">
        <v>965</v>
      </c>
      <c r="H222" s="1">
        <f>SUM(C222:G222)</f>
        <v>1013</v>
      </c>
      <c r="I222" s="10">
        <f>G222/H222</f>
        <v>0.95261599210266534</v>
      </c>
      <c r="J222" s="11">
        <f>1-I222</f>
        <v>4.7384007897334657E-2</v>
      </c>
      <c r="K222">
        <f>H222-G223</f>
        <v>15</v>
      </c>
      <c r="N222" s="10">
        <f>2*(G224*I222)/(G224+I222)</f>
        <v>0.95972153157633033</v>
      </c>
      <c r="O222" s="1"/>
      <c r="P222" s="1"/>
      <c r="S222" s="66" t="s">
        <v>39</v>
      </c>
      <c r="T222" s="67">
        <f t="shared" si="36"/>
        <v>0</v>
      </c>
      <c r="U222" s="67">
        <f t="shared" si="36"/>
        <v>5.4751149696131165</v>
      </c>
      <c r="V222" s="67">
        <f t="shared" si="36"/>
        <v>0.63509442713483166</v>
      </c>
      <c r="W222" s="67">
        <f t="shared" si="36"/>
        <v>1.111872074002376</v>
      </c>
      <c r="X222" s="67">
        <f t="shared" si="36"/>
        <v>2.693507672495548</v>
      </c>
      <c r="AB222">
        <v>1</v>
      </c>
      <c r="AC222">
        <v>60</v>
      </c>
      <c r="AD222">
        <v>55</v>
      </c>
      <c r="AE222">
        <v>44</v>
      </c>
      <c r="AJ222" t="s">
        <v>644</v>
      </c>
      <c r="AK222">
        <v>6</v>
      </c>
      <c r="AL222" s="1">
        <v>0</v>
      </c>
      <c r="AM222" s="1">
        <v>12.31</v>
      </c>
      <c r="AN222" s="1">
        <v>1123.95</v>
      </c>
      <c r="AO222" s="1">
        <v>300.8</v>
      </c>
      <c r="AP222" s="1">
        <v>25.25</v>
      </c>
      <c r="AR222" s="1">
        <v>1.56</v>
      </c>
      <c r="AS222" s="1">
        <v>152.75</v>
      </c>
      <c r="AT222" s="1">
        <v>5099.51</v>
      </c>
      <c r="AU222" s="1">
        <v>804.77</v>
      </c>
      <c r="AV222" s="1">
        <v>165.7</v>
      </c>
    </row>
    <row r="223" spans="1:48" ht="15.6" x14ac:dyDescent="0.35">
      <c r="B223" s="1" t="s">
        <v>19</v>
      </c>
      <c r="C223" s="1">
        <f>SUM(C218:C222)</f>
        <v>165</v>
      </c>
      <c r="D223" s="1">
        <f>SUM(D218:D222)</f>
        <v>277</v>
      </c>
      <c r="E223" s="1">
        <f>SUM(E218:E222)</f>
        <v>801</v>
      </c>
      <c r="F223" s="1">
        <f>SUM(F218:F222)</f>
        <v>652</v>
      </c>
      <c r="G223" s="1">
        <f>SUM(G218:G222)</f>
        <v>998</v>
      </c>
      <c r="H223" s="1">
        <f>SUM(H217:H222)</f>
        <v>2893</v>
      </c>
      <c r="I223" s="13" t="s">
        <v>12</v>
      </c>
      <c r="N223" s="16"/>
      <c r="O223" s="1"/>
      <c r="P223" s="1"/>
      <c r="S223" s="15" t="s">
        <v>31</v>
      </c>
      <c r="T223" s="71">
        <f t="shared" si="36"/>
        <v>47.911111111111119</v>
      </c>
      <c r="U223" s="71">
        <f t="shared" si="36"/>
        <v>91.40625</v>
      </c>
      <c r="V223" s="71">
        <f t="shared" si="36"/>
        <v>97.974598930481278</v>
      </c>
      <c r="W223" s="71">
        <f t="shared" si="36"/>
        <v>89.312297734627819</v>
      </c>
      <c r="X223" s="71">
        <f t="shared" si="36"/>
        <v>95.829220138203368</v>
      </c>
      <c r="AB223">
        <v>2</v>
      </c>
      <c r="AC223">
        <v>89</v>
      </c>
      <c r="AD223">
        <v>84</v>
      </c>
      <c r="AE223">
        <v>73</v>
      </c>
      <c r="AJ223" t="s">
        <v>644</v>
      </c>
      <c r="AK223">
        <v>7</v>
      </c>
      <c r="AL223" s="1">
        <v>0</v>
      </c>
      <c r="AM223" s="1">
        <v>13.29</v>
      </c>
      <c r="AN223" s="1">
        <v>1124.99</v>
      </c>
      <c r="AO223" s="1">
        <v>296.79000000000002</v>
      </c>
      <c r="AP223" s="1">
        <v>27.24</v>
      </c>
      <c r="AR223" s="1">
        <v>1.49</v>
      </c>
      <c r="AS223" s="1">
        <v>152.94999999999999</v>
      </c>
      <c r="AT223" s="1">
        <v>5116.1899999999996</v>
      </c>
      <c r="AU223" s="1">
        <v>782.7</v>
      </c>
      <c r="AV223" s="1">
        <v>170.95</v>
      </c>
    </row>
    <row r="224" spans="1:48" x14ac:dyDescent="0.3">
      <c r="A224" s="1" t="s">
        <v>316</v>
      </c>
      <c r="B224" s="1" t="s">
        <v>2</v>
      </c>
      <c r="C224" s="10">
        <f>C218/C223</f>
        <v>1</v>
      </c>
      <c r="D224" s="10">
        <f>D219/D223</f>
        <v>0.21299638989169675</v>
      </c>
      <c r="E224" s="10">
        <f>E220/E223</f>
        <v>0.91510611735330838</v>
      </c>
      <c r="F224" s="10">
        <f>F221/F223</f>
        <v>0.83742331288343563</v>
      </c>
      <c r="G224" s="10">
        <f>G222/G223</f>
        <v>0.96693386773547096</v>
      </c>
      <c r="H224" s="10"/>
      <c r="I224" s="14">
        <f>(C218+D219+E220+F221+G222)/H223</f>
        <v>0.85309367438645001</v>
      </c>
      <c r="S224" s="75" t="s">
        <v>39</v>
      </c>
      <c r="T224" s="76">
        <f t="shared" si="36"/>
        <v>2.3011785548446841</v>
      </c>
      <c r="U224" s="76">
        <f t="shared" si="36"/>
        <v>3.517997296132811</v>
      </c>
      <c r="V224" s="76">
        <f t="shared" si="36"/>
        <v>0.51463722216836016</v>
      </c>
      <c r="W224" s="76">
        <f t="shared" si="36"/>
        <v>1.2431706972297392</v>
      </c>
      <c r="X224" s="76">
        <f t="shared" si="36"/>
        <v>0.62696437112381154</v>
      </c>
      <c r="AB224">
        <v>3</v>
      </c>
      <c r="AC224">
        <v>118</v>
      </c>
      <c r="AD224">
        <v>113</v>
      </c>
      <c r="AE224">
        <v>102</v>
      </c>
      <c r="AJ224" t="s">
        <v>644</v>
      </c>
      <c r="AK224">
        <v>8</v>
      </c>
      <c r="AL224" s="1">
        <v>0</v>
      </c>
      <c r="AM224" s="1">
        <v>13.43</v>
      </c>
      <c r="AN224" s="1">
        <v>1125.7</v>
      </c>
      <c r="AO224" s="1">
        <v>295.36</v>
      </c>
      <c r="AP224" s="1">
        <v>27.83</v>
      </c>
      <c r="AR224" s="1">
        <v>1.67</v>
      </c>
      <c r="AS224" s="1">
        <v>166.28</v>
      </c>
      <c r="AT224" s="1">
        <v>5087.88</v>
      </c>
      <c r="AU224" s="1">
        <v>790.99</v>
      </c>
      <c r="AV224" s="1">
        <v>177.46</v>
      </c>
    </row>
    <row r="225" spans="1:48" x14ac:dyDescent="0.3">
      <c r="B225" s="1" t="s">
        <v>14</v>
      </c>
      <c r="C225" s="11">
        <f>1-C224</f>
        <v>0</v>
      </c>
      <c r="D225" s="11">
        <f>1-D224</f>
        <v>0.78700361010830322</v>
      </c>
      <c r="E225" s="11">
        <f>1-E224</f>
        <v>8.4893882646691621E-2</v>
      </c>
      <c r="F225" s="11">
        <f>1-F224</f>
        <v>0.16257668711656437</v>
      </c>
      <c r="G225" s="11">
        <f>1-G224</f>
        <v>3.3066132264529036E-2</v>
      </c>
      <c r="S225" s="66" t="s">
        <v>51</v>
      </c>
      <c r="T225" s="67">
        <f t="shared" si="36"/>
        <v>64.141662968469575</v>
      </c>
      <c r="U225" s="67">
        <f t="shared" si="36"/>
        <v>47.346857890161189</v>
      </c>
      <c r="V225" s="67">
        <f t="shared" si="36"/>
        <v>94.969341390189257</v>
      </c>
      <c r="W225" s="67">
        <f t="shared" si="36"/>
        <v>85.193979138751899</v>
      </c>
      <c r="X225" s="67">
        <f t="shared" si="36"/>
        <v>97.0250841731511</v>
      </c>
      <c r="AB225">
        <v>4</v>
      </c>
      <c r="AC225">
        <v>147</v>
      </c>
      <c r="AD225">
        <v>142</v>
      </c>
      <c r="AE225">
        <v>131</v>
      </c>
      <c r="AJ225" t="s">
        <v>644</v>
      </c>
      <c r="AK225">
        <v>9</v>
      </c>
      <c r="AL225" s="1">
        <v>0</v>
      </c>
      <c r="AM225" s="1">
        <v>14.42</v>
      </c>
      <c r="AN225" s="1">
        <v>1125.19</v>
      </c>
      <c r="AO225" s="1">
        <v>297.13</v>
      </c>
      <c r="AP225" s="1">
        <v>25.58</v>
      </c>
      <c r="AR225" s="1">
        <v>1.76</v>
      </c>
      <c r="AS225" s="1">
        <v>163.55000000000001</v>
      </c>
      <c r="AT225" s="1">
        <v>5115.6000000000004</v>
      </c>
      <c r="AU225" s="1">
        <v>780.23</v>
      </c>
      <c r="AV225" s="1">
        <v>163.13999999999999</v>
      </c>
    </row>
    <row r="226" spans="1:48" x14ac:dyDescent="0.3">
      <c r="C226" s="2"/>
      <c r="R226" s="16" t="s">
        <v>61</v>
      </c>
      <c r="S226" t="s">
        <v>9</v>
      </c>
      <c r="T226" s="1">
        <f t="shared" si="36"/>
        <v>191.45150000000001</v>
      </c>
      <c r="U226" s="1">
        <f t="shared" si="36"/>
        <v>774.88200000000006</v>
      </c>
      <c r="V226" s="1">
        <f t="shared" si="36"/>
        <v>57887.061999999991</v>
      </c>
      <c r="W226" s="1">
        <f t="shared" si="36"/>
        <v>31938.059500000003</v>
      </c>
      <c r="X226" s="1">
        <f t="shared" si="36"/>
        <v>5748.6969999999992</v>
      </c>
      <c r="AB226">
        <v>5</v>
      </c>
      <c r="AC226">
        <v>176</v>
      </c>
      <c r="AD226">
        <v>171</v>
      </c>
      <c r="AE226">
        <v>160</v>
      </c>
      <c r="AJ226" t="s">
        <v>644</v>
      </c>
      <c r="AK226">
        <v>10</v>
      </c>
      <c r="AL226" s="1">
        <v>0</v>
      </c>
      <c r="AM226" s="1">
        <v>12.91</v>
      </c>
      <c r="AN226" s="1">
        <v>1129.51</v>
      </c>
      <c r="AO226" s="1">
        <v>294.05</v>
      </c>
      <c r="AP226" s="1">
        <v>25.84</v>
      </c>
      <c r="AR226" s="1">
        <v>1.56</v>
      </c>
      <c r="AS226" s="1">
        <v>165.26</v>
      </c>
      <c r="AT226" s="1">
        <v>5125.28</v>
      </c>
      <c r="AU226" s="1">
        <v>765.72</v>
      </c>
      <c r="AV226" s="1">
        <v>166.46</v>
      </c>
    </row>
    <row r="227" spans="1:48" ht="15.6" x14ac:dyDescent="0.35">
      <c r="A227" t="s">
        <v>317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318</v>
      </c>
      <c r="S227" t="s">
        <v>63</v>
      </c>
      <c r="T227" s="57">
        <f>AVERAGE(T24,T34,T44,T54,T64,T74,T84,T94,T104,T114,T124,T134,T144,T154,T164,T174,T184,T194,T204,T214)</f>
        <v>93.247560000000021</v>
      </c>
      <c r="U227" s="57">
        <f t="shared" si="36"/>
        <v>811.78942371286848</v>
      </c>
      <c r="V227" s="57">
        <f t="shared" si="36"/>
        <v>59641.424773670384</v>
      </c>
      <c r="W227" s="57">
        <f t="shared" si="36"/>
        <v>29891.592262873823</v>
      </c>
      <c r="X227" s="57">
        <f t="shared" si="36"/>
        <v>6102.0979797429272</v>
      </c>
      <c r="AB227">
        <v>6</v>
      </c>
      <c r="AC227">
        <v>205</v>
      </c>
      <c r="AD227">
        <v>200</v>
      </c>
      <c r="AE227">
        <v>189</v>
      </c>
      <c r="AJ227" t="s">
        <v>644</v>
      </c>
      <c r="AK227">
        <v>11</v>
      </c>
      <c r="AL227" s="1">
        <v>0</v>
      </c>
      <c r="AM227" s="1">
        <v>12.78</v>
      </c>
      <c r="AN227" s="1">
        <v>1127.6500000000001</v>
      </c>
      <c r="AO227" s="1">
        <v>297.07</v>
      </c>
      <c r="AP227" s="1">
        <v>24.81</v>
      </c>
      <c r="AR227" s="1">
        <v>1.55</v>
      </c>
      <c r="AS227" s="1">
        <v>161.24</v>
      </c>
      <c r="AT227" s="1">
        <v>5109.8100000000004</v>
      </c>
      <c r="AU227" s="1">
        <v>787.53</v>
      </c>
      <c r="AV227" s="1">
        <v>164.15</v>
      </c>
    </row>
    <row r="228" spans="1:48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62</v>
      </c>
      <c r="T228" s="67">
        <f>AVERAGE(T25,T35,T45,T55,T65,T75,T85,T95,T105,T115,T125,T135,T145,T155,T165,T175,T185,T195,T205,T215)</f>
        <v>4.3935582873187755</v>
      </c>
      <c r="U228" s="67">
        <f t="shared" si="36"/>
        <v>48.934936213492591</v>
      </c>
      <c r="V228" s="67">
        <f t="shared" si="36"/>
        <v>472.80133125784795</v>
      </c>
      <c r="W228" s="67">
        <f t="shared" si="36"/>
        <v>492.4537546336681</v>
      </c>
      <c r="X228" s="67">
        <f t="shared" si="36"/>
        <v>181.45389569591242</v>
      </c>
      <c r="AB228">
        <v>7</v>
      </c>
      <c r="AC228">
        <v>234</v>
      </c>
      <c r="AD228">
        <v>229</v>
      </c>
      <c r="AE228">
        <v>218</v>
      </c>
      <c r="AJ228" t="s">
        <v>644</v>
      </c>
      <c r="AK228">
        <v>12</v>
      </c>
      <c r="AL228" s="1">
        <v>0</v>
      </c>
      <c r="AM228" s="1">
        <v>14.07</v>
      </c>
      <c r="AN228" s="1">
        <v>1126.45</v>
      </c>
      <c r="AO228" s="1">
        <v>295.69</v>
      </c>
      <c r="AP228" s="1">
        <v>26.1</v>
      </c>
      <c r="AR228" s="1">
        <v>1.61</v>
      </c>
      <c r="AS228" s="1">
        <v>167.46</v>
      </c>
      <c r="AT228" s="1">
        <v>5113.34</v>
      </c>
      <c r="AU228" s="1">
        <v>775.77</v>
      </c>
      <c r="AV228" s="1">
        <v>166.1</v>
      </c>
    </row>
    <row r="229" spans="1:48" x14ac:dyDescent="0.3">
      <c r="A229" t="s">
        <v>3</v>
      </c>
      <c r="B229" s="13">
        <v>0</v>
      </c>
      <c r="C229" s="29">
        <f>(C218/$L229)*$O229</f>
        <v>6.6477695204188794E-2</v>
      </c>
      <c r="D229" s="31">
        <f>(D218/$L229)*$O229</f>
        <v>8.7428241571569518E-2</v>
      </c>
      <c r="E229" s="31">
        <f>(E218/$L229)*$O229</f>
        <v>0</v>
      </c>
      <c r="F229" s="31">
        <f>(F218/$L229)*$O229</f>
        <v>1.853317563268294E-2</v>
      </c>
      <c r="G229" s="32">
        <f>(G218/$L229)*$O229</f>
        <v>8.863692693891841E-3</v>
      </c>
      <c r="H229" s="17">
        <f>SUM(C229:G229)</f>
        <v>0.1813028051023331</v>
      </c>
      <c r="I229" s="17">
        <f>C229/H229*100</f>
        <v>36.666666666666664</v>
      </c>
      <c r="J229" s="17">
        <f>SQRT(I229*(100-I229)/(L229-1))</f>
        <v>2.2742003280049992</v>
      </c>
      <c r="K229" s="18">
        <f>100-I229</f>
        <v>63.333333333333336</v>
      </c>
      <c r="L229" s="1">
        <f>H218</f>
        <v>450</v>
      </c>
      <c r="M229">
        <v>0</v>
      </c>
      <c r="N229" s="1">
        <v>175.03</v>
      </c>
      <c r="O229" s="17">
        <f>N229/N234*100</f>
        <v>0.1813028051023331</v>
      </c>
      <c r="P229" s="52">
        <f>((O229*O229*(I229/100)*(K229/100))/(L229-1))</f>
        <v>1.7000687433399375E-5</v>
      </c>
      <c r="AB229">
        <v>8</v>
      </c>
      <c r="AC229">
        <v>263</v>
      </c>
      <c r="AD229">
        <v>258</v>
      </c>
      <c r="AE229">
        <v>247</v>
      </c>
      <c r="AJ229" t="s">
        <v>644</v>
      </c>
      <c r="AK229">
        <v>13</v>
      </c>
      <c r="AL229" s="1">
        <v>0</v>
      </c>
      <c r="AM229" s="1">
        <v>14.29</v>
      </c>
      <c r="AN229" s="1">
        <v>1122.24</v>
      </c>
      <c r="AO229" s="1">
        <v>298.32</v>
      </c>
      <c r="AP229" s="1">
        <v>27.47</v>
      </c>
      <c r="AR229" s="1">
        <v>1.69</v>
      </c>
      <c r="AS229" s="1">
        <v>168.54</v>
      </c>
      <c r="AT229" s="1">
        <v>5096</v>
      </c>
      <c r="AU229" s="1">
        <v>785.45</v>
      </c>
      <c r="AV229" s="1">
        <v>172.6</v>
      </c>
    </row>
    <row r="230" spans="1:48" x14ac:dyDescent="0.3">
      <c r="A230" t="s">
        <v>4</v>
      </c>
      <c r="B230" s="13">
        <v>1</v>
      </c>
      <c r="C230" s="33">
        <f t="shared" ref="C230:G233" si="37">(C219/$L230)*$O230</f>
        <v>0</v>
      </c>
      <c r="D230" s="34">
        <f t="shared" si="37"/>
        <v>0.72041545020387887</v>
      </c>
      <c r="E230" s="19">
        <f t="shared" si="37"/>
        <v>6.1052156796938886E-2</v>
      </c>
      <c r="F230" s="18">
        <f t="shared" si="37"/>
        <v>0</v>
      </c>
      <c r="G230" s="20">
        <f t="shared" si="37"/>
        <v>0</v>
      </c>
      <c r="H230" s="17">
        <f>SUM(C230:G230)</f>
        <v>0.78146760700081774</v>
      </c>
      <c r="I230" s="17">
        <f>D230/H230*100</f>
        <v>92.1875</v>
      </c>
      <c r="J230" s="17">
        <f>SQRT(I230*(100-I230)/(L230-1))</f>
        <v>3.3811213593755247</v>
      </c>
      <c r="K230" s="18">
        <f>100-I230</f>
        <v>7.8125</v>
      </c>
      <c r="L230" s="1">
        <f>H219</f>
        <v>64</v>
      </c>
      <c r="M230">
        <v>1</v>
      </c>
      <c r="N230" s="1">
        <v>754.43</v>
      </c>
      <c r="O230" s="17">
        <f>N230/N234*100</f>
        <v>0.78146760700081774</v>
      </c>
      <c r="P230" s="52">
        <f>((O230*O230*(I230/100)*(K230/100))/(L230-1))</f>
        <v>6.981415400759449E-4</v>
      </c>
      <c r="S230" t="s">
        <v>64</v>
      </c>
      <c r="T230" s="1" t="s">
        <v>639</v>
      </c>
      <c r="U230" s="1" t="s">
        <v>640</v>
      </c>
      <c r="V230" s="1" t="s">
        <v>641</v>
      </c>
      <c r="W230" s="1" t="s">
        <v>642</v>
      </c>
      <c r="X230" s="1" t="s">
        <v>643</v>
      </c>
      <c r="AB230">
        <v>9</v>
      </c>
      <c r="AC230">
        <v>292</v>
      </c>
      <c r="AD230">
        <v>287</v>
      </c>
      <c r="AE230">
        <v>276</v>
      </c>
      <c r="AJ230" t="s">
        <v>644</v>
      </c>
      <c r="AK230">
        <v>14</v>
      </c>
      <c r="AL230" s="1">
        <v>0</v>
      </c>
      <c r="AM230" s="1">
        <v>12.32</v>
      </c>
      <c r="AN230" s="1">
        <v>1128.75</v>
      </c>
      <c r="AO230" s="1">
        <v>295.60000000000002</v>
      </c>
      <c r="AP230" s="1">
        <v>25.64</v>
      </c>
      <c r="AR230" s="1">
        <v>1.57</v>
      </c>
      <c r="AS230" s="1">
        <v>150.87</v>
      </c>
      <c r="AT230" s="1">
        <v>5122.12</v>
      </c>
      <c r="AU230" s="1">
        <v>778.94</v>
      </c>
      <c r="AV230" s="1">
        <v>170.78</v>
      </c>
    </row>
    <row r="231" spans="1:48" x14ac:dyDescent="0.3">
      <c r="A231" t="s">
        <v>5</v>
      </c>
      <c r="B231" s="13">
        <v>2</v>
      </c>
      <c r="C231" s="33">
        <f t="shared" si="37"/>
        <v>0</v>
      </c>
      <c r="D231" s="19">
        <f t="shared" si="37"/>
        <v>0</v>
      </c>
      <c r="E231" s="34">
        <f t="shared" si="37"/>
        <v>58.87159167914956</v>
      </c>
      <c r="F231" s="19">
        <f t="shared" si="37"/>
        <v>1.1244233062866218</v>
      </c>
      <c r="G231" s="20">
        <f t="shared" si="37"/>
        <v>8.031595044904441E-2</v>
      </c>
      <c r="H231" s="17">
        <f>SUM(C231:G231)</f>
        <v>60.076330935885224</v>
      </c>
      <c r="I231" s="17">
        <f>E231/H231*100</f>
        <v>97.994652406417117</v>
      </c>
      <c r="J231" s="17">
        <f>SQRT(I231*(100-I231)/(L231-1))</f>
        <v>0.5129035654513856</v>
      </c>
      <c r="K231" s="18">
        <f>100-I231</f>
        <v>2.0053475935828828</v>
      </c>
      <c r="L231" s="1">
        <f>H220</f>
        <v>748</v>
      </c>
      <c r="M231">
        <v>2</v>
      </c>
      <c r="N231" s="1">
        <v>57997.78</v>
      </c>
      <c r="O231" s="17">
        <f>N231/N234*100</f>
        <v>60.076330935885224</v>
      </c>
      <c r="P231" s="52">
        <f>((O231*O231*(I231/100)*(K231/100))/(L231-1))</f>
        <v>9.494634217186626E-2</v>
      </c>
      <c r="T231" s="57">
        <f>T24</f>
        <v>63.795200000000001</v>
      </c>
      <c r="U231" s="57">
        <f>U24</f>
        <v>760.86662708333347</v>
      </c>
      <c r="V231" s="57">
        <f>V24</f>
        <v>60017.334907016317</v>
      </c>
      <c r="W231" s="57">
        <f>W24</f>
        <v>29403.094054238332</v>
      </c>
      <c r="X231" s="57">
        <f>X24</f>
        <v>6295.0592116620146</v>
      </c>
      <c r="AB231">
        <v>10</v>
      </c>
      <c r="AC231">
        <v>321</v>
      </c>
      <c r="AD231">
        <v>316</v>
      </c>
      <c r="AE231">
        <v>305</v>
      </c>
      <c r="AJ231" t="s">
        <v>644</v>
      </c>
      <c r="AK231">
        <v>15</v>
      </c>
      <c r="AL231" s="1">
        <v>0</v>
      </c>
      <c r="AM231" s="1">
        <v>11.82</v>
      </c>
      <c r="AN231" s="1">
        <v>1121.96</v>
      </c>
      <c r="AO231" s="1">
        <v>301.25</v>
      </c>
      <c r="AP231" s="1">
        <v>27.29</v>
      </c>
      <c r="AR231" s="1">
        <v>1.49</v>
      </c>
      <c r="AS231" s="1">
        <v>151.97999999999999</v>
      </c>
      <c r="AT231" s="1">
        <v>5105.74</v>
      </c>
      <c r="AU231" s="1">
        <v>792.64</v>
      </c>
      <c r="AV231" s="1">
        <v>172.43</v>
      </c>
    </row>
    <row r="232" spans="1:48" x14ac:dyDescent="0.3">
      <c r="A232" t="s">
        <v>6</v>
      </c>
      <c r="B232" s="13">
        <v>3</v>
      </c>
      <c r="C232" s="33">
        <f t="shared" si="37"/>
        <v>0</v>
      </c>
      <c r="D232" s="19">
        <f t="shared" si="37"/>
        <v>5.3454896116490271E-2</v>
      </c>
      <c r="E232" s="19">
        <f t="shared" si="37"/>
        <v>3.2607486631059062</v>
      </c>
      <c r="F232" s="34">
        <f t="shared" si="37"/>
        <v>29.186373279603689</v>
      </c>
      <c r="G232" s="20">
        <f t="shared" si="37"/>
        <v>0.53454896116490269</v>
      </c>
      <c r="H232" s="17">
        <f>SUM(C232:G232)</f>
        <v>33.035125799990986</v>
      </c>
      <c r="I232" s="17">
        <f>F232/H232*100</f>
        <v>88.349514563106794</v>
      </c>
      <c r="J232" s="17">
        <f>SQRT(I232*(100-I232)/(L232-1))</f>
        <v>1.2916103380803661</v>
      </c>
      <c r="K232" s="18">
        <f>100-I232</f>
        <v>11.650485436893206</v>
      </c>
      <c r="L232" s="1">
        <f>H221</f>
        <v>618</v>
      </c>
      <c r="M232">
        <v>3</v>
      </c>
      <c r="N232" s="1">
        <v>31892.16</v>
      </c>
      <c r="O232" s="17">
        <f>N232/N234*100</f>
        <v>33.035125799990986</v>
      </c>
      <c r="P232" s="52">
        <f>((O232*O232*(I232/100)*(K232/100))/(L232-1))</f>
        <v>0.18206017458807008</v>
      </c>
      <c r="T232" s="57">
        <f>T34</f>
        <v>140.10733333333332</v>
      </c>
      <c r="U232" s="57">
        <f>U34</f>
        <v>835.46335851537219</v>
      </c>
      <c r="V232" s="57">
        <f>V34</f>
        <v>59571.815793253583</v>
      </c>
      <c r="W232" s="57">
        <f>W34</f>
        <v>29839.105764901768</v>
      </c>
      <c r="X232" s="57">
        <f>X34</f>
        <v>6153.6577499959467</v>
      </c>
      <c r="AB232">
        <v>11</v>
      </c>
      <c r="AC232">
        <v>350</v>
      </c>
      <c r="AD232">
        <v>345</v>
      </c>
      <c r="AE232">
        <v>334</v>
      </c>
      <c r="AJ232" t="s">
        <v>644</v>
      </c>
      <c r="AK232">
        <v>16</v>
      </c>
      <c r="AL232" s="1">
        <v>0</v>
      </c>
      <c r="AM232" s="1">
        <v>14.62</v>
      </c>
      <c r="AN232" s="1">
        <v>1128.57</v>
      </c>
      <c r="AO232" s="1">
        <v>295.55</v>
      </c>
      <c r="AP232" s="1">
        <v>23.58</v>
      </c>
      <c r="AR232" s="1">
        <v>1.5</v>
      </c>
      <c r="AS232" s="1">
        <v>167.21</v>
      </c>
      <c r="AT232" s="1">
        <v>5113.28</v>
      </c>
      <c r="AU232" s="1">
        <v>787.79</v>
      </c>
      <c r="AV232" s="1">
        <v>154.5</v>
      </c>
    </row>
    <row r="233" spans="1:48" x14ac:dyDescent="0.3">
      <c r="A233" t="s">
        <v>7</v>
      </c>
      <c r="B233" s="13">
        <v>4</v>
      </c>
      <c r="C233" s="35">
        <f t="shared" si="37"/>
        <v>0</v>
      </c>
      <c r="D233" s="36">
        <f t="shared" si="37"/>
        <v>0</v>
      </c>
      <c r="E233" s="21">
        <f t="shared" si="37"/>
        <v>1.169945281741488E-2</v>
      </c>
      <c r="F233" s="21">
        <f t="shared" si="37"/>
        <v>0.26908741480054221</v>
      </c>
      <c r="G233" s="37">
        <f t="shared" si="37"/>
        <v>5.6449859844026795</v>
      </c>
      <c r="H233" s="17">
        <f>SUM(C233:G233)</f>
        <v>5.9257728520206365</v>
      </c>
      <c r="I233" s="17">
        <f>G233/H233*100</f>
        <v>95.261599210266539</v>
      </c>
      <c r="J233" s="17">
        <f>SQRT(I233*(100-I233)/(L233-1))</f>
        <v>0.66785867843198421</v>
      </c>
      <c r="K233" s="18">
        <f>100-I233</f>
        <v>4.7384007897334612</v>
      </c>
      <c r="L233" s="1">
        <f>H222</f>
        <v>1013</v>
      </c>
      <c r="M233">
        <v>4</v>
      </c>
      <c r="N233" s="1">
        <v>5720.75</v>
      </c>
      <c r="O233" s="17">
        <f>N233/N234*100</f>
        <v>5.9257728520206365</v>
      </c>
      <c r="P233" s="52">
        <f>((O233*O233*(I233/100)*(K233/100))/(L233-1))</f>
        <v>1.5662430161143251E-3</v>
      </c>
      <c r="T233" s="57">
        <f>T44</f>
        <v>101.3479111111111</v>
      </c>
      <c r="U233" s="57">
        <f>U44</f>
        <v>781.02734966289108</v>
      </c>
      <c r="V233" s="57">
        <f>V44</f>
        <v>59676.285377913446</v>
      </c>
      <c r="W233" s="57">
        <f>W44</f>
        <v>30126.060709518068</v>
      </c>
      <c r="X233" s="57">
        <f>X44</f>
        <v>5855.428651794492</v>
      </c>
      <c r="AB233">
        <v>12</v>
      </c>
      <c r="AC233">
        <v>379</v>
      </c>
      <c r="AD233">
        <v>374</v>
      </c>
      <c r="AE233">
        <v>363</v>
      </c>
      <c r="AJ233" t="s">
        <v>644</v>
      </c>
      <c r="AK233">
        <v>17</v>
      </c>
      <c r="AL233" s="1">
        <v>0</v>
      </c>
      <c r="AM233" s="1">
        <v>13.26</v>
      </c>
      <c r="AN233" s="1">
        <v>1126.32</v>
      </c>
      <c r="AO233" s="1">
        <v>294.52</v>
      </c>
      <c r="AP233" s="1">
        <v>28.21</v>
      </c>
      <c r="AR233" s="1">
        <v>1.75</v>
      </c>
      <c r="AS233" s="1">
        <v>160.63</v>
      </c>
      <c r="AT233" s="1">
        <v>5118.3100000000004</v>
      </c>
      <c r="AU233" s="1">
        <v>769.98</v>
      </c>
      <c r="AV233" s="1">
        <v>173.61</v>
      </c>
    </row>
    <row r="234" spans="1:48" x14ac:dyDescent="0.3">
      <c r="B234" t="s">
        <v>28</v>
      </c>
      <c r="C234" s="17">
        <f>SUM(C229:C233)</f>
        <v>6.6477695204188794E-2</v>
      </c>
      <c r="D234" s="17">
        <f>SUM(D229:D233)</f>
        <v>0.86129858789193858</v>
      </c>
      <c r="E234" s="17">
        <f>SUM(E229:E233)</f>
        <v>62.205091951869825</v>
      </c>
      <c r="F234" s="17">
        <f>SUM(F229:F233)</f>
        <v>30.598417176323537</v>
      </c>
      <c r="G234" s="17">
        <f>SUM(G229:G233)</f>
        <v>6.2687145887105187</v>
      </c>
      <c r="H234" s="1">
        <f>SUM(H228:H233)</f>
        <v>100.00000000000001</v>
      </c>
      <c r="I234" s="13" t="s">
        <v>24</v>
      </c>
      <c r="J234" s="12" t="s">
        <v>29</v>
      </c>
      <c r="N234" s="1">
        <f>SUM(N229:N233)</f>
        <v>96540.15</v>
      </c>
      <c r="O234" s="17">
        <f>SUM(O229:O233)</f>
        <v>100.00000000000001</v>
      </c>
      <c r="T234" s="57">
        <f>T54</f>
        <v>95.23484444444442</v>
      </c>
      <c r="U234" s="57">
        <f>U54</f>
        <v>699.58541779935274</v>
      </c>
      <c r="V234" s="57">
        <f>V54</f>
        <v>59475.676977697462</v>
      </c>
      <c r="W234" s="57">
        <f>W54</f>
        <v>30124.589046320059</v>
      </c>
      <c r="X234" s="57">
        <f>X54</f>
        <v>6145.0537137386782</v>
      </c>
      <c r="AB234">
        <v>13</v>
      </c>
      <c r="AC234">
        <v>408</v>
      </c>
      <c r="AD234">
        <v>403</v>
      </c>
      <c r="AE234">
        <v>392</v>
      </c>
      <c r="AJ234" t="s">
        <v>644</v>
      </c>
      <c r="AK234">
        <v>18</v>
      </c>
      <c r="AL234" s="1">
        <v>0</v>
      </c>
      <c r="AM234" s="1">
        <v>12.48</v>
      </c>
      <c r="AN234" s="1">
        <v>1129.5</v>
      </c>
      <c r="AO234" s="1">
        <v>295.01</v>
      </c>
      <c r="AP234" s="1">
        <v>25.34</v>
      </c>
      <c r="AR234" s="1">
        <v>1.55</v>
      </c>
      <c r="AS234" s="1">
        <v>151.81</v>
      </c>
      <c r="AT234" s="1">
        <v>5115.51</v>
      </c>
      <c r="AU234" s="1">
        <v>788.69</v>
      </c>
      <c r="AV234" s="1">
        <v>166.72</v>
      </c>
    </row>
    <row r="235" spans="1:48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4.1186051192110924E-3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5.9651267787189807E-2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0.50266615460535813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0.52143431053465539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0.19005792271724486</v>
      </c>
      <c r="H235" s="1"/>
      <c r="I235" s="14">
        <f>(C229+D230+E231+F232+G233)/H234</f>
        <v>0.9448984408856399</v>
      </c>
      <c r="J235" s="53">
        <f>SQRT(SUM(P229:P233))/100</f>
        <v>5.2847696449661837E-3</v>
      </c>
      <c r="M235" s="1"/>
      <c r="N235" s="9"/>
      <c r="T235" s="57">
        <f>T64</f>
        <v>102.38800000000001</v>
      </c>
      <c r="U235" s="57">
        <f>U64</f>
        <v>849.25034991909388</v>
      </c>
      <c r="V235" s="57">
        <f>V64</f>
        <v>59916.053251999707</v>
      </c>
      <c r="W235" s="57">
        <f>W64</f>
        <v>29632.102729883198</v>
      </c>
      <c r="X235" s="57">
        <f>X64</f>
        <v>6040.3656681979992</v>
      </c>
      <c r="AB235">
        <v>14</v>
      </c>
      <c r="AC235">
        <v>437</v>
      </c>
      <c r="AD235">
        <v>432</v>
      </c>
      <c r="AE235">
        <v>421</v>
      </c>
      <c r="AJ235" t="s">
        <v>644</v>
      </c>
      <c r="AK235">
        <v>19</v>
      </c>
      <c r="AL235" s="1">
        <v>0</v>
      </c>
      <c r="AM235" s="1">
        <v>13.47</v>
      </c>
      <c r="AN235" s="1">
        <v>1129.1600000000001</v>
      </c>
      <c r="AO235" s="1">
        <v>296.73</v>
      </c>
      <c r="AP235" s="1">
        <v>22.96</v>
      </c>
      <c r="AR235" s="1">
        <v>1.36</v>
      </c>
      <c r="AS235" s="1">
        <v>169.72</v>
      </c>
      <c r="AT235" s="1">
        <v>5114.79</v>
      </c>
      <c r="AU235" s="1">
        <v>783.53</v>
      </c>
      <c r="AV235" s="1">
        <v>154.88</v>
      </c>
    </row>
    <row r="236" spans="1:48" x14ac:dyDescent="0.3">
      <c r="B236" s="1" t="s">
        <v>30</v>
      </c>
      <c r="C236" s="17">
        <f>C229/C234*100</f>
        <v>100</v>
      </c>
      <c r="D236" s="17">
        <f>D230/D234*100</f>
        <v>83.642938735929363</v>
      </c>
      <c r="E236" s="17">
        <f>E231/E234*100</f>
        <v>94.641113503538406</v>
      </c>
      <c r="F236" s="17">
        <f>F232/F234*100</f>
        <v>95.38523875734181</v>
      </c>
      <c r="G236" s="17">
        <f>G233/G234*100</f>
        <v>90.05013555041846</v>
      </c>
      <c r="H236" s="1"/>
      <c r="T236" s="57">
        <f>T74</f>
        <v>98.737888888888904</v>
      </c>
      <c r="U236" s="57">
        <f>U74</f>
        <v>969.38258808656974</v>
      </c>
      <c r="V236" s="57">
        <f>V74</f>
        <v>59491.769915473589</v>
      </c>
      <c r="W236" s="57">
        <f>W74</f>
        <v>29591.218539780923</v>
      </c>
      <c r="X236" s="57">
        <f>X74</f>
        <v>6389.0510677700404</v>
      </c>
      <c r="AB236">
        <v>15</v>
      </c>
      <c r="AC236">
        <v>466</v>
      </c>
      <c r="AD236">
        <v>461</v>
      </c>
      <c r="AE236">
        <v>450</v>
      </c>
    </row>
    <row r="237" spans="1:48" x14ac:dyDescent="0.3">
      <c r="B237" s="16" t="s">
        <v>39</v>
      </c>
      <c r="C237" s="18">
        <f>SQRT((C240+C241)/(C234*C234))</f>
        <v>0</v>
      </c>
      <c r="D237" s="18">
        <f>SQRT((D240+D241)/(D234*D234))</f>
        <v>7.2318619582847381</v>
      </c>
      <c r="E237" s="18">
        <f>SQRT((E240+E241)/(E234*E234))</f>
        <v>0.66066288747426982</v>
      </c>
      <c r="F237" s="18">
        <f>SQRT((F240+F241)/(F234*F234))</f>
        <v>1.1362735259123449</v>
      </c>
      <c r="G237" s="18">
        <f>SQRT((G240+G241)/(G234*G234))</f>
        <v>2.7453207757331568</v>
      </c>
      <c r="H237" s="1"/>
      <c r="T237" s="57">
        <f>T84</f>
        <v>65.342911111111107</v>
      </c>
      <c r="U237" s="57">
        <f>U84</f>
        <v>827.0048757146709</v>
      </c>
      <c r="V237" s="57">
        <f>V84</f>
        <v>59191.786011390475</v>
      </c>
      <c r="W237" s="57">
        <f>W84</f>
        <v>30338.999793963703</v>
      </c>
      <c r="X237" s="57">
        <f>X84</f>
        <v>6117.016407820036</v>
      </c>
      <c r="AB237">
        <v>16</v>
      </c>
      <c r="AC237">
        <v>495</v>
      </c>
      <c r="AD237">
        <v>490</v>
      </c>
      <c r="AE237">
        <v>479</v>
      </c>
      <c r="AN237" s="78"/>
      <c r="AO237" s="78"/>
    </row>
    <row r="238" spans="1:48" x14ac:dyDescent="0.3">
      <c r="B238" s="1" t="s">
        <v>37</v>
      </c>
      <c r="C238" s="18">
        <f>100-C236</f>
        <v>0</v>
      </c>
      <c r="D238" s="18">
        <f>100-D236</f>
        <v>16.357061264070637</v>
      </c>
      <c r="E238" s="18">
        <f>100-E236</f>
        <v>5.3588864964615937</v>
      </c>
      <c r="F238" s="18">
        <f>100-F236</f>
        <v>4.6147612426581901</v>
      </c>
      <c r="G238" s="18">
        <f>100-G236</f>
        <v>9.9498644495815398</v>
      </c>
      <c r="T238" s="57">
        <f>T94</f>
        <v>64.177666666666667</v>
      </c>
      <c r="U238" s="57">
        <f>U94</f>
        <v>831.49894869875936</v>
      </c>
      <c r="V238" s="57">
        <f>V94</f>
        <v>60052.88907797305</v>
      </c>
      <c r="W238" s="57">
        <f>W94</f>
        <v>29539.757839648504</v>
      </c>
      <c r="X238" s="57">
        <f>X94</f>
        <v>6051.8264670130184</v>
      </c>
      <c r="AB238">
        <v>17</v>
      </c>
      <c r="AC238">
        <v>524</v>
      </c>
      <c r="AD238">
        <v>519</v>
      </c>
      <c r="AE238">
        <v>508</v>
      </c>
    </row>
    <row r="239" spans="1:48" ht="15.6" x14ac:dyDescent="0.35">
      <c r="B239" s="1" t="s">
        <v>25</v>
      </c>
      <c r="C239" s="1">
        <f>C223</f>
        <v>165</v>
      </c>
      <c r="D239" s="1">
        <f>D223</f>
        <v>277</v>
      </c>
      <c r="E239" s="1">
        <f>E223</f>
        <v>801</v>
      </c>
      <c r="F239" s="1">
        <f>F223</f>
        <v>652</v>
      </c>
      <c r="G239" s="1">
        <f>G223</f>
        <v>998</v>
      </c>
      <c r="T239" s="57">
        <f>T104</f>
        <v>184.56368888888886</v>
      </c>
      <c r="U239" s="57">
        <f>U104</f>
        <v>728.20217130429421</v>
      </c>
      <c r="V239" s="57">
        <f>V104</f>
        <v>59647.083475579697</v>
      </c>
      <c r="W239" s="57">
        <f>W104</f>
        <v>29916.637943726648</v>
      </c>
      <c r="X239" s="57">
        <f>X104</f>
        <v>6063.6627205004879</v>
      </c>
      <c r="AB239">
        <v>18</v>
      </c>
      <c r="AC239">
        <v>553</v>
      </c>
      <c r="AD239">
        <v>548</v>
      </c>
      <c r="AE239">
        <v>537</v>
      </c>
      <c r="AN239" s="78"/>
      <c r="AO239" s="78"/>
    </row>
    <row r="240" spans="1:48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18.679017986728375</v>
      </c>
      <c r="E240" s="18">
        <f>(O231*O231*(100-E236)*(100-E236)*(I231)*(100-I231))/((L231-1)*100)</f>
        <v>272.66371982808744</v>
      </c>
      <c r="F240" s="18">
        <f>(O232*O232*(100-F236)*(100-F236)*(I232)*(100-I232))/((L232-1)*100)</f>
        <v>387.71573607775775</v>
      </c>
      <c r="G240" s="18">
        <f>(O233*O233*(100-G236)*(100-G236)*(I233)*(100-I233))/((L233-1)*100)</f>
        <v>15.505774936420126</v>
      </c>
      <c r="T240" s="57">
        <f>T114</f>
        <v>92.435666666666677</v>
      </c>
      <c r="U240" s="57">
        <f>U114</f>
        <v>844.47841666666659</v>
      </c>
      <c r="V240" s="57">
        <f>V114</f>
        <v>59266.678590623669</v>
      </c>
      <c r="W240" s="57">
        <f>W114</f>
        <v>30255.498126319017</v>
      </c>
      <c r="X240" s="57">
        <f>X114</f>
        <v>6081.0591997239762</v>
      </c>
      <c r="AB240">
        <v>19</v>
      </c>
      <c r="AC240">
        <v>582</v>
      </c>
      <c r="AD240">
        <v>577</v>
      </c>
      <c r="AE240">
        <v>566</v>
      </c>
    </row>
    <row r="241" spans="1:41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20.118837927896919</v>
      </c>
      <c r="E241" s="18">
        <f>E236*E236*(SUM((H229*E229*(1-E218/H218))/(H218-1),(H230*E230*(1-E219/H219))/(H219-1), (H232*E232*(1-E221/H221))/(H221-1),(H233*E233*(1-E222/H222))/(H222-1)))</f>
        <v>1416.2664553853497</v>
      </c>
      <c r="F241" s="18">
        <f>F236*F236*(SUM((H229*F229*(1-F218/H218))/(H218-1),(H230*F230*(1-F219/H219))/(H219-1), (H231*F231*(1-F220/H220))/(H220-1),(H233*F233*(1-F222/H222))/(H222-1)))</f>
        <v>821.11000449433391</v>
      </c>
      <c r="G241" s="18">
        <f>G236*G236*(SUM((H229*G229*(1-G218/H218))/(H218-1),(H230*G230*(1-G219/H219))/(H219-1), (H231*G231*(1-G220/H220))/(H220-1),(H232*G232*(1-G221/H221))/(H221-1)))</f>
        <v>280.665672321643</v>
      </c>
      <c r="T241" s="57">
        <f>T124</f>
        <v>86.309555555555562</v>
      </c>
      <c r="U241" s="57">
        <f>U124</f>
        <v>837.76674305555559</v>
      </c>
      <c r="V241" s="57">
        <f>V124</f>
        <v>60253.006932472366</v>
      </c>
      <c r="W241" s="57">
        <f>W124</f>
        <v>29386.297938757143</v>
      </c>
      <c r="X241" s="57">
        <f>X124</f>
        <v>5976.7688301593844</v>
      </c>
      <c r="AB241">
        <v>20</v>
      </c>
      <c r="AC241">
        <v>611</v>
      </c>
      <c r="AD241">
        <v>606</v>
      </c>
      <c r="AE241">
        <v>595</v>
      </c>
      <c r="AN241" s="78"/>
      <c r="AO241" s="78"/>
    </row>
    <row r="242" spans="1:41" x14ac:dyDescent="0.3">
      <c r="T242" s="57">
        <f>T134</f>
        <v>66.895199999999988</v>
      </c>
      <c r="U242" s="57">
        <f>U134</f>
        <v>744.97835624999993</v>
      </c>
      <c r="V242" s="57">
        <f>V134</f>
        <v>59548.102701649732</v>
      </c>
      <c r="W242" s="57">
        <f>W134</f>
        <v>30187.744717990983</v>
      </c>
      <c r="X242" s="57">
        <f>X134</f>
        <v>5992.4290241092722</v>
      </c>
      <c r="AB242">
        <v>21</v>
      </c>
      <c r="AC242">
        <v>640</v>
      </c>
      <c r="AD242">
        <v>635</v>
      </c>
      <c r="AE242">
        <v>624</v>
      </c>
    </row>
    <row r="243" spans="1:41" x14ac:dyDescent="0.3">
      <c r="T243" s="57">
        <f>T144</f>
        <v>83.938199999999995</v>
      </c>
      <c r="U243" s="57">
        <f>U144</f>
        <v>949.89551003236249</v>
      </c>
      <c r="V243" s="57">
        <f>V144</f>
        <v>59455.148988370282</v>
      </c>
      <c r="W243" s="57">
        <f>W144</f>
        <v>29858.78430772253</v>
      </c>
      <c r="X243" s="57">
        <f>X144</f>
        <v>6192.3829938748268</v>
      </c>
      <c r="AB243">
        <v>22</v>
      </c>
      <c r="AC243">
        <v>669</v>
      </c>
      <c r="AD243">
        <v>664</v>
      </c>
      <c r="AE243">
        <v>653</v>
      </c>
      <c r="AN243" s="78"/>
      <c r="AO243" s="78"/>
    </row>
    <row r="244" spans="1:41" x14ac:dyDescent="0.3">
      <c r="A244" s="348" t="s">
        <v>386</v>
      </c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 t="s">
        <v>81</v>
      </c>
      <c r="M244" s="348"/>
      <c r="N244" s="348"/>
      <c r="O244" s="348"/>
      <c r="P244" s="348"/>
      <c r="T244" s="57">
        <f>T154</f>
        <v>122.33591111111109</v>
      </c>
      <c r="U244" s="57">
        <f>U154</f>
        <v>715.5890020833333</v>
      </c>
      <c r="V244" s="57">
        <f>V154</f>
        <v>59278.761551434814</v>
      </c>
      <c r="W244" s="57">
        <f>W154</f>
        <v>30173.351989131286</v>
      </c>
      <c r="X244" s="57">
        <f>X154</f>
        <v>6250.1215462394503</v>
      </c>
      <c r="AB244">
        <v>23</v>
      </c>
      <c r="AC244">
        <v>698</v>
      </c>
      <c r="AD244">
        <v>693</v>
      </c>
      <c r="AE244">
        <v>682</v>
      </c>
    </row>
    <row r="245" spans="1:41" x14ac:dyDescent="0.3">
      <c r="A245" t="s">
        <v>315</v>
      </c>
      <c r="B245" t="s">
        <v>21</v>
      </c>
      <c r="I245" s="1" t="s">
        <v>53</v>
      </c>
      <c r="O245" s="142"/>
      <c r="P245" s="142"/>
      <c r="T245" s="57">
        <f>T164</f>
        <v>78.913333333333355</v>
      </c>
      <c r="U245" s="57">
        <f>U164</f>
        <v>840.69174069579287</v>
      </c>
      <c r="V245" s="57">
        <f>V164</f>
        <v>59951.253434563361</v>
      </c>
      <c r="W245" s="57">
        <f>W164</f>
        <v>29521.128772058106</v>
      </c>
      <c r="X245" s="57">
        <f>X164</f>
        <v>6148.1627193494087</v>
      </c>
      <c r="AB245">
        <v>24</v>
      </c>
      <c r="AC245">
        <v>727</v>
      </c>
      <c r="AD245">
        <v>722</v>
      </c>
      <c r="AE245">
        <v>711</v>
      </c>
      <c r="AN245" s="78"/>
      <c r="AO245" s="78"/>
    </row>
    <row r="246" spans="1:41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51</v>
      </c>
      <c r="O246" s="13"/>
      <c r="P246" s="13"/>
      <c r="T246" s="57">
        <f>T174</f>
        <v>77.502599999999987</v>
      </c>
      <c r="U246" s="57">
        <f>U174</f>
        <v>867.31794822006475</v>
      </c>
      <c r="V246" s="57">
        <f>V174</f>
        <v>59527.952173418889</v>
      </c>
      <c r="W246" s="57">
        <f>W174</f>
        <v>29914.595882750418</v>
      </c>
      <c r="X246" s="57">
        <f>X174</f>
        <v>6152.7813956106302</v>
      </c>
      <c r="AB246">
        <v>25</v>
      </c>
      <c r="AC246">
        <v>756</v>
      </c>
      <c r="AD246">
        <v>751</v>
      </c>
      <c r="AE246">
        <v>740</v>
      </c>
    </row>
    <row r="247" spans="1:41" x14ac:dyDescent="0.3">
      <c r="A247" t="s">
        <v>3</v>
      </c>
      <c r="B247" s="13">
        <v>0</v>
      </c>
      <c r="C247" s="26">
        <v>362</v>
      </c>
      <c r="D247" s="3">
        <v>0</v>
      </c>
      <c r="E247" s="3">
        <v>0</v>
      </c>
      <c r="F247" s="3">
        <v>88</v>
      </c>
      <c r="G247" s="4">
        <v>0</v>
      </c>
      <c r="H247" s="1">
        <f>SUM(C247:G247)</f>
        <v>450</v>
      </c>
      <c r="I247" s="10">
        <f>C247/H247</f>
        <v>0.80444444444444441</v>
      </c>
      <c r="J247" s="11">
        <f>1-I247</f>
        <v>0.19555555555555559</v>
      </c>
      <c r="K247">
        <f>H247-C252</f>
        <v>88</v>
      </c>
      <c r="N247" s="10">
        <f>2*(C253*I247)/(C253+I247)</f>
        <v>0.89162561576354671</v>
      </c>
      <c r="O247" s="1"/>
      <c r="P247" s="1"/>
      <c r="T247" s="57">
        <f>T184</f>
        <v>111.67926666666666</v>
      </c>
      <c r="U247" s="57">
        <f>U184</f>
        <v>882.45847413700108</v>
      </c>
      <c r="V247" s="57">
        <f>V184</f>
        <v>59711.166256110249</v>
      </c>
      <c r="W247" s="57">
        <f>W184</f>
        <v>30111.822398195411</v>
      </c>
      <c r="X247" s="57">
        <f>X184</f>
        <v>5723.033604890682</v>
      </c>
      <c r="AB247">
        <v>26</v>
      </c>
      <c r="AC247">
        <v>785</v>
      </c>
      <c r="AD247">
        <v>780</v>
      </c>
      <c r="AE247">
        <v>769</v>
      </c>
      <c r="AN247" s="78"/>
      <c r="AO247" s="78"/>
    </row>
    <row r="248" spans="1:41" x14ac:dyDescent="0.3">
      <c r="A248" t="s">
        <v>4</v>
      </c>
      <c r="B248" s="13">
        <v>1</v>
      </c>
      <c r="C248" s="5">
        <v>0</v>
      </c>
      <c r="D248" s="27">
        <v>59</v>
      </c>
      <c r="E248" s="1">
        <v>5</v>
      </c>
      <c r="F248" s="1">
        <v>0</v>
      </c>
      <c r="G248" s="6">
        <v>0</v>
      </c>
      <c r="H248" s="1">
        <f>SUM(C248:G248)</f>
        <v>64</v>
      </c>
      <c r="I248" s="10">
        <f>D248/H248</f>
        <v>0.921875</v>
      </c>
      <c r="J248" s="11">
        <f>1-I248</f>
        <v>7.8125E-2</v>
      </c>
      <c r="K248">
        <f>H248-D252</f>
        <v>4</v>
      </c>
      <c r="N248" s="10">
        <f>2*(D253*I248)/(D253+I248)</f>
        <v>0.95161290322580638</v>
      </c>
      <c r="O248" s="1"/>
      <c r="P248" s="1"/>
      <c r="T248" s="57">
        <f>T194</f>
        <v>93.028933333333327</v>
      </c>
      <c r="U248" s="57">
        <f>U194</f>
        <v>705.24175694444432</v>
      </c>
      <c r="V248" s="57">
        <f>V194</f>
        <v>59452.507371494437</v>
      </c>
      <c r="W248" s="57">
        <f>W194</f>
        <v>29843.10769949952</v>
      </c>
      <c r="X248" s="57">
        <f>X194</f>
        <v>6446.2742387282733</v>
      </c>
      <c r="AB248">
        <v>27</v>
      </c>
      <c r="AC248">
        <v>814</v>
      </c>
      <c r="AD248">
        <v>809</v>
      </c>
      <c r="AE248">
        <v>798</v>
      </c>
    </row>
    <row r="249" spans="1:41" x14ac:dyDescent="0.3">
      <c r="A249" t="s">
        <v>5</v>
      </c>
      <c r="B249" s="13">
        <v>2</v>
      </c>
      <c r="C249" s="5">
        <v>0</v>
      </c>
      <c r="D249" s="1">
        <v>0</v>
      </c>
      <c r="E249" s="27">
        <v>731</v>
      </c>
      <c r="F249" s="1">
        <v>16</v>
      </c>
      <c r="G249" s="6">
        <v>1</v>
      </c>
      <c r="H249" s="1">
        <f>SUM(C249:G249)</f>
        <v>748</v>
      </c>
      <c r="I249" s="10">
        <f>E249/H249</f>
        <v>0.97727272727272729</v>
      </c>
      <c r="J249" s="11">
        <f>1-I249</f>
        <v>2.2727272727272707E-2</v>
      </c>
      <c r="K249">
        <f>H249-E252</f>
        <v>-47</v>
      </c>
      <c r="N249" s="10">
        <f>2*(E253*I249)/(E253+I249)</f>
        <v>0.94750486066104989</v>
      </c>
      <c r="O249" s="1"/>
      <c r="P249" s="1"/>
      <c r="T249" s="57">
        <f>T204</f>
        <v>68.034000000000006</v>
      </c>
      <c r="U249" s="57">
        <f>U204</f>
        <v>647.89008749999994</v>
      </c>
      <c r="V249" s="57">
        <f>V204</f>
        <v>59850.593920305611</v>
      </c>
      <c r="W249" s="57">
        <f>W204</f>
        <v>29922.402386326328</v>
      </c>
      <c r="X249" s="57">
        <f>X204</f>
        <v>6051.2296058680504</v>
      </c>
      <c r="AB249">
        <v>28</v>
      </c>
      <c r="AC249">
        <v>843</v>
      </c>
      <c r="AD249">
        <v>838</v>
      </c>
      <c r="AE249">
        <v>827</v>
      </c>
      <c r="AN249" s="78"/>
      <c r="AO249" s="78"/>
    </row>
    <row r="250" spans="1:41" x14ac:dyDescent="0.3">
      <c r="A250" t="s">
        <v>6</v>
      </c>
      <c r="B250" s="13">
        <v>3</v>
      </c>
      <c r="C250" s="5">
        <v>0</v>
      </c>
      <c r="D250" s="1">
        <v>0</v>
      </c>
      <c r="E250" s="1">
        <v>57</v>
      </c>
      <c r="F250" s="27">
        <v>551</v>
      </c>
      <c r="G250" s="6">
        <v>10</v>
      </c>
      <c r="H250" s="1">
        <f>SUM(C250:G250)</f>
        <v>618</v>
      </c>
      <c r="I250" s="10">
        <f>F250/H250</f>
        <v>0.89158576051779936</v>
      </c>
      <c r="J250" s="11">
        <f>1-I250</f>
        <v>0.10841423948220064</v>
      </c>
      <c r="K250">
        <f>H250-F252</f>
        <v>-78</v>
      </c>
      <c r="N250" s="10">
        <f>2*(F253*I250)/(F253+I250)</f>
        <v>0.83866057838660579</v>
      </c>
      <c r="O250" s="1"/>
      <c r="P250" s="1"/>
      <c r="T250" s="57">
        <f>T214</f>
        <v>68.183088888888889</v>
      </c>
      <c r="U250" s="57">
        <f>U214</f>
        <v>917.1987518878102</v>
      </c>
      <c r="V250" s="57">
        <f>V214</f>
        <v>59492.628764666923</v>
      </c>
      <c r="W250" s="57">
        <f>W214</f>
        <v>30145.544616744472</v>
      </c>
      <c r="X250" s="57">
        <f>X214</f>
        <v>5916.594777811908</v>
      </c>
      <c r="AB250">
        <v>29</v>
      </c>
      <c r="AC250">
        <v>872</v>
      </c>
      <c r="AD250">
        <v>867</v>
      </c>
      <c r="AE250">
        <v>856</v>
      </c>
    </row>
    <row r="251" spans="1:41" x14ac:dyDescent="0.3">
      <c r="A251" t="s">
        <v>7</v>
      </c>
      <c r="B251" s="13">
        <v>4</v>
      </c>
      <c r="C251" s="7">
        <v>0</v>
      </c>
      <c r="D251" s="8">
        <v>1</v>
      </c>
      <c r="E251" s="8">
        <v>2</v>
      </c>
      <c r="F251" s="8">
        <v>41</v>
      </c>
      <c r="G251" s="28">
        <v>969</v>
      </c>
      <c r="H251" s="1">
        <f>SUM(C251:G251)</f>
        <v>1013</v>
      </c>
      <c r="I251" s="10">
        <f>G251/H251</f>
        <v>0.95656465942744329</v>
      </c>
      <c r="J251" s="11">
        <f>1-I251</f>
        <v>4.3435340572556713E-2</v>
      </c>
      <c r="K251">
        <f>H251-G252</f>
        <v>33</v>
      </c>
      <c r="N251" s="10">
        <f>2*(G253*I251)/(G253+I251)</f>
        <v>0.97240341194179636</v>
      </c>
      <c r="O251" s="1"/>
      <c r="P251" s="1"/>
      <c r="AN251" s="78"/>
      <c r="AO251" s="78"/>
    </row>
    <row r="252" spans="1:41" ht="15.6" x14ac:dyDescent="0.35">
      <c r="B252" s="1" t="s">
        <v>19</v>
      </c>
      <c r="C252" s="1">
        <f>SUM(C247:C251)</f>
        <v>362</v>
      </c>
      <c r="D252" s="1">
        <f>SUM(D247:D251)</f>
        <v>60</v>
      </c>
      <c r="E252" s="1">
        <f>SUM(E247:E251)</f>
        <v>795</v>
      </c>
      <c r="F252" s="1">
        <f>SUM(F247:F251)</f>
        <v>696</v>
      </c>
      <c r="G252" s="1">
        <f>SUM(G247:G251)</f>
        <v>980</v>
      </c>
      <c r="H252" s="1">
        <f>SUM(H246:H251)</f>
        <v>2893</v>
      </c>
      <c r="I252" s="13" t="s">
        <v>12</v>
      </c>
      <c r="N252" s="16"/>
      <c r="O252" s="1"/>
      <c r="P252" s="1"/>
    </row>
    <row r="253" spans="1:41" x14ac:dyDescent="0.3">
      <c r="A253" s="1" t="s">
        <v>316</v>
      </c>
      <c r="B253" s="1" t="s">
        <v>2</v>
      </c>
      <c r="C253" s="10">
        <f>C247/C252</f>
        <v>1</v>
      </c>
      <c r="D253" s="10">
        <f>D248/D252</f>
        <v>0.98333333333333328</v>
      </c>
      <c r="E253" s="10">
        <f>E249/E252</f>
        <v>0.91949685534591197</v>
      </c>
      <c r="F253" s="10">
        <f>F250/F252</f>
        <v>0.79166666666666663</v>
      </c>
      <c r="G253" s="10">
        <f>G251/G252</f>
        <v>0.98877551020408161</v>
      </c>
      <c r="H253" s="10"/>
      <c r="I253" s="14">
        <f>(C247+D248+E249+F250+G251)/H252</f>
        <v>0.92360871068095407</v>
      </c>
      <c r="AN253" s="78"/>
      <c r="AO253" s="78"/>
    </row>
    <row r="254" spans="1:41" x14ac:dyDescent="0.3">
      <c r="B254" s="1" t="s">
        <v>14</v>
      </c>
      <c r="C254" s="11">
        <f>1-C253</f>
        <v>0</v>
      </c>
      <c r="D254" s="11">
        <f>1-D253</f>
        <v>1.6666666666666718E-2</v>
      </c>
      <c r="E254" s="11">
        <f>1-E253</f>
        <v>8.0503144654088032E-2</v>
      </c>
      <c r="F254" s="11">
        <f>1-F253</f>
        <v>0.20833333333333337</v>
      </c>
      <c r="G254" s="11">
        <f>1-G253</f>
        <v>1.1224489795918391E-2</v>
      </c>
    </row>
    <row r="255" spans="1:41" x14ac:dyDescent="0.3">
      <c r="C255" s="2"/>
      <c r="AN255" s="78"/>
      <c r="AO255" s="78"/>
    </row>
    <row r="256" spans="1:41" ht="15.6" x14ac:dyDescent="0.35">
      <c r="A256" t="s">
        <v>317</v>
      </c>
      <c r="B256" s="15" t="s">
        <v>23</v>
      </c>
      <c r="N256" s="12" t="s">
        <v>17</v>
      </c>
      <c r="O256" s="1" t="s">
        <v>27</v>
      </c>
      <c r="P256" s="1" t="s">
        <v>33</v>
      </c>
    </row>
    <row r="257" spans="1:41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</row>
    <row r="258" spans="1:41" x14ac:dyDescent="0.3">
      <c r="A258" t="s">
        <v>3</v>
      </c>
      <c r="B258" s="13">
        <v>0</v>
      </c>
      <c r="C258" s="29">
        <f>(C247/$L258)*$O258</f>
        <v>0.19117816668908102</v>
      </c>
      <c r="D258" s="31">
        <f>(D247/$L258)*$O258</f>
        <v>0</v>
      </c>
      <c r="E258" s="31">
        <f>(E247/$L258)*$O258</f>
        <v>0</v>
      </c>
      <c r="F258" s="31">
        <f>(F247/$L258)*$O258</f>
        <v>4.6474250465853954E-2</v>
      </c>
      <c r="G258" s="32">
        <f>(G247/$L258)*$O258</f>
        <v>0</v>
      </c>
      <c r="H258" s="17">
        <f>SUM(C258:G258)</f>
        <v>0.23765241715493499</v>
      </c>
      <c r="I258" s="17">
        <f>C258/H258*100</f>
        <v>80.444444444444443</v>
      </c>
      <c r="J258" s="17">
        <f>SQRT(I258*(100-I258)/(L258-1))</f>
        <v>1.8718021296670591</v>
      </c>
      <c r="K258" s="18">
        <f>100-I258</f>
        <v>19.555555555555557</v>
      </c>
      <c r="L258" s="1">
        <f>H247</f>
        <v>450</v>
      </c>
      <c r="M258">
        <v>0</v>
      </c>
      <c r="N258" s="1">
        <v>229.43</v>
      </c>
      <c r="O258" s="17">
        <f>N258/N263*100</f>
        <v>0.23765241715493499</v>
      </c>
      <c r="P258" s="52">
        <f>((O258*O258*(I258/100)*(K258/100))/(L258-1))</f>
        <v>1.9788111363721888E-5</v>
      </c>
    </row>
    <row r="259" spans="1:41" x14ac:dyDescent="0.3">
      <c r="A259" t="s">
        <v>4</v>
      </c>
      <c r="B259" s="13">
        <v>1</v>
      </c>
      <c r="C259" s="33">
        <f t="shared" ref="C259:G262" si="38">(C248/$L259)*$O259</f>
        <v>0</v>
      </c>
      <c r="D259" s="34">
        <f t="shared" si="38"/>
        <v>0.74845171283657619</v>
      </c>
      <c r="E259" s="19">
        <f t="shared" si="38"/>
        <v>6.3428111257336967E-2</v>
      </c>
      <c r="F259" s="18">
        <f t="shared" si="38"/>
        <v>0</v>
      </c>
      <c r="G259" s="20">
        <f t="shared" si="38"/>
        <v>0</v>
      </c>
      <c r="H259" s="17">
        <f>SUM(C259:G259)</f>
        <v>0.81187982409391313</v>
      </c>
      <c r="I259" s="17">
        <f>D259/H259*100</f>
        <v>92.1875</v>
      </c>
      <c r="J259" s="17">
        <f>SQRT(I259*(100-I259)/(L259-1))</f>
        <v>3.3811213593755247</v>
      </c>
      <c r="K259" s="18">
        <f>100-I259</f>
        <v>7.8125</v>
      </c>
      <c r="L259" s="1">
        <f>H248</f>
        <v>64</v>
      </c>
      <c r="M259">
        <v>1</v>
      </c>
      <c r="N259" s="1">
        <v>783.79</v>
      </c>
      <c r="O259" s="17">
        <f>N259/N263*100</f>
        <v>0.81187982409391313</v>
      </c>
      <c r="P259" s="52">
        <f>((O259*O259*(I259/100)*(K259/100))/(L259-1))</f>
        <v>7.5353775416734552E-4</v>
      </c>
      <c r="AN259" s="78"/>
      <c r="AO259" s="78"/>
    </row>
    <row r="260" spans="1:41" x14ac:dyDescent="0.3">
      <c r="A260" t="s">
        <v>5</v>
      </c>
      <c r="B260" s="13">
        <v>2</v>
      </c>
      <c r="C260" s="33">
        <f t="shared" si="38"/>
        <v>0</v>
      </c>
      <c r="D260" s="19">
        <f t="shared" si="38"/>
        <v>0</v>
      </c>
      <c r="E260" s="34">
        <f t="shared" si="38"/>
        <v>58.666327617906312</v>
      </c>
      <c r="F260" s="19">
        <f t="shared" si="38"/>
        <v>1.2840783062742831</v>
      </c>
      <c r="G260" s="20">
        <f t="shared" si="38"/>
        <v>8.0254894142142694E-2</v>
      </c>
      <c r="H260" s="17">
        <f>SUM(C260:G260)</f>
        <v>60.030660818322737</v>
      </c>
      <c r="I260" s="17">
        <f>E260/H260*100</f>
        <v>97.727272727272734</v>
      </c>
      <c r="J260" s="17">
        <f>SQRT(I260*(100-I260)/(L260-1))</f>
        <v>0.54528211139992067</v>
      </c>
      <c r="K260" s="18">
        <f>100-I260</f>
        <v>2.2727272727272663</v>
      </c>
      <c r="L260" s="1">
        <f>H249</f>
        <v>748</v>
      </c>
      <c r="M260">
        <v>2</v>
      </c>
      <c r="N260" s="1">
        <v>57953.69</v>
      </c>
      <c r="O260" s="17">
        <f>N260/N263*100</f>
        <v>60.030660818322737</v>
      </c>
      <c r="P260" s="52">
        <f>((O260*O260*(I260/100)*(K260/100))/(L260-1))</f>
        <v>0.10714915463937943</v>
      </c>
    </row>
    <row r="261" spans="1:41" x14ac:dyDescent="0.3">
      <c r="A261" t="s">
        <v>6</v>
      </c>
      <c r="B261" s="13">
        <v>3</v>
      </c>
      <c r="C261" s="33">
        <f t="shared" si="38"/>
        <v>0</v>
      </c>
      <c r="D261" s="19">
        <f t="shared" si="38"/>
        <v>0</v>
      </c>
      <c r="E261" s="19">
        <f t="shared" si="38"/>
        <v>3.0432909726190736</v>
      </c>
      <c r="F261" s="34">
        <f t="shared" si="38"/>
        <v>29.418479401984378</v>
      </c>
      <c r="G261" s="20">
        <f t="shared" si="38"/>
        <v>0.53391069695071458</v>
      </c>
      <c r="H261" s="17">
        <f>SUM(C261:G261)</f>
        <v>32.995681071554166</v>
      </c>
      <c r="I261" s="17">
        <f>F261/H261*100</f>
        <v>89.158576051779932</v>
      </c>
      <c r="J261" s="17">
        <f>SQRT(I261*(100-I261)/(L261-1))</f>
        <v>1.2516478095762908</v>
      </c>
      <c r="K261" s="18">
        <f>100-I261</f>
        <v>10.841423948220068</v>
      </c>
      <c r="L261" s="1">
        <f>H250</f>
        <v>618</v>
      </c>
      <c r="M261">
        <v>3</v>
      </c>
      <c r="N261" s="1">
        <v>31854.080000000002</v>
      </c>
      <c r="O261" s="17">
        <f>N261/N263*100</f>
        <v>32.995681071554166</v>
      </c>
      <c r="P261" s="52">
        <f>((O261*O261*(I261/100)*(K261/100))/(L261-1))</f>
        <v>0.17056050831925931</v>
      </c>
      <c r="AN261" s="78"/>
      <c r="AO261" s="78"/>
    </row>
    <row r="262" spans="1:41" x14ac:dyDescent="0.3">
      <c r="A262" t="s">
        <v>7</v>
      </c>
      <c r="B262" s="13">
        <v>4</v>
      </c>
      <c r="C262" s="35">
        <f t="shared" si="38"/>
        <v>0</v>
      </c>
      <c r="D262" s="36">
        <f t="shared" si="38"/>
        <v>5.848100561573785E-3</v>
      </c>
      <c r="E262" s="21">
        <f t="shared" si="38"/>
        <v>1.169620112314757E-2</v>
      </c>
      <c r="F262" s="21">
        <f t="shared" si="38"/>
        <v>0.23977212302452519</v>
      </c>
      <c r="G262" s="37">
        <f t="shared" si="38"/>
        <v>5.6668094441649988</v>
      </c>
      <c r="H262" s="17">
        <f>SUM(C262:G262)</f>
        <v>5.9241258688742455</v>
      </c>
      <c r="I262" s="17">
        <f>G262/H262*100</f>
        <v>95.656465942744319</v>
      </c>
      <c r="J262" s="17">
        <f>SQRT(I262*(100-I262)/(L262-1))</f>
        <v>0.64074986765833819</v>
      </c>
      <c r="K262" s="18">
        <f>100-I262</f>
        <v>4.3435340572556811</v>
      </c>
      <c r="L262" s="1">
        <f>H251</f>
        <v>1013</v>
      </c>
      <c r="M262">
        <v>4</v>
      </c>
      <c r="N262" s="1">
        <v>5719.16</v>
      </c>
      <c r="O262" s="17">
        <f>N262/N263*100</f>
        <v>5.9241258688742446</v>
      </c>
      <c r="P262" s="52">
        <f>((O262*O262*(I262/100)*(K262/100))/(L262-1))</f>
        <v>1.4408726735979562E-3</v>
      </c>
    </row>
    <row r="263" spans="1:41" x14ac:dyDescent="0.3">
      <c r="B263" t="s">
        <v>28</v>
      </c>
      <c r="C263" s="17">
        <f>SUM(C258:C262)</f>
        <v>0.19117816668908102</v>
      </c>
      <c r="D263" s="17">
        <f>SUM(D258:D262)</f>
        <v>0.75429981339815</v>
      </c>
      <c r="E263" s="17">
        <f>SUM(E258:E262)</f>
        <v>61.784742902905876</v>
      </c>
      <c r="F263" s="17">
        <f>SUM(F258:F262)</f>
        <v>30.988804081749041</v>
      </c>
      <c r="G263" s="17">
        <f>SUM(G258:G262)</f>
        <v>6.2809750352578559</v>
      </c>
      <c r="H263" s="1">
        <f>SUM(H257:H262)</f>
        <v>99.999999999999986</v>
      </c>
      <c r="I263" s="13" t="s">
        <v>24</v>
      </c>
      <c r="J263" s="12" t="s">
        <v>29</v>
      </c>
      <c r="N263" s="1">
        <f>SUM(N258:N262)</f>
        <v>96540.150000000009</v>
      </c>
      <c r="O263" s="17">
        <f>SUM(O258:O262)</f>
        <v>99.999999999999986</v>
      </c>
      <c r="AM263" s="78"/>
      <c r="AN263" s="78"/>
      <c r="AO263" s="78"/>
    </row>
    <row r="264" spans="1:41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4.4434376087567184E-3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2.7855524506900795E-2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0.50528611373224708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0.52201430757815837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0.18951645743575468</v>
      </c>
      <c r="H264" s="1"/>
      <c r="I264" s="56">
        <f>(C258+D259+E260+F261+G262)/H263</f>
        <v>0.94691246343581359</v>
      </c>
      <c r="J264" s="53">
        <f>SQRT(SUM(P258:P262))/100</f>
        <v>5.2907831319925387E-3</v>
      </c>
      <c r="M264" s="1"/>
      <c r="N264" s="9"/>
    </row>
    <row r="265" spans="1:41" x14ac:dyDescent="0.3">
      <c r="B265" s="1" t="s">
        <v>30</v>
      </c>
      <c r="C265" s="17">
        <f>C258/C263*100</f>
        <v>100</v>
      </c>
      <c r="D265" s="17">
        <f>D259/D263*100</f>
        <v>99.224698129616669</v>
      </c>
      <c r="E265" s="17">
        <f>E260/E263*100</f>
        <v>94.952774522506118</v>
      </c>
      <c r="F265" s="17">
        <f>F261/F263*100</f>
        <v>94.932606383834255</v>
      </c>
      <c r="G265" s="17">
        <f>G262/G263*100</f>
        <v>90.221811300868467</v>
      </c>
      <c r="H265" s="1"/>
      <c r="AM265" s="78"/>
      <c r="AN265" s="78"/>
      <c r="AO265" s="78"/>
    </row>
    <row r="266" spans="1:41" x14ac:dyDescent="0.3">
      <c r="B266" s="16" t="s">
        <v>39</v>
      </c>
      <c r="C266" s="18">
        <f>SQRT((C269+C270)/(C263*C263))</f>
        <v>0</v>
      </c>
      <c r="D266" s="18">
        <f>SQRT((D269+D270)/(D263*D263))</f>
        <v>0.81940033652171973</v>
      </c>
      <c r="E266" s="18">
        <f>SQRT((E269+E270)/(E263*E263))</f>
        <v>0.64990678319515471</v>
      </c>
      <c r="F266" s="18">
        <f>SQRT((F269+F270)/(F263*F263))</f>
        <v>1.1902143511058851</v>
      </c>
      <c r="G266" s="18">
        <f>SQRT((G269+G270)/(G263*G263))</f>
        <v>2.7338839220424713</v>
      </c>
      <c r="H266" s="1"/>
    </row>
    <row r="267" spans="1:41" x14ac:dyDescent="0.3">
      <c r="B267" s="1" t="s">
        <v>37</v>
      </c>
      <c r="C267" s="18">
        <f>100-C265</f>
        <v>0</v>
      </c>
      <c r="D267" s="18">
        <f>100-D265</f>
        <v>0.77530187038333054</v>
      </c>
      <c r="E267" s="18">
        <f>100-E265</f>
        <v>5.0472254774938818</v>
      </c>
      <c r="F267" s="18">
        <f>100-F265</f>
        <v>5.0673936161657451</v>
      </c>
      <c r="G267" s="18">
        <f>100-G265</f>
        <v>9.7781886991315332</v>
      </c>
      <c r="AM267" s="78"/>
      <c r="AN267" s="78"/>
      <c r="AO267" s="78"/>
    </row>
    <row r="268" spans="1:41" ht="15.6" x14ac:dyDescent="0.35">
      <c r="B268" s="1" t="s">
        <v>25</v>
      </c>
      <c r="C268" s="1">
        <f>C252</f>
        <v>362</v>
      </c>
      <c r="D268" s="1">
        <f>D252</f>
        <v>60</v>
      </c>
      <c r="E268" s="1">
        <f>E252</f>
        <v>795</v>
      </c>
      <c r="F268" s="1">
        <f>F252</f>
        <v>696</v>
      </c>
      <c r="G268" s="1">
        <f>G252</f>
        <v>980</v>
      </c>
    </row>
    <row r="269" spans="1:41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4.5294626189603053E-2</v>
      </c>
      <c r="E269" s="18">
        <f>(O260*O260*(100-E265)*(100-E265)*(I260)*(100-I260))/((L260-1)*100)</f>
        <v>272.95695348376114</v>
      </c>
      <c r="F269" s="18">
        <f>(O261*O261*(100-F265)*(100-F265)*(I261)*(100-I261))/((L261-1)*100)</f>
        <v>437.97342709759442</v>
      </c>
      <c r="G269" s="18">
        <f>(O262*O262*(100-G265)*(100-G265)*(I262)*(100-I262))/((L262-1)*100)</f>
        <v>13.776612181782369</v>
      </c>
      <c r="AM269" s="78"/>
      <c r="AN269" s="78"/>
      <c r="AO269" s="78"/>
    </row>
    <row r="270" spans="1:41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0.33672025109350417</v>
      </c>
      <c r="E270" s="18">
        <f>E265*E265*(SUM((H258*E258*(1-E247/H247))/(H247-1),(H259*E259*(1-E248/H248))/(H248-1), (H261*E261*(1-E250/H250))/(H250-1),(H262*E262*(1-E251/H251))/(H251-1)))</f>
        <v>1339.4127431075301</v>
      </c>
      <c r="F270" s="18">
        <f>F265*F265*(SUM((H258*F258*(1-F247/H247))/(H247-1),(H259*F259*(1-F248/H248))/(H248-1), (H260*F260*(1-F249/H249))/(H249-1),(H262*F262*(1-F251/H251))/(H251-1)))</f>
        <v>922.40581856469464</v>
      </c>
      <c r="G270" s="18">
        <f>G265*G265*(SUM((H258*G258*(1-G247/H247))/(H247-1),(H259*G259*(1-G248/H248))/(H248-1), (H260*G260*(1-G249/H249))/(H249-1),(H261*G261*(1-G250/H250))/(H250-1)))</f>
        <v>281.0823117695391</v>
      </c>
    </row>
    <row r="271" spans="1:41" x14ac:dyDescent="0.3">
      <c r="AM271" s="78"/>
      <c r="AN271" s="78"/>
      <c r="AO271" s="78"/>
    </row>
    <row r="272" spans="1:41" x14ac:dyDescent="0.3">
      <c r="T272" s="2"/>
    </row>
    <row r="273" spans="1:41" x14ac:dyDescent="0.3">
      <c r="A273" s="348" t="s">
        <v>386</v>
      </c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 t="s">
        <v>82</v>
      </c>
      <c r="M273" s="348"/>
      <c r="N273" s="348"/>
      <c r="O273" s="348"/>
      <c r="P273" s="348"/>
      <c r="AM273" s="78"/>
      <c r="AN273" s="78"/>
      <c r="AO273" s="78"/>
    </row>
    <row r="274" spans="1:41" ht="15" thickBot="1" x14ac:dyDescent="0.35">
      <c r="A274" t="s">
        <v>315</v>
      </c>
      <c r="B274" t="s">
        <v>21</v>
      </c>
      <c r="I274" s="1" t="s">
        <v>53</v>
      </c>
      <c r="O274" s="142"/>
      <c r="P274" s="142"/>
      <c r="R274" s="59" t="s">
        <v>73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72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51</v>
      </c>
      <c r="O275" s="13"/>
      <c r="P275" s="13"/>
      <c r="S275" t="s">
        <v>28</v>
      </c>
      <c r="T275" s="57">
        <f t="shared" ref="T275:X276" si="39">AVERAGE(T16,T26,T36,T46,T56)</f>
        <v>0.1041790981571791</v>
      </c>
      <c r="U275" s="57">
        <f t="shared" si="39"/>
        <v>0.81338035780495288</v>
      </c>
      <c r="V275" s="57">
        <f t="shared" si="39"/>
        <v>61.872115645618102</v>
      </c>
      <c r="W275" s="57">
        <f t="shared" si="39"/>
        <v>30.893872105207144</v>
      </c>
      <c r="X275" s="57">
        <f t="shared" si="39"/>
        <v>6.3164527932126173</v>
      </c>
      <c r="Z275" s="14">
        <f>AVERAGE(AE16,AE17,AE18,AE19,AE20)</f>
        <v>0.94798280496673759</v>
      </c>
      <c r="AA275" s="72">
        <f>AVERAGE(AF16,AF17,AF18,AF19,AF20)</f>
        <v>5.1736007729977903E-3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215</v>
      </c>
      <c r="D276" s="3">
        <v>230</v>
      </c>
      <c r="E276" s="3">
        <v>0</v>
      </c>
      <c r="F276" s="3">
        <v>5</v>
      </c>
      <c r="G276" s="4">
        <v>0</v>
      </c>
      <c r="H276" s="1">
        <f>SUM(C276:G276)</f>
        <v>450</v>
      </c>
      <c r="I276" s="10">
        <f>C276/H276</f>
        <v>0.4777777777777778</v>
      </c>
      <c r="J276" s="11">
        <f>1-I276</f>
        <v>0.52222222222222214</v>
      </c>
      <c r="K276">
        <f>H276-C281</f>
        <v>235</v>
      </c>
      <c r="N276" s="10">
        <f>2*(C282*I276)/(C282+I276)</f>
        <v>0.64661654135338342</v>
      </c>
      <c r="O276" s="1"/>
      <c r="P276" s="1"/>
      <c r="S276" t="s">
        <v>39</v>
      </c>
      <c r="T276" s="57">
        <f t="shared" si="39"/>
        <v>4.6582167748253026E-3</v>
      </c>
      <c r="U276" s="57">
        <f t="shared" si="39"/>
        <v>5.3611266134338219E-2</v>
      </c>
      <c r="V276" s="57">
        <f t="shared" si="39"/>
        <v>0.4905273673070239</v>
      </c>
      <c r="W276" s="57">
        <f t="shared" si="39"/>
        <v>0.51132983442714575</v>
      </c>
      <c r="X276" s="57">
        <f t="shared" si="39"/>
        <v>0.1878613696973209</v>
      </c>
    </row>
    <row r="277" spans="1:41" x14ac:dyDescent="0.3">
      <c r="A277" t="s">
        <v>4</v>
      </c>
      <c r="B277" s="13">
        <v>1</v>
      </c>
      <c r="C277" s="5">
        <v>0</v>
      </c>
      <c r="D277" s="27">
        <v>60</v>
      </c>
      <c r="E277" s="1">
        <v>4</v>
      </c>
      <c r="F277" s="1">
        <v>0</v>
      </c>
      <c r="G277" s="6">
        <v>0</v>
      </c>
      <c r="H277" s="1">
        <f>SUM(C277:G277)</f>
        <v>64</v>
      </c>
      <c r="I277" s="10">
        <f>D277/H277</f>
        <v>0.9375</v>
      </c>
      <c r="J277" s="11">
        <f>1-I277</f>
        <v>6.25E-2</v>
      </c>
      <c r="K277">
        <f>H277-D281</f>
        <v>-226</v>
      </c>
      <c r="N277" s="10">
        <f>2*(D282*I277)/(D282+I277)</f>
        <v>0.33898305084745761</v>
      </c>
      <c r="O277" s="1"/>
      <c r="P277" s="1"/>
      <c r="S277" s="66" t="s">
        <v>60</v>
      </c>
      <c r="T277" s="67">
        <f>1.96*T276</f>
        <v>9.1301048786575929E-3</v>
      </c>
      <c r="U277" s="67">
        <f>1.96*U276</f>
        <v>0.10507808162330291</v>
      </c>
      <c r="V277" s="67">
        <f>1.96*V276</f>
        <v>0.96143363992176678</v>
      </c>
      <c r="W277" s="67">
        <f>1.96*W276</f>
        <v>1.0022064754772055</v>
      </c>
      <c r="X277" s="67">
        <f>1.96*X276</f>
        <v>0.36820828460674893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0</v>
      </c>
      <c r="E278" s="27">
        <v>728</v>
      </c>
      <c r="F278" s="1">
        <v>19</v>
      </c>
      <c r="G278" s="6">
        <v>1</v>
      </c>
      <c r="H278" s="1">
        <f>SUM(C278:G278)</f>
        <v>748</v>
      </c>
      <c r="I278" s="10">
        <f>E278/H278</f>
        <v>0.9732620320855615</v>
      </c>
      <c r="J278" s="11">
        <f>1-I278</f>
        <v>2.6737967914438499E-2</v>
      </c>
      <c r="K278">
        <f>H278-E281</f>
        <v>-42</v>
      </c>
      <c r="N278" s="10">
        <f>2*(E282*I278)/(E282+I278)</f>
        <v>0.9466840052015606</v>
      </c>
      <c r="O278" s="1"/>
      <c r="P278" s="1"/>
      <c r="S278" t="s">
        <v>30</v>
      </c>
      <c r="T278" s="57">
        <f t="shared" ref="T278:X279" si="40">AVERAGE(T18,T28,T38,T48,T58)</f>
        <v>100</v>
      </c>
      <c r="U278" s="57">
        <f t="shared" si="40"/>
        <v>86.88814003426009</v>
      </c>
      <c r="V278" s="57">
        <f t="shared" si="40"/>
        <v>95.004284457217736</v>
      </c>
      <c r="W278" s="57">
        <f t="shared" si="40"/>
        <v>95.516911706089587</v>
      </c>
      <c r="X278" s="57">
        <f t="shared" si="40"/>
        <v>90.234037244308411</v>
      </c>
    </row>
    <row r="279" spans="1:41" x14ac:dyDescent="0.3">
      <c r="A279" t="s">
        <v>6</v>
      </c>
      <c r="B279" s="13">
        <v>3</v>
      </c>
      <c r="C279" s="5">
        <v>0</v>
      </c>
      <c r="D279" s="1">
        <v>0</v>
      </c>
      <c r="E279" s="1">
        <v>55</v>
      </c>
      <c r="F279" s="27">
        <v>551</v>
      </c>
      <c r="G279" s="6">
        <v>12</v>
      </c>
      <c r="H279" s="1">
        <f>SUM(C279:G279)</f>
        <v>618</v>
      </c>
      <c r="I279" s="10">
        <f>F279/H279</f>
        <v>0.89158576051779936</v>
      </c>
      <c r="J279" s="11">
        <f>1-I279</f>
        <v>0.10841423948220064</v>
      </c>
      <c r="K279">
        <f>H279-F281</f>
        <v>7</v>
      </c>
      <c r="N279" s="10">
        <f>2*(F282*I279)/(F282+I279)</f>
        <v>0.89666395443449953</v>
      </c>
      <c r="O279" s="1"/>
      <c r="P279" s="1"/>
      <c r="S279" t="s">
        <v>39</v>
      </c>
      <c r="T279" s="57">
        <f t="shared" si="40"/>
        <v>0</v>
      </c>
      <c r="U279" s="57">
        <f t="shared" si="40"/>
        <v>6.6735625702156414</v>
      </c>
      <c r="V279" s="57">
        <f t="shared" si="40"/>
        <v>0.63906408940976256</v>
      </c>
      <c r="W279" s="57">
        <f t="shared" si="40"/>
        <v>1.1039237691881703</v>
      </c>
      <c r="X279" s="57">
        <f t="shared" si="40"/>
        <v>2.6938640225359696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0</v>
      </c>
      <c r="E280" s="8">
        <v>3</v>
      </c>
      <c r="F280" s="8">
        <v>36</v>
      </c>
      <c r="G280" s="28">
        <v>974</v>
      </c>
      <c r="H280" s="1">
        <f>SUM(C280:G280)</f>
        <v>1013</v>
      </c>
      <c r="I280" s="10">
        <f>G280/H280</f>
        <v>0.96150049358341561</v>
      </c>
      <c r="J280" s="11">
        <f>1-I280</f>
        <v>3.8499506416584395E-2</v>
      </c>
      <c r="K280">
        <f>H280-G281</f>
        <v>26</v>
      </c>
      <c r="N280" s="10">
        <f>2*(G282*I280)/(G282+I280)</f>
        <v>0.97400000000000009</v>
      </c>
      <c r="O280" s="1"/>
      <c r="P280" s="1"/>
      <c r="S280" s="66" t="s">
        <v>60</v>
      </c>
      <c r="T280" s="67">
        <f>1.96*T279</f>
        <v>0</v>
      </c>
      <c r="U280" s="67">
        <f>1.96*U279</f>
        <v>13.080182637622658</v>
      </c>
      <c r="V280" s="67">
        <f>1.96*V279</f>
        <v>1.2525656152431346</v>
      </c>
      <c r="W280" s="67">
        <f>1.96*W279</f>
        <v>2.1636905876088135</v>
      </c>
      <c r="X280" s="67">
        <f>1.96*X279</f>
        <v>5.2799734841705002</v>
      </c>
    </row>
    <row r="281" spans="1:41" ht="15.6" x14ac:dyDescent="0.35">
      <c r="B281" s="1" t="s">
        <v>19</v>
      </c>
      <c r="C281" s="1">
        <f>SUM(C276:C280)</f>
        <v>215</v>
      </c>
      <c r="D281" s="1">
        <f>SUM(D276:D280)</f>
        <v>290</v>
      </c>
      <c r="E281" s="1">
        <f>SUM(E276:E280)</f>
        <v>790</v>
      </c>
      <c r="F281" s="1">
        <f>SUM(F276:F280)</f>
        <v>611</v>
      </c>
      <c r="G281" s="1">
        <f>SUM(G276:G280)</f>
        <v>987</v>
      </c>
      <c r="H281" s="1">
        <f>SUM(H275:H280)</f>
        <v>2893</v>
      </c>
      <c r="I281" s="13" t="s">
        <v>12</v>
      </c>
      <c r="N281" s="16"/>
      <c r="O281" s="1"/>
      <c r="P281" s="1"/>
      <c r="S281" t="s">
        <v>31</v>
      </c>
      <c r="T281" s="57">
        <f t="shared" ref="T281:X282" si="41">AVERAGE(T20,T30,T40,T50,T60)</f>
        <v>51.2</v>
      </c>
      <c r="U281" s="57">
        <f t="shared" si="41"/>
        <v>91.25</v>
      </c>
      <c r="V281" s="57">
        <f t="shared" si="41"/>
        <v>98.02139037433156</v>
      </c>
      <c r="W281" s="57">
        <f t="shared" si="41"/>
        <v>89.126213592233015</v>
      </c>
      <c r="X281" s="57">
        <f t="shared" si="41"/>
        <v>95.794669299111547</v>
      </c>
      <c r="AM281" s="78"/>
      <c r="AN281" s="78"/>
      <c r="AO281" s="78"/>
    </row>
    <row r="282" spans="1:41" x14ac:dyDescent="0.3">
      <c r="A282" s="1" t="s">
        <v>316</v>
      </c>
      <c r="B282" s="1" t="s">
        <v>2</v>
      </c>
      <c r="C282" s="10">
        <f>C276/C281</f>
        <v>1</v>
      </c>
      <c r="D282" s="10">
        <f>D277/D281</f>
        <v>0.20689655172413793</v>
      </c>
      <c r="E282" s="10">
        <f>E278/E281</f>
        <v>0.92151898734177218</v>
      </c>
      <c r="F282" s="10">
        <f>F279/F281</f>
        <v>0.90180032733224225</v>
      </c>
      <c r="G282" s="10">
        <f>G280/G281</f>
        <v>0.98682877406281666</v>
      </c>
      <c r="H282" s="10"/>
      <c r="I282" s="14">
        <f>(C276+D277+E278+F279+G280)/H281</f>
        <v>0.87383339094365708</v>
      </c>
      <c r="S282" t="s">
        <v>39</v>
      </c>
      <c r="T282" s="57">
        <f t="shared" si="41"/>
        <v>2.3209013355549004</v>
      </c>
      <c r="U282" s="57">
        <f t="shared" si="41"/>
        <v>3.5495759668739382</v>
      </c>
      <c r="V282" s="57">
        <f t="shared" si="41"/>
        <v>0.50912354011135486</v>
      </c>
      <c r="W282" s="57">
        <f t="shared" si="41"/>
        <v>1.2525931894740905</v>
      </c>
      <c r="X282" s="57">
        <f t="shared" si="41"/>
        <v>0.6299876499974858</v>
      </c>
    </row>
    <row r="283" spans="1:41" x14ac:dyDescent="0.3">
      <c r="B283" s="1" t="s">
        <v>14</v>
      </c>
      <c r="C283" s="11">
        <f>1-C282</f>
        <v>0</v>
      </c>
      <c r="D283" s="11">
        <f>1-D282</f>
        <v>0.7931034482758621</v>
      </c>
      <c r="E283" s="11">
        <f>1-E282</f>
        <v>7.8481012658227822E-2</v>
      </c>
      <c r="F283" s="11">
        <f>1-F282</f>
        <v>9.8199672667757754E-2</v>
      </c>
      <c r="G283" s="11">
        <f>1-G282</f>
        <v>1.317122593718334E-2</v>
      </c>
      <c r="S283" s="66" t="s">
        <v>60</v>
      </c>
      <c r="T283" s="67">
        <f>1.96*T282</f>
        <v>4.5489666176876051</v>
      </c>
      <c r="U283" s="67">
        <f>1.96*U282</f>
        <v>6.9571688950729182</v>
      </c>
      <c r="V283" s="67">
        <f>1.96*V282</f>
        <v>0.99788213861825548</v>
      </c>
      <c r="W283" s="67">
        <f>1.96*W282</f>
        <v>2.4550826513692172</v>
      </c>
      <c r="X283" s="67">
        <f>1.96*X282</f>
        <v>1.2347757939950721</v>
      </c>
      <c r="AM283" s="78"/>
      <c r="AN283" s="78"/>
      <c r="AO283" s="78"/>
    </row>
    <row r="284" spans="1:41" x14ac:dyDescent="0.3">
      <c r="C284" s="2"/>
      <c r="S284" t="s">
        <v>51</v>
      </c>
      <c r="T284" s="57">
        <f>AVERAGE(T22,T32,T42,T52,T62)</f>
        <v>67.265255216147224</v>
      </c>
      <c r="U284" s="57">
        <f>AVERAGE(U22,U32,U42,U52,U62)</f>
        <v>45.620572528690936</v>
      </c>
      <c r="V284" s="57">
        <f>AVERAGE(V22,V32,V42,V52,V62)</f>
        <v>94.900822528584939</v>
      </c>
      <c r="W284" s="57">
        <f>AVERAGE(W22,W32,W42,W52,W62)</f>
        <v>86.105348061823875</v>
      </c>
      <c r="X284" s="57">
        <f>AVERAGE(X22,X32,X42,X52,X62)</f>
        <v>96.558049688228721</v>
      </c>
    </row>
    <row r="285" spans="1:41" ht="15.6" x14ac:dyDescent="0.35">
      <c r="A285" t="s">
        <v>317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8.7655639944123056</v>
      </c>
      <c r="U285" s="57">
        <f>_xlfn.STDEV.S(U22,U32,U42,U52,U62)</f>
        <v>11.79114427166153</v>
      </c>
      <c r="V285" s="57">
        <f>_xlfn.STDEV.S(V22,V32,V42,V52,V62)</f>
        <v>0.21643041961198484</v>
      </c>
      <c r="W285" s="57">
        <f>_xlfn.STDEV.S(W22,W32,W42,W52,W62)</f>
        <v>2.1582377064751244</v>
      </c>
      <c r="X285" s="57">
        <f>_xlfn.STDEV.S(X22,X32,X42,X52,X62)</f>
        <v>1.1923114087597768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60</v>
      </c>
      <c r="T286" s="67">
        <f>1.96*T285</f>
        <v>17.180505429048118</v>
      </c>
      <c r="U286" s="67">
        <f>1.96*U285</f>
        <v>23.110642772456597</v>
      </c>
      <c r="V286" s="67">
        <f>1.96*V285</f>
        <v>0.42420362243949028</v>
      </c>
      <c r="W286" s="67">
        <f>1.96*W285</f>
        <v>4.230145904691244</v>
      </c>
      <c r="X286" s="67">
        <f>1.96*X285</f>
        <v>2.3369303611691623</v>
      </c>
    </row>
    <row r="287" spans="1:41" x14ac:dyDescent="0.3">
      <c r="A287" t="s">
        <v>3</v>
      </c>
      <c r="B287" s="13">
        <v>0</v>
      </c>
      <c r="C287" s="29">
        <f>(C276/$L287)*$O287</f>
        <v>9.5748418317836342E-2</v>
      </c>
      <c r="D287" s="31">
        <f>(D276/$L287)*$O287</f>
        <v>0.10242854052605747</v>
      </c>
      <c r="E287" s="31">
        <f>(E276/$L287)*$O287</f>
        <v>0</v>
      </c>
      <c r="F287" s="31">
        <f>(F276/$L287)*$O287</f>
        <v>2.2267074027403802E-3</v>
      </c>
      <c r="G287" s="32">
        <f>(G276/$L287)*$O287</f>
        <v>0</v>
      </c>
      <c r="H287" s="17">
        <f>SUM(C287:G287)</f>
        <v>0.20040366624663419</v>
      </c>
      <c r="I287" s="17">
        <f>C287/H287*100</f>
        <v>47.777777777777779</v>
      </c>
      <c r="J287" s="17">
        <f>SQRT(I287*(100-I287)/(L287-1))</f>
        <v>2.3573142244454739</v>
      </c>
      <c r="K287" s="18">
        <f>100-I287</f>
        <v>52.222222222222221</v>
      </c>
      <c r="L287" s="1">
        <f>H276</f>
        <v>450</v>
      </c>
      <c r="M287">
        <v>0</v>
      </c>
      <c r="N287" s="1">
        <v>193.47</v>
      </c>
      <c r="O287" s="17">
        <f>N287/N292*100</f>
        <v>0.20040366624663419</v>
      </c>
      <c r="P287" s="52">
        <f>((O287*O287*(I287/100)*(K287/100))/(L287-1))</f>
        <v>2.2317537768025419E-5</v>
      </c>
      <c r="R287" s="16" t="s">
        <v>70</v>
      </c>
      <c r="S287" t="s">
        <v>9</v>
      </c>
      <c r="T287" s="57">
        <f>AVERAGE(T23,T33,T43,T53,T63)</f>
        <v>194.02600000000001</v>
      </c>
      <c r="U287" s="57">
        <f>AVERAGE(U23,U33,U43,U53,U63)</f>
        <v>747.0440000000001</v>
      </c>
      <c r="V287" s="57">
        <f>AVERAGE(V23,V33,V43,V53,V63)</f>
        <v>57892.5</v>
      </c>
      <c r="W287" s="57">
        <f>AVERAGE(W23,W33,W43,W53,W63)</f>
        <v>31963.26</v>
      </c>
      <c r="X287" s="57">
        <f>AVERAGE(X23,X33,X43,X53,X63)</f>
        <v>5743.32</v>
      </c>
      <c r="Z287" t="s">
        <v>36</v>
      </c>
      <c r="AA287" s="57">
        <f>AVERAGE(AA23,AA33,AA43,AA53,AA63)</f>
        <v>96540.15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42">(C277/$L288)*$O288</f>
        <v>0</v>
      </c>
      <c r="D288" s="34">
        <f t="shared" si="42"/>
        <v>0.77231467943648324</v>
      </c>
      <c r="E288" s="19">
        <f t="shared" si="42"/>
        <v>5.1487645295765549E-2</v>
      </c>
      <c r="F288" s="18">
        <f t="shared" si="42"/>
        <v>0</v>
      </c>
      <c r="G288" s="20">
        <f t="shared" si="42"/>
        <v>0</v>
      </c>
      <c r="H288" s="17">
        <f>SUM(C288:G288)</f>
        <v>0.82380232473224879</v>
      </c>
      <c r="I288" s="17">
        <f>D288/H288*100</f>
        <v>93.75</v>
      </c>
      <c r="J288" s="17">
        <f>SQRT(I288*(100-I288)/(L288-1))</f>
        <v>3.0496877279641659</v>
      </c>
      <c r="K288" s="18">
        <f>100-I288</f>
        <v>6.25</v>
      </c>
      <c r="L288" s="1">
        <f>H277</f>
        <v>64</v>
      </c>
      <c r="M288">
        <v>1</v>
      </c>
      <c r="N288" s="1">
        <v>795.3</v>
      </c>
      <c r="O288" s="17">
        <f>N288/N292*100</f>
        <v>0.82380232473224879</v>
      </c>
      <c r="P288" s="52">
        <f>((O288*O288*(I288/100)*(K288/100))/(L288-1))</f>
        <v>6.3118514716727818E-4</v>
      </c>
      <c r="S288" t="s">
        <v>29</v>
      </c>
      <c r="T288" s="57">
        <f>_xlfn.STDEV.S(T23,T33,T43,T53,T63)</f>
        <v>15.612353442066315</v>
      </c>
      <c r="U288" s="57">
        <f>_xlfn.STDEV.S(U23,U33,U43,U53,U63)</f>
        <v>49.595609987175287</v>
      </c>
      <c r="V288" s="57">
        <f>_xlfn.STDEV.S(V23,V33,V43,V53,V63)</f>
        <v>148.90869299674767</v>
      </c>
      <c r="W288" s="57">
        <f>_xlfn.STDEV.S(W23,W33,W43,W53,W63)</f>
        <v>185.68824437750447</v>
      </c>
      <c r="X288" s="57">
        <f>_xlfn.STDEV.S(X23,X33,X43,X53,X63)</f>
        <v>123.94611591332755</v>
      </c>
      <c r="Z288" t="s">
        <v>29</v>
      </c>
      <c r="AA288" s="57">
        <f>_xlfn.STDEV.S(AA23,AA33,AA43,AA53,AA63)</f>
        <v>7.0710678133060418E-3</v>
      </c>
    </row>
    <row r="289" spans="1:41" x14ac:dyDescent="0.3">
      <c r="A289" t="s">
        <v>5</v>
      </c>
      <c r="B289" s="13">
        <v>2</v>
      </c>
      <c r="C289" s="33">
        <f t="shared" si="42"/>
        <v>0</v>
      </c>
      <c r="D289" s="19">
        <f t="shared" si="42"/>
        <v>0</v>
      </c>
      <c r="E289" s="34">
        <f t="shared" si="42"/>
        <v>58.36659669577891</v>
      </c>
      <c r="F289" s="19">
        <f t="shared" si="42"/>
        <v>1.5233040346425815</v>
      </c>
      <c r="G289" s="20">
        <f t="shared" si="42"/>
        <v>8.0173896560135863E-2</v>
      </c>
      <c r="H289" s="17">
        <f>SUM(C289:G289)</f>
        <v>59.970074626981621</v>
      </c>
      <c r="I289" s="17">
        <f>E289/H289*100</f>
        <v>97.326203208556166</v>
      </c>
      <c r="J289" s="17">
        <f>SQRT(I289*(100-I289)/(L289-1))</f>
        <v>0.59022661436815782</v>
      </c>
      <c r="K289" s="18">
        <f>100-I289</f>
        <v>2.6737967914438343</v>
      </c>
      <c r="L289" s="1">
        <f>H278</f>
        <v>748</v>
      </c>
      <c r="M289">
        <v>2</v>
      </c>
      <c r="N289" s="1">
        <v>57895.199999999997</v>
      </c>
      <c r="O289" s="17">
        <f>N289/N292*100</f>
        <v>59.970074626981628</v>
      </c>
      <c r="P289" s="52">
        <f>((O289*O289*(I289/100)*(K289/100))/(L289-1))</f>
        <v>0.12528721515540878</v>
      </c>
      <c r="S289" t="s">
        <v>60</v>
      </c>
      <c r="T289" s="57">
        <f>1.96*T288</f>
        <v>30.600212746449976</v>
      </c>
      <c r="U289" s="57">
        <f>1.96*U288</f>
        <v>97.207395574863554</v>
      </c>
      <c r="V289" s="57">
        <f>1.96*V288</f>
        <v>291.86103827362541</v>
      </c>
      <c r="W289" s="57">
        <f>1.96*W288</f>
        <v>363.94895897990875</v>
      </c>
      <c r="X289" s="57">
        <f>1.96*X288</f>
        <v>242.93438719012198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42"/>
        <v>0</v>
      </c>
      <c r="D290" s="19">
        <f t="shared" si="42"/>
        <v>0</v>
      </c>
      <c r="E290" s="19">
        <f t="shared" si="42"/>
        <v>2.9554521899399142</v>
      </c>
      <c r="F290" s="34">
        <f t="shared" si="42"/>
        <v>29.60825739376169</v>
      </c>
      <c r="G290" s="20">
        <f t="shared" si="42"/>
        <v>0.64482593235052676</v>
      </c>
      <c r="H290" s="17">
        <f>SUM(C290:G290)</f>
        <v>33.20853551605213</v>
      </c>
      <c r="I290" s="17">
        <f>F290/H290*100</f>
        <v>89.158576051779932</v>
      </c>
      <c r="J290" s="17">
        <f>SQRT(I290*(100-I290)/(L290-1))</f>
        <v>1.2516478095762908</v>
      </c>
      <c r="K290" s="18">
        <f>100-I290</f>
        <v>10.841423948220068</v>
      </c>
      <c r="L290" s="1">
        <f>H279</f>
        <v>618</v>
      </c>
      <c r="M290">
        <v>3</v>
      </c>
      <c r="N290" s="1">
        <v>32059.57</v>
      </c>
      <c r="O290" s="17">
        <f>N290/N292*100</f>
        <v>33.20853551605213</v>
      </c>
      <c r="P290" s="52">
        <f>((O290*O290*(I290/100)*(K290/100))/(L290-1))</f>
        <v>0.17276817071945619</v>
      </c>
      <c r="R290" s="16" t="s">
        <v>69</v>
      </c>
      <c r="S290" t="s">
        <v>9</v>
      </c>
      <c r="T290" s="57">
        <f>AVERAGE(T24,T34,T44,T54,T64)</f>
        <v>100.57465777777777</v>
      </c>
      <c r="U290" s="57">
        <f>AVERAGE(U24,U34,U44,U54,U64)</f>
        <v>785.23862059600867</v>
      </c>
      <c r="V290" s="57">
        <f>AVERAGE(V24,V34,V44,V54,V64)</f>
        <v>59731.433261576109</v>
      </c>
      <c r="W290" s="57">
        <f>AVERAGE(W24,W34,W44,W54,W64)</f>
        <v>29824.990460972283</v>
      </c>
      <c r="X290" s="57">
        <f>AVERAGE(X24,X34,X44,X54,X64)</f>
        <v>6097.9129990778256</v>
      </c>
      <c r="Z290" t="s">
        <v>36</v>
      </c>
      <c r="AA290" s="24">
        <f>SUM(T290:X290)</f>
        <v>96540.150000000009</v>
      </c>
    </row>
    <row r="291" spans="1:41" x14ac:dyDescent="0.3">
      <c r="A291" t="s">
        <v>7</v>
      </c>
      <c r="B291" s="13">
        <v>4</v>
      </c>
      <c r="C291" s="35">
        <f t="shared" si="42"/>
        <v>0</v>
      </c>
      <c r="D291" s="36">
        <f t="shared" si="42"/>
        <v>0</v>
      </c>
      <c r="E291" s="21">
        <f t="shared" si="42"/>
        <v>1.7168362880515393E-2</v>
      </c>
      <c r="F291" s="21">
        <f t="shared" si="42"/>
        <v>0.2060203545661847</v>
      </c>
      <c r="G291" s="37">
        <f t="shared" si="42"/>
        <v>5.5739951485406642</v>
      </c>
      <c r="H291" s="17">
        <f>SUM(C291:G291)</f>
        <v>5.797183865987364</v>
      </c>
      <c r="I291" s="17">
        <f>G291/H291*100</f>
        <v>96.150049358341562</v>
      </c>
      <c r="J291" s="17">
        <f>SQRT(I291*(100-I291)/(L291-1))</f>
        <v>0.60480041478323565</v>
      </c>
      <c r="K291" s="18">
        <f>100-I291</f>
        <v>3.8499506416584381</v>
      </c>
      <c r="L291" s="1">
        <f>H280</f>
        <v>1013</v>
      </c>
      <c r="M291">
        <v>4</v>
      </c>
      <c r="N291" s="1">
        <v>5596.61</v>
      </c>
      <c r="O291" s="17">
        <f>N291/N292*100</f>
        <v>5.797183865987364</v>
      </c>
      <c r="P291" s="52">
        <f>((O291*O291*(I291/100)*(K291/100))/(L291-1))</f>
        <v>1.2293012136926071E-3</v>
      </c>
      <c r="S291" t="s">
        <v>29</v>
      </c>
      <c r="T291" s="57">
        <f>_xlfn.STDEV.S(T24,T34,T44,T54,T64)</f>
        <v>27.147562911684208</v>
      </c>
      <c r="U291" s="57">
        <f>_xlfn.STDEV.S(U24,U34,U44,U54,U64)</f>
        <v>60.349452793666138</v>
      </c>
      <c r="V291" s="57">
        <f>_xlfn.STDEV.S(V24,V34,V44,V54,V64)</f>
        <v>228.99486552049922</v>
      </c>
      <c r="W291" s="57">
        <f>_xlfn.STDEV.S(W24,W34,W44,W54,W64)</f>
        <v>314.56481984105659</v>
      </c>
      <c r="X291" s="57">
        <f>_xlfn.STDEV.S(X24,X34,X44,X54,X64)</f>
        <v>163.02354687189063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9.5748418317836342E-2</v>
      </c>
      <c r="D292" s="17">
        <f>SUM(D287:D291)</f>
        <v>0.87474321996254067</v>
      </c>
      <c r="E292" s="17">
        <f>SUM(E287:E291)</f>
        <v>61.390704893895105</v>
      </c>
      <c r="F292" s="17">
        <f>SUM(F287:F291)</f>
        <v>31.339808490373198</v>
      </c>
      <c r="G292" s="17">
        <f>SUM(G287:G291)</f>
        <v>6.2989949774513265</v>
      </c>
      <c r="H292" s="1">
        <f>SUM(H286:H291)</f>
        <v>100</v>
      </c>
      <c r="I292" s="13" t="s">
        <v>24</v>
      </c>
      <c r="J292" s="12" t="s">
        <v>29</v>
      </c>
      <c r="N292" s="1">
        <f>SUM(N287:N291)</f>
        <v>96540.15</v>
      </c>
      <c r="O292" s="17">
        <f>SUM(O287:O291)</f>
        <v>100</v>
      </c>
      <c r="S292" s="66" t="s">
        <v>60</v>
      </c>
      <c r="T292" s="67">
        <f>1.96*T291</f>
        <v>53.209223306901045</v>
      </c>
      <c r="U292" s="67">
        <f>1.96*U291</f>
        <v>118.28492747558563</v>
      </c>
      <c r="V292" s="67">
        <f>1.96*V291</f>
        <v>448.82993642017846</v>
      </c>
      <c r="W292" s="67">
        <f>1.96*W291</f>
        <v>616.54704688847096</v>
      </c>
      <c r="X292" s="67">
        <f>1.96*X291</f>
        <v>319.52615186890563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4.7188921623249691E-3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2.5369743343626693E-2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0.52011332535397214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0.5409747771735659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0.20402100854499564</v>
      </c>
      <c r="H293" s="1"/>
      <c r="I293" s="56">
        <f>(C287+D288+E289+F290+G291)/H292</f>
        <v>0.94416912335835579</v>
      </c>
      <c r="J293" s="53">
        <f>SQRT(SUM(P287:P291))/100</f>
        <v>5.4766612983960664E-3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100</v>
      </c>
      <c r="D294" s="17">
        <f>D288/D292*100</f>
        <v>88.290444762699195</v>
      </c>
      <c r="E294" s="17">
        <f>E289/E292*100</f>
        <v>95.073996619939578</v>
      </c>
      <c r="F294" s="17">
        <f>F290/F292*100</f>
        <v>94.474914876574957</v>
      </c>
      <c r="G294" s="17">
        <f>G291/G292*100</f>
        <v>88.490230084228315</v>
      </c>
      <c r="H294" s="1"/>
    </row>
    <row r="295" spans="1:41" x14ac:dyDescent="0.3">
      <c r="B295" s="16" t="s">
        <v>39</v>
      </c>
      <c r="C295" s="18">
        <f>SQRT((C298+C299)/(C292*C292))</f>
        <v>0</v>
      </c>
      <c r="D295" s="18">
        <f>SQRT((D298+D299)/(D292*D292))</f>
        <v>3.3967714002033471</v>
      </c>
      <c r="E295" s="18">
        <f>SQRT((E298+E299)/(E292*E292))</f>
        <v>0.65572294984982915</v>
      </c>
      <c r="F295" s="18">
        <f>SQRT((F298+F299)/(F292*F292))</f>
        <v>1.2768778465728334</v>
      </c>
      <c r="G295" s="18">
        <f>SQRT((G298+G299)/(G292*G292))</f>
        <v>2.8974905316220601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0</v>
      </c>
      <c r="D296" s="18">
        <f>100-D294</f>
        <v>11.709555237300805</v>
      </c>
      <c r="E296" s="18">
        <f>100-E294</f>
        <v>4.9260033800604219</v>
      </c>
      <c r="F296" s="18">
        <f>100-F294</f>
        <v>5.5250851234250433</v>
      </c>
      <c r="G296" s="18">
        <f>100-G294</f>
        <v>11.509769915771685</v>
      </c>
    </row>
    <row r="297" spans="1:41" ht="15.6" x14ac:dyDescent="0.35">
      <c r="B297" s="1" t="s">
        <v>25</v>
      </c>
      <c r="C297" s="1">
        <f>C281</f>
        <v>215</v>
      </c>
      <c r="D297" s="1">
        <f>D281</f>
        <v>290</v>
      </c>
      <c r="E297" s="1">
        <f>E281</f>
        <v>790</v>
      </c>
      <c r="F297" s="1">
        <f>F281</f>
        <v>611</v>
      </c>
      <c r="G297" s="1">
        <f>G281</f>
        <v>987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8.6544120722917484</v>
      </c>
      <c r="E298" s="18">
        <f>(O289*O289*(100-E294)*(100-E294)*(I289)*(100-I289))/((L289-1)*100)</f>
        <v>304.01580845706167</v>
      </c>
      <c r="F298" s="18">
        <f>(O290*O290*(100-F294)*(100-F294)*(I290)*(100-I290))/((L290-1)*100)</f>
        <v>527.40189007036304</v>
      </c>
      <c r="G298" s="18">
        <f>(O291*O291*(100-G294)*(100-G294)*(I291)*(100-I291))/((L291-1)*100)</f>
        <v>16.285143674345349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0.17422797228909254</v>
      </c>
      <c r="E299" s="18">
        <f>E294*E294*(SUM((H287*E287*(1-E276/H276))/(H276-1),(H288*E288*(1-E277/H277))/(H277-1), (H290*E290*(1-E279/H279))/(H279-1),(H291*E291*(1-E280/H280))/(H280-1)))</f>
        <v>1316.4728951345128</v>
      </c>
      <c r="F299" s="18">
        <f>F294*F294*(SUM((H287*F287*(1-F276/H276))/(H276-1),(H288*F288*(1-F277/H277))/(H277-1), (H289*F289*(1-F278/H278))/(H278-1),(H291*F291*(1-F280/H280))/(H280-1)))</f>
        <v>1073.9669767605665</v>
      </c>
      <c r="G299" s="18">
        <f>G294*G294*(SUM((H287*G287*(1-G276/H276))/(H276-1),(H288*G288*(1-G277/H277))/(H277-1), (H289*G289*(1-G278/H278))/(H278-1),(H290*G290*(1-G279/H279))/(H279-1)))</f>
        <v>316.82401612507533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48" t="s">
        <v>386</v>
      </c>
      <c r="B302" s="348"/>
      <c r="C302" s="348"/>
      <c r="D302" s="348"/>
      <c r="E302" s="348"/>
      <c r="F302" s="348"/>
      <c r="G302" s="348"/>
      <c r="H302" s="348"/>
      <c r="I302" s="348"/>
      <c r="J302" s="348"/>
      <c r="K302" s="348"/>
      <c r="L302" s="348" t="s">
        <v>83</v>
      </c>
      <c r="M302" s="348"/>
      <c r="N302" s="348"/>
      <c r="O302" s="348"/>
      <c r="P302" s="348"/>
    </row>
    <row r="303" spans="1:41" x14ac:dyDescent="0.3">
      <c r="A303" t="s">
        <v>315</v>
      </c>
      <c r="B303" t="s">
        <v>21</v>
      </c>
      <c r="I303" s="1" t="s">
        <v>53</v>
      </c>
      <c r="O303" s="142"/>
      <c r="P303" s="142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51</v>
      </c>
      <c r="O304" s="13"/>
      <c r="P304" s="13"/>
    </row>
    <row r="305" spans="1:41" x14ac:dyDescent="0.3">
      <c r="A305" t="s">
        <v>3</v>
      </c>
      <c r="B305" s="13">
        <v>0</v>
      </c>
      <c r="C305" s="26">
        <v>205</v>
      </c>
      <c r="D305" s="3">
        <v>205</v>
      </c>
      <c r="E305" s="3">
        <v>0</v>
      </c>
      <c r="F305" s="3">
        <v>40</v>
      </c>
      <c r="G305" s="4">
        <v>0</v>
      </c>
      <c r="H305" s="1">
        <f>SUM(C305:G305)</f>
        <v>450</v>
      </c>
      <c r="I305" s="10">
        <f>C305/H305</f>
        <v>0.45555555555555555</v>
      </c>
      <c r="J305" s="11">
        <f>1-I305</f>
        <v>0.54444444444444451</v>
      </c>
      <c r="K305">
        <f>H305-C310</f>
        <v>245</v>
      </c>
      <c r="N305" s="10">
        <f>2*(C311*I305)/(C311+I305)</f>
        <v>0.62595419847328249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59</v>
      </c>
      <c r="E306" s="1">
        <v>5</v>
      </c>
      <c r="F306" s="1">
        <v>0</v>
      </c>
      <c r="G306" s="6">
        <v>0</v>
      </c>
      <c r="H306" s="1">
        <f>SUM(C306:G306)</f>
        <v>64</v>
      </c>
      <c r="I306" s="10">
        <f>D306/H306</f>
        <v>0.921875</v>
      </c>
      <c r="J306" s="11">
        <f>1-I306</f>
        <v>7.8125E-2</v>
      </c>
      <c r="K306">
        <f>H306-D310</f>
        <v>-200</v>
      </c>
      <c r="N306" s="10">
        <f>2*(D311*I306)/(D311+I306)</f>
        <v>0.35975609756097565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0</v>
      </c>
      <c r="E307" s="27">
        <v>734</v>
      </c>
      <c r="F307" s="1">
        <v>14</v>
      </c>
      <c r="G307" s="6">
        <v>0</v>
      </c>
      <c r="H307" s="1">
        <f>SUM(C307:G307)</f>
        <v>748</v>
      </c>
      <c r="I307" s="10">
        <f>E307/H307</f>
        <v>0.98128342245989308</v>
      </c>
      <c r="J307" s="11">
        <f>1-I307</f>
        <v>1.8716577540106916E-2</v>
      </c>
      <c r="K307">
        <f>H307-E310</f>
        <v>-53</v>
      </c>
      <c r="N307" s="10">
        <f>2*(E311*I307)/(E311+I307)</f>
        <v>0.94770819883795998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0</v>
      </c>
      <c r="D308" s="1">
        <v>0</v>
      </c>
      <c r="E308" s="1">
        <v>60</v>
      </c>
      <c r="F308" s="27">
        <v>547</v>
      </c>
      <c r="G308" s="6">
        <v>11</v>
      </c>
      <c r="H308" s="1">
        <f>SUM(C308:G308)</f>
        <v>618</v>
      </c>
      <c r="I308" s="10">
        <f>F308/H308</f>
        <v>0.88511326860841422</v>
      </c>
      <c r="J308" s="11">
        <f>1-I308</f>
        <v>0.11488673139158578</v>
      </c>
      <c r="K308">
        <f>H308-F310</f>
        <v>-30</v>
      </c>
      <c r="N308" s="10">
        <f>2*(F311*I308)/(F311+I308)</f>
        <v>0.86413902053712488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0</v>
      </c>
      <c r="E309" s="8">
        <v>2</v>
      </c>
      <c r="F309" s="8">
        <v>47</v>
      </c>
      <c r="G309" s="28">
        <v>964</v>
      </c>
      <c r="H309" s="1">
        <f>SUM(C309:G309)</f>
        <v>1013</v>
      </c>
      <c r="I309" s="10">
        <f>G309/H309</f>
        <v>0.95162882527147086</v>
      </c>
      <c r="J309" s="11">
        <f>1-I309</f>
        <v>4.8371174728529143E-2</v>
      </c>
      <c r="K309">
        <f>H309-G310</f>
        <v>38</v>
      </c>
      <c r="N309" s="10">
        <f>2*(G311*I309)/(G311+I309)</f>
        <v>0.96981891348088523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205</v>
      </c>
      <c r="D310" s="1">
        <f>SUM(D305:D309)</f>
        <v>264</v>
      </c>
      <c r="E310" s="1">
        <f>SUM(E305:E309)</f>
        <v>801</v>
      </c>
      <c r="F310" s="1">
        <f>SUM(F305:F309)</f>
        <v>648</v>
      </c>
      <c r="G310" s="1">
        <f>SUM(G305:G309)</f>
        <v>975</v>
      </c>
      <c r="H310" s="1">
        <f>SUM(H304:H309)</f>
        <v>2893</v>
      </c>
      <c r="I310" s="13" t="s">
        <v>12</v>
      </c>
      <c r="N310" s="16" t="s">
        <v>36</v>
      </c>
      <c r="O310" s="1"/>
      <c r="P310" s="1"/>
    </row>
    <row r="311" spans="1:41" x14ac:dyDescent="0.3">
      <c r="A311" s="1" t="s">
        <v>316</v>
      </c>
      <c r="B311" s="1" t="s">
        <v>2</v>
      </c>
      <c r="C311" s="10">
        <f>C305/C310</f>
        <v>1</v>
      </c>
      <c r="D311" s="10">
        <f>D306/D310</f>
        <v>0.22348484848484848</v>
      </c>
      <c r="E311" s="10">
        <f>E307/E310</f>
        <v>0.91635455680399502</v>
      </c>
      <c r="F311" s="10">
        <f>F308/F310</f>
        <v>0.84413580246913578</v>
      </c>
      <c r="G311" s="10">
        <f>G309/G310</f>
        <v>0.98871794871794871</v>
      </c>
      <c r="H311" s="10"/>
      <c r="I311" s="14">
        <f>(C305+D306+E307+F308+G309)/H310</f>
        <v>0.86726581403387482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0</v>
      </c>
      <c r="D312" s="11">
        <f>1-D311</f>
        <v>0.77651515151515149</v>
      </c>
      <c r="E312" s="11">
        <f>1-E311</f>
        <v>8.3645443196004976E-2</v>
      </c>
      <c r="F312" s="11">
        <f>1-F311</f>
        <v>0.15586419753086422</v>
      </c>
      <c r="G312" s="11">
        <f>1-G311</f>
        <v>1.1282051282051286E-2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317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8.9402756838015643E-2</v>
      </c>
      <c r="D316" s="31">
        <f>(D305/$L316)*$O316</f>
        <v>8.9402756838015643E-2</v>
      </c>
      <c r="E316" s="31">
        <f>(E305/$L316)*$O316</f>
        <v>0</v>
      </c>
      <c r="F316" s="31">
        <f>(F305/$L316)*$O316</f>
        <v>1.7444440358637202E-2</v>
      </c>
      <c r="G316" s="32">
        <f>(G305/$L316)*$O316</f>
        <v>0</v>
      </c>
      <c r="H316" s="17">
        <f>SUM(C316:G316)</f>
        <v>0.19624995403466849</v>
      </c>
      <c r="I316" s="17">
        <f>C316/H316*100</f>
        <v>45.555555555555557</v>
      </c>
      <c r="J316" s="17">
        <f>SQRT(I316*(100-I316)/(L316-1))</f>
        <v>2.3503053460253023</v>
      </c>
      <c r="K316" s="18">
        <f>100-I316</f>
        <v>54.444444444444443</v>
      </c>
      <c r="L316" s="1">
        <f>H305</f>
        <v>450</v>
      </c>
      <c r="M316">
        <v>0</v>
      </c>
      <c r="N316" s="1">
        <v>189.46</v>
      </c>
      <c r="O316" s="17">
        <f>N316/N321*100</f>
        <v>0.19624995403466849</v>
      </c>
      <c r="P316" s="52">
        <f>((O316*O316*(I316/100)*(K316/100))/(L316-1))</f>
        <v>2.1274908663242448E-5</v>
      </c>
    </row>
    <row r="317" spans="1:41" x14ac:dyDescent="0.3">
      <c r="A317" t="s">
        <v>4</v>
      </c>
      <c r="B317" s="13">
        <v>1</v>
      </c>
      <c r="C317" s="33">
        <f t="shared" ref="C317:G320" si="43">(C306/$L317)*$O317</f>
        <v>0</v>
      </c>
      <c r="D317" s="34">
        <f t="shared" si="43"/>
        <v>0.77838825348831553</v>
      </c>
      <c r="E317" s="19">
        <f t="shared" si="43"/>
        <v>6.5965106227823353E-2</v>
      </c>
      <c r="F317" s="18">
        <f t="shared" si="43"/>
        <v>0</v>
      </c>
      <c r="G317" s="20">
        <f t="shared" si="43"/>
        <v>0</v>
      </c>
      <c r="H317" s="17">
        <f>SUM(C317:G317)</f>
        <v>0.8443533597161389</v>
      </c>
      <c r="I317" s="17">
        <f>D317/H317*100</f>
        <v>92.1875</v>
      </c>
      <c r="J317" s="17">
        <f>SQRT(I317*(100-I317)/(L317-1))</f>
        <v>3.3811213593755247</v>
      </c>
      <c r="K317" s="18">
        <f>100-I317</f>
        <v>7.8125</v>
      </c>
      <c r="L317" s="1">
        <f>H306</f>
        <v>64</v>
      </c>
      <c r="M317">
        <v>1</v>
      </c>
      <c r="N317" s="1">
        <v>815.14</v>
      </c>
      <c r="O317" s="17">
        <f>N317/N321*100</f>
        <v>0.8443533597161389</v>
      </c>
      <c r="P317" s="52">
        <f>((O317*O317*(I317/100)*(K317/100))/(L317-1))</f>
        <v>8.1502323536264474E-4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43"/>
        <v>0</v>
      </c>
      <c r="D318" s="19">
        <f t="shared" si="43"/>
        <v>0</v>
      </c>
      <c r="E318" s="34">
        <f t="shared" si="43"/>
        <v>59.151558955849467</v>
      </c>
      <c r="F318" s="19">
        <f t="shared" si="43"/>
        <v>1.1282313697300987</v>
      </c>
      <c r="G318" s="20">
        <f t="shared" si="43"/>
        <v>0</v>
      </c>
      <c r="H318" s="17">
        <f>SUM(C318:G318)</f>
        <v>60.279790325579569</v>
      </c>
      <c r="I318" s="17">
        <f>E318/H318*100</f>
        <v>98.128342245989302</v>
      </c>
      <c r="J318" s="17">
        <f>SQRT(I318*(100-I318)/(L318-1))</f>
        <v>0.49584980756665031</v>
      </c>
      <c r="K318" s="18">
        <f>100-I318</f>
        <v>1.8716577540106982</v>
      </c>
      <c r="L318" s="1">
        <f>H307</f>
        <v>748</v>
      </c>
      <c r="M318">
        <v>2</v>
      </c>
      <c r="N318" s="1">
        <v>58194.2</v>
      </c>
      <c r="O318" s="17">
        <f>N318/N321*100</f>
        <v>60.279790325579562</v>
      </c>
      <c r="P318" s="52">
        <f>((O318*O318*(I318/100)*(K318/100))/(L318-1))</f>
        <v>8.9339550712756136E-2</v>
      </c>
    </row>
    <row r="319" spans="1:41" x14ac:dyDescent="0.3">
      <c r="A319" t="s">
        <v>6</v>
      </c>
      <c r="B319" s="13">
        <v>3</v>
      </c>
      <c r="C319" s="33">
        <f t="shared" si="43"/>
        <v>0</v>
      </c>
      <c r="D319" s="19">
        <f t="shared" si="43"/>
        <v>0</v>
      </c>
      <c r="E319" s="19">
        <f t="shared" si="43"/>
        <v>3.183224099391134</v>
      </c>
      <c r="F319" s="34">
        <f t="shared" si="43"/>
        <v>29.020393039449175</v>
      </c>
      <c r="G319" s="20">
        <f t="shared" si="43"/>
        <v>0.58359108488837463</v>
      </c>
      <c r="H319" s="17">
        <f>SUM(C319:G319)</f>
        <v>32.787208223728683</v>
      </c>
      <c r="I319" s="17">
        <f>F319/H319*100</f>
        <v>88.511326860841422</v>
      </c>
      <c r="J319" s="17">
        <f>SQRT(I319*(100-I319)/(L319-1))</f>
        <v>1.2837834729964359</v>
      </c>
      <c r="K319" s="18">
        <f>100-I319</f>
        <v>11.488673139158578</v>
      </c>
      <c r="L319" s="1">
        <f>H308</f>
        <v>618</v>
      </c>
      <c r="M319">
        <v>3</v>
      </c>
      <c r="N319" s="1">
        <v>31652.82</v>
      </c>
      <c r="O319" s="17">
        <f>N319/N321*100</f>
        <v>32.787208223728683</v>
      </c>
      <c r="P319" s="52">
        <f>((O319*O319*(I319/100)*(K319/100))/(L319-1))</f>
        <v>0.17717091921354383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43"/>
        <v>0</v>
      </c>
      <c r="D320" s="36">
        <f t="shared" si="43"/>
        <v>0</v>
      </c>
      <c r="E320" s="21">
        <f t="shared" si="43"/>
        <v>1.1633559993960417E-2</v>
      </c>
      <c r="F320" s="21">
        <f t="shared" si="43"/>
        <v>0.27338865985806982</v>
      </c>
      <c r="G320" s="37">
        <f t="shared" si="43"/>
        <v>5.6073759170889215</v>
      </c>
      <c r="H320" s="17">
        <f>SUM(C320:G320)</f>
        <v>5.8923981369409519</v>
      </c>
      <c r="I320" s="17">
        <f>G320/H320*100</f>
        <v>95.16288252714709</v>
      </c>
      <c r="J320" s="17">
        <f>SQRT(I320*(100-I320)/(L320-1))</f>
        <v>0.67442996120300924</v>
      </c>
      <c r="K320" s="18">
        <f>100-I320</f>
        <v>4.8371174728529098</v>
      </c>
      <c r="L320" s="1">
        <f>H309</f>
        <v>1013</v>
      </c>
      <c r="M320">
        <v>4</v>
      </c>
      <c r="N320" s="1">
        <v>5688.53</v>
      </c>
      <c r="O320" s="17">
        <f>N320/N321*100</f>
        <v>5.8923981369409519</v>
      </c>
      <c r="P320" s="52">
        <f>((O320*O320*(I320/100)*(K320/100))/(L320-1))</f>
        <v>1.5792754263176854E-3</v>
      </c>
    </row>
    <row r="321" spans="1:41" x14ac:dyDescent="0.3">
      <c r="B321" t="s">
        <v>28</v>
      </c>
      <c r="C321" s="17">
        <f t="shared" ref="C321:H321" si="44">SUM(C316:C320)</f>
        <v>8.9402756838015643E-2</v>
      </c>
      <c r="D321" s="17">
        <f t="shared" si="44"/>
        <v>0.86779101032633121</v>
      </c>
      <c r="E321" s="17">
        <f t="shared" si="44"/>
        <v>62.412381721462381</v>
      </c>
      <c r="F321" s="17">
        <f t="shared" si="44"/>
        <v>30.439457509395982</v>
      </c>
      <c r="G321" s="17">
        <f t="shared" si="44"/>
        <v>6.1909670019772962</v>
      </c>
      <c r="H321" s="18">
        <f t="shared" si="44"/>
        <v>100.00000000000001</v>
      </c>
      <c r="I321" s="13" t="s">
        <v>24</v>
      </c>
      <c r="J321" s="12" t="s">
        <v>29</v>
      </c>
      <c r="N321" s="1">
        <f>SUM(N316:N320)</f>
        <v>96540.15</v>
      </c>
      <c r="O321" s="17">
        <f>SUM(O316:O320)</f>
        <v>100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4.6073453406962287E-3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2.869697071815314E-2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0.4925196053746923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0.5173274965218474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0.17885274723555261</v>
      </c>
      <c r="H322" s="1"/>
      <c r="I322" s="14">
        <f>(C316+D317+E318+F319+G320)/H321</f>
        <v>0.94647118922713869</v>
      </c>
      <c r="J322" s="53">
        <f>SQRT(SUM(P316:P320))/100</f>
        <v>5.1858079746230825E-3</v>
      </c>
      <c r="M322" s="1"/>
      <c r="N322" s="9"/>
    </row>
    <row r="323" spans="1:41" x14ac:dyDescent="0.3">
      <c r="B323" s="1" t="s">
        <v>30</v>
      </c>
      <c r="C323" s="17">
        <f>C316/C321*100</f>
        <v>100</v>
      </c>
      <c r="D323" s="17">
        <f>D317/D321*100</f>
        <v>89.697662712085943</v>
      </c>
      <c r="E323" s="17">
        <f>E318/E321*100</f>
        <v>94.775359190480017</v>
      </c>
      <c r="F323" s="17">
        <f>F319/F321*100</f>
        <v>95.338075688409447</v>
      </c>
      <c r="G323" s="17">
        <f>G320/G321*100</f>
        <v>90.573506776857556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0</v>
      </c>
      <c r="D324" s="18">
        <f>SQRT((D327+D328)/(D321*D321))</f>
        <v>3.4226337644513434</v>
      </c>
      <c r="E324" s="18">
        <f>SQRT((E327+E328)/(E321*E321))</f>
        <v>0.64562749831765909</v>
      </c>
      <c r="F324" s="18">
        <f>SQRT((F327+F328)/(F321*F321))</f>
        <v>1.1432122820781951</v>
      </c>
      <c r="G324" s="18">
        <f>SQRT((G327+G328)/(G321*G321))</f>
        <v>2.6240471653003778</v>
      </c>
      <c r="H324" s="1"/>
    </row>
    <row r="325" spans="1:41" x14ac:dyDescent="0.3">
      <c r="B325" s="1" t="s">
        <v>37</v>
      </c>
      <c r="C325" s="18">
        <f>100-C323</f>
        <v>0</v>
      </c>
      <c r="D325" s="18">
        <f>100-D323</f>
        <v>10.302337287914057</v>
      </c>
      <c r="E325" s="18">
        <f>100-E323</f>
        <v>5.2246408095199826</v>
      </c>
      <c r="F325" s="18">
        <f>100-F323</f>
        <v>4.6619243115905533</v>
      </c>
      <c r="G325" s="18">
        <f>100-G323</f>
        <v>9.4264932231424439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205</v>
      </c>
      <c r="D326" s="1">
        <f>D310</f>
        <v>264</v>
      </c>
      <c r="E326" s="1">
        <f>E310</f>
        <v>801</v>
      </c>
      <c r="F326" s="1">
        <f>F310</f>
        <v>648</v>
      </c>
      <c r="G326" s="1">
        <f>G310</f>
        <v>975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8.6505061337553872</v>
      </c>
      <c r="E327" s="18">
        <f>(O318*O318*(100-E323)*(100-E323)*(I318)*(100-I318))/((L318-1)*100)</f>
        <v>243.86902435805325</v>
      </c>
      <c r="F327" s="18">
        <f>(O319*O319*(100-F323)*(100-F323)*(I319)*(100-I319))/((L319-1)*100)</f>
        <v>385.05509560703706</v>
      </c>
      <c r="G327" s="18">
        <f>(O320*O320*(100-G323)*(100-G323)*(I320)*(100-I320))/((L320-1)*100)</f>
        <v>14.03324789583664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0.17117090919216321</v>
      </c>
      <c r="E328" s="18">
        <f>E323*E323*(SUM((H316*E316*(1-E305/H305))/(H305-1),(H317*E317*(1-E306/H306))/(H306-1), (H319*E319*(1-E308/H308))/(H308-1),(H320*E320*(1-E309/H309))/(H309-1)))</f>
        <v>1379.830079080549</v>
      </c>
      <c r="F328" s="18">
        <f>F323*F323*(SUM((H316*F316*(1-F305/H305))/(H305-1),(H317*F317*(1-F306/H306))/(H306-1), (H318*F318*(1-F307/H307))/(H307-1),(H320*F320*(1-F309/H309))/(H309-1)))</f>
        <v>825.89871917029109</v>
      </c>
      <c r="G328" s="18">
        <f>G323*G323*(SUM((H316*G316*(1-G305/H305))/(H305-1),(H317*G317*(1-G306/H306))/(H306-1), (H318*G318*(1-G307/H307))/(H307-1),(H319*G319*(1-G308/H308))/(H308-1)))</f>
        <v>249.87942925190282</v>
      </c>
    </row>
    <row r="329" spans="1:41" x14ac:dyDescent="0.3">
      <c r="AM329" s="78"/>
    </row>
    <row r="331" spans="1:41" x14ac:dyDescent="0.3">
      <c r="A331" s="348" t="s">
        <v>386</v>
      </c>
      <c r="B331" s="348"/>
      <c r="C331" s="348"/>
      <c r="D331" s="348"/>
      <c r="E331" s="348"/>
      <c r="F331" s="348"/>
      <c r="G331" s="348"/>
      <c r="H331" s="348"/>
      <c r="I331" s="348"/>
      <c r="J331" s="348"/>
      <c r="K331" s="348"/>
      <c r="L331" s="348" t="s">
        <v>84</v>
      </c>
      <c r="M331" s="348"/>
      <c r="N331" s="348"/>
      <c r="O331" s="348"/>
      <c r="P331" s="348"/>
      <c r="AM331" s="78"/>
    </row>
    <row r="332" spans="1:41" x14ac:dyDescent="0.3">
      <c r="A332" t="s">
        <v>315</v>
      </c>
      <c r="B332" t="s">
        <v>21</v>
      </c>
      <c r="I332" s="1" t="s">
        <v>53</v>
      </c>
      <c r="O332" s="142"/>
      <c r="P332" s="142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51</v>
      </c>
      <c r="O333" s="13"/>
      <c r="P333" s="13"/>
      <c r="AM333" s="78"/>
    </row>
    <row r="334" spans="1:41" x14ac:dyDescent="0.3">
      <c r="A334" t="s">
        <v>3</v>
      </c>
      <c r="B334" s="13">
        <v>0</v>
      </c>
      <c r="C334" s="26">
        <v>171</v>
      </c>
      <c r="D334" s="3">
        <v>136</v>
      </c>
      <c r="E334" s="3">
        <v>0</v>
      </c>
      <c r="F334" s="3">
        <v>143</v>
      </c>
      <c r="G334" s="4">
        <v>0</v>
      </c>
      <c r="H334" s="1">
        <f>SUM(C334:G334)</f>
        <v>450</v>
      </c>
      <c r="I334" s="10">
        <f>C334/H334</f>
        <v>0.38</v>
      </c>
      <c r="J334" s="11">
        <f>1-I334</f>
        <v>0.62</v>
      </c>
      <c r="K334">
        <f>H334-C339</f>
        <v>279</v>
      </c>
      <c r="N334" s="10">
        <f>2*(C340*I334)/(C340+I334)</f>
        <v>0.55072463768115942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57</v>
      </c>
      <c r="E335" s="1">
        <v>7</v>
      </c>
      <c r="F335" s="1">
        <v>0</v>
      </c>
      <c r="G335" s="6">
        <v>0</v>
      </c>
      <c r="H335" s="1">
        <f>SUM(C335:G335)</f>
        <v>64</v>
      </c>
      <c r="I335" s="10">
        <f>D335/H335</f>
        <v>0.890625</v>
      </c>
      <c r="J335" s="11">
        <f>1-I335</f>
        <v>0.109375</v>
      </c>
      <c r="K335">
        <f>H335-D339</f>
        <v>-129</v>
      </c>
      <c r="N335" s="10">
        <f>2*(D340*I335)/(D340+I335)</f>
        <v>0.44357976653696501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0</v>
      </c>
      <c r="E336" s="27">
        <v>732</v>
      </c>
      <c r="F336" s="1">
        <v>15</v>
      </c>
      <c r="G336" s="6">
        <v>1</v>
      </c>
      <c r="H336" s="1">
        <f>SUM(C336:G336)</f>
        <v>748</v>
      </c>
      <c r="I336" s="10">
        <f>E336/H336</f>
        <v>0.97860962566844922</v>
      </c>
      <c r="J336" s="11">
        <f>1-I336</f>
        <v>2.1390374331550777E-2</v>
      </c>
      <c r="K336">
        <f>H336-E339</f>
        <v>-49</v>
      </c>
      <c r="N336" s="10">
        <f>2*(E340*I336)/(E340+I336)</f>
        <v>0.94757281553398054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0</v>
      </c>
      <c r="E337" s="1">
        <v>56</v>
      </c>
      <c r="F337" s="27">
        <v>554</v>
      </c>
      <c r="G337" s="6">
        <v>8</v>
      </c>
      <c r="H337" s="1">
        <f>SUM(C337:G337)</f>
        <v>618</v>
      </c>
      <c r="I337" s="10">
        <f>F337/H337</f>
        <v>0.8964401294498382</v>
      </c>
      <c r="J337" s="11">
        <f>1-I337</f>
        <v>0.1035598705501618</v>
      </c>
      <c r="K337">
        <f>H337-F339</f>
        <v>-130</v>
      </c>
      <c r="N337" s="10">
        <f>2*(F340*I337)/(F340+I337)</f>
        <v>0.81112737920937039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0</v>
      </c>
      <c r="E338" s="8">
        <v>2</v>
      </c>
      <c r="F338" s="8">
        <v>36</v>
      </c>
      <c r="G338" s="28">
        <v>975</v>
      </c>
      <c r="H338" s="1">
        <f>SUM(C338:G338)</f>
        <v>1013</v>
      </c>
      <c r="I338" s="10">
        <f>G338/H338</f>
        <v>0.96248766041461009</v>
      </c>
      <c r="J338" s="11">
        <f>1-I338</f>
        <v>3.7512339585389909E-2</v>
      </c>
      <c r="K338">
        <f>H338-G339</f>
        <v>29</v>
      </c>
      <c r="N338" s="10">
        <f>2*(G340*I338)/(G340+I338)</f>
        <v>0.97646469704556837</v>
      </c>
      <c r="O338" s="1"/>
      <c r="P338" s="1"/>
    </row>
    <row r="339" spans="1:40" ht="15.6" x14ac:dyDescent="0.35">
      <c r="B339" s="1" t="s">
        <v>19</v>
      </c>
      <c r="C339" s="1">
        <f>SUM(C334:C338)</f>
        <v>171</v>
      </c>
      <c r="D339" s="1">
        <f>SUM(D334:D338)</f>
        <v>193</v>
      </c>
      <c r="E339" s="1">
        <f>SUM(E334:E338)</f>
        <v>797</v>
      </c>
      <c r="F339" s="1">
        <f>SUM(F334:F338)</f>
        <v>748</v>
      </c>
      <c r="G339" s="1">
        <f>SUM(G334:G338)</f>
        <v>984</v>
      </c>
      <c r="H339" s="1">
        <f>SUM(H333:H338)</f>
        <v>2893</v>
      </c>
      <c r="I339" s="13" t="s">
        <v>12</v>
      </c>
      <c r="N339" s="16"/>
      <c r="O339" s="1"/>
      <c r="P339" s="1"/>
      <c r="AM339" s="78"/>
    </row>
    <row r="340" spans="1:40" x14ac:dyDescent="0.3">
      <c r="A340" s="1" t="s">
        <v>316</v>
      </c>
      <c r="B340" s="1" t="s">
        <v>2</v>
      </c>
      <c r="C340" s="10">
        <f>C334/C339</f>
        <v>1</v>
      </c>
      <c r="D340" s="10">
        <f>D335/D339</f>
        <v>0.29533678756476683</v>
      </c>
      <c r="E340" s="10">
        <f>E336/E339</f>
        <v>0.918444165621079</v>
      </c>
      <c r="F340" s="10">
        <f>F337/F339</f>
        <v>0.74064171122994649</v>
      </c>
      <c r="G340" s="10">
        <f>G338/G339</f>
        <v>0.99085365853658536</v>
      </c>
      <c r="H340" s="10"/>
      <c r="I340" s="14">
        <f>(C334+D335+E336+F337+G338)/H339</f>
        <v>0.86035257518147257</v>
      </c>
    </row>
    <row r="341" spans="1:40" x14ac:dyDescent="0.3">
      <c r="B341" s="1" t="s">
        <v>14</v>
      </c>
      <c r="C341" s="11">
        <f>1-C340</f>
        <v>0</v>
      </c>
      <c r="D341" s="11">
        <f>1-D340</f>
        <v>0.70466321243523322</v>
      </c>
      <c r="E341" s="11">
        <f>1-E340</f>
        <v>8.1555834378920999E-2</v>
      </c>
      <c r="F341" s="11">
        <f>1-F340</f>
        <v>0.25935828877005351</v>
      </c>
      <c r="G341" s="11">
        <f>1-G340</f>
        <v>9.1463414634146423E-3</v>
      </c>
      <c r="AM341" s="78"/>
      <c r="AN341" s="78"/>
    </row>
    <row r="342" spans="1:40" x14ac:dyDescent="0.3">
      <c r="C342" s="2"/>
    </row>
    <row r="343" spans="1:40" ht="15.6" x14ac:dyDescent="0.35">
      <c r="A343" t="s">
        <v>317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6.9292620738625327E-2</v>
      </c>
      <c r="D345" s="31">
        <f>(D334/$L345)*$O345</f>
        <v>5.5109920587444704E-2</v>
      </c>
      <c r="E345" s="31">
        <f>(E334/$L345)*$O345</f>
        <v>0</v>
      </c>
      <c r="F345" s="31">
        <f>(F334/$L345)*$O345</f>
        <v>5.7946460617680828E-2</v>
      </c>
      <c r="G345" s="32">
        <f>(G334/$L345)*$O345</f>
        <v>0</v>
      </c>
      <c r="H345" s="17">
        <f>SUM(C345:G345)</f>
        <v>0.18234900194375087</v>
      </c>
      <c r="I345" s="17">
        <f>C345/H345*100</f>
        <v>38</v>
      </c>
      <c r="J345" s="17">
        <f>SQRT(I345*(100-I345)/(L345-1))</f>
        <v>2.2906802560887329</v>
      </c>
      <c r="K345" s="18">
        <f>100-I345</f>
        <v>62</v>
      </c>
      <c r="L345" s="1">
        <f>H334</f>
        <v>450</v>
      </c>
      <c r="M345">
        <v>0</v>
      </c>
      <c r="N345" s="1">
        <v>176.04</v>
      </c>
      <c r="O345" s="17">
        <f>N345/N350*100</f>
        <v>0.18234900194375087</v>
      </c>
      <c r="P345" s="52">
        <f>((O345*O345*(I345/100)*(K345/100))/(L345-1))</f>
        <v>1.7447601213648579E-5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45">(C335/$L346)*$O346</f>
        <v>0</v>
      </c>
      <c r="D346" s="34">
        <f t="shared" si="45"/>
        <v>0.71656731033668375</v>
      </c>
      <c r="E346" s="19">
        <f t="shared" si="45"/>
        <v>8.799949425187345E-2</v>
      </c>
      <c r="F346" s="18">
        <f t="shared" si="45"/>
        <v>0</v>
      </c>
      <c r="G346" s="20">
        <f t="shared" si="45"/>
        <v>0</v>
      </c>
      <c r="H346" s="17">
        <f>SUM(C346:G346)</f>
        <v>0.80456680458855723</v>
      </c>
      <c r="I346" s="17">
        <f>D346/H346*100</f>
        <v>89.0625</v>
      </c>
      <c r="J346" s="17">
        <f>SQRT(I346*(100-I346)/(L346-1))</f>
        <v>3.9322054350368489</v>
      </c>
      <c r="K346" s="18">
        <f>100-I346</f>
        <v>10.9375</v>
      </c>
      <c r="L346" s="1">
        <f>H335</f>
        <v>64</v>
      </c>
      <c r="M346">
        <v>1</v>
      </c>
      <c r="N346" s="1">
        <v>776.73</v>
      </c>
      <c r="O346" s="17">
        <f>N346/N350*100</f>
        <v>0.80456680458855723</v>
      </c>
      <c r="P346" s="52">
        <f>((O346*O346*(I346/100)*(K346/100))/(L346-1))</f>
        <v>1.0009136651913241E-3</v>
      </c>
    </row>
    <row r="347" spans="1:40" x14ac:dyDescent="0.3">
      <c r="A347" t="s">
        <v>5</v>
      </c>
      <c r="B347" s="13">
        <v>2</v>
      </c>
      <c r="C347" s="33">
        <f t="shared" si="45"/>
        <v>0</v>
      </c>
      <c r="D347" s="19">
        <f t="shared" si="45"/>
        <v>0</v>
      </c>
      <c r="E347" s="34">
        <f t="shared" si="45"/>
        <v>58.570141112854593</v>
      </c>
      <c r="F347" s="19">
        <f t="shared" si="45"/>
        <v>1.2002078096896434</v>
      </c>
      <c r="G347" s="20">
        <f t="shared" si="45"/>
        <v>8.0013853979309546E-2</v>
      </c>
      <c r="H347" s="17">
        <f>SUM(C347:G347)</f>
        <v>59.850362776523546</v>
      </c>
      <c r="I347" s="17">
        <f>E347/H347*100</f>
        <v>97.860962566844918</v>
      </c>
      <c r="J347" s="17">
        <f>SQRT(I347*(100-I347)/(L347-1))</f>
        <v>0.52936306120566767</v>
      </c>
      <c r="K347" s="18">
        <f>100-I347</f>
        <v>2.1390374331550817</v>
      </c>
      <c r="L347" s="1">
        <f>H336</f>
        <v>748</v>
      </c>
      <c r="M347">
        <v>2</v>
      </c>
      <c r="N347" s="1">
        <v>57779.63</v>
      </c>
      <c r="O347" s="17">
        <f>N347/N350*100</f>
        <v>59.850362776523546</v>
      </c>
      <c r="P347" s="52">
        <f>((O347*O347*(I347/100)*(K347/100))/(L347-1))</f>
        <v>0.10037853212426251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45"/>
        <v>0</v>
      </c>
      <c r="D348" s="19">
        <f t="shared" si="45"/>
        <v>0</v>
      </c>
      <c r="E348" s="19">
        <f t="shared" si="45"/>
        <v>3.0123883916118426</v>
      </c>
      <c r="F348" s="34">
        <f t="shared" si="45"/>
        <v>29.801128017017156</v>
      </c>
      <c r="G348" s="20">
        <f t="shared" si="45"/>
        <v>0.4303411988016918</v>
      </c>
      <c r="H348" s="17">
        <f>SUM(C348:G348)</f>
        <v>33.243857607430691</v>
      </c>
      <c r="I348" s="17">
        <f>F348/H348*100</f>
        <v>89.644012944983814</v>
      </c>
      <c r="J348" s="17">
        <f>SQRT(I348*(100-I348)/(L348-1))</f>
        <v>1.2266306499540665</v>
      </c>
      <c r="K348" s="18">
        <f>100-I348</f>
        <v>10.355987055016186</v>
      </c>
      <c r="L348" s="1">
        <f>H337</f>
        <v>618</v>
      </c>
      <c r="M348">
        <v>3</v>
      </c>
      <c r="N348" s="1">
        <v>32093.67</v>
      </c>
      <c r="O348" s="17">
        <f>N348/N350*100</f>
        <v>33.243857607430691</v>
      </c>
      <c r="P348" s="52">
        <f>((O348*O348*(I348/100)*(K348/100))/(L348-1))</f>
        <v>0.16628399554600781</v>
      </c>
    </row>
    <row r="349" spans="1:40" x14ac:dyDescent="0.3">
      <c r="A349" t="s">
        <v>7</v>
      </c>
      <c r="B349" s="13">
        <v>4</v>
      </c>
      <c r="C349" s="35">
        <f t="shared" si="45"/>
        <v>0</v>
      </c>
      <c r="D349" s="36">
        <f t="shared" si="45"/>
        <v>0</v>
      </c>
      <c r="E349" s="21">
        <f t="shared" si="45"/>
        <v>1.1685812062218066E-2</v>
      </c>
      <c r="F349" s="21">
        <f t="shared" si="45"/>
        <v>0.21034461711992519</v>
      </c>
      <c r="G349" s="37">
        <f t="shared" si="45"/>
        <v>5.6968333803313076</v>
      </c>
      <c r="H349" s="17">
        <f>SUM(C349:G349)</f>
        <v>5.9188638095134509</v>
      </c>
      <c r="I349" s="17">
        <f>G349/H349*100</f>
        <v>96.24876604146101</v>
      </c>
      <c r="J349" s="17">
        <f>SQRT(I349*(100-I349)/(L349-1))</f>
        <v>0.59730259910983352</v>
      </c>
      <c r="K349" s="18">
        <f>100-I349</f>
        <v>3.7512339585389896</v>
      </c>
      <c r="L349" s="1">
        <f>H338</f>
        <v>1013</v>
      </c>
      <c r="M349">
        <v>4</v>
      </c>
      <c r="N349" s="1">
        <v>5714.08</v>
      </c>
      <c r="O349" s="17">
        <f>N349/N350*100</f>
        <v>5.9188638095134509</v>
      </c>
      <c r="P349" s="52">
        <f>((O349*O349*(I349/100)*(K349/100))/(L349-1))</f>
        <v>1.2498718976424103E-3</v>
      </c>
      <c r="AM349" s="78"/>
      <c r="AN349" s="78"/>
    </row>
    <row r="350" spans="1:40" x14ac:dyDescent="0.3">
      <c r="B350" t="s">
        <v>28</v>
      </c>
      <c r="C350" s="17">
        <f t="shared" ref="C350:H350" si="46">SUM(C345:C349)</f>
        <v>6.9292620738625327E-2</v>
      </c>
      <c r="D350" s="17">
        <f t="shared" si="46"/>
        <v>0.77167723092412843</v>
      </c>
      <c r="E350" s="17">
        <f t="shared" si="46"/>
        <v>61.682214810780529</v>
      </c>
      <c r="F350" s="17">
        <f t="shared" si="46"/>
        <v>31.269626904444404</v>
      </c>
      <c r="G350" s="17">
        <f t="shared" si="46"/>
        <v>6.2071884331123091</v>
      </c>
      <c r="H350" s="18">
        <f t="shared" si="46"/>
        <v>100</v>
      </c>
      <c r="I350" s="13" t="s">
        <v>24</v>
      </c>
      <c r="J350" s="12" t="s">
        <v>29</v>
      </c>
      <c r="N350" s="1">
        <f>SUM(N345:N349)</f>
        <v>96540.15</v>
      </c>
      <c r="O350" s="17">
        <f>SUM(O345:O349)</f>
        <v>100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4.17238885609996E-3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3.1636322682669145E-2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0.49865667356803334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0.51119834270552267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0.17461908048593891</v>
      </c>
      <c r="H351" s="1"/>
      <c r="I351" s="14">
        <f>(C345+D346+E347+F348+G349)/H350</f>
        <v>0.94853962441278372</v>
      </c>
      <c r="J351" s="53">
        <f>SQRT(SUM(P345:P349))/100</f>
        <v>5.1858534575739577E-3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92.858423395303845</v>
      </c>
      <c r="E352" s="17">
        <f>E347/E350*100</f>
        <v>94.954666093828351</v>
      </c>
      <c r="F352" s="17">
        <f>F348/F350*100</f>
        <v>95.303753089492318</v>
      </c>
      <c r="G352" s="17">
        <f>G349/G350*100</f>
        <v>91.777999680845724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2.9662697658338084</v>
      </c>
      <c r="E353" s="18">
        <f>SQRT((E356+E357)/(E350*E350))</f>
        <v>0.64766837578051772</v>
      </c>
      <c r="F353" s="18">
        <f>SQRT((F356+F357)/(F350*F350))</f>
        <v>1.123201624024998</v>
      </c>
      <c r="G353" s="18">
        <f>SQRT((G356+G357)/(G350*G350))</f>
        <v>2.5733966995172044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7.1415766046961551</v>
      </c>
      <c r="E354" s="18">
        <f>100-E352</f>
        <v>5.0453339061716491</v>
      </c>
      <c r="F354" s="18">
        <f>100-F352</f>
        <v>4.6962469105076821</v>
      </c>
      <c r="G354" s="18">
        <f>100-G352</f>
        <v>8.2220003191542759</v>
      </c>
    </row>
    <row r="355" spans="1:40" ht="15.6" x14ac:dyDescent="0.35">
      <c r="B355" s="1" t="s">
        <v>25</v>
      </c>
      <c r="C355" s="1">
        <f>C339</f>
        <v>171</v>
      </c>
      <c r="D355" s="1">
        <f>D339</f>
        <v>193</v>
      </c>
      <c r="E355" s="1">
        <f>E339</f>
        <v>797</v>
      </c>
      <c r="F355" s="1">
        <f>F339</f>
        <v>748</v>
      </c>
      <c r="G355" s="1">
        <f>G339</f>
        <v>984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5.1048715259182691</v>
      </c>
      <c r="E356" s="18">
        <f>(O347*O347*(100-E352)*(100-E352)*(I347)*(100-I347))/((L347-1)*100)</f>
        <v>255.51751069263665</v>
      </c>
      <c r="F356" s="18">
        <f>(O348*O348*(100-F352)*(100-F352)*(I348)*(100-I348))/((L348-1)*100)</f>
        <v>366.73494639001967</v>
      </c>
      <c r="G356" s="18">
        <f>(O349*O349*(100-G352)*(100-G352)*(I349)*(100-I349))/((L349-1)*100)</f>
        <v>8.4492951675687458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0.13466247136413717</v>
      </c>
      <c r="E357" s="18">
        <f>E352*E352*(SUM((H345*E345*(1-E334/H334))/(H334-1),(H346*E346*(1-E335/H335))/(H335-1), (H348*E348*(1-E337/H337))/(H337-1),(H349*E349*(1-E338/H338))/(H338-1)))</f>
        <v>1340.454617947207</v>
      </c>
      <c r="F357" s="18">
        <f>F352*F352*(SUM((H345*F345*(1-F334/H334))/(H334-1),(H346*F346*(1-F335/H335))/(H335-1), (H347*F347*(1-F336/H336))/(H336-1),(H349*F349*(1-F338/H338))/(H338-1)))</f>
        <v>866.82666149618535</v>
      </c>
      <c r="G357" s="18">
        <f>G352*G352*(SUM((H345*G345*(1-G334/H334))/(H334-1),(H346*G346*(1-G335/H335))/(H335-1), (H347*G347*(1-G336/H336))/(H336-1),(H348*G348*(1-G337/H337))/(H337-1)))</f>
        <v>246.70526726547058</v>
      </c>
      <c r="AM357" s="78"/>
      <c r="AN357" s="78"/>
    </row>
    <row r="359" spans="1:40" x14ac:dyDescent="0.3">
      <c r="AM359" s="78"/>
      <c r="AN359" s="78"/>
    </row>
    <row r="360" spans="1:40" x14ac:dyDescent="0.3">
      <c r="A360" s="348" t="s">
        <v>386</v>
      </c>
      <c r="B360" s="348"/>
      <c r="C360" s="348"/>
      <c r="D360" s="348"/>
      <c r="E360" s="348"/>
      <c r="F360" s="348"/>
      <c r="G360" s="348"/>
      <c r="H360" s="348"/>
      <c r="I360" s="348"/>
      <c r="J360" s="348"/>
      <c r="K360" s="348"/>
      <c r="L360" s="348" t="s">
        <v>85</v>
      </c>
      <c r="M360" s="348"/>
      <c r="N360" s="348"/>
      <c r="O360" s="348"/>
      <c r="P360" s="348"/>
    </row>
    <row r="361" spans="1:40" x14ac:dyDescent="0.3">
      <c r="A361" t="s">
        <v>15</v>
      </c>
      <c r="B361" t="s">
        <v>21</v>
      </c>
      <c r="I361" s="1" t="s">
        <v>53</v>
      </c>
      <c r="O361" s="142"/>
      <c r="P361" s="142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51</v>
      </c>
      <c r="O362" s="13"/>
      <c r="P362" s="13"/>
    </row>
    <row r="363" spans="1:40" x14ac:dyDescent="0.3">
      <c r="A363" t="s">
        <v>3</v>
      </c>
      <c r="B363" s="13">
        <v>0</v>
      </c>
      <c r="C363" s="26">
        <v>199</v>
      </c>
      <c r="D363" s="3">
        <v>148</v>
      </c>
      <c r="E363" s="3">
        <v>0</v>
      </c>
      <c r="F363" s="3">
        <v>103</v>
      </c>
      <c r="G363" s="4">
        <v>0</v>
      </c>
      <c r="H363" s="1">
        <f>SUM(C363:G363)</f>
        <v>450</v>
      </c>
      <c r="I363" s="10">
        <f>C363/H363</f>
        <v>0.44222222222222224</v>
      </c>
      <c r="J363" s="11">
        <f>1-I363</f>
        <v>0.55777777777777771</v>
      </c>
      <c r="K363">
        <f>H363-C368</f>
        <v>251</v>
      </c>
      <c r="N363" s="10">
        <f>2*(C369*I363)/(C369+I363)</f>
        <v>0.61325115562403698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60</v>
      </c>
      <c r="E364" s="1">
        <v>4</v>
      </c>
      <c r="F364" s="1">
        <v>0</v>
      </c>
      <c r="G364" s="6">
        <v>0</v>
      </c>
      <c r="H364" s="1">
        <f>SUM(C364:G364)</f>
        <v>64</v>
      </c>
      <c r="I364" s="10">
        <f>D364/H364</f>
        <v>0.9375</v>
      </c>
      <c r="J364" s="11">
        <f>1-I364</f>
        <v>6.25E-2</v>
      </c>
      <c r="K364">
        <f>H364-D368</f>
        <v>-146</v>
      </c>
      <c r="N364" s="10">
        <f>2*(D369*I364)/(D369+I364)</f>
        <v>0.43795620437956206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0</v>
      </c>
      <c r="E365" s="27">
        <v>736</v>
      </c>
      <c r="F365" s="1">
        <v>10</v>
      </c>
      <c r="G365" s="6">
        <v>2</v>
      </c>
      <c r="H365" s="1">
        <f>SUM(C365:G365)</f>
        <v>748</v>
      </c>
      <c r="I365" s="10">
        <f>E365/H365</f>
        <v>0.98395721925133695</v>
      </c>
      <c r="J365" s="11">
        <f>1-I365</f>
        <v>1.6042780748663055E-2</v>
      </c>
      <c r="K365">
        <f>H365-E368</f>
        <v>-40</v>
      </c>
      <c r="N365" s="10">
        <f>2*(E369*I365)/(E369+I365)</f>
        <v>0.95833333333333337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2</v>
      </c>
      <c r="E366" s="1">
        <v>48</v>
      </c>
      <c r="F366" s="27">
        <v>558</v>
      </c>
      <c r="G366" s="6">
        <v>10</v>
      </c>
      <c r="H366" s="1">
        <f>SUM(C366:G366)</f>
        <v>618</v>
      </c>
      <c r="I366" s="10">
        <f>F366/H366</f>
        <v>0.90291262135922334</v>
      </c>
      <c r="J366" s="11">
        <f>1-I366</f>
        <v>9.7087378640776656E-2</v>
      </c>
      <c r="K366">
        <f>H366-F368</f>
        <v>-97</v>
      </c>
      <c r="N366" s="10">
        <f>2*(F369*I366)/(F369+I366)</f>
        <v>0.83720930232558133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0</v>
      </c>
      <c r="E367" s="8">
        <v>0</v>
      </c>
      <c r="F367" s="8">
        <v>44</v>
      </c>
      <c r="G367" s="28">
        <v>969</v>
      </c>
      <c r="H367" s="1">
        <f>SUM(C367:G367)</f>
        <v>1013</v>
      </c>
      <c r="I367" s="10">
        <f>G367/H367</f>
        <v>0.95656465942744329</v>
      </c>
      <c r="J367" s="11">
        <f>1-I367</f>
        <v>4.3435340572556713E-2</v>
      </c>
      <c r="K367">
        <f>H367-G368</f>
        <v>32</v>
      </c>
      <c r="N367" s="10">
        <f>2*(G369*I367)/(G369+I367)</f>
        <v>0.97191574724172525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199</v>
      </c>
      <c r="D368" s="1">
        <f>SUM(D363:D367)</f>
        <v>210</v>
      </c>
      <c r="E368" s="1">
        <f>SUM(E363:E367)</f>
        <v>788</v>
      </c>
      <c r="F368" s="1">
        <f>SUM(F363:F367)</f>
        <v>715</v>
      </c>
      <c r="G368" s="1">
        <f>SUM(G363:G367)</f>
        <v>981</v>
      </c>
      <c r="H368" s="1">
        <f>SUM(H362:H367)</f>
        <v>2893</v>
      </c>
      <c r="I368" s="13" t="s">
        <v>12</v>
      </c>
      <c r="N368" s="16"/>
      <c r="O368" s="1"/>
      <c r="P368" s="1"/>
    </row>
    <row r="369" spans="1:40" x14ac:dyDescent="0.3">
      <c r="A369" s="1" t="s">
        <v>52</v>
      </c>
      <c r="B369" s="1" t="s">
        <v>2</v>
      </c>
      <c r="C369" s="10">
        <f>C363/C368</f>
        <v>1</v>
      </c>
      <c r="D369" s="10">
        <f>D364/D368</f>
        <v>0.2857142857142857</v>
      </c>
      <c r="E369" s="10">
        <f>E365/E368</f>
        <v>0.93401015228426398</v>
      </c>
      <c r="F369" s="10">
        <f>F366/F368</f>
        <v>0.78041958041958037</v>
      </c>
      <c r="G369" s="10">
        <f>G367/G368</f>
        <v>0.98776758409785936</v>
      </c>
      <c r="H369" s="10"/>
      <c r="I369" s="14">
        <f>(C363+D364+E365+F366+G367)/H368</f>
        <v>0.87175941928793643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0.7142857142857143</v>
      </c>
      <c r="E370" s="11">
        <f>1-E369</f>
        <v>6.5989847715736016E-2</v>
      </c>
      <c r="F370" s="11">
        <f>1-F369</f>
        <v>0.21958041958041963</v>
      </c>
      <c r="G370" s="11">
        <f>1-G369</f>
        <v>1.2232415902140636E-2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8.6946415558707954E-2</v>
      </c>
      <c r="D374" s="31">
        <f>(D363/$L374)*$O374</f>
        <v>6.4663665842657175E-2</v>
      </c>
      <c r="E374" s="31">
        <f>(E363/$L374)*$O374</f>
        <v>0</v>
      </c>
      <c r="F374" s="31">
        <f>(F363/$L374)*$O374</f>
        <v>4.5002416093200596E-2</v>
      </c>
      <c r="G374" s="32">
        <f>(G363/$L374)*$O374</f>
        <v>0</v>
      </c>
      <c r="H374" s="17">
        <f>SUM(C374:G374)</f>
        <v>0.19661249749456572</v>
      </c>
      <c r="I374" s="17">
        <f>C374/H374*100</f>
        <v>44.222222222222221</v>
      </c>
      <c r="J374" s="17">
        <f>SQRT(I374*(100-I374)/(L374-1))</f>
        <v>2.3438386670150089</v>
      </c>
      <c r="K374" s="18">
        <f>100-I374</f>
        <v>55.777777777777779</v>
      </c>
      <c r="L374" s="1">
        <f>H363</f>
        <v>450</v>
      </c>
      <c r="M374">
        <v>0</v>
      </c>
      <c r="N374" s="1">
        <v>189.81</v>
      </c>
      <c r="O374" s="17">
        <f>N374/N379*100</f>
        <v>0.19661249749456572</v>
      </c>
      <c r="P374" s="52">
        <f>((O374*O374*(I374/100)*(K374/100))/(L374-1))</f>
        <v>2.1236242166348346E-5</v>
      </c>
    </row>
    <row r="375" spans="1:40" x14ac:dyDescent="0.3">
      <c r="A375" t="s">
        <v>4</v>
      </c>
      <c r="B375" s="13">
        <v>1</v>
      </c>
      <c r="C375" s="33">
        <f t="shared" ref="C375:G378" si="47">(C364/$L375)*$O375</f>
        <v>0</v>
      </c>
      <c r="D375" s="34">
        <f t="shared" si="47"/>
        <v>0.81238220574548525</v>
      </c>
      <c r="E375" s="19">
        <f t="shared" si="47"/>
        <v>5.4158813716365682E-2</v>
      </c>
      <c r="F375" s="18">
        <f t="shared" si="47"/>
        <v>0</v>
      </c>
      <c r="G375" s="20">
        <f t="shared" si="47"/>
        <v>0</v>
      </c>
      <c r="H375" s="17">
        <f>SUM(C375:G375)</f>
        <v>0.86654101946185091</v>
      </c>
      <c r="I375" s="17">
        <f>D375/H375*100</f>
        <v>93.75</v>
      </c>
      <c r="J375" s="17">
        <f>SQRT(I375*(100-I375)/(L375-1))</f>
        <v>3.0496877279641659</v>
      </c>
      <c r="K375" s="18">
        <f>100-I375</f>
        <v>6.25</v>
      </c>
      <c r="L375" s="1">
        <f>H364</f>
        <v>64</v>
      </c>
      <c r="M375">
        <v>1</v>
      </c>
      <c r="N375" s="1">
        <v>836.56</v>
      </c>
      <c r="O375" s="17">
        <f>N375/N379*100</f>
        <v>0.86654101946185091</v>
      </c>
      <c r="P375" s="52">
        <f>((O375*O375*(I375/100)*(K375/100))/(L375-1))</f>
        <v>6.9837550075333322E-4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47"/>
        <v>0</v>
      </c>
      <c r="D376" s="19">
        <f t="shared" si="47"/>
        <v>0</v>
      </c>
      <c r="E376" s="34">
        <f t="shared" si="47"/>
        <v>58.966352701537744</v>
      </c>
      <c r="F376" s="19">
        <f t="shared" si="47"/>
        <v>0.80117327040132802</v>
      </c>
      <c r="G376" s="20">
        <f t="shared" si="47"/>
        <v>0.1602346540802656</v>
      </c>
      <c r="H376" s="17">
        <f>SUM(C376:G376)</f>
        <v>59.927760626019335</v>
      </c>
      <c r="I376" s="17">
        <f>E376/H376*100</f>
        <v>98.395721925133699</v>
      </c>
      <c r="J376" s="17">
        <f>SQRT(I376*(100-I376)/(L376-1))</f>
        <v>0.45969272570756609</v>
      </c>
      <c r="K376" s="18">
        <f>100-I376</f>
        <v>1.6042780748663006</v>
      </c>
      <c r="L376" s="1">
        <f>H365</f>
        <v>748</v>
      </c>
      <c r="M376">
        <v>2</v>
      </c>
      <c r="N376" s="1">
        <v>57854.35</v>
      </c>
      <c r="O376" s="17">
        <f>N376/N379*100</f>
        <v>59.927760626019335</v>
      </c>
      <c r="P376" s="52">
        <f>((O376*O376*(I376/100)*(K376/100))/(L376-1))</f>
        <v>7.5891189779162885E-2</v>
      </c>
    </row>
    <row r="377" spans="1:40" x14ac:dyDescent="0.3">
      <c r="A377" t="s">
        <v>6</v>
      </c>
      <c r="B377" s="13">
        <v>3</v>
      </c>
      <c r="C377" s="33">
        <f t="shared" si="47"/>
        <v>0</v>
      </c>
      <c r="D377" s="19">
        <f t="shared" si="47"/>
        <v>0.10689242769185926</v>
      </c>
      <c r="E377" s="19">
        <f t="shared" si="47"/>
        <v>2.565418264604622</v>
      </c>
      <c r="F377" s="34">
        <f t="shared" si="47"/>
        <v>29.822987326028734</v>
      </c>
      <c r="G377" s="20">
        <f t="shared" si="47"/>
        <v>0.53446213845929624</v>
      </c>
      <c r="H377" s="17">
        <f>SUM(C377:G377)</f>
        <v>33.029760156784512</v>
      </c>
      <c r="I377" s="17">
        <f>F377/H377*100</f>
        <v>90.291262135922338</v>
      </c>
      <c r="J377" s="17">
        <f>SQRT(I377*(100-I377)/(L377-1))</f>
        <v>1.1919599616740577</v>
      </c>
      <c r="K377" s="18">
        <f>100-I377</f>
        <v>9.708737864077662</v>
      </c>
      <c r="L377" s="1">
        <f>H366</f>
        <v>618</v>
      </c>
      <c r="M377">
        <v>3</v>
      </c>
      <c r="N377" s="1">
        <v>31886.98</v>
      </c>
      <c r="O377" s="17">
        <f>N377/N379*100</f>
        <v>33.029760156784512</v>
      </c>
      <c r="P377" s="52">
        <f>((O377*O377*(I377/100)*(K377/100))/(L377-1))</f>
        <v>0.15500088409899965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47"/>
        <v>0</v>
      </c>
      <c r="D378" s="36">
        <f t="shared" si="47"/>
        <v>0</v>
      </c>
      <c r="E378" s="21">
        <f t="shared" si="47"/>
        <v>0</v>
      </c>
      <c r="F378" s="21">
        <f t="shared" si="47"/>
        <v>0.25971404818415478</v>
      </c>
      <c r="G378" s="37">
        <f t="shared" si="47"/>
        <v>5.7196116520555913</v>
      </c>
      <c r="H378" s="17">
        <f>SUM(C378:G378)</f>
        <v>5.9793257002397464</v>
      </c>
      <c r="I378" s="17">
        <f>G378/H378*100</f>
        <v>95.656465942744319</v>
      </c>
      <c r="J378" s="17">
        <f>SQRT(I378*(100-I378)/(L378-1))</f>
        <v>0.64074986765833819</v>
      </c>
      <c r="K378" s="18">
        <f>100-I378</f>
        <v>4.3435340572556811</v>
      </c>
      <c r="L378" s="1">
        <f>H367</f>
        <v>1013</v>
      </c>
      <c r="M378">
        <v>4</v>
      </c>
      <c r="N378" s="1">
        <v>5772.45</v>
      </c>
      <c r="O378" s="17">
        <f>N378/N379*100</f>
        <v>5.9793257002397455</v>
      </c>
      <c r="P378" s="52">
        <f>((O378*O378*(I378/100)*(K378/100))/(L378-1))</f>
        <v>1.4678493045421151E-3</v>
      </c>
    </row>
    <row r="379" spans="1:40" x14ac:dyDescent="0.3">
      <c r="B379" t="s">
        <v>28</v>
      </c>
      <c r="C379" s="17">
        <f t="shared" ref="C379:H379" si="48">SUM(C374:C378)</f>
        <v>8.6946415558707954E-2</v>
      </c>
      <c r="D379" s="17">
        <f t="shared" si="48"/>
        <v>0.98393829928000165</v>
      </c>
      <c r="E379" s="17">
        <f t="shared" si="48"/>
        <v>61.585929779858731</v>
      </c>
      <c r="F379" s="17">
        <f t="shared" si="48"/>
        <v>30.928877060707418</v>
      </c>
      <c r="G379" s="17">
        <f t="shared" si="48"/>
        <v>6.4143084445951528</v>
      </c>
      <c r="H379" s="18">
        <f t="shared" si="48"/>
        <v>100</v>
      </c>
      <c r="I379" s="13" t="s">
        <v>24</v>
      </c>
      <c r="J379" s="12" t="s">
        <v>29</v>
      </c>
      <c r="N379" s="1">
        <f>SUM(N374:N378)</f>
        <v>96540.15</v>
      </c>
      <c r="O379" s="17">
        <f>SUM(O374:O378)</f>
        <v>100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4.6031565818566052E-3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8.0005818098789566E-2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0.45048820195000638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0.46857376170581255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0.20584559430184377</v>
      </c>
      <c r="H380" s="1"/>
      <c r="I380" s="14">
        <f>(C374+D375+E376+F377+G378)/H379</f>
        <v>0.95408280300926263</v>
      </c>
      <c r="J380" s="53">
        <f>SQRT(SUM(P374:P378))/100</f>
        <v>4.8278311375360297E-3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82.564344363863782</v>
      </c>
      <c r="E381" s="17">
        <f>E376/E379*100</f>
        <v>95.746468247398781</v>
      </c>
      <c r="F381" s="17">
        <f>F377/F379*100</f>
        <v>96.424410325314952</v>
      </c>
      <c r="G381" s="17">
        <f>G378/G379*100</f>
        <v>89.169576135289702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7.8882668078379021</v>
      </c>
      <c r="E382" s="18">
        <f>SQRT((E385+E386)/(E379*E379))</f>
        <v>0.58655674130854296</v>
      </c>
      <c r="F382" s="18">
        <f>SQRT((F385+F386)/(F379*F379))</f>
        <v>0.91538632865664327</v>
      </c>
      <c r="G382" s="18">
        <f>SQRT((G385+G386)/(G379*G379))</f>
        <v>2.8872024032187009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17.435655636136218</v>
      </c>
      <c r="E383" s="18">
        <f>100-E381</f>
        <v>4.2535317526012193</v>
      </c>
      <c r="F383" s="18">
        <f>100-F381</f>
        <v>3.5755896746850482</v>
      </c>
      <c r="G383" s="18">
        <f>100-G381</f>
        <v>10.830423864710298</v>
      </c>
      <c r="AM383" s="78"/>
      <c r="AN383" s="78"/>
    </row>
    <row r="384" spans="1:40" ht="15.6" x14ac:dyDescent="0.35">
      <c r="B384" s="1" t="s">
        <v>25</v>
      </c>
      <c r="C384" s="1">
        <f>C368</f>
        <v>199</v>
      </c>
      <c r="D384" s="1">
        <f>D368</f>
        <v>210</v>
      </c>
      <c r="E384" s="1">
        <f>E368</f>
        <v>788</v>
      </c>
      <c r="F384" s="1">
        <f>F368</f>
        <v>715</v>
      </c>
      <c r="G384" s="1">
        <f>G368</f>
        <v>981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21.230761006128308</v>
      </c>
      <c r="E385" s="18">
        <f>(O376*O376*(100-E381)*(100-E381)*(I376)*(100-I376))/((L376-1)*100)</f>
        <v>137.30638077066723</v>
      </c>
      <c r="F385" s="18">
        <f>(O377*O377*(100-F381)*(100-F381)*(I377)*(100-I377))/((L377-1)*100)</f>
        <v>198.16617389313211</v>
      </c>
      <c r="G385" s="18">
        <f>(O378*O378*(100-G381)*(100-G381)*(I378)*(100-I378))/((L378-1)*100)</f>
        <v>17.217590675103359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39.011174129646299</v>
      </c>
      <c r="E386" s="18">
        <f>E381*E381*(SUM((H374*E374*(1-E363/H363))/(H363-1),(H375*E375*(1-E364/H364))/(H364-1), (H377*E377*(1-E366/H366))/(H366-1),(H378*E378*(1-E367/H367))/(H367-1)))</f>
        <v>1167.6111509566731</v>
      </c>
      <c r="F386" s="18">
        <f>F381*F381*(SUM((H374*F374*(1-F363/H363))/(H363-1),(H375*F375*(1-F364/H364))/(H364-1), (H376*F376*(1-F365/H365))/(H365-1),(H378*F378*(1-F367/H367))/(H367-1)))</f>
        <v>603.39587820214933</v>
      </c>
      <c r="G386" s="18">
        <f>G381*G381*(SUM((H374*G374*(1-G363/H363))/(H363-1),(H375*G375*(1-G364/H364))/(H364-1), (H376*G376*(1-G365/H365))/(H365-1),(H377*G377*(1-G366/H366))/(H366-1)))</f>
        <v>325.7508359272656</v>
      </c>
    </row>
    <row r="387" spans="1:40" x14ac:dyDescent="0.3">
      <c r="AM387" s="78"/>
      <c r="AN387" s="78"/>
    </row>
    <row r="389" spans="1:40" x14ac:dyDescent="0.3">
      <c r="A389" s="348" t="s">
        <v>386</v>
      </c>
      <c r="B389" s="348"/>
      <c r="C389" s="348"/>
      <c r="D389" s="348"/>
      <c r="E389" s="348"/>
      <c r="F389" s="348"/>
      <c r="G389" s="348"/>
      <c r="H389" s="348"/>
      <c r="I389" s="348"/>
      <c r="J389" s="348"/>
      <c r="K389" s="348"/>
      <c r="L389" s="348" t="s">
        <v>86</v>
      </c>
      <c r="M389" s="348"/>
      <c r="N389" s="348"/>
      <c r="O389" s="348"/>
      <c r="P389" s="348"/>
      <c r="AM389" s="78"/>
      <c r="AN389" s="78"/>
    </row>
    <row r="390" spans="1:40" x14ac:dyDescent="0.3">
      <c r="A390" t="s">
        <v>15</v>
      </c>
      <c r="B390" t="s">
        <v>21</v>
      </c>
      <c r="I390" s="1" t="s">
        <v>53</v>
      </c>
      <c r="O390" s="142"/>
      <c r="P390" s="142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51</v>
      </c>
      <c r="O391" s="13"/>
      <c r="P391" s="13"/>
      <c r="AM391" s="78"/>
      <c r="AN391" s="78"/>
    </row>
    <row r="392" spans="1:40" x14ac:dyDescent="0.3">
      <c r="A392" t="s">
        <v>3</v>
      </c>
      <c r="B392" s="13">
        <v>0</v>
      </c>
      <c r="C392" s="26">
        <v>263</v>
      </c>
      <c r="D392" s="3">
        <v>87</v>
      </c>
      <c r="E392" s="3">
        <v>0</v>
      </c>
      <c r="F392" s="3">
        <v>99</v>
      </c>
      <c r="G392" s="4">
        <v>1</v>
      </c>
      <c r="H392" s="1">
        <f>SUM(C392:G392)</f>
        <v>450</v>
      </c>
      <c r="I392" s="10">
        <f>C392/H392</f>
        <v>0.58444444444444443</v>
      </c>
      <c r="J392" s="11">
        <f>1-I392</f>
        <v>0.41555555555555557</v>
      </c>
      <c r="K392">
        <f>H392-C397</f>
        <v>187</v>
      </c>
      <c r="N392" s="10">
        <f>2*(C398*I392)/(C398+I392)</f>
        <v>0.73772791023842921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57</v>
      </c>
      <c r="E393" s="1">
        <v>7</v>
      </c>
      <c r="F393" s="1">
        <v>0</v>
      </c>
      <c r="G393" s="6">
        <v>0</v>
      </c>
      <c r="H393" s="1">
        <f>SUM(C393:G393)</f>
        <v>64</v>
      </c>
      <c r="I393" s="10">
        <f>D393/H393</f>
        <v>0.890625</v>
      </c>
      <c r="J393" s="11">
        <f>1-I393</f>
        <v>0.109375</v>
      </c>
      <c r="K393">
        <f>H393-D397</f>
        <v>-80</v>
      </c>
      <c r="N393" s="10">
        <f>2*(D398*I393)/(D398+I393)</f>
        <v>0.54807692307692313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0</v>
      </c>
      <c r="E394" s="27">
        <v>734</v>
      </c>
      <c r="F394" s="1">
        <v>13</v>
      </c>
      <c r="G394" s="6">
        <v>1</v>
      </c>
      <c r="H394" s="1">
        <f>SUM(C394:G394)</f>
        <v>748</v>
      </c>
      <c r="I394" s="10">
        <f>E394/H394</f>
        <v>0.98128342245989308</v>
      </c>
      <c r="J394" s="11">
        <f>1-I394</f>
        <v>1.8716577540106916E-2</v>
      </c>
      <c r="K394">
        <f>H394-E397</f>
        <v>-46</v>
      </c>
      <c r="N394" s="10">
        <f>2*(E398*I394)/(E398+I394)</f>
        <v>0.9520103761348897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0</v>
      </c>
      <c r="E395" s="1">
        <v>51</v>
      </c>
      <c r="F395" s="27">
        <v>558</v>
      </c>
      <c r="G395" s="6">
        <v>9</v>
      </c>
      <c r="H395" s="1">
        <f>SUM(C395:G395)</f>
        <v>618</v>
      </c>
      <c r="I395" s="10">
        <f>F395/H395</f>
        <v>0.90291262135922334</v>
      </c>
      <c r="J395" s="11">
        <f>1-I395</f>
        <v>9.7087378640776656E-2</v>
      </c>
      <c r="K395">
        <f>H395-F397</f>
        <v>-86</v>
      </c>
      <c r="N395" s="10">
        <f>2*(F398*I395)/(F398+I395)</f>
        <v>0.84417549167927386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0</v>
      </c>
      <c r="E396" s="8">
        <v>2</v>
      </c>
      <c r="F396" s="8">
        <v>34</v>
      </c>
      <c r="G396" s="28">
        <v>977</v>
      </c>
      <c r="H396" s="1">
        <f>SUM(C396:G396)</f>
        <v>1013</v>
      </c>
      <c r="I396" s="10">
        <f>G396/H396</f>
        <v>0.96446199407699906</v>
      </c>
      <c r="J396" s="11">
        <f>1-I396</f>
        <v>3.5538005923000937E-2</v>
      </c>
      <c r="K396">
        <f>H396-G397</f>
        <v>25</v>
      </c>
      <c r="N396" s="10">
        <f>2*(G398*I396)/(G398+I396)</f>
        <v>0.97651174412793607</v>
      </c>
      <c r="O396" s="1"/>
      <c r="P396" s="1"/>
    </row>
    <row r="397" spans="1:40" ht="15.6" x14ac:dyDescent="0.35">
      <c r="B397" s="1" t="s">
        <v>19</v>
      </c>
      <c r="C397" s="1">
        <f>SUM(C392:C396)</f>
        <v>263</v>
      </c>
      <c r="D397" s="1">
        <f>SUM(D392:D396)</f>
        <v>144</v>
      </c>
      <c r="E397" s="1">
        <f>SUM(E392:E396)</f>
        <v>794</v>
      </c>
      <c r="F397" s="1">
        <f>SUM(F392:F396)</f>
        <v>704</v>
      </c>
      <c r="G397" s="1">
        <f>SUM(G392:G396)</f>
        <v>988</v>
      </c>
      <c r="H397" s="1">
        <f>SUM(H391:H396)</f>
        <v>2893</v>
      </c>
      <c r="I397" s="13" t="s">
        <v>12</v>
      </c>
      <c r="N397" s="16"/>
      <c r="O397" s="1"/>
      <c r="P397" s="1"/>
      <c r="AM397" s="78"/>
      <c r="AN397" s="78"/>
    </row>
    <row r="398" spans="1:40" x14ac:dyDescent="0.3">
      <c r="A398" s="1" t="s">
        <v>52</v>
      </c>
      <c r="B398" s="1" t="s">
        <v>2</v>
      </c>
      <c r="C398" s="10">
        <f>C392/C397</f>
        <v>1</v>
      </c>
      <c r="D398" s="10">
        <f>D393/D397</f>
        <v>0.39583333333333331</v>
      </c>
      <c r="E398" s="10">
        <f>E394/E397</f>
        <v>0.92443324937027704</v>
      </c>
      <c r="F398" s="10">
        <f>F395/F397</f>
        <v>0.79261363636363635</v>
      </c>
      <c r="G398" s="10">
        <f>G396/G397</f>
        <v>0.98886639676113364</v>
      </c>
      <c r="H398" s="10"/>
      <c r="I398" s="14">
        <f>(C392+D393+E394+F395+G396)/H397</f>
        <v>0.89491876944348425</v>
      </c>
    </row>
    <row r="399" spans="1:40" x14ac:dyDescent="0.3">
      <c r="B399" s="1" t="s">
        <v>14</v>
      </c>
      <c r="C399" s="11">
        <f>1-C398</f>
        <v>0</v>
      </c>
      <c r="D399" s="11">
        <f>1-D398</f>
        <v>0.60416666666666674</v>
      </c>
      <c r="E399" s="11">
        <f>1-E398</f>
        <v>7.5566750629722956E-2</v>
      </c>
      <c r="F399" s="11">
        <f>1-F398</f>
        <v>0.20738636363636365</v>
      </c>
      <c r="G399" s="11">
        <f>1-G398</f>
        <v>1.1133603238866363E-2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0.12672022825641796</v>
      </c>
      <c r="D403" s="31">
        <f>(D392/$L403)*$O403</f>
        <v>4.1918858776837882E-2</v>
      </c>
      <c r="E403" s="31">
        <f>(E392/$L403)*$O403</f>
        <v>0</v>
      </c>
      <c r="F403" s="31">
        <f>(F392/$L403)*$O403</f>
        <v>4.7700770332263803E-2</v>
      </c>
      <c r="G403" s="32">
        <f>(G392/$L403)*$O403</f>
        <v>4.818259629521596E-4</v>
      </c>
      <c r="H403" s="17">
        <f>SUM(C403:G403)</f>
        <v>0.21682168332847179</v>
      </c>
      <c r="I403" s="17">
        <f>C403/H403*100</f>
        <v>58.444444444444443</v>
      </c>
      <c r="J403" s="17">
        <f>SQRT(I403*(100-I403)/(L403-1))</f>
        <v>2.3257498051073755</v>
      </c>
      <c r="K403" s="18">
        <f>100-I403</f>
        <v>41.555555555555557</v>
      </c>
      <c r="L403" s="1">
        <f>H392</f>
        <v>450</v>
      </c>
      <c r="M403">
        <v>0</v>
      </c>
      <c r="N403" s="1">
        <v>209.32</v>
      </c>
      <c r="O403" s="17">
        <f>N403/N408*100</f>
        <v>0.21682168332847182</v>
      </c>
      <c r="P403" s="52">
        <f>((O403*O403*(I403/100)*(K403/100))/(L403-1))</f>
        <v>2.5429124616850899E-5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49">(C393/$L404)*$O404</f>
        <v>0</v>
      </c>
      <c r="D404" s="34">
        <f t="shared" si="49"/>
        <v>0.6993156720995698</v>
      </c>
      <c r="E404" s="19">
        <f t="shared" si="49"/>
        <v>8.5880872012227868E-2</v>
      </c>
      <c r="F404" s="18">
        <f t="shared" si="49"/>
        <v>0</v>
      </c>
      <c r="G404" s="20">
        <f t="shared" si="49"/>
        <v>0</v>
      </c>
      <c r="H404" s="17">
        <f>SUM(C404:G404)</f>
        <v>0.78519654411179762</v>
      </c>
      <c r="I404" s="17">
        <f>D404/H404*100</f>
        <v>89.0625</v>
      </c>
      <c r="J404" s="17">
        <f>SQRT(I404*(100-I404)/(L404-1))</f>
        <v>3.9322054350368489</v>
      </c>
      <c r="K404" s="18">
        <f>100-I404</f>
        <v>10.9375</v>
      </c>
      <c r="L404" s="1">
        <f>H393</f>
        <v>64</v>
      </c>
      <c r="M404">
        <v>1</v>
      </c>
      <c r="N404" s="1">
        <v>758.03</v>
      </c>
      <c r="O404" s="17">
        <f>N404/N408*100</f>
        <v>0.78519654411179762</v>
      </c>
      <c r="P404" s="52">
        <f>((O404*O404*(I404/100)*(K404/100))/(L404-1))</f>
        <v>9.5329904336076605E-4</v>
      </c>
    </row>
    <row r="405" spans="1:40" x14ac:dyDescent="0.3">
      <c r="A405" t="s">
        <v>5</v>
      </c>
      <c r="B405" s="13">
        <v>2</v>
      </c>
      <c r="C405" s="33">
        <f t="shared" si="49"/>
        <v>0</v>
      </c>
      <c r="D405" s="19">
        <f t="shared" si="49"/>
        <v>0</v>
      </c>
      <c r="E405" s="34">
        <f t="shared" si="49"/>
        <v>58.566585277764034</v>
      </c>
      <c r="F405" s="19">
        <f t="shared" si="49"/>
        <v>1.0372828455189815</v>
      </c>
      <c r="G405" s="20">
        <f t="shared" si="49"/>
        <v>7.9790988116844722E-2</v>
      </c>
      <c r="H405" s="17">
        <f>SUM(C405:G405)</f>
        <v>59.683659111399862</v>
      </c>
      <c r="I405" s="17">
        <f>E405/H405*100</f>
        <v>98.128342245989302</v>
      </c>
      <c r="J405" s="17">
        <f>SQRT(I405*(100-I405)/(L405-1))</f>
        <v>0.49584980756665031</v>
      </c>
      <c r="K405" s="18">
        <f>100-I405</f>
        <v>1.8716577540106982</v>
      </c>
      <c r="L405" s="1">
        <f>H394</f>
        <v>748</v>
      </c>
      <c r="M405">
        <v>2</v>
      </c>
      <c r="N405" s="1">
        <v>57618.7</v>
      </c>
      <c r="O405" s="17">
        <f>N405/N408*100</f>
        <v>59.683659111399855</v>
      </c>
      <c r="P405" s="52">
        <f>((O405*O405*(I405/100)*(K405/100))/(L405-1))</f>
        <v>8.7581258285396923E-2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49"/>
        <v>0</v>
      </c>
      <c r="D406" s="19">
        <f t="shared" si="49"/>
        <v>0</v>
      </c>
      <c r="E406" s="19">
        <f t="shared" si="49"/>
        <v>2.7386489897104527</v>
      </c>
      <c r="F406" s="34">
        <f t="shared" si="49"/>
        <v>29.964041887420247</v>
      </c>
      <c r="G406" s="20">
        <f t="shared" si="49"/>
        <v>0.48329099818419752</v>
      </c>
      <c r="H406" s="17">
        <f>SUM(C406:G406)</f>
        <v>33.185981875314894</v>
      </c>
      <c r="I406" s="17">
        <f>F406/H406*100</f>
        <v>90.291262135922338</v>
      </c>
      <c r="J406" s="17">
        <f>SQRT(I406*(100-I406)/(L406-1))</f>
        <v>1.1919599616740577</v>
      </c>
      <c r="K406" s="18">
        <f>100-I406</f>
        <v>9.708737864077662</v>
      </c>
      <c r="L406" s="1">
        <f>H395</f>
        <v>618</v>
      </c>
      <c r="M406">
        <v>3</v>
      </c>
      <c r="N406" s="1">
        <v>32037.8</v>
      </c>
      <c r="O406" s="17">
        <f>N406/N408*100</f>
        <v>33.185981875314894</v>
      </c>
      <c r="P406" s="52">
        <f>((O406*O406*(I406/100)*(K406/100))/(L406-1))</f>
        <v>0.15647057496925362</v>
      </c>
    </row>
    <row r="407" spans="1:40" x14ac:dyDescent="0.3">
      <c r="A407" t="s">
        <v>7</v>
      </c>
      <c r="B407" s="13">
        <v>4</v>
      </c>
      <c r="C407" s="35">
        <f t="shared" si="49"/>
        <v>0</v>
      </c>
      <c r="D407" s="36">
        <f t="shared" si="49"/>
        <v>0</v>
      </c>
      <c r="E407" s="21">
        <f t="shared" si="49"/>
        <v>1.2099389508084856E-2</v>
      </c>
      <c r="F407" s="21">
        <f t="shared" si="49"/>
        <v>0.20568962163744256</v>
      </c>
      <c r="G407" s="37">
        <f t="shared" si="49"/>
        <v>5.9105517746994529</v>
      </c>
      <c r="H407" s="17">
        <f>SUM(C407:G407)</f>
        <v>6.1283407858449808</v>
      </c>
      <c r="I407" s="17">
        <f>G407/H407*100</f>
        <v>96.446199407699893</v>
      </c>
      <c r="J407" s="17">
        <f>SQRT(I407*(100-I407)/(L407-1))</f>
        <v>0.58196763198993329</v>
      </c>
      <c r="K407" s="18">
        <f>100-I407</f>
        <v>3.5538005923001066</v>
      </c>
      <c r="L407" s="1">
        <f>H396</f>
        <v>1013</v>
      </c>
      <c r="M407">
        <v>4</v>
      </c>
      <c r="N407" s="1">
        <v>5916.31</v>
      </c>
      <c r="O407" s="17">
        <f>N407/N408*100</f>
        <v>6.1283407858449799</v>
      </c>
      <c r="P407" s="52">
        <f>((O407*O407*(I407/100)*(K407/100))/(L407-1))</f>
        <v>1.2719893540871928E-3</v>
      </c>
      <c r="AM407" s="78"/>
      <c r="AN407" s="78"/>
    </row>
    <row r="408" spans="1:40" x14ac:dyDescent="0.3">
      <c r="B408" t="s">
        <v>28</v>
      </c>
      <c r="C408" s="17">
        <f t="shared" ref="C408:H408" si="50">SUM(C403:C407)</f>
        <v>0.12672022825641796</v>
      </c>
      <c r="D408" s="17">
        <f t="shared" si="50"/>
        <v>0.74123453087640767</v>
      </c>
      <c r="E408" s="17">
        <f t="shared" si="50"/>
        <v>61.403214528994802</v>
      </c>
      <c r="F408" s="17">
        <f t="shared" si="50"/>
        <v>31.254715124908937</v>
      </c>
      <c r="G408" s="17">
        <f t="shared" si="50"/>
        <v>6.474115586963447</v>
      </c>
      <c r="H408" s="18">
        <f t="shared" si="50"/>
        <v>100</v>
      </c>
      <c r="I408" s="13" t="s">
        <v>24</v>
      </c>
      <c r="J408" s="12" t="s">
        <v>29</v>
      </c>
      <c r="N408" s="1">
        <f>SUM(N403:N407)</f>
        <v>96540.159999999989</v>
      </c>
      <c r="O408" s="17">
        <f>SUM(O403:O407)</f>
        <v>100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5.037123727985612E-3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3.0898162923303902E-2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0.47265430945282277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0.48863615026442264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0.18221787381636217</v>
      </c>
      <c r="H409" s="1"/>
      <c r="I409" s="56">
        <f>(C403+D404+E405+F406+G407)/H408</f>
        <v>0.95267214840239733</v>
      </c>
      <c r="J409" s="53">
        <f>SQRT(SUM(P403:P407))/100</f>
        <v>4.962887776050506E-3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94.344723966478654</v>
      </c>
      <c r="E410" s="17">
        <f>E405/E408*100</f>
        <v>95.380324510712214</v>
      </c>
      <c r="F410" s="17">
        <f>F406/F408*100</f>
        <v>95.87046872022178</v>
      </c>
      <c r="G410" s="17">
        <f>G407/G408*100</f>
        <v>91.295122790226202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2.4111559378522913</v>
      </c>
      <c r="E411" s="18">
        <f>SQRT((E414+E415)/(E408*E408))</f>
        <v>0.61493021565677886</v>
      </c>
      <c r="F411" s="18">
        <f>SQRT((F414+F415)/(F408*F408))</f>
        <v>1.0251203022200057</v>
      </c>
      <c r="G411" s="18">
        <f>SQRT((G414+G415)/(G408*G408))</f>
        <v>2.5670646233808121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5.6552760335213463</v>
      </c>
      <c r="E412" s="18">
        <f>100-E410</f>
        <v>4.6196754892877863</v>
      </c>
      <c r="F412" s="18">
        <f>100-F410</f>
        <v>4.1295312797782202</v>
      </c>
      <c r="G412" s="18">
        <f>100-G410</f>
        <v>8.7048772097737981</v>
      </c>
    </row>
    <row r="413" spans="1:40" ht="15.6" x14ac:dyDescent="0.35">
      <c r="B413" s="1" t="s">
        <v>25</v>
      </c>
      <c r="C413" s="1">
        <f>C397</f>
        <v>263</v>
      </c>
      <c r="D413" s="1">
        <f>D397</f>
        <v>144</v>
      </c>
      <c r="E413" s="1">
        <f>E397</f>
        <v>794</v>
      </c>
      <c r="F413" s="1">
        <f>F397</f>
        <v>704</v>
      </c>
      <c r="G413" s="1">
        <f>G397</f>
        <v>988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3.0488550154328822</v>
      </c>
      <c r="E414" s="18">
        <f>(O405*O405*(100-E410)*(100-E410)*(I405)*(100-I405))/((L405-1)*100)</f>
        <v>186.91068080076778</v>
      </c>
      <c r="F414" s="18">
        <f>(O406*O406*(100-F410)*(100-F410)*(I406)*(100-I406))/((L406-1)*100)</f>
        <v>266.82971885487467</v>
      </c>
      <c r="G414" s="18">
        <f>(O407*O407*(100-G410)*(100-G410)*(I407)*(100-I407))/((L407-1)*100)</f>
        <v>9.638484987292582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0.14534335102754428</v>
      </c>
      <c r="E415" s="18">
        <f>E410*E410*(SUM((H403*E403*(1-E392/H392))/(H392-1),(H404*E404*(1-E393/H393))/(H393-1), (H406*E406*(1-E395/H395))/(H395-1),(H407*E407*(1-E396/H396))/(H396-1)))</f>
        <v>1238.8081371505023</v>
      </c>
      <c r="F415" s="18">
        <f>F410*F410*(SUM((H403*F403*(1-F392/H392))/(H392-1),(H404*F404*(1-F393/H393))/(H393-1), (H405*F405*(1-F394/H394))/(H394-1),(H407*F407*(1-F396/H396))/(H396-1)))</f>
        <v>759.72182154833888</v>
      </c>
      <c r="G415" s="18">
        <f>G410*G410*(SUM((H403*G403*(1-G392/H392))/(H392-1),(H404*G404*(1-G393/H393))/(H393-1), (H405*G405*(1-G394/H394))/(H394-1),(H406*G406*(1-G395/H395))/(H395-1)))</f>
        <v>266.56840083425539</v>
      </c>
      <c r="AM415" s="78"/>
      <c r="AN415" s="78"/>
    </row>
    <row r="417" spans="1:40" x14ac:dyDescent="0.3">
      <c r="AM417" s="78"/>
      <c r="AN417" s="78"/>
    </row>
    <row r="418" spans="1:40" x14ac:dyDescent="0.3">
      <c r="A418" s="348" t="s">
        <v>386</v>
      </c>
      <c r="B418" s="348"/>
      <c r="C418" s="348"/>
      <c r="D418" s="348"/>
      <c r="E418" s="348"/>
      <c r="F418" s="348"/>
      <c r="G418" s="348"/>
      <c r="H418" s="348"/>
      <c r="I418" s="348"/>
      <c r="J418" s="348"/>
      <c r="K418" s="348"/>
      <c r="L418" s="348" t="s">
        <v>87</v>
      </c>
      <c r="M418" s="348"/>
      <c r="N418" s="348"/>
      <c r="O418" s="348"/>
      <c r="P418" s="348"/>
    </row>
    <row r="419" spans="1:40" x14ac:dyDescent="0.3">
      <c r="A419" t="s">
        <v>15</v>
      </c>
      <c r="B419" t="s">
        <v>21</v>
      </c>
      <c r="I419" s="1" t="s">
        <v>53</v>
      </c>
      <c r="O419" s="142"/>
      <c r="P419" s="142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51</v>
      </c>
      <c r="O420" s="13"/>
      <c r="P420" s="13"/>
    </row>
    <row r="421" spans="1:40" x14ac:dyDescent="0.3">
      <c r="A421" t="s">
        <v>3</v>
      </c>
      <c r="B421" s="13">
        <v>0</v>
      </c>
      <c r="C421" s="26">
        <v>190</v>
      </c>
      <c r="D421" s="3">
        <v>227</v>
      </c>
      <c r="E421" s="3">
        <v>0</v>
      </c>
      <c r="F421" s="3">
        <v>33</v>
      </c>
      <c r="G421" s="4">
        <v>0</v>
      </c>
      <c r="H421" s="1">
        <f>SUM(C421:G421)</f>
        <v>450</v>
      </c>
      <c r="I421" s="10">
        <f>C421/H421</f>
        <v>0.42222222222222222</v>
      </c>
      <c r="J421" s="11">
        <f>1-I421</f>
        <v>0.57777777777777772</v>
      </c>
      <c r="K421">
        <f>H421-C426</f>
        <v>260</v>
      </c>
      <c r="N421" s="10">
        <f>2*(C427*I421)/(C427+I421)</f>
        <v>0.59375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58</v>
      </c>
      <c r="E422" s="1">
        <v>6</v>
      </c>
      <c r="F422" s="1">
        <v>0</v>
      </c>
      <c r="G422" s="6">
        <v>0</v>
      </c>
      <c r="H422" s="1">
        <f>SUM(C422:G422)</f>
        <v>64</v>
      </c>
      <c r="I422" s="10">
        <f>D422/H422</f>
        <v>0.90625</v>
      </c>
      <c r="J422" s="11">
        <f>1-I422</f>
        <v>9.375E-2</v>
      </c>
      <c r="K422">
        <f>H422-D426</f>
        <v>-222</v>
      </c>
      <c r="N422" s="10">
        <f>2*(D427*I422)/(D427+I422)</f>
        <v>0.33142857142857146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0</v>
      </c>
      <c r="E423" s="27">
        <v>733</v>
      </c>
      <c r="F423" s="1">
        <v>14</v>
      </c>
      <c r="G423" s="6">
        <v>1</v>
      </c>
      <c r="H423" s="1">
        <f>SUM(C423:G423)</f>
        <v>748</v>
      </c>
      <c r="I423" s="10">
        <f>E423/H423</f>
        <v>0.97994652406417115</v>
      </c>
      <c r="J423" s="11">
        <f>1-I423</f>
        <v>2.0053475935828846E-2</v>
      </c>
      <c r="K423">
        <f>H423-E426</f>
        <v>-50</v>
      </c>
      <c r="N423" s="10">
        <f>2*(E427*I423)/(E427+I423)</f>
        <v>0.94825355756791729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1</v>
      </c>
      <c r="E424" s="1">
        <v>59</v>
      </c>
      <c r="F424" s="27">
        <v>549</v>
      </c>
      <c r="G424" s="6">
        <v>9</v>
      </c>
      <c r="H424" s="1">
        <f>SUM(C424:G424)</f>
        <v>618</v>
      </c>
      <c r="I424" s="10">
        <f>F424/H424</f>
        <v>0.88834951456310685</v>
      </c>
      <c r="J424" s="11">
        <f>1-I424</f>
        <v>0.11165048543689315</v>
      </c>
      <c r="K424">
        <f>H424-F426</f>
        <v>-16</v>
      </c>
      <c r="N424" s="10">
        <f>2*(F427*I424)/(F427+I424)</f>
        <v>0.8769968051118211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0</v>
      </c>
      <c r="E425" s="8">
        <v>0</v>
      </c>
      <c r="F425" s="8">
        <v>38</v>
      </c>
      <c r="G425" s="28">
        <v>975</v>
      </c>
      <c r="H425" s="1">
        <f>SUM(C425:G425)</f>
        <v>1013</v>
      </c>
      <c r="I425" s="10">
        <f>G425/H425</f>
        <v>0.96248766041461009</v>
      </c>
      <c r="J425" s="11">
        <f>1-I425</f>
        <v>3.7512339585389909E-2</v>
      </c>
      <c r="K425">
        <f>H425-G426</f>
        <v>28</v>
      </c>
      <c r="N425" s="10">
        <f>2*(G427*I425)/(G427+I425)</f>
        <v>0.97597597597597585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190</v>
      </c>
      <c r="D426" s="1">
        <f>SUM(D421:D425)</f>
        <v>286</v>
      </c>
      <c r="E426" s="1">
        <f>SUM(E421:E425)</f>
        <v>798</v>
      </c>
      <c r="F426" s="1">
        <f>SUM(F421:F425)</f>
        <v>634</v>
      </c>
      <c r="G426" s="1">
        <f>SUM(G421:G425)</f>
        <v>985</v>
      </c>
      <c r="H426" s="1">
        <f>SUM(H420:H425)</f>
        <v>2893</v>
      </c>
      <c r="I426" s="13" t="s">
        <v>12</v>
      </c>
      <c r="N426" s="16"/>
      <c r="O426" s="1"/>
      <c r="P426" s="1"/>
    </row>
    <row r="427" spans="1:40" x14ac:dyDescent="0.3">
      <c r="A427" s="1" t="s">
        <v>52</v>
      </c>
      <c r="B427" s="1" t="s">
        <v>2</v>
      </c>
      <c r="C427" s="10">
        <f>C421/C426</f>
        <v>1</v>
      </c>
      <c r="D427" s="10">
        <f>D422/D426</f>
        <v>0.20279720279720279</v>
      </c>
      <c r="E427" s="10">
        <f>E423/E426</f>
        <v>0.918546365914787</v>
      </c>
      <c r="F427" s="10">
        <f>F424/F426</f>
        <v>0.86593059936908512</v>
      </c>
      <c r="G427" s="10">
        <f>G425/G426</f>
        <v>0.98984771573604058</v>
      </c>
      <c r="H427" s="10"/>
      <c r="I427" s="14">
        <f>(C421+D422+E423+F424+G425)/H426</f>
        <v>0.86588316626339445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0.79720279720279719</v>
      </c>
      <c r="E428" s="11">
        <f>1-E427</f>
        <v>8.1453634085213E-2</v>
      </c>
      <c r="F428" s="11">
        <f>1-F427</f>
        <v>0.13406940063091488</v>
      </c>
      <c r="G428" s="11">
        <f>1-G427</f>
        <v>1.0152284263959421E-2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8.1741465424834486E-2</v>
      </c>
      <c r="D432" s="31">
        <f>(D421/$L432)*$O432</f>
        <v>9.7659540270723308E-2</v>
      </c>
      <c r="E432" s="31">
        <f>(E421/$L432)*$O432</f>
        <v>0</v>
      </c>
      <c r="F432" s="31">
        <f>(F421/$L432)*$O432</f>
        <v>1.4197201889576514E-2</v>
      </c>
      <c r="G432" s="32">
        <f>(G421/$L432)*$O432</f>
        <v>0</v>
      </c>
      <c r="H432" s="17">
        <f>SUM(C432:G432)</f>
        <v>0.1935982075851343</v>
      </c>
      <c r="I432" s="17">
        <f>C432/H432*100</f>
        <v>42.222222222222229</v>
      </c>
      <c r="J432" s="17">
        <f>SQRT(I432*(100-I432)/(L432-1))</f>
        <v>2.3309222645137755</v>
      </c>
      <c r="K432" s="18">
        <f>100-I432</f>
        <v>57.777777777777771</v>
      </c>
      <c r="L432" s="1">
        <f>H421</f>
        <v>450</v>
      </c>
      <c r="M432">
        <v>0</v>
      </c>
      <c r="N432" s="1">
        <v>186.9</v>
      </c>
      <c r="O432" s="17">
        <f>N432/N437*100</f>
        <v>0.1935982075851343</v>
      </c>
      <c r="P432" s="52">
        <f>((O432*O432*(I432/100)*(K432/100))/(L432-1))</f>
        <v>2.0363772877128671E-5</v>
      </c>
    </row>
    <row r="433" spans="1:40" x14ac:dyDescent="0.3">
      <c r="A433" t="s">
        <v>4</v>
      </c>
      <c r="B433" s="13">
        <v>1</v>
      </c>
      <c r="C433" s="33">
        <f t="shared" ref="C433:G436" si="51">(C422/$L433)*$O433</f>
        <v>0</v>
      </c>
      <c r="D433" s="34">
        <f t="shared" si="51"/>
        <v>0.7199485136495023</v>
      </c>
      <c r="E433" s="19">
        <f t="shared" si="51"/>
        <v>7.4477432446500236E-2</v>
      </c>
      <c r="F433" s="18">
        <f t="shared" si="51"/>
        <v>0</v>
      </c>
      <c r="G433" s="20">
        <f t="shared" si="51"/>
        <v>0</v>
      </c>
      <c r="H433" s="17">
        <f>SUM(C433:G433)</f>
        <v>0.79442594609600259</v>
      </c>
      <c r="I433" s="17">
        <f>D433/H433*100</f>
        <v>90.624999999999986</v>
      </c>
      <c r="J433" s="17">
        <f>SQRT(I433*(100-I433)/(L433-1))</f>
        <v>3.6723103212062722</v>
      </c>
      <c r="K433" s="18">
        <f>100-I433</f>
        <v>9.3750000000000142</v>
      </c>
      <c r="L433" s="1">
        <f>H422</f>
        <v>64</v>
      </c>
      <c r="M433">
        <v>1</v>
      </c>
      <c r="N433" s="1">
        <v>766.94</v>
      </c>
      <c r="O433" s="17">
        <f>N433/N437*100</f>
        <v>0.79442594609600259</v>
      </c>
      <c r="P433" s="52">
        <f>((O433*O433*(I433/100)*(K433/100))/(L433-1))</f>
        <v>8.5110979032204973E-4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51"/>
        <v>0</v>
      </c>
      <c r="D434" s="19">
        <f t="shared" si="51"/>
        <v>0</v>
      </c>
      <c r="E434" s="34">
        <f t="shared" si="51"/>
        <v>58.885782305957598</v>
      </c>
      <c r="F434" s="19">
        <f t="shared" si="51"/>
        <v>1.1246943414507589</v>
      </c>
      <c r="G434" s="20">
        <f t="shared" si="51"/>
        <v>8.0335310103625643E-2</v>
      </c>
      <c r="H434" s="17">
        <f>SUM(C434:G434)</f>
        <v>60.090811957511981</v>
      </c>
      <c r="I434" s="17">
        <f>E434/H434*100</f>
        <v>97.994652406417117</v>
      </c>
      <c r="J434" s="17">
        <f>SQRT(I434*(100-I434)/(L434-1))</f>
        <v>0.5129035654513856</v>
      </c>
      <c r="K434" s="18">
        <f>100-I434</f>
        <v>2.0053475935828828</v>
      </c>
      <c r="L434" s="1">
        <f>H423</f>
        <v>748</v>
      </c>
      <c r="M434">
        <v>2</v>
      </c>
      <c r="N434" s="1">
        <v>58011.76</v>
      </c>
      <c r="O434" s="17">
        <f>N434/N437*100</f>
        <v>60.090811957511981</v>
      </c>
      <c r="P434" s="52">
        <f>((O434*O434*(I434/100)*(K434/100))/(L434-1))</f>
        <v>9.4992120125375182E-2</v>
      </c>
    </row>
    <row r="435" spans="1:40" x14ac:dyDescent="0.3">
      <c r="A435" t="s">
        <v>6</v>
      </c>
      <c r="B435" s="13">
        <v>3</v>
      </c>
      <c r="C435" s="33">
        <f t="shared" si="51"/>
        <v>0</v>
      </c>
      <c r="D435" s="19">
        <f t="shared" si="51"/>
        <v>5.3212781448056815E-2</v>
      </c>
      <c r="E435" s="19">
        <f t="shared" si="51"/>
        <v>3.139554105435352</v>
      </c>
      <c r="F435" s="34">
        <f t="shared" si="51"/>
        <v>29.213817014983192</v>
      </c>
      <c r="G435" s="20">
        <f t="shared" si="51"/>
        <v>0.47891503303251132</v>
      </c>
      <c r="H435" s="17">
        <f>SUM(C435:G435)</f>
        <v>32.885498934899118</v>
      </c>
      <c r="I435" s="17">
        <f>F435/H435*100</f>
        <v>88.834951456310662</v>
      </c>
      <c r="J435" s="17">
        <f>SQRT(I435*(100-I435)/(L435-1))</f>
        <v>1.2678844062943846</v>
      </c>
      <c r="K435" s="18">
        <f>100-I435</f>
        <v>11.165048543689338</v>
      </c>
      <c r="L435" s="1">
        <f>H424</f>
        <v>618</v>
      </c>
      <c r="M435">
        <v>3</v>
      </c>
      <c r="N435" s="1">
        <v>31747.71</v>
      </c>
      <c r="O435" s="17">
        <f>N435/N437*100</f>
        <v>32.885498934899111</v>
      </c>
      <c r="P435" s="52">
        <f>((O435*O435*(I435/100)*(K435/100))/(L435-1))</f>
        <v>0.17384739667041491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51"/>
        <v>0</v>
      </c>
      <c r="D436" s="36">
        <f t="shared" si="51"/>
        <v>0</v>
      </c>
      <c r="E436" s="21">
        <f t="shared" si="51"/>
        <v>0</v>
      </c>
      <c r="F436" s="21">
        <f t="shared" si="51"/>
        <v>0.22641191337462546</v>
      </c>
      <c r="G436" s="37">
        <f t="shared" si="51"/>
        <v>5.8092530405331537</v>
      </c>
      <c r="H436" s="17">
        <f>SUM(C436:G436)</f>
        <v>6.0356649539077791</v>
      </c>
      <c r="I436" s="17">
        <f>G436/H436*100</f>
        <v>96.24876604146101</v>
      </c>
      <c r="J436" s="17">
        <f>SQRT(I436*(100-I436)/(L436-1))</f>
        <v>0.59730259910983352</v>
      </c>
      <c r="K436" s="18">
        <f>100-I436</f>
        <v>3.7512339585389896</v>
      </c>
      <c r="L436" s="1">
        <f>H425</f>
        <v>1013</v>
      </c>
      <c r="M436">
        <v>4</v>
      </c>
      <c r="N436" s="1">
        <v>5826.84</v>
      </c>
      <c r="O436" s="17">
        <f>N436/N437*100</f>
        <v>6.0356649539077791</v>
      </c>
      <c r="P436" s="52">
        <f>((O436*O436*(I436/100)*(K436/100))/(L436-1))</f>
        <v>1.2996878420795165E-3</v>
      </c>
    </row>
    <row r="437" spans="1:40" x14ac:dyDescent="0.3">
      <c r="B437" t="s">
        <v>28</v>
      </c>
      <c r="C437" s="17">
        <f t="shared" ref="C437:H437" si="52">SUM(C432:C436)</f>
        <v>8.1741465424834486E-2</v>
      </c>
      <c r="D437" s="17">
        <f t="shared" si="52"/>
        <v>0.87082083536828248</v>
      </c>
      <c r="E437" s="17">
        <f t="shared" si="52"/>
        <v>62.099813843839449</v>
      </c>
      <c r="F437" s="17">
        <f t="shared" si="52"/>
        <v>30.579120471698154</v>
      </c>
      <c r="G437" s="17">
        <f t="shared" si="52"/>
        <v>6.3685033836692906</v>
      </c>
      <c r="H437" s="18">
        <f t="shared" si="52"/>
        <v>100.00000000000001</v>
      </c>
      <c r="I437" s="13" t="s">
        <v>24</v>
      </c>
      <c r="J437" s="12" t="s">
        <v>29</v>
      </c>
      <c r="N437" s="1">
        <f>SUM(N432:N436)</f>
        <v>96540.15</v>
      </c>
      <c r="O437" s="17">
        <f>SUM(O432:O436)</f>
        <v>100.00000000000001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4.5076069092715738E-3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6.0709555729323864E-2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0.496807637256928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0.51335341723051719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0.18126446918918065</v>
      </c>
      <c r="H438" s="1"/>
      <c r="I438" s="56">
        <f>(C432+D433+E434+F435+G436)/H437</f>
        <v>0.94710542340548254</v>
      </c>
      <c r="J438" s="53">
        <f>SQRT(SUM(P432:P436))/100</f>
        <v>5.2058685942027848E-3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82.674700054119157</v>
      </c>
      <c r="E439" s="17">
        <f>E434/E437*100</f>
        <v>94.824410350143594</v>
      </c>
      <c r="F439" s="17">
        <f>F435/F437*100</f>
        <v>95.535177481711457</v>
      </c>
      <c r="G439" s="17">
        <f>G436/G437*100</f>
        <v>91.218496569064897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7.7071054293622714</v>
      </c>
      <c r="E440" s="18">
        <f>SQRT((E443+E444)/(E437*E437))</f>
        <v>0.64875402537252036</v>
      </c>
      <c r="F440" s="18">
        <f>SQRT((F443+F444)/(F437*F437))</f>
        <v>1.1179929012627066</v>
      </c>
      <c r="G440" s="18">
        <f>SQRT((G443+G444)/(G437*G437))</f>
        <v>2.5945586817591115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17.325299945880843</v>
      </c>
      <c r="E441" s="18">
        <f>100-E439</f>
        <v>5.1755896498564056</v>
      </c>
      <c r="F441" s="18">
        <f>100-F439</f>
        <v>4.4648225182885426</v>
      </c>
      <c r="G441" s="18">
        <f>100-G439</f>
        <v>8.7815034309351034</v>
      </c>
      <c r="AM441" s="78"/>
      <c r="AN441" s="78"/>
    </row>
    <row r="442" spans="1:40" ht="15.6" x14ac:dyDescent="0.35">
      <c r="B442" s="1" t="s">
        <v>25</v>
      </c>
      <c r="C442" s="1">
        <f>C426</f>
        <v>190</v>
      </c>
      <c r="D442" s="1">
        <f>D426</f>
        <v>286</v>
      </c>
      <c r="E442" s="1">
        <f>E426</f>
        <v>798</v>
      </c>
      <c r="F442" s="1">
        <f>F426</f>
        <v>634</v>
      </c>
      <c r="G442" s="1">
        <f>G426</f>
        <v>985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25.54742368245509</v>
      </c>
      <c r="E443" s="18">
        <f>(O434*O434*(100-E439)*(100-E439)*(I434)*(100-I434))/((L434-1)*100)</f>
        <v>254.45281051915592</v>
      </c>
      <c r="F443" s="18">
        <f>(O435*O435*(100-F439)*(100-F439)*(I435)*(100-I435))/((L435-1)*100)</f>
        <v>346.55852883916964</v>
      </c>
      <c r="G443" s="18">
        <f>(O436*O436*(100-G439)*(100-G439)*(I436)*(100-I436))/((L436-1)*100)</f>
        <v>10.022517126339325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19.496915794139198</v>
      </c>
      <c r="E444" s="18">
        <f>E439*E439*(SUM((H432*E432*(1-E421/H421))/(H421-1),(H433*E433*(1-E422/H422))/(H422-1), (H435*E435*(1-E424/H424))/(H424-1),(H436*E436*(1-E425/H425))/(H425-1)))</f>
        <v>1368.6301846353558</v>
      </c>
      <c r="F444" s="18">
        <f>F439*F439*(SUM((H432*F432*(1-F421/H421))/(H421-1),(H433*F433*(1-F422/H422))/(H422-1), (H434*F434*(1-F423/H423))/(H423-1),(H436*F436*(1-F425/H425))/(H425-1)))</f>
        <v>822.20882360062558</v>
      </c>
      <c r="G444" s="18">
        <f>G439*G439*(SUM((H432*G432*(1-G421/H421))/(H421-1),(H433*G433*(1-G422/H422))/(H422-1), (H434*G434*(1-G423/H423))/(H423-1),(H435*G435*(1-G424/H424))/(H424-1)))</f>
        <v>263.00207259466049</v>
      </c>
    </row>
    <row r="445" spans="1:40" x14ac:dyDescent="0.3">
      <c r="AM445" s="78"/>
      <c r="AN445" s="78"/>
    </row>
    <row r="447" spans="1:40" x14ac:dyDescent="0.3">
      <c r="A447" s="348" t="s">
        <v>386</v>
      </c>
      <c r="B447" s="348"/>
      <c r="C447" s="348"/>
      <c r="D447" s="348"/>
      <c r="E447" s="348"/>
      <c r="F447" s="348"/>
      <c r="G447" s="348"/>
      <c r="H447" s="348"/>
      <c r="I447" s="348"/>
      <c r="J447" s="348"/>
      <c r="K447" s="348"/>
      <c r="L447" s="348" t="s">
        <v>88</v>
      </c>
      <c r="M447" s="348"/>
      <c r="N447" s="348"/>
      <c r="O447" s="348"/>
      <c r="P447" s="348"/>
      <c r="AM447" s="78"/>
      <c r="AN447" s="78"/>
    </row>
    <row r="448" spans="1:40" x14ac:dyDescent="0.3">
      <c r="A448" t="s">
        <v>15</v>
      </c>
      <c r="B448" t="s">
        <v>21</v>
      </c>
      <c r="I448" s="1" t="s">
        <v>53</v>
      </c>
      <c r="O448" s="142"/>
      <c r="P448" s="142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51</v>
      </c>
      <c r="O449" s="13"/>
      <c r="P449" s="13"/>
      <c r="AM449" s="78"/>
      <c r="AN449" s="78"/>
    </row>
    <row r="450" spans="1:40" x14ac:dyDescent="0.3">
      <c r="A450" t="s">
        <v>3</v>
      </c>
      <c r="B450" s="13">
        <v>0</v>
      </c>
      <c r="C450" s="26">
        <v>189</v>
      </c>
      <c r="D450" s="3">
        <v>235</v>
      </c>
      <c r="E450" s="3">
        <v>0</v>
      </c>
      <c r="F450" s="3">
        <v>26</v>
      </c>
      <c r="G450" s="4">
        <v>0</v>
      </c>
      <c r="H450" s="1">
        <f>SUM(C450:G450)</f>
        <v>450</v>
      </c>
      <c r="I450" s="10">
        <f>C450/H450</f>
        <v>0.42</v>
      </c>
      <c r="J450" s="11">
        <f>1-I450</f>
        <v>0.58000000000000007</v>
      </c>
      <c r="K450">
        <f>H450-C455</f>
        <v>261</v>
      </c>
      <c r="N450" s="10">
        <f>2*(C456*I450)/(C456+I450)</f>
        <v>0.59154929577464788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58</v>
      </c>
      <c r="E451" s="1">
        <v>6</v>
      </c>
      <c r="F451" s="1">
        <v>0</v>
      </c>
      <c r="G451" s="6">
        <v>0</v>
      </c>
      <c r="H451" s="1">
        <f>SUM(C451:G451)</f>
        <v>64</v>
      </c>
      <c r="I451" s="10">
        <f>D451/H451</f>
        <v>0.90625</v>
      </c>
      <c r="J451" s="11">
        <f>1-I451</f>
        <v>9.375E-2</v>
      </c>
      <c r="K451">
        <f>H451-D455</f>
        <v>-230</v>
      </c>
      <c r="N451" s="10">
        <f>2*(D456*I451)/(D456+I451)</f>
        <v>0.32402234636871508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0</v>
      </c>
      <c r="E452" s="27">
        <v>734</v>
      </c>
      <c r="F452" s="1">
        <v>13</v>
      </c>
      <c r="G452" s="6">
        <v>1</v>
      </c>
      <c r="H452" s="1">
        <f>SUM(C452:G452)</f>
        <v>748</v>
      </c>
      <c r="I452" s="10">
        <f>E452/H452</f>
        <v>0.98128342245989308</v>
      </c>
      <c r="J452" s="11">
        <f>1-I452</f>
        <v>1.8716577540106916E-2</v>
      </c>
      <c r="K452">
        <f>H452-E455</f>
        <v>-47</v>
      </c>
      <c r="N452" s="10">
        <f>2*(E456*I452)/(E456+I452)</f>
        <v>0.95139338950097219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1</v>
      </c>
      <c r="E453" s="1">
        <v>53</v>
      </c>
      <c r="F453" s="27">
        <v>554</v>
      </c>
      <c r="G453" s="6">
        <v>10</v>
      </c>
      <c r="H453" s="1">
        <f>SUM(C453:G453)</f>
        <v>618</v>
      </c>
      <c r="I453" s="10">
        <f>F453/H453</f>
        <v>0.8964401294498382</v>
      </c>
      <c r="J453" s="11">
        <f>1-I453</f>
        <v>0.1035598705501618</v>
      </c>
      <c r="K453">
        <f>H453-F455</f>
        <v>-15</v>
      </c>
      <c r="N453" s="10">
        <f>2*(F456*I453)/(F456+I453)</f>
        <v>0.88569144684252588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0</v>
      </c>
      <c r="E454" s="8">
        <v>2</v>
      </c>
      <c r="F454" s="8">
        <v>40</v>
      </c>
      <c r="G454" s="28">
        <v>971</v>
      </c>
      <c r="H454" s="1">
        <f>SUM(C454:G454)</f>
        <v>1013</v>
      </c>
      <c r="I454" s="10">
        <f>G454/H454</f>
        <v>0.95853899308983215</v>
      </c>
      <c r="J454" s="11">
        <f>1-I454</f>
        <v>4.1461006910167852E-2</v>
      </c>
      <c r="K454">
        <f>H454-G455</f>
        <v>31</v>
      </c>
      <c r="N454" s="10">
        <f>2*(G456*I454)/(G456+I454)</f>
        <v>0.97343358395989965</v>
      </c>
      <c r="O454" s="1"/>
      <c r="P454" s="1"/>
    </row>
    <row r="455" spans="1:40" ht="15.6" x14ac:dyDescent="0.35">
      <c r="B455" s="1" t="s">
        <v>19</v>
      </c>
      <c r="C455" s="1">
        <f>SUM(C450:C454)</f>
        <v>189</v>
      </c>
      <c r="D455" s="1">
        <f>SUM(D450:D454)</f>
        <v>294</v>
      </c>
      <c r="E455" s="1">
        <f>SUM(E450:E454)</f>
        <v>795</v>
      </c>
      <c r="F455" s="1">
        <f>SUM(F450:F454)</f>
        <v>633</v>
      </c>
      <c r="G455" s="1">
        <f>SUM(G450:G454)</f>
        <v>982</v>
      </c>
      <c r="H455" s="1">
        <f>SUM(H449:H454)</f>
        <v>2893</v>
      </c>
      <c r="I455" s="13" t="s">
        <v>12</v>
      </c>
      <c r="N455" s="16"/>
      <c r="O455" s="1"/>
      <c r="P455" s="1"/>
      <c r="AM455" s="78"/>
      <c r="AN455" s="78"/>
    </row>
    <row r="456" spans="1:40" x14ac:dyDescent="0.3">
      <c r="A456" s="1" t="s">
        <v>52</v>
      </c>
      <c r="B456" s="1" t="s">
        <v>2</v>
      </c>
      <c r="C456" s="10">
        <f>C450/C455</f>
        <v>1</v>
      </c>
      <c r="D456" s="10">
        <f>D451/D455</f>
        <v>0.19727891156462585</v>
      </c>
      <c r="E456" s="10">
        <f>E452/E455</f>
        <v>0.92327044025157234</v>
      </c>
      <c r="F456" s="10">
        <f>F453/F455</f>
        <v>0.87519747235387046</v>
      </c>
      <c r="G456" s="10">
        <f>G454/G455</f>
        <v>0.98879837067209775</v>
      </c>
      <c r="H456" s="10"/>
      <c r="I456" s="14">
        <f>(C450+D451+E452+F453+G454)/H455</f>
        <v>0.86622882820601455</v>
      </c>
    </row>
    <row r="457" spans="1:40" x14ac:dyDescent="0.3">
      <c r="B457" s="1" t="s">
        <v>14</v>
      </c>
      <c r="C457" s="11">
        <f>1-C456</f>
        <v>0</v>
      </c>
      <c r="D457" s="11">
        <f>1-D456</f>
        <v>0.80272108843537415</v>
      </c>
      <c r="E457" s="11">
        <f>1-E456</f>
        <v>7.6729559748427656E-2</v>
      </c>
      <c r="F457" s="11">
        <f>1-F456</f>
        <v>0.12480252764612954</v>
      </c>
      <c r="G457" s="11">
        <f>1-G456</f>
        <v>1.1201629327902252E-2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8.0280173585808592E-2</v>
      </c>
      <c r="D461" s="31">
        <f>(D450/$L461)*$O461</f>
        <v>9.9819263453254078E-2</v>
      </c>
      <c r="E461" s="31">
        <f>(E450/$L461)*$O461</f>
        <v>0</v>
      </c>
      <c r="F461" s="31">
        <f>(F450/$L461)*$O461</f>
        <v>1.1043833403338749E-2</v>
      </c>
      <c r="G461" s="32">
        <f>(G450/$L461)*$O461</f>
        <v>0</v>
      </c>
      <c r="H461" s="17">
        <f>SUM(C461:G461)</f>
        <v>0.19114327044240143</v>
      </c>
      <c r="I461" s="17">
        <f>C461/H461*100</f>
        <v>42</v>
      </c>
      <c r="J461" s="17">
        <f>SQRT(I461*(100-I461)/(L461-1))</f>
        <v>2.3292466067402859</v>
      </c>
      <c r="K461" s="18">
        <f>100-I461</f>
        <v>58</v>
      </c>
      <c r="L461" s="1">
        <f>H450</f>
        <v>450</v>
      </c>
      <c r="M461">
        <v>0</v>
      </c>
      <c r="N461" s="1">
        <v>184.53</v>
      </c>
      <c r="O461" s="17">
        <f>N461/N466*100</f>
        <v>0.19114327044240143</v>
      </c>
      <c r="P461" s="52">
        <f>((O461*O461*(I461/100)*(K461/100))/(L461-1))</f>
        <v>1.9822068284872126E-5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53">(C451/$L462)*$O462</f>
        <v>0</v>
      </c>
      <c r="D462" s="34">
        <f t="shared" si="53"/>
        <v>0.74497501816601697</v>
      </c>
      <c r="E462" s="19">
        <f t="shared" si="53"/>
        <v>7.706638118958796E-2</v>
      </c>
      <c r="F462" s="18">
        <f t="shared" si="53"/>
        <v>0</v>
      </c>
      <c r="G462" s="20">
        <f t="shared" si="53"/>
        <v>0</v>
      </c>
      <c r="H462" s="17">
        <f>SUM(C462:G462)</f>
        <v>0.82204139935560494</v>
      </c>
      <c r="I462" s="17">
        <f>D462/H462*100</f>
        <v>90.625</v>
      </c>
      <c r="J462" s="17">
        <f>SQRT(I462*(100-I462)/(L462-1))</f>
        <v>3.6723103212062695</v>
      </c>
      <c r="K462" s="18">
        <f>100-I462</f>
        <v>9.375</v>
      </c>
      <c r="L462" s="1">
        <f>H451</f>
        <v>64</v>
      </c>
      <c r="M462">
        <v>1</v>
      </c>
      <c r="N462" s="1">
        <v>793.6</v>
      </c>
      <c r="O462" s="17">
        <f>N462/N466*100</f>
        <v>0.82204139935560494</v>
      </c>
      <c r="P462" s="52">
        <f>((O462*O462*(I462/100)*(K462/100))/(L462-1))</f>
        <v>9.1130997978892828E-4</v>
      </c>
    </row>
    <row r="463" spans="1:40" x14ac:dyDescent="0.3">
      <c r="A463" t="s">
        <v>5</v>
      </c>
      <c r="B463" s="13">
        <v>2</v>
      </c>
      <c r="C463" s="33">
        <f t="shared" si="53"/>
        <v>0</v>
      </c>
      <c r="D463" s="19">
        <f t="shared" si="53"/>
        <v>0</v>
      </c>
      <c r="E463" s="34">
        <f t="shared" si="53"/>
        <v>58.731246258985635</v>
      </c>
      <c r="F463" s="19">
        <f t="shared" si="53"/>
        <v>1.0401991844234513</v>
      </c>
      <c r="G463" s="20">
        <f t="shared" si="53"/>
        <v>8.0015321878727022E-2</v>
      </c>
      <c r="H463" s="17">
        <f>SUM(C463:G463)</f>
        <v>59.851460765287811</v>
      </c>
      <c r="I463" s="17">
        <f>E463/H463*100</f>
        <v>98.128342245989302</v>
      </c>
      <c r="J463" s="17">
        <f>SQRT(I463*(100-I463)/(L463-1))</f>
        <v>0.49584980756665031</v>
      </c>
      <c r="K463" s="18">
        <f>100-I463</f>
        <v>1.8716577540106982</v>
      </c>
      <c r="L463" s="1">
        <f>H452</f>
        <v>748</v>
      </c>
      <c r="M463">
        <v>2</v>
      </c>
      <c r="N463" s="1">
        <v>57780.69</v>
      </c>
      <c r="O463" s="17">
        <f>N463/N466*100</f>
        <v>59.851460765287811</v>
      </c>
      <c r="P463" s="52">
        <f>((O463*O463*(I463/100)*(K463/100))/(L463-1))</f>
        <v>8.8074423068971008E-2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53"/>
        <v>0</v>
      </c>
      <c r="D464" s="19">
        <f t="shared" si="53"/>
        <v>5.360700346270237E-2</v>
      </c>
      <c r="E464" s="19">
        <f t="shared" si="53"/>
        <v>2.8411711835232252</v>
      </c>
      <c r="F464" s="34">
        <f t="shared" si="53"/>
        <v>29.698279918337111</v>
      </c>
      <c r="G464" s="20">
        <f t="shared" si="53"/>
        <v>0.53607003462702363</v>
      </c>
      <c r="H464" s="17">
        <f>SUM(C464:G464)</f>
        <v>33.129128139950062</v>
      </c>
      <c r="I464" s="17">
        <f>F464/H464*100</f>
        <v>89.644012944983814</v>
      </c>
      <c r="J464" s="17">
        <f>SQRT(I464*(100-I464)/(L464-1))</f>
        <v>1.2266306499540665</v>
      </c>
      <c r="K464" s="18">
        <f>100-I464</f>
        <v>10.355987055016186</v>
      </c>
      <c r="L464" s="1">
        <f>H453</f>
        <v>618</v>
      </c>
      <c r="M464">
        <v>3</v>
      </c>
      <c r="N464" s="1">
        <v>31982.91</v>
      </c>
      <c r="O464" s="17">
        <f>N464/N466*100</f>
        <v>33.129128139950062</v>
      </c>
      <c r="P464" s="52">
        <f>((O464*O464*(I464/100)*(K464/100))/(L464-1))</f>
        <v>0.16513823475330719</v>
      </c>
    </row>
    <row r="465" spans="1:40" x14ac:dyDescent="0.3">
      <c r="A465" t="s">
        <v>7</v>
      </c>
      <c r="B465" s="13">
        <v>4</v>
      </c>
      <c r="C465" s="35">
        <f t="shared" si="53"/>
        <v>0</v>
      </c>
      <c r="D465" s="36">
        <f t="shared" si="53"/>
        <v>0</v>
      </c>
      <c r="E465" s="21">
        <f t="shared" si="53"/>
        <v>1.1858295014736666E-2</v>
      </c>
      <c r="F465" s="21">
        <f t="shared" si="53"/>
        <v>0.23716590029473333</v>
      </c>
      <c r="G465" s="37">
        <f t="shared" si="53"/>
        <v>5.7572022296546512</v>
      </c>
      <c r="H465" s="17">
        <f>SUM(C465:G465)</f>
        <v>6.0062264249641215</v>
      </c>
      <c r="I465" s="17">
        <f>G465/H465*100</f>
        <v>95.853899308983216</v>
      </c>
      <c r="J465" s="17">
        <f>SQRT(I465*(100-I465)/(L465-1))</f>
        <v>0.62666372881591514</v>
      </c>
      <c r="K465" s="18">
        <f>100-I465</f>
        <v>4.1461006910167839</v>
      </c>
      <c r="L465" s="1">
        <f>H454</f>
        <v>1013</v>
      </c>
      <c r="M465">
        <v>4</v>
      </c>
      <c r="N465" s="1">
        <v>5798.42</v>
      </c>
      <c r="O465" s="17">
        <f>N465/N466*100</f>
        <v>6.0062264249641215</v>
      </c>
      <c r="P465" s="52">
        <f>((O465*O465*(I465/100)*(K465/100))/(L465-1))</f>
        <v>1.4166824629186132E-3</v>
      </c>
      <c r="AM465" s="78"/>
      <c r="AN465" s="78"/>
    </row>
    <row r="466" spans="1:40" x14ac:dyDescent="0.3">
      <c r="B466" t="s">
        <v>28</v>
      </c>
      <c r="C466" s="17">
        <f t="shared" ref="C466:H466" si="54">SUM(C461:C465)</f>
        <v>8.0280173585808592E-2</v>
      </c>
      <c r="D466" s="17">
        <f t="shared" si="54"/>
        <v>0.89840128508197348</v>
      </c>
      <c r="E466" s="17">
        <f t="shared" si="54"/>
        <v>61.661342118713186</v>
      </c>
      <c r="F466" s="17">
        <f t="shared" si="54"/>
        <v>30.986688836458633</v>
      </c>
      <c r="G466" s="17">
        <f t="shared" si="54"/>
        <v>6.3732875861604015</v>
      </c>
      <c r="H466" s="18">
        <f t="shared" si="54"/>
        <v>100</v>
      </c>
      <c r="I466" s="13" t="s">
        <v>24</v>
      </c>
      <c r="J466" s="12" t="s">
        <v>29</v>
      </c>
      <c r="N466" s="1">
        <f>SUM(N461:N465)</f>
        <v>96540.15</v>
      </c>
      <c r="O466" s="17">
        <f>SUM(O461:O465)</f>
        <v>100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4.4472485026406019E-3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6.1533642089450058E-2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0.47767006639842263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0.49800746565988041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0.18995073761514006</v>
      </c>
      <c r="H467" s="1"/>
      <c r="I467" s="14">
        <f>(C461+D462+E463+F464+G465)/H466</f>
        <v>0.95011983598729233</v>
      </c>
      <c r="J467" s="53">
        <f>SQRT(SUM(P461:P465))/100</f>
        <v>5.0552989262087223E-3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82.922301040346653</v>
      </c>
      <c r="E468" s="17">
        <f>E463/E466*100</f>
        <v>95.248082900812634</v>
      </c>
      <c r="F468" s="17">
        <f>F464/F466*100</f>
        <v>95.84205681051796</v>
      </c>
      <c r="G468" s="17">
        <f>G465/G466*100</f>
        <v>90.333319371252287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7.5884306729238959</v>
      </c>
      <c r="E469" s="18">
        <f>SQRT((E472+E473)/(E466*E466))</f>
        <v>0.62244527393463478</v>
      </c>
      <c r="F469" s="18">
        <f>SQRT((F472+F473)/(F466*F466))</f>
        <v>1.0458393546870768</v>
      </c>
      <c r="G469" s="18">
        <f>SQRT((G472+G473)/(G466*G466))</f>
        <v>2.7020472059477885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17.077698959653347</v>
      </c>
      <c r="E470" s="18">
        <f>100-E468</f>
        <v>4.7519170991873665</v>
      </c>
      <c r="F470" s="18">
        <f>100-F468</f>
        <v>4.1579431894820402</v>
      </c>
      <c r="G470" s="18">
        <f>100-G468</f>
        <v>9.6666806287477129</v>
      </c>
    </row>
    <row r="471" spans="1:40" ht="15.6" x14ac:dyDescent="0.35">
      <c r="B471" s="1" t="s">
        <v>25</v>
      </c>
      <c r="C471" s="1">
        <f>C455</f>
        <v>189</v>
      </c>
      <c r="D471" s="1">
        <f>D455</f>
        <v>294</v>
      </c>
      <c r="E471" s="1">
        <f>E455</f>
        <v>795</v>
      </c>
      <c r="F471" s="1">
        <f>F455</f>
        <v>633</v>
      </c>
      <c r="G471" s="1">
        <f>G455</f>
        <v>982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26.578155232424237</v>
      </c>
      <c r="E472" s="18">
        <f>(O463*O463*(100-E468)*(100-E468)*(I463)*(100-I463))/((L463-1)*100)</f>
        <v>198.87835445373673</v>
      </c>
      <c r="F472" s="18">
        <f>(O464*O464*(100-F468)*(100-F468)*(I464)*(100-I464))/((L464-1)*100)</f>
        <v>285.49909789152258</v>
      </c>
      <c r="G472" s="18">
        <f>(O465*O465*(100-G468)*(100-G468)*(I465)*(100-I465))/((L465-1)*100)</f>
        <v>13.238148811204361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19.899549283934203</v>
      </c>
      <c r="E473" s="18">
        <f>E468*E468*(SUM((H461*E461*(1-E450/H450))/(H450-1),(H462*E462*(1-E451/H451))/(H451-1), (H464*E464*(1-E453/H453))/(H453-1),(H465*E465*(1-E454/H454))/(H454-1)))</f>
        <v>1274.2082975092535</v>
      </c>
      <c r="F473" s="18">
        <f>F468*F468*(SUM((H461*F461*(1-F450/H450))/(H450-1),(H462*F462*(1-F451/H451))/(H451-1), (H463*F463*(1-F452/H452))/(H452-1),(H465*F465*(1-F454/H454))/(H454-1)))</f>
        <v>764.72094544780532</v>
      </c>
      <c r="G473" s="18">
        <f>G468*G468*(SUM((H461*G461*(1-G450/H450))/(H450-1),(H462*G462*(1-G451/H451))/(H451-1), (H463*G463*(1-G452/H452))/(H452-1),(H464*G464*(1-G453/H453))/(H453-1)))</f>
        <v>283.32207167110323</v>
      </c>
      <c r="AM473" s="78"/>
      <c r="AN473" s="78"/>
    </row>
    <row r="475" spans="1:40" x14ac:dyDescent="0.3">
      <c r="AM475" s="78"/>
      <c r="AN475" s="78"/>
    </row>
    <row r="476" spans="1:40" x14ac:dyDescent="0.3">
      <c r="A476" s="348" t="s">
        <v>386</v>
      </c>
      <c r="B476" s="348"/>
      <c r="C476" s="348"/>
      <c r="D476" s="348"/>
      <c r="E476" s="348"/>
      <c r="F476" s="348"/>
      <c r="G476" s="348"/>
      <c r="H476" s="348"/>
      <c r="I476" s="348"/>
      <c r="J476" s="348"/>
      <c r="K476" s="348"/>
      <c r="L476" s="348" t="s">
        <v>89</v>
      </c>
      <c r="M476" s="348"/>
      <c r="N476" s="348"/>
      <c r="O476" s="348"/>
      <c r="P476" s="348"/>
    </row>
    <row r="477" spans="1:40" x14ac:dyDescent="0.3">
      <c r="A477" t="s">
        <v>15</v>
      </c>
      <c r="B477" t="s">
        <v>21</v>
      </c>
      <c r="I477" s="1" t="s">
        <v>53</v>
      </c>
      <c r="O477" s="142"/>
      <c r="P477" s="142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51</v>
      </c>
      <c r="O478" s="13"/>
      <c r="P478" s="13"/>
    </row>
    <row r="479" spans="1:40" x14ac:dyDescent="0.3">
      <c r="A479" t="s">
        <v>3</v>
      </c>
      <c r="B479" s="13">
        <v>0</v>
      </c>
      <c r="C479" s="26">
        <v>249</v>
      </c>
      <c r="D479" s="3">
        <v>163</v>
      </c>
      <c r="E479" s="3">
        <v>0</v>
      </c>
      <c r="F479" s="3">
        <v>25</v>
      </c>
      <c r="G479" s="4">
        <v>13</v>
      </c>
      <c r="H479" s="1">
        <f>SUM(C479:G479)</f>
        <v>450</v>
      </c>
      <c r="I479" s="10">
        <f>C479/H479</f>
        <v>0.55333333333333334</v>
      </c>
      <c r="J479" s="11">
        <f>1-I479</f>
        <v>0.44666666666666666</v>
      </c>
      <c r="K479">
        <f>H479-C484</f>
        <v>201</v>
      </c>
      <c r="N479" s="10">
        <f>2*(C485*I479)/(C485+I479)</f>
        <v>0.71244635193133055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59</v>
      </c>
      <c r="E480" s="1">
        <v>5</v>
      </c>
      <c r="F480" s="1">
        <v>0</v>
      </c>
      <c r="G480" s="6">
        <v>0</v>
      </c>
      <c r="H480" s="1">
        <f>SUM(C480:G480)</f>
        <v>64</v>
      </c>
      <c r="I480" s="10">
        <f>D480/H480</f>
        <v>0.921875</v>
      </c>
      <c r="J480" s="11">
        <f>1-I480</f>
        <v>7.8125E-2</v>
      </c>
      <c r="K480">
        <f>H480-D484</f>
        <v>-159</v>
      </c>
      <c r="N480" s="10">
        <f>2*(D485*I480)/(D485+I480)</f>
        <v>0.41114982578397208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0</v>
      </c>
      <c r="E481" s="27">
        <v>733</v>
      </c>
      <c r="F481" s="1">
        <v>15</v>
      </c>
      <c r="G481" s="6">
        <v>0</v>
      </c>
      <c r="H481" s="1">
        <f>SUM(C481:G481)</f>
        <v>748</v>
      </c>
      <c r="I481" s="10">
        <f>E481/H481</f>
        <v>0.97994652406417115</v>
      </c>
      <c r="J481" s="11">
        <f>1-I481</f>
        <v>2.0053475935828846E-2</v>
      </c>
      <c r="K481">
        <f>H481-E484</f>
        <v>-50</v>
      </c>
      <c r="N481" s="10">
        <f>2*(E485*I481)/(E485+I481)</f>
        <v>0.94825355756791729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1</v>
      </c>
      <c r="E482" s="1">
        <v>57</v>
      </c>
      <c r="F482" s="27">
        <v>551</v>
      </c>
      <c r="G482" s="6">
        <v>9</v>
      </c>
      <c r="H482" s="1">
        <f>SUM(C482:G482)</f>
        <v>618</v>
      </c>
      <c r="I482" s="10">
        <f>F482/H482</f>
        <v>0.89158576051779936</v>
      </c>
      <c r="J482" s="11">
        <f>1-I482</f>
        <v>0.10841423948220064</v>
      </c>
      <c r="K482">
        <f>H482-F484</f>
        <v>-21</v>
      </c>
      <c r="N482" s="10">
        <f>2*(F485*I482)/(F485+I482)</f>
        <v>0.87669053301511546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0</v>
      </c>
      <c r="E483" s="8">
        <v>3</v>
      </c>
      <c r="F483" s="8">
        <v>48</v>
      </c>
      <c r="G483" s="28">
        <v>962</v>
      </c>
      <c r="H483" s="1">
        <f>SUM(C483:G483)</f>
        <v>1013</v>
      </c>
      <c r="I483" s="10">
        <f>G483/H483</f>
        <v>0.94965449160908189</v>
      </c>
      <c r="J483" s="11">
        <f>1-I483</f>
        <v>5.0345508390918114E-2</v>
      </c>
      <c r="K483">
        <f>H483-G484</f>
        <v>29</v>
      </c>
      <c r="N483" s="10">
        <f>2*(G485*I483)/(G485+I483)</f>
        <v>0.96344516775162736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249</v>
      </c>
      <c r="D484" s="1">
        <f>SUM(D479:D483)</f>
        <v>223</v>
      </c>
      <c r="E484" s="1">
        <f>SUM(E479:E483)</f>
        <v>798</v>
      </c>
      <c r="F484" s="1">
        <f>SUM(F479:F483)</f>
        <v>639</v>
      </c>
      <c r="G484" s="1">
        <f>SUM(G479:G483)</f>
        <v>984</v>
      </c>
      <c r="H484" s="1">
        <f>SUM(H478:H483)</f>
        <v>2893</v>
      </c>
      <c r="I484" s="13" t="s">
        <v>12</v>
      </c>
      <c r="N484" s="16"/>
      <c r="O484" s="1"/>
      <c r="P484" s="1"/>
    </row>
    <row r="485" spans="1:40" x14ac:dyDescent="0.3">
      <c r="A485" s="1" t="s">
        <v>52</v>
      </c>
      <c r="B485" s="1" t="s">
        <v>2</v>
      </c>
      <c r="C485" s="10">
        <f>C479/C484</f>
        <v>1</v>
      </c>
      <c r="D485" s="10">
        <f>D480/D484</f>
        <v>0.26457399103139012</v>
      </c>
      <c r="E485" s="10">
        <f>E481/E484</f>
        <v>0.918546365914787</v>
      </c>
      <c r="F485" s="10">
        <f>F482/F484</f>
        <v>0.86228482003129892</v>
      </c>
      <c r="G485" s="10">
        <f>G483/G484</f>
        <v>0.97764227642276424</v>
      </c>
      <c r="H485" s="10"/>
      <c r="I485" s="14">
        <f>(C479+D480+E481+F482+G483)/H484</f>
        <v>0.88282060145178021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0.73542600896860988</v>
      </c>
      <c r="E486" s="11">
        <f>1-E485</f>
        <v>8.1453634085213E-2</v>
      </c>
      <c r="F486" s="11">
        <f>1-F485</f>
        <v>0.13771517996870108</v>
      </c>
      <c r="G486" s="11">
        <f>1-G485</f>
        <v>2.2357723577235755E-2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0.11568166726330956</v>
      </c>
      <c r="D490" s="31">
        <f>(D479/$L490)*$O490</f>
        <v>7.5727356481604252E-2</v>
      </c>
      <c r="E490" s="31">
        <f>(E479/$L490)*$O490</f>
        <v>0</v>
      </c>
      <c r="F490" s="31">
        <f>(F479/$L490)*$O490</f>
        <v>1.1614625227239914E-2</v>
      </c>
      <c r="G490" s="32">
        <f>(G479/$L490)*$O490</f>
        <v>6.0396051181647557E-3</v>
      </c>
      <c r="H490" s="17">
        <f>SUM(C490:G490)</f>
        <v>0.20906325409031848</v>
      </c>
      <c r="I490" s="17">
        <f>C490/H490*100</f>
        <v>55.333333333333336</v>
      </c>
      <c r="J490" s="17">
        <f>SQRT(I490*(100-I490)/(L490-1))</f>
        <v>2.3461837256988161</v>
      </c>
      <c r="K490" s="18">
        <f>100-I490</f>
        <v>44.666666666666664</v>
      </c>
      <c r="L490" s="1">
        <f>H479</f>
        <v>450</v>
      </c>
      <c r="M490">
        <v>0</v>
      </c>
      <c r="N490" s="1">
        <v>201.83</v>
      </c>
      <c r="O490" s="17">
        <f>N490/N495*100</f>
        <v>0.20906325409031848</v>
      </c>
      <c r="P490" s="52">
        <f>((O490*O490*(I490/100)*(K490/100))/(L490-1))</f>
        <v>2.4059103910561018E-5</v>
      </c>
    </row>
    <row r="491" spans="1:40" x14ac:dyDescent="0.3">
      <c r="A491" t="s">
        <v>4</v>
      </c>
      <c r="B491" s="13">
        <v>1</v>
      </c>
      <c r="C491" s="33">
        <f t="shared" ref="C491:G494" si="55">(C480/$L491)*$O491</f>
        <v>0</v>
      </c>
      <c r="D491" s="34">
        <f t="shared" si="55"/>
        <v>0.78444232431352912</v>
      </c>
      <c r="E491" s="19">
        <f t="shared" si="55"/>
        <v>6.6478163077417718E-2</v>
      </c>
      <c r="F491" s="18">
        <f t="shared" si="55"/>
        <v>0</v>
      </c>
      <c r="G491" s="20">
        <f t="shared" si="55"/>
        <v>0</v>
      </c>
      <c r="H491" s="17">
        <f>SUM(C491:G491)</f>
        <v>0.85092048739094683</v>
      </c>
      <c r="I491" s="17">
        <f>D491/H491*100</f>
        <v>92.1875</v>
      </c>
      <c r="J491" s="17">
        <f>SQRT(I491*(100-I491)/(L491-1))</f>
        <v>3.3811213593755247</v>
      </c>
      <c r="K491" s="18">
        <f>100-I491</f>
        <v>7.8125</v>
      </c>
      <c r="L491" s="1">
        <f>H480</f>
        <v>64</v>
      </c>
      <c r="M491">
        <v>1</v>
      </c>
      <c r="N491" s="1">
        <v>821.48</v>
      </c>
      <c r="O491" s="17">
        <f>N491/N495*100</f>
        <v>0.85092048739094683</v>
      </c>
      <c r="P491" s="52">
        <f>((O491*O491*(I491/100)*(K491/100))/(L491-1))</f>
        <v>8.2775055175465697E-4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55"/>
        <v>0</v>
      </c>
      <c r="D492" s="19">
        <f t="shared" si="55"/>
        <v>0</v>
      </c>
      <c r="E492" s="34">
        <f t="shared" si="55"/>
        <v>58.69454788678253</v>
      </c>
      <c r="F492" s="19">
        <f t="shared" si="55"/>
        <v>1.2011162596203793</v>
      </c>
      <c r="G492" s="20">
        <f t="shared" si="55"/>
        <v>0</v>
      </c>
      <c r="H492" s="17">
        <f>SUM(C492:G492)</f>
        <v>59.895664146402908</v>
      </c>
      <c r="I492" s="17">
        <f>E492/H492*100</f>
        <v>97.994652406417117</v>
      </c>
      <c r="J492" s="17">
        <f>SQRT(I492*(100-I492)/(L492-1))</f>
        <v>0.5129035654513856</v>
      </c>
      <c r="K492" s="18">
        <f>100-I492</f>
        <v>2.0053475935828828</v>
      </c>
      <c r="L492" s="1">
        <f>H481</f>
        <v>748</v>
      </c>
      <c r="M492">
        <v>2</v>
      </c>
      <c r="N492" s="1">
        <v>57823.37</v>
      </c>
      <c r="O492" s="17">
        <f>N492/N495*100</f>
        <v>59.895664146402908</v>
      </c>
      <c r="P492" s="52">
        <f>((O492*O492*(I492/100)*(K492/100))/(L492-1))</f>
        <v>9.4376138979760757E-2</v>
      </c>
    </row>
    <row r="493" spans="1:40" x14ac:dyDescent="0.3">
      <c r="A493" t="s">
        <v>6</v>
      </c>
      <c r="B493" s="13">
        <v>3</v>
      </c>
      <c r="C493" s="33">
        <f t="shared" si="55"/>
        <v>0</v>
      </c>
      <c r="D493" s="19">
        <f t="shared" si="55"/>
        <v>5.3914648604156006E-2</v>
      </c>
      <c r="E493" s="19">
        <f t="shared" si="55"/>
        <v>3.0731349704368922</v>
      </c>
      <c r="F493" s="34">
        <f t="shared" si="55"/>
        <v>29.706971380889957</v>
      </c>
      <c r="G493" s="20">
        <f t="shared" si="55"/>
        <v>0.48523183743740406</v>
      </c>
      <c r="H493" s="17">
        <f>SUM(C493:G493)</f>
        <v>33.31925283736841</v>
      </c>
      <c r="I493" s="17">
        <f>F493/H493*100</f>
        <v>89.158576051779932</v>
      </c>
      <c r="J493" s="17">
        <f>SQRT(I493*(100-I493)/(L493-1))</f>
        <v>1.2516478095762908</v>
      </c>
      <c r="K493" s="18">
        <f>100-I493</f>
        <v>10.841423948220068</v>
      </c>
      <c r="L493" s="1">
        <f>H482</f>
        <v>618</v>
      </c>
      <c r="M493">
        <v>3</v>
      </c>
      <c r="N493" s="1">
        <v>32166.46</v>
      </c>
      <c r="O493" s="17">
        <f>N493/N495*100</f>
        <v>33.31925283736841</v>
      </c>
      <c r="P493" s="52">
        <f>((O493*O493*(I493/100)*(K493/100))/(L493-1))</f>
        <v>0.17392210996324944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55"/>
        <v>0</v>
      </c>
      <c r="D494" s="36">
        <f t="shared" si="55"/>
        <v>0</v>
      </c>
      <c r="E494" s="21">
        <f t="shared" si="55"/>
        <v>1.6954884327978544E-2</v>
      </c>
      <c r="F494" s="21">
        <f t="shared" si="55"/>
        <v>0.2712781492476567</v>
      </c>
      <c r="G494" s="37">
        <f t="shared" si="55"/>
        <v>5.4368662411717859</v>
      </c>
      <c r="H494" s="17">
        <f>SUM(C494:G494)</f>
        <v>5.7250992747474214</v>
      </c>
      <c r="I494" s="17">
        <f>G494/H494*100</f>
        <v>94.965449160908193</v>
      </c>
      <c r="J494" s="17">
        <f>SQRT(I494*(100-I494)/(L494-1))</f>
        <v>0.68734206361088812</v>
      </c>
      <c r="K494" s="18">
        <f>100-I494</f>
        <v>5.034550839091807</v>
      </c>
      <c r="L494" s="1">
        <f>H483</f>
        <v>1013</v>
      </c>
      <c r="M494">
        <v>4</v>
      </c>
      <c r="N494" s="1">
        <v>5527.02</v>
      </c>
      <c r="O494" s="17">
        <f>N494/N495*100</f>
        <v>5.7250992747474214</v>
      </c>
      <c r="P494" s="52">
        <f>((O494*O494*(I494/100)*(K494/100))/(L494-1))</f>
        <v>1.548502420788444E-3</v>
      </c>
    </row>
    <row r="495" spans="1:40" x14ac:dyDescent="0.3">
      <c r="B495" t="s">
        <v>28</v>
      </c>
      <c r="C495" s="17">
        <f t="shared" ref="C495:H495" si="56">SUM(C490:C494)</f>
        <v>0.11568166726330956</v>
      </c>
      <c r="D495" s="17">
        <f t="shared" si="56"/>
        <v>0.9140843293992893</v>
      </c>
      <c r="E495" s="17">
        <f t="shared" si="56"/>
        <v>61.85111590462482</v>
      </c>
      <c r="F495" s="17">
        <f t="shared" si="56"/>
        <v>31.190980414985233</v>
      </c>
      <c r="G495" s="17">
        <f t="shared" si="56"/>
        <v>5.9281376837273543</v>
      </c>
      <c r="H495" s="18">
        <f t="shared" si="56"/>
        <v>100.00000000000001</v>
      </c>
      <c r="I495" s="13" t="s">
        <v>24</v>
      </c>
      <c r="J495" s="12" t="s">
        <v>29</v>
      </c>
      <c r="N495" s="1">
        <f>SUM(N490:N494)</f>
        <v>96540.160000000003</v>
      </c>
      <c r="O495" s="17">
        <f>SUM(O490:O494)</f>
        <v>100.00000000000001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4.899555003794142E-3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6.1150150512153958E-2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0.49554566453622617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0.51899543569455198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0.16531731819856527</v>
      </c>
      <c r="H496" s="1"/>
      <c r="I496" s="14">
        <f>(C490+D491+E492+F493+G494)/H495</f>
        <v>0.94738509500421109</v>
      </c>
      <c r="J496" s="53">
        <f>SQRT(SUM(P490:P494))/100</f>
        <v>5.2028699870308491E-3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85.817281741285584</v>
      </c>
      <c r="E497" s="17">
        <f>E492/E495*100</f>
        <v>94.896505953571221</v>
      </c>
      <c r="F497" s="17">
        <f>F493/F495*100</f>
        <v>95.242185355025569</v>
      </c>
      <c r="G497" s="17">
        <f>G494/G495*100</f>
        <v>91.712887440112922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6.7635839830889246</v>
      </c>
      <c r="E498" s="18">
        <f>SQRT((E501+E502)/(E495*E495))</f>
        <v>0.64888727862639439</v>
      </c>
      <c r="F498" s="18">
        <f>SQRT((F501+F502)/(F495*F495))</f>
        <v>1.1394379166866169</v>
      </c>
      <c r="G498" s="18">
        <f>SQRT((G501+G502)/(G495*G495))</f>
        <v>2.5462919274342832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14.182718258714416</v>
      </c>
      <c r="E499" s="18">
        <f>100-E497</f>
        <v>5.1034940464287786</v>
      </c>
      <c r="F499" s="18">
        <f>100-F497</f>
        <v>4.757814644974431</v>
      </c>
      <c r="G499" s="18">
        <f>100-G497</f>
        <v>8.2871125598870776</v>
      </c>
      <c r="AM499" s="78"/>
      <c r="AN499" s="78"/>
    </row>
    <row r="500" spans="1:40" ht="15.6" x14ac:dyDescent="0.35">
      <c r="B500" s="1" t="s">
        <v>25</v>
      </c>
      <c r="C500" s="1">
        <f>C484</f>
        <v>249</v>
      </c>
      <c r="D500" s="1">
        <f>D484</f>
        <v>223</v>
      </c>
      <c r="E500" s="1">
        <f>E484</f>
        <v>798</v>
      </c>
      <c r="F500" s="1">
        <f>F484</f>
        <v>639</v>
      </c>
      <c r="G500" s="1">
        <f>G484</f>
        <v>984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16.650160729749732</v>
      </c>
      <c r="E501" s="18">
        <f>(O492*O492*(100-E497)*(100-E497)*(I492)*(100-I492))/((L492-1)*100)</f>
        <v>245.80880240774144</v>
      </c>
      <c r="F501" s="18">
        <f>(O493*O493*(100-F497)*(100-F497)*(I493)*(100-I493))/((L493-1)*100)</f>
        <v>393.70400528931953</v>
      </c>
      <c r="G501" s="18">
        <f>(O494*O494*(100-G497)*(100-G497)*(I494)*(100-I494))/((L494-1)*100)</f>
        <v>10.634531549813383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21.572974011927947</v>
      </c>
      <c r="E502" s="18">
        <f>E497*E497*(SUM((H490*E490*(1-E479/H479))/(H479-1),(H491*E491*(1-E480/H480))/(H480-1), (H493*E493*(1-E482/H482))/(H482-1),(H494*E494*(1-E483/H483))/(H483-1)))</f>
        <v>1364.9614439135712</v>
      </c>
      <c r="F502" s="18">
        <f>F497*F497*(SUM((H490*F490*(1-F479/H479))/(H479-1),(H491*F491*(1-F480/H480))/(H480-1), (H492*F492*(1-F481/H481))/(H481-1),(H494*F494*(1-F483/H483))/(H483-1)))</f>
        <v>869.40079739059092</v>
      </c>
      <c r="G502" s="18">
        <f>G497*G497*(SUM((H490*G490*(1-G479/H479))/(H479-1),(H491*G491*(1-G480/H480))/(H480-1), (H492*G492*(1-G481/H481))/(H481-1),(H493*G493*(1-G482/H482))/(H482-1)))</f>
        <v>217.21752350177695</v>
      </c>
    </row>
    <row r="503" spans="1:40" x14ac:dyDescent="0.3">
      <c r="AM503" s="78"/>
      <c r="AN503" s="78"/>
    </row>
    <row r="505" spans="1:40" x14ac:dyDescent="0.3">
      <c r="A505" s="348" t="s">
        <v>386</v>
      </c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 t="s">
        <v>90</v>
      </c>
      <c r="M505" s="348"/>
      <c r="N505" s="348"/>
      <c r="O505" s="348"/>
      <c r="P505" s="348"/>
      <c r="AM505" s="78"/>
      <c r="AN505" s="78"/>
    </row>
    <row r="506" spans="1:40" x14ac:dyDescent="0.3">
      <c r="A506" t="s">
        <v>15</v>
      </c>
      <c r="B506" t="s">
        <v>21</v>
      </c>
      <c r="I506" s="1" t="s">
        <v>53</v>
      </c>
      <c r="O506" s="142"/>
      <c r="P506" s="142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51</v>
      </c>
      <c r="O507" s="13"/>
      <c r="P507" s="13"/>
      <c r="AM507" s="78"/>
      <c r="AN507" s="78"/>
    </row>
    <row r="508" spans="1:40" x14ac:dyDescent="0.3">
      <c r="A508" t="s">
        <v>3</v>
      </c>
      <c r="B508" s="13">
        <v>0</v>
      </c>
      <c r="C508" s="26">
        <v>213</v>
      </c>
      <c r="D508" s="3">
        <v>35</v>
      </c>
      <c r="E508" s="3">
        <v>0</v>
      </c>
      <c r="F508" s="3">
        <v>191</v>
      </c>
      <c r="G508" s="4">
        <v>11</v>
      </c>
      <c r="H508" s="1">
        <f>SUM(C508:G508)</f>
        <v>450</v>
      </c>
      <c r="I508" s="10">
        <f>C508/H508</f>
        <v>0.47333333333333333</v>
      </c>
      <c r="J508" s="11">
        <f>1-I508</f>
        <v>0.52666666666666662</v>
      </c>
      <c r="K508">
        <f>H508-C513</f>
        <v>237</v>
      </c>
      <c r="N508" s="10">
        <f>2*(C514*I508)/(C514+I508)</f>
        <v>0.64253393665158365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58</v>
      </c>
      <c r="E509" s="1">
        <v>6</v>
      </c>
      <c r="F509" s="1">
        <v>0</v>
      </c>
      <c r="G509" s="6">
        <v>0</v>
      </c>
      <c r="H509" s="1">
        <f>SUM(C509:G509)</f>
        <v>64</v>
      </c>
      <c r="I509" s="10">
        <f>D509/H509</f>
        <v>0.90625</v>
      </c>
      <c r="J509" s="11">
        <f>1-I509</f>
        <v>9.375E-2</v>
      </c>
      <c r="K509">
        <f>H509-D513</f>
        <v>-29</v>
      </c>
      <c r="N509" s="10">
        <f>2*(D514*I509)/(D514+I509)</f>
        <v>0.73885350318471343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0</v>
      </c>
      <c r="D510" s="1">
        <v>0</v>
      </c>
      <c r="E510" s="27">
        <v>733</v>
      </c>
      <c r="F510" s="1">
        <v>14</v>
      </c>
      <c r="G510" s="6">
        <v>1</v>
      </c>
      <c r="H510" s="1">
        <f>SUM(C510:G510)</f>
        <v>748</v>
      </c>
      <c r="I510" s="10">
        <f>E510/H510</f>
        <v>0.97994652406417115</v>
      </c>
      <c r="J510" s="11">
        <f>1-I510</f>
        <v>2.0053475935828846E-2</v>
      </c>
      <c r="K510">
        <f>H510-E513</f>
        <v>-46</v>
      </c>
      <c r="N510" s="10">
        <f>2*(E514*I510)/(E514+I510)</f>
        <v>0.95071335927367073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0</v>
      </c>
      <c r="E511" s="1">
        <v>52</v>
      </c>
      <c r="F511" s="27">
        <v>555</v>
      </c>
      <c r="G511" s="6">
        <v>11</v>
      </c>
      <c r="H511" s="1">
        <f>SUM(C511:G511)</f>
        <v>618</v>
      </c>
      <c r="I511" s="10">
        <f>F511/H511</f>
        <v>0.89805825242718451</v>
      </c>
      <c r="J511" s="11">
        <f>1-I511</f>
        <v>0.10194174757281549</v>
      </c>
      <c r="K511">
        <f>H511-F513</f>
        <v>-169</v>
      </c>
      <c r="N511" s="10">
        <f>2*(F514*I511)/(F514+I511)</f>
        <v>0.79003558718861211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0</v>
      </c>
      <c r="E512" s="8">
        <v>3</v>
      </c>
      <c r="F512" s="8">
        <v>27</v>
      </c>
      <c r="G512" s="28">
        <v>983</v>
      </c>
      <c r="H512" s="1">
        <f>SUM(C512:G512)</f>
        <v>1013</v>
      </c>
      <c r="I512" s="10">
        <f>G512/H512</f>
        <v>0.97038499506416587</v>
      </c>
      <c r="J512" s="11">
        <f>1-I512</f>
        <v>2.9615004935834133E-2</v>
      </c>
      <c r="K512">
        <f>H512-G513</f>
        <v>7</v>
      </c>
      <c r="N512" s="10">
        <f>2*(G514*I512)/(G514+I512)</f>
        <v>0.97374938088162466</v>
      </c>
      <c r="O512" s="1"/>
      <c r="P512" s="1"/>
    </row>
    <row r="513" spans="1:40" ht="15.6" x14ac:dyDescent="0.35">
      <c r="B513" s="1" t="s">
        <v>19</v>
      </c>
      <c r="C513" s="1">
        <f>SUM(C508:C512)</f>
        <v>213</v>
      </c>
      <c r="D513" s="1">
        <f>SUM(D508:D512)</f>
        <v>93</v>
      </c>
      <c r="E513" s="1">
        <f>SUM(E508:E512)</f>
        <v>794</v>
      </c>
      <c r="F513" s="1">
        <f>SUM(F508:F512)</f>
        <v>787</v>
      </c>
      <c r="G513" s="1">
        <f>SUM(G508:G512)</f>
        <v>1006</v>
      </c>
      <c r="H513" s="1">
        <f>SUM(H507:H512)</f>
        <v>2893</v>
      </c>
      <c r="I513" s="13" t="s">
        <v>12</v>
      </c>
      <c r="N513" s="16"/>
      <c r="O513" s="1"/>
      <c r="P513" s="1"/>
      <c r="AM513" s="78"/>
      <c r="AN513" s="78"/>
    </row>
    <row r="514" spans="1:40" x14ac:dyDescent="0.3">
      <c r="A514" s="1" t="s">
        <v>52</v>
      </c>
      <c r="B514" s="1" t="s">
        <v>2</v>
      </c>
      <c r="C514" s="10">
        <f>C508/C513</f>
        <v>1</v>
      </c>
      <c r="D514" s="10">
        <f>D509/D513</f>
        <v>0.62365591397849462</v>
      </c>
      <c r="E514" s="10">
        <f>E510/E513</f>
        <v>0.9231738035264484</v>
      </c>
      <c r="F514" s="10">
        <f>F511/F513</f>
        <v>0.70520965692503179</v>
      </c>
      <c r="G514" s="10">
        <f>G512/G513</f>
        <v>0.97713717693836977</v>
      </c>
      <c r="H514" s="10"/>
      <c r="I514" s="14">
        <f>(C508+D509+E510+F511+G512)/H513</f>
        <v>0.87867265814033879</v>
      </c>
    </row>
    <row r="515" spans="1:40" x14ac:dyDescent="0.3">
      <c r="B515" s="1" t="s">
        <v>14</v>
      </c>
      <c r="C515" s="11">
        <f>1-C514</f>
        <v>0</v>
      </c>
      <c r="D515" s="11">
        <f>1-D514</f>
        <v>0.37634408602150538</v>
      </c>
      <c r="E515" s="11">
        <f>1-E514</f>
        <v>7.68261964735516E-2</v>
      </c>
      <c r="F515" s="11">
        <f>1-F514</f>
        <v>0.29479034307496821</v>
      </c>
      <c r="G515" s="11">
        <f>1-G514</f>
        <v>2.2862823061630233E-2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9.6362936764692875E-2</v>
      </c>
      <c r="D519" s="31">
        <f>(D508/$L519)*$O519</f>
        <v>1.5834285383869721E-2</v>
      </c>
      <c r="E519" s="31">
        <f>(E508/$L519)*$O519</f>
        <v>0</v>
      </c>
      <c r="F519" s="31">
        <f>(F508/$L519)*$O519</f>
        <v>8.6409957380546187E-2</v>
      </c>
      <c r="G519" s="32">
        <f>(G508/$L519)*$O519</f>
        <v>4.9764896920733411E-3</v>
      </c>
      <c r="H519" s="17">
        <f>SUM(C519:G519)</f>
        <v>0.20358366922118212</v>
      </c>
      <c r="I519" s="17">
        <f>C519/H519*100</f>
        <v>47.333333333333336</v>
      </c>
      <c r="J519" s="17">
        <f>SQRT(I519*(100-I519)/(L519-1))</f>
        <v>2.356287560245498</v>
      </c>
      <c r="K519" s="18">
        <f>100-I519</f>
        <v>52.666666666666664</v>
      </c>
      <c r="L519" s="1">
        <f>H508</f>
        <v>450</v>
      </c>
      <c r="M519">
        <v>0</v>
      </c>
      <c r="N519" s="1">
        <v>196.54</v>
      </c>
      <c r="O519" s="17">
        <f>N519/N524*100</f>
        <v>0.20358366922118212</v>
      </c>
      <c r="P519" s="52">
        <f>((O519*O519*(I519/100)*(K519/100))/(L519-1))</f>
        <v>2.301136895672322E-5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57">(C509/$L520)*$O520</f>
        <v>0</v>
      </c>
      <c r="D520" s="34">
        <f t="shared" si="57"/>
        <v>0.71468217216544894</v>
      </c>
      <c r="E520" s="19">
        <f t="shared" si="57"/>
        <v>7.3932638499874026E-2</v>
      </c>
      <c r="F520" s="18">
        <f t="shared" si="57"/>
        <v>0</v>
      </c>
      <c r="G520" s="20">
        <f t="shared" si="57"/>
        <v>0</v>
      </c>
      <c r="H520" s="17">
        <f>SUM(C520:G520)</f>
        <v>0.78861481066532302</v>
      </c>
      <c r="I520" s="17">
        <f>D520/H520*100</f>
        <v>90.624999999999986</v>
      </c>
      <c r="J520" s="17">
        <f>SQRT(I520*(100-I520)/(L520-1))</f>
        <v>3.6723103212062722</v>
      </c>
      <c r="K520" s="18">
        <f>100-I520</f>
        <v>9.3750000000000142</v>
      </c>
      <c r="L520" s="1">
        <f>H509</f>
        <v>64</v>
      </c>
      <c r="M520">
        <v>1</v>
      </c>
      <c r="N520" s="1">
        <v>761.33</v>
      </c>
      <c r="O520" s="17">
        <f>N520/N524*100</f>
        <v>0.78861481066532302</v>
      </c>
      <c r="P520" s="52">
        <f>((O520*O520*(I520/100)*(K520/100))/(L520-1))</f>
        <v>8.3870378852401496E-4</v>
      </c>
    </row>
    <row r="521" spans="1:40" x14ac:dyDescent="0.3">
      <c r="A521" t="s">
        <v>5</v>
      </c>
      <c r="B521" s="13">
        <v>2</v>
      </c>
      <c r="C521" s="33">
        <f t="shared" si="57"/>
        <v>0</v>
      </c>
      <c r="D521" s="19">
        <f t="shared" si="57"/>
        <v>0</v>
      </c>
      <c r="E521" s="34">
        <f t="shared" si="57"/>
        <v>58.723243807977703</v>
      </c>
      <c r="F521" s="19">
        <f t="shared" si="57"/>
        <v>1.1215899226626025</v>
      </c>
      <c r="G521" s="20">
        <f t="shared" si="57"/>
        <v>8.011356590447162E-2</v>
      </c>
      <c r="H521" s="17">
        <f>SUM(C521:G521)</f>
        <v>59.924947296544772</v>
      </c>
      <c r="I521" s="17">
        <f>E521/H521*100</f>
        <v>97.994652406417117</v>
      </c>
      <c r="J521" s="17">
        <f>SQRT(I521*(100-I521)/(L521-1))</f>
        <v>0.5129035654513856</v>
      </c>
      <c r="K521" s="18">
        <f>100-I521</f>
        <v>2.0053475935828828</v>
      </c>
      <c r="L521" s="1">
        <f>H510</f>
        <v>748</v>
      </c>
      <c r="M521">
        <v>2</v>
      </c>
      <c r="N521" s="1">
        <v>57851.64</v>
      </c>
      <c r="O521" s="17">
        <f>N521/N524*100</f>
        <v>59.924947296544772</v>
      </c>
      <c r="P521" s="52">
        <f>((O521*O521*(I521/100)*(K521/100))/(L521-1))</f>
        <v>9.4468443030818583E-2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57"/>
        <v>0</v>
      </c>
      <c r="D522" s="19">
        <f t="shared" si="57"/>
        <v>0</v>
      </c>
      <c r="E522" s="19">
        <f t="shared" si="57"/>
        <v>2.7676788120074152</v>
      </c>
      <c r="F522" s="34">
        <f t="shared" si="57"/>
        <v>29.539648858925297</v>
      </c>
      <c r="G522" s="20">
        <f t="shared" si="57"/>
        <v>0.58547051792464544</v>
      </c>
      <c r="H522" s="17">
        <f>SUM(C522:G522)</f>
        <v>32.892798188857363</v>
      </c>
      <c r="I522" s="17">
        <f>F522/H522*100</f>
        <v>89.805825242718427</v>
      </c>
      <c r="J522" s="17">
        <f>SQRT(I522*(100-I522)/(L522-1))</f>
        <v>1.2181077580097077</v>
      </c>
      <c r="K522" s="18">
        <f>100-I522</f>
        <v>10.194174757281573</v>
      </c>
      <c r="L522" s="1">
        <f>H511</f>
        <v>618</v>
      </c>
      <c r="M522">
        <v>3</v>
      </c>
      <c r="N522" s="1">
        <v>31754.76</v>
      </c>
      <c r="O522" s="17">
        <f>N522/N524*100</f>
        <v>32.892798188857356</v>
      </c>
      <c r="P522" s="52">
        <f>((O522*O522*(I522/100)*(K522/100))/(L522-1))</f>
        <v>0.16053622978563029</v>
      </c>
    </row>
    <row r="523" spans="1:40" x14ac:dyDescent="0.3">
      <c r="A523" t="s">
        <v>7</v>
      </c>
      <c r="B523" s="13">
        <v>4</v>
      </c>
      <c r="C523" s="35">
        <f t="shared" si="57"/>
        <v>0</v>
      </c>
      <c r="D523" s="36">
        <f t="shared" si="57"/>
        <v>0</v>
      </c>
      <c r="E523" s="21">
        <f t="shared" si="57"/>
        <v>1.8331854002106684E-2</v>
      </c>
      <c r="F523" s="21">
        <f t="shared" si="57"/>
        <v>0.16498668601896019</v>
      </c>
      <c r="G523" s="37">
        <f t="shared" si="57"/>
        <v>6.0067374946902907</v>
      </c>
      <c r="H523" s="17">
        <f>SUM(C523:G523)</f>
        <v>6.1900560347113576</v>
      </c>
      <c r="I523" s="17">
        <f>G523/H523*100</f>
        <v>97.038499506416585</v>
      </c>
      <c r="J523" s="17">
        <f>SQRT(I523*(100-I523)/(L523-1))</f>
        <v>0.5328901400555518</v>
      </c>
      <c r="K523" s="18">
        <f>100-I523</f>
        <v>2.9615004935834151</v>
      </c>
      <c r="L523" s="1">
        <f>H512</f>
        <v>1013</v>
      </c>
      <c r="M523">
        <v>4</v>
      </c>
      <c r="N523" s="1">
        <v>5975.89</v>
      </c>
      <c r="O523" s="17">
        <f>N523/N524*100</f>
        <v>6.1900560347113576</v>
      </c>
      <c r="P523" s="52">
        <f>((O523*O523*(I523/100)*(K523/100))/(L523-1))</f>
        <v>1.0880892764984437E-3</v>
      </c>
      <c r="AM523" s="78"/>
      <c r="AN523" s="78"/>
    </row>
    <row r="524" spans="1:40" x14ac:dyDescent="0.3">
      <c r="B524" t="s">
        <v>28</v>
      </c>
      <c r="C524" s="17">
        <f>SUM(C519:C523)</f>
        <v>9.6362936764692875E-2</v>
      </c>
      <c r="D524" s="17">
        <f>SUM(D519:D523)</f>
        <v>0.73051645754931871</v>
      </c>
      <c r="E524" s="17">
        <f>SUM(E519:E523)</f>
        <v>61.583187112487103</v>
      </c>
      <c r="F524" s="17">
        <f>SUM(F519:F523)</f>
        <v>30.912635424987403</v>
      </c>
      <c r="G524" s="17">
        <f>SUM(G519:G523)</f>
        <v>6.6772980682114813</v>
      </c>
      <c r="H524" s="1">
        <f>SUM(H518:H523)</f>
        <v>100</v>
      </c>
      <c r="I524" s="13" t="s">
        <v>24</v>
      </c>
      <c r="J524" s="12" t="s">
        <v>29</v>
      </c>
      <c r="N524" s="1">
        <f>SUM(N519:N523)</f>
        <v>96540.160000000003</v>
      </c>
      <c r="O524" s="17">
        <f>SUM(O519:O523)</f>
        <v>99.999999999999986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4.7916836896088862E-3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2.8847971087797217E-2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0.47978444657142499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0.49945276042555714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0.19520653417139677</v>
      </c>
      <c r="H525" s="1"/>
      <c r="I525" s="14">
        <f>(C519+D520+E521+F522+G523)/H524</f>
        <v>0.95080675270523429</v>
      </c>
      <c r="J525" s="53">
        <f>SQRT(SUM(P519:P523))/100</f>
        <v>5.0690677372711053E-3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100</v>
      </c>
      <c r="D526" s="17">
        <f>D520/D524*100</f>
        <v>97.832453297905232</v>
      </c>
      <c r="E526" s="17">
        <f>E521/E524*100</f>
        <v>95.355967369331722</v>
      </c>
      <c r="F526" s="17">
        <f>F522/F524*100</f>
        <v>95.558493971198942</v>
      </c>
      <c r="G526" s="17">
        <f>G523/G524*100</f>
        <v>89.957606105476714</v>
      </c>
      <c r="H526" s="1"/>
    </row>
    <row r="527" spans="1:40" x14ac:dyDescent="0.3">
      <c r="B527" s="16" t="s">
        <v>39</v>
      </c>
      <c r="C527" s="18">
        <f>SQRT((C530+C531)/(C524*C524))</f>
        <v>0</v>
      </c>
      <c r="D527" s="18">
        <f>SQRT((D530+D531)/(D524*D524))</f>
        <v>0.92581872608582083</v>
      </c>
      <c r="E527" s="18">
        <f>SQRT((E530+E531)/(E524*E524))</f>
        <v>0.61643356474748778</v>
      </c>
      <c r="F527" s="18">
        <f>SQRT((F530+F531)/(F524*F524))</f>
        <v>1.0884379843924503</v>
      </c>
      <c r="G527" s="18">
        <f>SQRT((G530+G531)/(G524*G524))</f>
        <v>2.6411192818976632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0</v>
      </c>
      <c r="D528" s="18">
        <f>100-D526</f>
        <v>2.1675467020947679</v>
      </c>
      <c r="E528" s="18">
        <f>100-E526</f>
        <v>4.6440326306682778</v>
      </c>
      <c r="F528" s="18">
        <f>100-F526</f>
        <v>4.4415060288010579</v>
      </c>
      <c r="G528" s="18">
        <f>100-G526</f>
        <v>10.042393894523286</v>
      </c>
    </row>
    <row r="529" spans="1:40" ht="15.6" x14ac:dyDescent="0.35">
      <c r="B529" s="1" t="s">
        <v>25</v>
      </c>
      <c r="C529" s="1">
        <f>C513</f>
        <v>213</v>
      </c>
      <c r="D529" s="1">
        <f>D513</f>
        <v>93</v>
      </c>
      <c r="E529" s="1">
        <f>E513</f>
        <v>794</v>
      </c>
      <c r="F529" s="1">
        <f>F513</f>
        <v>787</v>
      </c>
      <c r="G529" s="1">
        <f>G513</f>
        <v>1006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0.3940447375988444</v>
      </c>
      <c r="E530" s="18">
        <f>(O521*O521*(100-E526)*(100-E526)*(I521)*(100-I521))/((L521-1)*100)</f>
        <v>203.74046021728427</v>
      </c>
      <c r="F530" s="18">
        <f>(O522*O522*(100-F526)*(100-F526)*(I522)*(100-I522))/((L522-1)*100)</f>
        <v>316.68943206266295</v>
      </c>
      <c r="G530" s="18">
        <f>(O523*O523*(100-G526)*(100-G526)*(I523)*(100-I523))/((L523-1)*100)</f>
        <v>10.973345005030636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0</v>
      </c>
      <c r="D531" s="18">
        <f>D526*D526*(SUM((H519*D519*(1-D508/H508))/(H508-1),(H521*D521*(1-D510/H510))/(H510-1), (H522*D522*(1-D511/H511))/(H511-1),(H523*D523*(1-D512/H512))/(H512-1)))</f>
        <v>6.3371871942120933E-2</v>
      </c>
      <c r="E531" s="18">
        <f>E526*E526*(SUM((H519*E519*(1-E508/H508))/(H508-1),(H520*E520*(1-E509/H509))/(H509-1), (H522*E522*(1-E511/H511))/(H511-1),(H523*E523*(1-E512/H512))/(H512-1)))</f>
        <v>1237.3686986552314</v>
      </c>
      <c r="F531" s="18">
        <f>F526*F526*(SUM((H519*F519*(1-F508/H508))/(H508-1),(H520*F520*(1-F509/H509))/(H509-1), (H521*F521*(1-F510/H510))/(H510-1),(H523*F523*(1-F512/H512))/(H512-1)))</f>
        <v>815.39662807316688</v>
      </c>
      <c r="G531" s="18">
        <f>G526*G526*(SUM((H519*G519*(1-G508/H508))/(H508-1),(H520*G520*(1-G509/H509))/(H509-1), (H521*G521*(1-G510/H510))/(H510-1),(H522*G522*(1-G511/H511))/(H511-1)))</f>
        <v>300.03895003321213</v>
      </c>
      <c r="AM531" s="78"/>
      <c r="AN531" s="78"/>
    </row>
    <row r="533" spans="1:40" x14ac:dyDescent="0.3">
      <c r="AM533" s="78"/>
      <c r="AN533" s="78"/>
    </row>
    <row r="534" spans="1:40" x14ac:dyDescent="0.3">
      <c r="A534" s="348" t="s">
        <v>386</v>
      </c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 t="s">
        <v>91</v>
      </c>
      <c r="M534" s="348"/>
      <c r="N534" s="348"/>
      <c r="O534" s="348"/>
      <c r="P534" s="348"/>
    </row>
    <row r="535" spans="1:40" x14ac:dyDescent="0.3">
      <c r="A535" t="s">
        <v>15</v>
      </c>
      <c r="B535" t="s">
        <v>21</v>
      </c>
      <c r="I535" s="1" t="s">
        <v>53</v>
      </c>
      <c r="O535" s="142"/>
      <c r="P535" s="142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51</v>
      </c>
      <c r="O536" s="13"/>
      <c r="P536" s="13"/>
    </row>
    <row r="537" spans="1:40" x14ac:dyDescent="0.3">
      <c r="A537" t="s">
        <v>3</v>
      </c>
      <c r="B537" s="13">
        <v>0</v>
      </c>
      <c r="C537" s="26">
        <v>170</v>
      </c>
      <c r="D537" s="3">
        <v>2</v>
      </c>
      <c r="E537" s="3">
        <v>0</v>
      </c>
      <c r="F537" s="3">
        <v>278</v>
      </c>
      <c r="G537" s="4">
        <v>0</v>
      </c>
      <c r="H537" s="1">
        <f>SUM(C537:G537)</f>
        <v>450</v>
      </c>
      <c r="I537" s="10">
        <f>C537/H537</f>
        <v>0.37777777777777777</v>
      </c>
      <c r="J537" s="11">
        <f>1-I537</f>
        <v>0.62222222222222223</v>
      </c>
      <c r="K537">
        <f>H537-C542</f>
        <v>280</v>
      </c>
      <c r="N537" s="10">
        <f>2*(C543*I537)/(C543+I537)</f>
        <v>0.54838709677419351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58</v>
      </c>
      <c r="E538" s="1">
        <v>6</v>
      </c>
      <c r="F538" s="1">
        <v>0</v>
      </c>
      <c r="G538" s="6">
        <v>0</v>
      </c>
      <c r="H538" s="1">
        <f>SUM(C538:G538)</f>
        <v>64</v>
      </c>
      <c r="I538" s="10">
        <f>D538/H538</f>
        <v>0.90625</v>
      </c>
      <c r="J538" s="11">
        <f>1-I538</f>
        <v>9.375E-2</v>
      </c>
      <c r="K538">
        <f>H538-D542</f>
        <v>4</v>
      </c>
      <c r="N538" s="10">
        <f>2*(D543*I538)/(D543+I538)</f>
        <v>0.93548387096774188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0</v>
      </c>
      <c r="E539" s="27">
        <v>732</v>
      </c>
      <c r="F539" s="1">
        <v>16</v>
      </c>
      <c r="G539" s="6">
        <v>0</v>
      </c>
      <c r="H539" s="1">
        <f>SUM(C539:G539)</f>
        <v>748</v>
      </c>
      <c r="I539" s="10">
        <f>E539/H539</f>
        <v>0.97860962566844922</v>
      </c>
      <c r="J539" s="11">
        <f>1-I539</f>
        <v>2.1390374331550777E-2</v>
      </c>
      <c r="K539">
        <f>H539-E542</f>
        <v>-50</v>
      </c>
      <c r="N539" s="10">
        <f>2*(E543*I539)/(E543+I539)</f>
        <v>0.94695989650711521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0</v>
      </c>
      <c r="E540" s="1">
        <v>59</v>
      </c>
      <c r="F540" s="27">
        <v>549</v>
      </c>
      <c r="G540" s="6">
        <v>10</v>
      </c>
      <c r="H540" s="1">
        <f>SUM(C540:G540)</f>
        <v>618</v>
      </c>
      <c r="I540" s="10">
        <f>F540/H540</f>
        <v>0.88834951456310685</v>
      </c>
      <c r="J540" s="11">
        <f>1-I540</f>
        <v>0.11165048543689315</v>
      </c>
      <c r="K540">
        <f>H540-F542</f>
        <v>-259</v>
      </c>
      <c r="N540" s="10">
        <f>2*(F543*I540)/(F543+I540)</f>
        <v>0.73444816053511719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0</v>
      </c>
      <c r="E541" s="8">
        <v>1</v>
      </c>
      <c r="F541" s="8">
        <v>34</v>
      </c>
      <c r="G541" s="28">
        <v>978</v>
      </c>
      <c r="H541" s="1">
        <f>SUM(C541:G541)</f>
        <v>1013</v>
      </c>
      <c r="I541" s="10">
        <f>G541/H541</f>
        <v>0.96544916090819344</v>
      </c>
      <c r="J541" s="11">
        <f>1-I541</f>
        <v>3.4550839091806562E-2</v>
      </c>
      <c r="K541">
        <f>H541-G542</f>
        <v>25</v>
      </c>
      <c r="N541" s="10">
        <f>2*(G543*I541)/(G543+I541)</f>
        <v>0.97751124437781112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170</v>
      </c>
      <c r="D542" s="1">
        <f>SUM(D537:D541)</f>
        <v>60</v>
      </c>
      <c r="E542" s="1">
        <f>SUM(E537:E541)</f>
        <v>798</v>
      </c>
      <c r="F542" s="1">
        <f>SUM(F537:F541)</f>
        <v>877</v>
      </c>
      <c r="G542" s="1">
        <f>SUM(G537:G541)</f>
        <v>988</v>
      </c>
      <c r="H542" s="1">
        <f>SUM(H536:H541)</f>
        <v>2893</v>
      </c>
      <c r="I542" s="13" t="s">
        <v>12</v>
      </c>
      <c r="N542" s="16"/>
      <c r="O542" s="1"/>
      <c r="P542" s="1"/>
    </row>
    <row r="543" spans="1:40" x14ac:dyDescent="0.3">
      <c r="A543" s="1" t="s">
        <v>52</v>
      </c>
      <c r="B543" s="1" t="s">
        <v>2</v>
      </c>
      <c r="C543" s="10">
        <f>C537/C542</f>
        <v>1</v>
      </c>
      <c r="D543" s="10">
        <f>D538/D542</f>
        <v>0.96666666666666667</v>
      </c>
      <c r="E543" s="10">
        <f>E539/E542</f>
        <v>0.91729323308270672</v>
      </c>
      <c r="F543" s="10">
        <f>F540/F542</f>
        <v>0.62599771949828964</v>
      </c>
      <c r="G543" s="10">
        <f>G541/G542</f>
        <v>0.98987854251012142</v>
      </c>
      <c r="H543" s="10"/>
      <c r="I543" s="14">
        <f>(C537+D538+E539+F540+G541)/H542</f>
        <v>0.85966125129623228</v>
      </c>
    </row>
    <row r="544" spans="1:40" x14ac:dyDescent="0.3">
      <c r="B544" s="1" t="s">
        <v>14</v>
      </c>
      <c r="C544" s="11">
        <f>1-C543</f>
        <v>0</v>
      </c>
      <c r="D544" s="11">
        <f>1-D543</f>
        <v>3.3333333333333326E-2</v>
      </c>
      <c r="E544" s="11">
        <f>1-E543</f>
        <v>8.2706766917293284E-2</v>
      </c>
      <c r="F544" s="11">
        <f>1-F543</f>
        <v>0.37400228050171036</v>
      </c>
      <c r="G544" s="11">
        <f>1-G543</f>
        <v>1.0121457489878583E-2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7.0472233573285317E-2</v>
      </c>
      <c r="D548" s="31">
        <f>(D537/$L548)*$O548</f>
        <v>8.2908510086218028E-4</v>
      </c>
      <c r="E548" s="31">
        <f>(E537/$L548)*$O548</f>
        <v>0</v>
      </c>
      <c r="F548" s="31">
        <f>(F537/$L548)*$O548</f>
        <v>0.11524282901984305</v>
      </c>
      <c r="G548" s="32">
        <f>(G537/$L548)*$O548</f>
        <v>0</v>
      </c>
      <c r="H548" s="17">
        <f>SUM(C548:G548)</f>
        <v>0.18654414769399055</v>
      </c>
      <c r="I548" s="17">
        <f>C548/H548*100</f>
        <v>37.777777777777779</v>
      </c>
      <c r="J548" s="17">
        <f>SQRT(I548*(100-I548)/(L548-1))</f>
        <v>2.2880620192422505</v>
      </c>
      <c r="K548" s="18">
        <f>100-I548</f>
        <v>62.222222222222221</v>
      </c>
      <c r="L548" s="1">
        <f>H537</f>
        <v>450</v>
      </c>
      <c r="M548">
        <v>0</v>
      </c>
      <c r="N548" s="1">
        <v>180.09</v>
      </c>
      <c r="O548" s="17">
        <f>N548/N553*100</f>
        <v>0.18654414769399055</v>
      </c>
      <c r="P548" s="52">
        <f>((O548*O548*(I548/100)*(K548/100))/(L548-1))</f>
        <v>1.8217922145239761E-5</v>
      </c>
    </row>
    <row r="549" spans="1:16" x14ac:dyDescent="0.3">
      <c r="A549" t="s">
        <v>4</v>
      </c>
      <c r="B549" s="13">
        <v>1</v>
      </c>
      <c r="C549" s="33">
        <f t="shared" ref="C549:G552" si="58">(C538/$L549)*$O549</f>
        <v>0</v>
      </c>
      <c r="D549" s="34">
        <f t="shared" si="58"/>
        <v>0.67028038334309603</v>
      </c>
      <c r="E549" s="19">
        <f t="shared" si="58"/>
        <v>6.9339350001009936E-2</v>
      </c>
      <c r="F549" s="18">
        <f t="shared" si="58"/>
        <v>0</v>
      </c>
      <c r="G549" s="20">
        <f t="shared" si="58"/>
        <v>0</v>
      </c>
      <c r="H549" s="17">
        <f>SUM(C549:G549)</f>
        <v>0.73961973334410591</v>
      </c>
      <c r="I549" s="17">
        <f>D549/H549*100</f>
        <v>90.625000000000014</v>
      </c>
      <c r="J549" s="17">
        <f>SQRT(I549*(100-I549)/(L549-1))</f>
        <v>3.6723103212062673</v>
      </c>
      <c r="K549" s="18">
        <f>100-I549</f>
        <v>9.3749999999999858</v>
      </c>
      <c r="L549" s="1">
        <f>H538</f>
        <v>64</v>
      </c>
      <c r="M549">
        <v>1</v>
      </c>
      <c r="N549" s="1">
        <v>714.03</v>
      </c>
      <c r="O549" s="17">
        <f>N549/N553*100</f>
        <v>0.73961973334410602</v>
      </c>
      <c r="P549" s="52">
        <f>((O549*O549*(I549/100)*(K549/100))/(L549-1))</f>
        <v>7.3772708094346014E-4</v>
      </c>
    </row>
    <row r="550" spans="1:16" x14ac:dyDescent="0.3">
      <c r="A550" t="s">
        <v>5</v>
      </c>
      <c r="B550" s="13">
        <v>2</v>
      </c>
      <c r="C550" s="33">
        <f t="shared" si="58"/>
        <v>0</v>
      </c>
      <c r="D550" s="19">
        <f t="shared" si="58"/>
        <v>0</v>
      </c>
      <c r="E550" s="34">
        <f t="shared" si="58"/>
        <v>58.761230209499629</v>
      </c>
      <c r="F550" s="19">
        <f t="shared" si="58"/>
        <v>1.284398474524582</v>
      </c>
      <c r="G550" s="20">
        <f t="shared" si="58"/>
        <v>0</v>
      </c>
      <c r="H550" s="17">
        <f>SUM(C550:G550)</f>
        <v>60.045628684024209</v>
      </c>
      <c r="I550" s="17">
        <f>E550/H550*100</f>
        <v>97.860962566844918</v>
      </c>
      <c r="J550" s="17">
        <f>SQRT(I550*(100-I550)/(L550-1))</f>
        <v>0.52936306120566767</v>
      </c>
      <c r="K550" s="18">
        <f>100-I550</f>
        <v>2.1390374331550817</v>
      </c>
      <c r="L550" s="1">
        <f>H539</f>
        <v>748</v>
      </c>
      <c r="M550">
        <v>2</v>
      </c>
      <c r="N550" s="1">
        <v>57968.14</v>
      </c>
      <c r="O550" s="17">
        <f>N550/N553*100</f>
        <v>60.045628684024209</v>
      </c>
      <c r="P550" s="52">
        <f>((O550*O550*(I550/100)*(K550/100))/(L550-1))</f>
        <v>0.10103458426006581</v>
      </c>
    </row>
    <row r="551" spans="1:16" x14ac:dyDescent="0.3">
      <c r="A551" t="s">
        <v>6</v>
      </c>
      <c r="B551" s="13">
        <v>3</v>
      </c>
      <c r="C551" s="33">
        <f t="shared" si="58"/>
        <v>0</v>
      </c>
      <c r="D551" s="19">
        <f t="shared" si="58"/>
        <v>0</v>
      </c>
      <c r="E551" s="19">
        <f t="shared" si="58"/>
        <v>3.1591156800369902</v>
      </c>
      <c r="F551" s="34">
        <f t="shared" si="58"/>
        <v>29.395839124411992</v>
      </c>
      <c r="G551" s="20">
        <f t="shared" si="58"/>
        <v>0.53544333559948976</v>
      </c>
      <c r="H551" s="17">
        <f>SUM(C551:G551)</f>
        <v>33.090398140048471</v>
      </c>
      <c r="I551" s="17">
        <f>F551/H551*100</f>
        <v>88.834951456310691</v>
      </c>
      <c r="J551" s="17">
        <f>SQRT(I551*(100-I551)/(L551-1))</f>
        <v>1.2678844062943833</v>
      </c>
      <c r="K551" s="18">
        <f>100-I551</f>
        <v>11.165048543689309</v>
      </c>
      <c r="L551" s="1">
        <f>H540</f>
        <v>618</v>
      </c>
      <c r="M551">
        <v>3</v>
      </c>
      <c r="N551" s="1">
        <v>31945.52</v>
      </c>
      <c r="O551" s="17">
        <f>N551/N553*100</f>
        <v>33.090398140048471</v>
      </c>
      <c r="P551" s="52">
        <f>((O551*O551*(I551/100)*(K551/100))/(L551-1))</f>
        <v>0.17602052262446646</v>
      </c>
    </row>
    <row r="552" spans="1:16" x14ac:dyDescent="0.3">
      <c r="A552" t="s">
        <v>7</v>
      </c>
      <c r="B552" s="13">
        <v>4</v>
      </c>
      <c r="C552" s="35">
        <f t="shared" si="58"/>
        <v>0</v>
      </c>
      <c r="D552" s="36">
        <f t="shared" si="58"/>
        <v>0</v>
      </c>
      <c r="E552" s="21">
        <f t="shared" si="58"/>
        <v>5.861608385872877E-3</v>
      </c>
      <c r="F552" s="21">
        <f t="shared" si="58"/>
        <v>0.19929468511967782</v>
      </c>
      <c r="G552" s="37">
        <f t="shared" si="58"/>
        <v>5.7326530013836736</v>
      </c>
      <c r="H552" s="17">
        <f>SUM(C552:G552)</f>
        <v>5.9378092948892247</v>
      </c>
      <c r="I552" s="17">
        <f>G552/H552*100</f>
        <v>96.544916090819342</v>
      </c>
      <c r="J552" s="17">
        <f>SQRT(I552*(100-I552)/(L552-1))</f>
        <v>0.57412141684768081</v>
      </c>
      <c r="K552" s="18">
        <f>100-I552</f>
        <v>3.455083909180658</v>
      </c>
      <c r="L552" s="1">
        <f>H541</f>
        <v>1013</v>
      </c>
      <c r="M552">
        <v>4</v>
      </c>
      <c r="N552" s="1">
        <v>5732.37</v>
      </c>
      <c r="O552" s="17">
        <f>N552/N553*100</f>
        <v>5.9378092948892247</v>
      </c>
      <c r="P552" s="52">
        <f>((O552*O552*(I552/100)*(K552/100))/(L552-1))</f>
        <v>1.1621441123689203E-3</v>
      </c>
    </row>
    <row r="553" spans="1:16" x14ac:dyDescent="0.3">
      <c r="B553" t="s">
        <v>28</v>
      </c>
      <c r="C553" s="17">
        <f>SUM(C548:C552)</f>
        <v>7.0472233573285317E-2</v>
      </c>
      <c r="D553" s="17">
        <f>SUM(D548:D552)</f>
        <v>0.67110946844395825</v>
      </c>
      <c r="E553" s="17">
        <f>SUM(E548:E552)</f>
        <v>61.995546847923499</v>
      </c>
      <c r="F553" s="17">
        <f>SUM(F548:F552)</f>
        <v>30.994775113076095</v>
      </c>
      <c r="G553" s="17">
        <f>SUM(G548:G552)</f>
        <v>6.268096336983163</v>
      </c>
      <c r="H553" s="1">
        <f>SUM(H547:H552)</f>
        <v>99.999999999999986</v>
      </c>
      <c r="I553" s="13" t="s">
        <v>24</v>
      </c>
      <c r="J553" s="12" t="s">
        <v>29</v>
      </c>
      <c r="N553" s="1">
        <f>SUM(N548:N552)</f>
        <v>96540.15</v>
      </c>
      <c r="O553" s="17">
        <f>SUM(O548:O552)</f>
        <v>99.999999999999986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4.2635006595291968E-3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2.6954447848920378E-2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0.50464234176938272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0.52705070887070493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0.17136813674450982</v>
      </c>
      <c r="H554" s="1"/>
      <c r="I554" s="56">
        <f>(C548+D549+E550+F551+G552)/H553</f>
        <v>0.94630474952211685</v>
      </c>
      <c r="J554" s="53">
        <f>SQRT(SUM(P548:P552))/100</f>
        <v>5.2817913249198888E-3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99.876460526956279</v>
      </c>
      <c r="E555" s="17">
        <f>E550/E553*100</f>
        <v>94.782985548368941</v>
      </c>
      <c r="F555" s="17">
        <f>F551/F553*100</f>
        <v>94.841272495668022</v>
      </c>
      <c r="G555" s="17">
        <f>G552/G553*100</f>
        <v>91.4576402975772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0.10047433389814336</v>
      </c>
      <c r="E556" s="18">
        <f>SQRT((E559+E560)/(E553*E553))</f>
        <v>0.6569386479387006</v>
      </c>
      <c r="F556" s="18">
        <f>SQRT((F559+F560)/(F553*F553))</f>
        <v>1.2018128136236499</v>
      </c>
      <c r="G556" s="18">
        <f>SQRT((G559+G560)/(G553*G553))</f>
        <v>2.4961065872054156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0.1235394730437207</v>
      </c>
      <c r="E557" s="18">
        <f>100-E555</f>
        <v>5.2170144516310586</v>
      </c>
      <c r="F557" s="18">
        <f>100-F555</f>
        <v>5.1587275043319778</v>
      </c>
      <c r="G557" s="18">
        <f>100-G555</f>
        <v>8.5423597024228002</v>
      </c>
    </row>
    <row r="558" spans="1:16" ht="15.6" x14ac:dyDescent="0.35">
      <c r="B558" s="1" t="s">
        <v>25</v>
      </c>
      <c r="C558" s="1">
        <f>C542</f>
        <v>170</v>
      </c>
      <c r="D558" s="1">
        <f>D542</f>
        <v>60</v>
      </c>
      <c r="E558" s="1">
        <f>E542</f>
        <v>798</v>
      </c>
      <c r="F558" s="1">
        <f>F542</f>
        <v>877</v>
      </c>
      <c r="G558" s="1">
        <f>G542</f>
        <v>988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1.1259191742118127E-3</v>
      </c>
      <c r="E559" s="18">
        <f>(O550*O550*(100-E555)*(100-E555)*(I550)*(100-I550))/((L550-1)*100)</f>
        <v>274.98825067403783</v>
      </c>
      <c r="F559" s="18">
        <f>(O551*O551*(100-F555)*(100-F555)*(I551)*(100-I551))/((L551-1)*100)</f>
        <v>468.43407833723512</v>
      </c>
      <c r="G559" s="18">
        <f>(O552*O552*(100-G555)*(100-G555)*(I552)*(100-I552))/((L552-1)*100)</f>
        <v>8.4803874744552186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3.4207881975340431E-3</v>
      </c>
      <c r="E560" s="18">
        <f>E555*E555*(SUM((H548*E548*(1-E537/H537))/(H537-1),(H549*E549*(1-E538/H538))/(H538-1), (H551*E551*(1-E540/H540))/(H540-1),(H552*E552*(1-E541/H541))/(H541-1)))</f>
        <v>1383.7223299922887</v>
      </c>
      <c r="F560" s="18">
        <f>F555*F555*(SUM((H548*F548*(1-F537/H537))/(H537-1),(H549*F549*(1-F538/H538))/(H538-1), (H550*F550*(1-F539/H539))/(H539-1),(H552*F552*(1-F541/H541))/(H541-1)))</f>
        <v>919.12230419723801</v>
      </c>
      <c r="G560" s="18">
        <f>G555*G555*(SUM((H548*G548*(1-G537/H537))/(H537-1),(H549*G549*(1-G538/H538))/(H538-1), (H550*G550*(1-G539/H539))/(H539-1),(H551*G551*(1-G540/H540))/(H540-1)))</f>
        <v>236.31181406204146</v>
      </c>
    </row>
    <row r="563" spans="1:16" x14ac:dyDescent="0.3">
      <c r="A563" s="348" t="s">
        <v>386</v>
      </c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 t="s">
        <v>92</v>
      </c>
      <c r="M563" s="348"/>
      <c r="N563" s="348"/>
      <c r="O563" s="348"/>
      <c r="P563" s="348"/>
    </row>
    <row r="564" spans="1:16" x14ac:dyDescent="0.3">
      <c r="A564" t="s">
        <v>15</v>
      </c>
      <c r="B564" t="s">
        <v>21</v>
      </c>
      <c r="I564" s="1" t="s">
        <v>53</v>
      </c>
      <c r="O564" s="142"/>
      <c r="P564" s="142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51</v>
      </c>
      <c r="O565" s="13"/>
      <c r="P565" s="13"/>
    </row>
    <row r="566" spans="1:16" x14ac:dyDescent="0.3">
      <c r="A566" t="s">
        <v>3</v>
      </c>
      <c r="B566" s="13">
        <v>0</v>
      </c>
      <c r="C566" s="26">
        <v>179</v>
      </c>
      <c r="D566" s="3">
        <v>205</v>
      </c>
      <c r="E566" s="3">
        <v>0</v>
      </c>
      <c r="F566" s="3">
        <v>66</v>
      </c>
      <c r="G566" s="4">
        <v>0</v>
      </c>
      <c r="H566" s="1">
        <f>SUM(C566:G566)</f>
        <v>450</v>
      </c>
      <c r="I566" s="10">
        <f>C566/H566</f>
        <v>0.39777777777777779</v>
      </c>
      <c r="J566" s="11">
        <f>1-I566</f>
        <v>0.60222222222222221</v>
      </c>
      <c r="K566">
        <f>H566-C571</f>
        <v>271</v>
      </c>
      <c r="N566" s="10">
        <f>2*(C572*I566)/(C572+I566)</f>
        <v>0.56915739268680443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59</v>
      </c>
      <c r="E567" s="1">
        <v>5</v>
      </c>
      <c r="F567" s="1">
        <v>0</v>
      </c>
      <c r="G567" s="6">
        <v>0</v>
      </c>
      <c r="H567" s="1">
        <f>SUM(C567:G567)</f>
        <v>64</v>
      </c>
      <c r="I567" s="10">
        <f>D567/H567</f>
        <v>0.921875</v>
      </c>
      <c r="J567" s="11">
        <f>1-I567</f>
        <v>7.8125E-2</v>
      </c>
      <c r="K567">
        <f>H567-D571</f>
        <v>-202</v>
      </c>
      <c r="N567" s="10">
        <f>2*(D572*I567)/(D572+I567)</f>
        <v>0.35757575757575755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0</v>
      </c>
      <c r="E568" s="27">
        <v>733</v>
      </c>
      <c r="F568" s="1">
        <v>14</v>
      </c>
      <c r="G568" s="6">
        <v>1</v>
      </c>
      <c r="H568" s="1">
        <f>SUM(C568:G568)</f>
        <v>748</v>
      </c>
      <c r="I568" s="10">
        <f>E568/H568</f>
        <v>0.97994652406417115</v>
      </c>
      <c r="J568" s="11">
        <f>1-I568</f>
        <v>2.0053475935828846E-2</v>
      </c>
      <c r="K568">
        <f>H568-E571</f>
        <v>-40</v>
      </c>
      <c r="N568" s="10">
        <f>2*(E572*I568)/(E572+I568)</f>
        <v>0.95442708333333337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2</v>
      </c>
      <c r="E569" s="1">
        <v>49</v>
      </c>
      <c r="F569" s="27">
        <v>557</v>
      </c>
      <c r="G569" s="6">
        <v>10</v>
      </c>
      <c r="H569" s="1">
        <f>SUM(C569:G569)</f>
        <v>618</v>
      </c>
      <c r="I569" s="10">
        <f>F569/H569</f>
        <v>0.90129449838187703</v>
      </c>
      <c r="J569" s="11">
        <f>1-I569</f>
        <v>9.8705501618122971E-2</v>
      </c>
      <c r="K569">
        <f>H569-F571</f>
        <v>-63</v>
      </c>
      <c r="N569" s="10">
        <f>2*(F572*I569)/(F572+I569)</f>
        <v>0.85758275596612776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0</v>
      </c>
      <c r="E570" s="8">
        <v>1</v>
      </c>
      <c r="F570" s="8">
        <v>44</v>
      </c>
      <c r="G570" s="28">
        <v>968</v>
      </c>
      <c r="H570" s="1">
        <f>SUM(C570:G570)</f>
        <v>1013</v>
      </c>
      <c r="I570" s="10">
        <f>G570/H570</f>
        <v>0.9555774925962488</v>
      </c>
      <c r="J570" s="11">
        <f>1-I570</f>
        <v>4.4422507403751199E-2</v>
      </c>
      <c r="K570">
        <f>H570-G571</f>
        <v>34</v>
      </c>
      <c r="N570" s="10">
        <f>2*(G572*I570)/(G572+I570)</f>
        <v>0.97188755020080331</v>
      </c>
      <c r="O570" s="1"/>
      <c r="P570" s="1"/>
    </row>
    <row r="571" spans="1:16" ht="15.6" x14ac:dyDescent="0.35">
      <c r="B571" s="1" t="s">
        <v>19</v>
      </c>
      <c r="C571" s="1">
        <f>SUM(C566:C570)</f>
        <v>179</v>
      </c>
      <c r="D571" s="1">
        <f>SUM(D566:D570)</f>
        <v>266</v>
      </c>
      <c r="E571" s="1">
        <f>SUM(E566:E570)</f>
        <v>788</v>
      </c>
      <c r="F571" s="1">
        <f>SUM(F566:F570)</f>
        <v>681</v>
      </c>
      <c r="G571" s="1">
        <f>SUM(G566:G570)</f>
        <v>979</v>
      </c>
      <c r="H571" s="1">
        <f>SUM(H565:H570)</f>
        <v>2893</v>
      </c>
      <c r="I571" s="13" t="s">
        <v>12</v>
      </c>
      <c r="N571" s="16"/>
      <c r="O571" s="1"/>
      <c r="P571" s="1"/>
    </row>
    <row r="572" spans="1:16" x14ac:dyDescent="0.3">
      <c r="A572" s="1" t="s">
        <v>52</v>
      </c>
      <c r="B572" s="1" t="s">
        <v>2</v>
      </c>
      <c r="C572" s="10">
        <f>C566/C571</f>
        <v>1</v>
      </c>
      <c r="D572" s="10">
        <f>D567/D571</f>
        <v>0.22180451127819548</v>
      </c>
      <c r="E572" s="10">
        <f>E568/E571</f>
        <v>0.93020304568527923</v>
      </c>
      <c r="F572" s="10">
        <f>F569/F571</f>
        <v>0.81791483113069019</v>
      </c>
      <c r="G572" s="10">
        <f>G570/G571</f>
        <v>0.9887640449438202</v>
      </c>
      <c r="H572" s="10"/>
      <c r="I572" s="14">
        <f>(C566+D567+E568+F569+G570)/H571</f>
        <v>0.86277220877981331</v>
      </c>
    </row>
    <row r="573" spans="1:16" x14ac:dyDescent="0.3">
      <c r="B573" s="1" t="s">
        <v>14</v>
      </c>
      <c r="C573" s="11">
        <f>1-C572</f>
        <v>0</v>
      </c>
      <c r="D573" s="11">
        <f>1-D572</f>
        <v>0.77819548872180455</v>
      </c>
      <c r="E573" s="11">
        <f>1-E572</f>
        <v>6.9796954314720772E-2</v>
      </c>
      <c r="F573" s="11">
        <f>1-F572</f>
        <v>0.18208516886930981</v>
      </c>
      <c r="G573" s="11">
        <f>1-G572</f>
        <v>1.1235955056179803E-2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7.0626665577885356E-2</v>
      </c>
      <c r="D577" s="31">
        <f>(D566/$L577)*$O577</f>
        <v>8.0885287393667585E-2</v>
      </c>
      <c r="E577" s="31">
        <f>(E566/$L577)*$O577</f>
        <v>0</v>
      </c>
      <c r="F577" s="31">
        <f>(F566/$L577)*$O577</f>
        <v>2.6041116916985664E-2</v>
      </c>
      <c r="G577" s="32">
        <f>(G566/$L577)*$O577</f>
        <v>0</v>
      </c>
      <c r="H577" s="17">
        <f>SUM(C577:G577)</f>
        <v>0.17755306988853861</v>
      </c>
      <c r="I577" s="17">
        <f>C577/H577*100</f>
        <v>39.777777777777779</v>
      </c>
      <c r="J577" s="17">
        <f>SQRT(I577*(100-I577)/(L577-1))</f>
        <v>2.3098058484532875</v>
      </c>
      <c r="K577" s="18">
        <f>100-I577</f>
        <v>60.222222222222221</v>
      </c>
      <c r="L577" s="1">
        <f>H566</f>
        <v>450</v>
      </c>
      <c r="M577">
        <v>0</v>
      </c>
      <c r="N577" s="1">
        <v>171.41</v>
      </c>
      <c r="O577" s="17">
        <f>N577/N582*100</f>
        <v>0.17755306988853861</v>
      </c>
      <c r="P577" s="52">
        <f>((O577*O577*(I577/100)*(K577/100))/(L577-1))</f>
        <v>1.681927705722554E-5</v>
      </c>
    </row>
    <row r="578" spans="1:16" x14ac:dyDescent="0.3">
      <c r="A578" t="s">
        <v>4</v>
      </c>
      <c r="B578" s="13">
        <v>1</v>
      </c>
      <c r="C578" s="33">
        <f t="shared" ref="C578:G581" si="59">(C567/$L578)*$O578</f>
        <v>0</v>
      </c>
      <c r="D578" s="34">
        <f t="shared" si="59"/>
        <v>0.76209742785773593</v>
      </c>
      <c r="E578" s="19">
        <f t="shared" si="59"/>
        <v>6.4584527784553897E-2</v>
      </c>
      <c r="F578" s="18">
        <f t="shared" si="59"/>
        <v>0</v>
      </c>
      <c r="G578" s="20">
        <f t="shared" si="59"/>
        <v>0</v>
      </c>
      <c r="H578" s="17">
        <f>SUM(C578:G578)</f>
        <v>0.82668195564228986</v>
      </c>
      <c r="I578" s="17">
        <f>D578/H578*100</f>
        <v>92.1875</v>
      </c>
      <c r="J578" s="17">
        <f>SQRT(I578*(100-I578)/(L578-1))</f>
        <v>3.3811213593755247</v>
      </c>
      <c r="K578" s="18">
        <f>100-I578</f>
        <v>7.8125</v>
      </c>
      <c r="L578" s="1">
        <f>H567</f>
        <v>64</v>
      </c>
      <c r="M578">
        <v>1</v>
      </c>
      <c r="N578" s="1">
        <v>798.08</v>
      </c>
      <c r="O578" s="17">
        <f>N578/N582*100</f>
        <v>0.82668195564228986</v>
      </c>
      <c r="P578" s="52">
        <f>((O578*O578*(I578/100)*(K578/100))/(L578-1))</f>
        <v>7.8126511911134921E-4</v>
      </c>
    </row>
    <row r="579" spans="1:16" x14ac:dyDescent="0.3">
      <c r="A579" t="s">
        <v>5</v>
      </c>
      <c r="B579" s="13">
        <v>2</v>
      </c>
      <c r="C579" s="33">
        <f t="shared" si="59"/>
        <v>0</v>
      </c>
      <c r="D579" s="19">
        <f t="shared" si="59"/>
        <v>0</v>
      </c>
      <c r="E579" s="34">
        <f t="shared" si="59"/>
        <v>58.930841098805146</v>
      </c>
      <c r="F579" s="19">
        <f t="shared" si="59"/>
        <v>1.125554945952622</v>
      </c>
      <c r="G579" s="20">
        <f t="shared" si="59"/>
        <v>8.0396781853758717E-2</v>
      </c>
      <c r="H579" s="17">
        <f>SUM(C579:G579)</f>
        <v>60.136792826611526</v>
      </c>
      <c r="I579" s="17">
        <f>E579/H579*100</f>
        <v>97.994652406417117</v>
      </c>
      <c r="J579" s="17">
        <f>SQRT(I579*(100-I579)/(L579-1))</f>
        <v>0.5129035654513856</v>
      </c>
      <c r="K579" s="18">
        <f>100-I579</f>
        <v>2.0053475935828828</v>
      </c>
      <c r="L579" s="1">
        <f>H568</f>
        <v>748</v>
      </c>
      <c r="M579">
        <v>2</v>
      </c>
      <c r="N579" s="1">
        <v>58056.15</v>
      </c>
      <c r="O579" s="17">
        <f>N579/N582*100</f>
        <v>60.136792826611526</v>
      </c>
      <c r="P579" s="52">
        <f>((O579*O579*(I579/100)*(K579/100))/(L579-1))</f>
        <v>9.5137549724480824E-2</v>
      </c>
    </row>
    <row r="580" spans="1:16" x14ac:dyDescent="0.3">
      <c r="A580" t="s">
        <v>6</v>
      </c>
      <c r="B580" s="13">
        <v>3</v>
      </c>
      <c r="C580" s="33">
        <f t="shared" si="59"/>
        <v>0</v>
      </c>
      <c r="D580" s="19">
        <f t="shared" si="59"/>
        <v>0.10708702452817027</v>
      </c>
      <c r="E580" s="19">
        <f t="shared" si="59"/>
        <v>2.6236321009401715</v>
      </c>
      <c r="F580" s="34">
        <f t="shared" si="59"/>
        <v>29.823736331095422</v>
      </c>
      <c r="G580" s="20">
        <f t="shared" si="59"/>
        <v>0.53543512264085136</v>
      </c>
      <c r="H580" s="17">
        <f>SUM(C580:G580)</f>
        <v>33.089890579204614</v>
      </c>
      <c r="I580" s="17">
        <f>F580/H580*100</f>
        <v>90.129449838187696</v>
      </c>
      <c r="J580" s="17">
        <f>SQRT(I580*(100-I580)/(L580-1))</f>
        <v>1.2007745040335751</v>
      </c>
      <c r="K580" s="18">
        <f>100-I580</f>
        <v>9.8705501618123037</v>
      </c>
      <c r="L580" s="1">
        <f>H569</f>
        <v>618</v>
      </c>
      <c r="M580">
        <v>3</v>
      </c>
      <c r="N580" s="1">
        <v>31945.03</v>
      </c>
      <c r="O580" s="17">
        <f>N580/N582*100</f>
        <v>33.089890579204614</v>
      </c>
      <c r="P580" s="52">
        <f>((O580*O580*(I580/100)*(K580/100))/(L580-1))</f>
        <v>0.15787507797778907</v>
      </c>
    </row>
    <row r="581" spans="1:16" x14ac:dyDescent="0.3">
      <c r="A581" t="s">
        <v>7</v>
      </c>
      <c r="B581" s="13">
        <v>4</v>
      </c>
      <c r="C581" s="35">
        <f t="shared" si="59"/>
        <v>0</v>
      </c>
      <c r="D581" s="36">
        <f t="shared" si="59"/>
        <v>0</v>
      </c>
      <c r="E581" s="21">
        <f t="shared" si="59"/>
        <v>5.6950459710296561E-3</v>
      </c>
      <c r="F581" s="21">
        <f t="shared" si="59"/>
        <v>0.25058202272530489</v>
      </c>
      <c r="G581" s="37">
        <f t="shared" si="59"/>
        <v>5.5128044999567072</v>
      </c>
      <c r="H581" s="17">
        <f>SUM(C581:G581)</f>
        <v>5.7690815686530419</v>
      </c>
      <c r="I581" s="17">
        <f>G581/H581*100</f>
        <v>95.55774925962487</v>
      </c>
      <c r="J581" s="17">
        <f>SQRT(I581*(100-I581)/(L581-1))</f>
        <v>0.64765576239113953</v>
      </c>
      <c r="K581" s="18">
        <f>100-I581</f>
        <v>4.4422507403751297</v>
      </c>
      <c r="L581" s="1">
        <f>H570</f>
        <v>1013</v>
      </c>
      <c r="M581">
        <v>4</v>
      </c>
      <c r="N581" s="1">
        <v>5569.48</v>
      </c>
      <c r="O581" s="17">
        <f>N581/N582*100</f>
        <v>5.7690815686530419</v>
      </c>
      <c r="P581" s="52">
        <f>((O581*O581*(I581/100)*(K581/100))/(L581-1))</f>
        <v>1.3960527446095544E-3</v>
      </c>
    </row>
    <row r="582" spans="1:16" x14ac:dyDescent="0.3">
      <c r="B582" t="s">
        <v>28</v>
      </c>
      <c r="C582" s="17">
        <f t="shared" ref="C582:H582" si="60">SUM(C577:C581)</f>
        <v>7.0626665577885356E-2</v>
      </c>
      <c r="D582" s="17">
        <f t="shared" si="60"/>
        <v>0.95006973977957387</v>
      </c>
      <c r="E582" s="17">
        <f t="shared" si="60"/>
        <v>61.624752773500902</v>
      </c>
      <c r="F582" s="17">
        <f t="shared" si="60"/>
        <v>31.225914416690333</v>
      </c>
      <c r="G582" s="17">
        <f t="shared" si="60"/>
        <v>6.1286364044513171</v>
      </c>
      <c r="H582" s="18">
        <f t="shared" si="60"/>
        <v>100</v>
      </c>
      <c r="I582" s="13" t="s">
        <v>24</v>
      </c>
      <c r="J582" s="12" t="s">
        <v>29</v>
      </c>
      <c r="N582" s="1">
        <f>SUM(N577:N581)</f>
        <v>96540.15</v>
      </c>
      <c r="O582" s="17">
        <f>SUM(O577:O581)</f>
        <v>100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4.0965718455786004E-3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8.0633075003014545E-2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0.4745018822682695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0.49778588657794332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0.18988115240661588</v>
      </c>
      <c r="H583" s="1"/>
      <c r="I583" s="56">
        <f>(C577+D578+E579+F580+G581)/H582</f>
        <v>0.95100106023292896</v>
      </c>
      <c r="J583" s="53">
        <f>SQRT(SUM(P577:P581))/100</f>
        <v>5.0517993313575716E-3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80.214893280839632</v>
      </c>
      <c r="E584" s="17">
        <f>E579/E582*100</f>
        <v>95.628523355546577</v>
      </c>
      <c r="F584" s="17">
        <f>F580/F582*100</f>
        <v>95.509569177434742</v>
      </c>
      <c r="G584" s="17">
        <f>G581/G582*100</f>
        <v>89.951567300560981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8.649457005905024</v>
      </c>
      <c r="E585" s="18">
        <f>SQRT((E588+E589)/(E582*E582))</f>
        <v>0.60149399044061913</v>
      </c>
      <c r="F585" s="18">
        <f>SQRT((F588+F589)/(F582*F582))</f>
        <v>1.0822182788512356</v>
      </c>
      <c r="G585" s="18">
        <f>SQRT((G588+G589)/(G582*G582))</f>
        <v>2.8024207530238949</v>
      </c>
      <c r="H585" s="1"/>
    </row>
    <row r="586" spans="1:16" x14ac:dyDescent="0.3">
      <c r="B586" s="1" t="s">
        <v>37</v>
      </c>
      <c r="C586" s="18">
        <f>100-C584</f>
        <v>0</v>
      </c>
      <c r="D586" s="18">
        <f>100-D584</f>
        <v>19.785106719160368</v>
      </c>
      <c r="E586" s="18">
        <f>100-E584</f>
        <v>4.3714766444534234</v>
      </c>
      <c r="F586" s="18">
        <f>100-F584</f>
        <v>4.4904308225652585</v>
      </c>
      <c r="G586" s="18">
        <f>100-G584</f>
        <v>10.048432699439019</v>
      </c>
    </row>
    <row r="587" spans="1:16" ht="15.6" x14ac:dyDescent="0.35">
      <c r="B587" s="1" t="s">
        <v>25</v>
      </c>
      <c r="C587" s="1">
        <f>C571</f>
        <v>179</v>
      </c>
      <c r="D587" s="1">
        <f>D571</f>
        <v>266</v>
      </c>
      <c r="E587" s="1">
        <f>E571</f>
        <v>788</v>
      </c>
      <c r="F587" s="1">
        <f>F571</f>
        <v>681</v>
      </c>
      <c r="G587" s="1">
        <f>G571</f>
        <v>979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30.582658079585052</v>
      </c>
      <c r="E588" s="18">
        <f>(O579*O579*(100-E584)*(100-E584)*(I579)*(100-I579))/((L579-1)*100)</f>
        <v>181.80603138677392</v>
      </c>
      <c r="F588" s="18">
        <f>(O580*O580*(100-F584)*(100-F584)*(I580)*(100-I580))/((L580-1)*100)</f>
        <v>318.33881738347571</v>
      </c>
      <c r="G588" s="18">
        <f>(O581*O581*(100-G584)*(100-G584)*(I581)*(100-I581))/((L581-1)*100)</f>
        <v>14.096084127831311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36.94608405197782</v>
      </c>
      <c r="E589" s="18">
        <f>E584*E584*(SUM((H577*E577*(1-E566/H566))/(H566-1),(H578*E578*(1-E567/H567))/(H567-1), (H580*E580*(1-E569/H569))/(H569-1),(H581*E581*(1-E570/H570))/(H570-1)))</f>
        <v>1192.1504124110081</v>
      </c>
      <c r="F589" s="18">
        <f>F584*F584*(SUM((H577*F577*(1-F566/H566))/(H566-1),(H578*F578*(1-F567/H567))/(H567-1), (H579*F579*(1-F568/H568))/(H568-1),(H581*F581*(1-F570/H570))/(H570-1)))</f>
        <v>823.64529014440654</v>
      </c>
      <c r="G589" s="18">
        <f>G584*G584*(SUM((H577*G577*(1-G566/H566))/(H566-1),(H578*G578*(1-G567/H567))/(H567-1), (H579*G579*(1-G568/H568))/(H568-1),(H580*G580*(1-G569/H569))/(H569-1)))</f>
        <v>280.88515393658935</v>
      </c>
    </row>
    <row r="592" spans="1:16" x14ac:dyDescent="0.3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48"/>
      <c r="B998" s="348"/>
      <c r="C998" s="348"/>
      <c r="D998" s="348"/>
      <c r="E998" s="348"/>
      <c r="F998" s="348"/>
      <c r="G998" s="348"/>
      <c r="H998" s="348"/>
      <c r="I998" s="348"/>
      <c r="J998" s="348"/>
      <c r="K998" s="348"/>
      <c r="L998" s="348"/>
      <c r="M998" s="348"/>
      <c r="N998" s="348"/>
      <c r="O998" s="348"/>
      <c r="P998" s="348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48"/>
      <c r="B1027" s="348"/>
      <c r="C1027" s="348"/>
      <c r="D1027" s="348"/>
      <c r="E1027" s="348"/>
      <c r="F1027" s="348"/>
      <c r="G1027" s="348"/>
      <c r="H1027" s="348"/>
      <c r="I1027" s="348"/>
      <c r="J1027" s="348"/>
      <c r="K1027" s="348"/>
      <c r="L1027" s="348"/>
      <c r="M1027" s="348"/>
      <c r="N1027" s="348"/>
      <c r="O1027" s="348"/>
      <c r="P1027" s="348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48"/>
      <c r="B1056" s="348"/>
      <c r="C1056" s="348"/>
      <c r="D1056" s="348"/>
      <c r="E1056" s="348"/>
      <c r="F1056" s="348"/>
      <c r="G1056" s="348"/>
      <c r="H1056" s="348"/>
      <c r="I1056" s="348"/>
      <c r="J1056" s="348"/>
      <c r="K1056" s="348"/>
      <c r="L1056" s="348"/>
      <c r="M1056" s="348"/>
      <c r="N1056" s="348"/>
      <c r="O1056" s="348"/>
      <c r="P1056" s="348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48"/>
      <c r="B1085" s="348"/>
      <c r="C1085" s="348"/>
      <c r="D1085" s="348"/>
      <c r="E1085" s="348"/>
      <c r="F1085" s="348"/>
      <c r="G1085" s="348"/>
      <c r="H1085" s="348"/>
      <c r="I1085" s="348"/>
      <c r="J1085" s="348"/>
      <c r="K1085" s="348"/>
      <c r="L1085" s="348"/>
      <c r="M1085" s="348"/>
      <c r="N1085" s="348"/>
      <c r="O1085" s="348"/>
      <c r="P1085" s="348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48"/>
      <c r="B1114" s="348"/>
      <c r="C1114" s="348"/>
      <c r="D1114" s="348"/>
      <c r="E1114" s="348"/>
      <c r="F1114" s="348"/>
      <c r="G1114" s="348"/>
      <c r="H1114" s="348"/>
      <c r="I1114" s="348"/>
      <c r="J1114" s="348"/>
      <c r="K1114" s="348"/>
      <c r="L1114" s="348"/>
      <c r="M1114" s="348"/>
      <c r="N1114" s="348"/>
      <c r="O1114" s="348"/>
      <c r="P1114" s="348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48"/>
      <c r="B1143" s="348"/>
      <c r="C1143" s="348"/>
      <c r="D1143" s="348"/>
      <c r="E1143" s="348"/>
      <c r="F1143" s="348"/>
      <c r="G1143" s="348"/>
      <c r="H1143" s="348"/>
      <c r="I1143" s="348"/>
      <c r="J1143" s="348"/>
      <c r="K1143" s="348"/>
      <c r="L1143" s="348"/>
      <c r="M1143" s="348"/>
      <c r="N1143" s="348"/>
      <c r="O1143" s="348"/>
      <c r="P1143" s="348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48"/>
      <c r="B1172" s="348"/>
      <c r="C1172" s="348"/>
      <c r="D1172" s="348"/>
      <c r="E1172" s="348"/>
      <c r="F1172" s="348"/>
      <c r="G1172" s="348"/>
      <c r="H1172" s="348"/>
      <c r="I1172" s="348"/>
      <c r="J1172" s="348"/>
      <c r="K1172" s="348"/>
      <c r="L1172" s="348"/>
      <c r="M1172" s="348"/>
      <c r="N1172" s="348"/>
      <c r="O1172" s="348"/>
      <c r="P1172" s="348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48"/>
      <c r="B1201" s="348"/>
      <c r="C1201" s="348"/>
      <c r="D1201" s="348"/>
      <c r="E1201" s="348"/>
      <c r="F1201" s="348"/>
      <c r="G1201" s="348"/>
      <c r="H1201" s="348"/>
      <c r="I1201" s="348"/>
      <c r="J1201" s="348"/>
      <c r="K1201" s="348"/>
      <c r="L1201" s="348"/>
      <c r="M1201" s="348"/>
      <c r="N1201" s="348"/>
      <c r="O1201" s="348"/>
      <c r="P1201" s="348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48"/>
      <c r="B1230" s="348"/>
      <c r="C1230" s="348"/>
      <c r="D1230" s="348"/>
      <c r="E1230" s="348"/>
      <c r="F1230" s="348"/>
      <c r="G1230" s="348"/>
      <c r="H1230" s="348"/>
      <c r="I1230" s="348"/>
      <c r="J1230" s="348"/>
      <c r="K1230" s="348"/>
      <c r="L1230" s="348"/>
      <c r="M1230" s="348"/>
      <c r="N1230" s="348"/>
      <c r="O1230" s="348"/>
      <c r="P1230" s="348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48"/>
      <c r="B1259" s="348"/>
      <c r="C1259" s="348"/>
      <c r="D1259" s="348"/>
      <c r="E1259" s="348"/>
      <c r="F1259" s="348"/>
      <c r="G1259" s="348"/>
      <c r="H1259" s="348"/>
      <c r="I1259" s="348"/>
      <c r="J1259" s="348"/>
      <c r="K1259" s="348"/>
      <c r="L1259" s="348"/>
      <c r="M1259" s="348"/>
      <c r="N1259" s="348"/>
      <c r="O1259" s="348"/>
      <c r="P1259" s="348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48"/>
      <c r="B1288" s="348"/>
      <c r="C1288" s="348"/>
      <c r="D1288" s="348"/>
      <c r="E1288" s="348"/>
      <c r="F1288" s="348"/>
      <c r="G1288" s="348"/>
      <c r="H1288" s="348"/>
      <c r="I1288" s="348"/>
      <c r="J1288" s="348"/>
      <c r="K1288" s="348"/>
      <c r="L1288" s="348"/>
      <c r="M1288" s="348"/>
      <c r="N1288" s="348"/>
      <c r="O1288" s="348"/>
      <c r="P1288" s="348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48"/>
      <c r="B1317" s="348"/>
      <c r="C1317" s="348"/>
      <c r="D1317" s="348"/>
      <c r="E1317" s="348"/>
      <c r="F1317" s="348"/>
      <c r="G1317" s="348"/>
      <c r="H1317" s="348"/>
      <c r="I1317" s="348"/>
      <c r="J1317" s="348"/>
      <c r="K1317" s="348"/>
      <c r="L1317" s="348"/>
      <c r="M1317" s="348"/>
      <c r="N1317" s="348"/>
      <c r="O1317" s="348"/>
      <c r="P1317" s="348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48"/>
      <c r="B1346" s="348"/>
      <c r="C1346" s="348"/>
      <c r="D1346" s="348"/>
      <c r="E1346" s="348"/>
      <c r="F1346" s="348"/>
      <c r="G1346" s="348"/>
      <c r="H1346" s="348"/>
      <c r="I1346" s="348"/>
      <c r="J1346" s="348"/>
      <c r="K1346" s="348"/>
      <c r="L1346" s="348"/>
      <c r="M1346" s="348"/>
      <c r="N1346" s="348"/>
      <c r="O1346" s="348"/>
      <c r="P1346" s="348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48"/>
      <c r="B1375" s="348"/>
      <c r="C1375" s="348"/>
      <c r="D1375" s="348"/>
      <c r="E1375" s="348"/>
      <c r="F1375" s="348"/>
      <c r="G1375" s="348"/>
      <c r="H1375" s="348"/>
      <c r="I1375" s="348"/>
      <c r="J1375" s="348"/>
      <c r="K1375" s="348"/>
      <c r="L1375" s="348"/>
      <c r="M1375" s="348"/>
      <c r="N1375" s="348"/>
      <c r="O1375" s="348"/>
      <c r="P1375" s="348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48"/>
      <c r="B1404" s="348"/>
      <c r="C1404" s="348"/>
      <c r="D1404" s="348"/>
      <c r="E1404" s="348"/>
      <c r="F1404" s="348"/>
      <c r="G1404" s="348"/>
      <c r="H1404" s="348"/>
      <c r="I1404" s="348"/>
      <c r="J1404" s="348"/>
      <c r="K1404" s="348"/>
      <c r="L1404" s="348"/>
      <c r="M1404" s="348"/>
      <c r="N1404" s="348"/>
      <c r="O1404" s="348"/>
      <c r="P1404" s="348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48"/>
      <c r="B1433" s="348"/>
      <c r="C1433" s="348"/>
      <c r="D1433" s="348"/>
      <c r="E1433" s="348"/>
      <c r="F1433" s="348"/>
      <c r="G1433" s="348"/>
      <c r="H1433" s="348"/>
      <c r="I1433" s="348"/>
      <c r="J1433" s="348"/>
      <c r="K1433" s="348"/>
      <c r="L1433" s="348"/>
      <c r="M1433" s="348"/>
      <c r="N1433" s="348"/>
      <c r="O1433" s="348"/>
      <c r="P1433" s="348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02"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D06BC-DEA0-454A-8E52-C41106B1A704}">
  <dimension ref="A1:BE1459"/>
  <sheetViews>
    <sheetView topLeftCell="AI99" zoomScale="80" zoomScaleNormal="80" workbookViewId="0">
      <selection activeCell="AL109" sqref="AL109:AS135"/>
    </sheetView>
  </sheetViews>
  <sheetFormatPr baseColWidth="10" defaultRowHeight="14.4" x14ac:dyDescent="0.3"/>
  <cols>
    <col min="1" max="1" width="16.6640625" bestFit="1" customWidth="1"/>
    <col min="8" max="8" width="7.109375" bestFit="1" customWidth="1"/>
    <col min="9" max="9" width="7.109375" customWidth="1"/>
    <col min="10" max="10" width="9.88671875" bestFit="1" customWidth="1"/>
    <col min="11" max="11" width="12.109375" bestFit="1" customWidth="1"/>
    <col min="12" max="12" width="6.5546875" bestFit="1" customWidth="1"/>
    <col min="13" max="13" width="5.5546875" bestFit="1" customWidth="1"/>
    <col min="14" max="14" width="9.5546875" bestFit="1" customWidth="1"/>
    <col min="15" max="15" width="7.44140625" bestFit="1" customWidth="1"/>
    <col min="16" max="16" width="18.5546875" customWidth="1"/>
    <col min="22" max="22" width="12" bestFit="1" customWidth="1"/>
    <col min="24" max="25" width="11.5546875" customWidth="1"/>
    <col min="26" max="26" width="7.109375" bestFit="1" customWidth="1"/>
    <col min="27" max="27" width="10" bestFit="1" customWidth="1"/>
    <col min="28" max="28" width="5.44140625" bestFit="1" customWidth="1"/>
    <col min="36" max="36" width="17.21875" bestFit="1" customWidth="1"/>
  </cols>
  <sheetData>
    <row r="1" spans="1:57" x14ac:dyDescent="0.3">
      <c r="A1" s="12"/>
      <c r="B1" s="12" t="s">
        <v>10</v>
      </c>
      <c r="C1" s="12"/>
      <c r="D1" s="12"/>
      <c r="E1" s="12"/>
      <c r="F1" s="12"/>
    </row>
    <row r="2" spans="1:57" x14ac:dyDescent="0.3">
      <c r="A2" s="12" t="s">
        <v>8</v>
      </c>
      <c r="B2" s="12" t="s">
        <v>9</v>
      </c>
      <c r="C2" s="13" t="s">
        <v>11</v>
      </c>
      <c r="D2" s="12"/>
      <c r="E2" s="12"/>
      <c r="F2" s="12"/>
      <c r="AG2" s="51" t="s">
        <v>122</v>
      </c>
      <c r="AH2" s="51" t="s">
        <v>126</v>
      </c>
    </row>
    <row r="3" spans="1:57" x14ac:dyDescent="0.3">
      <c r="A3" s="12" t="s">
        <v>3</v>
      </c>
      <c r="B3" s="103">
        <v>51.51</v>
      </c>
      <c r="C3" s="22">
        <f>B3/$B$8</f>
        <v>7.4793088427472038E-2</v>
      </c>
      <c r="D3" s="85">
        <v>0.01</v>
      </c>
      <c r="E3" s="86">
        <f>D3-C3</f>
        <v>-6.4793088427472043E-2</v>
      </c>
      <c r="F3" s="12"/>
      <c r="G3" t="s">
        <v>46</v>
      </c>
      <c r="AG3" s="51" t="s">
        <v>123</v>
      </c>
      <c r="AH3" s="51" t="s">
        <v>129</v>
      </c>
    </row>
    <row r="4" spans="1:57" x14ac:dyDescent="0.3">
      <c r="A4" s="12" t="s">
        <v>4</v>
      </c>
      <c r="B4" s="103">
        <v>20.98</v>
      </c>
      <c r="C4" s="22">
        <f>B4/$B$8</f>
        <v>3.0463191520255551E-2</v>
      </c>
      <c r="D4" s="85">
        <v>0.01</v>
      </c>
      <c r="E4" s="86">
        <f>D4-C4</f>
        <v>-2.0463191520255553E-2</v>
      </c>
      <c r="F4" s="12"/>
      <c r="G4" t="s">
        <v>635</v>
      </c>
      <c r="AG4" s="51" t="s">
        <v>124</v>
      </c>
      <c r="AH4" s="51" t="s">
        <v>127</v>
      </c>
    </row>
    <row r="5" spans="1:57" x14ac:dyDescent="0.3">
      <c r="A5" s="12" t="s">
        <v>5</v>
      </c>
      <c r="B5" s="103">
        <v>234.23</v>
      </c>
      <c r="C5" s="22">
        <f>B5/$B$8</f>
        <v>0.34010454479454039</v>
      </c>
      <c r="D5" s="85">
        <v>0.42</v>
      </c>
      <c r="E5" s="86">
        <f>D5-C5</f>
        <v>7.9895455205459598E-2</v>
      </c>
      <c r="F5" s="12" t="s">
        <v>45</v>
      </c>
      <c r="AG5" s="51" t="s">
        <v>125</v>
      </c>
      <c r="AH5" s="51" t="s">
        <v>128</v>
      </c>
    </row>
    <row r="6" spans="1:57" x14ac:dyDescent="0.3">
      <c r="A6" s="12" t="s">
        <v>6</v>
      </c>
      <c r="B6" s="103">
        <v>206.92</v>
      </c>
      <c r="C6" s="22">
        <f>B6/$B$8</f>
        <v>0.30045012342093796</v>
      </c>
      <c r="D6" s="85">
        <v>0.35</v>
      </c>
      <c r="E6" s="86">
        <f>D6-C6</f>
        <v>4.9549876579062013E-2</v>
      </c>
      <c r="F6" s="12" t="s">
        <v>45</v>
      </c>
      <c r="I6" s="12"/>
      <c r="J6" s="12" t="s">
        <v>50</v>
      </c>
      <c r="K6" s="12"/>
      <c r="AG6" s="51" t="s">
        <v>150</v>
      </c>
      <c r="AH6" s="51" t="s">
        <v>152</v>
      </c>
    </row>
    <row r="7" spans="1:57" x14ac:dyDescent="0.3">
      <c r="A7" s="12" t="s">
        <v>7</v>
      </c>
      <c r="B7" s="103">
        <v>175.06</v>
      </c>
      <c r="C7" s="22">
        <f>B7/$B$8</f>
        <v>0.25418905183679397</v>
      </c>
      <c r="D7" s="85">
        <v>0.21</v>
      </c>
      <c r="E7" s="86">
        <f>D7-C7</f>
        <v>-4.4189051836793974E-2</v>
      </c>
      <c r="F7" s="12"/>
      <c r="I7" s="12"/>
      <c r="J7" s="12">
        <v>8609</v>
      </c>
      <c r="K7" s="12"/>
      <c r="AG7" s="51" t="s">
        <v>151</v>
      </c>
      <c r="AH7" s="51" t="s">
        <v>153</v>
      </c>
    </row>
    <row r="8" spans="1:57" x14ac:dyDescent="0.3">
      <c r="A8" s="12"/>
      <c r="B8" s="103">
        <f>SUM(B3:B7)</f>
        <v>688.7</v>
      </c>
      <c r="C8" s="61">
        <f>SUM(C3:C7)</f>
        <v>0.99999999999999989</v>
      </c>
      <c r="D8" s="12"/>
      <c r="E8" s="12" t="s">
        <v>16</v>
      </c>
      <c r="F8" s="134">
        <v>96538.34</v>
      </c>
      <c r="I8" s="12" t="s">
        <v>55</v>
      </c>
      <c r="J8" s="12" t="s">
        <v>50</v>
      </c>
      <c r="K8" s="12" t="s">
        <v>54</v>
      </c>
      <c r="AG8" s="51" t="s">
        <v>205</v>
      </c>
      <c r="AH8" s="51" t="s">
        <v>210</v>
      </c>
    </row>
    <row r="9" spans="1:57" x14ac:dyDescent="0.3">
      <c r="A9" s="12"/>
      <c r="B9" s="87">
        <f>B8/0.36</f>
        <v>1913.0555555555557</v>
      </c>
      <c r="C9" s="12" t="s">
        <v>44</v>
      </c>
      <c r="D9" s="12"/>
      <c r="E9" s="12" t="s">
        <v>47</v>
      </c>
      <c r="F9" s="88">
        <f>B8/F8</f>
        <v>7.1339532044988555E-3</v>
      </c>
      <c r="G9" s="46"/>
      <c r="I9" s="12">
        <v>2893</v>
      </c>
      <c r="J9" s="12">
        <v>8529</v>
      </c>
      <c r="K9" s="89">
        <f>(J7-J9)/J7</f>
        <v>9.2926007666395624E-3</v>
      </c>
      <c r="AG9" s="51" t="s">
        <v>206</v>
      </c>
      <c r="AH9" s="51" t="s">
        <v>211</v>
      </c>
    </row>
    <row r="10" spans="1:57" x14ac:dyDescent="0.3">
      <c r="A10" s="129" t="s">
        <v>636</v>
      </c>
      <c r="B10" s="130">
        <v>24756</v>
      </c>
      <c r="F10" s="46"/>
      <c r="I10" s="89">
        <f>I9/(I9+J9)</f>
        <v>0.25328313780423745</v>
      </c>
      <c r="J10" s="89">
        <f>J9/(J9+I9)</f>
        <v>0.74671686219576261</v>
      </c>
      <c r="K10" s="12"/>
      <c r="AG10" s="51" t="s">
        <v>207</v>
      </c>
      <c r="AH10" s="51" t="s">
        <v>212</v>
      </c>
    </row>
    <row r="11" spans="1:57" x14ac:dyDescent="0.3">
      <c r="B11" s="18"/>
      <c r="F11" s="46"/>
      <c r="I11" s="45"/>
      <c r="J11" s="45"/>
      <c r="AG11" s="51" t="s">
        <v>208</v>
      </c>
      <c r="AH11" s="51" t="s">
        <v>213</v>
      </c>
    </row>
    <row r="12" spans="1:57" x14ac:dyDescent="0.3">
      <c r="A12" s="348" t="s">
        <v>388</v>
      </c>
      <c r="B12" s="348"/>
      <c r="C12" s="348"/>
      <c r="D12" s="348"/>
      <c r="E12" s="348"/>
      <c r="F12" s="348"/>
      <c r="G12" s="348"/>
      <c r="H12" s="348"/>
      <c r="I12" s="348"/>
      <c r="J12" s="348"/>
      <c r="K12" s="348"/>
      <c r="L12" s="348" t="s">
        <v>48</v>
      </c>
      <c r="M12" s="348"/>
      <c r="N12" s="348"/>
      <c r="O12" s="348"/>
      <c r="P12" s="348"/>
      <c r="R12" s="47" t="s">
        <v>388</v>
      </c>
      <c r="S12" s="47" t="s">
        <v>633</v>
      </c>
      <c r="T12" s="47"/>
      <c r="U12" s="47"/>
      <c r="V12" s="47"/>
      <c r="W12" s="47"/>
      <c r="X12" s="47"/>
      <c r="Y12" s="47"/>
      <c r="Z12" s="47"/>
      <c r="AA12" s="47"/>
      <c r="AB12" s="47" t="s">
        <v>58</v>
      </c>
      <c r="AC12" s="47"/>
      <c r="AD12" s="47"/>
      <c r="AE12" s="47"/>
      <c r="AF12" s="47"/>
      <c r="AG12" s="51" t="s">
        <v>209</v>
      </c>
      <c r="AH12" s="51" t="s">
        <v>214</v>
      </c>
      <c r="AW12" s="66"/>
      <c r="AX12" s="77" t="s">
        <v>323</v>
      </c>
      <c r="AY12" s="77" t="s">
        <v>326</v>
      </c>
      <c r="AZ12" s="77" t="s">
        <v>324</v>
      </c>
      <c r="BA12" s="77" t="s">
        <v>325</v>
      </c>
      <c r="BB12" s="77" t="s">
        <v>327</v>
      </c>
      <c r="BC12" s="77" t="s">
        <v>328</v>
      </c>
      <c r="BD12" s="77" t="s">
        <v>349</v>
      </c>
      <c r="BE12" s="13"/>
    </row>
    <row r="13" spans="1:57" x14ac:dyDescent="0.3">
      <c r="A13" t="s">
        <v>315</v>
      </c>
      <c r="B13" t="s">
        <v>21</v>
      </c>
      <c r="I13" s="1" t="s">
        <v>53</v>
      </c>
      <c r="AG13" s="51" t="s">
        <v>319</v>
      </c>
      <c r="AH13" s="51" t="s">
        <v>321</v>
      </c>
      <c r="AW13" s="51" t="s">
        <v>126</v>
      </c>
      <c r="AX13" s="80">
        <f>MIN($AE$16:$AE$20)</f>
        <v>0.96787351525662502</v>
      </c>
      <c r="AY13" s="80">
        <f>_xlfn.QUARTILE.EXC($AE$16:$AE$20,1)</f>
        <v>0.96901383570991495</v>
      </c>
      <c r="AZ13" s="80">
        <f>MEDIAN($AE$16:$AE$20)</f>
        <v>0.9702474608268099</v>
      </c>
      <c r="BA13" s="80">
        <f>AVERAGE($AE$16:$AE$20)</f>
        <v>0.970453627716094</v>
      </c>
      <c r="BB13" s="80">
        <f>_xlfn.QUARTILE.EXC(AE16:AE20,3)</f>
        <v>0.97199650316691499</v>
      </c>
      <c r="BC13" s="80">
        <f>MAX(AE16:AE20)</f>
        <v>0.97320026575226815</v>
      </c>
      <c r="BD13" s="80">
        <f>(BB13-AY13)/AZ13</f>
        <v>3.0741306495750288E-3</v>
      </c>
      <c r="BE13" s="80"/>
    </row>
    <row r="14" spans="1:57" ht="15.6" x14ac:dyDescent="0.35">
      <c r="B14" s="1" t="s">
        <v>0</v>
      </c>
      <c r="C14" s="13">
        <v>0</v>
      </c>
      <c r="D14" s="13">
        <v>1</v>
      </c>
      <c r="E14" s="13">
        <v>2</v>
      </c>
      <c r="F14" s="13">
        <v>3</v>
      </c>
      <c r="G14" s="13">
        <v>4</v>
      </c>
      <c r="H14" s="1" t="s">
        <v>20</v>
      </c>
      <c r="I14" s="1" t="s">
        <v>1</v>
      </c>
      <c r="J14" s="1" t="s">
        <v>13</v>
      </c>
      <c r="N14" s="1" t="s">
        <v>51</v>
      </c>
      <c r="T14" t="s">
        <v>3</v>
      </c>
      <c r="U14" t="s">
        <v>4</v>
      </c>
      <c r="V14" t="s">
        <v>5</v>
      </c>
      <c r="W14" t="s">
        <v>6</v>
      </c>
      <c r="X14" t="s">
        <v>7</v>
      </c>
      <c r="AG14" s="51" t="s">
        <v>320</v>
      </c>
      <c r="AH14" s="51" t="s">
        <v>322</v>
      </c>
      <c r="AW14" s="51" t="s">
        <v>129</v>
      </c>
      <c r="AX14" s="80">
        <f>MIN($AE$16:$AE$25)</f>
        <v>0.96433578790436825</v>
      </c>
      <c r="AY14" s="80">
        <f>_xlfn.QUARTILE.EXC($AE$16:$AE$25,1)</f>
        <v>0.96719809783725885</v>
      </c>
      <c r="AZ14" s="80">
        <f>MEDIAN($AE$16:$AE$25)</f>
        <v>0.96979258950485825</v>
      </c>
      <c r="BA14" s="80">
        <f>AVERAGE($AE$16:$AE$25)</f>
        <v>0.96911827411186491</v>
      </c>
      <c r="BB14" s="80">
        <f>_xlfn.QUARTILE.EXC($AE$16:$AE$25,3)</f>
        <v>0.97084365436233622</v>
      </c>
      <c r="BC14" s="80">
        <f>MAX($AE$16:$AE$25)</f>
        <v>0.97320026575226815</v>
      </c>
      <c r="BD14" s="80">
        <f t="shared" ref="BD14:BD23" si="0">(BB14-AY14)/AZ14</f>
        <v>3.759109488492438E-3</v>
      </c>
      <c r="BE14" s="80"/>
    </row>
    <row r="15" spans="1:57" x14ac:dyDescent="0.3">
      <c r="A15" t="s">
        <v>3</v>
      </c>
      <c r="B15" s="13">
        <v>0</v>
      </c>
      <c r="C15" s="26">
        <v>450</v>
      </c>
      <c r="D15" s="3">
        <v>0</v>
      </c>
      <c r="E15" s="3">
        <v>0</v>
      </c>
      <c r="F15" s="3">
        <v>0</v>
      </c>
      <c r="G15" s="4">
        <v>0</v>
      </c>
      <c r="H15" s="1">
        <f>SUM(C15:G15)</f>
        <v>450</v>
      </c>
      <c r="I15" s="10">
        <f>C15/H15</f>
        <v>1</v>
      </c>
      <c r="J15" s="11">
        <f>1-I15</f>
        <v>0</v>
      </c>
      <c r="K15">
        <f>H15-C20</f>
        <v>0</v>
      </c>
      <c r="N15" s="10">
        <f>2*(C21*I15)/(C21+I15)</f>
        <v>1</v>
      </c>
      <c r="R15" s="66"/>
      <c r="S15" s="66"/>
      <c r="T15" s="77">
        <v>0</v>
      </c>
      <c r="U15" s="77">
        <v>1</v>
      </c>
      <c r="V15" s="77">
        <v>2</v>
      </c>
      <c r="W15" s="77">
        <v>3</v>
      </c>
      <c r="X15" s="77">
        <v>4</v>
      </c>
      <c r="Y15" s="13"/>
      <c r="Z15" s="74"/>
      <c r="AA15" s="12"/>
      <c r="AD15" s="13" t="s">
        <v>12</v>
      </c>
      <c r="AE15" s="74" t="s">
        <v>72</v>
      </c>
      <c r="AF15" s="12" t="s">
        <v>29</v>
      </c>
      <c r="AH15" t="s">
        <v>120</v>
      </c>
      <c r="AI15" t="s">
        <v>121</v>
      </c>
      <c r="AW15" s="51" t="s">
        <v>127</v>
      </c>
      <c r="AX15" s="80">
        <f>MIN($AE$16:$AE$35)</f>
        <v>0.96433578790436825</v>
      </c>
      <c r="AY15" s="80">
        <f>_xlfn.QUARTILE.EXC($AE$16:$AE$35,1)</f>
        <v>0.9689870662909249</v>
      </c>
      <c r="AZ15" s="126">
        <f>MEDIAN($AE$16:$AE$35)</f>
        <v>0.96979112628531217</v>
      </c>
      <c r="BA15" s="126">
        <f>AVERAGE($AE$16:$AE$35)</f>
        <v>0.96959557438313548</v>
      </c>
      <c r="BB15" s="80">
        <f>_xlfn.QUARTILE.EXC($AE$16:$AE$35,3)</f>
        <v>0.97107551847247753</v>
      </c>
      <c r="BC15" s="80">
        <f>MAX($AE$16:$AE$35)</f>
        <v>0.97320026575226815</v>
      </c>
      <c r="BD15" s="80">
        <f t="shared" si="0"/>
        <v>2.1535072088690187E-3</v>
      </c>
      <c r="BE15" s="80"/>
    </row>
    <row r="16" spans="1:57" x14ac:dyDescent="0.3">
      <c r="A16" t="s">
        <v>4</v>
      </c>
      <c r="B16" s="13">
        <v>1</v>
      </c>
      <c r="C16" s="5">
        <v>0</v>
      </c>
      <c r="D16" s="27">
        <v>62</v>
      </c>
      <c r="E16" s="1">
        <v>1</v>
      </c>
      <c r="F16" s="1">
        <v>0</v>
      </c>
      <c r="G16" s="6">
        <v>1</v>
      </c>
      <c r="H16" s="1">
        <f>SUM(C16:G16)</f>
        <v>64</v>
      </c>
      <c r="I16" s="10">
        <f>D16/H16</f>
        <v>0.96875</v>
      </c>
      <c r="J16" s="11">
        <f>1-I16</f>
        <v>3.125E-2</v>
      </c>
      <c r="K16">
        <f>H16-D20</f>
        <v>1</v>
      </c>
      <c r="N16" s="10">
        <f>2*(D21*I16)/(D21+I16)</f>
        <v>0.97637795275590544</v>
      </c>
      <c r="R16" t="s">
        <v>65</v>
      </c>
      <c r="S16" t="s">
        <v>28</v>
      </c>
      <c r="T16" s="57">
        <f t="shared" ref="T16:X19" si="1">C31</f>
        <v>0.28458088102917739</v>
      </c>
      <c r="U16" s="57">
        <f t="shared" si="1"/>
        <v>0.92855125536841654</v>
      </c>
      <c r="V16" s="57">
        <f t="shared" si="1"/>
        <v>63.023304075672165</v>
      </c>
      <c r="W16" s="57">
        <f t="shared" si="1"/>
        <v>28.949154968934337</v>
      </c>
      <c r="X16" s="57">
        <f t="shared" si="1"/>
        <v>6.8144088189958953</v>
      </c>
      <c r="AC16" t="s">
        <v>65</v>
      </c>
      <c r="AD16" s="51">
        <f>I21</f>
        <v>0.9661251296232285</v>
      </c>
      <c r="AE16" s="55">
        <f>I32</f>
        <v>0.9702474608268099</v>
      </c>
      <c r="AF16" s="55">
        <f>J32</f>
        <v>3.7927607217685079E-3</v>
      </c>
      <c r="AH16">
        <v>21</v>
      </c>
      <c r="AI16">
        <v>32</v>
      </c>
      <c r="AW16" s="51" t="s">
        <v>128</v>
      </c>
      <c r="AX16" s="80">
        <f>MIN($AE$16:$AE$45)</f>
        <v>0.96433578790436825</v>
      </c>
      <c r="AY16" s="80">
        <f>_xlfn.QUARTILE.EXC($AE$16:$AE$45,1)</f>
        <v>0.9689870662909249</v>
      </c>
      <c r="AZ16" s="80">
        <f>MEDIAN($AE$16:$AE$45)</f>
        <v>0.96979112628531217</v>
      </c>
      <c r="BA16" s="80">
        <f>AVERAGE($AE$16:$AE$45)</f>
        <v>0.96959557438313548</v>
      </c>
      <c r="BB16" s="80">
        <f>_xlfn.QUARTILE.EXC($AE$16:$AE$45,3)</f>
        <v>0.97107551847247753</v>
      </c>
      <c r="BC16" s="80">
        <f>MAX($AE$16:$AE$45)</f>
        <v>0.97320026575226815</v>
      </c>
      <c r="BD16" s="80">
        <f t="shared" si="0"/>
        <v>2.1535072088690187E-3</v>
      </c>
      <c r="BE16" s="80"/>
    </row>
    <row r="17" spans="1:57" x14ac:dyDescent="0.3">
      <c r="A17" t="s">
        <v>5</v>
      </c>
      <c r="B17" s="13">
        <v>2</v>
      </c>
      <c r="C17" s="5">
        <v>0</v>
      </c>
      <c r="D17" s="1">
        <v>0</v>
      </c>
      <c r="E17" s="27">
        <v>741</v>
      </c>
      <c r="F17" s="1">
        <v>6</v>
      </c>
      <c r="G17" s="6">
        <v>1</v>
      </c>
      <c r="H17" s="1">
        <f>SUM(C17:G17)</f>
        <v>748</v>
      </c>
      <c r="I17" s="10">
        <f>E17/H17</f>
        <v>0.99064171122994649</v>
      </c>
      <c r="J17" s="11">
        <f>1-I17</f>
        <v>9.3582887700535133E-3</v>
      </c>
      <c r="K17">
        <f>H17-E20</f>
        <v>-38</v>
      </c>
      <c r="N17" s="10">
        <f>2*(E21*I17)/(E21+I17)</f>
        <v>0.96610169491525422</v>
      </c>
      <c r="S17" s="66" t="s">
        <v>39</v>
      </c>
      <c r="T17" s="67">
        <f t="shared" si="1"/>
        <v>0</v>
      </c>
      <c r="U17" s="67">
        <f t="shared" si="1"/>
        <v>2.1723769786415513E-2</v>
      </c>
      <c r="V17" s="67">
        <f t="shared" si="1"/>
        <v>0.35658768355854509</v>
      </c>
      <c r="W17" s="67">
        <f t="shared" si="1"/>
        <v>0.36890098172268693</v>
      </c>
      <c r="X17" s="67">
        <f t="shared" si="1"/>
        <v>0.15996314578528062</v>
      </c>
      <c r="AC17" t="s">
        <v>66</v>
      </c>
      <c r="AD17" s="51">
        <f>I50</f>
        <v>0.96958174904942962</v>
      </c>
      <c r="AE17" s="55">
        <f>I61</f>
        <v>0.97320026575226815</v>
      </c>
      <c r="AF17" s="55">
        <f>J61</f>
        <v>3.6343713871111322E-3</v>
      </c>
      <c r="AH17">
        <v>50</v>
      </c>
      <c r="AI17">
        <v>61</v>
      </c>
      <c r="AW17" s="51" t="s">
        <v>152</v>
      </c>
      <c r="AX17" s="80">
        <f>MIN($AE$16:$AE$55)</f>
        <v>0.96433578790436825</v>
      </c>
      <c r="AY17" s="80">
        <f>_xlfn.QUARTILE.EXC($AE$16:$AE$55,1)</f>
        <v>0.9689870662909249</v>
      </c>
      <c r="AZ17" s="80">
        <f>MEDIAN($AE$16:$AE$55)</f>
        <v>0.96979112628531217</v>
      </c>
      <c r="BA17" s="80">
        <f>AVERAGE($AE$16:$AE$55)</f>
        <v>0.96959557438313548</v>
      </c>
      <c r="BB17" s="80">
        <f>_xlfn.QUARTILE.EXC($AE$16:$AE$55,3)</f>
        <v>0.97107551847247753</v>
      </c>
      <c r="BC17" s="80">
        <f>MAX($AE$16:$AE$55)</f>
        <v>0.97320026575226815</v>
      </c>
      <c r="BD17" s="80">
        <f t="shared" si="0"/>
        <v>2.1535072088690187E-3</v>
      </c>
      <c r="BE17" s="80"/>
    </row>
    <row r="18" spans="1:57" x14ac:dyDescent="0.3">
      <c r="A18" t="s">
        <v>6</v>
      </c>
      <c r="B18" s="13">
        <v>3</v>
      </c>
      <c r="C18" s="5">
        <v>0</v>
      </c>
      <c r="D18" s="1">
        <v>0</v>
      </c>
      <c r="E18" s="1">
        <v>35</v>
      </c>
      <c r="F18" s="27">
        <v>576</v>
      </c>
      <c r="G18" s="6">
        <v>7</v>
      </c>
      <c r="H18" s="1">
        <f>SUM(C18:G18)</f>
        <v>618</v>
      </c>
      <c r="I18" s="10">
        <f>F18/H18</f>
        <v>0.93203883495145634</v>
      </c>
      <c r="J18" s="11">
        <f>1-I18</f>
        <v>6.7961165048543659E-2</v>
      </c>
      <c r="K18">
        <f>H18-F20</f>
        <v>-1</v>
      </c>
      <c r="N18" s="10">
        <f>2*(F21*I18)/(F21+I18)</f>
        <v>0.93128536782538407</v>
      </c>
      <c r="S18" s="70" t="s">
        <v>30</v>
      </c>
      <c r="T18" s="64">
        <f t="shared" si="1"/>
        <v>100</v>
      </c>
      <c r="U18" s="64">
        <f t="shared" si="1"/>
        <v>99.289384738562092</v>
      </c>
      <c r="V18" s="64">
        <f t="shared" si="1"/>
        <v>97.162389729733931</v>
      </c>
      <c r="W18" s="64">
        <f t="shared" si="1"/>
        <v>97.443893134898389</v>
      </c>
      <c r="X18" s="64">
        <f t="shared" si="1"/>
        <v>93.538274332785548</v>
      </c>
      <c r="AC18" t="s">
        <v>67</v>
      </c>
      <c r="AD18" s="51">
        <f>I79</f>
        <v>0.96647079156584859</v>
      </c>
      <c r="AE18" s="55">
        <f>I90</f>
        <v>0.97015415616320499</v>
      </c>
      <c r="AF18" s="55">
        <f>J90</f>
        <v>3.7648482451930693E-3</v>
      </c>
      <c r="AH18">
        <v>79</v>
      </c>
      <c r="AI18">
        <v>90</v>
      </c>
      <c r="AW18" s="51" t="s">
        <v>153</v>
      </c>
      <c r="AX18" s="80">
        <f>MIN($AE$16:$AE$65)</f>
        <v>0.96433578790436825</v>
      </c>
      <c r="AY18" s="80">
        <f>_xlfn.QUARTILE.EXC($AE$16:$AE$65,1)</f>
        <v>0.9689870662909249</v>
      </c>
      <c r="AZ18" s="80">
        <f>MEDIAN($AE$16:$AE$65)</f>
        <v>0.96979112628531217</v>
      </c>
      <c r="BA18" s="80">
        <f>AVERAGE($AE$16:$AE$65)</f>
        <v>0.96959557438313548</v>
      </c>
      <c r="BB18" s="80">
        <f>_xlfn.QUARTILE.EXC($AE$16:$AE$65,3)</f>
        <v>0.97107551847247753</v>
      </c>
      <c r="BC18" s="80">
        <f>MAX($AE$16:$AE$65)</f>
        <v>0.97320026575226815</v>
      </c>
      <c r="BD18" s="80">
        <f t="shared" si="0"/>
        <v>2.1535072088690187E-3</v>
      </c>
      <c r="BE18" s="80"/>
    </row>
    <row r="19" spans="1:57" x14ac:dyDescent="0.3">
      <c r="A19" t="s">
        <v>7</v>
      </c>
      <c r="B19" s="13">
        <v>4</v>
      </c>
      <c r="C19" s="7">
        <v>0</v>
      </c>
      <c r="D19" s="8">
        <v>1</v>
      </c>
      <c r="E19" s="8">
        <v>9</v>
      </c>
      <c r="F19" s="8">
        <v>37</v>
      </c>
      <c r="G19" s="28">
        <v>966</v>
      </c>
      <c r="H19" s="1">
        <f>SUM(C19:G19)</f>
        <v>1013</v>
      </c>
      <c r="I19" s="10">
        <f>G19/H19</f>
        <v>0.95360315893385983</v>
      </c>
      <c r="J19" s="11">
        <f>1-I19</f>
        <v>4.6396841066140171E-2</v>
      </c>
      <c r="K19">
        <f>H19-G20</f>
        <v>38</v>
      </c>
      <c r="N19" s="10">
        <f>2*(G21*I19)/(G21+I19)</f>
        <v>0.971830985915493</v>
      </c>
      <c r="S19" s="66" t="s">
        <v>39</v>
      </c>
      <c r="T19" s="67">
        <f t="shared" si="1"/>
        <v>0</v>
      </c>
      <c r="U19" s="67">
        <f t="shared" si="1"/>
        <v>0.72340366198367079</v>
      </c>
      <c r="V19" s="67">
        <f t="shared" si="1"/>
        <v>0.44675841243494024</v>
      </c>
      <c r="W19" s="67">
        <f t="shared" si="1"/>
        <v>0.74300904413394775</v>
      </c>
      <c r="X19" s="67">
        <f t="shared" si="1"/>
        <v>2.1532943857038984</v>
      </c>
      <c r="AC19" t="s">
        <v>68</v>
      </c>
      <c r="AD19" s="51">
        <f>I108</f>
        <v>0.96681645350846868</v>
      </c>
      <c r="AE19" s="73">
        <f>I119</f>
        <v>0.97079274058156184</v>
      </c>
      <c r="AF19" s="73">
        <f>J119</f>
        <v>3.8327493088378293E-3</v>
      </c>
      <c r="AH19">
        <v>108</v>
      </c>
      <c r="AI19">
        <v>119</v>
      </c>
      <c r="AW19" s="51" t="s">
        <v>210</v>
      </c>
      <c r="AX19" s="80">
        <f>MIN($AE$16:$AE$75)</f>
        <v>0.96433578790436825</v>
      </c>
      <c r="AY19" s="80">
        <f>_xlfn.QUARTILE.EXC($AE$16:$AE$75,1)</f>
        <v>0.9689870662909249</v>
      </c>
      <c r="AZ19" s="80">
        <f>MEDIAN($AE$16:$AE$75)</f>
        <v>0.96979112628531217</v>
      </c>
      <c r="BA19" s="80">
        <f>AVERAGE($AE$16:$AE$75)</f>
        <v>0.96959557438313548</v>
      </c>
      <c r="BB19" s="80">
        <f>_xlfn.QUARTILE.EXC($AE$16:$AE$75,3)</f>
        <v>0.97107551847247753</v>
      </c>
      <c r="BC19" s="80">
        <f>MAX($AE$16:$AE$75)</f>
        <v>0.97320026575226815</v>
      </c>
      <c r="BD19" s="80">
        <f t="shared" si="0"/>
        <v>2.1535072088690187E-3</v>
      </c>
      <c r="BE19" s="80"/>
    </row>
    <row r="20" spans="1:57" ht="15.6" x14ac:dyDescent="0.35">
      <c r="B20" s="1" t="s">
        <v>19</v>
      </c>
      <c r="C20" s="1">
        <f>SUM(C15:C19)</f>
        <v>450</v>
      </c>
      <c r="D20" s="1">
        <f>SUM(D15:D19)</f>
        <v>63</v>
      </c>
      <c r="E20" s="1">
        <f>SUM(E15:E19)</f>
        <v>786</v>
      </c>
      <c r="F20" s="1">
        <f>SUM(F15:F19)</f>
        <v>619</v>
      </c>
      <c r="G20" s="1">
        <f>SUM(G15:G19)</f>
        <v>975</v>
      </c>
      <c r="H20" s="1">
        <f>SUM(H14:H19)</f>
        <v>2893</v>
      </c>
      <c r="I20" s="13" t="s">
        <v>12</v>
      </c>
      <c r="N20" s="16"/>
      <c r="S20" s="70" t="s">
        <v>31</v>
      </c>
      <c r="T20" s="64">
        <f>I26</f>
        <v>100</v>
      </c>
      <c r="U20" s="64">
        <f>I27</f>
        <v>96.875</v>
      </c>
      <c r="V20" s="64">
        <f>I28</f>
        <v>99.064171122994651</v>
      </c>
      <c r="W20" s="64">
        <f>I29</f>
        <v>93.203883495145647</v>
      </c>
      <c r="X20" s="64">
        <f>I30</f>
        <v>95.360315893385987</v>
      </c>
      <c r="AC20" t="s">
        <v>71</v>
      </c>
      <c r="AD20" s="51">
        <f>I137</f>
        <v>0.9654338057379882</v>
      </c>
      <c r="AE20" s="73">
        <f>I148</f>
        <v>0.96787351525662502</v>
      </c>
      <c r="AF20" s="73">
        <f>J148</f>
        <v>4.1199059189531298E-3</v>
      </c>
      <c r="AH20">
        <v>137</v>
      </c>
      <c r="AI20">
        <v>148</v>
      </c>
      <c r="AW20" s="51" t="s">
        <v>211</v>
      </c>
      <c r="AX20" s="80">
        <f>MIN($AE$16:$AE$85)</f>
        <v>0.96433578790436825</v>
      </c>
      <c r="AY20" s="80">
        <f>_xlfn.QUARTILE.EXC($AE$16:$AE$85,1)</f>
        <v>0.9689870662909249</v>
      </c>
      <c r="AZ20" s="80">
        <f>MEDIAN($AE$16:$AE$85)</f>
        <v>0.96979112628531217</v>
      </c>
      <c r="BA20" s="80">
        <f>AVERAGE($AE$16:$AE$85)</f>
        <v>0.96959557438313548</v>
      </c>
      <c r="BB20" s="80">
        <f>_xlfn.QUARTILE.EXC($AE$16:$AE$85,3)</f>
        <v>0.97107551847247753</v>
      </c>
      <c r="BC20" s="80">
        <f>MAX($AE$16:$AE$85)</f>
        <v>0.97320026575226815</v>
      </c>
      <c r="BD20" s="80">
        <f t="shared" si="0"/>
        <v>2.1535072088690187E-3</v>
      </c>
      <c r="BE20" s="80"/>
    </row>
    <row r="21" spans="1:57" x14ac:dyDescent="0.3">
      <c r="A21" s="1" t="s">
        <v>316</v>
      </c>
      <c r="B21" s="1" t="s">
        <v>2</v>
      </c>
      <c r="C21" s="10">
        <f>C15/C20</f>
        <v>1</v>
      </c>
      <c r="D21" s="10">
        <f>D16/D20</f>
        <v>0.98412698412698407</v>
      </c>
      <c r="E21" s="10">
        <f>E17/E20</f>
        <v>0.9427480916030534</v>
      </c>
      <c r="F21" s="10">
        <f>F18/F20</f>
        <v>0.93053311793214866</v>
      </c>
      <c r="G21" s="10">
        <f>G19/G20</f>
        <v>0.99076923076923074</v>
      </c>
      <c r="H21" s="10"/>
      <c r="I21" s="14">
        <f>(C15+D16+E17+F18+G19)/H20</f>
        <v>0.9661251296232285</v>
      </c>
      <c r="S21" s="66" t="s">
        <v>39</v>
      </c>
      <c r="T21" s="67">
        <f>J26</f>
        <v>0</v>
      </c>
      <c r="U21" s="67">
        <f>J27</f>
        <v>2.1921011700381303</v>
      </c>
      <c r="V21" s="67">
        <f>J28</f>
        <v>0.35228668199337793</v>
      </c>
      <c r="W21" s="67">
        <f>J29</f>
        <v>1.0132225104353776</v>
      </c>
      <c r="X21" s="67">
        <f>J30</f>
        <v>0.66120752966433827</v>
      </c>
      <c r="AC21" t="s">
        <v>93</v>
      </c>
      <c r="AD21" s="51">
        <f>I166</f>
        <v>0.96370549602488764</v>
      </c>
      <c r="AE21" s="55">
        <f>I177</f>
        <v>0.96897955050347873</v>
      </c>
      <c r="AF21" s="55">
        <f>J177</f>
        <v>3.9274818182635542E-3</v>
      </c>
      <c r="AH21">
        <v>166</v>
      </c>
      <c r="AI21">
        <v>177</v>
      </c>
      <c r="AW21" s="51" t="s">
        <v>212</v>
      </c>
      <c r="AX21" s="80">
        <f>MIN($AE$16:$AE$95)</f>
        <v>0.96433578790436825</v>
      </c>
      <c r="AY21" s="80">
        <f>_xlfn.QUARTILE.EXC($AE$16:$AE$95,1)</f>
        <v>0.9689870662909249</v>
      </c>
      <c r="AZ21" s="80">
        <f>MEDIAN($AE$16:$AE$95)</f>
        <v>0.96979112628531217</v>
      </c>
      <c r="BA21" s="80">
        <f>AVERAGE($AE$16:$AE$95)</f>
        <v>0.96959557438313548</v>
      </c>
      <c r="BB21" s="80">
        <f>_xlfn.QUARTILE.EXC($AE$16:$AE$95,3)</f>
        <v>0.97107551847247753</v>
      </c>
      <c r="BC21" s="80">
        <f>MAX($AE$16:$AE$95)</f>
        <v>0.97320026575226815</v>
      </c>
      <c r="BD21" s="80">
        <f t="shared" si="0"/>
        <v>2.1535072088690187E-3</v>
      </c>
      <c r="BE21" s="80"/>
    </row>
    <row r="22" spans="1:57" x14ac:dyDescent="0.3">
      <c r="B22" s="1" t="s">
        <v>14</v>
      </c>
      <c r="C22" s="11">
        <f>1-C21</f>
        <v>0</v>
      </c>
      <c r="D22" s="11">
        <f>1-D21</f>
        <v>1.5873015873015928E-2</v>
      </c>
      <c r="E22" s="11">
        <f>1-E21</f>
        <v>5.7251908396946605E-2</v>
      </c>
      <c r="F22" s="11">
        <f>1-F21</f>
        <v>6.9466882067851343E-2</v>
      </c>
      <c r="G22" s="11">
        <f>1-G21</f>
        <v>9.2307692307692646E-3</v>
      </c>
      <c r="S22" s="68" t="s">
        <v>51</v>
      </c>
      <c r="T22" s="65">
        <f>N15*100</f>
        <v>100</v>
      </c>
      <c r="U22" s="65">
        <f>N16*100</f>
        <v>97.637795275590548</v>
      </c>
      <c r="V22" s="65">
        <f>N17*100</f>
        <v>96.610169491525426</v>
      </c>
      <c r="W22" s="65">
        <f>N18*100</f>
        <v>93.128536782538404</v>
      </c>
      <c r="X22" s="65">
        <f>N19*100</f>
        <v>97.183098591549296</v>
      </c>
      <c r="Y22" s="46"/>
      <c r="Z22" s="46"/>
      <c r="AA22" s="46"/>
      <c r="AC22" t="s">
        <v>94</v>
      </c>
      <c r="AD22" s="51">
        <f>I195</f>
        <v>0.96370549602488764</v>
      </c>
      <c r="AE22" s="55">
        <f>I206</f>
        <v>0.96517184557916036</v>
      </c>
      <c r="AF22" s="55">
        <f>J206</f>
        <v>4.2542953776992356E-3</v>
      </c>
      <c r="AH22">
        <v>195</v>
      </c>
      <c r="AI22">
        <v>206</v>
      </c>
      <c r="AW22" s="51" t="s">
        <v>213</v>
      </c>
      <c r="AX22" s="80">
        <f>MIN($AE$16:$AE$105)</f>
        <v>0.96433578790436825</v>
      </c>
      <c r="AY22" s="80">
        <f>_xlfn.QUARTILE.EXC($AE$16:$AE$105,1)</f>
        <v>0.9689870662909249</v>
      </c>
      <c r="AZ22" s="80">
        <f>MEDIAN($AE$16:$AE$105)</f>
        <v>0.96979112628531217</v>
      </c>
      <c r="BA22" s="80">
        <f>AVERAGE($AE$16:$AE$105)</f>
        <v>0.96959557438313548</v>
      </c>
      <c r="BB22" s="80">
        <f>_xlfn.QUARTILE.EXC($AE$16:$AE$105,3)</f>
        <v>0.97107551847247753</v>
      </c>
      <c r="BC22" s="80">
        <f>MAX($AE$16:$AE$105)</f>
        <v>0.97320026575226815</v>
      </c>
      <c r="BD22" s="80">
        <f t="shared" si="0"/>
        <v>2.1535072088690187E-3</v>
      </c>
      <c r="BE22" s="80"/>
    </row>
    <row r="23" spans="1:57" x14ac:dyDescent="0.3">
      <c r="C23" s="2"/>
      <c r="R23" s="16" t="s">
        <v>61</v>
      </c>
      <c r="S23" t="s">
        <v>9</v>
      </c>
      <c r="T23" s="30">
        <f>N26</f>
        <v>274.73</v>
      </c>
      <c r="U23" s="30">
        <f>N27</f>
        <v>918.75</v>
      </c>
      <c r="V23" s="30">
        <f>N28</f>
        <v>59673.72</v>
      </c>
      <c r="W23" s="30">
        <f>N29</f>
        <v>29218.43</v>
      </c>
      <c r="X23" s="30">
        <f>N30</f>
        <v>6452.83</v>
      </c>
      <c r="Z23" t="s">
        <v>36</v>
      </c>
      <c r="AA23" s="1">
        <f>N31</f>
        <v>96538.46</v>
      </c>
      <c r="AC23" t="s">
        <v>95</v>
      </c>
      <c r="AD23" s="51">
        <f>I224</f>
        <v>0.96163152436916699</v>
      </c>
      <c r="AE23" s="55">
        <f>I235</f>
        <v>0.96433578790436825</v>
      </c>
      <c r="AF23" s="55">
        <f>J235</f>
        <v>4.2868105491403914E-3</v>
      </c>
      <c r="AH23">
        <v>224</v>
      </c>
      <c r="AI23">
        <v>235</v>
      </c>
      <c r="AW23" s="51" t="s">
        <v>214</v>
      </c>
      <c r="AX23" s="80">
        <f>MIN($AE$16:$AE$115)</f>
        <v>0.96433578790436825</v>
      </c>
      <c r="AY23" s="80">
        <f>_xlfn.QUARTILE.EXC($AE$16:$AE$115,1)</f>
        <v>0.9689870662909249</v>
      </c>
      <c r="AZ23" s="126">
        <f>MEDIAN($AE$16:$AE$115)</f>
        <v>0.96979112628531217</v>
      </c>
      <c r="BA23" s="126">
        <f>AVERAGE($AE$16:$AE$115)</f>
        <v>0.96959557438313548</v>
      </c>
      <c r="BB23" s="80">
        <f>_xlfn.QUARTILE.EXC($AE$16:$AE$115,3)</f>
        <v>0.97107551847247753</v>
      </c>
      <c r="BC23" s="80">
        <f>MAX($AE$16:$AE$115)</f>
        <v>0.97320026575226815</v>
      </c>
      <c r="BD23" s="80">
        <f t="shared" si="0"/>
        <v>2.1535072088690187E-3</v>
      </c>
      <c r="BE23" s="80"/>
    </row>
    <row r="24" spans="1:57" ht="15.6" x14ac:dyDescent="0.35">
      <c r="A24" t="s">
        <v>317</v>
      </c>
      <c r="B24" s="15" t="s">
        <v>23</v>
      </c>
      <c r="N24" s="12" t="s">
        <v>17</v>
      </c>
      <c r="O24" s="1" t="s">
        <v>27</v>
      </c>
      <c r="P24" s="1" t="s">
        <v>33</v>
      </c>
      <c r="R24" s="16" t="s">
        <v>318</v>
      </c>
      <c r="S24" t="s">
        <v>63</v>
      </c>
      <c r="T24" s="57">
        <f>$AA23*T16/100</f>
        <v>274.73</v>
      </c>
      <c r="U24" s="57">
        <f>$AA23*U16/100</f>
        <v>896.4090822433368</v>
      </c>
      <c r="V24" s="57">
        <f>$AA23*V16/100</f>
        <v>60841.727195771149</v>
      </c>
      <c r="W24" s="57">
        <f>$AA23*W16/100</f>
        <v>27947.068390022687</v>
      </c>
      <c r="X24" s="57">
        <f>$AA23*X16/100</f>
        <v>6578.5253319628255</v>
      </c>
      <c r="Z24" t="s">
        <v>36</v>
      </c>
      <c r="AA24" s="25">
        <f>SUM(T24:X24)</f>
        <v>96538.459999999992</v>
      </c>
      <c r="AC24" t="s">
        <v>96</v>
      </c>
      <c r="AD24" s="51">
        <f>I253</f>
        <v>0.96439681991012793</v>
      </c>
      <c r="AE24" s="55">
        <f>I264</f>
        <v>0.9694310228465115</v>
      </c>
      <c r="AF24" s="55">
        <f>J264</f>
        <v>3.813119206207677E-3</v>
      </c>
      <c r="AH24">
        <v>253</v>
      </c>
      <c r="AI24">
        <v>264</v>
      </c>
      <c r="BE24" s="80"/>
    </row>
    <row r="25" spans="1:57" ht="15.6" x14ac:dyDescent="0.35">
      <c r="B25" s="1" t="s">
        <v>0</v>
      </c>
      <c r="C25" s="13">
        <v>0</v>
      </c>
      <c r="D25" s="13">
        <v>1</v>
      </c>
      <c r="E25" s="13">
        <v>2</v>
      </c>
      <c r="F25" s="13">
        <v>3</v>
      </c>
      <c r="G25" s="13">
        <v>4</v>
      </c>
      <c r="H25" s="1" t="s">
        <v>28</v>
      </c>
      <c r="I25" s="1" t="s">
        <v>31</v>
      </c>
      <c r="J25" s="15" t="s">
        <v>39</v>
      </c>
      <c r="K25" s="1" t="s">
        <v>38</v>
      </c>
      <c r="L25" s="1" t="s">
        <v>26</v>
      </c>
      <c r="M25" t="s">
        <v>8</v>
      </c>
      <c r="N25" t="s">
        <v>9</v>
      </c>
      <c r="O25" s="1" t="s">
        <v>11</v>
      </c>
      <c r="R25" s="66"/>
      <c r="S25" s="66" t="s">
        <v>62</v>
      </c>
      <c r="T25" s="67">
        <f>$AA23*T17/100</f>
        <v>0</v>
      </c>
      <c r="U25" s="67">
        <f>$AA23*U17/100</f>
        <v>20.97179280575083</v>
      </c>
      <c r="V25" s="67">
        <f>$AA23*V17/100</f>
        <v>344.24425825709267</v>
      </c>
      <c r="W25" s="67">
        <f>$AA23*W17/100</f>
        <v>356.13132667996348</v>
      </c>
      <c r="X25" s="67">
        <f>$AA23*X17/100</f>
        <v>154.42595750866482</v>
      </c>
      <c r="AA25" s="1"/>
      <c r="AC25" t="s">
        <v>97</v>
      </c>
      <c r="AD25" s="51">
        <f>I282</f>
        <v>0.96819910127894915</v>
      </c>
      <c r="AE25" s="55">
        <f>I293</f>
        <v>0.97099639570465957</v>
      </c>
      <c r="AF25" s="55">
        <f>J293</f>
        <v>3.836813436181169E-3</v>
      </c>
      <c r="AH25">
        <v>282</v>
      </c>
      <c r="AI25">
        <v>293</v>
      </c>
      <c r="BE25" s="80"/>
    </row>
    <row r="26" spans="1:57" x14ac:dyDescent="0.3">
      <c r="A26" t="s">
        <v>3</v>
      </c>
      <c r="B26" s="13">
        <v>0</v>
      </c>
      <c r="C26" s="29">
        <f>(C15/$L26)*$O26</f>
        <v>0.28458088102917739</v>
      </c>
      <c r="D26" s="31">
        <f t="shared" ref="C26:G30" si="2">(D15/$L26)*$O26</f>
        <v>0</v>
      </c>
      <c r="E26" s="31">
        <f t="shared" si="2"/>
        <v>0</v>
      </c>
      <c r="F26" s="31">
        <f t="shared" si="2"/>
        <v>0</v>
      </c>
      <c r="G26" s="32">
        <f t="shared" si="2"/>
        <v>0</v>
      </c>
      <c r="H26" s="17">
        <f>SUM(C26:G26)</f>
        <v>0.28458088102917739</v>
      </c>
      <c r="I26" s="17">
        <f>C26/H26*100</f>
        <v>100</v>
      </c>
      <c r="J26" s="17">
        <f>SQRT(I26*(100-I26)/(L26-1))</f>
        <v>0</v>
      </c>
      <c r="K26" s="18">
        <f>100-I26</f>
        <v>0</v>
      </c>
      <c r="L26" s="1">
        <f>H15</f>
        <v>450</v>
      </c>
      <c r="M26">
        <v>0</v>
      </c>
      <c r="N26" s="1">
        <v>274.73</v>
      </c>
      <c r="O26" s="17">
        <f>N26/N31*100</f>
        <v>0.28458088102917739</v>
      </c>
      <c r="P26" s="52">
        <f>((O26*O26*(I26/100)*(K26/100))/(L26-1))</f>
        <v>0</v>
      </c>
      <c r="R26" t="s">
        <v>66</v>
      </c>
      <c r="S26" s="70" t="s">
        <v>28</v>
      </c>
      <c r="T26" s="64">
        <f t="shared" ref="T26:X29" si="3">C60</f>
        <v>0.27115620770791327</v>
      </c>
      <c r="U26" s="64">
        <f t="shared" si="3"/>
        <v>0.93427298268202952</v>
      </c>
      <c r="V26" s="64">
        <f t="shared" si="3"/>
        <v>62.451081164558644</v>
      </c>
      <c r="W26" s="64">
        <f t="shared" si="3"/>
        <v>29.362233361965774</v>
      </c>
      <c r="X26" s="64">
        <f t="shared" si="3"/>
        <v>6.9812562830856297</v>
      </c>
      <c r="Y26" s="13"/>
      <c r="Z26" s="74"/>
      <c r="AA26" s="12"/>
      <c r="AC26" t="s">
        <v>98</v>
      </c>
      <c r="AD26" s="51">
        <f>I311</f>
        <v>0.96439681991012793</v>
      </c>
      <c r="AE26" s="55">
        <f>I322</f>
        <v>0.97110189272841685</v>
      </c>
      <c r="AF26" s="55">
        <f>J322</f>
        <v>3.6815694237680458E-3</v>
      </c>
      <c r="AH26">
        <v>311</v>
      </c>
      <c r="AI26">
        <v>322</v>
      </c>
    </row>
    <row r="27" spans="1:57" x14ac:dyDescent="0.3">
      <c r="A27" t="s">
        <v>4</v>
      </c>
      <c r="B27" s="13">
        <v>1</v>
      </c>
      <c r="C27" s="33">
        <f t="shared" si="2"/>
        <v>0</v>
      </c>
      <c r="D27" s="34">
        <f t="shared" si="2"/>
        <v>0.92195282843749526</v>
      </c>
      <c r="E27" s="19">
        <f t="shared" si="2"/>
        <v>1.4870206910282182E-2</v>
      </c>
      <c r="F27" s="18">
        <f t="shared" si="2"/>
        <v>0</v>
      </c>
      <c r="G27" s="20">
        <f t="shared" si="2"/>
        <v>1.4870206910282182E-2</v>
      </c>
      <c r="H27" s="17">
        <f>SUM(C27:G27)</f>
        <v>0.95169324225805962</v>
      </c>
      <c r="I27" s="17">
        <f>D27/H27*100</f>
        <v>96.875</v>
      </c>
      <c r="J27" s="17">
        <f>SQRT(I27*(100-I27)/(L27-1))</f>
        <v>2.1921011700381303</v>
      </c>
      <c r="K27" s="18">
        <f>100-I27</f>
        <v>3.125</v>
      </c>
      <c r="L27" s="1">
        <f>H16</f>
        <v>64</v>
      </c>
      <c r="M27">
        <v>1</v>
      </c>
      <c r="N27" s="1">
        <v>918.75</v>
      </c>
      <c r="O27" s="17">
        <f>N27/N31*100</f>
        <v>0.95169324225805962</v>
      </c>
      <c r="P27" s="52">
        <f>((O27*O27*(I27/100)*(K27/100))/(L27-1))</f>
        <v>4.3522632763128396E-4</v>
      </c>
      <c r="S27" s="66" t="s">
        <v>39</v>
      </c>
      <c r="T27" s="67">
        <f t="shared" si="3"/>
        <v>0</v>
      </c>
      <c r="U27" s="67">
        <f t="shared" si="3"/>
        <v>2.5898792312877356E-2</v>
      </c>
      <c r="V27" s="67">
        <f t="shared" si="3"/>
        <v>0.34245977936972405</v>
      </c>
      <c r="W27" s="67">
        <f t="shared" si="3"/>
        <v>0.34307425476933778</v>
      </c>
      <c r="X27" s="67">
        <f t="shared" si="3"/>
        <v>0.17248347536030725</v>
      </c>
      <c r="AC27" t="s">
        <v>99</v>
      </c>
      <c r="AD27" s="51">
        <f>I340</f>
        <v>0.96647079156584859</v>
      </c>
      <c r="AE27" s="55">
        <f>I351</f>
        <v>0.97111910391451772</v>
      </c>
      <c r="AF27" s="55">
        <f>J351</f>
        <v>3.7370486393447449E-3</v>
      </c>
      <c r="AH27">
        <v>340</v>
      </c>
      <c r="AI27">
        <v>351</v>
      </c>
    </row>
    <row r="28" spans="1:57" x14ac:dyDescent="0.3">
      <c r="A28" t="s">
        <v>5</v>
      </c>
      <c r="B28" s="13">
        <v>2</v>
      </c>
      <c r="C28" s="33">
        <f t="shared" si="2"/>
        <v>0</v>
      </c>
      <c r="D28" s="19">
        <f t="shared" si="2"/>
        <v>0</v>
      </c>
      <c r="E28" s="34">
        <f t="shared" si="2"/>
        <v>61.234948326559881</v>
      </c>
      <c r="F28" s="19">
        <f t="shared" si="2"/>
        <v>0.49582954110574806</v>
      </c>
      <c r="G28" s="20">
        <f>(G17/$L28)*$O28</f>
        <v>8.2638256850957992E-2</v>
      </c>
      <c r="H28" s="17">
        <f>SUM(C28:G28)</f>
        <v>61.813416124516586</v>
      </c>
      <c r="I28" s="17">
        <f>E28/H28*100</f>
        <v>99.064171122994651</v>
      </c>
      <c r="J28" s="17">
        <f>SQRT(I28*(100-I28)/(L28-1))</f>
        <v>0.35228668199337793</v>
      </c>
      <c r="K28" s="18">
        <f>100-I28</f>
        <v>0.93582887700534911</v>
      </c>
      <c r="L28" s="1">
        <f>H17</f>
        <v>748</v>
      </c>
      <c r="M28">
        <v>2</v>
      </c>
      <c r="N28" s="1">
        <v>59673.72</v>
      </c>
      <c r="O28" s="17">
        <f>N28/N31*100</f>
        <v>61.813416124516586</v>
      </c>
      <c r="P28" s="52">
        <f>((O28*O28*(I28/100)*(K28/100))/(L28-1))</f>
        <v>4.7419606046128285E-2</v>
      </c>
      <c r="S28" t="s">
        <v>30</v>
      </c>
      <c r="T28" s="57">
        <f t="shared" si="3"/>
        <v>100</v>
      </c>
      <c r="U28" s="57">
        <f t="shared" si="3"/>
        <v>100</v>
      </c>
      <c r="V28" s="57">
        <f t="shared" si="3"/>
        <v>97.461485697792511</v>
      </c>
      <c r="W28" s="57">
        <f t="shared" si="3"/>
        <v>97.840087808436095</v>
      </c>
      <c r="X28" s="57">
        <f t="shared" si="3"/>
        <v>93.404548970037155</v>
      </c>
      <c r="AC28" t="s">
        <v>100</v>
      </c>
      <c r="AD28" s="51">
        <f>I369</f>
        <v>0.9661251296232285</v>
      </c>
      <c r="AE28" s="55">
        <f>I380</f>
        <v>0.97002149012084815</v>
      </c>
      <c r="AF28" s="55">
        <f>J380</f>
        <v>3.8558728314217676E-3</v>
      </c>
      <c r="AH28">
        <v>369</v>
      </c>
      <c r="AI28">
        <v>380</v>
      </c>
    </row>
    <row r="29" spans="1:57" x14ac:dyDescent="0.3">
      <c r="A29" t="s">
        <v>6</v>
      </c>
      <c r="B29" s="13">
        <v>3</v>
      </c>
      <c r="C29" s="33">
        <f t="shared" si="2"/>
        <v>0</v>
      </c>
      <c r="D29" s="19">
        <f t="shared" si="2"/>
        <v>0</v>
      </c>
      <c r="E29" s="19">
        <f t="shared" si="2"/>
        <v>1.714099699823711</v>
      </c>
      <c r="F29" s="34">
        <f t="shared" si="2"/>
        <v>28.209183631384501</v>
      </c>
      <c r="G29" s="20">
        <f t="shared" si="2"/>
        <v>0.34281993996474225</v>
      </c>
      <c r="H29" s="17">
        <f>SUM(C29:G29)</f>
        <v>30.266103271172952</v>
      </c>
      <c r="I29" s="17">
        <f>F29/H29*100</f>
        <v>93.203883495145647</v>
      </c>
      <c r="J29" s="17">
        <f>SQRT(I29*(100-I29)/(L29-1))</f>
        <v>1.0132225104353776</v>
      </c>
      <c r="K29" s="18">
        <f>100-I29</f>
        <v>6.7961165048543535</v>
      </c>
      <c r="L29" s="1">
        <f>H18</f>
        <v>618</v>
      </c>
      <c r="M29">
        <v>3</v>
      </c>
      <c r="N29" s="1">
        <v>29218.43</v>
      </c>
      <c r="O29" s="17">
        <f>N29/N31*100</f>
        <v>30.266103271172955</v>
      </c>
      <c r="P29" s="52">
        <f>((O29*O29*(I29/100)*(K29/100))/(L29-1))</f>
        <v>9.4042178012631469E-2</v>
      </c>
      <c r="S29" s="66" t="s">
        <v>39</v>
      </c>
      <c r="T29" s="67">
        <f t="shared" si="3"/>
        <v>0</v>
      </c>
      <c r="U29" s="67">
        <f t="shared" si="3"/>
        <v>0</v>
      </c>
      <c r="V29" s="67">
        <f t="shared" si="3"/>
        <v>0.42392930238229348</v>
      </c>
      <c r="W29" s="67">
        <f t="shared" si="3"/>
        <v>0.65954913641605972</v>
      </c>
      <c r="X29" s="67">
        <f t="shared" si="3"/>
        <v>2.2738007366889952</v>
      </c>
      <c r="AC29" t="s">
        <v>101</v>
      </c>
      <c r="AD29" s="51">
        <f>I398</f>
        <v>0.96577946768060841</v>
      </c>
      <c r="AE29" s="55">
        <f>I409</f>
        <v>0.96956076244977618</v>
      </c>
      <c r="AF29" s="55">
        <f>J409</f>
        <v>3.9094584297420451E-3</v>
      </c>
      <c r="AH29">
        <v>398</v>
      </c>
      <c r="AI29">
        <v>409</v>
      </c>
    </row>
    <row r="30" spans="1:57" x14ac:dyDescent="0.3">
      <c r="A30" t="s">
        <v>7</v>
      </c>
      <c r="B30" s="13">
        <v>4</v>
      </c>
      <c r="C30" s="35">
        <f t="shared" si="2"/>
        <v>0</v>
      </c>
      <c r="D30" s="36">
        <f t="shared" si="2"/>
        <v>6.5984269309212343E-3</v>
      </c>
      <c r="E30" s="21">
        <f t="shared" si="2"/>
        <v>5.9385842378291115E-2</v>
      </c>
      <c r="F30" s="21">
        <f t="shared" si="2"/>
        <v>0.24414179644408568</v>
      </c>
      <c r="G30" s="37">
        <f t="shared" si="2"/>
        <v>6.3740804152699129</v>
      </c>
      <c r="H30" s="17">
        <f>SUM(C30:G30)</f>
        <v>6.6842064810232111</v>
      </c>
      <c r="I30" s="17">
        <f>G30/H30*100</f>
        <v>95.360315893385987</v>
      </c>
      <c r="J30" s="17">
        <f>SQRT(I30*(100-I30)/(L30-1))</f>
        <v>0.66120752966433827</v>
      </c>
      <c r="K30" s="18">
        <f>100-I30</f>
        <v>4.6396841066140126</v>
      </c>
      <c r="L30" s="1">
        <f>H19</f>
        <v>1013</v>
      </c>
      <c r="M30">
        <v>4</v>
      </c>
      <c r="N30" s="1">
        <v>6452.83</v>
      </c>
      <c r="O30" s="17">
        <f>N30/N31*100</f>
        <v>6.6842064810232111</v>
      </c>
      <c r="P30" s="52">
        <f>((O30*O30*(I30/100)*(K30/100))/(L30-1))</f>
        <v>1.9533285395087001E-3</v>
      </c>
      <c r="S30" t="s">
        <v>31</v>
      </c>
      <c r="T30" s="57">
        <f>I55</f>
        <v>100</v>
      </c>
      <c r="U30" s="57">
        <f>I56</f>
        <v>95.312500000000014</v>
      </c>
      <c r="V30" s="57">
        <f>I57</f>
        <v>99.064171122994651</v>
      </c>
      <c r="W30" s="57">
        <f>I58</f>
        <v>94.174757281553383</v>
      </c>
      <c r="X30" s="57">
        <f>I59</f>
        <v>95.853899308983216</v>
      </c>
      <c r="AC30" t="s">
        <v>102</v>
      </c>
      <c r="AD30" s="51">
        <f>I427</f>
        <v>0.96508814379536811</v>
      </c>
      <c r="AE30" s="55">
        <f>I438</f>
        <v>0.97149036070225614</v>
      </c>
      <c r="AF30" s="55">
        <f>J438</f>
        <v>3.7516185613948733E-3</v>
      </c>
      <c r="AH30">
        <v>427</v>
      </c>
      <c r="AI30">
        <v>438</v>
      </c>
    </row>
    <row r="31" spans="1:57" x14ac:dyDescent="0.3">
      <c r="B31" t="s">
        <v>28</v>
      </c>
      <c r="C31" s="17">
        <f>SUM(C26:C30)</f>
        <v>0.28458088102917739</v>
      </c>
      <c r="D31" s="17">
        <f>SUM(D26:D30)</f>
        <v>0.92855125536841654</v>
      </c>
      <c r="E31" s="17">
        <f>SUM(E26:E30)</f>
        <v>63.023304075672165</v>
      </c>
      <c r="F31" s="17">
        <f>SUM(F26:F30)</f>
        <v>28.949154968934337</v>
      </c>
      <c r="G31" s="17">
        <f>SUM(G26:G30)</f>
        <v>6.8144088189958953</v>
      </c>
      <c r="H31" s="1">
        <f>SUM(H25:H30)</f>
        <v>99.999999999999986</v>
      </c>
      <c r="I31" s="13" t="s">
        <v>24</v>
      </c>
      <c r="J31" s="12" t="s">
        <v>29</v>
      </c>
      <c r="N31" s="1">
        <f>SUM(N26:N30)</f>
        <v>96538.46</v>
      </c>
      <c r="O31" s="17">
        <f>SUM(O26:O30)</f>
        <v>99.999999999999986</v>
      </c>
      <c r="S31" s="66" t="s">
        <v>39</v>
      </c>
      <c r="T31" s="67">
        <f>J55</f>
        <v>0</v>
      </c>
      <c r="U31" s="67">
        <f>J56</f>
        <v>2.6630253226448293</v>
      </c>
      <c r="V31" s="67">
        <f>J57</f>
        <v>0.35228668199337793</v>
      </c>
      <c r="W31" s="67">
        <f>J58</f>
        <v>0.94293484662789095</v>
      </c>
      <c r="X31" s="67">
        <f>J59</f>
        <v>0.62666372881591514</v>
      </c>
      <c r="AC31" t="s">
        <v>103</v>
      </c>
      <c r="AD31" s="51">
        <f>I456</f>
        <v>0.9654338057379882</v>
      </c>
      <c r="AE31" s="55">
        <f>I467</f>
        <v>0.96947244026463342</v>
      </c>
      <c r="AF31" s="55">
        <f>J467</f>
        <v>3.8782385406568877E-3</v>
      </c>
      <c r="AH31">
        <v>456</v>
      </c>
      <c r="AI31">
        <v>467</v>
      </c>
    </row>
    <row r="32" spans="1:57" x14ac:dyDescent="0.3">
      <c r="B32" s="16" t="s">
        <v>39</v>
      </c>
      <c r="C32" s="18">
        <f>SQRT(SUM((O26*O26*(C26/O26)*(1-C26/O26))/L26,(O27*O27*(C27/O27)*(1-C27/O27))/L27,(O28*O28*(C28/O28)*(1-C28/O28))/L28,(O29*O29*(C29/O29)*(1-C29/O29))/L29,(O30*O30*(C30/O30)*(1-C30/O30))/L30))</f>
        <v>0</v>
      </c>
      <c r="D32" s="18">
        <f>SQRT(SUM((O26*O26*(D26/O26)*(1-D26/O26))/L26,(O27*O27*(D27/O27)*(1-D27/O27))/L27,(O28*O28*(D28/O28)*(1-D28/O28))/L28,(O29*O29*(D29/O29)*(1-D29/O29))/L29,(O30*O30*(D30/O30)*(1-D30/O30))/L30))</f>
        <v>2.1723769786415513E-2</v>
      </c>
      <c r="E32" s="18">
        <f>SQRT(SUM((O26*O26*(E26/O26)*(1-E26/O26))/L26,(O27*O27*(E27/O27)*(1-E27/O27))/L27,(O28*O28*(E28/O28)*(1-E28/O28))/L28,(O29*O29*(E29/O29)*(1-E29/O29))/L29,(O30*O30*(E30/O30)*(1-E30/O30))/L30))</f>
        <v>0.35658768355854509</v>
      </c>
      <c r="F32" s="18">
        <f>SQRT(SUM((O26*O26*(F26/O26)*(1-F26/O26))/L26,(O27*O27*(F27/O27)*(1-F27/O27))/L27,(O28*O28*(F28/O28)*(1-F28/O28))/L28,(O29*O29*(F29/O29)*(1-F29/O29))/L29,(O30*O30*(F30/O30)*(1-F30/O30))/L30))</f>
        <v>0.36890098172268693</v>
      </c>
      <c r="G32" s="18">
        <f>SQRT(SUM((O26*O26*(G26/O26)*(1-G26/O26))/L26,(O27*O27*(G27/O27)*(1-G27/O27))/L27,(O28*O28*(G28/O28)*(1-G28/O28))/L28,(O29*O29*(G29/O29)*(1-G29/O29))/L29,(O30*O30*(G30/O30)*(1-G30/O30))/L30))</f>
        <v>0.15996314578528062</v>
      </c>
      <c r="H32" s="1"/>
      <c r="I32" s="14">
        <f>(C26+D27+E28+F29+G30)/H31</f>
        <v>0.9702474608268099</v>
      </c>
      <c r="J32" s="53">
        <f>SQRT(SUM(P26:P30))/100</f>
        <v>3.7927607217685079E-3</v>
      </c>
      <c r="M32" s="1"/>
      <c r="N32" s="9"/>
      <c r="S32" s="66" t="s">
        <v>51</v>
      </c>
      <c r="T32" s="67">
        <f>N44*100</f>
        <v>100</v>
      </c>
      <c r="U32" s="67">
        <f>N45*100</f>
        <v>97.6</v>
      </c>
      <c r="V32" s="67">
        <f>N46*100</f>
        <v>96.736292428198425</v>
      </c>
      <c r="W32" s="67">
        <f>N47*100</f>
        <v>94.098625707356518</v>
      </c>
      <c r="X32" s="67">
        <f>N48*100</f>
        <v>97.489959839357425</v>
      </c>
      <c r="AC32" t="s">
        <v>104</v>
      </c>
      <c r="AD32" s="51">
        <f>I485</f>
        <v>0.96128586242654679</v>
      </c>
      <c r="AE32" s="55">
        <f>I496</f>
        <v>0.9670792842903988</v>
      </c>
      <c r="AF32" s="55">
        <f>J496</f>
        <v>4.023859643432293E-3</v>
      </c>
      <c r="AH32">
        <v>485</v>
      </c>
      <c r="AI32">
        <v>496</v>
      </c>
    </row>
    <row r="33" spans="1:35" x14ac:dyDescent="0.3">
      <c r="B33" s="1" t="s">
        <v>30</v>
      </c>
      <c r="C33" s="17">
        <f>C26/C31*100</f>
        <v>100</v>
      </c>
      <c r="D33" s="17">
        <f>D27/D31*100</f>
        <v>99.289384738562092</v>
      </c>
      <c r="E33" s="17">
        <f>E28/E31*100</f>
        <v>97.162389729733931</v>
      </c>
      <c r="F33" s="17">
        <f>F29/F31*100</f>
        <v>97.443893134898389</v>
      </c>
      <c r="G33" s="17">
        <f>G30/G31*100</f>
        <v>93.538274332785548</v>
      </c>
      <c r="H33" s="1"/>
      <c r="R33" s="16" t="s">
        <v>61</v>
      </c>
      <c r="S33" t="s">
        <v>9</v>
      </c>
      <c r="T33" s="30">
        <f>N55</f>
        <v>261.77</v>
      </c>
      <c r="U33" s="30">
        <f>N56</f>
        <v>946.29</v>
      </c>
      <c r="V33" s="30">
        <f>N57</f>
        <v>59313.93</v>
      </c>
      <c r="W33" s="30">
        <f>N58</f>
        <v>29449.08</v>
      </c>
      <c r="X33" s="30">
        <f>N59</f>
        <v>6567.38</v>
      </c>
      <c r="Z33" t="s">
        <v>36</v>
      </c>
      <c r="AA33" s="1">
        <f>N60</f>
        <v>96538.450000000012</v>
      </c>
      <c r="AC33" t="s">
        <v>105</v>
      </c>
      <c r="AD33" s="51">
        <f>I514</f>
        <v>0.96750777739370897</v>
      </c>
      <c r="AE33" s="55">
        <f>I525</f>
        <v>0.96948280947210297</v>
      </c>
      <c r="AF33" s="55">
        <f>J525</f>
        <v>3.8361746057339451E-3</v>
      </c>
      <c r="AH33">
        <v>514</v>
      </c>
      <c r="AI33">
        <v>525</v>
      </c>
    </row>
    <row r="34" spans="1:35" ht="15.6" x14ac:dyDescent="0.35">
      <c r="B34" s="16" t="s">
        <v>39</v>
      </c>
      <c r="C34" s="18">
        <f>SQRT((C37+C38)/(C31*C31))</f>
        <v>0</v>
      </c>
      <c r="D34" s="18">
        <f>SQRT((D37+D38)/(D31*D31))</f>
        <v>0.72340366198367079</v>
      </c>
      <c r="E34" s="18">
        <f>SQRT((E37+E38)/(E31*E31))</f>
        <v>0.44675841243494024</v>
      </c>
      <c r="F34" s="18">
        <f>SQRT((F37+F38)/(F31*F31))</f>
        <v>0.74300904413394775</v>
      </c>
      <c r="G34" s="18">
        <f>SQRT((G37+G38)/(G31*G31))</f>
        <v>2.1532943857038984</v>
      </c>
      <c r="H34" s="1"/>
      <c r="R34" s="16" t="s">
        <v>318</v>
      </c>
      <c r="S34" t="s">
        <v>63</v>
      </c>
      <c r="T34" s="57">
        <f>$AA33*T26/100</f>
        <v>261.77000000000004</v>
      </c>
      <c r="U34" s="57">
        <f>$AA33*U26/100</f>
        <v>901.93265624999981</v>
      </c>
      <c r="V34" s="57">
        <f>$AA33*V26/100</f>
        <v>60289.305764506869</v>
      </c>
      <c r="W34" s="57">
        <f>$AA33*W26/100</f>
        <v>28345.84497302465</v>
      </c>
      <c r="X34" s="57">
        <f>$AA33*X26/100</f>
        <v>6739.5966062184798</v>
      </c>
      <c r="Z34" t="s">
        <v>36</v>
      </c>
      <c r="AA34" s="25">
        <f>SUM(T34:X34)</f>
        <v>96538.45</v>
      </c>
      <c r="AB34" s="25"/>
      <c r="AC34" t="s">
        <v>106</v>
      </c>
      <c r="AD34" s="51">
        <f>I543</f>
        <v>0.96232284825440717</v>
      </c>
      <c r="AE34" s="55">
        <f>I554</f>
        <v>0.96900961365326355</v>
      </c>
      <c r="AF34" s="55">
        <f>J554</f>
        <v>3.872508143245071E-3</v>
      </c>
      <c r="AH34">
        <v>543</v>
      </c>
      <c r="AI34">
        <v>554</v>
      </c>
    </row>
    <row r="35" spans="1:35" x14ac:dyDescent="0.3">
      <c r="B35" s="1" t="s">
        <v>37</v>
      </c>
      <c r="C35" s="18">
        <f>100-C33</f>
        <v>0</v>
      </c>
      <c r="D35" s="18">
        <f>100-D33</f>
        <v>0.71061526143790843</v>
      </c>
      <c r="E35" s="18">
        <f>100-E33</f>
        <v>2.8376102702660688</v>
      </c>
      <c r="F35" s="18">
        <f>100-F33</f>
        <v>2.5561068651016114</v>
      </c>
      <c r="G35" s="18">
        <f>100-G33</f>
        <v>6.4617256672144521</v>
      </c>
      <c r="R35" s="66"/>
      <c r="S35" s="66" t="s">
        <v>62</v>
      </c>
      <c r="T35" s="67">
        <f>$AA33*T27/100</f>
        <v>0</v>
      </c>
      <c r="U35" s="67">
        <f>$AA33*U27/100</f>
        <v>25.002292667570956</v>
      </c>
      <c r="V35" s="67">
        <f>$AA33*V27/100</f>
        <v>330.6053628769514</v>
      </c>
      <c r="W35" s="67">
        <f>$AA33*W27/100</f>
        <v>331.19856790336985</v>
      </c>
      <c r="X35" s="67">
        <f>$AA33*X27/100</f>
        <v>166.51287361897255</v>
      </c>
      <c r="AA35" s="1"/>
      <c r="AB35" s="25"/>
      <c r="AC35" s="58" t="s">
        <v>107</v>
      </c>
      <c r="AD35" s="120">
        <f>I572</f>
        <v>0.96681645350846868</v>
      </c>
      <c r="AE35" s="121">
        <f>I583</f>
        <v>0.97239098894784648</v>
      </c>
      <c r="AF35" s="121">
        <f>J583</f>
        <v>3.6604897240381435E-3</v>
      </c>
      <c r="AH35">
        <v>572</v>
      </c>
      <c r="AI35">
        <v>583</v>
      </c>
    </row>
    <row r="36" spans="1:35" ht="15.6" x14ac:dyDescent="0.35">
      <c r="B36" s="1" t="s">
        <v>25</v>
      </c>
      <c r="C36" s="1">
        <f>C20</f>
        <v>450</v>
      </c>
      <c r="D36" s="1">
        <f>D20</f>
        <v>63</v>
      </c>
      <c r="E36" s="1">
        <f>E20</f>
        <v>786</v>
      </c>
      <c r="F36" s="1">
        <f>F20</f>
        <v>619</v>
      </c>
      <c r="G36" s="1">
        <f>G20</f>
        <v>975</v>
      </c>
      <c r="R36" t="s">
        <v>67</v>
      </c>
      <c r="S36" t="s">
        <v>28</v>
      </c>
      <c r="T36" s="57">
        <f t="shared" ref="T36:X39" si="4">C89</f>
        <v>0.27315543942910203</v>
      </c>
      <c r="U36" s="57">
        <f t="shared" si="4"/>
        <v>0.97422332492631958</v>
      </c>
      <c r="V36" s="57">
        <f t="shared" si="4"/>
        <v>62.56254925755762</v>
      </c>
      <c r="W36" s="57">
        <f t="shared" si="4"/>
        <v>29.132256189754546</v>
      </c>
      <c r="X36" s="57">
        <f t="shared" si="4"/>
        <v>7.0578157883324106</v>
      </c>
      <c r="Y36" s="13"/>
      <c r="Z36" s="74"/>
      <c r="AA36" s="12"/>
      <c r="AC36" t="s">
        <v>108</v>
      </c>
      <c r="AD36" s="51"/>
      <c r="AE36" s="51"/>
      <c r="AH36">
        <v>601</v>
      </c>
      <c r="AI36">
        <v>612</v>
      </c>
    </row>
    <row r="37" spans="1:35" x14ac:dyDescent="0.3">
      <c r="B37" s="1" t="s">
        <v>34</v>
      </c>
      <c r="C37" s="18">
        <f>(O26*O26*(100-C33)*(100-C33)*(I26)*(100-I26))/(L26-1)</f>
        <v>0</v>
      </c>
      <c r="D37" s="18">
        <f>(O27*O27*(100-D33)*(100-D33)*(I27)*(100-I27))/((L27-1)*100)</f>
        <v>2.1977800123853159E-2</v>
      </c>
      <c r="E37" s="18">
        <f>(O28*O28*(100-E33)*(100-E33)*(I28)*(100-I28))/((L28-1)*100)</f>
        <v>38.182418748830173</v>
      </c>
      <c r="F37" s="18">
        <f>(O29*O29*(100-F33)*(100-F33)*(I29)*(100-I29))/((L29-1)*100)</f>
        <v>61.444171448186609</v>
      </c>
      <c r="G37" s="18">
        <f>(O30*O30*(100-G33)*(100-G33)*(I30)*(100-I30))/((L30-1)*100)</f>
        <v>8.1559081767886052</v>
      </c>
      <c r="S37" s="66" t="s">
        <v>39</v>
      </c>
      <c r="T37" s="67">
        <f t="shared" si="4"/>
        <v>0</v>
      </c>
      <c r="U37" s="67">
        <f t="shared" si="4"/>
        <v>3.1442922607720442E-2</v>
      </c>
      <c r="V37" s="67">
        <f t="shared" si="4"/>
        <v>0.34688033261084922</v>
      </c>
      <c r="W37" s="67">
        <f t="shared" si="4"/>
        <v>0.35631443237791333</v>
      </c>
      <c r="X37" s="67">
        <f t="shared" si="4"/>
        <v>0.19334521863847781</v>
      </c>
      <c r="AC37" t="s">
        <v>109</v>
      </c>
      <c r="AD37" s="51"/>
      <c r="AE37" s="51"/>
      <c r="AH37">
        <v>630</v>
      </c>
      <c r="AI37">
        <v>641</v>
      </c>
    </row>
    <row r="38" spans="1:35" x14ac:dyDescent="0.3">
      <c r="B38" s="1" t="s">
        <v>35</v>
      </c>
      <c r="C38" s="18">
        <f>C33*C33*(SUM((H27*C27*(1-C16/H16))/(H16-1),(H28*C28*(1-C17/H17))/(H17-1), (H29*C29*(1-C18/H18))/(H18-1),(H30*C30*(1-C19/H19))/(H19-1)))</f>
        <v>0</v>
      </c>
      <c r="D38" s="18">
        <f>D33*D33*(SUM((H26*D26*(1-D15/H15))/(H15-1),(H28*D28*(1-D17/H17))/(H17-1), (H29*D29*(1-D18/H18))/(H18-1),(H30*D30*(1-D19/H19))/(H19-1)))</f>
        <v>0.42922643641884983</v>
      </c>
      <c r="E38" s="18">
        <f>E33*E33*(SUM((H26*E26*(1-E15/H15))/(H15-1),(H27*E27*(1-E16/H16))/(H16-1), (H29*E29*(1-E18/H18))/(H18-1),(H30*E30*(1-E19/H19))/(H19-1)))</f>
        <v>754.58868837973523</v>
      </c>
      <c r="F38" s="18">
        <f>F33*F33*(SUM((H26*F26*(1-F15/H15))/(H15-1),(H27*F27*(1-F16/H16))/(H16-1), (H28*F28*(1-F17/H17))/(H17-1),(H30*F30*(1-F19/H19))/(H19-1)))</f>
        <v>401.21372886134498</v>
      </c>
      <c r="G38" s="18">
        <f>G33*G33*(SUM((H26*G26*(1-G15/H15))/(H15-1),(H27*G27*(1-G16/H16))/(H16-1), (H28*G28*(1-G17/H17))/(H17-1),(H29*G29*(1-G18/H18))/(H18-1)))</f>
        <v>207.15358848496078</v>
      </c>
      <c r="S38" t="s">
        <v>30</v>
      </c>
      <c r="T38" s="57">
        <f t="shared" si="4"/>
        <v>100</v>
      </c>
      <c r="U38" s="57">
        <f t="shared" si="4"/>
        <v>100</v>
      </c>
      <c r="V38" s="57">
        <f t="shared" si="4"/>
        <v>97.137414179035702</v>
      </c>
      <c r="W38" s="57">
        <f t="shared" si="4"/>
        <v>98.055352046261987</v>
      </c>
      <c r="X38" s="57">
        <f t="shared" si="4"/>
        <v>91.113994551063996</v>
      </c>
      <c r="Z38" s="50"/>
      <c r="AA38" s="54"/>
      <c r="AC38" t="s">
        <v>110</v>
      </c>
      <c r="AD38" s="51"/>
      <c r="AE38" s="51"/>
      <c r="AH38">
        <v>659</v>
      </c>
      <c r="AI38">
        <v>670</v>
      </c>
    </row>
    <row r="39" spans="1:35" x14ac:dyDescent="0.3">
      <c r="S39" s="66" t="s">
        <v>39</v>
      </c>
      <c r="T39" s="67">
        <f t="shared" si="4"/>
        <v>0</v>
      </c>
      <c r="U39" s="67">
        <f t="shared" si="4"/>
        <v>0</v>
      </c>
      <c r="V39" s="67">
        <f t="shared" si="4"/>
        <v>0.45003532418603526</v>
      </c>
      <c r="W39" s="67">
        <f t="shared" si="4"/>
        <v>0.60346691897287974</v>
      </c>
      <c r="X39" s="67">
        <f t="shared" si="4"/>
        <v>2.4949747942474136</v>
      </c>
      <c r="AC39" t="s">
        <v>111</v>
      </c>
      <c r="AD39" s="51"/>
      <c r="AE39" s="51"/>
      <c r="AH39">
        <v>688</v>
      </c>
      <c r="AI39">
        <v>699</v>
      </c>
    </row>
    <row r="40" spans="1:35" x14ac:dyDescent="0.3">
      <c r="S40" t="s">
        <v>31</v>
      </c>
      <c r="T40" s="57">
        <f>I84</f>
        <v>100</v>
      </c>
      <c r="U40" s="57">
        <f>I85</f>
        <v>93.75</v>
      </c>
      <c r="V40" s="57">
        <f>I86</f>
        <v>99.197860962566835</v>
      </c>
      <c r="W40" s="57">
        <f>I87</f>
        <v>93.042071197411005</v>
      </c>
      <c r="X40" s="57">
        <f>I88</f>
        <v>95.656465942744333</v>
      </c>
      <c r="AC40" t="s">
        <v>112</v>
      </c>
      <c r="AD40" s="51"/>
      <c r="AE40" s="51"/>
      <c r="AH40">
        <v>717</v>
      </c>
      <c r="AI40">
        <v>728</v>
      </c>
    </row>
    <row r="41" spans="1:35" x14ac:dyDescent="0.3">
      <c r="A41" s="348" t="s">
        <v>388</v>
      </c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 t="s">
        <v>49</v>
      </c>
      <c r="M41" s="348"/>
      <c r="N41" s="348"/>
      <c r="O41" s="348"/>
      <c r="P41" s="348"/>
      <c r="S41" s="66" t="s">
        <v>39</v>
      </c>
      <c r="T41" s="67">
        <f>J84</f>
        <v>0</v>
      </c>
      <c r="U41" s="67">
        <f>J85</f>
        <v>3.0496877279641659</v>
      </c>
      <c r="V41" s="67">
        <f>J86</f>
        <v>0.32637409385624488</v>
      </c>
      <c r="W41" s="67">
        <f>J87</f>
        <v>1.0243233976994559</v>
      </c>
      <c r="X41" s="67">
        <f>J88</f>
        <v>0.6407498676583373</v>
      </c>
      <c r="AC41" t="s">
        <v>113</v>
      </c>
      <c r="AD41" s="51"/>
      <c r="AE41" s="51"/>
      <c r="AH41">
        <v>746</v>
      </c>
      <c r="AI41">
        <v>757</v>
      </c>
    </row>
    <row r="42" spans="1:35" x14ac:dyDescent="0.3">
      <c r="A42" t="s">
        <v>315</v>
      </c>
      <c r="B42" t="s">
        <v>21</v>
      </c>
      <c r="I42" s="1" t="s">
        <v>53</v>
      </c>
      <c r="S42" s="66" t="s">
        <v>51</v>
      </c>
      <c r="T42" s="67">
        <f>N73*100</f>
        <v>100</v>
      </c>
      <c r="U42" s="67">
        <f>N74*100</f>
        <v>96.774193548387103</v>
      </c>
      <c r="V42" s="67">
        <f>N75*100</f>
        <v>96.677524429967434</v>
      </c>
      <c r="W42" s="67">
        <f>N76*100</f>
        <v>93.268450932684516</v>
      </c>
      <c r="X42" s="67">
        <f>N77*100</f>
        <v>97.191574724172526</v>
      </c>
      <c r="AC42" t="s">
        <v>114</v>
      </c>
      <c r="AD42" s="51"/>
      <c r="AE42" s="51"/>
      <c r="AH42">
        <v>775</v>
      </c>
      <c r="AI42">
        <v>786</v>
      </c>
    </row>
    <row r="43" spans="1:35" ht="15.6" x14ac:dyDescent="0.35">
      <c r="B43" s="1" t="s">
        <v>0</v>
      </c>
      <c r="C43" s="13">
        <v>0</v>
      </c>
      <c r="D43" s="13">
        <v>1</v>
      </c>
      <c r="E43" s="13">
        <v>2</v>
      </c>
      <c r="F43" s="13">
        <v>3</v>
      </c>
      <c r="G43" s="13">
        <v>4</v>
      </c>
      <c r="H43" s="1" t="s">
        <v>20</v>
      </c>
      <c r="I43" s="1" t="s">
        <v>1</v>
      </c>
      <c r="J43" s="1" t="s">
        <v>13</v>
      </c>
      <c r="N43" s="1" t="s">
        <v>51</v>
      </c>
      <c r="R43" s="16" t="s">
        <v>61</v>
      </c>
      <c r="S43" t="s">
        <v>9</v>
      </c>
      <c r="T43" s="30">
        <f>N84</f>
        <v>263.7</v>
      </c>
      <c r="U43" s="30">
        <f>N85</f>
        <v>1003.2</v>
      </c>
      <c r="V43" s="30">
        <f>N86</f>
        <v>59142.400000000001</v>
      </c>
      <c r="W43" s="30">
        <f>N87</f>
        <v>29639.19</v>
      </c>
      <c r="X43" s="30">
        <f>N88</f>
        <v>6489.95</v>
      </c>
      <c r="Z43" t="s">
        <v>36</v>
      </c>
      <c r="AA43" s="1">
        <f>N89</f>
        <v>96538.44</v>
      </c>
      <c r="AC43" t="s">
        <v>115</v>
      </c>
      <c r="AD43" s="51"/>
      <c r="AE43" s="51"/>
      <c r="AH43">
        <v>804</v>
      </c>
      <c r="AI43">
        <v>815</v>
      </c>
    </row>
    <row r="44" spans="1:35" ht="15.6" x14ac:dyDescent="0.35">
      <c r="A44" t="s">
        <v>3</v>
      </c>
      <c r="B44" s="13">
        <v>0</v>
      </c>
      <c r="C44" s="26">
        <v>450</v>
      </c>
      <c r="D44" s="3">
        <v>0</v>
      </c>
      <c r="E44" s="3">
        <v>0</v>
      </c>
      <c r="F44" s="3">
        <v>0</v>
      </c>
      <c r="G44" s="4">
        <v>0</v>
      </c>
      <c r="H44" s="1">
        <f>SUM(C44:G44)</f>
        <v>450</v>
      </c>
      <c r="I44" s="10">
        <f>C44/H44</f>
        <v>1</v>
      </c>
      <c r="J44" s="11">
        <f>1-I44</f>
        <v>0</v>
      </c>
      <c r="K44">
        <f>H44-C49</f>
        <v>0</v>
      </c>
      <c r="N44" s="10">
        <f>2*(C50*I44)/(C50+I44)</f>
        <v>1</v>
      </c>
      <c r="R44" s="16" t="s">
        <v>318</v>
      </c>
      <c r="S44" t="s">
        <v>63</v>
      </c>
      <c r="T44" s="57">
        <f>$AA43*T36/100</f>
        <v>263.7</v>
      </c>
      <c r="U44" s="57">
        <f>$AA43*U36/100</f>
        <v>940.50000000000011</v>
      </c>
      <c r="V44" s="57">
        <f>$AA43*V36/100</f>
        <v>60396.909077477707</v>
      </c>
      <c r="W44" s="57">
        <f>$AA43*W36/100</f>
        <v>28123.825662392479</v>
      </c>
      <c r="X44" s="57">
        <f>$AA43*X36/100</f>
        <v>6813.5052601298121</v>
      </c>
      <c r="Z44" t="s">
        <v>36</v>
      </c>
      <c r="AA44" s="25">
        <f>SUM(T44:X44)</f>
        <v>96538.439999999988</v>
      </c>
      <c r="AC44" t="s">
        <v>116</v>
      </c>
      <c r="AD44" s="51"/>
      <c r="AE44" s="51"/>
      <c r="AH44">
        <v>833</v>
      </c>
      <c r="AI44">
        <v>844</v>
      </c>
    </row>
    <row r="45" spans="1:35" x14ac:dyDescent="0.3">
      <c r="A45" t="s">
        <v>4</v>
      </c>
      <c r="B45" s="13">
        <v>1</v>
      </c>
      <c r="C45" s="5">
        <v>0</v>
      </c>
      <c r="D45" s="27">
        <v>61</v>
      </c>
      <c r="E45" s="1">
        <v>2</v>
      </c>
      <c r="F45" s="1">
        <v>1</v>
      </c>
      <c r="G45" s="6">
        <v>0</v>
      </c>
      <c r="H45" s="1">
        <f>SUM(C45:G45)</f>
        <v>64</v>
      </c>
      <c r="I45" s="10">
        <f>D45/H45</f>
        <v>0.953125</v>
      </c>
      <c r="J45" s="11">
        <f>1-I45</f>
        <v>4.6875E-2</v>
      </c>
      <c r="K45">
        <f>H45-D49</f>
        <v>3</v>
      </c>
      <c r="N45" s="10">
        <f>2*(D50*I45)/(D50+I45)</f>
        <v>0.97599999999999998</v>
      </c>
      <c r="R45" s="66"/>
      <c r="S45" s="66" t="s">
        <v>62</v>
      </c>
      <c r="T45" s="67">
        <f>$AA43*T37/100</f>
        <v>0</v>
      </c>
      <c r="U45" s="67">
        <f>$AA43*U37/100</f>
        <v>30.354506975900634</v>
      </c>
      <c r="V45" s="67">
        <f>$AA43*V37/100</f>
        <v>334.87286176932508</v>
      </c>
      <c r="W45" s="67">
        <f>$AA43*W37/100</f>
        <v>343.98039451249241</v>
      </c>
      <c r="X45" s="67">
        <f>$AA43*X37/100</f>
        <v>186.65245788817575</v>
      </c>
      <c r="AA45" s="1"/>
      <c r="AC45" t="s">
        <v>117</v>
      </c>
      <c r="AD45" s="51"/>
      <c r="AE45" s="51"/>
      <c r="AH45">
        <v>862</v>
      </c>
      <c r="AI45">
        <v>873</v>
      </c>
    </row>
    <row r="46" spans="1:35" x14ac:dyDescent="0.3">
      <c r="A46" t="s">
        <v>5</v>
      </c>
      <c r="B46" s="13">
        <v>2</v>
      </c>
      <c r="C46" s="5">
        <v>0</v>
      </c>
      <c r="D46" s="1">
        <v>0</v>
      </c>
      <c r="E46" s="27">
        <v>741</v>
      </c>
      <c r="F46" s="1">
        <v>5</v>
      </c>
      <c r="G46" s="6">
        <v>2</v>
      </c>
      <c r="H46" s="1">
        <f>SUM(C46:G46)</f>
        <v>748</v>
      </c>
      <c r="I46" s="10">
        <f>E46/H46</f>
        <v>0.99064171122994649</v>
      </c>
      <c r="J46" s="11">
        <f>1-I46</f>
        <v>9.3582887700535133E-3</v>
      </c>
      <c r="K46">
        <f>H46-E49</f>
        <v>-36</v>
      </c>
      <c r="N46" s="10">
        <f>2*(E50*I46)/(E50+I46)</f>
        <v>0.96736292428198423</v>
      </c>
      <c r="R46" t="s">
        <v>68</v>
      </c>
      <c r="S46" t="s">
        <v>28</v>
      </c>
      <c r="T46" s="57">
        <f t="shared" ref="T46:X49" si="5">C118</f>
        <v>0.28476736471323089</v>
      </c>
      <c r="U46" s="57">
        <f t="shared" si="5"/>
        <v>0.92618361916291481</v>
      </c>
      <c r="V46" s="57">
        <f t="shared" si="5"/>
        <v>62.480548007038827</v>
      </c>
      <c r="W46" s="57">
        <f t="shared" si="5"/>
        <v>29.244367017808912</v>
      </c>
      <c r="X46" s="57">
        <f t="shared" si="5"/>
        <v>7.0641339912761234</v>
      </c>
      <c r="Y46" s="60"/>
      <c r="Z46" s="74"/>
      <c r="AA46" s="12"/>
      <c r="AC46" t="s">
        <v>130</v>
      </c>
      <c r="AD46" s="51"/>
      <c r="AE46" s="51"/>
      <c r="AH46">
        <v>891</v>
      </c>
      <c r="AI46">
        <v>902</v>
      </c>
    </row>
    <row r="47" spans="1:35" x14ac:dyDescent="0.3">
      <c r="A47" t="s">
        <v>6</v>
      </c>
      <c r="B47" s="13">
        <v>3</v>
      </c>
      <c r="C47" s="5">
        <v>0</v>
      </c>
      <c r="D47" s="1">
        <v>0</v>
      </c>
      <c r="E47" s="1">
        <v>30</v>
      </c>
      <c r="F47" s="27">
        <v>582</v>
      </c>
      <c r="G47" s="6">
        <v>6</v>
      </c>
      <c r="H47" s="1">
        <f>SUM(C47:G47)</f>
        <v>618</v>
      </c>
      <c r="I47" s="10">
        <f>F47/H47</f>
        <v>0.94174757281553401</v>
      </c>
      <c r="J47" s="11">
        <f>1-I47</f>
        <v>5.8252427184465994E-2</v>
      </c>
      <c r="K47">
        <f>H47-F49</f>
        <v>-1</v>
      </c>
      <c r="N47" s="10">
        <f>2*(F50*I47)/(F50+I47)</f>
        <v>0.9409862570735652</v>
      </c>
      <c r="S47" s="66" t="s">
        <v>39</v>
      </c>
      <c r="T47" s="67">
        <f t="shared" si="5"/>
        <v>0</v>
      </c>
      <c r="U47" s="67">
        <f t="shared" si="5"/>
        <v>3.0415517591942519E-2</v>
      </c>
      <c r="V47" s="67">
        <f t="shared" si="5"/>
        <v>0.35438922028122749</v>
      </c>
      <c r="W47" s="67">
        <f t="shared" si="5"/>
        <v>0.3634274535922386</v>
      </c>
      <c r="X47" s="67">
        <f t="shared" si="5"/>
        <v>0.1923474600733916</v>
      </c>
      <c r="AC47" t="s">
        <v>131</v>
      </c>
      <c r="AD47" s="51"/>
      <c r="AE47" s="51"/>
      <c r="AH47">
        <v>920</v>
      </c>
      <c r="AI47">
        <v>931</v>
      </c>
    </row>
    <row r="48" spans="1:35" x14ac:dyDescent="0.3">
      <c r="A48" t="s">
        <v>7</v>
      </c>
      <c r="B48" s="13">
        <v>4</v>
      </c>
      <c r="C48" s="7">
        <v>0</v>
      </c>
      <c r="D48" s="8">
        <v>0</v>
      </c>
      <c r="E48" s="8">
        <v>11</v>
      </c>
      <c r="F48" s="8">
        <v>31</v>
      </c>
      <c r="G48" s="28">
        <v>971</v>
      </c>
      <c r="H48" s="1">
        <f>SUM(C48:G48)</f>
        <v>1013</v>
      </c>
      <c r="I48" s="10">
        <f>G48/H48</f>
        <v>0.95853899308983215</v>
      </c>
      <c r="J48" s="11">
        <f>1-I48</f>
        <v>4.1461006910167852E-2</v>
      </c>
      <c r="K48">
        <f>H48-G49</f>
        <v>34</v>
      </c>
      <c r="N48" s="10">
        <f>2*(G50*I48)/(G50+I48)</f>
        <v>0.97489959839357421</v>
      </c>
      <c r="S48" t="s">
        <v>30</v>
      </c>
      <c r="T48" s="57">
        <f t="shared" si="5"/>
        <v>100</v>
      </c>
      <c r="U48" s="57">
        <f t="shared" si="5"/>
        <v>99.280559513306272</v>
      </c>
      <c r="V48" s="57">
        <f t="shared" si="5"/>
        <v>97.649001527156173</v>
      </c>
      <c r="W48" s="57">
        <f t="shared" si="5"/>
        <v>97.180784935067948</v>
      </c>
      <c r="X48" s="57">
        <f t="shared" si="5"/>
        <v>91.213582972903026</v>
      </c>
      <c r="AC48" t="s">
        <v>132</v>
      </c>
      <c r="AD48" s="51"/>
      <c r="AE48" s="51"/>
      <c r="AH48">
        <v>949</v>
      </c>
      <c r="AI48">
        <v>960</v>
      </c>
    </row>
    <row r="49" spans="1:35" ht="15.6" x14ac:dyDescent="0.35">
      <c r="B49" s="1" t="s">
        <v>19</v>
      </c>
      <c r="C49" s="1">
        <f>SUM(C44:C48)</f>
        <v>450</v>
      </c>
      <c r="D49" s="1">
        <f>SUM(D44:D48)</f>
        <v>61</v>
      </c>
      <c r="E49" s="1">
        <f>SUM(E44:E48)</f>
        <v>784</v>
      </c>
      <c r="F49" s="1">
        <f>SUM(F44:F48)</f>
        <v>619</v>
      </c>
      <c r="G49" s="1">
        <f>SUM(G44:G48)</f>
        <v>979</v>
      </c>
      <c r="H49" s="1">
        <f>SUM(H43:H48)</f>
        <v>2893</v>
      </c>
      <c r="I49" s="13" t="s">
        <v>12</v>
      </c>
      <c r="S49" s="66" t="s">
        <v>39</v>
      </c>
      <c r="T49" s="67">
        <f t="shared" si="5"/>
        <v>0</v>
      </c>
      <c r="U49" s="67">
        <f t="shared" si="5"/>
        <v>0.7511061729098355</v>
      </c>
      <c r="V49" s="67">
        <f t="shared" si="5"/>
        <v>0.40939253943336795</v>
      </c>
      <c r="W49" s="67">
        <f t="shared" si="5"/>
        <v>0.78588607291039736</v>
      </c>
      <c r="X49" s="67">
        <f t="shared" si="5"/>
        <v>2.4808600400584964</v>
      </c>
      <c r="AC49" t="s">
        <v>133</v>
      </c>
      <c r="AD49" s="51"/>
      <c r="AE49" s="51"/>
      <c r="AH49">
        <v>978</v>
      </c>
      <c r="AI49">
        <v>989</v>
      </c>
    </row>
    <row r="50" spans="1:35" x14ac:dyDescent="0.3">
      <c r="A50" s="1" t="s">
        <v>316</v>
      </c>
      <c r="B50" s="1" t="s">
        <v>2</v>
      </c>
      <c r="C50" s="10">
        <f>C44/C49</f>
        <v>1</v>
      </c>
      <c r="D50" s="10">
        <f>D45/D49</f>
        <v>1</v>
      </c>
      <c r="E50" s="10">
        <f>E46/E49</f>
        <v>0.94515306122448983</v>
      </c>
      <c r="F50" s="10">
        <f>F47/F49</f>
        <v>0.94022617124394181</v>
      </c>
      <c r="G50" s="10">
        <f>G48/G49</f>
        <v>0.99182839632277831</v>
      </c>
      <c r="H50" s="10"/>
      <c r="I50" s="14">
        <f>(C44+D45+E46+F47+G48)/H49</f>
        <v>0.96958174904942962</v>
      </c>
      <c r="S50" s="15" t="s">
        <v>31</v>
      </c>
      <c r="T50" s="71">
        <f>I113</f>
        <v>100</v>
      </c>
      <c r="U50" s="71">
        <f>I114</f>
        <v>93.749999999999986</v>
      </c>
      <c r="V50" s="71">
        <f>I115</f>
        <v>98.796791443850267</v>
      </c>
      <c r="W50" s="71">
        <f>I116</f>
        <v>94.01294498381877</v>
      </c>
      <c r="X50" s="71">
        <f>I117</f>
        <v>95.459032576505436</v>
      </c>
      <c r="AC50" t="s">
        <v>134</v>
      </c>
      <c r="AD50" s="51"/>
      <c r="AE50" s="51"/>
      <c r="AH50">
        <v>1007</v>
      </c>
      <c r="AI50">
        <v>1018</v>
      </c>
    </row>
    <row r="51" spans="1:35" x14ac:dyDescent="0.3">
      <c r="B51" s="1" t="s">
        <v>14</v>
      </c>
      <c r="C51" s="11">
        <f>1-C50</f>
        <v>0</v>
      </c>
      <c r="D51" s="11">
        <f>1-D50</f>
        <v>0</v>
      </c>
      <c r="E51" s="11">
        <f>1-E50</f>
        <v>5.4846938775510168E-2</v>
      </c>
      <c r="F51" s="11">
        <f>1-F50</f>
        <v>5.9773828756058189E-2</v>
      </c>
      <c r="G51" s="11">
        <f>1-G50</f>
        <v>8.1716036772216949E-3</v>
      </c>
      <c r="S51" s="75" t="s">
        <v>39</v>
      </c>
      <c r="T51" s="76">
        <f>J113</f>
        <v>0</v>
      </c>
      <c r="U51" s="76">
        <f>J114</f>
        <v>3.0496877279641694</v>
      </c>
      <c r="V51" s="76">
        <f>J115</f>
        <v>0.3989161097662422</v>
      </c>
      <c r="W51" s="76">
        <f>J116</f>
        <v>0.95511985030479796</v>
      </c>
      <c r="X51" s="76">
        <f>J117</f>
        <v>0.65447407996955353</v>
      </c>
      <c r="AC51" t="s">
        <v>135</v>
      </c>
      <c r="AD51" s="51"/>
      <c r="AE51" s="51"/>
      <c r="AH51">
        <v>1036</v>
      </c>
      <c r="AI51">
        <v>1047</v>
      </c>
    </row>
    <row r="52" spans="1:35" x14ac:dyDescent="0.3">
      <c r="C52" s="2"/>
      <c r="S52" s="66" t="s">
        <v>51</v>
      </c>
      <c r="T52" s="67">
        <f>N102*100</f>
        <v>100</v>
      </c>
      <c r="U52" s="67">
        <f>N103*100</f>
        <v>96</v>
      </c>
      <c r="V52" s="67">
        <f>N104*100</f>
        <v>96.854521625163827</v>
      </c>
      <c r="W52" s="67">
        <f>N105*100</f>
        <v>93.48350764279968</v>
      </c>
      <c r="X52" s="67">
        <f>N106*100</f>
        <v>97.08835341365463</v>
      </c>
      <c r="AC52" t="s">
        <v>136</v>
      </c>
      <c r="AD52" s="51"/>
      <c r="AE52" s="51"/>
      <c r="AH52">
        <v>1065</v>
      </c>
      <c r="AI52">
        <v>1076</v>
      </c>
    </row>
    <row r="53" spans="1:35" ht="15.6" x14ac:dyDescent="0.35">
      <c r="A53" t="s">
        <v>317</v>
      </c>
      <c r="B53" s="15" t="s">
        <v>23</v>
      </c>
      <c r="N53" s="12" t="s">
        <v>17</v>
      </c>
      <c r="O53" s="1" t="s">
        <v>27</v>
      </c>
      <c r="P53" s="1" t="s">
        <v>33</v>
      </c>
      <c r="R53" s="16" t="s">
        <v>61</v>
      </c>
      <c r="S53" t="s">
        <v>9</v>
      </c>
      <c r="T53" s="30">
        <f>N113</f>
        <v>274.91000000000003</v>
      </c>
      <c r="U53" s="30">
        <f>N114</f>
        <v>946.87</v>
      </c>
      <c r="V53" s="30">
        <f>N115</f>
        <v>59617</v>
      </c>
      <c r="W53" s="30">
        <f>N116</f>
        <v>29183.360000000001</v>
      </c>
      <c r="X53" s="30">
        <f>N117</f>
        <v>6516.31</v>
      </c>
      <c r="Z53" t="s">
        <v>36</v>
      </c>
      <c r="AA53" s="1">
        <f>N118</f>
        <v>96538.45</v>
      </c>
      <c r="AC53" t="s">
        <v>137</v>
      </c>
      <c r="AD53" s="51"/>
      <c r="AE53" s="51"/>
      <c r="AH53">
        <v>1094</v>
      </c>
      <c r="AI53">
        <v>1105</v>
      </c>
    </row>
    <row r="54" spans="1:35" ht="15.6" x14ac:dyDescent="0.35">
      <c r="B54" s="1" t="s">
        <v>0</v>
      </c>
      <c r="C54" s="13">
        <v>0</v>
      </c>
      <c r="D54" s="13">
        <v>1</v>
      </c>
      <c r="E54" s="13">
        <v>2</v>
      </c>
      <c r="F54" s="13">
        <v>3</v>
      </c>
      <c r="G54" s="13">
        <v>4</v>
      </c>
      <c r="H54" s="1" t="s">
        <v>28</v>
      </c>
      <c r="I54" s="1" t="s">
        <v>31</v>
      </c>
      <c r="J54" s="15" t="s">
        <v>39</v>
      </c>
      <c r="K54" s="1" t="s">
        <v>38</v>
      </c>
      <c r="L54" s="1" t="s">
        <v>26</v>
      </c>
      <c r="M54" t="s">
        <v>8</v>
      </c>
      <c r="N54" t="s">
        <v>9</v>
      </c>
      <c r="O54" s="1" t="s">
        <v>11</v>
      </c>
      <c r="R54" s="16" t="s">
        <v>318</v>
      </c>
      <c r="S54" t="s">
        <v>63</v>
      </c>
      <c r="T54" s="57">
        <f>$AA53*T46/100</f>
        <v>274.91000000000003</v>
      </c>
      <c r="U54" s="57">
        <f>$AA53*U46/100</f>
        <v>894.1233100937809</v>
      </c>
      <c r="V54" s="57">
        <f>$AA53*V46/100</f>
        <v>60317.752597501174</v>
      </c>
      <c r="W54" s="57">
        <f>$AA53*W46/100</f>
        <v>28232.058631303949</v>
      </c>
      <c r="X54" s="57">
        <f>$AA53*X46/100</f>
        <v>6819.605461101105</v>
      </c>
      <c r="Z54" t="s">
        <v>36</v>
      </c>
      <c r="AA54" s="25">
        <f>SUM(T54:X54)</f>
        <v>96538.450000000012</v>
      </c>
      <c r="AC54" t="s">
        <v>138</v>
      </c>
      <c r="AD54" s="51"/>
      <c r="AE54" s="51"/>
      <c r="AH54">
        <v>1123</v>
      </c>
      <c r="AI54">
        <v>1134</v>
      </c>
    </row>
    <row r="55" spans="1:35" x14ac:dyDescent="0.3">
      <c r="A55" t="s">
        <v>3</v>
      </c>
      <c r="B55" s="13">
        <v>0</v>
      </c>
      <c r="C55" s="29">
        <f>(C44/$L55)*$O55</f>
        <v>0.27115620770791327</v>
      </c>
      <c r="D55" s="31">
        <f>(D44/$L55)*$O55</f>
        <v>0</v>
      </c>
      <c r="E55" s="31">
        <f>(E44/$L55)*$O55</f>
        <v>0</v>
      </c>
      <c r="F55" s="31">
        <f>(F44/$L55)*$O55</f>
        <v>0</v>
      </c>
      <c r="G55" s="32">
        <f>(G44/$L55)*$O55</f>
        <v>0</v>
      </c>
      <c r="H55" s="17">
        <f>SUM(C55:G55)</f>
        <v>0.27115620770791327</v>
      </c>
      <c r="I55" s="17">
        <f>C55/H55*100</f>
        <v>100</v>
      </c>
      <c r="J55" s="17">
        <f>SQRT(I55*(100-I55)/(L55-1))</f>
        <v>0</v>
      </c>
      <c r="K55" s="18">
        <f>100-I55</f>
        <v>0</v>
      </c>
      <c r="L55" s="1">
        <f>H44</f>
        <v>450</v>
      </c>
      <c r="M55">
        <v>0</v>
      </c>
      <c r="N55" s="1">
        <v>261.77</v>
      </c>
      <c r="O55" s="17">
        <f>N55/N60*100</f>
        <v>0.27115620770791327</v>
      </c>
      <c r="P55" s="52">
        <f>((O55*O55*(I55/100)*(K55/100))/(L55-1))</f>
        <v>0</v>
      </c>
      <c r="R55" s="66"/>
      <c r="S55" s="66" t="s">
        <v>62</v>
      </c>
      <c r="T55" s="67">
        <f>$AA53*T47/100</f>
        <v>0</v>
      </c>
      <c r="U55" s="67">
        <f>$AA53*U47/100</f>
        <v>29.36266924273863</v>
      </c>
      <c r="V55" s="67">
        <f>$AA53*V47/100</f>
        <v>342.12186022658267</v>
      </c>
      <c r="W55" s="67">
        <f>$AA53*W47/100</f>
        <v>350.84723057241644</v>
      </c>
      <c r="X55" s="67">
        <f>$AA53*X47/100</f>
        <v>185.6892565692211</v>
      </c>
      <c r="AA55" s="1"/>
      <c r="AC55" t="s">
        <v>139</v>
      </c>
      <c r="AD55" s="51"/>
      <c r="AE55" s="51"/>
      <c r="AH55">
        <v>1152</v>
      </c>
      <c r="AI55">
        <v>1163</v>
      </c>
    </row>
    <row r="56" spans="1:35" x14ac:dyDescent="0.3">
      <c r="A56" t="s">
        <v>4</v>
      </c>
      <c r="B56" s="13">
        <v>1</v>
      </c>
      <c r="C56" s="33">
        <f t="shared" ref="C56:G59" si="6">(C45/$L56)*$O56</f>
        <v>0</v>
      </c>
      <c r="D56" s="34">
        <f t="shared" si="6"/>
        <v>0.93427298268202952</v>
      </c>
      <c r="E56" s="19">
        <f t="shared" si="6"/>
        <v>3.0631901071541952E-2</v>
      </c>
      <c r="F56" s="18">
        <f t="shared" si="6"/>
        <v>1.5315950535770976E-2</v>
      </c>
      <c r="G56" s="20">
        <f t="shared" si="6"/>
        <v>0</v>
      </c>
      <c r="H56" s="17">
        <f>SUM(C56:G56)</f>
        <v>0.98022083428934237</v>
      </c>
      <c r="I56" s="17">
        <f>D56/H56*100</f>
        <v>95.312500000000014</v>
      </c>
      <c r="J56" s="17">
        <f>SQRT(I56*(100-I56)/(L56-1))</f>
        <v>2.6630253226448293</v>
      </c>
      <c r="K56" s="18">
        <f>100-I56</f>
        <v>4.6874999999999858</v>
      </c>
      <c r="L56" s="1">
        <f>H45</f>
        <v>64</v>
      </c>
      <c r="M56">
        <v>1</v>
      </c>
      <c r="N56" s="1">
        <v>946.29</v>
      </c>
      <c r="O56" s="17">
        <f>N56/N60*100</f>
        <v>0.98022083428934248</v>
      </c>
      <c r="P56" s="52">
        <f>((O56*O56*(I56/100)*(K56/100))/(L56-1))</f>
        <v>6.8139422807929231E-4</v>
      </c>
      <c r="R56" t="s">
        <v>71</v>
      </c>
      <c r="S56" t="s">
        <v>28</v>
      </c>
      <c r="T56" s="57">
        <f t="shared" ref="T56:X59" si="7">C147</f>
        <v>0.27805495570833061</v>
      </c>
      <c r="U56" s="57">
        <f t="shared" si="7"/>
        <v>0.95668465553364346</v>
      </c>
      <c r="V56" s="57">
        <f t="shared" si="7"/>
        <v>61.829709681832441</v>
      </c>
      <c r="W56" s="57">
        <f t="shared" si="7"/>
        <v>30.192828544500465</v>
      </c>
      <c r="X56" s="57">
        <f t="shared" si="7"/>
        <v>6.7427221624251299</v>
      </c>
      <c r="Y56" s="13"/>
      <c r="Z56" s="74"/>
      <c r="AA56" s="12"/>
      <c r="AC56" t="s">
        <v>140</v>
      </c>
      <c r="AD56" s="51"/>
      <c r="AE56" s="51"/>
      <c r="AH56">
        <v>1181</v>
      </c>
      <c r="AI56">
        <v>1192</v>
      </c>
    </row>
    <row r="57" spans="1:35" x14ac:dyDescent="0.3">
      <c r="A57" t="s">
        <v>5</v>
      </c>
      <c r="B57" s="13">
        <v>2</v>
      </c>
      <c r="C57" s="33">
        <f t="shared" si="6"/>
        <v>0</v>
      </c>
      <c r="D57" s="19">
        <f t="shared" si="6"/>
        <v>0</v>
      </c>
      <c r="E57" s="34">
        <f t="shared" si="6"/>
        <v>60.865751537313116</v>
      </c>
      <c r="F57" s="19">
        <f t="shared" si="6"/>
        <v>0.41070007784961615</v>
      </c>
      <c r="G57" s="20">
        <f t="shared" si="6"/>
        <v>0.16428003113984646</v>
      </c>
      <c r="H57" s="17">
        <f>SUM(C57:G57)</f>
        <v>61.440731646302581</v>
      </c>
      <c r="I57" s="17">
        <f>E57/H57*100</f>
        <v>99.064171122994651</v>
      </c>
      <c r="J57" s="17">
        <f>SQRT(I57*(100-I57)/(L57-1))</f>
        <v>0.35228668199337793</v>
      </c>
      <c r="K57" s="18">
        <f>100-I57</f>
        <v>0.93582887700534911</v>
      </c>
      <c r="L57" s="1">
        <f>H46</f>
        <v>748</v>
      </c>
      <c r="M57">
        <v>2</v>
      </c>
      <c r="N57" s="1">
        <v>59313.93</v>
      </c>
      <c r="O57" s="17">
        <f>N57/N60*100</f>
        <v>61.440731646302581</v>
      </c>
      <c r="P57" s="52">
        <f>((O57*O57*(I57/100)*(K57/100))/(L57-1))</f>
        <v>4.6849526710374706E-2</v>
      </c>
      <c r="S57" s="66" t="s">
        <v>39</v>
      </c>
      <c r="T57" s="67">
        <f t="shared" si="7"/>
        <v>0</v>
      </c>
      <c r="U57" s="67">
        <f t="shared" si="7"/>
        <v>3.5170033976502244E-2</v>
      </c>
      <c r="V57" s="67">
        <f t="shared" si="7"/>
        <v>0.38986748923993331</v>
      </c>
      <c r="W57" s="67">
        <f t="shared" si="7"/>
        <v>0.39371429416567771</v>
      </c>
      <c r="X57" s="67">
        <f t="shared" si="7"/>
        <v>0.18114174411465178</v>
      </c>
      <c r="AC57" t="s">
        <v>141</v>
      </c>
      <c r="AD57" s="51"/>
      <c r="AE57" s="51"/>
      <c r="AH57">
        <v>1210</v>
      </c>
      <c r="AI57">
        <v>1221</v>
      </c>
    </row>
    <row r="58" spans="1:35" x14ac:dyDescent="0.3">
      <c r="A58" t="s">
        <v>6</v>
      </c>
      <c r="B58" s="13">
        <v>3</v>
      </c>
      <c r="C58" s="33">
        <f t="shared" si="6"/>
        <v>0</v>
      </c>
      <c r="D58" s="19">
        <f t="shared" si="6"/>
        <v>0</v>
      </c>
      <c r="E58" s="19">
        <f t="shared" si="6"/>
        <v>1.4808265414363522</v>
      </c>
      <c r="F58" s="34">
        <f t="shared" si="6"/>
        <v>28.728034903865233</v>
      </c>
      <c r="G58" s="20">
        <f t="shared" si="6"/>
        <v>0.29616530828727039</v>
      </c>
      <c r="H58" s="17">
        <f>SUM(C58:G58)</f>
        <v>30.505026753588858</v>
      </c>
      <c r="I58" s="17">
        <f>F58/H58*100</f>
        <v>94.174757281553383</v>
      </c>
      <c r="J58" s="17">
        <f>SQRT(I58*(100-I58)/(L58-1))</f>
        <v>0.94293484662789095</v>
      </c>
      <c r="K58" s="18">
        <f>100-I58</f>
        <v>5.8252427184466171</v>
      </c>
      <c r="L58" s="1">
        <f>H47</f>
        <v>618</v>
      </c>
      <c r="M58">
        <v>3</v>
      </c>
      <c r="N58" s="1">
        <v>29449.08</v>
      </c>
      <c r="O58" s="17">
        <f>N58/N60*100</f>
        <v>30.505026753588854</v>
      </c>
      <c r="P58" s="52">
        <f>((O58*O58*(I58/100)*(K58/100))/(L58-1))</f>
        <v>8.2738223472843431E-2</v>
      </c>
      <c r="S58" t="s">
        <v>30</v>
      </c>
      <c r="T58" s="57">
        <f t="shared" si="7"/>
        <v>100</v>
      </c>
      <c r="U58" s="57">
        <f t="shared" si="7"/>
        <v>99.328507155880388</v>
      </c>
      <c r="V58" s="57">
        <f t="shared" si="7"/>
        <v>97.40126207435361</v>
      </c>
      <c r="W58" s="57">
        <f t="shared" si="7"/>
        <v>96.460136710526172</v>
      </c>
      <c r="X58" s="57">
        <f t="shared" si="7"/>
        <v>92.130071148822765</v>
      </c>
      <c r="AC58" t="s">
        <v>142</v>
      </c>
      <c r="AD58" s="51"/>
      <c r="AE58" s="51"/>
      <c r="AH58">
        <v>1239</v>
      </c>
      <c r="AI58">
        <v>1250</v>
      </c>
    </row>
    <row r="59" spans="1:35" x14ac:dyDescent="0.3">
      <c r="A59" t="s">
        <v>7</v>
      </c>
      <c r="B59" s="13">
        <v>4</v>
      </c>
      <c r="C59" s="35">
        <f t="shared" si="6"/>
        <v>0</v>
      </c>
      <c r="D59" s="36">
        <f t="shared" si="6"/>
        <v>0</v>
      </c>
      <c r="E59" s="21">
        <f t="shared" si="6"/>
        <v>7.3871184737635057E-2</v>
      </c>
      <c r="F59" s="21">
        <f t="shared" si="6"/>
        <v>0.20818242971515336</v>
      </c>
      <c r="G59" s="37">
        <f t="shared" si="6"/>
        <v>6.5208109436585131</v>
      </c>
      <c r="H59" s="17">
        <f>SUM(C59:G59)</f>
        <v>6.8028645581113016</v>
      </c>
      <c r="I59" s="17">
        <f>G59/H59*100</f>
        <v>95.853899308983216</v>
      </c>
      <c r="J59" s="17">
        <f>SQRT(I59*(100-I59)/(L59-1))</f>
        <v>0.62666372881591514</v>
      </c>
      <c r="K59" s="18">
        <f>100-I59</f>
        <v>4.1461006910167839</v>
      </c>
      <c r="L59" s="1">
        <f>H48</f>
        <v>1013</v>
      </c>
      <c r="M59">
        <v>4</v>
      </c>
      <c r="N59" s="1">
        <v>6567.38</v>
      </c>
      <c r="O59" s="17">
        <f>N59/N60*100</f>
        <v>6.8028645581113016</v>
      </c>
      <c r="P59" s="52">
        <f>((O59*O59*(I59/100)*(K59/100))/(L59-1))</f>
        <v>1.8174093832235005E-3</v>
      </c>
      <c r="S59" s="66" t="s">
        <v>39</v>
      </c>
      <c r="T59" s="67">
        <f t="shared" si="7"/>
        <v>0</v>
      </c>
      <c r="U59" s="67">
        <f t="shared" si="7"/>
        <v>0.7104292224663552</v>
      </c>
      <c r="V59" s="67">
        <f t="shared" si="7"/>
        <v>0.44195770349398322</v>
      </c>
      <c r="W59" s="67">
        <f t="shared" si="7"/>
        <v>0.90071493984425144</v>
      </c>
      <c r="X59" s="67">
        <f t="shared" si="7"/>
        <v>2.458463309790718</v>
      </c>
      <c r="AC59" t="s">
        <v>143</v>
      </c>
      <c r="AD59" s="51"/>
      <c r="AE59" s="51"/>
      <c r="AH59">
        <v>1268</v>
      </c>
      <c r="AI59">
        <v>1279</v>
      </c>
    </row>
    <row r="60" spans="1:35" x14ac:dyDescent="0.3">
      <c r="B60" t="s">
        <v>28</v>
      </c>
      <c r="C60" s="17">
        <f>SUM(C55:C59)</f>
        <v>0.27115620770791327</v>
      </c>
      <c r="D60" s="17">
        <f>SUM(D55:D59)</f>
        <v>0.93427298268202952</v>
      </c>
      <c r="E60" s="17">
        <f>SUM(E55:E59)</f>
        <v>62.451081164558644</v>
      </c>
      <c r="F60" s="17">
        <f>SUM(F55:F59)</f>
        <v>29.362233361965774</v>
      </c>
      <c r="G60" s="17">
        <f>SUM(G55:G59)</f>
        <v>6.9812562830856297</v>
      </c>
      <c r="H60" s="1">
        <f>SUM(H54:H59)</f>
        <v>99.999999999999986</v>
      </c>
      <c r="I60" s="13" t="s">
        <v>24</v>
      </c>
      <c r="J60" s="12" t="s">
        <v>29</v>
      </c>
      <c r="N60" s="1">
        <f>SUM(N55:N59)</f>
        <v>96538.450000000012</v>
      </c>
      <c r="O60" s="17">
        <f>SUM(O55:O59)</f>
        <v>99.999999999999986</v>
      </c>
      <c r="S60" s="15" t="s">
        <v>31</v>
      </c>
      <c r="T60" s="71">
        <f>I142</f>
        <v>100</v>
      </c>
      <c r="U60" s="71">
        <f>I143</f>
        <v>92.1875</v>
      </c>
      <c r="V60" s="71">
        <f>I144</f>
        <v>98.395721925133699</v>
      </c>
      <c r="W60" s="71">
        <f>I145</f>
        <v>94.01294498381877</v>
      </c>
      <c r="X60" s="71">
        <f>I146</f>
        <v>95.459032576505436</v>
      </c>
      <c r="AC60" t="s">
        <v>144</v>
      </c>
      <c r="AD60" s="51"/>
      <c r="AE60" s="51"/>
      <c r="AH60">
        <v>1297</v>
      </c>
      <c r="AI60">
        <v>1308</v>
      </c>
    </row>
    <row r="61" spans="1:35" x14ac:dyDescent="0.3">
      <c r="B61" s="16" t="s">
        <v>39</v>
      </c>
      <c r="C61" s="18">
        <f>SQRT(SUM((O55*O55*(C55/O55)*(1-C55/O55))/L55,(O56*O56*(C56/O56)*(1-C56/O56))/L56,(O57*O57*(C57/O57)*(1-C57/O57))/L57,(O58*O58*(C58/O58)*(1-C58/O58))/L58,(O59*O59*(C59/O59)*(1-C59/O59))/L59))</f>
        <v>0</v>
      </c>
      <c r="D61" s="18">
        <f>SQRT(SUM((O55*O55*(D55/O55)*(1-D55/O55))/L55,(O56*O56*(D56/O56)*(1-D56/O56))/L56,(O57*O57*(D57/O57)*(1-D57/O57))/L57,(O58*O58*(D58/O58)*(1-D58/O58))/L58,(O59*O59*(D59/O59)*(1-D59/O59))/L59))</f>
        <v>2.5898792312877356E-2</v>
      </c>
      <c r="E61" s="18">
        <f>SQRT(SUM((O55*O55*(E55/O55)*(1-E55/O55))/L55,(O56*O56*(E56/O56)*(1-E56/O56))/L56,(O57*O57*(E57/O57)*(1-E57/O57))/L57,(O58*O58*(E58/O58)*(1-E58/O58))/L58,(O59*O59*(E59/O59)*(1-E59/O59))/L59))</f>
        <v>0.34245977936972405</v>
      </c>
      <c r="F61" s="18">
        <f>SQRT(SUM((O55*O55*(F55/O55)*(1-F55/O55))/L55,(O56*O56*(F56/O56)*(1-F56/O56))/L56,(O57*O57*(F57/O57)*(1-F57/O57))/L57,(O58*O58*(F58/O58)*(1-F58/O58))/L58,(O59*O59*(F59/O59)*(1-F59/O59))/L59))</f>
        <v>0.34307425476933778</v>
      </c>
      <c r="G61" s="18">
        <f>SQRT(SUM((O55*O55*(G55/O55)*(1-G55/O55))/L55,(O56*O56*(G56/O56)*(1-G56/O56))/L56,(O57*O57*(G57/O57)*(1-G57/O57))/L57,(O58*O58*(G58/O58)*(1-G58/O58))/L58,(O59*O59*(G59/O59)*(1-G59/O59))/L59))</f>
        <v>0.17248347536030725</v>
      </c>
      <c r="H61" s="1"/>
      <c r="I61" s="14">
        <f>(C55+D56+E57+F58+G59)/H60</f>
        <v>0.97320026575226815</v>
      </c>
      <c r="J61" s="53">
        <f>SQRT(SUM(P55:P59))/100</f>
        <v>3.6343713871111322E-3</v>
      </c>
      <c r="M61" s="1"/>
      <c r="N61" s="9"/>
      <c r="S61" s="75" t="s">
        <v>39</v>
      </c>
      <c r="T61" s="76">
        <f>J142</f>
        <v>0</v>
      </c>
      <c r="U61" s="76">
        <f>J143</f>
        <v>3.3811213593755247</v>
      </c>
      <c r="V61" s="76">
        <f>J144</f>
        <v>0.45969272570756609</v>
      </c>
      <c r="W61" s="76">
        <f>J145</f>
        <v>0.95511985030479796</v>
      </c>
      <c r="X61" s="76">
        <f>J146</f>
        <v>0.65447407996955353</v>
      </c>
      <c r="AC61" t="s">
        <v>145</v>
      </c>
      <c r="AD61" s="51"/>
      <c r="AE61" s="51"/>
      <c r="AH61">
        <v>1326</v>
      </c>
      <c r="AI61">
        <v>1337</v>
      </c>
    </row>
    <row r="62" spans="1:35" x14ac:dyDescent="0.3">
      <c r="B62" s="1" t="s">
        <v>30</v>
      </c>
      <c r="C62" s="17">
        <f>C55/C60*100</f>
        <v>100</v>
      </c>
      <c r="D62" s="17">
        <f>D56/D60*100</f>
        <v>100</v>
      </c>
      <c r="E62" s="17">
        <f>E57/E60*100</f>
        <v>97.461485697792511</v>
      </c>
      <c r="F62" s="17">
        <f>F58/F60*100</f>
        <v>97.840087808436095</v>
      </c>
      <c r="G62" s="17">
        <f>G59/G60*100</f>
        <v>93.404548970037155</v>
      </c>
      <c r="H62" s="1"/>
      <c r="S62" s="66" t="s">
        <v>51</v>
      </c>
      <c r="T62" s="67">
        <f>N131*100</f>
        <v>100</v>
      </c>
      <c r="U62" s="67">
        <f>N132*100</f>
        <v>95.161290322580641</v>
      </c>
      <c r="V62" s="67">
        <f>N133*100</f>
        <v>96.587926509186346</v>
      </c>
      <c r="W62" s="67">
        <f>N134*100</f>
        <v>93.108974358974365</v>
      </c>
      <c r="X62" s="67">
        <f>N135*100</f>
        <v>97.185929648241213</v>
      </c>
      <c r="AC62" t="s">
        <v>146</v>
      </c>
      <c r="AD62" s="51"/>
      <c r="AE62" s="51"/>
      <c r="AH62">
        <v>1355</v>
      </c>
      <c r="AI62">
        <v>1366</v>
      </c>
    </row>
    <row r="63" spans="1:35" x14ac:dyDescent="0.3">
      <c r="B63" s="16" t="s">
        <v>39</v>
      </c>
      <c r="C63" s="18">
        <f>SQRT((C66+C67)/(C60*C60))</f>
        <v>0</v>
      </c>
      <c r="D63" s="18">
        <f>SQRT((D66+D67)/(D60*D60))</f>
        <v>0</v>
      </c>
      <c r="E63" s="18">
        <f>SQRT((E66+E67)/(E60*E60))</f>
        <v>0.42392930238229348</v>
      </c>
      <c r="F63" s="18">
        <f>SQRT((F66+F67)/(F60*F60))</f>
        <v>0.65954913641605972</v>
      </c>
      <c r="G63" s="18">
        <f>SQRT((G66+G67)/(G60*G60))</f>
        <v>2.2738007366889952</v>
      </c>
      <c r="H63" s="1"/>
      <c r="R63" s="16" t="s">
        <v>61</v>
      </c>
      <c r="S63" t="s">
        <v>9</v>
      </c>
      <c r="T63" s="30">
        <f>N142</f>
        <v>268.43</v>
      </c>
      <c r="U63" s="30">
        <f>N143</f>
        <v>995.11</v>
      </c>
      <c r="V63" s="30">
        <f>N144</f>
        <v>59086.19</v>
      </c>
      <c r="W63" s="30">
        <f>N145</f>
        <v>29906.42</v>
      </c>
      <c r="X63" s="30">
        <f>N146</f>
        <v>6282.32</v>
      </c>
      <c r="Z63" t="s">
        <v>36</v>
      </c>
      <c r="AA63" s="1">
        <f>N147</f>
        <v>96538.47</v>
      </c>
      <c r="AC63" t="s">
        <v>147</v>
      </c>
      <c r="AD63" s="51"/>
      <c r="AE63" s="51"/>
      <c r="AH63">
        <v>1384</v>
      </c>
      <c r="AI63">
        <v>1395</v>
      </c>
    </row>
    <row r="64" spans="1:35" ht="15.6" x14ac:dyDescent="0.35">
      <c r="B64" s="1" t="s">
        <v>37</v>
      </c>
      <c r="C64" s="18">
        <f>100-C62</f>
        <v>0</v>
      </c>
      <c r="D64" s="18">
        <f>100-D62</f>
        <v>0</v>
      </c>
      <c r="E64" s="18">
        <f>100-E62</f>
        <v>2.5385143022074885</v>
      </c>
      <c r="F64" s="18">
        <f>100-F62</f>
        <v>2.1599121915639046</v>
      </c>
      <c r="G64" s="18">
        <f>100-G62</f>
        <v>6.5954510299628453</v>
      </c>
      <c r="R64" s="16" t="s">
        <v>318</v>
      </c>
      <c r="S64" t="s">
        <v>63</v>
      </c>
      <c r="T64" s="57">
        <f>$AA63*T56/100</f>
        <v>268.43000000000006</v>
      </c>
      <c r="U64" s="57">
        <f>$AA63*U56/100</f>
        <v>923.56872917694966</v>
      </c>
      <c r="V64" s="57">
        <f>$AA63*V56/100</f>
        <v>59689.455732282906</v>
      </c>
      <c r="W64" s="57">
        <f>$AA63*W56/100</f>
        <v>29147.694726584017</v>
      </c>
      <c r="X64" s="57">
        <f>$AA63*X56/100</f>
        <v>6509.320811956135</v>
      </c>
      <c r="Z64" t="s">
        <v>36</v>
      </c>
      <c r="AA64" s="25">
        <f>SUM(T64:X64)</f>
        <v>96538.47</v>
      </c>
      <c r="AC64" t="s">
        <v>148</v>
      </c>
      <c r="AD64" s="51"/>
      <c r="AE64" s="51"/>
      <c r="AH64">
        <v>1413</v>
      </c>
      <c r="AI64">
        <v>1424</v>
      </c>
    </row>
    <row r="65" spans="1:51" ht="15.6" x14ac:dyDescent="0.35">
      <c r="B65" s="1" t="s">
        <v>25</v>
      </c>
      <c r="C65" s="1">
        <f>C49</f>
        <v>450</v>
      </c>
      <c r="D65" s="1">
        <f>D49</f>
        <v>61</v>
      </c>
      <c r="E65" s="1">
        <f>E49</f>
        <v>784</v>
      </c>
      <c r="F65" s="1">
        <f>F49</f>
        <v>619</v>
      </c>
      <c r="G65" s="1">
        <f>G49</f>
        <v>979</v>
      </c>
      <c r="R65" s="66"/>
      <c r="S65" s="66" t="s">
        <v>62</v>
      </c>
      <c r="T65" s="67">
        <f>$AA63*T57/100</f>
        <v>0</v>
      </c>
      <c r="U65" s="67">
        <f>$AA63*U57/100</f>
        <v>33.952612699395424</v>
      </c>
      <c r="V65" s="67">
        <f>$AA63*V57/100</f>
        <v>376.37210913964628</v>
      </c>
      <c r="W65" s="67">
        <f>$AA63*W57/100</f>
        <v>380.08575575884453</v>
      </c>
      <c r="X65" s="67">
        <f>$AA63*X57/100</f>
        <v>174.87146829959988</v>
      </c>
      <c r="AA65" s="1"/>
      <c r="AC65" t="s">
        <v>149</v>
      </c>
      <c r="AD65" s="51"/>
      <c r="AE65" s="51"/>
      <c r="AH65">
        <v>1442</v>
      </c>
      <c r="AI65">
        <v>1453</v>
      </c>
    </row>
    <row r="66" spans="1:51" x14ac:dyDescent="0.3">
      <c r="B66" s="1" t="s">
        <v>34</v>
      </c>
      <c r="C66" s="18">
        <f>(O55*O55*(100-C62)*(100-C62)*(I55)*(100-I55))/(L55-1)</f>
        <v>0</v>
      </c>
      <c r="D66" s="18">
        <f>(O56*O56*(100-D62)*(100-D62)*(I56)*(100-I56))/((L56-1)*100)</f>
        <v>0</v>
      </c>
      <c r="E66" s="18">
        <f>(O57*O57*(100-E62)*(100-E62)*(I57)*(100-I57))/((L57-1)*100)</f>
        <v>30.190092040437467</v>
      </c>
      <c r="F66" s="18">
        <f>(O58*O58*(100-F62)*(100-F62)*(I58)*(100-I58))/((L58-1)*100)</f>
        <v>38.599207078032009</v>
      </c>
      <c r="G66" s="18">
        <f>(O59*O59*(100-G62)*(100-G62)*(I59)*(100-I59))/((L59-1)*100)</f>
        <v>7.9057261442151638</v>
      </c>
      <c r="R66" t="s">
        <v>93</v>
      </c>
      <c r="S66" t="s">
        <v>28</v>
      </c>
      <c r="T66" s="57">
        <f>C176</f>
        <v>0.26503432207937067</v>
      </c>
      <c r="U66" s="57">
        <f t="shared" ref="U66:X69" si="8">D176</f>
        <v>1.0038876741741425</v>
      </c>
      <c r="V66" s="57">
        <f t="shared" si="8"/>
        <v>62.610759033392583</v>
      </c>
      <c r="W66" s="57">
        <f t="shared" si="8"/>
        <v>29.404860756507983</v>
      </c>
      <c r="X66" s="57">
        <f t="shared" si="8"/>
        <v>6.7154582138459125</v>
      </c>
      <c r="Y66" s="13"/>
      <c r="Z66" s="74"/>
      <c r="AA66" s="12"/>
      <c r="AC66" t="s">
        <v>158</v>
      </c>
      <c r="AD66" s="51"/>
      <c r="AE66" s="51"/>
      <c r="AH66" s="78"/>
    </row>
    <row r="67" spans="1:51" x14ac:dyDescent="0.3">
      <c r="B67" s="1" t="s">
        <v>35</v>
      </c>
      <c r="C67" s="18">
        <f>C62*C62*(SUM((H56*C56*(1-C45/H45))/(H45-1),(H57*C57*(1-C46/H46))/(H46-1), (H58*C58*(1-C47/H47))/(H47-1),(H59*C59*(1-C48/H48))/(H48-1)))</f>
        <v>0</v>
      </c>
      <c r="D67" s="18">
        <f>D62*D62*(SUM((H55*D55*(1-D44/H44))/(H44-1),(H57*D57*(1-D46/H46))/(H46-1), (H58*D58*(1-D47/H47))/(H47-1),(H59*D59*(1-D48/H48))/(H48-1)))</f>
        <v>0</v>
      </c>
      <c r="E67" s="18">
        <f>E62*E62*(SUM((H55*E55*(1-E44/H44))/(H44-1),(H56*E56*(1-E45/H45))/(H45-1), (H58*E58*(1-E47/H47))/(H47-1),(H59*E59*(1-E48/H48))/(H48-1)))</f>
        <v>670.7272341894718</v>
      </c>
      <c r="F67" s="18">
        <f>F62*F62*(SUM((H55*F55*(1-F44/H44))/(H44-1),(H56*F56*(1-F45/H45))/(H45-1), (H57*F57*(1-F46/H46))/(H46-1),(H59*F59*(1-F48/H48))/(H48-1)))</f>
        <v>336.43638362098784</v>
      </c>
      <c r="G67" s="18">
        <f>G62*G62*(SUM((H55*G55*(1-G44/H44))/(H44-1),(H56*G56*(1-G45/H45))/(H45-1), (H57*G57*(1-G46/H46))/(H46-1),(H58*G58*(1-G47/H47))/(H47-1)))</f>
        <v>244.07769520859023</v>
      </c>
      <c r="S67" s="66" t="s">
        <v>39</v>
      </c>
      <c r="T67" s="67">
        <f>C177</f>
        <v>0</v>
      </c>
      <c r="U67" s="67">
        <f t="shared" si="8"/>
        <v>2.7828567089948988E-2</v>
      </c>
      <c r="V67" s="67">
        <f t="shared" si="8"/>
        <v>0.36430436443330494</v>
      </c>
      <c r="W67" s="67">
        <f t="shared" si="8"/>
        <v>0.38280772243672589</v>
      </c>
      <c r="X67" s="67">
        <f t="shared" si="8"/>
        <v>0.17424649216322088</v>
      </c>
      <c r="AC67" t="s">
        <v>159</v>
      </c>
      <c r="AD67" s="51"/>
      <c r="AE67" s="51"/>
      <c r="AI67" s="78"/>
    </row>
    <row r="68" spans="1:51" x14ac:dyDescent="0.3">
      <c r="S68" t="s">
        <v>30</v>
      </c>
      <c r="T68" s="57">
        <f>C178</f>
        <v>100</v>
      </c>
      <c r="U68" s="57">
        <f t="shared" si="8"/>
        <v>100</v>
      </c>
      <c r="V68" s="57">
        <f t="shared" si="8"/>
        <v>97.429014467696533</v>
      </c>
      <c r="W68" s="57">
        <f t="shared" si="8"/>
        <v>96.711490449502506</v>
      </c>
      <c r="X68" s="57">
        <f t="shared" si="8"/>
        <v>92.177008296071591</v>
      </c>
      <c r="AC68" t="s">
        <v>160</v>
      </c>
      <c r="AD68" s="51"/>
      <c r="AE68" s="51"/>
      <c r="AH68" s="2"/>
      <c r="AI68" s="2"/>
    </row>
    <row r="69" spans="1:51" x14ac:dyDescent="0.3">
      <c r="S69" s="66" t="s">
        <v>39</v>
      </c>
      <c r="T69" s="67">
        <f>C179</f>
        <v>0</v>
      </c>
      <c r="U69" s="67">
        <f t="shared" si="8"/>
        <v>0</v>
      </c>
      <c r="V69" s="67">
        <f t="shared" si="8"/>
        <v>0.43034300137890902</v>
      </c>
      <c r="W69" s="67">
        <f t="shared" si="8"/>
        <v>0.84844637992784944</v>
      </c>
      <c r="X69" s="67">
        <f t="shared" si="8"/>
        <v>2.3704089707885321</v>
      </c>
      <c r="AC69" t="s">
        <v>161</v>
      </c>
      <c r="AD69" s="51"/>
      <c r="AE69" s="51"/>
    </row>
    <row r="70" spans="1:51" x14ac:dyDescent="0.3">
      <c r="A70" s="348" t="s">
        <v>388</v>
      </c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 t="s">
        <v>56</v>
      </c>
      <c r="M70" s="348"/>
      <c r="N70" s="348"/>
      <c r="O70" s="348"/>
      <c r="P70" s="348"/>
      <c r="S70" s="15" t="s">
        <v>31</v>
      </c>
      <c r="T70" s="71">
        <f>I171</f>
        <v>100</v>
      </c>
      <c r="U70" s="71">
        <f>I172</f>
        <v>95.3125</v>
      </c>
      <c r="V70" s="71">
        <f>I173</f>
        <v>98.796791443850267</v>
      </c>
      <c r="W70" s="71">
        <f>I174</f>
        <v>93.527508090614873</v>
      </c>
      <c r="X70" s="71">
        <f>I175</f>
        <v>94.768015794669296</v>
      </c>
      <c r="AC70" t="s">
        <v>162</v>
      </c>
      <c r="AD70" s="51"/>
      <c r="AE70" s="51"/>
      <c r="AH70" s="2"/>
      <c r="AI70" s="2"/>
    </row>
    <row r="71" spans="1:51" x14ac:dyDescent="0.3">
      <c r="A71" t="s">
        <v>315</v>
      </c>
      <c r="B71" t="s">
        <v>21</v>
      </c>
      <c r="I71" s="1" t="s">
        <v>53</v>
      </c>
      <c r="O71" s="142"/>
      <c r="P71" s="142"/>
      <c r="S71" s="75" t="s">
        <v>39</v>
      </c>
      <c r="T71" s="76">
        <f>J171</f>
        <v>0</v>
      </c>
      <c r="U71" s="76">
        <f>J172</f>
        <v>2.6630253226448333</v>
      </c>
      <c r="V71" s="76">
        <f>J173</f>
        <v>0.3989161097662422</v>
      </c>
      <c r="W71" s="76">
        <f>J174</f>
        <v>0.99051910773596052</v>
      </c>
      <c r="X71" s="76">
        <f>J175</f>
        <v>0.69996101091886664</v>
      </c>
      <c r="AC71" t="s">
        <v>163</v>
      </c>
      <c r="AD71" s="51"/>
      <c r="AE71" s="51"/>
    </row>
    <row r="72" spans="1:51" ht="15.6" x14ac:dyDescent="0.35">
      <c r="B72" s="1" t="s">
        <v>0</v>
      </c>
      <c r="C72" s="13">
        <v>0</v>
      </c>
      <c r="D72" s="13">
        <v>1</v>
      </c>
      <c r="E72" s="13">
        <v>2</v>
      </c>
      <c r="F72" s="13">
        <v>3</v>
      </c>
      <c r="G72" s="13">
        <v>4</v>
      </c>
      <c r="H72" s="1" t="s">
        <v>20</v>
      </c>
      <c r="I72" s="1" t="s">
        <v>1</v>
      </c>
      <c r="J72" s="1" t="s">
        <v>13</v>
      </c>
      <c r="N72" s="1" t="s">
        <v>51</v>
      </c>
      <c r="O72" s="13"/>
      <c r="P72" s="13"/>
      <c r="S72" s="66" t="s">
        <v>51</v>
      </c>
      <c r="T72" s="67">
        <f>N160*100</f>
        <v>100</v>
      </c>
      <c r="U72" s="67">
        <f>N161*100</f>
        <v>97.6</v>
      </c>
      <c r="V72" s="67">
        <f>N162*100</f>
        <v>96.727748691099464</v>
      </c>
      <c r="W72" s="67">
        <f>N163*100</f>
        <v>92.47999999999999</v>
      </c>
      <c r="X72" s="67">
        <f>N164*100</f>
        <v>96.822995461422096</v>
      </c>
      <c r="AC72" t="s">
        <v>154</v>
      </c>
      <c r="AD72" s="51"/>
      <c r="AE72" s="51"/>
      <c r="AH72" s="2"/>
      <c r="AI72" s="2"/>
    </row>
    <row r="73" spans="1:51" x14ac:dyDescent="0.3">
      <c r="A73" t="s">
        <v>3</v>
      </c>
      <c r="B73" s="13">
        <v>0</v>
      </c>
      <c r="C73" s="26">
        <v>450</v>
      </c>
      <c r="D73" s="3">
        <v>0</v>
      </c>
      <c r="E73" s="3">
        <v>0</v>
      </c>
      <c r="F73" s="3">
        <v>0</v>
      </c>
      <c r="G73" s="4">
        <v>0</v>
      </c>
      <c r="H73" s="1">
        <f>SUM(C73:G73)</f>
        <v>450</v>
      </c>
      <c r="I73" s="10">
        <f>C73/H73</f>
        <v>1</v>
      </c>
      <c r="J73" s="11">
        <f>1-I73</f>
        <v>0</v>
      </c>
      <c r="K73">
        <f>H73-C78</f>
        <v>0</v>
      </c>
      <c r="N73" s="10">
        <f>2*(C79*I73)/(C79+I73)</f>
        <v>1</v>
      </c>
      <c r="O73" s="1"/>
      <c r="P73" s="1"/>
      <c r="R73" s="16" t="s">
        <v>61</v>
      </c>
      <c r="S73" t="s">
        <v>9</v>
      </c>
      <c r="T73" s="1">
        <f>N171</f>
        <v>255.86</v>
      </c>
      <c r="U73" s="1">
        <f>N172</f>
        <v>1016.8</v>
      </c>
      <c r="V73" s="1">
        <f>N173</f>
        <v>59606.65</v>
      </c>
      <c r="W73" s="1">
        <f>N174</f>
        <v>29353.38</v>
      </c>
      <c r="X73" s="1">
        <f>N175</f>
        <v>6305.75</v>
      </c>
      <c r="Z73" t="s">
        <v>36</v>
      </c>
      <c r="AA73" s="1">
        <f>N176</f>
        <v>96538.44</v>
      </c>
      <c r="AC73" t="s">
        <v>164</v>
      </c>
      <c r="AD73" s="51"/>
      <c r="AE73" s="51"/>
    </row>
    <row r="74" spans="1:51" ht="15.6" x14ac:dyDescent="0.35">
      <c r="A74" t="s">
        <v>4</v>
      </c>
      <c r="B74" s="13">
        <v>1</v>
      </c>
      <c r="C74" s="5">
        <v>0</v>
      </c>
      <c r="D74" s="27">
        <v>60</v>
      </c>
      <c r="E74" s="1">
        <v>3</v>
      </c>
      <c r="F74" s="1">
        <v>0</v>
      </c>
      <c r="G74" s="6">
        <v>1</v>
      </c>
      <c r="H74" s="1">
        <f>SUM(C74:G74)</f>
        <v>64</v>
      </c>
      <c r="I74" s="10">
        <f>D74/H74</f>
        <v>0.9375</v>
      </c>
      <c r="J74" s="11">
        <f>1-I74</f>
        <v>6.25E-2</v>
      </c>
      <c r="K74">
        <f>H74-D78</f>
        <v>4</v>
      </c>
      <c r="N74" s="10">
        <f>2*(D79*I74)/(D79+I74)</f>
        <v>0.967741935483871</v>
      </c>
      <c r="O74" s="1"/>
      <c r="P74" s="1"/>
      <c r="R74" s="16" t="s">
        <v>318</v>
      </c>
      <c r="S74" t="s">
        <v>63</v>
      </c>
      <c r="T74" s="57">
        <f>$AA73*T66/100</f>
        <v>255.86</v>
      </c>
      <c r="U74" s="57">
        <f>$AA73*U66/100</f>
        <v>969.13750000000005</v>
      </c>
      <c r="V74" s="57">
        <f>$AA73*V66/100</f>
        <v>60443.450042996279</v>
      </c>
      <c r="W74" s="57">
        <f>$AA73*W66/100</f>
        <v>28386.993858505008</v>
      </c>
      <c r="X74" s="57">
        <f>$AA73*X66/100</f>
        <v>6482.9985984987079</v>
      </c>
      <c r="Z74" t="s">
        <v>36</v>
      </c>
      <c r="AA74" s="25">
        <f>SUM(T74:X74)</f>
        <v>96538.44</v>
      </c>
      <c r="AC74" t="s">
        <v>165</v>
      </c>
      <c r="AD74" s="51"/>
      <c r="AE74" s="51"/>
      <c r="AH74" s="2"/>
      <c r="AI74" s="2"/>
    </row>
    <row r="75" spans="1:51" x14ac:dyDescent="0.3">
      <c r="A75" t="s">
        <v>5</v>
      </c>
      <c r="B75" s="13">
        <v>2</v>
      </c>
      <c r="C75" s="5">
        <v>0</v>
      </c>
      <c r="D75" s="1">
        <v>0</v>
      </c>
      <c r="E75" s="27">
        <v>742</v>
      </c>
      <c r="F75" s="1">
        <v>4</v>
      </c>
      <c r="G75" s="6">
        <v>2</v>
      </c>
      <c r="H75" s="1">
        <f>SUM(C75:G75)</f>
        <v>748</v>
      </c>
      <c r="I75" s="10">
        <f>E75/H75</f>
        <v>0.99197860962566842</v>
      </c>
      <c r="J75" s="11">
        <f>1-I75</f>
        <v>8.0213903743315829E-3</v>
      </c>
      <c r="K75">
        <f>H75-E78</f>
        <v>-39</v>
      </c>
      <c r="N75" s="10">
        <f>2*(E79*I75)/(E79+I75)</f>
        <v>0.96677524429967432</v>
      </c>
      <c r="O75" s="1"/>
      <c r="P75" s="1"/>
      <c r="R75" s="66"/>
      <c r="S75" s="66" t="s">
        <v>62</v>
      </c>
      <c r="T75" s="67">
        <f>$AA73*T67/100</f>
        <v>0</v>
      </c>
      <c r="U75" s="67">
        <f>$AA73*U67/100</f>
        <v>26.865264542990147</v>
      </c>
      <c r="V75" s="67">
        <f>$AA73*V67/100</f>
        <v>351.69375027582743</v>
      </c>
      <c r="W75" s="67">
        <f>$AA73*W67/100</f>
        <v>369.55660343994515</v>
      </c>
      <c r="X75" s="67">
        <f>$AA73*X67/100</f>
        <v>168.21484528909568</v>
      </c>
      <c r="AA75" s="1"/>
      <c r="AC75" t="s">
        <v>166</v>
      </c>
      <c r="AD75" s="51"/>
      <c r="AE75" s="51"/>
    </row>
    <row r="76" spans="1:51" x14ac:dyDescent="0.3">
      <c r="A76" t="s">
        <v>6</v>
      </c>
      <c r="B76" s="13">
        <v>3</v>
      </c>
      <c r="C76" s="5">
        <v>0</v>
      </c>
      <c r="D76" s="1">
        <v>0</v>
      </c>
      <c r="E76" s="1">
        <v>34</v>
      </c>
      <c r="F76" s="27">
        <v>575</v>
      </c>
      <c r="G76" s="6">
        <v>9</v>
      </c>
      <c r="H76" s="1">
        <f>SUM(C76:G76)</f>
        <v>618</v>
      </c>
      <c r="I76" s="10">
        <f>F76/H76</f>
        <v>0.93042071197411003</v>
      </c>
      <c r="J76" s="11">
        <f>1-I76</f>
        <v>6.9579288025889974E-2</v>
      </c>
      <c r="K76">
        <f>H76-F78</f>
        <v>3</v>
      </c>
      <c r="N76" s="10">
        <f>2*(F79*I76)/(F79+I76)</f>
        <v>0.9326845093268451</v>
      </c>
      <c r="O76" s="1"/>
      <c r="P76" s="1"/>
      <c r="R76" t="s">
        <v>94</v>
      </c>
      <c r="S76" t="s">
        <v>28</v>
      </c>
      <c r="T76" s="57">
        <f>C205</f>
        <v>0.28114186627193621</v>
      </c>
      <c r="U76" s="57">
        <f t="shared" ref="U76:X79" si="9">D205</f>
        <v>0.92149173731189316</v>
      </c>
      <c r="V76" s="57">
        <f t="shared" si="9"/>
        <v>62.187654950910733</v>
      </c>
      <c r="W76" s="57">
        <f t="shared" si="9"/>
        <v>29.512662308725087</v>
      </c>
      <c r="X76" s="57">
        <f t="shared" si="9"/>
        <v>7.0970491367803437</v>
      </c>
      <c r="AC76" t="s">
        <v>167</v>
      </c>
      <c r="AD76" s="51"/>
      <c r="AE76" s="51"/>
      <c r="AH76" s="78"/>
      <c r="AI76" s="78"/>
    </row>
    <row r="77" spans="1:51" x14ac:dyDescent="0.3">
      <c r="A77" t="s">
        <v>7</v>
      </c>
      <c r="B77" s="13">
        <v>4</v>
      </c>
      <c r="C77" s="7">
        <v>0</v>
      </c>
      <c r="D77" s="8">
        <v>0</v>
      </c>
      <c r="E77" s="8">
        <v>8</v>
      </c>
      <c r="F77" s="8">
        <v>36</v>
      </c>
      <c r="G77" s="28">
        <v>969</v>
      </c>
      <c r="H77" s="1">
        <f>SUM(C77:G77)</f>
        <v>1013</v>
      </c>
      <c r="I77" s="10">
        <f>G77/H77</f>
        <v>0.95656465942744329</v>
      </c>
      <c r="J77" s="11">
        <f>1-I77</f>
        <v>4.3435340572556713E-2</v>
      </c>
      <c r="K77">
        <f>H77-G78</f>
        <v>32</v>
      </c>
      <c r="N77" s="10">
        <f>2*(G79*I77)/(G79+I77)</f>
        <v>0.97191574724172525</v>
      </c>
      <c r="O77" s="1"/>
      <c r="P77" s="1"/>
      <c r="S77" s="66" t="s">
        <v>39</v>
      </c>
      <c r="T77" s="67">
        <f>C206</f>
        <v>0</v>
      </c>
      <c r="U77" s="67">
        <f t="shared" si="9"/>
        <v>3.0260224013906458E-2</v>
      </c>
      <c r="V77" s="67">
        <f t="shared" si="9"/>
        <v>0.39943626452282993</v>
      </c>
      <c r="W77" s="67">
        <f t="shared" si="9"/>
        <v>0.40008053983796094</v>
      </c>
      <c r="X77" s="67">
        <f t="shared" si="9"/>
        <v>0.20942920540087259</v>
      </c>
      <c r="AC77" t="s">
        <v>168</v>
      </c>
      <c r="AD77" s="51"/>
      <c r="AE77" s="51"/>
    </row>
    <row r="78" spans="1:51" ht="15.6" x14ac:dyDescent="0.35">
      <c r="B78" s="1" t="s">
        <v>19</v>
      </c>
      <c r="C78" s="1">
        <f>SUM(C73:C77)</f>
        <v>450</v>
      </c>
      <c r="D78" s="1">
        <f>SUM(D73:D77)</f>
        <v>60</v>
      </c>
      <c r="E78" s="1">
        <f>SUM(E73:E77)</f>
        <v>787</v>
      </c>
      <c r="F78" s="1">
        <f>SUM(F73:F77)</f>
        <v>615</v>
      </c>
      <c r="G78" s="1">
        <f>SUM(G73:G77)</f>
        <v>981</v>
      </c>
      <c r="H78" s="1">
        <f>SUM(H72:H77)</f>
        <v>2893</v>
      </c>
      <c r="I78" s="13" t="s">
        <v>12</v>
      </c>
      <c r="N78" s="16"/>
      <c r="O78" s="1"/>
      <c r="P78" s="1"/>
      <c r="S78" s="70" t="s">
        <v>30</v>
      </c>
      <c r="T78" s="64">
        <f>C207</f>
        <v>100</v>
      </c>
      <c r="U78" s="64">
        <f t="shared" si="9"/>
        <v>99.281262999931997</v>
      </c>
      <c r="V78" s="64">
        <f t="shared" si="9"/>
        <v>97.130044643285018</v>
      </c>
      <c r="W78" s="64">
        <f t="shared" si="9"/>
        <v>96.615266495880363</v>
      </c>
      <c r="X78" s="64">
        <f t="shared" si="9"/>
        <v>90.242290520066902</v>
      </c>
      <c r="AC78" t="s">
        <v>169</v>
      </c>
      <c r="AD78" s="51"/>
      <c r="AE78" s="51"/>
      <c r="AH78" s="78"/>
      <c r="AI78" s="78"/>
    </row>
    <row r="79" spans="1:51" x14ac:dyDescent="0.3">
      <c r="A79" s="1" t="s">
        <v>316</v>
      </c>
      <c r="B79" s="1" t="s">
        <v>2</v>
      </c>
      <c r="C79" s="10">
        <f>C73/C78</f>
        <v>1</v>
      </c>
      <c r="D79" s="10">
        <f>D74/D78</f>
        <v>1</v>
      </c>
      <c r="E79" s="10">
        <f>E75/E78</f>
        <v>0.94282083862770016</v>
      </c>
      <c r="F79" s="10">
        <f>F76/F78</f>
        <v>0.93495934959349591</v>
      </c>
      <c r="G79" s="10">
        <f>G77/G78</f>
        <v>0.98776758409785936</v>
      </c>
      <c r="H79" s="10"/>
      <c r="I79" s="14">
        <f>(C73+D74+E75+F76+G77)/H78</f>
        <v>0.96647079156584859</v>
      </c>
      <c r="S79" s="66" t="s">
        <v>39</v>
      </c>
      <c r="T79" s="67">
        <f>C208</f>
        <v>0</v>
      </c>
      <c r="U79" s="67">
        <f t="shared" si="9"/>
        <v>0.75037703981376924</v>
      </c>
      <c r="V79" s="67">
        <f t="shared" si="9"/>
        <v>0.46099008971964417</v>
      </c>
      <c r="W79" s="67">
        <f t="shared" si="9"/>
        <v>0.88970291651676825</v>
      </c>
      <c r="X79" s="67">
        <f t="shared" si="9"/>
        <v>2.6748139856457573</v>
      </c>
      <c r="AC79" t="s">
        <v>170</v>
      </c>
      <c r="AD79" s="51"/>
      <c r="AE79" s="51"/>
    </row>
    <row r="80" spans="1:51" x14ac:dyDescent="0.3">
      <c r="B80" s="1" t="s">
        <v>14</v>
      </c>
      <c r="C80" s="11">
        <f>1-C79</f>
        <v>0</v>
      </c>
      <c r="D80" s="11">
        <f>1-D79</f>
        <v>0</v>
      </c>
      <c r="E80" s="11">
        <f>1-E79</f>
        <v>5.7179161372299836E-2</v>
      </c>
      <c r="F80" s="11">
        <f>1-F79</f>
        <v>6.5040650406504086E-2</v>
      </c>
      <c r="G80" s="11">
        <f>1-G79</f>
        <v>1.2232415902140636E-2</v>
      </c>
      <c r="S80" s="70" t="s">
        <v>31</v>
      </c>
      <c r="T80" s="64">
        <f>I200</f>
        <v>100</v>
      </c>
      <c r="U80" s="64">
        <f>I201</f>
        <v>93.750000000000014</v>
      </c>
      <c r="V80" s="64">
        <f>I202</f>
        <v>98.395721925133685</v>
      </c>
      <c r="W80" s="64">
        <f>I203</f>
        <v>93.042071197411005</v>
      </c>
      <c r="X80" s="64">
        <f>I204</f>
        <v>95.459032576505436</v>
      </c>
      <c r="AC80" t="s">
        <v>171</v>
      </c>
      <c r="AD80" s="51"/>
      <c r="AE80" s="51"/>
      <c r="AH80" s="78"/>
      <c r="AI80" s="78"/>
      <c r="AJ80" s="348" t="s">
        <v>389</v>
      </c>
      <c r="AK80" s="348"/>
      <c r="AL80" s="348"/>
      <c r="AM80" s="348"/>
      <c r="AN80" s="348"/>
      <c r="AO80" s="348"/>
      <c r="AP80" s="348"/>
      <c r="AQ80" s="348"/>
      <c r="AR80" s="348"/>
      <c r="AS80" s="348"/>
      <c r="AT80" s="348"/>
      <c r="AU80" s="348" t="s">
        <v>351</v>
      </c>
      <c r="AV80" s="348"/>
      <c r="AW80" s="348"/>
      <c r="AX80" s="348"/>
      <c r="AY80" s="348"/>
    </row>
    <row r="81" spans="1:51" x14ac:dyDescent="0.3">
      <c r="C81" s="2"/>
      <c r="S81" s="66" t="s">
        <v>39</v>
      </c>
      <c r="T81" s="67">
        <f>J200</f>
        <v>0</v>
      </c>
      <c r="U81" s="67">
        <f>J201</f>
        <v>3.0496877279641628</v>
      </c>
      <c r="V81" s="67">
        <f>J202</f>
        <v>0.45969272570756808</v>
      </c>
      <c r="W81" s="67">
        <f>J203</f>
        <v>1.0243233976994559</v>
      </c>
      <c r="X81" s="67">
        <f>J204</f>
        <v>0.65447407996955353</v>
      </c>
      <c r="AC81" t="s">
        <v>172</v>
      </c>
      <c r="AD81" s="51"/>
      <c r="AE81" s="51"/>
      <c r="AJ81" t="s">
        <v>315</v>
      </c>
      <c r="AK81" t="s">
        <v>21</v>
      </c>
      <c r="AR81" s="1" t="s">
        <v>53</v>
      </c>
    </row>
    <row r="82" spans="1:51" ht="15.6" x14ac:dyDescent="0.35">
      <c r="A82" t="s">
        <v>317</v>
      </c>
      <c r="B82" s="15" t="s">
        <v>23</v>
      </c>
      <c r="N82" s="12" t="s">
        <v>17</v>
      </c>
      <c r="O82" s="1" t="s">
        <v>27</v>
      </c>
      <c r="P82" s="1" t="s">
        <v>33</v>
      </c>
      <c r="S82" s="68" t="s">
        <v>51</v>
      </c>
      <c r="T82" s="65">
        <f>N189*100</f>
        <v>100</v>
      </c>
      <c r="U82" s="65">
        <f>N190*100</f>
        <v>96</v>
      </c>
      <c r="V82" s="65">
        <f>N191*100</f>
        <v>96.272073250490521</v>
      </c>
      <c r="W82" s="65">
        <f>N192*100</f>
        <v>92.741935483870975</v>
      </c>
      <c r="X82" s="65">
        <f>N193*100</f>
        <v>97.08835341365463</v>
      </c>
      <c r="Z82" s="46"/>
      <c r="AA82" s="46"/>
      <c r="AC82" t="s">
        <v>173</v>
      </c>
      <c r="AD82" s="51"/>
      <c r="AE82" s="51"/>
      <c r="AH82" s="78"/>
      <c r="AI82" s="78"/>
      <c r="AK82" s="1" t="s">
        <v>0</v>
      </c>
      <c r="AL82" s="13">
        <v>0</v>
      </c>
      <c r="AM82" s="13">
        <v>1</v>
      </c>
      <c r="AN82" s="13">
        <v>2</v>
      </c>
      <c r="AO82" s="13">
        <v>3</v>
      </c>
      <c r="AP82" s="13">
        <v>4</v>
      </c>
      <c r="AQ82" s="1" t="s">
        <v>20</v>
      </c>
      <c r="AR82" s="1" t="s">
        <v>1</v>
      </c>
      <c r="AS82" s="1" t="s">
        <v>13</v>
      </c>
      <c r="AW82" s="1" t="s">
        <v>51</v>
      </c>
    </row>
    <row r="83" spans="1:51" ht="15.6" x14ac:dyDescent="0.35">
      <c r="B83" s="1" t="s">
        <v>0</v>
      </c>
      <c r="C83" s="13">
        <v>0</v>
      </c>
      <c r="D83" s="13">
        <v>1</v>
      </c>
      <c r="E83" s="13">
        <v>2</v>
      </c>
      <c r="F83" s="13">
        <v>3</v>
      </c>
      <c r="G83" s="13">
        <v>4</v>
      </c>
      <c r="H83" s="1" t="s">
        <v>28</v>
      </c>
      <c r="I83" s="1" t="s">
        <v>31</v>
      </c>
      <c r="J83" s="15" t="s">
        <v>39</v>
      </c>
      <c r="K83" s="1" t="s">
        <v>38</v>
      </c>
      <c r="L83" s="1" t="s">
        <v>26</v>
      </c>
      <c r="M83" t="s">
        <v>8</v>
      </c>
      <c r="N83" t="s">
        <v>9</v>
      </c>
      <c r="O83" s="1" t="s">
        <v>11</v>
      </c>
      <c r="R83" s="16" t="s">
        <v>61</v>
      </c>
      <c r="S83" t="s">
        <v>9</v>
      </c>
      <c r="T83" s="30">
        <f>N200</f>
        <v>271.41000000000003</v>
      </c>
      <c r="U83" s="30">
        <f>N201</f>
        <v>942.08</v>
      </c>
      <c r="V83" s="30">
        <f>N202</f>
        <v>59262.76</v>
      </c>
      <c r="W83" s="30">
        <f>N203</f>
        <v>29585.24</v>
      </c>
      <c r="X83" s="30">
        <f>N204</f>
        <v>6476.96</v>
      </c>
      <c r="Z83" t="s">
        <v>36</v>
      </c>
      <c r="AA83" s="1">
        <f>N205</f>
        <v>96538.450000000012</v>
      </c>
      <c r="AC83" t="s">
        <v>174</v>
      </c>
      <c r="AD83" s="51"/>
      <c r="AE83" s="51"/>
      <c r="AJ83" t="s">
        <v>3</v>
      </c>
      <c r="AK83" s="13">
        <v>0</v>
      </c>
      <c r="AL83" s="26">
        <v>450</v>
      </c>
      <c r="AM83" s="3">
        <v>0</v>
      </c>
      <c r="AN83" s="3">
        <v>0</v>
      </c>
      <c r="AO83" s="3">
        <v>0</v>
      </c>
      <c r="AP83" s="4">
        <v>0</v>
      </c>
      <c r="AQ83" s="1">
        <f>SUM(AL83:AP83)</f>
        <v>450</v>
      </c>
      <c r="AR83" s="10">
        <f>AL83/AQ83</f>
        <v>1</v>
      </c>
      <c r="AS83" s="11">
        <f>1-AR83</f>
        <v>0</v>
      </c>
      <c r="AT83">
        <f>AQ83-AL88</f>
        <v>0</v>
      </c>
      <c r="AW83" s="10">
        <f>2*(AL89*AR83)/(AL89+AR83)</f>
        <v>1</v>
      </c>
    </row>
    <row r="84" spans="1:51" ht="15.6" x14ac:dyDescent="0.35">
      <c r="A84" t="s">
        <v>3</v>
      </c>
      <c r="B84" s="13">
        <v>0</v>
      </c>
      <c r="C84" s="29">
        <f>(C73/$L84)*$O84</f>
        <v>0.27315543942910203</v>
      </c>
      <c r="D84" s="31">
        <f>(D73/$L84)*$O84</f>
        <v>0</v>
      </c>
      <c r="E84" s="31">
        <f>(E73/$L84)*$O84</f>
        <v>0</v>
      </c>
      <c r="F84" s="31">
        <f>(F73/$L84)*$O84</f>
        <v>0</v>
      </c>
      <c r="G84" s="32">
        <f>(G73/$L84)*$O84</f>
        <v>0</v>
      </c>
      <c r="H84" s="17">
        <f>SUM(C84:G84)</f>
        <v>0.27315543942910203</v>
      </c>
      <c r="I84" s="17">
        <f>C84/H84*100</f>
        <v>100</v>
      </c>
      <c r="J84" s="17">
        <f>SQRT(I84*(100-I84)/(L84-1))</f>
        <v>0</v>
      </c>
      <c r="K84" s="18">
        <f>100-I84</f>
        <v>0</v>
      </c>
      <c r="L84" s="1">
        <f>H73</f>
        <v>450</v>
      </c>
      <c r="M84">
        <v>0</v>
      </c>
      <c r="N84" s="1">
        <v>263.7</v>
      </c>
      <c r="O84" s="17">
        <f>N84/N89*100</f>
        <v>0.27315543942910203</v>
      </c>
      <c r="P84" s="52">
        <f>((O84*O84*(I84/100)*(K84/100))/(L84-1))</f>
        <v>0</v>
      </c>
      <c r="R84" s="16" t="s">
        <v>318</v>
      </c>
      <c r="S84" t="s">
        <v>63</v>
      </c>
      <c r="T84" s="57">
        <f>$AA83*T76/100</f>
        <v>271.41000000000003</v>
      </c>
      <c r="U84" s="57">
        <f>$AA83*U76/100</f>
        <v>889.59384007897347</v>
      </c>
      <c r="V84" s="57">
        <f>$AA83*V76/100</f>
        <v>60034.998180957489</v>
      </c>
      <c r="W84" s="57">
        <f>$AA83*W76/100</f>
        <v>28491.066746577417</v>
      </c>
      <c r="X84" s="57">
        <f>$AA83*X76/100</f>
        <v>6851.3812323861239</v>
      </c>
      <c r="Z84" t="s">
        <v>36</v>
      </c>
      <c r="AA84" s="25">
        <f>SUM(T84:X84)</f>
        <v>96538.45</v>
      </c>
      <c r="AC84" t="s">
        <v>175</v>
      </c>
      <c r="AD84" s="51"/>
      <c r="AE84" s="51"/>
      <c r="AH84" s="78"/>
      <c r="AI84" s="78"/>
      <c r="AJ84" t="s">
        <v>4</v>
      </c>
      <c r="AK84" s="13">
        <v>1</v>
      </c>
      <c r="AL84" s="5">
        <v>0</v>
      </c>
      <c r="AM84" s="27">
        <v>55</v>
      </c>
      <c r="AN84" s="1">
        <v>8</v>
      </c>
      <c r="AO84" s="1">
        <v>0</v>
      </c>
      <c r="AP84" s="6">
        <v>1</v>
      </c>
      <c r="AQ84" s="1">
        <f>SUM(AL84:AP84)</f>
        <v>64</v>
      </c>
      <c r="AR84" s="10">
        <f>AM84/AQ84</f>
        <v>0.859375</v>
      </c>
      <c r="AS84" s="11">
        <f>1-AR84</f>
        <v>0.140625</v>
      </c>
      <c r="AT84">
        <f>AQ84-AM88</f>
        <v>8</v>
      </c>
      <c r="AW84" s="10">
        <f>2*(AM89*AR84)/(AM89+AR84)</f>
        <v>0.91666666666666652</v>
      </c>
    </row>
    <row r="85" spans="1:51" x14ac:dyDescent="0.3">
      <c r="A85" t="s">
        <v>4</v>
      </c>
      <c r="B85" s="13">
        <v>1</v>
      </c>
      <c r="C85" s="33">
        <f t="shared" ref="C85:G88" si="10">(C74/$L85)*$O85</f>
        <v>0</v>
      </c>
      <c r="D85" s="34">
        <f t="shared" si="10"/>
        <v>0.97422332492631958</v>
      </c>
      <c r="E85" s="19">
        <f t="shared" si="10"/>
        <v>4.8711166246315982E-2</v>
      </c>
      <c r="F85" s="18">
        <f t="shared" si="10"/>
        <v>0</v>
      </c>
      <c r="G85" s="20">
        <f t="shared" si="10"/>
        <v>1.6237055415438659E-2</v>
      </c>
      <c r="H85" s="17">
        <f>SUM(C85:G85)</f>
        <v>1.0391715465880742</v>
      </c>
      <c r="I85" s="17">
        <f>D85/H85*100</f>
        <v>93.75</v>
      </c>
      <c r="J85" s="17">
        <f>SQRT(I85*(100-I85)/(L85-1))</f>
        <v>3.0496877279641659</v>
      </c>
      <c r="K85" s="18">
        <f>100-I85</f>
        <v>6.25</v>
      </c>
      <c r="L85" s="1">
        <f>H74</f>
        <v>64</v>
      </c>
      <c r="M85">
        <v>1</v>
      </c>
      <c r="N85" s="1">
        <v>1003.2</v>
      </c>
      <c r="O85" s="17">
        <f>N85/N89*100</f>
        <v>1.0391715465880742</v>
      </c>
      <c r="P85" s="52">
        <f>((O85*O85*(I85/100)*(K85/100))/(L85-1))</f>
        <v>1.0043503564343844E-3</v>
      </c>
      <c r="R85" s="66"/>
      <c r="S85" s="66" t="s">
        <v>62</v>
      </c>
      <c r="T85" s="67">
        <f>$AA83*T77/100</f>
        <v>0</v>
      </c>
      <c r="U85" s="67">
        <f>$AA83*U77/100</f>
        <v>29.212751229553081</v>
      </c>
      <c r="V85" s="67">
        <f>$AA83*V77/100</f>
        <v>385.60957850823996</v>
      </c>
      <c r="W85" s="67">
        <f>$AA83*W77/100</f>
        <v>386.23155191120009</v>
      </c>
      <c r="X85" s="67">
        <f>$AA83*X77/100</f>
        <v>202.17970874131871</v>
      </c>
      <c r="AA85" s="1"/>
      <c r="AC85" t="s">
        <v>176</v>
      </c>
      <c r="AD85" s="51"/>
      <c r="AE85" s="51"/>
      <c r="AJ85" t="s">
        <v>5</v>
      </c>
      <c r="AK85" s="13">
        <v>2</v>
      </c>
      <c r="AL85" s="5">
        <v>0</v>
      </c>
      <c r="AM85" s="1">
        <v>0</v>
      </c>
      <c r="AN85" s="27">
        <v>735</v>
      </c>
      <c r="AO85" s="1">
        <v>9</v>
      </c>
      <c r="AP85" s="6">
        <v>4</v>
      </c>
      <c r="AQ85" s="1">
        <f>SUM(AL85:AP85)</f>
        <v>748</v>
      </c>
      <c r="AR85" s="10">
        <f>AN85/AQ85</f>
        <v>0.98262032085561501</v>
      </c>
      <c r="AS85" s="11">
        <f>1-AR85</f>
        <v>1.7379679144384985E-2</v>
      </c>
      <c r="AT85">
        <f>AQ85-AN88</f>
        <v>-49</v>
      </c>
      <c r="AW85" s="10">
        <f>2*(AN89*AR85)/(AN89+AR85)</f>
        <v>0.95145631067961167</v>
      </c>
    </row>
    <row r="86" spans="1:51" x14ac:dyDescent="0.3">
      <c r="A86" t="s">
        <v>5</v>
      </c>
      <c r="B86" s="13">
        <v>2</v>
      </c>
      <c r="C86" s="33">
        <f t="shared" si="10"/>
        <v>0</v>
      </c>
      <c r="D86" s="19">
        <f t="shared" si="10"/>
        <v>0</v>
      </c>
      <c r="E86" s="34">
        <f t="shared" si="10"/>
        <v>60.771642593276972</v>
      </c>
      <c r="F86" s="19">
        <f t="shared" si="10"/>
        <v>0.32760993311739606</v>
      </c>
      <c r="G86" s="20">
        <f t="shared" si="10"/>
        <v>0.16380496655869803</v>
      </c>
      <c r="H86" s="17">
        <f>SUM(C86:G86)</f>
        <v>61.263057492953067</v>
      </c>
      <c r="I86" s="17">
        <f>E86/H86*100</f>
        <v>99.197860962566835</v>
      </c>
      <c r="J86" s="17">
        <f>SQRT(I86*(100-I86)/(L86-1))</f>
        <v>0.32637409385624488</v>
      </c>
      <c r="K86" s="18">
        <f>100-I86</f>
        <v>0.8021390374331645</v>
      </c>
      <c r="L86" s="1">
        <f>H75</f>
        <v>748</v>
      </c>
      <c r="M86">
        <v>2</v>
      </c>
      <c r="N86" s="1">
        <v>59142.400000000001</v>
      </c>
      <c r="O86" s="17">
        <f>N86/N89*100</f>
        <v>61.263057492953067</v>
      </c>
      <c r="P86" s="52">
        <f>((O86*O86*(I86/100)*(K86/100))/(L86-1))</f>
        <v>3.9978702340196785E-2</v>
      </c>
      <c r="R86" t="s">
        <v>95</v>
      </c>
      <c r="S86" s="70" t="s">
        <v>28</v>
      </c>
      <c r="T86" s="64">
        <f>C234</f>
        <v>0.26631875693052875</v>
      </c>
      <c r="U86" s="64">
        <f t="shared" ref="U86:X89" si="11">D234</f>
        <v>1.0670496839818546</v>
      </c>
      <c r="V86" s="64">
        <f t="shared" si="11"/>
        <v>62.584414866056385</v>
      </c>
      <c r="W86" s="64">
        <f t="shared" si="11"/>
        <v>29.49385351559657</v>
      </c>
      <c r="X86" s="64">
        <f t="shared" si="11"/>
        <v>6.5883631774346547</v>
      </c>
      <c r="AA86" s="12"/>
      <c r="AC86" t="s">
        <v>177</v>
      </c>
      <c r="AD86" s="51"/>
      <c r="AE86" s="51"/>
      <c r="AH86" s="78"/>
      <c r="AI86" s="78"/>
      <c r="AJ86" t="s">
        <v>6</v>
      </c>
      <c r="AK86" s="13">
        <v>3</v>
      </c>
      <c r="AL86" s="5">
        <v>0</v>
      </c>
      <c r="AM86" s="1">
        <v>0</v>
      </c>
      <c r="AN86" s="1">
        <v>43</v>
      </c>
      <c r="AO86" s="27">
        <v>567</v>
      </c>
      <c r="AP86" s="6">
        <v>8</v>
      </c>
      <c r="AQ86" s="1">
        <f>SUM(AL86:AP86)</f>
        <v>618</v>
      </c>
      <c r="AR86" s="10">
        <f>AO86/AQ86</f>
        <v>0.91747572815533984</v>
      </c>
      <c r="AS86" s="11">
        <f>1-AR86</f>
        <v>8.2524271844660158E-2</v>
      </c>
      <c r="AT86">
        <f>AQ86-AO88</f>
        <v>2</v>
      </c>
      <c r="AW86" s="10">
        <f>2*(AO89*AR86)/(AO89+AR86)</f>
        <v>0.91896272285251224</v>
      </c>
    </row>
    <row r="87" spans="1:51" x14ac:dyDescent="0.3">
      <c r="A87" t="s">
        <v>6</v>
      </c>
      <c r="B87" s="13">
        <v>3</v>
      </c>
      <c r="C87" s="33">
        <f t="shared" si="10"/>
        <v>0</v>
      </c>
      <c r="D87" s="19">
        <f t="shared" si="10"/>
        <v>0</v>
      </c>
      <c r="E87" s="19">
        <f t="shared" si="10"/>
        <v>1.6891044112000246</v>
      </c>
      <c r="F87" s="34">
        <f t="shared" si="10"/>
        <v>28.565736365882771</v>
      </c>
      <c r="G87" s="20">
        <f t="shared" si="10"/>
        <v>0.44711587355294774</v>
      </c>
      <c r="H87" s="17">
        <f>SUM(C87:G87)</f>
        <v>30.701956650635744</v>
      </c>
      <c r="I87" s="17">
        <f>F87/H87*100</f>
        <v>93.042071197411005</v>
      </c>
      <c r="J87" s="17">
        <f>SQRT(I87*(100-I87)/(L87-1))</f>
        <v>1.0243233976994559</v>
      </c>
      <c r="K87" s="18">
        <f>100-I87</f>
        <v>6.9579288025889952</v>
      </c>
      <c r="L87" s="1">
        <f>H76</f>
        <v>618</v>
      </c>
      <c r="M87">
        <v>3</v>
      </c>
      <c r="N87" s="1">
        <v>29639.19</v>
      </c>
      <c r="O87" s="17">
        <f>N87/N89*100</f>
        <v>30.701956650635744</v>
      </c>
      <c r="P87" s="52">
        <f>((O87*O87*(I87/100)*(K87/100))/(L87-1))</f>
        <v>9.8902277915242143E-2</v>
      </c>
      <c r="S87" s="66" t="s">
        <v>39</v>
      </c>
      <c r="T87" s="67">
        <f>C235</f>
        <v>0</v>
      </c>
      <c r="U87" s="67">
        <f t="shared" si="11"/>
        <v>8.9975486942464253E-2</v>
      </c>
      <c r="V87" s="67">
        <f t="shared" si="11"/>
        <v>0.40575540391067455</v>
      </c>
      <c r="W87" s="67">
        <f t="shared" si="11"/>
        <v>0.41099611624944055</v>
      </c>
      <c r="X87" s="67">
        <f t="shared" si="11"/>
        <v>0.16742433638497167</v>
      </c>
      <c r="AC87" t="s">
        <v>178</v>
      </c>
      <c r="AD87" s="51"/>
      <c r="AE87" s="51"/>
      <c r="AJ87" t="s">
        <v>7</v>
      </c>
      <c r="AK87" s="13">
        <v>4</v>
      </c>
      <c r="AL87" s="7">
        <v>0</v>
      </c>
      <c r="AM87" s="8">
        <v>1</v>
      </c>
      <c r="AN87" s="8">
        <v>11</v>
      </c>
      <c r="AO87" s="8">
        <v>40</v>
      </c>
      <c r="AP87" s="28">
        <v>961</v>
      </c>
      <c r="AQ87" s="1">
        <f>SUM(AL87:AP87)</f>
        <v>1013</v>
      </c>
      <c r="AR87" s="10">
        <f>AP87/AQ87</f>
        <v>0.94866732477788751</v>
      </c>
      <c r="AS87" s="11">
        <f>1-AR87</f>
        <v>5.1332675222112489E-2</v>
      </c>
      <c r="AT87">
        <f>AQ87-AP88</f>
        <v>39</v>
      </c>
      <c r="AW87" s="10">
        <f>2*(AP89*AR87)/(AP89+AR87)</f>
        <v>0.96728736789129333</v>
      </c>
    </row>
    <row r="88" spans="1:51" ht="15.6" x14ac:dyDescent="0.35">
      <c r="A88" t="s">
        <v>7</v>
      </c>
      <c r="B88" s="13">
        <v>4</v>
      </c>
      <c r="C88" s="35">
        <f t="shared" si="10"/>
        <v>0</v>
      </c>
      <c r="D88" s="36">
        <f t="shared" si="10"/>
        <v>0</v>
      </c>
      <c r="E88" s="21">
        <f t="shared" si="10"/>
        <v>5.3091086834306099E-2</v>
      </c>
      <c r="F88" s="21">
        <f t="shared" si="10"/>
        <v>0.23890989075437746</v>
      </c>
      <c r="G88" s="37">
        <f t="shared" si="10"/>
        <v>6.4306578928053266</v>
      </c>
      <c r="H88" s="17">
        <f>SUM(C88:G88)</f>
        <v>6.7226588703940102</v>
      </c>
      <c r="I88" s="17">
        <f>G88/H88*100</f>
        <v>95.656465942744333</v>
      </c>
      <c r="J88" s="17">
        <f>SQRT(I88*(100-I88)/(L88-1))</f>
        <v>0.6407498676583373</v>
      </c>
      <c r="K88" s="18">
        <f>100-I88</f>
        <v>4.3435340572556669</v>
      </c>
      <c r="L88" s="1">
        <f>H77</f>
        <v>1013</v>
      </c>
      <c r="M88">
        <v>4</v>
      </c>
      <c r="N88" s="1">
        <v>6489.95</v>
      </c>
      <c r="O88" s="17">
        <f>N88/N89*100</f>
        <v>6.7226588703940102</v>
      </c>
      <c r="P88" s="52">
        <f>((O88*O88*(I88/100)*(K88/100))/(L88-1))</f>
        <v>1.8554924814600153E-3</v>
      </c>
      <c r="S88" t="s">
        <v>30</v>
      </c>
      <c r="T88" s="57">
        <f>C236</f>
        <v>100</v>
      </c>
      <c r="U88" s="57">
        <f t="shared" si="11"/>
        <v>91.678893420455992</v>
      </c>
      <c r="V88" s="57">
        <f t="shared" si="11"/>
        <v>96.95683032910695</v>
      </c>
      <c r="W88" s="57">
        <f t="shared" si="11"/>
        <v>96.287937536339996</v>
      </c>
      <c r="X88" s="57">
        <f t="shared" si="11"/>
        <v>92.740978937054777</v>
      </c>
      <c r="AC88" t="s">
        <v>179</v>
      </c>
      <c r="AD88" s="51"/>
      <c r="AE88" s="51"/>
      <c r="AH88" s="78"/>
      <c r="AI88" s="78"/>
      <c r="AK88" s="1" t="s">
        <v>19</v>
      </c>
      <c r="AL88" s="1">
        <f>SUM(AL83:AL87)</f>
        <v>450</v>
      </c>
      <c r="AM88" s="1">
        <f>SUM(AM83:AM87)</f>
        <v>56</v>
      </c>
      <c r="AN88" s="1">
        <f>SUM(AN83:AN87)</f>
        <v>797</v>
      </c>
      <c r="AO88" s="1">
        <f>SUM(AO83:AO87)</f>
        <v>616</v>
      </c>
      <c r="AP88" s="1">
        <f>SUM(AP83:AP87)</f>
        <v>974</v>
      </c>
      <c r="AQ88" s="1">
        <f>SUM(AQ82:AQ87)</f>
        <v>2893</v>
      </c>
      <c r="AR88" s="13" t="s">
        <v>12</v>
      </c>
    </row>
    <row r="89" spans="1:51" x14ac:dyDescent="0.3">
      <c r="B89" t="s">
        <v>28</v>
      </c>
      <c r="C89" s="17">
        <f>SUM(C84:C88)</f>
        <v>0.27315543942910203</v>
      </c>
      <c r="D89" s="17">
        <f>SUM(D84:D88)</f>
        <v>0.97422332492631958</v>
      </c>
      <c r="E89" s="17">
        <f>SUM(E84:E88)</f>
        <v>62.56254925755762</v>
      </c>
      <c r="F89" s="17">
        <f>SUM(F84:F88)</f>
        <v>29.132256189754546</v>
      </c>
      <c r="G89" s="17">
        <f>SUM(G84:G88)</f>
        <v>7.0578157883324106</v>
      </c>
      <c r="H89" s="1">
        <f>SUM(H83:H88)</f>
        <v>100</v>
      </c>
      <c r="I89" s="13" t="s">
        <v>24</v>
      </c>
      <c r="J89" s="12" t="s">
        <v>29</v>
      </c>
      <c r="N89" s="1">
        <f>SUM(N84:N88)</f>
        <v>96538.44</v>
      </c>
      <c r="O89" s="17">
        <f>SUM(O84:O88)</f>
        <v>100</v>
      </c>
      <c r="S89" s="66" t="s">
        <v>39</v>
      </c>
      <c r="T89" s="67">
        <f>C237</f>
        <v>0</v>
      </c>
      <c r="U89" s="67">
        <f t="shared" si="11"/>
        <v>7.6356060966991626</v>
      </c>
      <c r="V89" s="67">
        <f t="shared" si="11"/>
        <v>0.47104165987818852</v>
      </c>
      <c r="W89" s="67">
        <f t="shared" si="11"/>
        <v>0.94545344681063759</v>
      </c>
      <c r="X89" s="67">
        <f t="shared" si="11"/>
        <v>2.3271487303314347</v>
      </c>
      <c r="AC89" t="s">
        <v>180</v>
      </c>
      <c r="AD89" s="51"/>
      <c r="AE89" s="51"/>
      <c r="AJ89" s="1" t="s">
        <v>316</v>
      </c>
      <c r="AK89" s="1" t="s">
        <v>2</v>
      </c>
      <c r="AL89" s="10">
        <f>AL83/AL88</f>
        <v>1</v>
      </c>
      <c r="AM89" s="10">
        <f>AM84/AM88</f>
        <v>0.9821428571428571</v>
      </c>
      <c r="AN89" s="10">
        <f>AN85/AN88</f>
        <v>0.92220828105395236</v>
      </c>
      <c r="AO89" s="10">
        <f>AO86/AO88</f>
        <v>0.92045454545454541</v>
      </c>
      <c r="AP89" s="10">
        <f>AP87/AP88</f>
        <v>0.98665297741273106</v>
      </c>
      <c r="AQ89" s="10"/>
      <c r="AR89" s="14">
        <f>(AL83+AM84+AN85+AO86+AP87)/AQ88</f>
        <v>0.95679225717248528</v>
      </c>
    </row>
    <row r="90" spans="1:51" x14ac:dyDescent="0.3">
      <c r="B90" s="16" t="s">
        <v>39</v>
      </c>
      <c r="C90" s="18">
        <f>SQRT(SUM((O84*O84*(C84/O84)*(1-C84/O84))/L84,(O85*O85*(C85/O85)*(1-C85/O85))/L85,(O86*O86*(C86/O86)*(1-C86/O86))/L86,(O87*O87*(C87/O87)*(1-C87/O87))/L87,(O88*O88*(C88/O88)*(1-C88/O88))/L88))</f>
        <v>0</v>
      </c>
      <c r="D90" s="18">
        <f>SQRT(SUM((O84*O84*(D84/O84)*(1-D84/O84))/L84,(O85*O85*(D85/O85)*(1-D85/O85))/L85,(O86*O86*(D86/O86)*(1-D86/O86))/L86,(O87*O87*(D87/O87)*(1-D87/O87))/L87,(O88*O88*(D88/O88)*(1-D88/O88))/L88))</f>
        <v>3.1442922607720442E-2</v>
      </c>
      <c r="E90" s="18">
        <f>SQRT(SUM((O84*O84*(E84/O84)*(1-E84/O84))/L84,(O85*O85*(E85/O85)*(1-E85/O85))/L85,(O86*O86*(E86/O86)*(1-E86/O86))/L86,(O87*O87*(E87/O87)*(1-E87/O87))/L87,(O88*O88*(E88/O88)*(1-E88/O88))/L88))</f>
        <v>0.34688033261084922</v>
      </c>
      <c r="F90" s="18">
        <f>SQRT(SUM((O84*O84*(F84/O84)*(1-F84/O84))/L84,(O85*O85*(F85/O85)*(1-F85/O85))/L85,(O86*O86*(F86/O86)*(1-F86/O86))/L86,(O87*O87*(F87/O87)*(1-F87/O87))/L87,(O88*O88*(F88/O88)*(1-F88/O88))/L88))</f>
        <v>0.35631443237791333</v>
      </c>
      <c r="G90" s="18">
        <f>SQRT(SUM((O84*O84*(G84/O84)*(1-G84/O84))/L84,(O85*O85*(G85/O85)*(1-G85/O85))/L85,(O86*O86*(G86/O86)*(1-G86/O86))/L86,(O87*O87*(G87/O87)*(1-G87/O87))/L87,(O88*O88*(G88/O88)*(1-G88/O88))/L88))</f>
        <v>0.19334521863847781</v>
      </c>
      <c r="H90" s="1"/>
      <c r="I90" s="14">
        <f>(C84+D85+E86+F87+G88)/H89</f>
        <v>0.97015415616320499</v>
      </c>
      <c r="J90" s="53">
        <f>SQRT(SUM(P84:P88))/100</f>
        <v>3.7648482451930693E-3</v>
      </c>
      <c r="M90" s="1"/>
      <c r="N90" s="9"/>
      <c r="S90" t="s">
        <v>31</v>
      </c>
      <c r="T90" s="57">
        <f>I229</f>
        <v>100</v>
      </c>
      <c r="U90" s="57">
        <f>I230</f>
        <v>92.1875</v>
      </c>
      <c r="V90" s="57">
        <f>I231</f>
        <v>98.395721925133699</v>
      </c>
      <c r="W90" s="57">
        <f>I232</f>
        <v>92.880258899676377</v>
      </c>
      <c r="X90" s="57">
        <f>I233</f>
        <v>95.064165844027642</v>
      </c>
      <c r="AC90" t="s">
        <v>181</v>
      </c>
      <c r="AD90" s="51"/>
      <c r="AE90" s="51"/>
      <c r="AH90" s="78"/>
      <c r="AI90" s="78"/>
      <c r="AK90" s="1" t="s">
        <v>14</v>
      </c>
      <c r="AL90" s="11">
        <f>1-AL89</f>
        <v>0</v>
      </c>
      <c r="AM90" s="11">
        <f>1-AM89</f>
        <v>1.7857142857142905E-2</v>
      </c>
      <c r="AN90" s="11">
        <f>1-AN89</f>
        <v>7.7791718946047639E-2</v>
      </c>
      <c r="AO90" s="11">
        <f>1-AO89</f>
        <v>7.9545454545454586E-2</v>
      </c>
      <c r="AP90" s="11">
        <f>1-AP89</f>
        <v>1.3347022587268942E-2</v>
      </c>
    </row>
    <row r="91" spans="1:51" x14ac:dyDescent="0.3">
      <c r="B91" s="1" t="s">
        <v>30</v>
      </c>
      <c r="C91" s="17">
        <f>C84/C89*100</f>
        <v>100</v>
      </c>
      <c r="D91" s="17">
        <f>D85/D89*100</f>
        <v>100</v>
      </c>
      <c r="E91" s="17">
        <f>E86/E89*100</f>
        <v>97.137414179035702</v>
      </c>
      <c r="F91" s="17">
        <f>F87/F89*100</f>
        <v>98.055352046261987</v>
      </c>
      <c r="G91" s="17">
        <f>G88/G89*100</f>
        <v>91.113994551063996</v>
      </c>
      <c r="H91" s="1"/>
      <c r="S91" s="66" t="s">
        <v>39</v>
      </c>
      <c r="T91" s="67">
        <f>J229</f>
        <v>0</v>
      </c>
      <c r="U91" s="67">
        <f>J230</f>
        <v>3.3811213593755247</v>
      </c>
      <c r="V91" s="67">
        <f>J231</f>
        <v>0.45969272570756609</v>
      </c>
      <c r="W91" s="67">
        <f>J232</f>
        <v>1.035264274387411</v>
      </c>
      <c r="X91" s="67">
        <f>J233</f>
        <v>0.68092369023183874</v>
      </c>
      <c r="AC91" t="s">
        <v>182</v>
      </c>
      <c r="AD91" s="51"/>
      <c r="AE91" s="51"/>
      <c r="AL91" s="2"/>
    </row>
    <row r="92" spans="1:51" ht="15.6" x14ac:dyDescent="0.35">
      <c r="B92" s="16" t="s">
        <v>39</v>
      </c>
      <c r="C92" s="18">
        <f>SQRT((C95+C96)/(C89*C89))</f>
        <v>0</v>
      </c>
      <c r="D92" s="18">
        <f>SQRT((D95+D96)/(D89*D89))</f>
        <v>0</v>
      </c>
      <c r="E92" s="18">
        <f>SQRT((E95+E96)/(E89*E89))</f>
        <v>0.45003532418603526</v>
      </c>
      <c r="F92" s="18">
        <f>SQRT((F95+F96)/(F89*F89))</f>
        <v>0.60346691897287974</v>
      </c>
      <c r="G92" s="18">
        <f>SQRT((G95+G96)/(G89*G89))</f>
        <v>2.4949747942474136</v>
      </c>
      <c r="H92" s="1"/>
      <c r="S92" s="66" t="s">
        <v>51</v>
      </c>
      <c r="T92" s="67">
        <f>N218*100</f>
        <v>100</v>
      </c>
      <c r="U92" s="67">
        <f>N219*100</f>
        <v>94.399999999999991</v>
      </c>
      <c r="V92" s="67">
        <f>N220*100</f>
        <v>96.020874103065893</v>
      </c>
      <c r="W92" s="67">
        <f>N221*100</f>
        <v>92.357200321802097</v>
      </c>
      <c r="X92" s="67">
        <f>N222*100</f>
        <v>97.02770780856423</v>
      </c>
      <c r="AC92" t="s">
        <v>183</v>
      </c>
      <c r="AD92" s="51"/>
      <c r="AE92" s="51"/>
      <c r="AH92" s="78"/>
      <c r="AI92" s="78"/>
      <c r="AJ92" t="s">
        <v>317</v>
      </c>
      <c r="AK92" s="15" t="s">
        <v>23</v>
      </c>
      <c r="AW92" s="12" t="s">
        <v>17</v>
      </c>
      <c r="AX92" s="1" t="s">
        <v>27</v>
      </c>
      <c r="AY92" s="1" t="s">
        <v>33</v>
      </c>
    </row>
    <row r="93" spans="1:51" ht="15.6" x14ac:dyDescent="0.35">
      <c r="B93" s="1" t="s">
        <v>37</v>
      </c>
      <c r="C93" s="18">
        <f>100-C91</f>
        <v>0</v>
      </c>
      <c r="D93" s="18">
        <f>100-D91</f>
        <v>0</v>
      </c>
      <c r="E93" s="18">
        <f>100-E91</f>
        <v>2.8625858209642985</v>
      </c>
      <c r="F93" s="18">
        <f>100-F91</f>
        <v>1.9446479537380128</v>
      </c>
      <c r="G93" s="18">
        <f>100-G91</f>
        <v>8.8860054489360039</v>
      </c>
      <c r="R93" s="16" t="s">
        <v>61</v>
      </c>
      <c r="S93" t="s">
        <v>9</v>
      </c>
      <c r="T93" s="30">
        <f>N229</f>
        <v>257.10000000000002</v>
      </c>
      <c r="U93" s="30">
        <f>N230</f>
        <v>1024.43</v>
      </c>
      <c r="V93" s="30">
        <f>N231</f>
        <v>59534.5</v>
      </c>
      <c r="W93" s="30">
        <f>N232</f>
        <v>29517.55</v>
      </c>
      <c r="X93" s="30">
        <f>N233</f>
        <v>6204.87</v>
      </c>
      <c r="Z93" t="s">
        <v>36</v>
      </c>
      <c r="AA93" s="1">
        <f>N234</f>
        <v>96538.45</v>
      </c>
      <c r="AC93" t="s">
        <v>184</v>
      </c>
      <c r="AD93" s="51"/>
      <c r="AE93" s="51"/>
      <c r="AK93" s="1" t="s">
        <v>0</v>
      </c>
      <c r="AL93" s="13">
        <v>0</v>
      </c>
      <c r="AM93" s="13">
        <v>1</v>
      </c>
      <c r="AN93" s="13">
        <v>2</v>
      </c>
      <c r="AO93" s="13">
        <v>3</v>
      </c>
      <c r="AP93" s="13">
        <v>4</v>
      </c>
      <c r="AQ93" s="1" t="s">
        <v>28</v>
      </c>
      <c r="AR93" s="1" t="s">
        <v>31</v>
      </c>
      <c r="AS93" s="15" t="s">
        <v>39</v>
      </c>
      <c r="AT93" s="1" t="s">
        <v>38</v>
      </c>
      <c r="AU93" s="1" t="s">
        <v>26</v>
      </c>
      <c r="AV93" t="s">
        <v>8</v>
      </c>
      <c r="AW93" t="s">
        <v>9</v>
      </c>
      <c r="AX93" s="1" t="s">
        <v>11</v>
      </c>
    </row>
    <row r="94" spans="1:51" ht="15.6" x14ac:dyDescent="0.35">
      <c r="B94" s="1" t="s">
        <v>25</v>
      </c>
      <c r="C94" s="1">
        <f>C78</f>
        <v>450</v>
      </c>
      <c r="D94" s="1">
        <f>D78</f>
        <v>60</v>
      </c>
      <c r="E94" s="1">
        <f>E78</f>
        <v>787</v>
      </c>
      <c r="F94" s="1">
        <f>F78</f>
        <v>615</v>
      </c>
      <c r="G94" s="1">
        <f>G78</f>
        <v>981</v>
      </c>
      <c r="R94" s="16" t="s">
        <v>318</v>
      </c>
      <c r="S94" t="s">
        <v>63</v>
      </c>
      <c r="T94" s="57">
        <f>$AA93*T86/100</f>
        <v>257.10000000000002</v>
      </c>
      <c r="U94" s="57">
        <f>$AA93*U86/100</f>
        <v>1030.1132256459807</v>
      </c>
      <c r="V94" s="57">
        <f>$AA93*V86/100</f>
        <v>60418.024053260408</v>
      </c>
      <c r="W94" s="57">
        <f>$AA93*W86/100</f>
        <v>28472.909029227434</v>
      </c>
      <c r="X94" s="57">
        <f>$AA93*X86/100</f>
        <v>6360.3036918661646</v>
      </c>
      <c r="Z94" t="s">
        <v>36</v>
      </c>
      <c r="AA94" s="25">
        <f>SUM(T94:X94)</f>
        <v>96538.449999999983</v>
      </c>
      <c r="AC94" t="s">
        <v>185</v>
      </c>
      <c r="AD94" s="51"/>
      <c r="AE94" s="51"/>
      <c r="AH94" s="78"/>
      <c r="AI94" s="78"/>
      <c r="AJ94" t="s">
        <v>3</v>
      </c>
      <c r="AK94" s="13">
        <v>0</v>
      </c>
      <c r="AL94" s="29">
        <f>(AL83/$AU94)*$AX94</f>
        <v>0.27416016373163615</v>
      </c>
      <c r="AM94" s="31">
        <f t="shared" ref="AM94:AO95" si="12">(AM83/$AU94)*$AX94</f>
        <v>0</v>
      </c>
      <c r="AN94" s="31">
        <f t="shared" si="12"/>
        <v>0</v>
      </c>
      <c r="AO94" s="31">
        <f t="shared" si="12"/>
        <v>0</v>
      </c>
      <c r="AP94" s="32">
        <f>(AP83/$AU94)*$AX94</f>
        <v>0</v>
      </c>
      <c r="AQ94" s="17">
        <f>SUM(AL94:AP94)</f>
        <v>0.27416016373163615</v>
      </c>
      <c r="AR94" s="17">
        <f>AL94/AQ94*100</f>
        <v>100</v>
      </c>
      <c r="AS94" s="17">
        <f>SQRT(AR94*(100-AR94)/(AU94-1))</f>
        <v>0</v>
      </c>
      <c r="AT94" s="18">
        <f>100-AR94</f>
        <v>0</v>
      </c>
      <c r="AU94" s="1">
        <f>AQ83</f>
        <v>450</v>
      </c>
      <c r="AV94">
        <v>0</v>
      </c>
      <c r="AW94" s="1">
        <v>264.67</v>
      </c>
      <c r="AX94" s="17">
        <f>AW94/AW99*100</f>
        <v>0.27416016373163615</v>
      </c>
      <c r="AY94" s="52">
        <f>((AX94*AX94*(AR94/100)*(AT94/100))/(AU94-1))</f>
        <v>0</v>
      </c>
    </row>
    <row r="95" spans="1:51" x14ac:dyDescent="0.3">
      <c r="B95" s="1" t="s">
        <v>34</v>
      </c>
      <c r="C95" s="18">
        <f>(O84*O84*(100-C91)*(100-C91)*(I84)*(100-I84))/(L84-1)</f>
        <v>0</v>
      </c>
      <c r="D95" s="18">
        <f>(O85*O85*(100-D91)*(100-D91)*(I85)*(100-I85))/((L85-1)*100)</f>
        <v>0</v>
      </c>
      <c r="E95" s="18">
        <f>(O86*O86*(100-E91)*(100-E91)*(I86)*(100-I86))/((L86-1)*100)</f>
        <v>32.760138180343191</v>
      </c>
      <c r="F95" s="18">
        <f>(O87*O87*(100-F91)*(100-F91)*(I87)*(100-I87))/((L87-1)*100)</f>
        <v>37.401435945844646</v>
      </c>
      <c r="G95" s="18">
        <f>(O88*O88*(100-G91)*(100-G91)*(I88)*(100-I88))/((L88-1)*100)</f>
        <v>14.651171408974077</v>
      </c>
      <c r="R95" s="66"/>
      <c r="S95" s="66" t="s">
        <v>62</v>
      </c>
      <c r="T95" s="67">
        <f>$AA93*T87/100</f>
        <v>0</v>
      </c>
      <c r="U95" s="67">
        <f>$AA93*U87/100</f>
        <v>86.860940474207382</v>
      </c>
      <c r="V95" s="67">
        <f>$AA93*V87/100</f>
        <v>391.70997772660456</v>
      </c>
      <c r="W95" s="67">
        <f>$AA93*W87/100</f>
        <v>396.76928018740801</v>
      </c>
      <c r="X95" s="67">
        <f>$AA93*X87/100</f>
        <v>161.62885926883769</v>
      </c>
      <c r="AA95" s="1"/>
      <c r="AC95" t="s">
        <v>186</v>
      </c>
      <c r="AD95" s="51"/>
      <c r="AE95" s="51"/>
      <c r="AJ95" t="s">
        <v>4</v>
      </c>
      <c r="AK95" s="13">
        <v>1</v>
      </c>
      <c r="AL95" s="33">
        <f t="shared" ref="AL95:AO98" si="13">(AL84/$AU95)*$AX95</f>
        <v>0</v>
      </c>
      <c r="AM95" s="34">
        <f>(AM84/$AU95)*$AX95</f>
        <v>0.86186343504961649</v>
      </c>
      <c r="AN95" s="19">
        <f t="shared" si="12"/>
        <v>0.12536195418903512</v>
      </c>
      <c r="AO95" s="18">
        <f t="shared" si="12"/>
        <v>0</v>
      </c>
      <c r="AP95" s="20">
        <f>(AP84/$AU95)*$AX95</f>
        <v>1.567024427362939E-2</v>
      </c>
      <c r="AQ95" s="17">
        <f>SUM(AL95:AP95)</f>
        <v>1.0028956335122809</v>
      </c>
      <c r="AR95" s="17">
        <f>AM95/AQ95*100</f>
        <v>85.9375</v>
      </c>
      <c r="AS95" s="17">
        <f>SQRT(AR95*(100-AR95)/(AU95-1))</f>
        <v>4.3797805514170944</v>
      </c>
      <c r="AT95" s="18">
        <f>100-AR95</f>
        <v>14.0625</v>
      </c>
      <c r="AU95" s="1">
        <f>AQ84</f>
        <v>64</v>
      </c>
      <c r="AV95">
        <v>1</v>
      </c>
      <c r="AW95" s="1">
        <v>968.18</v>
      </c>
      <c r="AX95" s="17">
        <f>AW95/AW99*100</f>
        <v>1.0028956335122809</v>
      </c>
      <c r="AY95" s="52">
        <f>((AX95*AX95*(AR95/100)*(AT95/100))/(AU95-1))</f>
        <v>1.9293729368195435E-3</v>
      </c>
    </row>
    <row r="96" spans="1:51" x14ac:dyDescent="0.3">
      <c r="B96" s="1" t="s">
        <v>35</v>
      </c>
      <c r="C96" s="18">
        <f>C91*C91*(SUM((H85*C85*(1-C74/H74))/(H74-1),(H86*C86*(1-C75/H75))/(H75-1), (H87*C87*(1-C76/H76))/(H76-1),(H88*C88*(1-C77/H77))/(H77-1)))</f>
        <v>0</v>
      </c>
      <c r="D96" s="18">
        <f>D91*D91*(SUM((H84*D84*(1-D73/H73))/(H73-1),(H86*D86*(1-D75/H75))/(H75-1), (H87*D87*(1-D76/H76))/(H76-1),(H88*D88*(1-D77/H77))/(H77-1)))</f>
        <v>0</v>
      </c>
      <c r="E96" s="18">
        <f>E91*E91*(SUM((H84*E84*(1-E73/H73))/(H73-1),(H85*E85*(1-E74/H74))/(H74-1), (H87*E87*(1-E76/H76))/(H76-1),(H88*E88*(1-E77/H77))/(H77-1)))</f>
        <v>759.9639973333484</v>
      </c>
      <c r="F96" s="18">
        <f>F91*F91*(SUM((H84*F84*(1-F73/H73))/(H73-1),(H85*F85*(1-F74/H74))/(H74-1), (H86*F86*(1-F75/H75))/(H75-1),(H88*F88*(1-F77/H77))/(H77-1)))</f>
        <v>271.66737163496549</v>
      </c>
      <c r="G96" s="18">
        <f>G91*G91*(SUM((H84*G84*(1-G73/H73))/(H73-1),(H85*G85*(1-G74/H74))/(H74-1), (H86*G86*(1-G75/H75))/(H75-1),(H87*G87*(1-G76/H76))/(H76-1)))</f>
        <v>295.42826270162357</v>
      </c>
      <c r="R96" t="s">
        <v>96</v>
      </c>
      <c r="S96" t="s">
        <v>28</v>
      </c>
      <c r="T96" s="57">
        <f>C263</f>
        <v>0.26246537001578124</v>
      </c>
      <c r="U96" s="57">
        <f t="shared" ref="U96:X99" si="14">D263</f>
        <v>0.9810501670577888</v>
      </c>
      <c r="V96" s="57">
        <f t="shared" si="14"/>
        <v>63.283039319852236</v>
      </c>
      <c r="W96" s="57">
        <f t="shared" si="14"/>
        <v>28.62789393608292</v>
      </c>
      <c r="X96" s="57">
        <f t="shared" si="14"/>
        <v>6.8455512069912627</v>
      </c>
      <c r="Y96" s="13"/>
      <c r="Z96" s="74"/>
      <c r="AA96" s="12"/>
      <c r="AC96" t="s">
        <v>187</v>
      </c>
      <c r="AD96" s="51"/>
      <c r="AE96" s="51"/>
      <c r="AH96" s="78"/>
      <c r="AI96" s="78"/>
      <c r="AJ96" t="s">
        <v>5</v>
      </c>
      <c r="AK96" s="13">
        <v>2</v>
      </c>
      <c r="AL96" s="33">
        <f t="shared" si="13"/>
        <v>0</v>
      </c>
      <c r="AM96" s="19">
        <f t="shared" si="13"/>
        <v>0</v>
      </c>
      <c r="AN96" s="34">
        <f t="shared" si="13"/>
        <v>60.803650712255397</v>
      </c>
      <c r="AO96" s="19">
        <f t="shared" si="13"/>
        <v>0.74453449851741293</v>
      </c>
      <c r="AP96" s="20">
        <f>(AP85/$AU96)*$AX96</f>
        <v>0.33090422156329463</v>
      </c>
      <c r="AQ96" s="17">
        <f>SUM(AL96:AP96)</f>
        <v>61.879089432336102</v>
      </c>
      <c r="AR96" s="17">
        <f>AN96/AQ96*100</f>
        <v>98.262032085561501</v>
      </c>
      <c r="AS96" s="17">
        <f>SQRT(AR96*(100-AR96)/(AU96-1))</f>
        <v>0.47813820512740118</v>
      </c>
      <c r="AT96" s="18">
        <f>100-AR96</f>
        <v>1.7379679144384994</v>
      </c>
      <c r="AU96" s="1">
        <f>AQ85</f>
        <v>748</v>
      </c>
      <c r="AV96">
        <v>2</v>
      </c>
      <c r="AW96" s="1">
        <v>59737.120000000003</v>
      </c>
      <c r="AX96" s="17">
        <f>AW96/AW99*100</f>
        <v>61.879089432336102</v>
      </c>
      <c r="AY96" s="52">
        <f>((AX96*AX96*(AR96/100)*(AT96/100))/(AU96-1))</f>
        <v>8.7537617534434051E-2</v>
      </c>
    </row>
    <row r="97" spans="1:51" x14ac:dyDescent="0.3">
      <c r="S97" s="66" t="s">
        <v>39</v>
      </c>
      <c r="T97" s="67">
        <f>C264</f>
        <v>0</v>
      </c>
      <c r="U97" s="67">
        <f t="shared" si="14"/>
        <v>3.1663257990073503E-2</v>
      </c>
      <c r="V97" s="67">
        <f t="shared" si="14"/>
        <v>0.35894491514766602</v>
      </c>
      <c r="W97" s="67">
        <f t="shared" si="14"/>
        <v>0.3610015144803847</v>
      </c>
      <c r="X97" s="67">
        <f t="shared" si="14"/>
        <v>0.17979052811312102</v>
      </c>
      <c r="AC97" t="s">
        <v>188</v>
      </c>
      <c r="AD97" s="51"/>
      <c r="AE97" s="51"/>
      <c r="AJ97" t="s">
        <v>6</v>
      </c>
      <c r="AK97" s="13">
        <v>3</v>
      </c>
      <c r="AL97" s="33">
        <f t="shared" si="13"/>
        <v>0</v>
      </c>
      <c r="AM97" s="19">
        <f t="shared" si="13"/>
        <v>0</v>
      </c>
      <c r="AN97" s="19">
        <f t="shared" si="13"/>
        <v>2.1106169368960734</v>
      </c>
      <c r="AO97" s="34">
        <f t="shared" si="13"/>
        <v>27.830693098141246</v>
      </c>
      <c r="AP97" s="20">
        <f>(AP86/$AU97)*$AX97</f>
        <v>0.39267291849229269</v>
      </c>
      <c r="AQ97" s="17">
        <f>SUM(AL97:AP97)</f>
        <v>30.33398295352961</v>
      </c>
      <c r="AR97" s="17">
        <f>AO97/AQ97*100</f>
        <v>91.747572815533985</v>
      </c>
      <c r="AS97" s="17">
        <f>SQRT(AR97*(100-AR97)/(AU97-1))</f>
        <v>1.1077596969605779</v>
      </c>
      <c r="AT97" s="18">
        <f>100-AR97</f>
        <v>8.2524271844660149</v>
      </c>
      <c r="AU97" s="1">
        <f>AQ86</f>
        <v>618</v>
      </c>
      <c r="AV97">
        <v>3</v>
      </c>
      <c r="AW97" s="1">
        <v>29283.96</v>
      </c>
      <c r="AX97" s="17">
        <f>AW97/AW99*100</f>
        <v>30.33398295352961</v>
      </c>
      <c r="AY97" s="52">
        <f>((AX97*AX97*(AR97/100)*(AT97/100))/(AU97-1))</f>
        <v>0.11291457325932566</v>
      </c>
    </row>
    <row r="98" spans="1:51" x14ac:dyDescent="0.3">
      <c r="S98" t="s">
        <v>30</v>
      </c>
      <c r="T98" s="57">
        <f>C265</f>
        <v>100</v>
      </c>
      <c r="U98" s="57">
        <f t="shared" si="14"/>
        <v>100</v>
      </c>
      <c r="V98" s="57">
        <f t="shared" si="14"/>
        <v>97.074900024495562</v>
      </c>
      <c r="W98" s="57">
        <f t="shared" si="14"/>
        <v>97.612631588304851</v>
      </c>
      <c r="X98" s="57">
        <f t="shared" si="14"/>
        <v>92.369463975256167</v>
      </c>
      <c r="AA98" s="54"/>
      <c r="AC98" t="s">
        <v>189</v>
      </c>
      <c r="AD98" s="51"/>
      <c r="AE98" s="51"/>
      <c r="AH98" s="78"/>
      <c r="AI98" s="78"/>
      <c r="AJ98" t="s">
        <v>7</v>
      </c>
      <c r="AK98" s="13">
        <v>4</v>
      </c>
      <c r="AL98" s="35">
        <f>(AL87/$AU98)*$AX98</f>
        <v>0</v>
      </c>
      <c r="AM98" s="36">
        <f t="shared" si="13"/>
        <v>6.4263295329618827E-3</v>
      </c>
      <c r="AN98" s="21">
        <f t="shared" si="13"/>
        <v>7.0689624862580722E-2</v>
      </c>
      <c r="AO98" s="21">
        <f t="shared" si="13"/>
        <v>0.25705318131847532</v>
      </c>
      <c r="AP98" s="37">
        <f>(AP87/$AU98)*$AX98</f>
        <v>6.1757026811763698</v>
      </c>
      <c r="AQ98" s="17">
        <f>SUM(AL98:AP98)</f>
        <v>6.5098718168903877</v>
      </c>
      <c r="AR98" s="17">
        <f>AP98/AQ98*100</f>
        <v>94.866732477788744</v>
      </c>
      <c r="AS98" s="17">
        <f>SQRT(AR98*(100-AR98)/(AU98-1))</f>
        <v>0.6936871730384524</v>
      </c>
      <c r="AT98" s="18">
        <f>100-AR98</f>
        <v>5.1332675222112556</v>
      </c>
      <c r="AU98" s="1">
        <f>AQ87</f>
        <v>1013</v>
      </c>
      <c r="AV98">
        <v>4</v>
      </c>
      <c r="AW98" s="1">
        <v>6284.53</v>
      </c>
      <c r="AX98" s="17">
        <f>AW98/AW99*100</f>
        <v>6.5098718168903877</v>
      </c>
      <c r="AY98" s="52">
        <f>((AX98*AX98*(AR98/100)*(AT98/100))/(AU98-1))</f>
        <v>2.0392581298374029E-3</v>
      </c>
    </row>
    <row r="99" spans="1:51" x14ac:dyDescent="0.3">
      <c r="A99" s="348" t="s">
        <v>388</v>
      </c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 t="s">
        <v>57</v>
      </c>
      <c r="M99" s="348"/>
      <c r="N99" s="348"/>
      <c r="O99" s="348"/>
      <c r="P99" s="348"/>
      <c r="S99" s="66" t="s">
        <v>39</v>
      </c>
      <c r="T99" s="67">
        <f>C266</f>
        <v>0</v>
      </c>
      <c r="U99" s="67">
        <f t="shared" si="14"/>
        <v>0</v>
      </c>
      <c r="V99" s="67">
        <f t="shared" si="14"/>
        <v>0.44894943079033089</v>
      </c>
      <c r="W99" s="67">
        <f t="shared" si="14"/>
        <v>0.69492115257898923</v>
      </c>
      <c r="X99" s="67">
        <f t="shared" si="14"/>
        <v>2.4038584990280678</v>
      </c>
      <c r="AC99" t="s">
        <v>190</v>
      </c>
      <c r="AD99" s="51"/>
      <c r="AE99" s="51"/>
      <c r="AK99" t="s">
        <v>28</v>
      </c>
      <c r="AL99" s="17">
        <f t="shared" ref="AL99:AQ99" si="15">SUM(AL94:AL98)</f>
        <v>0.27416016373163615</v>
      </c>
      <c r="AM99" s="17">
        <f t="shared" si="15"/>
        <v>0.86828976458257834</v>
      </c>
      <c r="AN99" s="17">
        <f>SUM(AN94:AN98)</f>
        <v>63.110319228203082</v>
      </c>
      <c r="AO99" s="17">
        <f t="shared" si="15"/>
        <v>28.832280777977136</v>
      </c>
      <c r="AP99" s="17">
        <f t="shared" si="15"/>
        <v>6.914950065505586</v>
      </c>
      <c r="AQ99" s="18">
        <f t="shared" si="15"/>
        <v>100.00000000000001</v>
      </c>
      <c r="AR99" s="13" t="s">
        <v>24</v>
      </c>
      <c r="AS99" s="12" t="s">
        <v>29</v>
      </c>
      <c r="AW99" s="1">
        <f>SUM(AW94:AW98)</f>
        <v>96538.459999999992</v>
      </c>
      <c r="AX99" s="17">
        <f>SUM(AX94:AX98)</f>
        <v>100.00000000000001</v>
      </c>
    </row>
    <row r="100" spans="1:51" x14ac:dyDescent="0.3">
      <c r="A100" t="s">
        <v>315</v>
      </c>
      <c r="B100" t="s">
        <v>21</v>
      </c>
      <c r="I100" s="1" t="s">
        <v>53</v>
      </c>
      <c r="O100" s="142"/>
      <c r="P100" s="142"/>
      <c r="S100" t="s">
        <v>31</v>
      </c>
      <c r="T100" s="57">
        <f>I258</f>
        <v>100</v>
      </c>
      <c r="U100" s="57">
        <f>I259</f>
        <v>93.749999999999986</v>
      </c>
      <c r="V100" s="57">
        <f>I260</f>
        <v>99.064171122994651</v>
      </c>
      <c r="W100" s="57">
        <f>I261</f>
        <v>93.042071197411019</v>
      </c>
      <c r="X100" s="57">
        <f>I262</f>
        <v>95.16288252714709</v>
      </c>
      <c r="AC100" t="s">
        <v>191</v>
      </c>
      <c r="AD100" s="51"/>
      <c r="AE100" s="51"/>
      <c r="AH100" s="78"/>
      <c r="AI100" s="78"/>
      <c r="AK100" s="16" t="s">
        <v>39</v>
      </c>
      <c r="AL100" s="18">
        <f>SQRT(SUM((AX94*AL94-AL94*AL94)/AU94,(AX95*AL95-AL95*AL95)/AU95,(AX96*AL96-AL96*AL96)/AU96,(AX97*AL97-AL97*AL97)/AU97,(AX98*AL98-AL98*AL98)/AU98))</f>
        <v>0</v>
      </c>
      <c r="AM100" s="18">
        <f>SQRT(SUM((AX94*AM94-AM94*AM94)/AU94,(AX95*AM95-AM95*AM95)/AU95,(AX96*AM96-AM96*AM96)/AU96,(AX97*AM97-AM97*AM97)/AU97,(AX98*AM98-AM98*AM98)/AU98))</f>
        <v>4.4050918585396032E-2</v>
      </c>
      <c r="AN100" s="18">
        <f>SQRT(SUM((AX94*AN94-AN94*AN94)/AU94,(AX95*AN95-AN95*AN95)/AU95,(AX96*AN96-AN96*AN96)/AU96,(AX97*AN97-AN97*AN97)/AU97,(AX98*AN98-AN98*AN98)/AU98))</f>
        <v>0.4312520514055595</v>
      </c>
      <c r="AO100" s="18">
        <f>SQRT(SUM((AX94*AO94-AO94*AO94)/AU94,(AX95*AO95-AO95*AO95)/AU95,(AX96*AO96-AO96*AO96)/AU96,(AX97*AO97-AO97*AO97)/AU97,(AX98*AO98-AO98*AO98)/AU98))</f>
        <v>0.4185329864983483</v>
      </c>
      <c r="AP100" s="18">
        <f>SQRT(SUM((AX94*AP94-AP94*AP94)/AU94,(AX95*AP95-AP95*AP95)/AU95,(AX96*AP96-AP96*AP96)/AU96,(AX97*AP97-AP97*AP97)/AU97,(AX98*AP98-AP98*AP98)/AU98))</f>
        <v>0.22029861445350662</v>
      </c>
      <c r="AQ100" s="1"/>
      <c r="AR100" s="56">
        <f>(AL94+AM95+AN96+AO97+AP98)/AQ99</f>
        <v>0.95946070090354252</v>
      </c>
      <c r="AS100" s="53">
        <f>SQRT(SUM(AY94:AY98))/100</f>
        <v>4.5212920925374487E-3</v>
      </c>
      <c r="AV100" s="1"/>
      <c r="AW100" s="9"/>
    </row>
    <row r="101" spans="1:51" ht="15.6" x14ac:dyDescent="0.35">
      <c r="B101" s="1" t="s">
        <v>0</v>
      </c>
      <c r="C101" s="13">
        <v>0</v>
      </c>
      <c r="D101" s="13">
        <v>1</v>
      </c>
      <c r="E101" s="13">
        <v>2</v>
      </c>
      <c r="F101" s="13">
        <v>3</v>
      </c>
      <c r="G101" s="13">
        <v>4</v>
      </c>
      <c r="H101" s="1" t="s">
        <v>20</v>
      </c>
      <c r="I101" s="1" t="s">
        <v>1</v>
      </c>
      <c r="J101" s="1" t="s">
        <v>13</v>
      </c>
      <c r="N101" s="1" t="s">
        <v>51</v>
      </c>
      <c r="O101" s="13"/>
      <c r="P101" s="13"/>
      <c r="S101" s="66" t="s">
        <v>39</v>
      </c>
      <c r="T101" s="67">
        <f>J258</f>
        <v>0</v>
      </c>
      <c r="U101" s="67">
        <f>J259</f>
        <v>3.0496877279641694</v>
      </c>
      <c r="V101" s="67">
        <f>J260</f>
        <v>0.35228668199337793</v>
      </c>
      <c r="W101" s="67">
        <f>J261</f>
        <v>1.0243233976994548</v>
      </c>
      <c r="X101" s="67">
        <f>J262</f>
        <v>0.67442996120300924</v>
      </c>
      <c r="AC101" t="s">
        <v>192</v>
      </c>
      <c r="AD101" s="51"/>
      <c r="AE101" s="51"/>
      <c r="AK101" s="1" t="s">
        <v>30</v>
      </c>
      <c r="AL101" s="17">
        <f>AL94/AL99*100</f>
        <v>100</v>
      </c>
      <c r="AM101" s="17">
        <f>AM95/AM99*100</f>
        <v>99.259886526930188</v>
      </c>
      <c r="AN101" s="17">
        <f>AN96/AN99*100</f>
        <v>96.34502163171301</v>
      </c>
      <c r="AO101" s="17">
        <f>AO97/AO99*100</f>
        <v>96.526158691542264</v>
      </c>
      <c r="AP101" s="17">
        <f>AP98/AP99*100</f>
        <v>89.309432789444642</v>
      </c>
      <c r="AQ101" s="1"/>
    </row>
    <row r="102" spans="1:51" x14ac:dyDescent="0.3">
      <c r="A102" t="s">
        <v>3</v>
      </c>
      <c r="B102" s="13">
        <v>0</v>
      </c>
      <c r="C102" s="26">
        <v>450</v>
      </c>
      <c r="D102" s="3">
        <v>0</v>
      </c>
      <c r="E102" s="3">
        <v>0</v>
      </c>
      <c r="F102" s="3">
        <v>0</v>
      </c>
      <c r="G102" s="4">
        <v>0</v>
      </c>
      <c r="H102" s="1">
        <f>SUM(C102:G102)</f>
        <v>450</v>
      </c>
      <c r="I102" s="10">
        <f>C102/H102</f>
        <v>1</v>
      </c>
      <c r="J102" s="11">
        <f>1-I102</f>
        <v>0</v>
      </c>
      <c r="K102">
        <f>H102-C107</f>
        <v>0</v>
      </c>
      <c r="N102" s="10">
        <f>2*(C108*I102)/(C108+I102)</f>
        <v>1</v>
      </c>
      <c r="O102" s="1"/>
      <c r="P102" s="1"/>
      <c r="S102" s="66" t="s">
        <v>51</v>
      </c>
      <c r="T102" s="67">
        <f>N247*100</f>
        <v>100</v>
      </c>
      <c r="U102" s="67">
        <f>N248*100</f>
        <v>96.774193548387103</v>
      </c>
      <c r="V102" s="67">
        <f>N249*100</f>
        <v>96.484374999999986</v>
      </c>
      <c r="W102" s="67">
        <f>N250*100</f>
        <v>92.816787732041973</v>
      </c>
      <c r="X102" s="67">
        <f>N251*100</f>
        <v>97.03069954705586</v>
      </c>
      <c r="AC102" t="s">
        <v>193</v>
      </c>
      <c r="AD102" s="51"/>
      <c r="AE102" s="51"/>
      <c r="AH102" s="78"/>
      <c r="AI102" s="78"/>
      <c r="AK102" s="16" t="s">
        <v>39</v>
      </c>
      <c r="AL102" s="18">
        <f>SQRT((AL105+AL106)/(AL99*AL99))</f>
        <v>0</v>
      </c>
      <c r="AM102" s="18">
        <f>SQRT((AM105+AM106)/(AM99*AM99))</f>
        <v>0.82454163313495754</v>
      </c>
      <c r="AN102" s="18">
        <f>SQRT((AN105+AN106)/(AN99*AN99))</f>
        <v>0.50939438123577674</v>
      </c>
      <c r="AO102" s="18">
        <f>SQRT((AO105+AO106)/(AO99*AO99))</f>
        <v>0.9298679744581192</v>
      </c>
      <c r="AP102" s="18">
        <f>SQRT((AP105+AP106)/(AP99*AP99))</f>
        <v>2.8731306112532264</v>
      </c>
      <c r="AQ102" s="1"/>
    </row>
    <row r="103" spans="1:51" x14ac:dyDescent="0.3">
      <c r="A103" t="s">
        <v>4</v>
      </c>
      <c r="B103" s="13">
        <v>1</v>
      </c>
      <c r="C103" s="5">
        <v>0</v>
      </c>
      <c r="D103" s="27">
        <v>60</v>
      </c>
      <c r="E103" s="1">
        <v>3</v>
      </c>
      <c r="F103" s="1">
        <v>0</v>
      </c>
      <c r="G103" s="6">
        <v>1</v>
      </c>
      <c r="H103" s="1">
        <f>SUM(C103:G103)</f>
        <v>64</v>
      </c>
      <c r="I103" s="10">
        <f>D103/H103</f>
        <v>0.9375</v>
      </c>
      <c r="J103" s="11">
        <f>1-I103</f>
        <v>6.25E-2</v>
      </c>
      <c r="K103">
        <f>H103-D107</f>
        <v>3</v>
      </c>
      <c r="N103" s="10">
        <f>2*(D108*I103)/(D108+I103)</f>
        <v>0.96</v>
      </c>
      <c r="O103" s="1"/>
      <c r="P103" s="1"/>
      <c r="R103" s="16" t="s">
        <v>61</v>
      </c>
      <c r="S103" t="s">
        <v>9</v>
      </c>
      <c r="T103" s="30">
        <f>N258</f>
        <v>253.38</v>
      </c>
      <c r="U103" s="30">
        <f>N259</f>
        <v>1010.23</v>
      </c>
      <c r="V103" s="30">
        <f>N260</f>
        <v>59865.69</v>
      </c>
      <c r="W103" s="30">
        <f>N261</f>
        <v>28994.55</v>
      </c>
      <c r="X103" s="30">
        <f>N262</f>
        <v>6414.6</v>
      </c>
      <c r="Z103" t="s">
        <v>36</v>
      </c>
      <c r="AA103" s="1">
        <f>N263</f>
        <v>96538.450000000012</v>
      </c>
      <c r="AC103" t="s">
        <v>194</v>
      </c>
      <c r="AD103" s="51"/>
      <c r="AE103" s="51"/>
      <c r="AK103" s="1" t="s">
        <v>37</v>
      </c>
      <c r="AL103" s="18">
        <f>100-AL101</f>
        <v>0</v>
      </c>
      <c r="AM103" s="18">
        <f>100-AM101</f>
        <v>0.74011347306981179</v>
      </c>
      <c r="AN103" s="18">
        <f>100-AN101</f>
        <v>3.6549783682869901</v>
      </c>
      <c r="AO103" s="18">
        <f>100-AO101</f>
        <v>3.473841308457736</v>
      </c>
      <c r="AP103" s="18">
        <f>100-AP101</f>
        <v>10.690567210555358</v>
      </c>
    </row>
    <row r="104" spans="1:51" ht="15.6" x14ac:dyDescent="0.35">
      <c r="A104" t="s">
        <v>5</v>
      </c>
      <c r="B104" s="13">
        <v>2</v>
      </c>
      <c r="C104" s="5">
        <v>0</v>
      </c>
      <c r="D104" s="1">
        <v>0</v>
      </c>
      <c r="E104" s="27">
        <v>739</v>
      </c>
      <c r="F104" s="1">
        <v>7</v>
      </c>
      <c r="G104" s="6">
        <v>2</v>
      </c>
      <c r="H104" s="1">
        <f>SUM(C104:G104)</f>
        <v>748</v>
      </c>
      <c r="I104" s="10">
        <f>E104/H104</f>
        <v>0.98796791443850263</v>
      </c>
      <c r="J104" s="11">
        <f>1-I104</f>
        <v>1.2032085561497374E-2</v>
      </c>
      <c r="K104">
        <f>H104-E107</f>
        <v>-30</v>
      </c>
      <c r="N104" s="10">
        <f>2*(E108*I104)/(E108+I104)</f>
        <v>0.96854521625163825</v>
      </c>
      <c r="O104" s="1"/>
      <c r="P104" s="1"/>
      <c r="R104" s="16" t="s">
        <v>318</v>
      </c>
      <c r="S104" t="s">
        <v>63</v>
      </c>
      <c r="T104" s="57">
        <f>$AA103*T96/100</f>
        <v>253.38</v>
      </c>
      <c r="U104" s="57">
        <f>$AA103*U96/100</f>
        <v>947.09062500000005</v>
      </c>
      <c r="V104" s="57">
        <f>$AA103*V96/100</f>
        <v>61092.465272275898</v>
      </c>
      <c r="W104" s="57">
        <f>$AA103*W96/100</f>
        <v>27636.925073538445</v>
      </c>
      <c r="X104" s="57">
        <f>$AA103*X96/100</f>
        <v>6608.5890291856576</v>
      </c>
      <c r="Z104" t="s">
        <v>36</v>
      </c>
      <c r="AA104" s="25">
        <f>SUM(T104:X104)</f>
        <v>96538.450000000012</v>
      </c>
      <c r="AC104" t="s">
        <v>195</v>
      </c>
      <c r="AD104" s="51"/>
      <c r="AE104" s="51"/>
      <c r="AH104" s="78"/>
      <c r="AI104" s="78"/>
      <c r="AK104" s="1" t="s">
        <v>25</v>
      </c>
      <c r="AL104" s="1">
        <f>AL88</f>
        <v>450</v>
      </c>
      <c r="AM104" s="1">
        <f>AM88</f>
        <v>56</v>
      </c>
      <c r="AN104" s="1">
        <f>AN88</f>
        <v>797</v>
      </c>
      <c r="AO104" s="1">
        <f>AO88</f>
        <v>616</v>
      </c>
      <c r="AP104" s="1">
        <f>AP88</f>
        <v>974</v>
      </c>
    </row>
    <row r="105" spans="1:51" x14ac:dyDescent="0.3">
      <c r="A105" t="s">
        <v>6</v>
      </c>
      <c r="B105" s="13">
        <v>3</v>
      </c>
      <c r="C105" s="5">
        <v>0</v>
      </c>
      <c r="D105" s="1">
        <v>0</v>
      </c>
      <c r="E105" s="1">
        <v>28</v>
      </c>
      <c r="F105" s="27">
        <v>581</v>
      </c>
      <c r="G105" s="6">
        <v>9</v>
      </c>
      <c r="H105" s="1">
        <f>SUM(C105:G105)</f>
        <v>618</v>
      </c>
      <c r="I105" s="10">
        <f>F105/H105</f>
        <v>0.94012944983818769</v>
      </c>
      <c r="J105" s="11">
        <f>1-I105</f>
        <v>5.9870550161812308E-2</v>
      </c>
      <c r="K105">
        <f>H105-F107</f>
        <v>-7</v>
      </c>
      <c r="N105" s="10">
        <f>2*(F108*I105)/(F108+I105)</f>
        <v>0.93483507642799679</v>
      </c>
      <c r="O105" s="1"/>
      <c r="P105" s="1"/>
      <c r="R105" s="66"/>
      <c r="S105" s="66" t="s">
        <v>62</v>
      </c>
      <c r="T105" s="67">
        <f>$AA103*T97/100</f>
        <v>0</v>
      </c>
      <c r="U105" s="67">
        <f>$AA103*U97/100</f>
        <v>30.567218483118118</v>
      </c>
      <c r="V105" s="67">
        <f>$AA103*V97/100</f>
        <v>346.51985743737202</v>
      </c>
      <c r="W105" s="67">
        <f>$AA103*W97/100</f>
        <v>348.50526655588897</v>
      </c>
      <c r="X105" s="67">
        <f>$AA103*X97/100</f>
        <v>173.56698908722129</v>
      </c>
      <c r="AA105" s="1"/>
      <c r="AC105" t="s">
        <v>196</v>
      </c>
      <c r="AD105" s="51"/>
      <c r="AE105" s="51"/>
      <c r="AK105" s="1" t="s">
        <v>34</v>
      </c>
      <c r="AL105" s="18">
        <f>(AX94*AX94*(100-AL101)*(100-AL101)*(AR94)*(100-AR94))/(AU94-1)</f>
        <v>0</v>
      </c>
      <c r="AM105" s="18">
        <f>(AX95*AX95*(100-AM101)*(100-AM101)*(AR95)*(100-AR95))/((AU95-1)*100)</f>
        <v>0.10568486642127836</v>
      </c>
      <c r="AN105" s="18">
        <f>(AX96*AX96*(100-AN101)*(100-AN101)*(AR96)*(100-AR96))/((AU96-1)*100)</f>
        <v>116.94033789910915</v>
      </c>
      <c r="AO105" s="18">
        <f>(AX97*AX97*(100-AO101)*(100-AO101)*(AR97)*(100-AR97))/((AU97-1)*100)</f>
        <v>136.26049048407359</v>
      </c>
      <c r="AP105" s="18">
        <f>(AX98*AX98*(100-AP101)*(100-AP101)*(AR98)*(100-AR98))/((AU98-1)*100)</f>
        <v>23.306319663238106</v>
      </c>
    </row>
    <row r="106" spans="1:51" x14ac:dyDescent="0.3">
      <c r="A106" t="s">
        <v>7</v>
      </c>
      <c r="B106" s="13">
        <v>4</v>
      </c>
      <c r="C106" s="7">
        <v>0</v>
      </c>
      <c r="D106" s="8">
        <v>1</v>
      </c>
      <c r="E106" s="8">
        <v>8</v>
      </c>
      <c r="F106" s="8">
        <v>37</v>
      </c>
      <c r="G106" s="28">
        <v>967</v>
      </c>
      <c r="H106" s="1">
        <f>SUM(C106:G106)</f>
        <v>1013</v>
      </c>
      <c r="I106" s="10">
        <f>G106/H106</f>
        <v>0.95459032576505431</v>
      </c>
      <c r="J106" s="11">
        <f>1-I106</f>
        <v>4.5409674234945685E-2</v>
      </c>
      <c r="K106">
        <f>H106-G107</f>
        <v>34</v>
      </c>
      <c r="N106" s="10">
        <f>2*(G108*I106)/(G108+I106)</f>
        <v>0.97088353413654627</v>
      </c>
      <c r="O106" s="1"/>
      <c r="P106" s="1"/>
      <c r="R106" t="s">
        <v>97</v>
      </c>
      <c r="S106" t="s">
        <v>28</v>
      </c>
      <c r="T106" s="57">
        <f>C292</f>
        <v>0.26504468064741882</v>
      </c>
      <c r="U106" s="57">
        <f t="shared" ref="U106:X109" si="16">D292</f>
        <v>0.96820402577460341</v>
      </c>
      <c r="V106" s="57">
        <f t="shared" si="16"/>
        <v>62.844304889088434</v>
      </c>
      <c r="W106" s="57">
        <f t="shared" si="16"/>
        <v>29.263020671320863</v>
      </c>
      <c r="X106" s="57">
        <f t="shared" si="16"/>
        <v>6.6594257331686926</v>
      </c>
      <c r="Y106" s="60"/>
      <c r="Z106" s="74"/>
      <c r="AA106" s="12"/>
      <c r="AC106" t="s">
        <v>197</v>
      </c>
      <c r="AD106" s="51"/>
      <c r="AE106" s="51"/>
      <c r="AH106" s="78"/>
      <c r="AI106" s="78"/>
      <c r="AK106" s="1" t="s">
        <v>35</v>
      </c>
      <c r="AL106" s="18">
        <f>AL101*AL101*(SUM((AQ95*AL95*(1-AL84/AQ84))/(AQ84-1),(AQ96*AL96*(1-AL85/AQ85))/(AQ85-1), (AQ97*AL97*(1-AL86/AQ86))/(AQ86-1),(AQ98*AL98*(1-AL87/AQ87))/(AQ87-1)))</f>
        <v>0</v>
      </c>
      <c r="AM106" s="18">
        <f>AM101*AM101*(SUM((AQ94*AM94*(1-AM83/AQ83))/(AQ83-1),(AQ96*AM96*(1-AM85/AQ85))/(AQ85-1), (AQ97*AM97*(1-AM86/AQ86))/(AQ86-1),(AQ98*AM98*(1-AM87/AQ87))/(AQ87-1)))</f>
        <v>0.40688673572193063</v>
      </c>
      <c r="AN106" s="18">
        <f>AN101*AN101*(SUM((AQ94*AN94*(1-AN83/AQ83))/(AQ83-1),(AQ95*AN95*(1-AN84/AQ84))/(AQ84-1), (AQ97*AN97*(1-AN86/AQ86))/(AQ86-1),(AQ98*AN98*(1-AN87/AQ87))/(AQ87-1)))</f>
        <v>916.55626736040017</v>
      </c>
      <c r="AO106" s="18">
        <f>AO101*AO101*(SUM((AQ94*AO94*(1-AO83/AQ83))/(AQ83-1),(AQ95*AO95*(1-AO84/AQ84))/(AQ84-1), (AQ96*AO96*(1-AO85/AQ85))/(AQ85-1),(AQ98*AO98*(1-AO87/AQ87))/(AQ87-1)))</f>
        <v>582.52711244742795</v>
      </c>
      <c r="AP106" s="18">
        <f>AP101*AP101*(SUM((AQ94*AP94*(1-AP83/AQ83))/(AQ83-1),(AQ95*AP95*(1-AP84/AQ84))/(AQ84-1), (AQ96*AP96*(1-AP85/AQ85))/(AQ85-1),(AQ97*AP97*(1-AP86/AQ86))/(AQ86-1)))</f>
        <v>371.41341043166869</v>
      </c>
    </row>
    <row r="107" spans="1:51" ht="15.6" x14ac:dyDescent="0.35">
      <c r="B107" s="1" t="s">
        <v>19</v>
      </c>
      <c r="C107" s="1">
        <f>SUM(C102:C106)</f>
        <v>450</v>
      </c>
      <c r="D107" s="1">
        <f>SUM(D102:D106)</f>
        <v>61</v>
      </c>
      <c r="E107" s="1">
        <f>SUM(E102:E106)</f>
        <v>778</v>
      </c>
      <c r="F107" s="1">
        <f>SUM(F102:F106)</f>
        <v>625</v>
      </c>
      <c r="G107" s="1">
        <f>SUM(G102:G106)</f>
        <v>979</v>
      </c>
      <c r="H107" s="1">
        <f>SUM(H101:H106)</f>
        <v>2893</v>
      </c>
      <c r="I107" s="13" t="s">
        <v>12</v>
      </c>
      <c r="N107" s="16"/>
      <c r="O107" s="1"/>
      <c r="P107" s="1"/>
      <c r="S107" s="66" t="s">
        <v>39</v>
      </c>
      <c r="T107" s="67">
        <f>C293</f>
        <v>0</v>
      </c>
      <c r="U107" s="67">
        <f t="shared" si="16"/>
        <v>3.5231886114153531E-2</v>
      </c>
      <c r="V107" s="67">
        <f t="shared" si="16"/>
        <v>0.36436125876768932</v>
      </c>
      <c r="W107" s="67">
        <f t="shared" si="16"/>
        <v>0.37234948536648932</v>
      </c>
      <c r="X107" s="67">
        <f t="shared" si="16"/>
        <v>0.15148266204698596</v>
      </c>
      <c r="AC107" t="s">
        <v>198</v>
      </c>
      <c r="AD107" s="51"/>
      <c r="AE107" s="51"/>
    </row>
    <row r="108" spans="1:51" x14ac:dyDescent="0.3">
      <c r="A108" s="1" t="s">
        <v>316</v>
      </c>
      <c r="B108" s="1" t="s">
        <v>2</v>
      </c>
      <c r="C108" s="10">
        <f>C102/C107</f>
        <v>1</v>
      </c>
      <c r="D108" s="10">
        <f>D103/D107</f>
        <v>0.98360655737704916</v>
      </c>
      <c r="E108" s="10">
        <f>E104/E107</f>
        <v>0.94987146529562982</v>
      </c>
      <c r="F108" s="10">
        <f>F105/F107</f>
        <v>0.92959999999999998</v>
      </c>
      <c r="G108" s="10">
        <f>G106/G107</f>
        <v>0.98774259448416757</v>
      </c>
      <c r="H108" s="10"/>
      <c r="I108" s="14">
        <f>(C102+D103+E104+F105+G106)/H107</f>
        <v>0.96681645350846868</v>
      </c>
      <c r="S108" t="s">
        <v>30</v>
      </c>
      <c r="T108" s="57">
        <f>C294</f>
        <v>100</v>
      </c>
      <c r="U108" s="57">
        <f t="shared" si="16"/>
        <v>100</v>
      </c>
      <c r="V108" s="57">
        <f t="shared" si="16"/>
        <v>97.381674927561903</v>
      </c>
      <c r="W108" s="57">
        <f t="shared" si="16"/>
        <v>97.053021747187572</v>
      </c>
      <c r="X108" s="57">
        <f t="shared" si="16"/>
        <v>94.105837373202405</v>
      </c>
      <c r="AC108" t="s">
        <v>199</v>
      </c>
      <c r="AD108" s="51"/>
      <c r="AE108" s="51"/>
      <c r="AH108" s="78"/>
      <c r="AI108" s="78"/>
      <c r="AJ108" s="118" t="s">
        <v>352</v>
      </c>
      <c r="AK108" s="8">
        <v>20</v>
      </c>
      <c r="AL108" s="90">
        <v>0</v>
      </c>
      <c r="AM108" s="91">
        <v>1</v>
      </c>
      <c r="AN108" s="92">
        <v>2</v>
      </c>
      <c r="AO108" s="124">
        <v>3</v>
      </c>
      <c r="AP108" s="123">
        <v>4</v>
      </c>
    </row>
    <row r="109" spans="1:51" x14ac:dyDescent="0.3">
      <c r="B109" s="1" t="s">
        <v>14</v>
      </c>
      <c r="C109" s="11">
        <f>1-C108</f>
        <v>0</v>
      </c>
      <c r="D109" s="11">
        <f>1-D108</f>
        <v>1.6393442622950838E-2</v>
      </c>
      <c r="E109" s="11">
        <f>1-E108</f>
        <v>5.0128534704370176E-2</v>
      </c>
      <c r="F109" s="11">
        <f>1-F108</f>
        <v>7.0400000000000018E-2</v>
      </c>
      <c r="G109" s="11">
        <f>1-G108</f>
        <v>1.2257405515832431E-2</v>
      </c>
      <c r="S109" s="66" t="s">
        <v>39</v>
      </c>
      <c r="T109" s="67">
        <f>C295</f>
        <v>0</v>
      </c>
      <c r="U109" s="67">
        <f t="shared" si="16"/>
        <v>0</v>
      </c>
      <c r="V109" s="67">
        <f t="shared" si="16"/>
        <v>0.42809806576627818</v>
      </c>
      <c r="W109" s="67">
        <f t="shared" si="16"/>
        <v>0.83427724470503595</v>
      </c>
      <c r="X109" s="67">
        <f t="shared" si="16"/>
        <v>2.095532159418243</v>
      </c>
      <c r="AC109" t="s">
        <v>200</v>
      </c>
      <c r="AD109" s="51"/>
      <c r="AE109" s="51"/>
      <c r="AJ109" s="106" t="s">
        <v>674</v>
      </c>
      <c r="AK109" s="107" t="s">
        <v>28</v>
      </c>
      <c r="AL109" s="108">
        <f t="shared" ref="AL109:AP112" si="17">AL99</f>
        <v>0.27416016373163615</v>
      </c>
      <c r="AM109" s="108">
        <f t="shared" si="17"/>
        <v>0.86828976458257834</v>
      </c>
      <c r="AN109" s="108">
        <f>AN99</f>
        <v>63.110319228203082</v>
      </c>
      <c r="AO109" s="108">
        <f t="shared" si="17"/>
        <v>28.832280777977136</v>
      </c>
      <c r="AP109" s="108">
        <f t="shared" si="17"/>
        <v>6.914950065505586</v>
      </c>
      <c r="AQ109" s="107"/>
      <c r="AR109" s="228" t="s">
        <v>72</v>
      </c>
      <c r="AS109" s="229">
        <f>AR100</f>
        <v>0.95946070090354252</v>
      </c>
    </row>
    <row r="110" spans="1:51" x14ac:dyDescent="0.3">
      <c r="C110" s="2"/>
      <c r="S110" s="15" t="s">
        <v>31</v>
      </c>
      <c r="T110" s="71">
        <f>I287</f>
        <v>100</v>
      </c>
      <c r="U110" s="71">
        <f>I288</f>
        <v>92.1875</v>
      </c>
      <c r="V110" s="71">
        <f>I289</f>
        <v>98.796791443850267</v>
      </c>
      <c r="W110" s="71">
        <f>I290</f>
        <v>94.01294498381877</v>
      </c>
      <c r="X110" s="71">
        <f>I291</f>
        <v>95.952615992102665</v>
      </c>
      <c r="AC110" t="s">
        <v>201</v>
      </c>
      <c r="AD110" s="51"/>
      <c r="AE110" s="51"/>
      <c r="AH110" s="78"/>
      <c r="AI110" s="78"/>
      <c r="AJ110" s="107"/>
      <c r="AK110" s="109" t="s">
        <v>39</v>
      </c>
      <c r="AL110" s="110">
        <f t="shared" si="17"/>
        <v>0</v>
      </c>
      <c r="AM110" s="110">
        <f t="shared" si="17"/>
        <v>4.4050918585396032E-2</v>
      </c>
      <c r="AN110" s="110">
        <f t="shared" si="17"/>
        <v>0.4312520514055595</v>
      </c>
      <c r="AO110" s="110">
        <f t="shared" si="17"/>
        <v>0.4185329864983483</v>
      </c>
      <c r="AP110" s="110">
        <f t="shared" si="17"/>
        <v>0.22029861445350662</v>
      </c>
      <c r="AQ110" s="107"/>
      <c r="AR110" s="228" t="s">
        <v>29</v>
      </c>
      <c r="AS110" s="230">
        <f>AS100</f>
        <v>4.5212920925374487E-3</v>
      </c>
      <c r="AX110" s="103" t="s">
        <v>363</v>
      </c>
    </row>
    <row r="111" spans="1:51" ht="15.6" x14ac:dyDescent="0.35">
      <c r="A111" t="s">
        <v>317</v>
      </c>
      <c r="B111" s="15" t="s">
        <v>23</v>
      </c>
      <c r="N111" s="12" t="s">
        <v>17</v>
      </c>
      <c r="O111" s="1" t="s">
        <v>27</v>
      </c>
      <c r="P111" s="1" t="s">
        <v>33</v>
      </c>
      <c r="S111" s="75" t="s">
        <v>39</v>
      </c>
      <c r="T111" s="76">
        <f>J287</f>
        <v>0</v>
      </c>
      <c r="U111" s="76">
        <f>J288</f>
        <v>3.3811213593755247</v>
      </c>
      <c r="V111" s="76">
        <f>J289</f>
        <v>0.3989161097662422</v>
      </c>
      <c r="W111" s="76">
        <f>J290</f>
        <v>0.95511985030479796</v>
      </c>
      <c r="X111" s="76">
        <f>J291</f>
        <v>0.61947724637554369</v>
      </c>
      <c r="AC111" t="s">
        <v>155</v>
      </c>
      <c r="AD111" s="51"/>
      <c r="AE111" s="51"/>
      <c r="AJ111" s="107"/>
      <c r="AK111" s="107" t="s">
        <v>30</v>
      </c>
      <c r="AL111" s="108">
        <f t="shared" si="17"/>
        <v>100</v>
      </c>
      <c r="AM111" s="108">
        <f t="shared" si="17"/>
        <v>99.259886526930188</v>
      </c>
      <c r="AN111" s="108">
        <f t="shared" si="17"/>
        <v>96.34502163171301</v>
      </c>
      <c r="AO111" s="108">
        <f t="shared" si="17"/>
        <v>96.526158691542264</v>
      </c>
      <c r="AP111" s="108">
        <f t="shared" si="17"/>
        <v>89.309432789444642</v>
      </c>
      <c r="AQ111" s="107"/>
      <c r="AR111" s="107"/>
      <c r="AS111" s="107"/>
      <c r="AU111" s="103" t="s">
        <v>363</v>
      </c>
      <c r="AW111" s="101"/>
      <c r="AX111" s="1" t="s">
        <v>357</v>
      </c>
      <c r="AY111" s="96"/>
    </row>
    <row r="112" spans="1:51" ht="15.6" x14ac:dyDescent="0.35">
      <c r="B112" s="1" t="s">
        <v>0</v>
      </c>
      <c r="C112" s="13">
        <v>0</v>
      </c>
      <c r="D112" s="13">
        <v>1</v>
      </c>
      <c r="E112" s="13">
        <v>2</v>
      </c>
      <c r="F112" s="13">
        <v>3</v>
      </c>
      <c r="G112" s="13">
        <v>4</v>
      </c>
      <c r="H112" s="1" t="s">
        <v>28</v>
      </c>
      <c r="I112" s="1" t="s">
        <v>31</v>
      </c>
      <c r="J112" s="15" t="s">
        <v>39</v>
      </c>
      <c r="K112" s="1" t="s">
        <v>38</v>
      </c>
      <c r="L112" s="1" t="s">
        <v>26</v>
      </c>
      <c r="M112" t="s">
        <v>8</v>
      </c>
      <c r="N112" t="s">
        <v>9</v>
      </c>
      <c r="O112" s="1" t="s">
        <v>11</v>
      </c>
      <c r="S112" s="66" t="s">
        <v>51</v>
      </c>
      <c r="T112" s="67">
        <f>N276*100</f>
        <v>100</v>
      </c>
      <c r="U112" s="67">
        <f>N277*100</f>
        <v>95.934959349593498</v>
      </c>
      <c r="V112" s="67">
        <f>N278*100</f>
        <v>96.475195822454296</v>
      </c>
      <c r="W112" s="67">
        <f>N279*100</f>
        <v>93.8610662358643</v>
      </c>
      <c r="X112" s="67">
        <f>N280*100</f>
        <v>97.541394882087303</v>
      </c>
      <c r="AC112" t="s">
        <v>202</v>
      </c>
      <c r="AD112" s="51"/>
      <c r="AE112" s="51"/>
      <c r="AH112" s="78"/>
      <c r="AI112" s="78"/>
      <c r="AJ112" s="107"/>
      <c r="AK112" s="109" t="s">
        <v>39</v>
      </c>
      <c r="AL112" s="110">
        <f t="shared" si="17"/>
        <v>0</v>
      </c>
      <c r="AM112" s="110">
        <f t="shared" si="17"/>
        <v>0.82454163313495754</v>
      </c>
      <c r="AN112" s="110">
        <f t="shared" si="17"/>
        <v>0.50939438123577674</v>
      </c>
      <c r="AO112" s="110">
        <f t="shared" si="17"/>
        <v>0.9298679744581192</v>
      </c>
      <c r="AP112" s="110">
        <f t="shared" si="17"/>
        <v>2.8731306112532264</v>
      </c>
      <c r="AQ112" s="107"/>
      <c r="AR112" s="107"/>
      <c r="AS112" s="107"/>
      <c r="AU112" s="93"/>
      <c r="AV112" s="1" t="s">
        <v>357</v>
      </c>
      <c r="AW112" s="97"/>
      <c r="AX112" s="71" t="s">
        <v>358</v>
      </c>
      <c r="AY112" s="95"/>
    </row>
    <row r="113" spans="1:51" x14ac:dyDescent="0.3">
      <c r="A113" t="s">
        <v>3</v>
      </c>
      <c r="B113" s="13">
        <v>0</v>
      </c>
      <c r="C113" s="29">
        <f>(C102/$L113)*$O113</f>
        <v>0.28476736471323089</v>
      </c>
      <c r="D113" s="31">
        <f>(D102/$L113)*$O113</f>
        <v>0</v>
      </c>
      <c r="E113" s="31">
        <f>(E102/$L113)*$O113</f>
        <v>0</v>
      </c>
      <c r="F113" s="31">
        <f>(F102/$L113)*$O113</f>
        <v>0</v>
      </c>
      <c r="G113" s="32">
        <f>(G102/$L113)*$O113</f>
        <v>0</v>
      </c>
      <c r="H113" s="17">
        <f>SUM(C113:G113)</f>
        <v>0.28476736471323089</v>
      </c>
      <c r="I113" s="17">
        <f>C113/H113*100</f>
        <v>100</v>
      </c>
      <c r="J113" s="17">
        <f>SQRT(I113*(100-I113)/(L113-1))</f>
        <v>0</v>
      </c>
      <c r="K113" s="18">
        <f>100-I113</f>
        <v>0</v>
      </c>
      <c r="L113" s="1">
        <f>H102</f>
        <v>450</v>
      </c>
      <c r="M113">
        <v>0</v>
      </c>
      <c r="N113" s="1">
        <v>274.91000000000003</v>
      </c>
      <c r="O113" s="17">
        <f>N113/N118*100</f>
        <v>0.28476736471323089</v>
      </c>
      <c r="P113" s="52">
        <f>((O113*O113*(I113/100)*(K113/100))/(L113-1))</f>
        <v>0</v>
      </c>
      <c r="R113" s="16" t="s">
        <v>61</v>
      </c>
      <c r="S113" t="s">
        <v>9</v>
      </c>
      <c r="T113" s="30">
        <f>N287</f>
        <v>255.87</v>
      </c>
      <c r="U113" s="30">
        <f>N288</f>
        <v>1013.9</v>
      </c>
      <c r="V113" s="30">
        <f>N289</f>
        <v>59799.92</v>
      </c>
      <c r="W113" s="30">
        <f>N290</f>
        <v>29163.58</v>
      </c>
      <c r="X113" s="30">
        <f>N291</f>
        <v>6305.17</v>
      </c>
      <c r="Z113" t="s">
        <v>36</v>
      </c>
      <c r="AA113" s="1">
        <f>N292</f>
        <v>96538.439999999988</v>
      </c>
      <c r="AC113" t="s">
        <v>156</v>
      </c>
      <c r="AD113" s="51"/>
      <c r="AE113" s="51"/>
      <c r="AJ113" s="107"/>
      <c r="AK113" s="111" t="s">
        <v>31</v>
      </c>
      <c r="AL113" s="112">
        <f>AR94</f>
        <v>100</v>
      </c>
      <c r="AM113" s="112">
        <f>AR95</f>
        <v>85.9375</v>
      </c>
      <c r="AN113" s="112">
        <f>AR96</f>
        <v>98.262032085561501</v>
      </c>
      <c r="AO113" s="112">
        <f>AR97</f>
        <v>91.747572815533985</v>
      </c>
      <c r="AP113" s="112">
        <f>AR98</f>
        <v>94.866732477788744</v>
      </c>
      <c r="AQ113" s="107"/>
      <c r="AR113" s="107"/>
      <c r="AS113" s="107"/>
      <c r="AU113" s="94"/>
      <c r="AV113" s="71" t="s">
        <v>360</v>
      </c>
      <c r="AW113" s="98"/>
      <c r="AX113" s="71" t="s">
        <v>359</v>
      </c>
      <c r="AY113" s="93"/>
    </row>
    <row r="114" spans="1:51" ht="15.6" x14ac:dyDescent="0.35">
      <c r="A114" t="s">
        <v>4</v>
      </c>
      <c r="B114" s="13">
        <v>1</v>
      </c>
      <c r="C114" s="33">
        <f t="shared" ref="C114:G117" si="18">(C103/$L114)*$O114</f>
        <v>0</v>
      </c>
      <c r="D114" s="34">
        <f t="shared" si="18"/>
        <v>0.91952027922553148</v>
      </c>
      <c r="E114" s="19">
        <f t="shared" si="18"/>
        <v>4.5976013961276568E-2</v>
      </c>
      <c r="F114" s="18">
        <f t="shared" si="18"/>
        <v>0</v>
      </c>
      <c r="G114" s="20">
        <f t="shared" si="18"/>
        <v>1.5325337987092191E-2</v>
      </c>
      <c r="H114" s="17">
        <f>SUM(C114:G114)</f>
        <v>0.98082163117390031</v>
      </c>
      <c r="I114" s="17">
        <f>D114/H114*100</f>
        <v>93.749999999999986</v>
      </c>
      <c r="J114" s="17">
        <f>SQRT(I114*(100-I114)/(L114-1))</f>
        <v>3.0496877279641694</v>
      </c>
      <c r="K114" s="18">
        <f>100-I114</f>
        <v>6.2500000000000142</v>
      </c>
      <c r="L114" s="1">
        <f>H103</f>
        <v>64</v>
      </c>
      <c r="M114">
        <v>1</v>
      </c>
      <c r="N114" s="1">
        <v>946.87</v>
      </c>
      <c r="O114" s="17">
        <f>N114/N118*100</f>
        <v>0.9808216311739002</v>
      </c>
      <c r="P114" s="52">
        <f>((O114*O114*(I114/100)*(K114/100))/(L114-1))</f>
        <v>8.9472755968994825E-4</v>
      </c>
      <c r="R114" s="16" t="s">
        <v>318</v>
      </c>
      <c r="S114" t="s">
        <v>63</v>
      </c>
      <c r="T114" s="57">
        <f>$AA113*T106/100</f>
        <v>255.87</v>
      </c>
      <c r="U114" s="57">
        <f>$AA113*U106/100</f>
        <v>934.68906249999986</v>
      </c>
      <c r="V114" s="57">
        <f>$AA113*V106/100</f>
        <v>60668.911568769698</v>
      </c>
      <c r="W114" s="57">
        <f>$AA113*W106/100</f>
        <v>28250.063652970683</v>
      </c>
      <c r="X114" s="57">
        <f>$AA113*X106/100</f>
        <v>6428.905715759618</v>
      </c>
      <c r="Z114" t="s">
        <v>36</v>
      </c>
      <c r="AA114" s="25">
        <f>SUM(T114:X114)</f>
        <v>96538.44</v>
      </c>
      <c r="AC114" t="s">
        <v>203</v>
      </c>
      <c r="AD114" s="51"/>
      <c r="AE114" s="51"/>
      <c r="AH114" s="78"/>
      <c r="AI114" s="78"/>
      <c r="AJ114" s="107"/>
      <c r="AK114" s="113" t="s">
        <v>39</v>
      </c>
      <c r="AL114" s="114">
        <f>AS94</f>
        <v>0</v>
      </c>
      <c r="AM114" s="114">
        <f>AS95</f>
        <v>4.3797805514170944</v>
      </c>
      <c r="AN114" s="114">
        <f>AS96</f>
        <v>0.47813820512740118</v>
      </c>
      <c r="AO114" s="114">
        <f>AS97</f>
        <v>1.1077596969605779</v>
      </c>
      <c r="AP114" s="114">
        <f>AS98</f>
        <v>0.6936871730384524</v>
      </c>
      <c r="AQ114" s="107"/>
      <c r="AR114" s="107"/>
      <c r="AS114" s="107"/>
      <c r="AU114" s="95"/>
      <c r="AV114" s="1" t="s">
        <v>361</v>
      </c>
      <c r="AW114" s="99"/>
      <c r="AX114" s="1" t="s">
        <v>364</v>
      </c>
      <c r="AY114" s="99"/>
    </row>
    <row r="115" spans="1:51" x14ac:dyDescent="0.3">
      <c r="A115" t="s">
        <v>5</v>
      </c>
      <c r="B115" s="13">
        <v>2</v>
      </c>
      <c r="C115" s="33">
        <f t="shared" si="18"/>
        <v>0</v>
      </c>
      <c r="D115" s="19">
        <f t="shared" si="18"/>
        <v>0</v>
      </c>
      <c r="E115" s="34">
        <f t="shared" si="18"/>
        <v>61.011631277568895</v>
      </c>
      <c r="F115" s="19">
        <f t="shared" si="18"/>
        <v>0.57791802292690431</v>
      </c>
      <c r="G115" s="20">
        <f t="shared" si="18"/>
        <v>0.16511943512197266</v>
      </c>
      <c r="H115" s="17">
        <f>SUM(C115:G115)</f>
        <v>61.75466873561777</v>
      </c>
      <c r="I115" s="17">
        <f>E115/H115*100</f>
        <v>98.796791443850267</v>
      </c>
      <c r="J115" s="17">
        <f>SQRT(I115*(100-I115)/(L115-1))</f>
        <v>0.3989161097662422</v>
      </c>
      <c r="K115" s="18">
        <f>100-I115</f>
        <v>1.2032085561497325</v>
      </c>
      <c r="L115" s="1">
        <f>H104</f>
        <v>748</v>
      </c>
      <c r="M115">
        <v>2</v>
      </c>
      <c r="N115" s="1">
        <v>59617</v>
      </c>
      <c r="O115" s="17">
        <f>N115/N118*100</f>
        <v>61.754668735617777</v>
      </c>
      <c r="P115" s="52">
        <f>((O115*O115*(I115/100)*(K115/100))/(L115-1))</f>
        <v>6.0687988508567804E-2</v>
      </c>
      <c r="R115" s="66"/>
      <c r="S115" s="66" t="s">
        <v>62</v>
      </c>
      <c r="T115" s="67">
        <f>$AA113*T107/100</f>
        <v>0</v>
      </c>
      <c r="U115" s="67">
        <f>$AA113*U107/100</f>
        <v>34.012313237180436</v>
      </c>
      <c r="V115" s="67">
        <f>$AA113*V107/100</f>
        <v>351.74867517869046</v>
      </c>
      <c r="W115" s="67">
        <f>$AA113*W107/100</f>
        <v>359.46038452083701</v>
      </c>
      <c r="X115" s="67">
        <f>$AA113*X107/100</f>
        <v>146.2389988106323</v>
      </c>
      <c r="AA115" s="1"/>
      <c r="AC115" t="s">
        <v>204</v>
      </c>
      <c r="AD115" s="51"/>
      <c r="AE115" s="51"/>
      <c r="AJ115" s="107"/>
      <c r="AK115" s="109" t="s">
        <v>51</v>
      </c>
      <c r="AL115" s="110">
        <f>AW83*100</f>
        <v>100</v>
      </c>
      <c r="AM115" s="110">
        <f>AW84*100</f>
        <v>91.666666666666657</v>
      </c>
      <c r="AN115" s="110">
        <f>AW85*100</f>
        <v>95.145631067961162</v>
      </c>
      <c r="AO115" s="110">
        <f>AW86*100</f>
        <v>91.896272285251229</v>
      </c>
      <c r="AP115" s="110">
        <f>AW87*100</f>
        <v>96.728736789129329</v>
      </c>
      <c r="AQ115" s="107"/>
      <c r="AR115" s="107"/>
      <c r="AS115" s="107"/>
      <c r="AU115" s="96"/>
      <c r="AV115" s="1" t="s">
        <v>362</v>
      </c>
      <c r="AW115" s="100"/>
      <c r="AX115" s="71" t="s">
        <v>365</v>
      </c>
      <c r="AY115" s="102"/>
    </row>
    <row r="116" spans="1:51" x14ac:dyDescent="0.3">
      <c r="A116" t="s">
        <v>6</v>
      </c>
      <c r="B116" s="13">
        <v>3</v>
      </c>
      <c r="C116" s="33">
        <f t="shared" si="18"/>
        <v>0</v>
      </c>
      <c r="D116" s="19">
        <f t="shared" si="18"/>
        <v>0</v>
      </c>
      <c r="E116" s="19">
        <f t="shared" si="18"/>
        <v>1.3696339960095818</v>
      </c>
      <c r="F116" s="34">
        <f t="shared" si="18"/>
        <v>28.419905417198823</v>
      </c>
      <c r="G116" s="20">
        <f t="shared" si="18"/>
        <v>0.44023949871736562</v>
      </c>
      <c r="H116" s="17">
        <f>SUM(C116:G116)</f>
        <v>30.22977891192577</v>
      </c>
      <c r="I116" s="17">
        <f>F116/H116*100</f>
        <v>94.01294498381877</v>
      </c>
      <c r="J116" s="17">
        <f>SQRT(I116*(100-I116)/(L116-1))</f>
        <v>0.95511985030479796</v>
      </c>
      <c r="K116" s="18">
        <f>100-I116</f>
        <v>5.9870550161812304</v>
      </c>
      <c r="L116" s="1">
        <f>H105</f>
        <v>618</v>
      </c>
      <c r="M116">
        <v>3</v>
      </c>
      <c r="N116" s="1">
        <v>29183.360000000001</v>
      </c>
      <c r="O116" s="17">
        <f>N116/N118*100</f>
        <v>30.22977891192577</v>
      </c>
      <c r="P116" s="52">
        <f>((O116*O116*(I116/100)*(K116/100))/(L116-1))</f>
        <v>8.3365370400704922E-2</v>
      </c>
      <c r="R116" t="s">
        <v>98</v>
      </c>
      <c r="S116" t="s">
        <v>28</v>
      </c>
      <c r="T116" s="57">
        <f>C321</f>
        <v>0.277133072145547</v>
      </c>
      <c r="U116" s="57">
        <f t="shared" ref="U116:X119" si="19">D321</f>
        <v>0.99630875307818301</v>
      </c>
      <c r="V116" s="57">
        <f t="shared" si="19"/>
        <v>63.09327033989171</v>
      </c>
      <c r="W116" s="57">
        <f t="shared" si="19"/>
        <v>28.927901603169506</v>
      </c>
      <c r="X116" s="57">
        <f t="shared" si="19"/>
        <v>6.7053862317150568</v>
      </c>
      <c r="Z116" s="74"/>
      <c r="AA116" s="12"/>
      <c r="AD116" s="51"/>
      <c r="AE116" s="51"/>
      <c r="AH116" s="78"/>
      <c r="AI116" s="78"/>
      <c r="AJ116" s="115" t="s">
        <v>356</v>
      </c>
      <c r="AK116" s="107" t="s">
        <v>9</v>
      </c>
      <c r="AL116" s="116">
        <f>AW94</f>
        <v>264.67</v>
      </c>
      <c r="AM116" s="116">
        <f>AW95</f>
        <v>968.18</v>
      </c>
      <c r="AN116" s="116">
        <f>AW96</f>
        <v>59737.120000000003</v>
      </c>
      <c r="AO116" s="116">
        <f>AW97</f>
        <v>29283.96</v>
      </c>
      <c r="AP116" s="116">
        <f>AW98</f>
        <v>6284.53</v>
      </c>
      <c r="AQ116" s="107"/>
      <c r="AR116" s="115" t="s">
        <v>36</v>
      </c>
      <c r="AS116" s="136">
        <f>AW99</f>
        <v>96538.459999999992</v>
      </c>
      <c r="AW116" s="102"/>
      <c r="AX116" s="1" t="s">
        <v>362</v>
      </c>
      <c r="AY116" s="104"/>
    </row>
    <row r="117" spans="1:51" ht="15.6" x14ac:dyDescent="0.35">
      <c r="A117" t="s">
        <v>7</v>
      </c>
      <c r="B117" s="13">
        <v>4</v>
      </c>
      <c r="C117" s="35">
        <f t="shared" si="18"/>
        <v>0</v>
      </c>
      <c r="D117" s="36">
        <f t="shared" si="18"/>
        <v>6.6633399373833427E-3</v>
      </c>
      <c r="E117" s="21">
        <f t="shared" si="18"/>
        <v>5.3306719499066742E-2</v>
      </c>
      <c r="F117" s="21">
        <f t="shared" si="18"/>
        <v>0.24654357768318366</v>
      </c>
      <c r="G117" s="37">
        <f t="shared" si="18"/>
        <v>6.4434497194496929</v>
      </c>
      <c r="H117" s="17">
        <f>SUM(C117:G117)</f>
        <v>6.7499633565693262</v>
      </c>
      <c r="I117" s="17">
        <f>G117/H117*100</f>
        <v>95.459032576505436</v>
      </c>
      <c r="J117" s="17">
        <f>SQRT(I117*(100-I117)/(L117-1))</f>
        <v>0.65447407996955353</v>
      </c>
      <c r="K117" s="18">
        <f>100-I117</f>
        <v>4.5409674234945641</v>
      </c>
      <c r="L117" s="1">
        <f>H106</f>
        <v>1013</v>
      </c>
      <c r="M117">
        <v>4</v>
      </c>
      <c r="N117" s="1">
        <v>6516.31</v>
      </c>
      <c r="O117" s="17">
        <f>N117/N118*100</f>
        <v>6.7499633565693262</v>
      </c>
      <c r="P117" s="52">
        <f>((O117*O117*(I117/100)*(K117/100))/(L117-1))</f>
        <v>1.9515861750059353E-3</v>
      </c>
      <c r="S117" s="66" t="s">
        <v>39</v>
      </c>
      <c r="T117" s="67">
        <f>C322</f>
        <v>0</v>
      </c>
      <c r="U117" s="67">
        <f t="shared" si="19"/>
        <v>2.8171172823025479E-2</v>
      </c>
      <c r="V117" s="67">
        <f t="shared" si="19"/>
        <v>0.33497689463345898</v>
      </c>
      <c r="W117" s="67">
        <f t="shared" si="19"/>
        <v>0.35703168961142073</v>
      </c>
      <c r="X117" s="67">
        <f t="shared" si="19"/>
        <v>0.18086593930703124</v>
      </c>
      <c r="AD117" s="51"/>
      <c r="AE117" s="51"/>
      <c r="AJ117" s="115" t="s">
        <v>355</v>
      </c>
      <c r="AK117" s="107" t="s">
        <v>63</v>
      </c>
      <c r="AL117" s="108">
        <f>$AS116*AL109/100</f>
        <v>264.67</v>
      </c>
      <c r="AM117" s="108">
        <f>$AS116*AM109/100</f>
        <v>838.23356706564653</v>
      </c>
      <c r="AN117" s="108">
        <f>$AS116*AN109/100</f>
        <v>60925.730283991135</v>
      </c>
      <c r="AO117" s="108">
        <f>$AS116*AO109/100</f>
        <v>27834.239845935143</v>
      </c>
      <c r="AP117" s="108">
        <f>$AS116*AP109/100</f>
        <v>6675.5863030080836</v>
      </c>
      <c r="AQ117" s="107"/>
      <c r="AR117" s="115" t="s">
        <v>36</v>
      </c>
      <c r="AS117" s="136">
        <f>SUM(AL117:AP117)</f>
        <v>96538.46</v>
      </c>
    </row>
    <row r="118" spans="1:51" x14ac:dyDescent="0.3">
      <c r="B118" t="s">
        <v>28</v>
      </c>
      <c r="C118" s="17">
        <f t="shared" ref="C118:H118" si="20">SUM(C113:C117)</f>
        <v>0.28476736471323089</v>
      </c>
      <c r="D118" s="17">
        <f t="shared" si="20"/>
        <v>0.92618361916291481</v>
      </c>
      <c r="E118" s="17">
        <f t="shared" si="20"/>
        <v>62.480548007038827</v>
      </c>
      <c r="F118" s="17">
        <f t="shared" si="20"/>
        <v>29.244367017808912</v>
      </c>
      <c r="G118" s="17">
        <f t="shared" si="20"/>
        <v>7.0641339912761234</v>
      </c>
      <c r="H118" s="18">
        <f t="shared" si="20"/>
        <v>99.999999999999986</v>
      </c>
      <c r="I118" s="13" t="s">
        <v>24</v>
      </c>
      <c r="J118" s="12" t="s">
        <v>29</v>
      </c>
      <c r="N118" s="1">
        <f>SUM(N113:N117)</f>
        <v>96538.45</v>
      </c>
      <c r="O118" s="17">
        <f>SUM(O113:O117)</f>
        <v>100</v>
      </c>
      <c r="S118" t="s">
        <v>30</v>
      </c>
      <c r="T118" s="57">
        <f>C323</f>
        <v>100</v>
      </c>
      <c r="U118" s="57">
        <f t="shared" si="19"/>
        <v>99.360454543596973</v>
      </c>
      <c r="V118" s="57">
        <f t="shared" si="19"/>
        <v>97.46360958719157</v>
      </c>
      <c r="W118" s="57">
        <f t="shared" si="19"/>
        <v>97.598393187456139</v>
      </c>
      <c r="X118" s="57">
        <f t="shared" si="19"/>
        <v>91.224774475224564</v>
      </c>
      <c r="AD118" s="51"/>
      <c r="AE118" s="51"/>
      <c r="AH118" s="78"/>
      <c r="AI118" s="78"/>
      <c r="AJ118" s="109"/>
      <c r="AK118" s="109" t="s">
        <v>354</v>
      </c>
      <c r="AL118" s="110">
        <f>$AS116*AL110/100</f>
        <v>0</v>
      </c>
      <c r="AM118" s="110">
        <f>$AS116*AM110/100</f>
        <v>42.526078418195112</v>
      </c>
      <c r="AN118" s="110">
        <f>$AS116*AN110/100</f>
        <v>416.32408914533545</v>
      </c>
      <c r="AO118" s="110">
        <f>$AS116*AO110/100</f>
        <v>404.04529975751336</v>
      </c>
      <c r="AP118" s="110">
        <f>$AS116*AP110/100</f>
        <v>212.67288979475271</v>
      </c>
      <c r="AQ118" s="107"/>
      <c r="AR118" s="107"/>
      <c r="AS118" s="107"/>
    </row>
    <row r="119" spans="1:51" x14ac:dyDescent="0.3">
      <c r="B119" s="16" t="s">
        <v>39</v>
      </c>
      <c r="C119" s="18">
        <f>SQRT(SUM((O113*O113*(C113/O113)*(1-C113/O113))/L113,(O114*O114*(C114/O114)*(1-C114/O114))/L114,(O115*O115*(C115/O115)*(1-C115/O115))/L115,(O116*O116*(C116/O116)*(1-C116/O116))/L116,(O117*O117*(C117/O117)*(1-C117/O117))/L117))</f>
        <v>0</v>
      </c>
      <c r="D119" s="18">
        <f>SQRT(SUM((O113*O113*(D113/O113)*(1-D113/O113))/L113,(O114*O114*(D114/O114)*(1-D114/O114))/L114,(O115*O115*(D115/O115)*(1-D115/O115))/L115,(O116*O116*(D116/O116)*(1-D116/O116))/L116,(O117*O117*(D117/O117)*(1-D117/O117))/L117))</f>
        <v>3.0415517591942519E-2</v>
      </c>
      <c r="E119" s="18">
        <f>SQRT(SUM((O113*O113*(E113/O113)*(1-E113/O113))/L113,(O114*O114*(E114/O114)*(1-E114/O114))/L114,(O115*O115*(E115/O115)*(1-E115/O115))/L115,(O116*O116*(E116/O116)*(1-E116/O116))/L116,(O117*O117*(E117/O117)*(1-E117/O117))/L117))</f>
        <v>0.35438922028122749</v>
      </c>
      <c r="F119" s="18">
        <f>SQRT(SUM((O113*O113*(F113/O113)*(1-F113/O113))/L113,(O114*O114*(F114/O114)*(1-F114/O114))/L114,(O115*O115*(F115/O115)*(1-F115/O115))/L115,(O116*O116*(F116/O116)*(1-F116/O116))/L116,(O117*O117*(F117/O117)*(1-F117/O117))/L117))</f>
        <v>0.3634274535922386</v>
      </c>
      <c r="G119" s="18">
        <f>SQRT(SUM((O113*O113*(G113/O113)*(1-G113/O113))/L113,(O114*O114*(G114/O114)*(1-G114/O114))/L114,(O115*O115*(G115/O115)*(1-G115/O115))/L115,(O116*O116*(G116/O116)*(1-G116/O116))/L116,(O117*O117*(G117/O117)*(1-G117/O117))/L117))</f>
        <v>0.1923474600733916</v>
      </c>
      <c r="H119" s="1"/>
      <c r="I119" s="56">
        <f>(C113+D114+E115+F116+G117)/H118</f>
        <v>0.97079274058156184</v>
      </c>
      <c r="J119" s="53">
        <f>SQRT(SUM(P113:P117))/100</f>
        <v>3.8327493088378293E-3</v>
      </c>
      <c r="M119" s="1"/>
      <c r="N119" s="9"/>
      <c r="S119" s="66" t="s">
        <v>39</v>
      </c>
      <c r="T119" s="67">
        <f>C324</f>
        <v>0</v>
      </c>
      <c r="U119" s="67">
        <f t="shared" si="19"/>
        <v>0.65979232889122941</v>
      </c>
      <c r="V119" s="67">
        <f t="shared" si="19"/>
        <v>0.42085905855545591</v>
      </c>
      <c r="W119" s="67">
        <f t="shared" si="19"/>
        <v>0.68669396176315245</v>
      </c>
      <c r="X119" s="67">
        <f t="shared" si="19"/>
        <v>2.4569024599313769</v>
      </c>
      <c r="AD119" s="51"/>
      <c r="AE119" s="51"/>
      <c r="AJ119" s="115" t="s">
        <v>376</v>
      </c>
      <c r="AK119" s="122" t="s">
        <v>9</v>
      </c>
      <c r="AL119" s="135">
        <f>AVERAGE(AR195:AR214)</f>
        <v>263.69349999999997</v>
      </c>
      <c r="AM119" s="135">
        <f>AVERAGE(AS195:AS214)</f>
        <v>980.35450000000003</v>
      </c>
      <c r="AN119" s="135">
        <f>AVERAGE(AT195:AT214)</f>
        <v>59579.991000000002</v>
      </c>
      <c r="AO119" s="135">
        <f>AVERAGE(AU195:AU214)</f>
        <v>29367.702000000001</v>
      </c>
      <c r="AP119" s="135">
        <f>AVERAGE(AV195:AV214)</f>
        <v>6346.7100000000009</v>
      </c>
      <c r="AQ119" s="107"/>
      <c r="AR119" s="115" t="s">
        <v>36</v>
      </c>
      <c r="AS119" s="136">
        <f>SUM(AL119:AP119)</f>
        <v>96538.451000000015</v>
      </c>
    </row>
    <row r="120" spans="1:51" x14ac:dyDescent="0.3">
      <c r="B120" s="1" t="s">
        <v>30</v>
      </c>
      <c r="C120" s="17">
        <f>C113/C118*100</f>
        <v>100</v>
      </c>
      <c r="D120" s="17">
        <f>D114/D118*100</f>
        <v>99.280559513306272</v>
      </c>
      <c r="E120" s="17">
        <f>E115/E118*100</f>
        <v>97.649001527156173</v>
      </c>
      <c r="F120" s="17">
        <f>F116/F118*100</f>
        <v>97.180784935067948</v>
      </c>
      <c r="G120" s="17">
        <f>G117/G118*100</f>
        <v>91.213582972903026</v>
      </c>
      <c r="H120" s="1"/>
      <c r="S120" s="15" t="s">
        <v>31</v>
      </c>
      <c r="T120" s="71">
        <f>I316</f>
        <v>100</v>
      </c>
      <c r="U120" s="71">
        <f>I317</f>
        <v>95.312500000000028</v>
      </c>
      <c r="V120" s="71">
        <f>I318</f>
        <v>99.197860962566835</v>
      </c>
      <c r="W120" s="71">
        <f>I319</f>
        <v>93.36569579288026</v>
      </c>
      <c r="X120" s="71">
        <f>I320</f>
        <v>94.768015794669296</v>
      </c>
      <c r="AD120" s="51"/>
      <c r="AE120" s="51"/>
      <c r="AH120" s="78"/>
      <c r="AI120" s="78"/>
      <c r="AJ120" s="140"/>
      <c r="AK120" s="128" t="s">
        <v>368</v>
      </c>
      <c r="AL120" s="125">
        <f>_xlfn.STDEV.S(AR195:AR214)/SQRT($AK$108)</f>
        <v>1.5859895259161678</v>
      </c>
      <c r="AM120" s="125">
        <f>_xlfn.STDEV.S(AS195:AS214)/SQRT($AK$108)</f>
        <v>9.6828452069952817</v>
      </c>
      <c r="AN120" s="125">
        <f>_xlfn.STDEV.S(AT195:AT214)/SQRT($AK$108)</f>
        <v>54.333245705504673</v>
      </c>
      <c r="AO120" s="125">
        <f>_xlfn.STDEV.S(AU195:AU214)/SQRT($AK$108)</f>
        <v>54.408238833354659</v>
      </c>
      <c r="AP120" s="125">
        <f>_xlfn.STDEV.S(AV195:AV214)/SQRT($AK$108)</f>
        <v>30.357667825270667</v>
      </c>
      <c r="AQ120" s="107"/>
      <c r="AR120" s="107"/>
      <c r="AS120" s="107"/>
    </row>
    <row r="121" spans="1:51" x14ac:dyDescent="0.3">
      <c r="B121" s="16" t="s">
        <v>39</v>
      </c>
      <c r="C121" s="18">
        <f>SQRT((C124+C125)/(C118*C118))</f>
        <v>0</v>
      </c>
      <c r="D121" s="18">
        <f>SQRT((D124+D125)/(D118*D118))</f>
        <v>0.7511061729098355</v>
      </c>
      <c r="E121" s="18">
        <f>SQRT((E124+E125)/(E118*E118))</f>
        <v>0.40939253943336795</v>
      </c>
      <c r="F121" s="18">
        <f>SQRT((F124+F125)/(F118*F118))</f>
        <v>0.78588607291039736</v>
      </c>
      <c r="G121" s="18">
        <f>SQRT((G124+G125)/(G118*G118))</f>
        <v>2.4808600400584964</v>
      </c>
      <c r="H121" s="1"/>
      <c r="S121" s="75" t="s">
        <v>39</v>
      </c>
      <c r="T121" s="76">
        <f>J316</f>
        <v>0</v>
      </c>
      <c r="U121" s="76">
        <f>J317</f>
        <v>2.6630253226448257</v>
      </c>
      <c r="V121" s="76">
        <f>J318</f>
        <v>0.32637409385624488</v>
      </c>
      <c r="W121" s="76">
        <f>J319</f>
        <v>1.001956294235498</v>
      </c>
      <c r="X121" s="76">
        <f>J320</f>
        <v>0.69996101091886664</v>
      </c>
      <c r="AD121" s="51"/>
      <c r="AE121" s="51"/>
      <c r="AJ121" s="119" t="s">
        <v>711</v>
      </c>
      <c r="AK121" s="107"/>
      <c r="AL121" s="116"/>
      <c r="AM121" s="116"/>
      <c r="AN121" s="116"/>
      <c r="AO121" s="116"/>
      <c r="AP121" s="116"/>
      <c r="AQ121" s="107"/>
      <c r="AR121" s="107"/>
      <c r="AS121" s="107"/>
      <c r="AU121">
        <v>0</v>
      </c>
      <c r="AV121">
        <v>39</v>
      </c>
    </row>
    <row r="122" spans="1:51" x14ac:dyDescent="0.3">
      <c r="B122" s="1" t="s">
        <v>37</v>
      </c>
      <c r="C122" s="18">
        <f>100-C120</f>
        <v>0</v>
      </c>
      <c r="D122" s="18">
        <f>100-D120</f>
        <v>0.71944048669372762</v>
      </c>
      <c r="E122" s="18">
        <f>100-E120</f>
        <v>2.3509984728438269</v>
      </c>
      <c r="F122" s="18">
        <f>100-F120</f>
        <v>2.8192150649320524</v>
      </c>
      <c r="G122" s="18">
        <f>100-G120</f>
        <v>8.7864170270969737</v>
      </c>
      <c r="S122" s="66" t="s">
        <v>51</v>
      </c>
      <c r="T122" s="67">
        <f>N305*100</f>
        <v>100</v>
      </c>
      <c r="U122" s="67">
        <f>N306*100</f>
        <v>96.825396825396822</v>
      </c>
      <c r="V122" s="67">
        <f>N307*100</f>
        <v>96.930111038536907</v>
      </c>
      <c r="W122" s="67">
        <f>N308*100</f>
        <v>92.765273311897104</v>
      </c>
      <c r="X122" s="67">
        <f>N309*100</f>
        <v>96.725440806045341</v>
      </c>
      <c r="AD122" s="51"/>
      <c r="AE122" s="51"/>
      <c r="AH122" s="78"/>
      <c r="AI122" s="78"/>
      <c r="AJ122" s="115" t="s">
        <v>375</v>
      </c>
      <c r="AK122" s="122" t="s">
        <v>9</v>
      </c>
      <c r="AL122" s="135">
        <v>6.85</v>
      </c>
      <c r="AM122" s="135">
        <v>216.42</v>
      </c>
      <c r="AN122" s="135">
        <v>5188.83</v>
      </c>
      <c r="AO122" s="135">
        <v>582.41999999999996</v>
      </c>
      <c r="AP122" s="135">
        <v>229.73</v>
      </c>
      <c r="AQ122" s="107"/>
      <c r="AR122" s="115" t="s">
        <v>36</v>
      </c>
      <c r="AS122" s="136">
        <f>SUM(AL122:AP122)</f>
        <v>6224.25</v>
      </c>
      <c r="AU122">
        <v>1</v>
      </c>
      <c r="AV122">
        <v>68</v>
      </c>
    </row>
    <row r="123" spans="1:51" ht="15.6" x14ac:dyDescent="0.35">
      <c r="B123" s="1" t="s">
        <v>25</v>
      </c>
      <c r="C123" s="1">
        <f>C107</f>
        <v>450</v>
      </c>
      <c r="D123" s="1">
        <f>D107</f>
        <v>61</v>
      </c>
      <c r="E123" s="1">
        <f>E107</f>
        <v>778</v>
      </c>
      <c r="F123" s="1">
        <f>F107</f>
        <v>625</v>
      </c>
      <c r="G123" s="1">
        <f>G107</f>
        <v>979</v>
      </c>
      <c r="R123" s="16" t="s">
        <v>61</v>
      </c>
      <c r="S123" t="s">
        <v>9</v>
      </c>
      <c r="T123" s="30">
        <f>N316</f>
        <v>267.54000000000002</v>
      </c>
      <c r="U123" s="30">
        <f>N317</f>
        <v>1002.67</v>
      </c>
      <c r="V123" s="30">
        <f>N318</f>
        <v>59844.41</v>
      </c>
      <c r="W123" s="30">
        <f>N319</f>
        <v>29192.59</v>
      </c>
      <c r="X123" s="30">
        <f>N320</f>
        <v>6231.25</v>
      </c>
      <c r="Z123" t="s">
        <v>36</v>
      </c>
      <c r="AA123" s="1">
        <f>N321</f>
        <v>96538.46</v>
      </c>
      <c r="AD123" s="51"/>
      <c r="AE123" s="51"/>
      <c r="AJ123" s="107"/>
      <c r="AK123" s="107" t="s">
        <v>367</v>
      </c>
      <c r="AL123" s="108">
        <f>(AL122/$AS122)*100</f>
        <v>0.11005342009077398</v>
      </c>
      <c r="AM123" s="108">
        <f>(AM122/$AS122)*100</f>
        <v>3.4770454271598985</v>
      </c>
      <c r="AN123" s="108">
        <f>(AN122/$AS122)*100</f>
        <v>83.36474274008917</v>
      </c>
      <c r="AO123" s="108">
        <f>(AO122/$AS122)*100</f>
        <v>9.3572719604771653</v>
      </c>
      <c r="AP123" s="108">
        <f>(AP122/$AS122)*100</f>
        <v>3.690886452182994</v>
      </c>
      <c r="AQ123" s="107"/>
      <c r="AR123" s="107"/>
      <c r="AS123" s="107"/>
      <c r="AU123">
        <v>2</v>
      </c>
      <c r="AV123">
        <v>97</v>
      </c>
    </row>
    <row r="124" spans="1:51" ht="15.6" x14ac:dyDescent="0.35">
      <c r="B124" s="1" t="s">
        <v>34</v>
      </c>
      <c r="C124" s="18">
        <f>(O113*O113*(100-C120)*(100-C120)*(I113)*(100-I113))/(L113-1)</f>
        <v>0</v>
      </c>
      <c r="D124" s="18">
        <f>(O114*O114*(100-D120)*(100-D120)*(I114)*(100-I114))/((L114-1)*100)</f>
        <v>4.6310616579813599E-2</v>
      </c>
      <c r="E124" s="18">
        <f>(O115*O115*(100-E120)*(100-E120)*(I115)*(100-I115))/((L115-1)*100)</f>
        <v>33.543427499115545</v>
      </c>
      <c r="F124" s="18">
        <f>(O116*O116*(100-F120)*(100-F120)*(I116)*(100-I116))/((L116-1)*100)</f>
        <v>66.258576162677826</v>
      </c>
      <c r="G124" s="18">
        <f>(O117*O117*(100-G120)*(100-G120)*(I117)*(100-I117))/((L117-1)*100)</f>
        <v>15.066464663301126</v>
      </c>
      <c r="R124" s="16" t="s">
        <v>318</v>
      </c>
      <c r="S124" t="s">
        <v>63</v>
      </c>
      <c r="T124" s="57">
        <f>$AA123*T116/100</f>
        <v>267.54000000000002</v>
      </c>
      <c r="U124" s="57">
        <f>$AA123*U116/100</f>
        <v>961.82112706688054</v>
      </c>
      <c r="V124" s="57">
        <f>$AA123*V116/100</f>
        <v>60909.271549768222</v>
      </c>
      <c r="W124" s="57">
        <f>$AA123*W116/100</f>
        <v>27926.550718015154</v>
      </c>
      <c r="X124" s="57">
        <f>$AA123*X116/100</f>
        <v>6473.2766051497474</v>
      </c>
      <c r="Z124" t="s">
        <v>36</v>
      </c>
      <c r="AA124" s="25">
        <f>SUM(T124:X124)</f>
        <v>96538.46</v>
      </c>
      <c r="AD124" s="51"/>
      <c r="AE124" s="51"/>
      <c r="AH124" s="78"/>
      <c r="AI124" s="78"/>
      <c r="AJ124" s="115" t="s">
        <v>376</v>
      </c>
      <c r="AK124" s="122" t="s">
        <v>9</v>
      </c>
      <c r="AL124" s="135">
        <f>AVERAGE(AR216:AR235)</f>
        <v>6.3804999999999996</v>
      </c>
      <c r="AM124" s="135">
        <f>AVERAGE(AS216:AS235)</f>
        <v>216.95949999999999</v>
      </c>
      <c r="AN124" s="135">
        <f>AVERAGE(AT216:AT235)</f>
        <v>5179.933500000001</v>
      </c>
      <c r="AO124" s="135">
        <f>AVERAGE(AU216:AU235)</f>
        <v>589.63849999999991</v>
      </c>
      <c r="AP124" s="135">
        <f>AVERAGE(AV216:AV235)</f>
        <v>231.33799999999991</v>
      </c>
      <c r="AQ124" s="107"/>
      <c r="AR124" s="115" t="s">
        <v>36</v>
      </c>
      <c r="AS124" s="136">
        <f>SUM(AL124:AP124)</f>
        <v>6224.2500000000009</v>
      </c>
      <c r="AU124">
        <v>3</v>
      </c>
      <c r="AV124">
        <v>126</v>
      </c>
    </row>
    <row r="125" spans="1:51" x14ac:dyDescent="0.3">
      <c r="B125" s="1" t="s">
        <v>35</v>
      </c>
      <c r="C125" s="18">
        <f>C120*C120*(SUM((H114*C114*(1-C103/H103))/(H103-1),(H115*C115*(1-C104/H104))/(H104-1), (H116*C116*(1-C105/H105))/(H105-1),(H117*C117*(1-C106/H106))/(H106-1)))</f>
        <v>0</v>
      </c>
      <c r="D125" s="18">
        <f>D120*D120*(SUM((H113*D113*(1-D102/H102))/(H102-1),(H115*D115*(1-D104/H104))/(H104-1), (H116*D116*(1-D105/H105))/(H105-1),(H117*D117*(1-D106/H106))/(H106-1)))</f>
        <v>0.4376353266792492</v>
      </c>
      <c r="E125" s="18">
        <f>E120*E120*(SUM((H113*E113*(1-E102/H102))/(H102-1),(H114*E114*(1-E103/H103))/(H103-1), (H116*E116*(1-E105/H105))/(H105-1),(H117*E117*(1-E106/H106))/(H106-1)))</f>
        <v>620.74540550288737</v>
      </c>
      <c r="F125" s="18">
        <f>F120*F120*(SUM((H113*F113*(1-F102/H102))/(H102-1),(H114*F114*(1-F103/H103))/(H103-1), (H115*F115*(1-F104/H104))/(H104-1),(H117*F117*(1-F106/H106))/(H106-1)))</f>
        <v>461.94779623632468</v>
      </c>
      <c r="G125" s="18">
        <f>G120*G120*(SUM((H113*G113*(1-G102/H102))/(H102-1),(H114*G114*(1-G103/H103))/(H103-1), (H115*G115*(1-G104/H104))/(H104-1),(H116*G116*(1-G105/H105))/(H105-1)))</f>
        <v>292.06363751999965</v>
      </c>
      <c r="R125" s="66"/>
      <c r="S125" s="66" t="s">
        <v>62</v>
      </c>
      <c r="T125" s="67">
        <f>$AA123*T117/100</f>
        <v>0</v>
      </c>
      <c r="U125" s="67">
        <f>$AA123*U117/100</f>
        <v>27.196016407287324</v>
      </c>
      <c r="V125" s="67">
        <f>$AA123*V117/100</f>
        <v>323.38153543496395</v>
      </c>
      <c r="W125" s="67">
        <f>$AA123*W117/100</f>
        <v>344.67289486284557</v>
      </c>
      <c r="X125" s="67">
        <f>$AA123*X117/100</f>
        <v>174.60519247154264</v>
      </c>
      <c r="AA125" s="1"/>
      <c r="AD125" s="51"/>
      <c r="AE125" s="51"/>
      <c r="AJ125" s="107"/>
      <c r="AK125" s="128" t="s">
        <v>368</v>
      </c>
      <c r="AL125" s="125">
        <f>_xlfn.STDEV.S(AR216:AR235)/SQRT($AK$108)</f>
        <v>0.56748683035959469</v>
      </c>
      <c r="AM125" s="125">
        <f>_xlfn.STDEV.S(AS216:AS235)/SQRT($AK$108)</f>
        <v>2.2273904338343655</v>
      </c>
      <c r="AN125" s="125">
        <f>_xlfn.STDEV.S(AT216:AT235)/SQRT($AK$108)</f>
        <v>2.6273195541223671</v>
      </c>
      <c r="AO125" s="125">
        <f>_xlfn.STDEV.S(AU216:AU235)/SQRT($AK$108)</f>
        <v>2.1805524740545144</v>
      </c>
      <c r="AP125" s="125">
        <f>_xlfn.STDEV.S(AV216:AV235)/SQRT($AK$108)</f>
        <v>1.7446603650778809</v>
      </c>
      <c r="AQ125" s="107"/>
      <c r="AR125" s="107"/>
      <c r="AS125" s="141"/>
      <c r="AU125">
        <v>4</v>
      </c>
      <c r="AV125">
        <v>155</v>
      </c>
    </row>
    <row r="126" spans="1:51" x14ac:dyDescent="0.3">
      <c r="R126" t="s">
        <v>99</v>
      </c>
      <c r="S126" t="s">
        <v>28</v>
      </c>
      <c r="T126" s="57">
        <f>C350</f>
        <v>0.28414582126128796</v>
      </c>
      <c r="U126" s="57">
        <f t="shared" ref="U126:X129" si="21">D350</f>
        <v>0.92879336639511345</v>
      </c>
      <c r="V126" s="57">
        <f t="shared" si="21"/>
        <v>63.052934857653156</v>
      </c>
      <c r="W126" s="57">
        <f t="shared" si="21"/>
        <v>28.857992940998578</v>
      </c>
      <c r="X126" s="57">
        <f t="shared" si="21"/>
        <v>6.8761330136918506</v>
      </c>
      <c r="Y126" s="13"/>
      <c r="Z126" s="74"/>
      <c r="AA126" s="12"/>
      <c r="AD126" s="51"/>
      <c r="AE126" s="51"/>
      <c r="AH126" s="78"/>
      <c r="AI126" s="78"/>
      <c r="AJ126" s="119" t="s">
        <v>675</v>
      </c>
      <c r="AK126" s="107"/>
      <c r="AL126" s="116"/>
      <c r="AM126" s="116"/>
      <c r="AN126" s="116"/>
      <c r="AO126" s="116"/>
      <c r="AP126" s="116"/>
      <c r="AQ126" s="107"/>
      <c r="AR126" s="107"/>
      <c r="AS126" s="141"/>
      <c r="AU126">
        <v>5</v>
      </c>
      <c r="AV126">
        <v>184</v>
      </c>
    </row>
    <row r="127" spans="1:51" x14ac:dyDescent="0.3">
      <c r="S127" s="66" t="s">
        <v>39</v>
      </c>
      <c r="T127" s="67">
        <f>C351</f>
        <v>0</v>
      </c>
      <c r="U127" s="67">
        <f t="shared" si="21"/>
        <v>2.5746892978528949E-2</v>
      </c>
      <c r="V127" s="67">
        <f t="shared" si="21"/>
        <v>0.35351977673178914</v>
      </c>
      <c r="W127" s="67">
        <f t="shared" si="21"/>
        <v>0.34421791936739188</v>
      </c>
      <c r="X127" s="67">
        <f t="shared" si="21"/>
        <v>0.19125600252657873</v>
      </c>
      <c r="AD127" s="51"/>
      <c r="AE127" s="51"/>
      <c r="AJ127" s="115" t="s">
        <v>375</v>
      </c>
      <c r="AK127" s="122" t="s">
        <v>9</v>
      </c>
      <c r="AL127" s="135">
        <v>226.16</v>
      </c>
      <c r="AM127" s="135">
        <v>137.78</v>
      </c>
      <c r="AN127" s="135">
        <v>4246.3</v>
      </c>
      <c r="AO127" s="135">
        <v>15462.81</v>
      </c>
      <c r="AP127" s="135">
        <v>4574.74</v>
      </c>
      <c r="AQ127" s="107"/>
      <c r="AR127" s="115" t="s">
        <v>36</v>
      </c>
      <c r="AS127" s="136">
        <f>SUM(AL127:AP127)</f>
        <v>24647.79</v>
      </c>
      <c r="AU127">
        <v>6</v>
      </c>
      <c r="AV127">
        <v>213</v>
      </c>
    </row>
    <row r="128" spans="1:51" x14ac:dyDescent="0.3">
      <c r="A128" s="348" t="s">
        <v>388</v>
      </c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 t="s">
        <v>59</v>
      </c>
      <c r="M128" s="348"/>
      <c r="N128" s="348"/>
      <c r="O128" s="348"/>
      <c r="P128" s="348"/>
      <c r="S128" t="s">
        <v>30</v>
      </c>
      <c r="T128" s="57">
        <f>C352</f>
        <v>100</v>
      </c>
      <c r="U128" s="57">
        <f t="shared" si="21"/>
        <v>100</v>
      </c>
      <c r="V128" s="57">
        <f t="shared" si="21"/>
        <v>97.243443935350001</v>
      </c>
      <c r="W128" s="57">
        <f t="shared" si="21"/>
        <v>97.891347847245896</v>
      </c>
      <c r="X128" s="57">
        <f t="shared" si="21"/>
        <v>92.125146236706428</v>
      </c>
      <c r="AD128" s="51"/>
      <c r="AE128" s="51"/>
      <c r="AH128" s="78"/>
      <c r="AI128" s="78"/>
      <c r="AJ128" s="107"/>
      <c r="AK128" s="107" t="s">
        <v>367</v>
      </c>
      <c r="AL128" s="108">
        <f>(AL127/$AS127)*100</f>
        <v>0.91756705165047248</v>
      </c>
      <c r="AM128" s="108">
        <f>(AM127/$AS127)*100</f>
        <v>0.55899535009021084</v>
      </c>
      <c r="AN128" s="108">
        <f>(AN127/$AS127)*100</f>
        <v>17.22791373993368</v>
      </c>
      <c r="AO128" s="108">
        <f>(AO127/$AS127)*100</f>
        <v>62.735076856789185</v>
      </c>
      <c r="AP128" s="108">
        <f>(AP127/$AS127)*100</f>
        <v>18.560447001536446</v>
      </c>
      <c r="AQ128" s="107"/>
      <c r="AR128" s="107"/>
      <c r="AS128" s="141"/>
      <c r="AU128">
        <v>7</v>
      </c>
      <c r="AV128">
        <v>242</v>
      </c>
    </row>
    <row r="129" spans="1:48" x14ac:dyDescent="0.3">
      <c r="A129" t="s">
        <v>315</v>
      </c>
      <c r="B129" t="s">
        <v>21</v>
      </c>
      <c r="I129" s="1" t="s">
        <v>53</v>
      </c>
      <c r="O129" s="142"/>
      <c r="P129" s="142"/>
      <c r="S129" s="66" t="s">
        <v>39</v>
      </c>
      <c r="T129" s="67">
        <f>C353</f>
        <v>0</v>
      </c>
      <c r="U129" s="67">
        <f t="shared" si="21"/>
        <v>0</v>
      </c>
      <c r="V129" s="67">
        <f t="shared" si="21"/>
        <v>0.44014589390665249</v>
      </c>
      <c r="W129" s="67">
        <f t="shared" si="21"/>
        <v>0.61916764986619444</v>
      </c>
      <c r="X129" s="67">
        <f t="shared" si="21"/>
        <v>2.5459926594562035</v>
      </c>
      <c r="AD129" s="51"/>
      <c r="AE129" s="51"/>
      <c r="AJ129" s="115" t="s">
        <v>376</v>
      </c>
      <c r="AK129" s="122" t="s">
        <v>9</v>
      </c>
      <c r="AL129" s="135">
        <f>AVERAGE(AL195:AL214)</f>
        <v>225.02000000000004</v>
      </c>
      <c r="AM129" s="135">
        <f>AVERAGE(AM195:AM214)</f>
        <v>145.392</v>
      </c>
      <c r="AN129" s="135">
        <f>AVERAGE(AN195:AN214)</f>
        <v>4247.0959999999995</v>
      </c>
      <c r="AO129" s="135">
        <f>AVERAGE(AO195:AO214)</f>
        <v>15445.788500000001</v>
      </c>
      <c r="AP129" s="135">
        <f>AVERAGE(AP195:AP214)</f>
        <v>4584.4985000000006</v>
      </c>
      <c r="AQ129" s="107"/>
      <c r="AR129" s="115" t="s">
        <v>36</v>
      </c>
      <c r="AS129" s="136">
        <f>SUM(AL129:AP129)</f>
        <v>24647.795000000002</v>
      </c>
      <c r="AU129">
        <v>8</v>
      </c>
      <c r="AV129">
        <v>271</v>
      </c>
    </row>
    <row r="130" spans="1:48" ht="15.6" x14ac:dyDescent="0.35">
      <c r="B130" s="1" t="s">
        <v>0</v>
      </c>
      <c r="C130" s="13">
        <v>0</v>
      </c>
      <c r="D130" s="13">
        <v>1</v>
      </c>
      <c r="E130" s="13">
        <v>2</v>
      </c>
      <c r="F130" s="13">
        <v>3</v>
      </c>
      <c r="G130" s="13">
        <v>4</v>
      </c>
      <c r="H130" s="1" t="s">
        <v>20</v>
      </c>
      <c r="I130" s="1" t="s">
        <v>1</v>
      </c>
      <c r="J130" s="1" t="s">
        <v>13</v>
      </c>
      <c r="N130" s="1" t="s">
        <v>51</v>
      </c>
      <c r="O130" s="13"/>
      <c r="P130" s="13"/>
      <c r="S130" s="15" t="s">
        <v>31</v>
      </c>
      <c r="T130" s="71">
        <f>I345</f>
        <v>100</v>
      </c>
      <c r="U130" s="71">
        <f>I346</f>
        <v>95.3125</v>
      </c>
      <c r="V130" s="71">
        <f>I347</f>
        <v>99.064171122994651</v>
      </c>
      <c r="W130" s="71">
        <f>I348</f>
        <v>93.527508090614887</v>
      </c>
      <c r="X130" s="71">
        <f>I349</f>
        <v>95.360315893385987</v>
      </c>
      <c r="AD130" s="51"/>
      <c r="AE130" s="51"/>
      <c r="AH130" s="78"/>
      <c r="AI130" s="78"/>
      <c r="AJ130" s="107"/>
      <c r="AK130" s="128" t="s">
        <v>368</v>
      </c>
      <c r="AL130" s="125">
        <f>_xlfn.STDEV.S(AL195:AL214)/SQRT($AK$108)</f>
        <v>0.38222134672822311</v>
      </c>
      <c r="AM130" s="125">
        <f>_xlfn.STDEV.S(AM195:AM214)/SQRT($AK$108)</f>
        <v>3.4091888678749105</v>
      </c>
      <c r="AN130" s="125">
        <f>_xlfn.STDEV.S(AN195:AN214)/SQRT($AK$108)</f>
        <v>13.842032049636265</v>
      </c>
      <c r="AO130" s="125">
        <f>_xlfn.STDEV.S(AO195:AO214)/SQRT($AK$108)</f>
        <v>17.920324307964787</v>
      </c>
      <c r="AP130" s="125">
        <f>_xlfn.STDEV.S(AP195:AP214)/SQRT($AK$108)</f>
        <v>14.561576896877769</v>
      </c>
      <c r="AQ130" s="107"/>
      <c r="AR130" s="107"/>
      <c r="AS130" s="141"/>
      <c r="AU130">
        <v>9</v>
      </c>
      <c r="AV130">
        <v>300</v>
      </c>
    </row>
    <row r="131" spans="1:48" x14ac:dyDescent="0.3">
      <c r="A131" t="s">
        <v>3</v>
      </c>
      <c r="B131" s="13">
        <v>0</v>
      </c>
      <c r="C131" s="26">
        <v>450</v>
      </c>
      <c r="D131" s="3">
        <v>0</v>
      </c>
      <c r="E131" s="3">
        <v>0</v>
      </c>
      <c r="F131" s="3">
        <v>0</v>
      </c>
      <c r="G131" s="4">
        <v>0</v>
      </c>
      <c r="H131" s="1">
        <f>SUM(C131:G131)</f>
        <v>450</v>
      </c>
      <c r="I131" s="10">
        <f>C131/H131</f>
        <v>1</v>
      </c>
      <c r="J131" s="11">
        <f>1-I131</f>
        <v>0</v>
      </c>
      <c r="K131">
        <f>H131-C136</f>
        <v>0</v>
      </c>
      <c r="N131" s="10">
        <f>2*(C137*I131)/(C137+I131)</f>
        <v>1</v>
      </c>
      <c r="O131" s="1"/>
      <c r="P131" s="1"/>
      <c r="S131" s="75" t="s">
        <v>39</v>
      </c>
      <c r="T131" s="76">
        <f>J345</f>
        <v>0</v>
      </c>
      <c r="U131" s="76">
        <f>J346</f>
        <v>2.6630253226448333</v>
      </c>
      <c r="V131" s="76">
        <f>J347</f>
        <v>0.35228668199337793</v>
      </c>
      <c r="W131" s="76">
        <f>J348</f>
        <v>0.99051910773595953</v>
      </c>
      <c r="X131" s="76">
        <f>J349</f>
        <v>0.66120752966433827</v>
      </c>
      <c r="AD131" s="51"/>
      <c r="AE131" s="51"/>
      <c r="AJ131" s="119" t="s">
        <v>712</v>
      </c>
      <c r="AK131" s="107"/>
      <c r="AL131" s="116"/>
      <c r="AM131" s="116"/>
      <c r="AN131" s="116"/>
      <c r="AO131" s="116"/>
      <c r="AP131" s="116"/>
      <c r="AQ131" s="107"/>
      <c r="AR131" s="107"/>
      <c r="AS131" s="141"/>
      <c r="AU131">
        <v>10</v>
      </c>
      <c r="AV131">
        <v>329</v>
      </c>
    </row>
    <row r="132" spans="1:48" x14ac:dyDescent="0.3">
      <c r="A132" t="s">
        <v>4</v>
      </c>
      <c r="B132" s="13">
        <v>1</v>
      </c>
      <c r="C132" s="5">
        <v>0</v>
      </c>
      <c r="D132" s="27">
        <v>59</v>
      </c>
      <c r="E132" s="1">
        <v>4</v>
      </c>
      <c r="F132" s="1">
        <v>0</v>
      </c>
      <c r="G132" s="6">
        <v>1</v>
      </c>
      <c r="H132" s="1">
        <f>SUM(C132:G132)</f>
        <v>64</v>
      </c>
      <c r="I132" s="10">
        <f>D132/H132</f>
        <v>0.921875</v>
      </c>
      <c r="J132" s="11">
        <f>1-I132</f>
        <v>7.8125E-2</v>
      </c>
      <c r="K132">
        <f>H132-D136</f>
        <v>4</v>
      </c>
      <c r="N132" s="10">
        <f>2*(D137*I132)/(D137+I132)</f>
        <v>0.95161290322580638</v>
      </c>
      <c r="O132" s="1"/>
      <c r="P132" s="1"/>
      <c r="S132" s="66" t="s">
        <v>51</v>
      </c>
      <c r="T132" s="67">
        <f>N334*100</f>
        <v>100</v>
      </c>
      <c r="U132" s="67">
        <f>N335*100</f>
        <v>97.6</v>
      </c>
      <c r="V132" s="67">
        <f>N336*100</f>
        <v>96.736292428198425</v>
      </c>
      <c r="W132" s="67">
        <f>N337*100</f>
        <v>93.150684931506859</v>
      </c>
      <c r="X132" s="67">
        <f>N338*100</f>
        <v>97.183098591549296</v>
      </c>
      <c r="AD132" s="51"/>
      <c r="AE132" s="51"/>
      <c r="AH132" s="78"/>
      <c r="AI132" s="78"/>
      <c r="AJ132" s="115" t="s">
        <v>375</v>
      </c>
      <c r="AK132" s="122" t="s">
        <v>9</v>
      </c>
      <c r="AL132" s="135">
        <v>0.06</v>
      </c>
      <c r="AM132" s="135">
        <v>18.98</v>
      </c>
      <c r="AN132" s="135">
        <v>1179.93</v>
      </c>
      <c r="AO132" s="135">
        <v>230.11</v>
      </c>
      <c r="AP132" s="135">
        <v>33.24</v>
      </c>
      <c r="AQ132" s="107"/>
      <c r="AR132" s="115" t="s">
        <v>36</v>
      </c>
      <c r="AS132" s="136">
        <f>SUM(AL132:AP132)</f>
        <v>1462.32</v>
      </c>
      <c r="AU132">
        <v>11</v>
      </c>
      <c r="AV132">
        <v>358</v>
      </c>
    </row>
    <row r="133" spans="1:48" x14ac:dyDescent="0.3">
      <c r="A133" t="s">
        <v>5</v>
      </c>
      <c r="B133" s="13">
        <v>2</v>
      </c>
      <c r="C133" s="5">
        <v>0</v>
      </c>
      <c r="D133" s="1">
        <v>0</v>
      </c>
      <c r="E133" s="27">
        <v>736</v>
      </c>
      <c r="F133" s="1">
        <v>10</v>
      </c>
      <c r="G133" s="6">
        <v>2</v>
      </c>
      <c r="H133" s="1">
        <f>SUM(C133:G133)</f>
        <v>748</v>
      </c>
      <c r="I133" s="10">
        <f>E133/H133</f>
        <v>0.98395721925133695</v>
      </c>
      <c r="J133" s="11">
        <f>1-I133</f>
        <v>1.6042780748663055E-2</v>
      </c>
      <c r="K133">
        <f>H133-E136</f>
        <v>-28</v>
      </c>
      <c r="N133" s="10">
        <f>2*(E137*I133)/(E137+I133)</f>
        <v>0.9658792650918635</v>
      </c>
      <c r="O133" s="1"/>
      <c r="P133" s="1"/>
      <c r="R133" s="16" t="s">
        <v>61</v>
      </c>
      <c r="S133" t="s">
        <v>9</v>
      </c>
      <c r="T133" s="30">
        <f>N345</f>
        <v>274.31</v>
      </c>
      <c r="U133" s="30">
        <f>N346</f>
        <v>940.74</v>
      </c>
      <c r="V133" s="30">
        <f>N347</f>
        <v>59751.58</v>
      </c>
      <c r="W133" s="30">
        <f>N348</f>
        <v>29158.92</v>
      </c>
      <c r="X133" s="30">
        <f>N349</f>
        <v>6412.91</v>
      </c>
      <c r="Z133" t="s">
        <v>36</v>
      </c>
      <c r="AA133" s="1">
        <f>N350</f>
        <v>96538.46</v>
      </c>
      <c r="AD133" s="51"/>
      <c r="AE133" s="51"/>
      <c r="AJ133" s="107"/>
      <c r="AK133" s="107" t="s">
        <v>367</v>
      </c>
      <c r="AL133" s="108">
        <f>(AL132/$AS132)*100</f>
        <v>4.1030690956835713E-3</v>
      </c>
      <c r="AM133" s="108">
        <f>(AM132/$AS132)*100</f>
        <v>1.2979375239345696</v>
      </c>
      <c r="AN133" s="108">
        <f>(AN132/$AS132)*100</f>
        <v>80.688905301165278</v>
      </c>
      <c r="AO133" s="108">
        <f>(AO132/$AS132)*100</f>
        <v>15.735953826795779</v>
      </c>
      <c r="AP133" s="108">
        <f>(AP132/$AS132)*100</f>
        <v>2.2731002790086987</v>
      </c>
      <c r="AQ133" s="107"/>
      <c r="AR133" s="107"/>
      <c r="AS133" s="141"/>
      <c r="AU133">
        <v>12</v>
      </c>
      <c r="AV133">
        <v>387</v>
      </c>
    </row>
    <row r="134" spans="1:48" ht="15.6" x14ac:dyDescent="0.35">
      <c r="A134" t="s">
        <v>6</v>
      </c>
      <c r="B134" s="13">
        <v>3</v>
      </c>
      <c r="C134" s="5">
        <v>0</v>
      </c>
      <c r="D134" s="1">
        <v>0</v>
      </c>
      <c r="E134" s="1">
        <v>30</v>
      </c>
      <c r="F134" s="27">
        <v>581</v>
      </c>
      <c r="G134" s="6">
        <v>7</v>
      </c>
      <c r="H134" s="1">
        <f>SUM(C134:G134)</f>
        <v>618</v>
      </c>
      <c r="I134" s="10">
        <f>F134/H134</f>
        <v>0.94012944983818769</v>
      </c>
      <c r="J134" s="11">
        <f>1-I134</f>
        <v>5.9870550161812308E-2</v>
      </c>
      <c r="K134">
        <f>H134-F136</f>
        <v>-12</v>
      </c>
      <c r="N134" s="10">
        <f>2*(F137*I134)/(F137+I134)</f>
        <v>0.93108974358974361</v>
      </c>
      <c r="O134" s="1"/>
      <c r="P134" s="1"/>
      <c r="R134" s="16" t="s">
        <v>318</v>
      </c>
      <c r="S134" t="s">
        <v>63</v>
      </c>
      <c r="T134" s="57">
        <f>$AA133*T126/100</f>
        <v>274.31</v>
      </c>
      <c r="U134" s="57">
        <f>$AA133*U126/100</f>
        <v>896.6428125000001</v>
      </c>
      <c r="V134" s="57">
        <f>$AA133*V126/100</f>
        <v>60870.332296381559</v>
      </c>
      <c r="W134" s="57">
        <f>$AA133*W126/100</f>
        <v>27859.061972148738</v>
      </c>
      <c r="X134" s="57">
        <f>$AA133*X126/100</f>
        <v>6638.1129189697022</v>
      </c>
      <c r="Z134" t="s">
        <v>36</v>
      </c>
      <c r="AA134" s="25">
        <f>SUM(T134:X134)</f>
        <v>96538.459999999992</v>
      </c>
      <c r="AD134" s="51"/>
      <c r="AE134" s="51"/>
      <c r="AH134" s="78"/>
      <c r="AI134" s="78"/>
      <c r="AJ134" s="115" t="s">
        <v>376</v>
      </c>
      <c r="AK134" s="122" t="s">
        <v>9</v>
      </c>
      <c r="AL134" s="139">
        <f>AVERAGE(AL216:AL235)</f>
        <v>3.7500000000000012E-2</v>
      </c>
      <c r="AM134" s="135">
        <f>AVERAGE(AM216:AM235)</f>
        <v>19.704999999999998</v>
      </c>
      <c r="AN134" s="135">
        <f>AVERAGE(AN216:AN235)</f>
        <v>1176.607</v>
      </c>
      <c r="AO134" s="135">
        <f>AVERAGE(AO216:AO235)</f>
        <v>232.40949999999998</v>
      </c>
      <c r="AP134" s="135">
        <f>AVERAGE(AP216:AP235)</f>
        <v>33.556500000000007</v>
      </c>
      <c r="AQ134" s="107"/>
      <c r="AR134" s="115" t="s">
        <v>36</v>
      </c>
      <c r="AS134" s="136">
        <f>SUM(AL134:AP134)</f>
        <v>1462.3154999999999</v>
      </c>
      <c r="AU134">
        <v>13</v>
      </c>
      <c r="AV134">
        <v>416</v>
      </c>
    </row>
    <row r="135" spans="1:48" x14ac:dyDescent="0.3">
      <c r="A135" t="s">
        <v>7</v>
      </c>
      <c r="B135" s="13">
        <v>4</v>
      </c>
      <c r="C135" s="7">
        <v>0</v>
      </c>
      <c r="D135" s="8">
        <v>1</v>
      </c>
      <c r="E135" s="8">
        <v>6</v>
      </c>
      <c r="F135" s="8">
        <v>39</v>
      </c>
      <c r="G135" s="28">
        <v>967</v>
      </c>
      <c r="H135" s="1">
        <f>SUM(C135:G135)</f>
        <v>1013</v>
      </c>
      <c r="I135" s="10">
        <f>G135/H135</f>
        <v>0.95459032576505431</v>
      </c>
      <c r="J135" s="11">
        <f>1-I135</f>
        <v>4.5409674234945685E-2</v>
      </c>
      <c r="K135">
        <f>H135-G136</f>
        <v>36</v>
      </c>
      <c r="N135" s="10">
        <f>2*(G137*I135)/(G137+I135)</f>
        <v>0.97185929648241209</v>
      </c>
      <c r="O135" s="1"/>
      <c r="P135" s="1"/>
      <c r="R135" s="66"/>
      <c r="S135" s="66" t="s">
        <v>62</v>
      </c>
      <c r="T135" s="67">
        <f>$AA133*T127/100</f>
        <v>0</v>
      </c>
      <c r="U135" s="67">
        <f>$AA133*U127/100</f>
        <v>24.855653979319982</v>
      </c>
      <c r="V135" s="67">
        <f>$AA133*V127/100</f>
        <v>341.28254825230761</v>
      </c>
      <c r="W135" s="67">
        <f>$AA133*W127/100</f>
        <v>332.30267840132188</v>
      </c>
      <c r="X135" s="67">
        <f>$AA133*X127/100</f>
        <v>184.6355994967202</v>
      </c>
      <c r="AA135" s="1"/>
      <c r="AD135" s="51"/>
      <c r="AE135" s="51"/>
      <c r="AJ135" s="107"/>
      <c r="AK135" s="128" t="s">
        <v>368</v>
      </c>
      <c r="AL135" s="125">
        <f>_xlfn.STDEV.S(AL216:AL235)/SQRT($AK$108)</f>
        <v>7.7417188353953916E-3</v>
      </c>
      <c r="AM135" s="125">
        <f>_xlfn.STDEV.S(AM216:AM235)/SQRT($AK$108)</f>
        <v>0.29747136085061326</v>
      </c>
      <c r="AN135" s="125">
        <f>_xlfn.STDEV.S(AN216:AN235)/SQRT($AK$108)</f>
        <v>0.79484295039301267</v>
      </c>
      <c r="AO135" s="125">
        <f>_xlfn.STDEV.S(AO216:AO235)/SQRT($AK$108)</f>
        <v>0.77971130791095311</v>
      </c>
      <c r="AP135" s="125">
        <f>_xlfn.STDEV.S(AP216:AP235)/SQRT($AK$108)</f>
        <v>0.37270015816301555</v>
      </c>
      <c r="AQ135" s="107"/>
      <c r="AR135" s="107"/>
      <c r="AS135" s="107"/>
      <c r="AU135">
        <v>14</v>
      </c>
      <c r="AV135">
        <v>445</v>
      </c>
    </row>
    <row r="136" spans="1:48" ht="15.6" x14ac:dyDescent="0.35">
      <c r="B136" s="1" t="s">
        <v>19</v>
      </c>
      <c r="C136" s="1">
        <f>SUM(C131:C135)</f>
        <v>450</v>
      </c>
      <c r="D136" s="1">
        <f>SUM(D131:D135)</f>
        <v>60</v>
      </c>
      <c r="E136" s="1">
        <f>SUM(E131:E135)</f>
        <v>776</v>
      </c>
      <c r="F136" s="1">
        <f>SUM(F131:F135)</f>
        <v>630</v>
      </c>
      <c r="G136" s="1">
        <f>SUM(G131:G135)</f>
        <v>977</v>
      </c>
      <c r="H136" s="1">
        <f>SUM(H130:H135)</f>
        <v>2893</v>
      </c>
      <c r="I136" s="13" t="s">
        <v>12</v>
      </c>
      <c r="N136" s="16"/>
      <c r="O136" s="1"/>
      <c r="P136" s="1"/>
      <c r="R136" t="s">
        <v>100</v>
      </c>
      <c r="S136" t="s">
        <v>28</v>
      </c>
      <c r="T136" s="57">
        <f>C379</f>
        <v>0.27032749434784853</v>
      </c>
      <c r="U136" s="57">
        <f t="shared" ref="U136:X139" si="22">D379</f>
        <v>0.92451033042997155</v>
      </c>
      <c r="V136" s="57">
        <f t="shared" si="22"/>
        <v>62.822091347730677</v>
      </c>
      <c r="W136" s="57">
        <f t="shared" si="22"/>
        <v>29.386626256903902</v>
      </c>
      <c r="X136" s="57">
        <f t="shared" si="22"/>
        <v>6.5964445705875923</v>
      </c>
      <c r="Z136" s="74"/>
      <c r="AA136" s="12"/>
      <c r="AD136" s="51"/>
      <c r="AE136" s="51"/>
      <c r="AH136" s="78"/>
      <c r="AI136" s="78"/>
      <c r="AU136">
        <v>15</v>
      </c>
      <c r="AV136">
        <v>474</v>
      </c>
    </row>
    <row r="137" spans="1:48" x14ac:dyDescent="0.3">
      <c r="A137" s="1" t="s">
        <v>316</v>
      </c>
      <c r="B137" s="1" t="s">
        <v>2</v>
      </c>
      <c r="C137" s="10">
        <f>C131/C136</f>
        <v>1</v>
      </c>
      <c r="D137" s="10">
        <f>D132/D136</f>
        <v>0.98333333333333328</v>
      </c>
      <c r="E137" s="10">
        <f>E133/E136</f>
        <v>0.94845360824742264</v>
      </c>
      <c r="F137" s="10">
        <f>F134/F136</f>
        <v>0.92222222222222228</v>
      </c>
      <c r="G137" s="10">
        <f>G135/G136</f>
        <v>0.98976458546571133</v>
      </c>
      <c r="H137" s="10"/>
      <c r="I137" s="14">
        <f>(C131+D132+E133+F134+G135)/H136</f>
        <v>0.9654338057379882</v>
      </c>
      <c r="S137" s="66" t="s">
        <v>39</v>
      </c>
      <c r="T137" s="67">
        <f>C380</f>
        <v>0</v>
      </c>
      <c r="U137" s="67">
        <f t="shared" si="22"/>
        <v>3.0310698509577641E-2</v>
      </c>
      <c r="V137" s="67">
        <f t="shared" si="22"/>
        <v>0.3688363297306777</v>
      </c>
      <c r="W137" s="67">
        <f t="shared" si="22"/>
        <v>0.36582144351534801</v>
      </c>
      <c r="X137" s="67">
        <f t="shared" si="22"/>
        <v>0.1666194097109589</v>
      </c>
      <c r="AD137" s="51"/>
      <c r="AE137" s="51"/>
      <c r="AU137">
        <v>16</v>
      </c>
      <c r="AV137">
        <v>503</v>
      </c>
    </row>
    <row r="138" spans="1:48" x14ac:dyDescent="0.3">
      <c r="B138" s="1" t="s">
        <v>14</v>
      </c>
      <c r="C138" s="11">
        <f>1-C137</f>
        <v>0</v>
      </c>
      <c r="D138" s="11">
        <f>1-D137</f>
        <v>1.6666666666666718E-2</v>
      </c>
      <c r="E138" s="11">
        <f>1-E137</f>
        <v>5.1546391752577359E-2</v>
      </c>
      <c r="F138" s="11">
        <f>1-F137</f>
        <v>7.7777777777777724E-2</v>
      </c>
      <c r="G138" s="11">
        <f>1-G137</f>
        <v>1.0235414534288667E-2</v>
      </c>
      <c r="S138" t="s">
        <v>30</v>
      </c>
      <c r="T138" s="57">
        <f>C381</f>
        <v>100</v>
      </c>
      <c r="U138" s="57">
        <f t="shared" si="22"/>
        <v>99.310030241431519</v>
      </c>
      <c r="V138" s="57">
        <f t="shared" si="22"/>
        <v>97.062012960324807</v>
      </c>
      <c r="W138" s="57">
        <f t="shared" si="22"/>
        <v>97.557859870032971</v>
      </c>
      <c r="X138" s="57">
        <f t="shared" si="22"/>
        <v>93.510069748532104</v>
      </c>
      <c r="AA138" s="54"/>
      <c r="AD138" s="51"/>
      <c r="AE138" s="51"/>
      <c r="AH138" s="78"/>
      <c r="AI138" s="78"/>
      <c r="AU138">
        <v>17</v>
      </c>
      <c r="AV138">
        <v>532</v>
      </c>
    </row>
    <row r="139" spans="1:48" x14ac:dyDescent="0.3">
      <c r="C139" s="2"/>
      <c r="S139" s="66" t="s">
        <v>39</v>
      </c>
      <c r="T139" s="67">
        <f>C382</f>
        <v>0</v>
      </c>
      <c r="U139" s="67">
        <f t="shared" si="22"/>
        <v>0.72055213793268291</v>
      </c>
      <c r="V139" s="67">
        <f t="shared" si="22"/>
        <v>0.45670016940185848</v>
      </c>
      <c r="W139" s="67">
        <f t="shared" si="22"/>
        <v>0.72444410945021942</v>
      </c>
      <c r="X139" s="67">
        <f t="shared" si="22"/>
        <v>2.3240732141121927</v>
      </c>
      <c r="AD139" s="51"/>
      <c r="AE139" s="51"/>
      <c r="AU139">
        <v>18</v>
      </c>
      <c r="AV139">
        <v>561</v>
      </c>
    </row>
    <row r="140" spans="1:48" ht="15.6" x14ac:dyDescent="0.35">
      <c r="A140" t="s">
        <v>317</v>
      </c>
      <c r="B140" s="15" t="s">
        <v>23</v>
      </c>
      <c r="N140" s="12" t="s">
        <v>17</v>
      </c>
      <c r="O140" s="1" t="s">
        <v>27</v>
      </c>
      <c r="P140" s="1" t="s">
        <v>33</v>
      </c>
      <c r="S140" t="s">
        <v>31</v>
      </c>
      <c r="T140" s="57">
        <f>I374</f>
        <v>100</v>
      </c>
      <c r="U140" s="57">
        <f>I375</f>
        <v>93.75</v>
      </c>
      <c r="V140" s="57">
        <f>I376</f>
        <v>98.930481283422466</v>
      </c>
      <c r="W140" s="57">
        <f>I377</f>
        <v>93.527508090614887</v>
      </c>
      <c r="X140" s="57">
        <f>I378</f>
        <v>95.459032576505436</v>
      </c>
      <c r="AD140" s="51"/>
      <c r="AE140" s="51"/>
      <c r="AH140" s="78"/>
      <c r="AI140" s="78"/>
      <c r="AU140">
        <v>19</v>
      </c>
      <c r="AV140">
        <v>590</v>
      </c>
    </row>
    <row r="141" spans="1:48" ht="15.6" x14ac:dyDescent="0.35">
      <c r="B141" s="1" t="s">
        <v>0</v>
      </c>
      <c r="C141" s="13">
        <v>0</v>
      </c>
      <c r="D141" s="13">
        <v>1</v>
      </c>
      <c r="E141" s="13">
        <v>2</v>
      </c>
      <c r="F141" s="13">
        <v>3</v>
      </c>
      <c r="G141" s="13">
        <v>4</v>
      </c>
      <c r="H141" s="1" t="s">
        <v>28</v>
      </c>
      <c r="I141" s="1" t="s">
        <v>31</v>
      </c>
      <c r="J141" s="15" t="s">
        <v>39</v>
      </c>
      <c r="K141" s="1" t="s">
        <v>38</v>
      </c>
      <c r="L141" s="1" t="s">
        <v>26</v>
      </c>
      <c r="M141" t="s">
        <v>8</v>
      </c>
      <c r="N141" t="s">
        <v>9</v>
      </c>
      <c r="O141" s="1" t="s">
        <v>11</v>
      </c>
      <c r="S141" s="66" t="s">
        <v>39</v>
      </c>
      <c r="T141" s="67">
        <f>J374</f>
        <v>0</v>
      </c>
      <c r="U141" s="67">
        <f>J375</f>
        <v>3.0496877279641659</v>
      </c>
      <c r="V141" s="67">
        <f>J376</f>
        <v>0.37635609574809858</v>
      </c>
      <c r="W141" s="67">
        <f>J377</f>
        <v>0.99051910773595953</v>
      </c>
      <c r="X141" s="67">
        <f>J378</f>
        <v>0.65447407996955353</v>
      </c>
      <c r="AD141" s="51"/>
      <c r="AE141" s="51"/>
    </row>
    <row r="142" spans="1:48" x14ac:dyDescent="0.3">
      <c r="A142" t="s">
        <v>3</v>
      </c>
      <c r="B142" s="13">
        <v>0</v>
      </c>
      <c r="C142" s="29">
        <f>(C131/$L142)*$O142</f>
        <v>0.27805495570833061</v>
      </c>
      <c r="D142" s="31">
        <f>(D131/$L142)*$O142</f>
        <v>0</v>
      </c>
      <c r="E142" s="31">
        <f>(E131/$L142)*$O142</f>
        <v>0</v>
      </c>
      <c r="F142" s="31">
        <f>(F131/$L142)*$O142</f>
        <v>0</v>
      </c>
      <c r="G142" s="32">
        <f>(G131/$L142)*$O142</f>
        <v>0</v>
      </c>
      <c r="H142" s="17">
        <f>SUM(C142:G142)</f>
        <v>0.27805495570833061</v>
      </c>
      <c r="I142" s="17">
        <f>C142/H142*100</f>
        <v>100</v>
      </c>
      <c r="J142" s="17">
        <f>SQRT(I142*(100-I142)/(L142-1))</f>
        <v>0</v>
      </c>
      <c r="K142" s="18">
        <f>100-I142</f>
        <v>0</v>
      </c>
      <c r="L142" s="1">
        <f>H131</f>
        <v>450</v>
      </c>
      <c r="M142">
        <v>0</v>
      </c>
      <c r="N142" s="1">
        <v>268.43</v>
      </c>
      <c r="O142" s="17">
        <f>N142/N147*100</f>
        <v>0.27805495570833061</v>
      </c>
      <c r="P142" s="52">
        <f>((O142*O142*(I142/100)*(K142/100))/(L142-1))</f>
        <v>0</v>
      </c>
      <c r="S142" s="66" t="s">
        <v>51</v>
      </c>
      <c r="T142" s="67">
        <f>N363*100</f>
        <v>100</v>
      </c>
      <c r="U142" s="67">
        <f>N364*100</f>
        <v>96</v>
      </c>
      <c r="V142" s="67">
        <f>N365*100</f>
        <v>96.354166666666671</v>
      </c>
      <c r="W142" s="67">
        <f>N366*100</f>
        <v>93.451899757477776</v>
      </c>
      <c r="X142" s="67">
        <f>N367*100</f>
        <v>97.283702213279682</v>
      </c>
      <c r="AD142" s="51"/>
      <c r="AE142" s="51"/>
      <c r="AH142" s="78"/>
      <c r="AI142" s="78"/>
    </row>
    <row r="143" spans="1:48" x14ac:dyDescent="0.3">
      <c r="A143" t="s">
        <v>4</v>
      </c>
      <c r="B143" s="13">
        <v>1</v>
      </c>
      <c r="C143" s="33">
        <f t="shared" ref="C143:G146" si="23">(C132/$L143)*$O143</f>
        <v>0</v>
      </c>
      <c r="D143" s="34">
        <f t="shared" si="23"/>
        <v>0.9502605865309447</v>
      </c>
      <c r="E143" s="19">
        <f t="shared" si="23"/>
        <v>6.4424446544470826E-2</v>
      </c>
      <c r="F143" s="18">
        <f t="shared" si="23"/>
        <v>0</v>
      </c>
      <c r="G143" s="20">
        <f t="shared" si="23"/>
        <v>1.6106111636117706E-2</v>
      </c>
      <c r="H143" s="17">
        <f>SUM(C143:G143)</f>
        <v>1.0307911447115332</v>
      </c>
      <c r="I143" s="17">
        <f>D143/H143*100</f>
        <v>92.1875</v>
      </c>
      <c r="J143" s="17">
        <f>SQRT(I143*(100-I143)/(L143-1))</f>
        <v>3.3811213593755247</v>
      </c>
      <c r="K143" s="18">
        <f>100-I143</f>
        <v>7.8125</v>
      </c>
      <c r="L143" s="1">
        <f>H132</f>
        <v>64</v>
      </c>
      <c r="M143">
        <v>1</v>
      </c>
      <c r="N143" s="1">
        <v>995.11</v>
      </c>
      <c r="O143" s="17">
        <f>N143/N147*100</f>
        <v>1.0307911447115332</v>
      </c>
      <c r="P143" s="52">
        <f>((O143*O143*(I143/100)*(K143/100))/(L143-1))</f>
        <v>1.2146827849261973E-3</v>
      </c>
      <c r="R143" s="16" t="s">
        <v>61</v>
      </c>
      <c r="S143" t="s">
        <v>9</v>
      </c>
      <c r="T143" s="30">
        <f>N374</f>
        <v>260.97000000000003</v>
      </c>
      <c r="U143" s="30">
        <f>N375</f>
        <v>945.44</v>
      </c>
      <c r="V143" s="30">
        <f>N376</f>
        <v>59502.05</v>
      </c>
      <c r="W143" s="30">
        <f>N377</f>
        <v>29591.91</v>
      </c>
      <c r="X143" s="30">
        <f>N378</f>
        <v>6238.09</v>
      </c>
      <c r="Z143" t="s">
        <v>36</v>
      </c>
      <c r="AA143" s="1">
        <f>N379</f>
        <v>96538.46</v>
      </c>
      <c r="AD143" s="51"/>
      <c r="AE143" s="51"/>
    </row>
    <row r="144" spans="1:48" ht="15.6" x14ac:dyDescent="0.35">
      <c r="A144" t="s">
        <v>5</v>
      </c>
      <c r="B144" s="13">
        <v>2</v>
      </c>
      <c r="C144" s="33">
        <f t="shared" si="23"/>
        <v>0</v>
      </c>
      <c r="D144" s="19">
        <f t="shared" si="23"/>
        <v>0</v>
      </c>
      <c r="E144" s="34">
        <f t="shared" si="23"/>
        <v>60.222917567013603</v>
      </c>
      <c r="F144" s="19">
        <f t="shared" si="23"/>
        <v>0.81824616259529348</v>
      </c>
      <c r="G144" s="20">
        <f t="shared" si="23"/>
        <v>0.16364923251905869</v>
      </c>
      <c r="H144" s="17">
        <f>SUM(C144:G144)</f>
        <v>61.204812962127953</v>
      </c>
      <c r="I144" s="17">
        <f>E144/H144*100</f>
        <v>98.395721925133699</v>
      </c>
      <c r="J144" s="17">
        <f>SQRT(I144*(100-I144)/(L144-1))</f>
        <v>0.45969272570756609</v>
      </c>
      <c r="K144" s="18">
        <f>100-I144</f>
        <v>1.6042780748663006</v>
      </c>
      <c r="L144" s="1">
        <f>H133</f>
        <v>748</v>
      </c>
      <c r="M144">
        <v>2</v>
      </c>
      <c r="N144" s="1">
        <v>59086.19</v>
      </c>
      <c r="O144" s="17">
        <f>N144/N147*100</f>
        <v>61.204812962127953</v>
      </c>
      <c r="P144" s="52">
        <f>((O144*O144*(I144/100)*(K144/100))/(L144-1))</f>
        <v>7.916011437670889E-2</v>
      </c>
      <c r="R144" s="16" t="s">
        <v>318</v>
      </c>
      <c r="S144" t="s">
        <v>63</v>
      </c>
      <c r="T144" s="57">
        <f>$AA143*T136/100</f>
        <v>260.97000000000003</v>
      </c>
      <c r="U144" s="57">
        <f>$AA143*U136/100</f>
        <v>892.50803553800597</v>
      </c>
      <c r="V144" s="57">
        <f>$AA143*V136/100</f>
        <v>60647.479526892443</v>
      </c>
      <c r="W144" s="57">
        <f>$AA143*W136/100</f>
        <v>28369.396434370676</v>
      </c>
      <c r="X144" s="57">
        <f>$AA143*X136/100</f>
        <v>6368.1060031988754</v>
      </c>
      <c r="Z144" t="s">
        <v>36</v>
      </c>
      <c r="AA144" s="25">
        <f>SUM(T144:X144)</f>
        <v>96538.46</v>
      </c>
      <c r="AD144" s="51"/>
      <c r="AE144" s="51"/>
      <c r="AH144" s="78"/>
      <c r="AI144" s="78"/>
    </row>
    <row r="145" spans="1:35" x14ac:dyDescent="0.3">
      <c r="A145" t="s">
        <v>6</v>
      </c>
      <c r="B145" s="13">
        <v>3</v>
      </c>
      <c r="C145" s="33">
        <f t="shared" si="23"/>
        <v>0</v>
      </c>
      <c r="D145" s="19">
        <f t="shared" si="23"/>
        <v>0</v>
      </c>
      <c r="E145" s="19">
        <f t="shared" si="23"/>
        <v>1.5038232542581713</v>
      </c>
      <c r="F145" s="34">
        <f t="shared" si="23"/>
        <v>29.124043690799919</v>
      </c>
      <c r="G145" s="20">
        <f t="shared" si="23"/>
        <v>0.35089209266024002</v>
      </c>
      <c r="H145" s="17">
        <f>SUM(C145:G145)</f>
        <v>30.97875903771833</v>
      </c>
      <c r="I145" s="17">
        <f>F145/H145*100</f>
        <v>94.01294498381877</v>
      </c>
      <c r="J145" s="17">
        <f>SQRT(I145*(100-I145)/(L145-1))</f>
        <v>0.95511985030479796</v>
      </c>
      <c r="K145" s="18">
        <f>100-I145</f>
        <v>5.9870550161812304</v>
      </c>
      <c r="L145" s="1">
        <f>H134</f>
        <v>618</v>
      </c>
      <c r="M145">
        <v>3</v>
      </c>
      <c r="N145" s="1">
        <v>29906.42</v>
      </c>
      <c r="O145" s="17">
        <f>N145/N147*100</f>
        <v>30.97875903771833</v>
      </c>
      <c r="P145" s="52">
        <f>((O145*O145*(I145/100)*(K145/100))/(L145-1))</f>
        <v>8.754750534464982E-2</v>
      </c>
      <c r="R145" s="66"/>
      <c r="S145" s="66" t="s">
        <v>62</v>
      </c>
      <c r="T145" s="67">
        <f>$AA143*T137/100</f>
        <v>0</v>
      </c>
      <c r="U145" s="67">
        <f>$AA143*U137/100</f>
        <v>29.261481556389207</v>
      </c>
      <c r="V145" s="67">
        <f>$AA143*V137/100</f>
        <v>356.0689126425184</v>
      </c>
      <c r="W145" s="67">
        <f>$AA143*W137/100</f>
        <v>353.15838791948687</v>
      </c>
      <c r="X145" s="67">
        <f>$AA143*X137/100</f>
        <v>160.85181219605019</v>
      </c>
      <c r="AA145" s="1"/>
      <c r="AD145" s="51"/>
      <c r="AE145" s="51"/>
    </row>
    <row r="146" spans="1:35" x14ac:dyDescent="0.3">
      <c r="A146" t="s">
        <v>7</v>
      </c>
      <c r="B146" s="13">
        <v>4</v>
      </c>
      <c r="C146" s="35">
        <f t="shared" si="23"/>
        <v>0</v>
      </c>
      <c r="D146" s="36">
        <f t="shared" si="23"/>
        <v>6.4240690026987719E-3</v>
      </c>
      <c r="E146" s="21">
        <f t="shared" si="23"/>
        <v>3.8544414016192637E-2</v>
      </c>
      <c r="F146" s="21">
        <f t="shared" si="23"/>
        <v>0.25053869110525212</v>
      </c>
      <c r="G146" s="37">
        <f t="shared" si="23"/>
        <v>6.2120747256097131</v>
      </c>
      <c r="H146" s="17">
        <f>SUM(C146:G146)</f>
        <v>6.5075818997338564</v>
      </c>
      <c r="I146" s="17">
        <f>G146/H146*100</f>
        <v>95.459032576505436</v>
      </c>
      <c r="J146" s="17">
        <f>SQRT(I146*(100-I146)/(L146-1))</f>
        <v>0.65447407996955353</v>
      </c>
      <c r="K146" s="18">
        <f>100-I146</f>
        <v>4.5409674234945641</v>
      </c>
      <c r="L146" s="1">
        <f>H135</f>
        <v>1013</v>
      </c>
      <c r="M146">
        <v>4</v>
      </c>
      <c r="N146" s="1">
        <v>6282.32</v>
      </c>
      <c r="O146" s="17">
        <f>N146/N147*100</f>
        <v>6.5075818997338564</v>
      </c>
      <c r="P146" s="52">
        <f>((O146*O146*(I146/100)*(K146/100))/(L146-1))</f>
        <v>1.8139453039653539E-3</v>
      </c>
      <c r="R146" t="s">
        <v>101</v>
      </c>
      <c r="S146" t="s">
        <v>28</v>
      </c>
      <c r="T146" s="57">
        <f>C408</f>
        <v>0.27767171757245768</v>
      </c>
      <c r="U146" s="57">
        <f t="shared" ref="U146:X149" si="24">D408</f>
        <v>0.91501420780899134</v>
      </c>
      <c r="V146" s="57">
        <f t="shared" si="24"/>
        <v>62.497550701725245</v>
      </c>
      <c r="W146" s="57">
        <f t="shared" si="24"/>
        <v>29.52313175083405</v>
      </c>
      <c r="X146" s="57">
        <f t="shared" si="24"/>
        <v>6.7866316220592564</v>
      </c>
      <c r="Y146" s="60"/>
      <c r="Z146" s="74"/>
      <c r="AA146" s="12"/>
      <c r="AD146" s="51"/>
      <c r="AE146" s="51"/>
      <c r="AH146" s="78"/>
      <c r="AI146" s="78"/>
    </row>
    <row r="147" spans="1:35" x14ac:dyDescent="0.3">
      <c r="B147" t="s">
        <v>28</v>
      </c>
      <c r="C147" s="17">
        <f t="shared" ref="C147:H147" si="25">SUM(C142:C146)</f>
        <v>0.27805495570833061</v>
      </c>
      <c r="D147" s="17">
        <f t="shared" si="25"/>
        <v>0.95668465553364346</v>
      </c>
      <c r="E147" s="17">
        <f t="shared" si="25"/>
        <v>61.829709681832441</v>
      </c>
      <c r="F147" s="17">
        <f t="shared" si="25"/>
        <v>30.192828544500465</v>
      </c>
      <c r="G147" s="17">
        <f t="shared" si="25"/>
        <v>6.7427221624251299</v>
      </c>
      <c r="H147" s="18">
        <f t="shared" si="25"/>
        <v>100</v>
      </c>
      <c r="I147" s="13" t="s">
        <v>24</v>
      </c>
      <c r="J147" s="12" t="s">
        <v>29</v>
      </c>
      <c r="N147" s="1">
        <f>SUM(N142:N146)</f>
        <v>96538.47</v>
      </c>
      <c r="O147" s="17">
        <f>SUM(O142:O146)</f>
        <v>100</v>
      </c>
      <c r="S147" s="66" t="s">
        <v>39</v>
      </c>
      <c r="T147" s="67">
        <f>C409</f>
        <v>0</v>
      </c>
      <c r="U147" s="67">
        <f t="shared" si="24"/>
        <v>3.3296366782370392E-2</v>
      </c>
      <c r="V147" s="67">
        <f t="shared" si="24"/>
        <v>0.36242856971391219</v>
      </c>
      <c r="W147" s="67">
        <f t="shared" si="24"/>
        <v>0.3801869682792221</v>
      </c>
      <c r="X147" s="67">
        <f t="shared" si="24"/>
        <v>0.17469198215506027</v>
      </c>
      <c r="AD147" s="51"/>
      <c r="AE147" s="51"/>
    </row>
    <row r="148" spans="1:35" x14ac:dyDescent="0.3">
      <c r="B148" s="16" t="s">
        <v>39</v>
      </c>
      <c r="C148" s="18">
        <f>SQRT(SUM((O142*O142*(C142/O142)*(1-C142/O142))/L142,(O143*O143*(C143/O143)*(1-C143/O143))/L143,(O144*O144*(C144/O144)*(1-C144/O144))/L144,(O145*O145*(C145/O145)*(1-C145/O145))/L145,(O146*O146*(C146/O146)*(1-C146/O146))/L146))</f>
        <v>0</v>
      </c>
      <c r="D148" s="18">
        <f>SQRT(SUM((O142*O142*(D142/O142)*(1-D142/O142))/L142,(O143*O143*(D143/O143)*(1-D143/O143))/L143,(O144*O144*(D144/O144)*(1-D144/O144))/L144,(O145*O145*(D145/O145)*(1-D145/O145))/L145,(O146*O146*(D146/O146)*(1-D146/O146))/L146))</f>
        <v>3.5170033976502244E-2</v>
      </c>
      <c r="E148" s="18">
        <f>SQRT(SUM((O142*O142*(E142/O142)*(1-E142/O142))/L142,(O143*O143*(E143/O143)*(1-E143/O143))/L143,(O144*O144*(E144/O144)*(1-E144/O144))/L144,(O145*O145*(E145/O145)*(1-E145/O145))/L145,(O146*O146*(E146/O146)*(1-E146/O146))/L146))</f>
        <v>0.38986748923993331</v>
      </c>
      <c r="F148" s="18">
        <f>SQRT(SUM((O142*O142*(F142/O142)*(1-F142/O142))/L142,(O143*O143*(F143/O143)*(1-F143/O143))/L143,(O144*O144*(F144/O144)*(1-F144/O144))/L144,(O145*O145*(F145/O145)*(1-F145/O145))/L145,(O146*O146*(F146/O146)*(1-F146/O146))/L146))</f>
        <v>0.39371429416567771</v>
      </c>
      <c r="G148" s="18">
        <f>SQRT(SUM((O142*O142*(G142/O142)*(1-G142/O142))/L142,(O143*O143*(G143/O143)*(1-G143/O143))/L143,(O144*O144*(G144/O144)*(1-G144/O144))/L144,(O145*O145*(G145/O145)*(1-G145/O145))/L145,(O146*O146*(G146/O146)*(1-G146/O146))/L146))</f>
        <v>0.18114174411465178</v>
      </c>
      <c r="H148" s="1"/>
      <c r="I148" s="56">
        <f>(C142+D143+E144+F145+G146)/H147</f>
        <v>0.96787351525662502</v>
      </c>
      <c r="J148" s="53">
        <f>SQRT(SUM(P142:P146))/100</f>
        <v>4.1199059189531298E-3</v>
      </c>
      <c r="M148" s="1"/>
      <c r="N148" s="9"/>
      <c r="S148" t="s">
        <v>30</v>
      </c>
      <c r="T148" s="57">
        <f>C410</f>
        <v>100</v>
      </c>
      <c r="U148" s="57">
        <f t="shared" si="24"/>
        <v>100</v>
      </c>
      <c r="V148" s="57">
        <f t="shared" si="24"/>
        <v>97.445478131774962</v>
      </c>
      <c r="W148" s="57">
        <f t="shared" si="24"/>
        <v>96.935811449585714</v>
      </c>
      <c r="X148" s="57">
        <f t="shared" si="24"/>
        <v>92.002428264342655</v>
      </c>
      <c r="AD148" s="51"/>
      <c r="AE148" s="51"/>
      <c r="AH148" s="78"/>
      <c r="AI148" s="78"/>
    </row>
    <row r="149" spans="1:35" x14ac:dyDescent="0.3">
      <c r="B149" s="1" t="s">
        <v>30</v>
      </c>
      <c r="C149" s="17">
        <f>C142/C147*100</f>
        <v>100</v>
      </c>
      <c r="D149" s="17">
        <f>D143/D147*100</f>
        <v>99.328507155880388</v>
      </c>
      <c r="E149" s="17">
        <f>E144/E147*100</f>
        <v>97.40126207435361</v>
      </c>
      <c r="F149" s="17">
        <f>F145/F147*100</f>
        <v>96.460136710526172</v>
      </c>
      <c r="G149" s="17">
        <f>G146/G147*100</f>
        <v>92.130071148822765</v>
      </c>
      <c r="H149" s="1"/>
      <c r="S149" s="66" t="s">
        <v>39</v>
      </c>
      <c r="T149" s="67">
        <f>C411</f>
        <v>0</v>
      </c>
      <c r="U149" s="67">
        <f t="shared" si="24"/>
        <v>0</v>
      </c>
      <c r="V149" s="67">
        <f t="shared" si="24"/>
        <v>0.42771334035748071</v>
      </c>
      <c r="W149" s="67">
        <f t="shared" si="24"/>
        <v>0.8324713184877689</v>
      </c>
      <c r="X149" s="67">
        <f t="shared" si="24"/>
        <v>2.352703200288278</v>
      </c>
      <c r="AD149" s="51"/>
      <c r="AE149" s="51"/>
    </row>
    <row r="150" spans="1:35" x14ac:dyDescent="0.3">
      <c r="B150" s="16" t="s">
        <v>39</v>
      </c>
      <c r="C150" s="18">
        <f>SQRT((C153+C154)/(C147*C147))</f>
        <v>0</v>
      </c>
      <c r="D150" s="18">
        <f>SQRT((D153+D154)/(D147*D147))</f>
        <v>0.7104292224663552</v>
      </c>
      <c r="E150" s="18">
        <f>SQRT((E153+E154)/(E147*E147))</f>
        <v>0.44195770349398322</v>
      </c>
      <c r="F150" s="18">
        <f>SQRT((F153+F154)/(F147*F147))</f>
        <v>0.90071493984425144</v>
      </c>
      <c r="G150" s="18">
        <f>SQRT((G153+G154)/(G147*G147))</f>
        <v>2.458463309790718</v>
      </c>
      <c r="H150" s="1"/>
      <c r="S150" s="15" t="s">
        <v>31</v>
      </c>
      <c r="T150" s="71">
        <f>I403</f>
        <v>100</v>
      </c>
      <c r="U150" s="71">
        <f>I404</f>
        <v>92.1875</v>
      </c>
      <c r="V150" s="71">
        <f>I405</f>
        <v>98.796791443850267</v>
      </c>
      <c r="W150" s="71">
        <f>I406</f>
        <v>93.689320388349515</v>
      </c>
      <c r="X150" s="71">
        <f>I407</f>
        <v>95.459032576505436</v>
      </c>
      <c r="AD150" s="51"/>
      <c r="AE150" s="51"/>
      <c r="AH150" s="78"/>
      <c r="AI150" s="78"/>
    </row>
    <row r="151" spans="1:35" x14ac:dyDescent="0.3">
      <c r="B151" s="1" t="s">
        <v>37</v>
      </c>
      <c r="C151" s="18">
        <f>100-C149</f>
        <v>0</v>
      </c>
      <c r="D151" s="18">
        <f>100-D149</f>
        <v>0.67149284411961219</v>
      </c>
      <c r="E151" s="18">
        <f>100-E149</f>
        <v>2.5987379256463896</v>
      </c>
      <c r="F151" s="18">
        <f>100-F149</f>
        <v>3.5398632894738284</v>
      </c>
      <c r="G151" s="18">
        <f>100-G149</f>
        <v>7.8699288511772352</v>
      </c>
      <c r="S151" s="75" t="s">
        <v>39</v>
      </c>
      <c r="T151" s="76">
        <f>J403</f>
        <v>0</v>
      </c>
      <c r="U151" s="76">
        <f>J404</f>
        <v>3.3811213593755247</v>
      </c>
      <c r="V151" s="76">
        <f>J405</f>
        <v>0.3989161097662422</v>
      </c>
      <c r="W151" s="76">
        <f>J406</f>
        <v>0.97890495828180346</v>
      </c>
      <c r="X151" s="76">
        <f>J407</f>
        <v>0.65447407996955353</v>
      </c>
      <c r="AD151" s="51"/>
      <c r="AE151" s="51"/>
    </row>
    <row r="152" spans="1:35" ht="15.6" x14ac:dyDescent="0.35">
      <c r="B152" s="1" t="s">
        <v>25</v>
      </c>
      <c r="C152" s="1">
        <f>C136</f>
        <v>450</v>
      </c>
      <c r="D152" s="1">
        <f>D136</f>
        <v>60</v>
      </c>
      <c r="E152" s="1">
        <f>E136</f>
        <v>776</v>
      </c>
      <c r="F152" s="1">
        <f>F136</f>
        <v>630</v>
      </c>
      <c r="G152" s="1">
        <f>G136</f>
        <v>977</v>
      </c>
      <c r="S152" s="66" t="s">
        <v>51</v>
      </c>
      <c r="T152" s="67">
        <f>N392*100</f>
        <v>100</v>
      </c>
      <c r="U152" s="67">
        <f>N393*100</f>
        <v>95.934959349593498</v>
      </c>
      <c r="V152" s="67">
        <f>N394*100</f>
        <v>96.664486592544151</v>
      </c>
      <c r="W152" s="67">
        <f>N395*100</f>
        <v>93.161705551086101</v>
      </c>
      <c r="X152" s="67">
        <f>N396*100</f>
        <v>97.137117026619791</v>
      </c>
      <c r="AD152" s="51"/>
      <c r="AE152" s="51"/>
      <c r="AH152" s="78"/>
      <c r="AI152" s="78"/>
    </row>
    <row r="153" spans="1:35" x14ac:dyDescent="0.3">
      <c r="B153" s="1" t="s">
        <v>34</v>
      </c>
      <c r="C153" s="18">
        <f>(O142*O142*(100-C149)*(100-C149)*(I142)*(100-I142))/(L142-1)</f>
        <v>0</v>
      </c>
      <c r="D153" s="18">
        <f>(O143*O143*(100-D149)*(100-D149)*(I143)*(100-I143))/((L143-1)*100)</f>
        <v>5.4770367412604104E-2</v>
      </c>
      <c r="E153" s="18">
        <f>(O144*O144*(100-E149)*(100-E149)*(I144)*(100-I144))/((L144-1)*100)</f>
        <v>53.460298833433427</v>
      </c>
      <c r="F153" s="18">
        <f>(O145*O145*(100-F149)*(100-F149)*(I145)*(100-I145))/((L145-1)*100)</f>
        <v>109.70255814613701</v>
      </c>
      <c r="G153" s="18">
        <f>(O146*O146*(100-G149)*(100-G149)*(I146)*(100-I146))/((L146-1)*100)</f>
        <v>11.234811750080617</v>
      </c>
      <c r="R153" s="16" t="s">
        <v>61</v>
      </c>
      <c r="S153" t="s">
        <v>9</v>
      </c>
      <c r="T153" s="30">
        <f>N403</f>
        <v>268.06</v>
      </c>
      <c r="U153" s="30">
        <f>N404</f>
        <v>958.2</v>
      </c>
      <c r="V153" s="30">
        <f>N405</f>
        <v>59508.94</v>
      </c>
      <c r="W153" s="30">
        <f>N406</f>
        <v>29488.79</v>
      </c>
      <c r="X153" s="30">
        <f>N407</f>
        <v>6314.47</v>
      </c>
      <c r="Z153" t="s">
        <v>36</v>
      </c>
      <c r="AA153" s="1">
        <f>N408</f>
        <v>96538.46</v>
      </c>
      <c r="AD153" s="51"/>
      <c r="AE153" s="51"/>
    </row>
    <row r="154" spans="1:35" ht="15.6" x14ac:dyDescent="0.35">
      <c r="B154" s="1" t="s">
        <v>35</v>
      </c>
      <c r="C154" s="18">
        <f>C149*C149*(SUM((H143*C143*(1-C132/H132))/(H132-1),(H144*C144*(1-C133/H133))/(H133-1), (H145*C145*(1-C134/H134))/(H134-1),(H146*C146*(1-C135/H135))/(H135-1)))</f>
        <v>0</v>
      </c>
      <c r="D154" s="18">
        <f>D149*D149*(SUM((H142*D142*(1-D131/H131))/(H131-1),(H144*D144*(1-D133/H133))/(H133-1), (H145*D145*(1-D134/H134))/(H134-1),(H146*D146*(1-D135/H135))/(H135-1)))</f>
        <v>0.40716291134529831</v>
      </c>
      <c r="E154" s="18">
        <f>E149*E149*(SUM((H142*E142*(1-E131/H131))/(H131-1),(H143*E143*(1-E132/H132))/(H132-1), (H145*E145*(1-E134/H134))/(H134-1),(H146*E146*(1-E135/H135))/(H135-1)))</f>
        <v>693.25634406612721</v>
      </c>
      <c r="F154" s="18">
        <f>F149*F149*(SUM((H142*F142*(1-F131/H131))/(H131-1),(H143*F143*(1-F132/H132))/(H132-1), (H144*F144*(1-F133/H133))/(H133-1),(H146*F146*(1-F135/H135))/(H135-1)))</f>
        <v>629.87263254636002</v>
      </c>
      <c r="G154" s="18">
        <f>G149*G149*(SUM((H142*G142*(1-G131/H131))/(H131-1),(H143*G143*(1-G132/H132))/(H132-1), (H144*G144*(1-G133/H133))/(H133-1),(H145*G145*(1-G134/H134))/(H134-1)))</f>
        <v>263.5533329833159</v>
      </c>
      <c r="R154" s="16" t="s">
        <v>318</v>
      </c>
      <c r="S154" t="s">
        <v>63</v>
      </c>
      <c r="T154" s="57">
        <f>$AA153*T146/100</f>
        <v>268.06000000000006</v>
      </c>
      <c r="U154" s="57">
        <f>$AA153*U146/100</f>
        <v>883.34062500000005</v>
      </c>
      <c r="V154" s="57">
        <f>$AA153*V146/100</f>
        <v>60334.172985164747</v>
      </c>
      <c r="W154" s="57">
        <f>$AA153*W146/100</f>
        <v>28501.176736026231</v>
      </c>
      <c r="X154" s="57">
        <f>$AA153*X146/100</f>
        <v>6551.7096538090263</v>
      </c>
      <c r="Z154" t="s">
        <v>36</v>
      </c>
      <c r="AA154" s="25">
        <f>SUM(T154:X154)</f>
        <v>96538.46</v>
      </c>
      <c r="AD154" s="51"/>
      <c r="AE154" s="51"/>
      <c r="AH154" s="78"/>
      <c r="AI154" s="78"/>
    </row>
    <row r="155" spans="1:35" x14ac:dyDescent="0.3">
      <c r="R155" s="66"/>
      <c r="S155" s="66" t="s">
        <v>62</v>
      </c>
      <c r="T155" s="67">
        <f>$AA153*T147/100</f>
        <v>0</v>
      </c>
      <c r="U155" s="67">
        <f>$AA153*U147/100</f>
        <v>32.143799727651931</v>
      </c>
      <c r="V155" s="67">
        <f>$AA153*V147/100</f>
        <v>349.88295980183727</v>
      </c>
      <c r="W155" s="67">
        <f>$AA153*W147/100</f>
        <v>367.02664429744954</v>
      </c>
      <c r="X155" s="67">
        <f>$AA153*X147/100</f>
        <v>168.64494931597</v>
      </c>
      <c r="AA155" s="1"/>
      <c r="AD155" s="51"/>
      <c r="AE155" s="51"/>
    </row>
    <row r="156" spans="1:35" x14ac:dyDescent="0.3">
      <c r="R156" t="s">
        <v>102</v>
      </c>
      <c r="S156" t="s">
        <v>28</v>
      </c>
      <c r="T156" s="57">
        <f>C437</f>
        <v>0.26880481300455933</v>
      </c>
      <c r="U156" s="57">
        <f t="shared" ref="U156:X159" si="26">D437</f>
        <v>1.0137087864990579</v>
      </c>
      <c r="V156" s="57">
        <f t="shared" si="26"/>
        <v>62.297899204640956</v>
      </c>
      <c r="W156" s="57">
        <f t="shared" si="26"/>
        <v>29.817069401431329</v>
      </c>
      <c r="X156" s="57">
        <f t="shared" si="26"/>
        <v>6.6025177944240925</v>
      </c>
      <c r="Z156" s="74"/>
      <c r="AA156" s="12"/>
      <c r="AD156" s="51"/>
      <c r="AE156" s="51"/>
      <c r="AH156" s="78"/>
      <c r="AI156" s="78"/>
    </row>
    <row r="157" spans="1:35" x14ac:dyDescent="0.3">
      <c r="A157" s="348" t="s">
        <v>388</v>
      </c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 t="s">
        <v>78</v>
      </c>
      <c r="M157" s="348"/>
      <c r="N157" s="348"/>
      <c r="O157" s="348"/>
      <c r="P157" s="348"/>
      <c r="S157" s="66" t="s">
        <v>39</v>
      </c>
      <c r="T157" s="67">
        <f>C438</f>
        <v>0</v>
      </c>
      <c r="U157" s="67">
        <f t="shared" si="26"/>
        <v>3.2717310400124842E-2</v>
      </c>
      <c r="V157" s="67">
        <f t="shared" si="26"/>
        <v>0.34434551717903022</v>
      </c>
      <c r="W157" s="67">
        <f t="shared" si="26"/>
        <v>0.36405352230327764</v>
      </c>
      <c r="X157" s="67">
        <f t="shared" si="26"/>
        <v>0.17603624784537666</v>
      </c>
      <c r="AD157" s="51"/>
      <c r="AE157" s="51"/>
    </row>
    <row r="158" spans="1:35" x14ac:dyDescent="0.3">
      <c r="A158" t="s">
        <v>315</v>
      </c>
      <c r="B158" t="s">
        <v>21</v>
      </c>
      <c r="I158" s="1" t="s">
        <v>53</v>
      </c>
      <c r="O158" s="142"/>
      <c r="P158" s="142"/>
      <c r="S158" t="s">
        <v>30</v>
      </c>
      <c r="T158" s="57">
        <f>C439</f>
        <v>100</v>
      </c>
      <c r="U158" s="57">
        <f t="shared" si="26"/>
        <v>100</v>
      </c>
      <c r="V158" s="57">
        <f t="shared" si="26"/>
        <v>97.681235949279383</v>
      </c>
      <c r="W158" s="57">
        <f t="shared" si="26"/>
        <v>97.117437392560106</v>
      </c>
      <c r="X158" s="57">
        <f t="shared" si="26"/>
        <v>91.716388164453875</v>
      </c>
      <c r="AD158" s="51"/>
      <c r="AE158" s="51"/>
      <c r="AH158" s="78"/>
      <c r="AI158" s="78"/>
    </row>
    <row r="159" spans="1:35" ht="15.6" x14ac:dyDescent="0.35">
      <c r="B159" s="1" t="s">
        <v>0</v>
      </c>
      <c r="C159" s="13">
        <v>0</v>
      </c>
      <c r="D159" s="13">
        <v>1</v>
      </c>
      <c r="E159" s="13">
        <v>2</v>
      </c>
      <c r="F159" s="13">
        <v>3</v>
      </c>
      <c r="G159" s="13">
        <v>4</v>
      </c>
      <c r="H159" s="1" t="s">
        <v>20</v>
      </c>
      <c r="I159" s="1" t="s">
        <v>1</v>
      </c>
      <c r="J159" s="1" t="s">
        <v>13</v>
      </c>
      <c r="N159" s="1" t="s">
        <v>51</v>
      </c>
      <c r="O159" s="13"/>
      <c r="P159" s="13"/>
      <c r="S159" s="66" t="s">
        <v>39</v>
      </c>
      <c r="T159" s="67">
        <f>C440</f>
        <v>0</v>
      </c>
      <c r="U159" s="67">
        <f t="shared" si="26"/>
        <v>0</v>
      </c>
      <c r="V159" s="67">
        <f t="shared" si="26"/>
        <v>0.40944571119109247</v>
      </c>
      <c r="W159" s="67">
        <f t="shared" si="26"/>
        <v>0.77129378500496037</v>
      </c>
      <c r="X159" s="67">
        <f t="shared" si="26"/>
        <v>2.4327789785858425</v>
      </c>
      <c r="AD159" s="51"/>
      <c r="AE159" s="51"/>
    </row>
    <row r="160" spans="1:35" x14ac:dyDescent="0.3">
      <c r="A160" t="s">
        <v>3</v>
      </c>
      <c r="B160" s="13">
        <v>0</v>
      </c>
      <c r="C160" s="26">
        <v>450</v>
      </c>
      <c r="D160" s="3">
        <v>0</v>
      </c>
      <c r="E160" s="3">
        <v>0</v>
      </c>
      <c r="F160" s="3">
        <v>0</v>
      </c>
      <c r="G160" s="4">
        <v>0</v>
      </c>
      <c r="H160" s="1">
        <f>SUM(C160:G160)</f>
        <v>450</v>
      </c>
      <c r="I160" s="10">
        <f>C160/H160</f>
        <v>1</v>
      </c>
      <c r="J160" s="11">
        <f>1-I160</f>
        <v>0</v>
      </c>
      <c r="K160">
        <f>H160-C165</f>
        <v>0</v>
      </c>
      <c r="N160" s="10">
        <f>2*(C166*I160)/(C166+I160)</f>
        <v>1</v>
      </c>
      <c r="O160" s="1"/>
      <c r="P160" s="1"/>
      <c r="S160" s="15" t="s">
        <v>31</v>
      </c>
      <c r="T160" s="71">
        <f>I432</f>
        <v>100</v>
      </c>
      <c r="U160" s="71">
        <f>I433</f>
        <v>93.75</v>
      </c>
      <c r="V160" s="71">
        <f>I434</f>
        <v>98.930481283422466</v>
      </c>
      <c r="W160" s="71">
        <f>I435</f>
        <v>94.174757281553397</v>
      </c>
      <c r="X160" s="71">
        <f>I436</f>
        <v>94.768015794669296</v>
      </c>
      <c r="AD160" s="51"/>
      <c r="AE160" s="51"/>
      <c r="AH160" s="78"/>
      <c r="AI160" s="78"/>
    </row>
    <row r="161" spans="1:35" x14ac:dyDescent="0.3">
      <c r="A161" t="s">
        <v>4</v>
      </c>
      <c r="B161" s="13">
        <v>1</v>
      </c>
      <c r="C161" s="5">
        <v>0</v>
      </c>
      <c r="D161" s="27">
        <v>61</v>
      </c>
      <c r="E161" s="1">
        <v>2</v>
      </c>
      <c r="F161" s="1">
        <v>1</v>
      </c>
      <c r="G161" s="6">
        <v>0</v>
      </c>
      <c r="H161" s="1">
        <f>SUM(C161:G161)</f>
        <v>64</v>
      </c>
      <c r="I161" s="10">
        <f>D161/H161</f>
        <v>0.953125</v>
      </c>
      <c r="J161" s="11">
        <f>1-I161</f>
        <v>4.6875E-2</v>
      </c>
      <c r="K161">
        <f>H161-D165</f>
        <v>3</v>
      </c>
      <c r="N161" s="10">
        <f>2*(D166*I161)/(D166+I161)</f>
        <v>0.97599999999999998</v>
      </c>
      <c r="O161" s="1"/>
      <c r="P161" s="1"/>
      <c r="S161" s="75" t="s">
        <v>39</v>
      </c>
      <c r="T161" s="76">
        <f>J432</f>
        <v>0</v>
      </c>
      <c r="U161" s="76">
        <f>J433</f>
        <v>3.0496877279641659</v>
      </c>
      <c r="V161" s="76">
        <f>J434</f>
        <v>0.37635609574809858</v>
      </c>
      <c r="W161" s="76">
        <f>J435</f>
        <v>0.94293484662788984</v>
      </c>
      <c r="X161" s="76">
        <f>J436</f>
        <v>0.69996101091886664</v>
      </c>
      <c r="AD161" s="51"/>
      <c r="AE161" s="51"/>
    </row>
    <row r="162" spans="1:35" x14ac:dyDescent="0.3">
      <c r="A162" t="s">
        <v>5</v>
      </c>
      <c r="B162" s="13">
        <v>2</v>
      </c>
      <c r="C162" s="5">
        <v>0</v>
      </c>
      <c r="D162" s="1">
        <v>0</v>
      </c>
      <c r="E162" s="27">
        <v>739</v>
      </c>
      <c r="F162" s="1">
        <v>8</v>
      </c>
      <c r="G162" s="6">
        <v>1</v>
      </c>
      <c r="H162" s="1">
        <f>SUM(C162:G162)</f>
        <v>748</v>
      </c>
      <c r="I162" s="10">
        <f>E162/H162</f>
        <v>0.98796791443850263</v>
      </c>
      <c r="J162" s="11">
        <f>1-I162</f>
        <v>1.2032085561497374E-2</v>
      </c>
      <c r="K162">
        <f>H162-E165</f>
        <v>-32</v>
      </c>
      <c r="N162" s="10">
        <f>2*(E166*I162)/(E166+I162)</f>
        <v>0.96727748691099469</v>
      </c>
      <c r="O162" s="1"/>
      <c r="P162" s="1"/>
      <c r="S162" s="66" t="s">
        <v>51</v>
      </c>
      <c r="T162" s="67">
        <f>N421*100</f>
        <v>100</v>
      </c>
      <c r="U162" s="67">
        <f>N422*100</f>
        <v>96.774193548387103</v>
      </c>
      <c r="V162" s="67">
        <f>N423*100</f>
        <v>96.985583224115331</v>
      </c>
      <c r="W162" s="67">
        <f>N424*100</f>
        <v>92.971246006389762</v>
      </c>
      <c r="X162" s="67">
        <f>N425*100</f>
        <v>96.774193548387103</v>
      </c>
      <c r="AD162" s="51"/>
      <c r="AE162" s="51"/>
      <c r="AH162" s="78"/>
      <c r="AI162" s="78"/>
    </row>
    <row r="163" spans="1:35" x14ac:dyDescent="0.3">
      <c r="A163" t="s">
        <v>6</v>
      </c>
      <c r="B163" s="13">
        <v>3</v>
      </c>
      <c r="C163" s="5">
        <v>0</v>
      </c>
      <c r="D163" s="1">
        <v>0</v>
      </c>
      <c r="E163" s="1">
        <v>31</v>
      </c>
      <c r="F163" s="27">
        <v>578</v>
      </c>
      <c r="G163" s="6">
        <v>9</v>
      </c>
      <c r="H163" s="1">
        <f>SUM(C163:G163)</f>
        <v>618</v>
      </c>
      <c r="I163" s="10">
        <f>F163/H163</f>
        <v>0.93527508090614886</v>
      </c>
      <c r="J163" s="11">
        <f>1-I163</f>
        <v>6.4724919093851141E-2</v>
      </c>
      <c r="K163">
        <f>H163-F165</f>
        <v>-14</v>
      </c>
      <c r="N163" s="10">
        <f>2*(F166*I163)/(F166+I163)</f>
        <v>0.92479999999999996</v>
      </c>
      <c r="O163" s="1"/>
      <c r="P163" s="1"/>
      <c r="R163" s="16" t="s">
        <v>61</v>
      </c>
      <c r="S163" t="s">
        <v>9</v>
      </c>
      <c r="T163" s="30">
        <f>N432</f>
        <v>259.5</v>
      </c>
      <c r="U163" s="30">
        <f>N433</f>
        <v>1043.8599999999999</v>
      </c>
      <c r="V163" s="30">
        <f>N434</f>
        <v>59381.99</v>
      </c>
      <c r="W163" s="30">
        <f>N435</f>
        <v>29684.38</v>
      </c>
      <c r="X163" s="30">
        <f>N436</f>
        <v>6168.72</v>
      </c>
      <c r="Z163" t="s">
        <v>36</v>
      </c>
      <c r="AA163" s="1">
        <f>N437</f>
        <v>96538.45</v>
      </c>
      <c r="AD163" s="51"/>
      <c r="AE163" s="51"/>
    </row>
    <row r="164" spans="1:35" ht="15.6" x14ac:dyDescent="0.35">
      <c r="A164" t="s">
        <v>7</v>
      </c>
      <c r="B164" s="13">
        <v>4</v>
      </c>
      <c r="C164" s="7">
        <v>0</v>
      </c>
      <c r="D164" s="8">
        <v>0</v>
      </c>
      <c r="E164" s="8">
        <v>8</v>
      </c>
      <c r="F164" s="8">
        <v>45</v>
      </c>
      <c r="G164" s="28">
        <v>960</v>
      </c>
      <c r="H164" s="1">
        <f>SUM(C164:G164)</f>
        <v>1013</v>
      </c>
      <c r="I164" s="10">
        <f>G164/H164</f>
        <v>0.94768015794669302</v>
      </c>
      <c r="J164" s="11">
        <f>1-I164</f>
        <v>5.2319842053306975E-2</v>
      </c>
      <c r="K164">
        <f>H164-G165</f>
        <v>43</v>
      </c>
      <c r="N164" s="10">
        <f>2*(G166*I164)/(G166+I164)</f>
        <v>0.9682299546142209</v>
      </c>
      <c r="O164" s="1"/>
      <c r="P164" s="1"/>
      <c r="R164" s="16" t="s">
        <v>318</v>
      </c>
      <c r="S164" t="s">
        <v>63</v>
      </c>
      <c r="T164" s="57">
        <f>$AA163*T156/100</f>
        <v>259.5</v>
      </c>
      <c r="U164" s="57">
        <f>$AA163*U156/100</f>
        <v>978.61874999999975</v>
      </c>
      <c r="V164" s="57">
        <f>$AA163*V156/100</f>
        <v>60141.426274722704</v>
      </c>
      <c r="W164" s="57">
        <f>$AA163*W156/100</f>
        <v>28784.936635566082</v>
      </c>
      <c r="X164" s="57">
        <f>$AA163*X156/100</f>
        <v>6373.9683397112058</v>
      </c>
      <c r="Z164" t="s">
        <v>36</v>
      </c>
      <c r="AA164" s="25">
        <f>SUM(T164:X164)</f>
        <v>96538.45</v>
      </c>
      <c r="AD164" s="51"/>
      <c r="AE164" s="51"/>
      <c r="AH164" s="78"/>
      <c r="AI164" s="78"/>
    </row>
    <row r="165" spans="1:35" ht="15.6" x14ac:dyDescent="0.35">
      <c r="B165" s="1" t="s">
        <v>19</v>
      </c>
      <c r="C165" s="1">
        <f>SUM(C160:C164)</f>
        <v>450</v>
      </c>
      <c r="D165" s="1">
        <f>SUM(D160:D164)</f>
        <v>61</v>
      </c>
      <c r="E165" s="1">
        <f>SUM(E160:E164)</f>
        <v>780</v>
      </c>
      <c r="F165" s="1">
        <f>SUM(F160:F164)</f>
        <v>632</v>
      </c>
      <c r="G165" s="1">
        <f>SUM(G160:G164)</f>
        <v>970</v>
      </c>
      <c r="H165" s="1">
        <f>SUM(H159:H164)</f>
        <v>2893</v>
      </c>
      <c r="I165" s="13" t="s">
        <v>12</v>
      </c>
      <c r="N165" s="16"/>
      <c r="O165" s="1"/>
      <c r="P165" s="1"/>
      <c r="R165" s="66"/>
      <c r="S165" s="66" t="s">
        <v>62</v>
      </c>
      <c r="T165" s="67">
        <f>$AA163*T157/100</f>
        <v>0</v>
      </c>
      <c r="U165" s="67">
        <f>$AA163*U157/100</f>
        <v>31.584784341969321</v>
      </c>
      <c r="V165" s="67">
        <f>$AA163*V157/100</f>
        <v>332.42582492911947</v>
      </c>
      <c r="W165" s="67">
        <f>$AA163*W157/100</f>
        <v>351.45162760198849</v>
      </c>
      <c r="X165" s="67">
        <f>$AA163*X157/100</f>
        <v>169.94266510808501</v>
      </c>
      <c r="AA165" s="1"/>
      <c r="AD165" s="51"/>
      <c r="AE165" s="51"/>
    </row>
    <row r="166" spans="1:35" x14ac:dyDescent="0.3">
      <c r="A166" s="1" t="s">
        <v>316</v>
      </c>
      <c r="B166" s="1" t="s">
        <v>2</v>
      </c>
      <c r="C166" s="10">
        <f>C160/C165</f>
        <v>1</v>
      </c>
      <c r="D166" s="10">
        <f>D161/D165</f>
        <v>1</v>
      </c>
      <c r="E166" s="10">
        <f>E162/E165</f>
        <v>0.9474358974358974</v>
      </c>
      <c r="F166" s="10">
        <f>F163/F165</f>
        <v>0.91455696202531644</v>
      </c>
      <c r="G166" s="10">
        <f>G164/G165</f>
        <v>0.98969072164948457</v>
      </c>
      <c r="H166" s="10"/>
      <c r="I166" s="14">
        <f>(C160+D161+E162+F163+G164)/H165</f>
        <v>0.96370549602488764</v>
      </c>
      <c r="R166" t="s">
        <v>103</v>
      </c>
      <c r="S166" t="s">
        <v>28</v>
      </c>
      <c r="T166" s="57">
        <f>C466</f>
        <v>0.2626414384484691</v>
      </c>
      <c r="U166" s="57">
        <f t="shared" ref="U166:X169" si="27">D466</f>
        <v>0.99661219217708663</v>
      </c>
      <c r="V166" s="57">
        <f t="shared" si="27"/>
        <v>63.186756607155033</v>
      </c>
      <c r="W166" s="57">
        <f t="shared" si="27"/>
        <v>28.890424165724877</v>
      </c>
      <c r="X166" s="57">
        <f t="shared" si="27"/>
        <v>6.6635655964945215</v>
      </c>
      <c r="Z166" s="74"/>
      <c r="AA166" s="12"/>
      <c r="AD166" s="51"/>
      <c r="AE166" s="51"/>
      <c r="AH166" s="78"/>
      <c r="AI166" s="78"/>
    </row>
    <row r="167" spans="1:35" x14ac:dyDescent="0.3">
      <c r="B167" s="1" t="s">
        <v>14</v>
      </c>
      <c r="C167" s="11">
        <f>1-C166</f>
        <v>0</v>
      </c>
      <c r="D167" s="11">
        <f>1-D166</f>
        <v>0</v>
      </c>
      <c r="E167" s="11">
        <f>1-E166</f>
        <v>5.2564102564102599E-2</v>
      </c>
      <c r="F167" s="11">
        <f>1-F166</f>
        <v>8.5443037974683556E-2</v>
      </c>
      <c r="G167" s="11">
        <f>1-G166</f>
        <v>1.0309278350515427E-2</v>
      </c>
      <c r="S167" s="66" t="s">
        <v>39</v>
      </c>
      <c r="T167" s="67">
        <f>C467</f>
        <v>0</v>
      </c>
      <c r="U167" s="67">
        <f t="shared" si="27"/>
        <v>2.2374604222441485E-2</v>
      </c>
      <c r="V167" s="67">
        <f t="shared" si="27"/>
        <v>0.36576406272294082</v>
      </c>
      <c r="W167" s="67">
        <f t="shared" si="27"/>
        <v>0.36893592036720302</v>
      </c>
      <c r="X167" s="67">
        <f t="shared" si="27"/>
        <v>0.17914706508510325</v>
      </c>
      <c r="AD167" s="51"/>
      <c r="AE167" s="51"/>
    </row>
    <row r="168" spans="1:35" x14ac:dyDescent="0.3">
      <c r="C168" s="2"/>
      <c r="S168" t="s">
        <v>30</v>
      </c>
      <c r="T168" s="57">
        <f>C468</f>
        <v>100</v>
      </c>
      <c r="U168" s="57">
        <f t="shared" si="27"/>
        <v>100</v>
      </c>
      <c r="V168" s="57">
        <f t="shared" si="27"/>
        <v>97.189499156554945</v>
      </c>
      <c r="W168" s="57">
        <f t="shared" si="27"/>
        <v>97.337647789958822</v>
      </c>
      <c r="X168" s="57">
        <f t="shared" si="27"/>
        <v>92.380553736161232</v>
      </c>
      <c r="AD168" s="51"/>
      <c r="AE168" s="51"/>
      <c r="AH168" s="78"/>
      <c r="AI168" s="78"/>
    </row>
    <row r="169" spans="1:35" ht="15.6" x14ac:dyDescent="0.35">
      <c r="A169" t="s">
        <v>317</v>
      </c>
      <c r="B169" s="15" t="s">
        <v>23</v>
      </c>
      <c r="N169" s="12" t="s">
        <v>17</v>
      </c>
      <c r="O169" s="1" t="s">
        <v>27</v>
      </c>
      <c r="P169" s="1" t="s">
        <v>33</v>
      </c>
      <c r="S169" s="66" t="s">
        <v>39</v>
      </c>
      <c r="T169" s="67">
        <f>C469</f>
        <v>0</v>
      </c>
      <c r="U169" s="67">
        <f t="shared" si="27"/>
        <v>0</v>
      </c>
      <c r="V169" s="67">
        <f t="shared" si="27"/>
        <v>0.44572097097321983</v>
      </c>
      <c r="W169" s="67">
        <f t="shared" si="27"/>
        <v>0.75232229681234553</v>
      </c>
      <c r="X169" s="67">
        <f t="shared" si="27"/>
        <v>2.4622949605700817</v>
      </c>
      <c r="AD169" s="51"/>
      <c r="AE169" s="51"/>
    </row>
    <row r="170" spans="1:35" ht="15.6" x14ac:dyDescent="0.35">
      <c r="B170" s="1" t="s">
        <v>0</v>
      </c>
      <c r="C170" s="13">
        <v>0</v>
      </c>
      <c r="D170" s="13">
        <v>1</v>
      </c>
      <c r="E170" s="13">
        <v>2</v>
      </c>
      <c r="F170" s="13">
        <v>3</v>
      </c>
      <c r="G170" s="13">
        <v>4</v>
      </c>
      <c r="H170" s="1" t="s">
        <v>28</v>
      </c>
      <c r="I170" s="1" t="s">
        <v>31</v>
      </c>
      <c r="J170" s="15" t="s">
        <v>39</v>
      </c>
      <c r="K170" s="1" t="s">
        <v>38</v>
      </c>
      <c r="L170" s="1" t="s">
        <v>26</v>
      </c>
      <c r="M170" t="s">
        <v>8</v>
      </c>
      <c r="N170" t="s">
        <v>9</v>
      </c>
      <c r="O170" s="1" t="s">
        <v>11</v>
      </c>
      <c r="S170" s="15" t="s">
        <v>31</v>
      </c>
      <c r="T170" s="71">
        <f>I461</f>
        <v>100</v>
      </c>
      <c r="U170" s="71">
        <f>I462</f>
        <v>96.875</v>
      </c>
      <c r="V170" s="71">
        <f>I463</f>
        <v>98.930481283422452</v>
      </c>
      <c r="W170" s="71">
        <f>I464</f>
        <v>93.203883495145618</v>
      </c>
      <c r="X170" s="71">
        <f>I465</f>
        <v>95.261599210266539</v>
      </c>
      <c r="AD170" s="51"/>
      <c r="AE170" s="51"/>
      <c r="AH170" s="78"/>
      <c r="AI170" s="78"/>
    </row>
    <row r="171" spans="1:35" x14ac:dyDescent="0.3">
      <c r="A171" t="s">
        <v>3</v>
      </c>
      <c r="B171" s="13">
        <v>0</v>
      </c>
      <c r="C171" s="29">
        <f>(C160/$L171)*$O171</f>
        <v>0.26503432207937067</v>
      </c>
      <c r="D171" s="31">
        <f>(D160/$L171)*$O171</f>
        <v>0</v>
      </c>
      <c r="E171" s="31">
        <f>(E160/$L171)*$O171</f>
        <v>0</v>
      </c>
      <c r="F171" s="31">
        <f>(F160/$L171)*$O171</f>
        <v>0</v>
      </c>
      <c r="G171" s="32">
        <f>(G160/$L171)*$O171</f>
        <v>0</v>
      </c>
      <c r="H171" s="17">
        <f>SUM(C171:G171)</f>
        <v>0.26503432207937067</v>
      </c>
      <c r="I171" s="17">
        <f>C171/H171*100</f>
        <v>100</v>
      </c>
      <c r="J171" s="17">
        <f>SQRT(I171*(100-I171)/(L171-1))</f>
        <v>0</v>
      </c>
      <c r="K171" s="18">
        <f>100-I171</f>
        <v>0</v>
      </c>
      <c r="L171" s="1">
        <f>H160</f>
        <v>450</v>
      </c>
      <c r="M171">
        <v>0</v>
      </c>
      <c r="N171" s="1">
        <v>255.86</v>
      </c>
      <c r="O171" s="17">
        <f>N171/N176*100</f>
        <v>0.26503432207937067</v>
      </c>
      <c r="P171" s="52">
        <f>((O171*O171*(I171/100)*(K171/100))/(L171-1))</f>
        <v>0</v>
      </c>
      <c r="S171" s="75" t="s">
        <v>39</v>
      </c>
      <c r="T171" s="76">
        <f>J461</f>
        <v>0</v>
      </c>
      <c r="U171" s="76">
        <f>J462</f>
        <v>2.1921011700381303</v>
      </c>
      <c r="V171" s="76">
        <f>J463</f>
        <v>0.37635609574810108</v>
      </c>
      <c r="W171" s="76">
        <f>J464</f>
        <v>1.0132225104353794</v>
      </c>
      <c r="X171" s="76">
        <f>J465</f>
        <v>0.66785867843198421</v>
      </c>
      <c r="AD171" s="51"/>
      <c r="AE171" s="51"/>
    </row>
    <row r="172" spans="1:35" x14ac:dyDescent="0.3">
      <c r="A172" t="s">
        <v>4</v>
      </c>
      <c r="B172" s="13">
        <v>1</v>
      </c>
      <c r="C172" s="33">
        <f t="shared" ref="C172:G175" si="28">(C161/$L172)*$O172</f>
        <v>0</v>
      </c>
      <c r="D172" s="34">
        <f t="shared" si="28"/>
        <v>1.0038876741741425</v>
      </c>
      <c r="E172" s="19">
        <f t="shared" si="28"/>
        <v>3.2914349972922703E-2</v>
      </c>
      <c r="F172" s="18">
        <f t="shared" si="28"/>
        <v>1.6457174986461352E-2</v>
      </c>
      <c r="G172" s="20">
        <f t="shared" si="28"/>
        <v>0</v>
      </c>
      <c r="H172" s="17">
        <f>SUM(C172:G172)</f>
        <v>1.0532591991335265</v>
      </c>
      <c r="I172" s="17">
        <f>D172/H172*100</f>
        <v>95.3125</v>
      </c>
      <c r="J172" s="17">
        <f>SQRT(I172*(100-I172)/(L172-1))</f>
        <v>2.6630253226448333</v>
      </c>
      <c r="K172" s="18">
        <f>100-I172</f>
        <v>4.6875</v>
      </c>
      <c r="L172" s="1">
        <f>H161</f>
        <v>64</v>
      </c>
      <c r="M172">
        <v>1</v>
      </c>
      <c r="N172" s="1">
        <v>1016.8</v>
      </c>
      <c r="O172" s="17">
        <f>N172/N176*100</f>
        <v>1.0532591991335265</v>
      </c>
      <c r="P172" s="52">
        <f>((O172*O172*(I172/100)*(K172/100))/(L172-1))</f>
        <v>7.8672167241121708E-4</v>
      </c>
      <c r="S172" s="66" t="s">
        <v>51</v>
      </c>
      <c r="T172" s="67">
        <f>N450*100</f>
        <v>100</v>
      </c>
      <c r="U172" s="67">
        <f>N451*100</f>
        <v>98.412698412698404</v>
      </c>
      <c r="V172" s="67">
        <f>N452*100</f>
        <v>96.605744125326382</v>
      </c>
      <c r="W172" s="67">
        <f>N453*100</f>
        <v>92.828364222401291</v>
      </c>
      <c r="X172" s="67">
        <f>N454*100</f>
        <v>97.131353799698033</v>
      </c>
      <c r="AD172" s="51"/>
      <c r="AE172" s="51"/>
      <c r="AH172" s="78"/>
      <c r="AI172" s="78"/>
    </row>
    <row r="173" spans="1:35" x14ac:dyDescent="0.3">
      <c r="A173" t="s">
        <v>5</v>
      </c>
      <c r="B173" s="13">
        <v>2</v>
      </c>
      <c r="C173" s="33">
        <f t="shared" si="28"/>
        <v>0</v>
      </c>
      <c r="D173" s="19">
        <f t="shared" si="28"/>
        <v>0</v>
      </c>
      <c r="E173" s="34">
        <f t="shared" si="28"/>
        <v>61.001045476978675</v>
      </c>
      <c r="F173" s="19">
        <f t="shared" si="28"/>
        <v>0.66036314454104117</v>
      </c>
      <c r="G173" s="20">
        <f t="shared" si="28"/>
        <v>8.2545393067630146E-2</v>
      </c>
      <c r="H173" s="17">
        <f>SUM(C173:G173)</f>
        <v>61.743954014587352</v>
      </c>
      <c r="I173" s="17">
        <f>E173/H173*100</f>
        <v>98.796791443850267</v>
      </c>
      <c r="J173" s="17">
        <f>SQRT(I173*(100-I173)/(L173-1))</f>
        <v>0.3989161097662422</v>
      </c>
      <c r="K173" s="18">
        <f>100-I173</f>
        <v>1.2032085561497325</v>
      </c>
      <c r="L173" s="1">
        <f>H162</f>
        <v>748</v>
      </c>
      <c r="M173">
        <v>2</v>
      </c>
      <c r="N173" s="1">
        <v>59606.65</v>
      </c>
      <c r="O173" s="17">
        <f>N173/N176*100</f>
        <v>61.743954014587352</v>
      </c>
      <c r="P173" s="52">
        <f>((O173*O173*(I173/100)*(K173/100))/(L173-1))</f>
        <v>6.0666931041368513E-2</v>
      </c>
      <c r="R173" s="16" t="s">
        <v>61</v>
      </c>
      <c r="S173" t="s">
        <v>9</v>
      </c>
      <c r="T173" s="1">
        <f>N461</f>
        <v>253.55</v>
      </c>
      <c r="U173" s="1">
        <f>N462</f>
        <v>993.15</v>
      </c>
      <c r="V173" s="1">
        <f>N463</f>
        <v>59926.05</v>
      </c>
      <c r="W173" s="1">
        <f>N464</f>
        <v>29127.360000000001</v>
      </c>
      <c r="X173" s="1">
        <f>N465</f>
        <v>6238.35</v>
      </c>
      <c r="Z173" t="s">
        <v>36</v>
      </c>
      <c r="AA173" s="1">
        <f>N466</f>
        <v>96538.46</v>
      </c>
      <c r="AD173" s="51"/>
      <c r="AE173" s="51"/>
    </row>
    <row r="174" spans="1:35" ht="15.6" x14ac:dyDescent="0.35">
      <c r="A174" t="s">
        <v>6</v>
      </c>
      <c r="B174" s="13">
        <v>3</v>
      </c>
      <c r="C174" s="33">
        <f t="shared" si="28"/>
        <v>0</v>
      </c>
      <c r="D174" s="19">
        <f t="shared" si="28"/>
        <v>0</v>
      </c>
      <c r="E174" s="19">
        <f t="shared" si="28"/>
        <v>1.5252149691501931</v>
      </c>
      <c r="F174" s="34">
        <f t="shared" si="28"/>
        <v>28.437879102219728</v>
      </c>
      <c r="G174" s="20">
        <f t="shared" si="28"/>
        <v>0.4428043458823141</v>
      </c>
      <c r="H174" s="17">
        <f>SUM(C174:G174)</f>
        <v>30.405898417252239</v>
      </c>
      <c r="I174" s="17">
        <f>F174/H174*100</f>
        <v>93.527508090614873</v>
      </c>
      <c r="J174" s="17">
        <f>SQRT(I174*(100-I174)/(L174-1))</f>
        <v>0.99051910773596052</v>
      </c>
      <c r="K174" s="18">
        <f>100-I174</f>
        <v>6.472491909385127</v>
      </c>
      <c r="L174" s="1">
        <f>H163</f>
        <v>618</v>
      </c>
      <c r="M174">
        <v>3</v>
      </c>
      <c r="N174" s="1">
        <v>29353.38</v>
      </c>
      <c r="O174" s="17">
        <f>N174/N176*100</f>
        <v>30.405898417252235</v>
      </c>
      <c r="P174" s="52">
        <f>((O174*O174*(I174/100)*(K174/100))/(L174-1))</f>
        <v>9.0707123746722559E-2</v>
      </c>
      <c r="R174" s="16" t="s">
        <v>318</v>
      </c>
      <c r="S174" t="s">
        <v>63</v>
      </c>
      <c r="T174" s="57">
        <f>$AA173*T166/100</f>
        <v>253.54999999999995</v>
      </c>
      <c r="U174" s="57">
        <f>$AA173*U166/100</f>
        <v>962.11406250000005</v>
      </c>
      <c r="V174" s="57">
        <f>$AA173*V166/100</f>
        <v>60999.521752495719</v>
      </c>
      <c r="W174" s="57">
        <f>$AA173*W166/100</f>
        <v>27890.370577058649</v>
      </c>
      <c r="X174" s="57">
        <f>$AA173*X166/100</f>
        <v>6432.9036079456246</v>
      </c>
      <c r="Z174" t="s">
        <v>36</v>
      </c>
      <c r="AA174" s="25">
        <f>SUM(T174:X174)</f>
        <v>96538.459999999992</v>
      </c>
      <c r="AD174" s="51"/>
      <c r="AE174" s="51"/>
      <c r="AH174" s="78"/>
      <c r="AI174" s="78"/>
    </row>
    <row r="175" spans="1:35" x14ac:dyDescent="0.3">
      <c r="A175" t="s">
        <v>7</v>
      </c>
      <c r="B175" s="13">
        <v>4</v>
      </c>
      <c r="C175" s="35">
        <f t="shared" si="28"/>
        <v>0</v>
      </c>
      <c r="D175" s="36">
        <f t="shared" si="28"/>
        <v>0</v>
      </c>
      <c r="E175" s="21">
        <f t="shared" si="28"/>
        <v>5.158423729079973E-2</v>
      </c>
      <c r="F175" s="21">
        <f t="shared" si="28"/>
        <v>0.29016133476074851</v>
      </c>
      <c r="G175" s="37">
        <f t="shared" si="28"/>
        <v>6.1901084748959683</v>
      </c>
      <c r="H175" s="17">
        <f>SUM(C175:G175)</f>
        <v>6.5318540469475161</v>
      </c>
      <c r="I175" s="17">
        <f>G175/H175*100</f>
        <v>94.768015794669296</v>
      </c>
      <c r="J175" s="17">
        <f>SQRT(I175*(100-I175)/(L175-1))</f>
        <v>0.69996101091886664</v>
      </c>
      <c r="K175" s="18">
        <f>100-I175</f>
        <v>5.2319842053307042</v>
      </c>
      <c r="L175" s="1">
        <f>H164</f>
        <v>1013</v>
      </c>
      <c r="M175">
        <v>4</v>
      </c>
      <c r="N175" s="1">
        <v>6305.75</v>
      </c>
      <c r="O175" s="17">
        <f>N175/N176*100</f>
        <v>6.5318540469475161</v>
      </c>
      <c r="P175" s="52">
        <f>((O175*O175*(I175/100)*(K175/100))/(L175-1))</f>
        <v>2.0903578674055937E-3</v>
      </c>
      <c r="R175" s="66"/>
      <c r="S175" s="66" t="s">
        <v>62</v>
      </c>
      <c r="T175" s="67">
        <f>$AA173*T167/100</f>
        <v>0</v>
      </c>
      <c r="U175" s="67">
        <f>$AA173*U167/100</f>
        <v>21.600098347439985</v>
      </c>
      <c r="V175" s="67">
        <f>$AA173*V167/100</f>
        <v>353.10299338616119</v>
      </c>
      <c r="W175" s="67">
        <f>$AA173*W167/100</f>
        <v>356.16505590932417</v>
      </c>
      <c r="X175" s="67">
        <f>$AA173*X167/100</f>
        <v>172.94581776835639</v>
      </c>
      <c r="AA175" s="1"/>
      <c r="AD175" s="51"/>
      <c r="AE175" s="51"/>
    </row>
    <row r="176" spans="1:35" x14ac:dyDescent="0.3">
      <c r="B176" t="s">
        <v>28</v>
      </c>
      <c r="C176" s="17">
        <f t="shared" ref="C176:H176" si="29">SUM(C171:C175)</f>
        <v>0.26503432207937067</v>
      </c>
      <c r="D176" s="17">
        <f t="shared" si="29"/>
        <v>1.0038876741741425</v>
      </c>
      <c r="E176" s="17">
        <f t="shared" si="29"/>
        <v>62.610759033392583</v>
      </c>
      <c r="F176" s="17">
        <f t="shared" si="29"/>
        <v>29.404860756507983</v>
      </c>
      <c r="G176" s="17">
        <f t="shared" si="29"/>
        <v>6.7154582138459125</v>
      </c>
      <c r="H176" s="18">
        <f t="shared" si="29"/>
        <v>100</v>
      </c>
      <c r="I176" s="13" t="s">
        <v>24</v>
      </c>
      <c r="J176" s="12" t="s">
        <v>29</v>
      </c>
      <c r="N176" s="1">
        <f>SUM(N171:N175)</f>
        <v>96538.44</v>
      </c>
      <c r="O176" s="17">
        <f>SUM(O171:O175)</f>
        <v>100</v>
      </c>
      <c r="R176" t="s">
        <v>104</v>
      </c>
      <c r="S176" t="s">
        <v>28</v>
      </c>
      <c r="T176" s="57">
        <f>C495</f>
        <v>0.28012672670837374</v>
      </c>
      <c r="U176" s="57">
        <f t="shared" ref="U176:X179" si="30">D495</f>
        <v>0.84071116871049822</v>
      </c>
      <c r="V176" s="57">
        <f t="shared" si="30"/>
        <v>62.833992278285741</v>
      </c>
      <c r="W176" s="57">
        <f t="shared" si="30"/>
        <v>29.410207283825489</v>
      </c>
      <c r="X176" s="57">
        <f t="shared" si="30"/>
        <v>6.6349625424698937</v>
      </c>
      <c r="AD176" s="51"/>
      <c r="AE176" s="51"/>
      <c r="AH176" s="78"/>
      <c r="AI176" s="78"/>
    </row>
    <row r="177" spans="1:41" x14ac:dyDescent="0.3">
      <c r="B177" s="16" t="s">
        <v>39</v>
      </c>
      <c r="C177" s="18">
        <f>SQRT(SUM((O171*O171*(C171/O171)*(1-C171/O171))/L171,(O172*O172*(C172/O172)*(1-C172/O172))/L172,(O173*O173*(C173/O173)*(1-C173/O173))/L173,(O174*O174*(C174/O174)*(1-C174/O174))/L174,(O175*O175*(C175/O175)*(1-C175/O175))/L175))</f>
        <v>0</v>
      </c>
      <c r="D177" s="18">
        <f>SQRT(SUM((O171*O171*(D171/O171)*(1-D171/O171))/L171,(O172*O172*(D172/O172)*(1-D172/O172))/L172,(O173*O173*(D173/O173)*(1-D173/O173))/L173,(O174*O174*(D174/O174)*(1-D174/O174))/L174,(O175*O175*(D175/O175)*(1-D175/O175))/L175))</f>
        <v>2.7828567089948988E-2</v>
      </c>
      <c r="E177" s="18">
        <f>SQRT(SUM((O171*O171*(E171/O171)*(1-E171/O171))/L171,(O172*O172*(E172/O172)*(1-E172/O172))/L172,(O173*O173*(E173/O173)*(1-E173/O173))/L173,(O174*O174*(E174/O174)*(1-E174/O174))/L174,(O175*O175*(E175/O175)*(1-E175/O175))/L175))</f>
        <v>0.36430436443330494</v>
      </c>
      <c r="F177" s="18">
        <f>SQRT(SUM((O171*O171*(F171/O171)*(1-F171/O171))/L171,(O172*O172*(F172/O172)*(1-F172/O172))/L172,(O173*O173*(F173/O173)*(1-F173/O173))/L173,(O174*O174*(F174/O174)*(1-F174/O174))/L174,(O175*O175*(F175/O175)*(1-F175/O175))/L175))</f>
        <v>0.38280772243672589</v>
      </c>
      <c r="G177" s="18">
        <f>SQRT(SUM((O171*O171*(G171/O171)*(1-G171/O171))/L171,(O172*O172*(G172/O172)*(1-G172/O172))/L172,(O173*O173*(G173/O173)*(1-G173/O173))/L173,(O174*O174*(G174/O174)*(1-G174/O174))/L174,(O175*O175*(G175/O175)*(1-G175/O175))/L175))</f>
        <v>0.17424649216322088</v>
      </c>
      <c r="H177" s="1"/>
      <c r="I177" s="14">
        <f>(C171+D172+E173+F174+G175)/H176</f>
        <v>0.96897955050347873</v>
      </c>
      <c r="J177" s="53">
        <f>SQRT(SUM(P171:P175))/100</f>
        <v>3.9274818182635542E-3</v>
      </c>
      <c r="M177" s="1"/>
      <c r="N177" s="9"/>
      <c r="S177" s="66" t="s">
        <v>39</v>
      </c>
      <c r="T177" s="67">
        <f>C496</f>
        <v>0</v>
      </c>
      <c r="U177" s="67">
        <f t="shared" si="30"/>
        <v>3.0592560413295215E-2</v>
      </c>
      <c r="V177" s="67">
        <f t="shared" si="30"/>
        <v>0.37471576676562957</v>
      </c>
      <c r="W177" s="67">
        <f t="shared" si="30"/>
        <v>0.39212552242700843</v>
      </c>
      <c r="X177" s="67">
        <f t="shared" si="30"/>
        <v>0.17558661889254609</v>
      </c>
      <c r="AD177" s="51"/>
      <c r="AE177" s="51"/>
    </row>
    <row r="178" spans="1:41" x14ac:dyDescent="0.3">
      <c r="B178" s="1" t="s">
        <v>30</v>
      </c>
      <c r="C178" s="17">
        <f>C171/C176*100</f>
        <v>100</v>
      </c>
      <c r="D178" s="17">
        <f>D172/D176*100</f>
        <v>100</v>
      </c>
      <c r="E178" s="17">
        <f>E173/E176*100</f>
        <v>97.429014467696533</v>
      </c>
      <c r="F178" s="17">
        <f>F174/F176*100</f>
        <v>96.711490449502506</v>
      </c>
      <c r="G178" s="17">
        <f>G175/G176*100</f>
        <v>92.177008296071591</v>
      </c>
      <c r="H178" s="1"/>
      <c r="S178" s="70" t="s">
        <v>30</v>
      </c>
      <c r="T178" s="64">
        <f>C497</f>
        <v>100</v>
      </c>
      <c r="U178" s="64">
        <f t="shared" si="30"/>
        <v>100</v>
      </c>
      <c r="V178" s="64">
        <f t="shared" si="30"/>
        <v>97.150960831342687</v>
      </c>
      <c r="W178" s="64">
        <f t="shared" si="30"/>
        <v>96.736703492799165</v>
      </c>
      <c r="X178" s="64">
        <f t="shared" si="30"/>
        <v>91.828676511785872</v>
      </c>
      <c r="AD178" s="51"/>
      <c r="AE178" s="51"/>
      <c r="AH178" s="78"/>
      <c r="AI178" s="78"/>
    </row>
    <row r="179" spans="1:41" x14ac:dyDescent="0.3">
      <c r="B179" s="16" t="s">
        <v>39</v>
      </c>
      <c r="C179" s="18">
        <f>SQRT((C182+C183)/(C176*C176))</f>
        <v>0</v>
      </c>
      <c r="D179" s="18">
        <f>SQRT((D182+D183)/(D176*D176))</f>
        <v>0</v>
      </c>
      <c r="E179" s="18">
        <f>SQRT((E182+E183)/(E176*E176))</f>
        <v>0.43034300137890902</v>
      </c>
      <c r="F179" s="18">
        <f>SQRT((F182+F183)/(F176*F176))</f>
        <v>0.84844637992784944</v>
      </c>
      <c r="G179" s="18">
        <f>SQRT((G182+G183)/(G176*G176))</f>
        <v>2.3704089707885321</v>
      </c>
      <c r="H179" s="1"/>
      <c r="S179" s="66" t="s">
        <v>39</v>
      </c>
      <c r="T179" s="67">
        <f>C498</f>
        <v>0</v>
      </c>
      <c r="U179" s="67">
        <f t="shared" si="30"/>
        <v>0</v>
      </c>
      <c r="V179" s="67">
        <f t="shared" si="30"/>
        <v>0.45105731742639815</v>
      </c>
      <c r="W179" s="67">
        <f t="shared" si="30"/>
        <v>0.85173511468147189</v>
      </c>
      <c r="X179" s="67">
        <f t="shared" si="30"/>
        <v>2.4147662887986292</v>
      </c>
      <c r="AD179" s="51"/>
      <c r="AE179" s="51"/>
    </row>
    <row r="180" spans="1:41" x14ac:dyDescent="0.3">
      <c r="B180" s="1" t="s">
        <v>37</v>
      </c>
      <c r="C180" s="18">
        <f>100-C178</f>
        <v>0</v>
      </c>
      <c r="D180" s="18">
        <f>100-D178</f>
        <v>0</v>
      </c>
      <c r="E180" s="18">
        <f>100-E178</f>
        <v>2.5709855323034674</v>
      </c>
      <c r="F180" s="18">
        <f>100-F178</f>
        <v>3.2885095504974942</v>
      </c>
      <c r="G180" s="18">
        <f>100-G178</f>
        <v>7.8229917039284089</v>
      </c>
      <c r="S180" s="70" t="s">
        <v>31</v>
      </c>
      <c r="T180" s="64">
        <f>I490</f>
        <v>100</v>
      </c>
      <c r="U180" s="64">
        <f>I491</f>
        <v>92.187500000000014</v>
      </c>
      <c r="V180" s="64">
        <f>I492</f>
        <v>98.796791443850267</v>
      </c>
      <c r="W180" s="64">
        <f>I493</f>
        <v>93.042071197411005</v>
      </c>
      <c r="X180" s="64">
        <f>I494</f>
        <v>94.570582428430399</v>
      </c>
      <c r="AD180" s="51"/>
      <c r="AE180" s="51"/>
      <c r="AH180" s="78"/>
      <c r="AI180" s="78"/>
    </row>
    <row r="181" spans="1:41" ht="15.6" x14ac:dyDescent="0.35">
      <c r="B181" s="1" t="s">
        <v>25</v>
      </c>
      <c r="C181" s="1">
        <f>C165</f>
        <v>450</v>
      </c>
      <c r="D181" s="1">
        <f>D165</f>
        <v>61</v>
      </c>
      <c r="E181" s="1">
        <f>E165</f>
        <v>780</v>
      </c>
      <c r="F181" s="1">
        <f>F165</f>
        <v>632</v>
      </c>
      <c r="G181" s="1">
        <f>G165</f>
        <v>970</v>
      </c>
      <c r="S181" s="66" t="s">
        <v>39</v>
      </c>
      <c r="T181" s="67">
        <f>J490</f>
        <v>0</v>
      </c>
      <c r="U181" s="67">
        <f>J491</f>
        <v>3.3811213593755221</v>
      </c>
      <c r="V181" s="67">
        <f>J492</f>
        <v>0.3989161097662422</v>
      </c>
      <c r="W181" s="67">
        <f>J493</f>
        <v>1.0243233976994559</v>
      </c>
      <c r="X181" s="67">
        <f>J494</f>
        <v>0.71230238365553367</v>
      </c>
      <c r="AD181" s="51"/>
      <c r="AE181" s="51"/>
      <c r="AN181" s="2"/>
      <c r="AO181" s="2"/>
    </row>
    <row r="182" spans="1:41" x14ac:dyDescent="0.3">
      <c r="B182" s="1" t="s">
        <v>34</v>
      </c>
      <c r="C182" s="18">
        <f>(O171*O171*(100-C178)*(100-C178)*(I171)*(100-I171))/(L171-1)</f>
        <v>0</v>
      </c>
      <c r="D182" s="18">
        <f>(O172*O172*(100-D178)*(100-D178)*(I172)*(100-I172))/((L172-1)*100)</f>
        <v>0</v>
      </c>
      <c r="E182" s="18">
        <f>(O173*O173*(100-E178)*(100-E178)*(I173)*(100-I173))/((L173-1)*100)</f>
        <v>40.100638835165149</v>
      </c>
      <c r="F182" s="18">
        <f>(O174*O174*(100-F178)*(100-F178)*(I174)*(100-I174))/((L174-1)*100)</f>
        <v>98.093360057780728</v>
      </c>
      <c r="G182" s="18">
        <f>(O175*O175*(100-G178)*(100-G178)*(I175)*(100-I175))/((L175-1)*100)</f>
        <v>12.792822752608338</v>
      </c>
      <c r="S182" s="68" t="s">
        <v>51</v>
      </c>
      <c r="T182" s="65">
        <f>N479*100</f>
        <v>100</v>
      </c>
      <c r="U182" s="65">
        <f>N480*100</f>
        <v>95.934959349593498</v>
      </c>
      <c r="V182" s="65">
        <f>N481*100</f>
        <v>96.412263535551219</v>
      </c>
      <c r="W182" s="65">
        <f>N482*100</f>
        <v>92.147435897435898</v>
      </c>
      <c r="X182" s="65">
        <f>N483*100</f>
        <v>96.670030272452067</v>
      </c>
      <c r="AD182" s="51"/>
      <c r="AE182" s="51"/>
      <c r="AH182" s="78"/>
      <c r="AI182" s="78"/>
    </row>
    <row r="183" spans="1:41" x14ac:dyDescent="0.3">
      <c r="B183" s="1" t="s">
        <v>35</v>
      </c>
      <c r="C183" s="18">
        <f>C178*C178*(SUM((H172*C172*(1-C161/H161))/(H161-1),(H173*C173*(1-C162/H162))/(H162-1), (H174*C174*(1-C163/H163))/(H163-1),(H175*C175*(1-C164/H164))/(H164-1)))</f>
        <v>0</v>
      </c>
      <c r="D183" s="18">
        <f>D178*D178*(SUM((H171*D171*(1-D160/H160))/(H160-1),(H173*D173*(1-D162/H162))/(H162-1), (H174*D174*(1-D163/H163))/(H163-1),(H175*D175*(1-D164/H164))/(H164-1)))</f>
        <v>0</v>
      </c>
      <c r="E183" s="18">
        <f>E178*E178*(SUM((H171*E171*(1-E160/H160))/(H160-1),(H172*E172*(1-E161/H161))/(H161-1), (H174*E174*(1-E163/H163))/(H163-1),(H175*E175*(1-E164/H164))/(H164-1)))</f>
        <v>685.8839916518516</v>
      </c>
      <c r="F183" s="18">
        <f>F178*F178*(SUM((H171*F171*(1-F160/H160))/(H160-1),(H172*F172*(1-F161/H161))/(H161-1), (H173*F173*(1-F162/H162))/(H162-1),(H175*F175*(1-F164/H164))/(H164-1)))</f>
        <v>524.33168064294512</v>
      </c>
      <c r="G183" s="18">
        <f>G178*G178*(SUM((H171*G171*(1-G160/H160))/(H160-1),(H172*G172*(1-G161/H161))/(H161-1), (H173*G173*(1-G162/H162))/(H162-1),(H174*G174*(1-G163/H163))/(H163-1)))</f>
        <v>240.60207525894322</v>
      </c>
      <c r="R183" s="16" t="s">
        <v>61</v>
      </c>
      <c r="S183" t="s">
        <v>9</v>
      </c>
      <c r="T183" s="1">
        <f>N490</f>
        <v>270.43</v>
      </c>
      <c r="U183" s="1">
        <f>N491</f>
        <v>880.39</v>
      </c>
      <c r="V183" s="1">
        <f>N492</f>
        <v>59648.46</v>
      </c>
      <c r="W183" s="1">
        <f>N493</f>
        <v>29519.59</v>
      </c>
      <c r="X183" s="1">
        <f>N494</f>
        <v>6219.58</v>
      </c>
      <c r="Z183" t="s">
        <v>36</v>
      </c>
      <c r="AA183" s="1">
        <f>N495</f>
        <v>96538.45</v>
      </c>
      <c r="AD183" s="51"/>
      <c r="AE183" s="51"/>
      <c r="AN183" s="78"/>
      <c r="AO183" s="78"/>
    </row>
    <row r="184" spans="1:41" ht="15.6" x14ac:dyDescent="0.35">
      <c r="R184" s="16" t="s">
        <v>318</v>
      </c>
      <c r="S184" t="s">
        <v>63</v>
      </c>
      <c r="T184" s="57">
        <f>$AA183*T176/100</f>
        <v>270.43000000000006</v>
      </c>
      <c r="U184" s="57">
        <f>$AA183*U176/100</f>
        <v>811.60953125000003</v>
      </c>
      <c r="V184" s="57">
        <f>$AA183*V176/100</f>
        <v>60658.962218576737</v>
      </c>
      <c r="W184" s="57">
        <f>$AA183*W176/100</f>
        <v>28392.158253592224</v>
      </c>
      <c r="X184" s="57">
        <f>$AA183*X176/100</f>
        <v>6405.2899965810266</v>
      </c>
      <c r="Z184" t="s">
        <v>36</v>
      </c>
      <c r="AA184" s="25">
        <f>SUM(T184:X184)</f>
        <v>96538.449999999983</v>
      </c>
      <c r="AD184" s="51"/>
      <c r="AE184" s="51"/>
      <c r="AH184" s="78"/>
      <c r="AI184" s="78"/>
    </row>
    <row r="185" spans="1:41" x14ac:dyDescent="0.3">
      <c r="R185" s="66"/>
      <c r="S185" s="66" t="s">
        <v>62</v>
      </c>
      <c r="T185" s="67">
        <f>$AA183*T177/100</f>
        <v>0</v>
      </c>
      <c r="U185" s="67">
        <f>$AA183*U177/100</f>
        <v>29.533583638308791</v>
      </c>
      <c r="V185" s="67">
        <f>$AA183*V177/100</f>
        <v>361.74479314115393</v>
      </c>
      <c r="W185" s="67">
        <f>$AA183*W177/100</f>
        <v>378.5519014054363</v>
      </c>
      <c r="X185" s="67">
        <f>$AA183*X177/100</f>
        <v>169.50860028627119</v>
      </c>
      <c r="AA185" s="1"/>
      <c r="AD185" s="51"/>
      <c r="AE185" s="51"/>
      <c r="AN185" s="78"/>
      <c r="AO185" s="78"/>
    </row>
    <row r="186" spans="1:41" x14ac:dyDescent="0.3">
      <c r="A186" s="348" t="s">
        <v>388</v>
      </c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 t="s">
        <v>79</v>
      </c>
      <c r="M186" s="348"/>
      <c r="N186" s="348"/>
      <c r="O186" s="348"/>
      <c r="P186" s="348"/>
      <c r="R186" t="s">
        <v>105</v>
      </c>
      <c r="S186" s="70" t="s">
        <v>28</v>
      </c>
      <c r="T186" s="64">
        <f>C524</f>
        <v>0.35074994935878878</v>
      </c>
      <c r="U186" s="64">
        <f t="shared" ref="U186:X189" si="31">D524</f>
        <v>1.0101859685869734</v>
      </c>
      <c r="V186" s="64">
        <f t="shared" si="31"/>
        <v>62.776845688158083</v>
      </c>
      <c r="W186" s="64">
        <f t="shared" si="31"/>
        <v>28.418626652206584</v>
      </c>
      <c r="X186" s="64">
        <f t="shared" si="31"/>
        <v>7.4435917416895681</v>
      </c>
      <c r="AA186" s="12"/>
      <c r="AD186" s="51"/>
      <c r="AE186" s="51"/>
    </row>
    <row r="187" spans="1:41" x14ac:dyDescent="0.3">
      <c r="A187" t="s">
        <v>315</v>
      </c>
      <c r="B187" t="s">
        <v>21</v>
      </c>
      <c r="I187" s="1" t="s">
        <v>53</v>
      </c>
      <c r="O187" s="142"/>
      <c r="P187" s="142"/>
      <c r="S187" s="66" t="s">
        <v>39</v>
      </c>
      <c r="T187" s="67">
        <f>C525</f>
        <v>8.2428599408969905E-2</v>
      </c>
      <c r="U187" s="67">
        <f t="shared" si="31"/>
        <v>3.3084640216522951E-2</v>
      </c>
      <c r="V187" s="67">
        <f t="shared" si="31"/>
        <v>0.34684362027862475</v>
      </c>
      <c r="W187" s="67">
        <f t="shared" si="31"/>
        <v>0.3445040129498792</v>
      </c>
      <c r="X187" s="67">
        <f t="shared" si="31"/>
        <v>0.22415589753105328</v>
      </c>
      <c r="AD187" s="51"/>
      <c r="AE187" s="51"/>
      <c r="AN187" s="78"/>
      <c r="AO187" s="78"/>
    </row>
    <row r="188" spans="1:41" ht="15.6" x14ac:dyDescent="0.35">
      <c r="B188" s="1" t="s">
        <v>0</v>
      </c>
      <c r="C188" s="13">
        <v>0</v>
      </c>
      <c r="D188" s="13">
        <v>1</v>
      </c>
      <c r="E188" s="13">
        <v>2</v>
      </c>
      <c r="F188" s="13">
        <v>3</v>
      </c>
      <c r="G188" s="13">
        <v>4</v>
      </c>
      <c r="H188" s="1" t="s">
        <v>20</v>
      </c>
      <c r="I188" s="1" t="s">
        <v>1</v>
      </c>
      <c r="J188" s="1" t="s">
        <v>13</v>
      </c>
      <c r="N188" s="1" t="s">
        <v>51</v>
      </c>
      <c r="O188" s="13"/>
      <c r="P188" s="13"/>
      <c r="S188" t="s">
        <v>30</v>
      </c>
      <c r="T188" s="57">
        <f>C526</f>
        <v>76.483602007871326</v>
      </c>
      <c r="U188" s="57">
        <f t="shared" si="31"/>
        <v>99.329736871172571</v>
      </c>
      <c r="V188" s="57">
        <f t="shared" si="31"/>
        <v>97.361473135302461</v>
      </c>
      <c r="W188" s="57">
        <f t="shared" si="31"/>
        <v>98.390670688548127</v>
      </c>
      <c r="X188" s="57">
        <f t="shared" si="31"/>
        <v>88.597827538149659</v>
      </c>
      <c r="AD188" s="51"/>
      <c r="AE188" s="51"/>
    </row>
    <row r="189" spans="1:41" x14ac:dyDescent="0.3">
      <c r="A189" t="s">
        <v>3</v>
      </c>
      <c r="B189" s="13">
        <v>0</v>
      </c>
      <c r="C189" s="26">
        <v>450</v>
      </c>
      <c r="D189" s="3">
        <v>0</v>
      </c>
      <c r="E189" s="3">
        <v>0</v>
      </c>
      <c r="F189" s="3">
        <v>0</v>
      </c>
      <c r="G189" s="4">
        <v>0</v>
      </c>
      <c r="H189" s="1">
        <f>SUM(C189:G189)</f>
        <v>450</v>
      </c>
      <c r="I189" s="10">
        <f>C189/H189</f>
        <v>1</v>
      </c>
      <c r="J189" s="11">
        <f>1-I189</f>
        <v>0</v>
      </c>
      <c r="K189">
        <f>H189-C194</f>
        <v>0</v>
      </c>
      <c r="N189" s="10">
        <f>2*(C195*I189)/(C195+I189)</f>
        <v>1</v>
      </c>
      <c r="O189" s="1"/>
      <c r="P189" s="1"/>
      <c r="S189" s="66" t="s">
        <v>39</v>
      </c>
      <c r="T189" s="67">
        <f>C527</f>
        <v>17.986188246886748</v>
      </c>
      <c r="U189" s="67">
        <f t="shared" si="31"/>
        <v>0.70011092622978843</v>
      </c>
      <c r="V189" s="67">
        <f t="shared" si="31"/>
        <v>0.42957936590141066</v>
      </c>
      <c r="W189" s="67">
        <f t="shared" si="31"/>
        <v>0.54007719120618147</v>
      </c>
      <c r="X189" s="67">
        <f t="shared" si="31"/>
        <v>2.6999075885204271</v>
      </c>
      <c r="AD189" s="51"/>
      <c r="AE189" s="51"/>
      <c r="AN189" s="78"/>
      <c r="AO189" s="78"/>
    </row>
    <row r="190" spans="1:41" x14ac:dyDescent="0.3">
      <c r="A190" t="s">
        <v>4</v>
      </c>
      <c r="B190" s="13">
        <v>1</v>
      </c>
      <c r="C190" s="5">
        <v>0</v>
      </c>
      <c r="D190" s="27">
        <v>60</v>
      </c>
      <c r="E190" s="1">
        <v>3</v>
      </c>
      <c r="F190" s="1">
        <v>1</v>
      </c>
      <c r="G190" s="6">
        <v>0</v>
      </c>
      <c r="H190" s="1">
        <f>SUM(C190:G190)</f>
        <v>64</v>
      </c>
      <c r="I190" s="10">
        <f>D190/H190</f>
        <v>0.9375</v>
      </c>
      <c r="J190" s="11">
        <f>1-I190</f>
        <v>6.25E-2</v>
      </c>
      <c r="K190">
        <f>H190-D194</f>
        <v>3</v>
      </c>
      <c r="N190" s="10">
        <f>2*(D195*I190)/(D195+I190)</f>
        <v>0.96</v>
      </c>
      <c r="O190" s="1"/>
      <c r="P190" s="1"/>
      <c r="S190" t="s">
        <v>31</v>
      </c>
      <c r="T190" s="57">
        <f>I519</f>
        <v>100</v>
      </c>
      <c r="U190" s="57">
        <f>I520</f>
        <v>93.750000000000014</v>
      </c>
      <c r="V190" s="57">
        <f>I521</f>
        <v>99.064171122994665</v>
      </c>
      <c r="W190" s="57">
        <f>I522</f>
        <v>92.880258899676377</v>
      </c>
      <c r="X190" s="57">
        <f>I523</f>
        <v>96.150049358341562</v>
      </c>
      <c r="AD190" s="51"/>
      <c r="AE190" s="51"/>
    </row>
    <row r="191" spans="1:41" x14ac:dyDescent="0.3">
      <c r="A191" t="s">
        <v>5</v>
      </c>
      <c r="B191" s="13">
        <v>2</v>
      </c>
      <c r="C191" s="5">
        <v>0</v>
      </c>
      <c r="D191" s="1">
        <v>0</v>
      </c>
      <c r="E191" s="27">
        <v>736</v>
      </c>
      <c r="F191" s="1">
        <v>9</v>
      </c>
      <c r="G191" s="6">
        <v>3</v>
      </c>
      <c r="H191" s="1">
        <f>SUM(C191:G191)</f>
        <v>748</v>
      </c>
      <c r="I191" s="10">
        <f>E191/H191</f>
        <v>0.98395721925133695</v>
      </c>
      <c r="J191" s="11">
        <f>1-I191</f>
        <v>1.6042780748663055E-2</v>
      </c>
      <c r="K191">
        <f>H191-E194</f>
        <v>-33</v>
      </c>
      <c r="N191" s="10">
        <f>2*(E195*I191)/(E195+I191)</f>
        <v>0.9627207325049052</v>
      </c>
      <c r="O191" s="1"/>
      <c r="P191" s="1"/>
      <c r="S191" s="66" t="s">
        <v>39</v>
      </c>
      <c r="T191" s="67">
        <f>J519</f>
        <v>0</v>
      </c>
      <c r="U191" s="67">
        <f>J520</f>
        <v>3.0496877279641628</v>
      </c>
      <c r="V191" s="67">
        <f>J521</f>
        <v>0.35228668199337526</v>
      </c>
      <c r="W191" s="67">
        <f>J522</f>
        <v>1.035264274387411</v>
      </c>
      <c r="X191" s="67">
        <f>J523</f>
        <v>0.60480041478323565</v>
      </c>
      <c r="AD191" s="51"/>
      <c r="AE191" s="51"/>
      <c r="AN191" s="78"/>
      <c r="AO191" s="78"/>
    </row>
    <row r="192" spans="1:41" x14ac:dyDescent="0.3">
      <c r="A192" t="s">
        <v>6</v>
      </c>
      <c r="B192" s="13">
        <v>3</v>
      </c>
      <c r="C192" s="5">
        <v>0</v>
      </c>
      <c r="D192" s="1">
        <v>0</v>
      </c>
      <c r="E192" s="1">
        <v>34</v>
      </c>
      <c r="F192" s="27">
        <v>575</v>
      </c>
      <c r="G192" s="6">
        <v>9</v>
      </c>
      <c r="H192" s="1">
        <f>SUM(C192:G192)</f>
        <v>618</v>
      </c>
      <c r="I192" s="10">
        <f>F192/H192</f>
        <v>0.93042071197411003</v>
      </c>
      <c r="J192" s="11">
        <f>1-I192</f>
        <v>6.9579288025889974E-2</v>
      </c>
      <c r="K192">
        <f>H192-F194</f>
        <v>-4</v>
      </c>
      <c r="N192" s="10">
        <f>2*(F195*I192)/(F195+I192)</f>
        <v>0.92741935483870974</v>
      </c>
      <c r="O192" s="1"/>
      <c r="P192" s="1"/>
      <c r="S192" s="66" t="s">
        <v>51</v>
      </c>
      <c r="T192" s="67">
        <f>N508*100</f>
        <v>99.88901220865705</v>
      </c>
      <c r="U192" s="67">
        <f>N509*100</f>
        <v>96</v>
      </c>
      <c r="V192" s="67">
        <f>N510*100</f>
        <v>96.799477465708677</v>
      </c>
      <c r="W192" s="67">
        <f>N511*100</f>
        <v>93.637846655791193</v>
      </c>
      <c r="X192" s="67">
        <f>N512*100</f>
        <v>97.254118821767349</v>
      </c>
      <c r="AD192" s="51"/>
      <c r="AE192" s="51"/>
    </row>
    <row r="193" spans="1:48" x14ac:dyDescent="0.3">
      <c r="A193" t="s">
        <v>7</v>
      </c>
      <c r="B193" s="13">
        <v>4</v>
      </c>
      <c r="C193" s="7">
        <v>0</v>
      </c>
      <c r="D193" s="8">
        <v>1</v>
      </c>
      <c r="E193" s="8">
        <v>8</v>
      </c>
      <c r="F193" s="8">
        <v>37</v>
      </c>
      <c r="G193" s="28">
        <v>967</v>
      </c>
      <c r="H193" s="1">
        <f>SUM(C193:G193)</f>
        <v>1013</v>
      </c>
      <c r="I193" s="10">
        <f>G193/H193</f>
        <v>0.95459032576505431</v>
      </c>
      <c r="J193" s="11">
        <f>1-I193</f>
        <v>4.5409674234945685E-2</v>
      </c>
      <c r="K193">
        <f>H193-G194</f>
        <v>34</v>
      </c>
      <c r="N193" s="10">
        <f>2*(G195*I193)/(G195+I193)</f>
        <v>0.97088353413654627</v>
      </c>
      <c r="O193" s="1"/>
      <c r="P193" s="1"/>
      <c r="R193" s="16" t="s">
        <v>61</v>
      </c>
      <c r="S193" t="s">
        <v>9</v>
      </c>
      <c r="T193" s="1">
        <f>N519</f>
        <v>258.98</v>
      </c>
      <c r="U193" s="1">
        <f>N520</f>
        <v>1033.26</v>
      </c>
      <c r="V193" s="1">
        <f>N521</f>
        <v>59562.14</v>
      </c>
      <c r="W193" s="1">
        <f>N522</f>
        <v>29062.560000000001</v>
      </c>
      <c r="X193" s="1">
        <f>N523</f>
        <v>6621.5</v>
      </c>
      <c r="Z193" t="s">
        <v>36</v>
      </c>
      <c r="AA193" s="1">
        <f>N524</f>
        <v>96538.44</v>
      </c>
      <c r="AD193" s="51"/>
      <c r="AE193" s="51"/>
      <c r="AL193" s="131">
        <v>0</v>
      </c>
      <c r="AM193" s="132">
        <v>1</v>
      </c>
      <c r="AN193" s="132">
        <v>2</v>
      </c>
      <c r="AO193" s="132">
        <v>3</v>
      </c>
      <c r="AP193" s="133">
        <v>4</v>
      </c>
    </row>
    <row r="194" spans="1:48" ht="15.6" x14ac:dyDescent="0.35">
      <c r="B194" s="1" t="s">
        <v>19</v>
      </c>
      <c r="C194" s="1">
        <f>SUM(C189:C193)</f>
        <v>450</v>
      </c>
      <c r="D194" s="1">
        <f>SUM(D189:D193)</f>
        <v>61</v>
      </c>
      <c r="E194" s="1">
        <f>SUM(E189:E193)</f>
        <v>781</v>
      </c>
      <c r="F194" s="1">
        <f>SUM(F189:F193)</f>
        <v>622</v>
      </c>
      <c r="G194" s="1">
        <f>SUM(G189:G193)</f>
        <v>979</v>
      </c>
      <c r="H194" s="1">
        <f>SUM(H188:H193)</f>
        <v>2893</v>
      </c>
      <c r="I194" s="13" t="s">
        <v>12</v>
      </c>
      <c r="N194" s="16"/>
      <c r="O194" s="1"/>
      <c r="P194" s="1"/>
      <c r="R194" s="16" t="s">
        <v>318</v>
      </c>
      <c r="S194" t="s">
        <v>63</v>
      </c>
      <c r="T194" s="57">
        <f>$AA193*T186/100</f>
        <v>338.60852941176466</v>
      </c>
      <c r="U194" s="57">
        <f>$AA193*U186/100</f>
        <v>975.21777517275416</v>
      </c>
      <c r="V194" s="57">
        <f>$AA193*V186/100</f>
        <v>60603.787508555084</v>
      </c>
      <c r="W194" s="57">
        <f>$AA193*W186/100</f>
        <v>27434.898839464462</v>
      </c>
      <c r="X194" s="57">
        <f>$AA193*X186/100</f>
        <v>7185.9273473959393</v>
      </c>
      <c r="Z194" t="s">
        <v>36</v>
      </c>
      <c r="AA194" s="25">
        <f>SUM(T194:X194)</f>
        <v>96538.439999999988</v>
      </c>
      <c r="AD194" s="51"/>
      <c r="AE194" s="51"/>
      <c r="AJ194" t="s">
        <v>2</v>
      </c>
      <c r="AQ194" t="s">
        <v>633</v>
      </c>
    </row>
    <row r="195" spans="1:48" x14ac:dyDescent="0.3">
      <c r="A195" s="1" t="s">
        <v>316</v>
      </c>
      <c r="B195" s="1" t="s">
        <v>2</v>
      </c>
      <c r="C195" s="10">
        <f>C189/C194</f>
        <v>1</v>
      </c>
      <c r="D195" s="10">
        <f>D190/D194</f>
        <v>0.98360655737704916</v>
      </c>
      <c r="E195" s="10">
        <f>E191/E194</f>
        <v>0.94238156209987201</v>
      </c>
      <c r="F195" s="10">
        <f>F192/F194</f>
        <v>0.92443729903536975</v>
      </c>
      <c r="G195" s="10">
        <f>G193/G194</f>
        <v>0.98774259448416757</v>
      </c>
      <c r="H195" s="10"/>
      <c r="I195" s="14">
        <f>(C189+D190+E191+F192+G193)/H194</f>
        <v>0.96370549602488764</v>
      </c>
      <c r="R195" s="66"/>
      <c r="S195" s="66" t="s">
        <v>62</v>
      </c>
      <c r="T195" s="67">
        <f>$AA193*T187/100</f>
        <v>79.575283983268761</v>
      </c>
      <c r="U195" s="67">
        <f>$AA193*U187/100</f>
        <v>31.93939554464388</v>
      </c>
      <c r="V195" s="67">
        <f>$AA193*V187/100</f>
        <v>334.83742025650798</v>
      </c>
      <c r="W195" s="67">
        <f>$AA193*W187/100</f>
        <v>332.57879983921134</v>
      </c>
      <c r="X195" s="67">
        <f>$AA193*X187/100</f>
        <v>216.39660664447737</v>
      </c>
      <c r="AA195" s="1"/>
      <c r="AD195" s="51"/>
      <c r="AE195" s="51"/>
      <c r="AJ195" t="s">
        <v>633</v>
      </c>
      <c r="AK195">
        <v>0</v>
      </c>
      <c r="AL195" s="1">
        <v>226.79</v>
      </c>
      <c r="AM195" s="1">
        <v>124.95</v>
      </c>
      <c r="AN195" s="1">
        <v>4281.2</v>
      </c>
      <c r="AO195" s="1">
        <v>15397.78</v>
      </c>
      <c r="AP195" s="1">
        <v>4617.08</v>
      </c>
      <c r="AR195" s="1">
        <v>274.73</v>
      </c>
      <c r="AS195" s="1">
        <v>918.75</v>
      </c>
      <c r="AT195" s="1">
        <v>59673.72</v>
      </c>
      <c r="AU195" s="1">
        <v>29218.43</v>
      </c>
      <c r="AV195" s="1">
        <v>6452.83</v>
      </c>
    </row>
    <row r="196" spans="1:48" x14ac:dyDescent="0.3">
      <c r="B196" s="1" t="s">
        <v>14</v>
      </c>
      <c r="C196" s="11">
        <f>1-C195</f>
        <v>0</v>
      </c>
      <c r="D196" s="11">
        <f>1-D195</f>
        <v>1.6393442622950838E-2</v>
      </c>
      <c r="E196" s="11">
        <f>1-E195</f>
        <v>5.7618437900127994E-2</v>
      </c>
      <c r="F196" s="11">
        <f>1-F195</f>
        <v>7.5562700964630247E-2</v>
      </c>
      <c r="G196" s="11">
        <f>1-G195</f>
        <v>1.2257405515832431E-2</v>
      </c>
      <c r="R196" t="s">
        <v>106</v>
      </c>
      <c r="S196" t="s">
        <v>28</v>
      </c>
      <c r="T196" s="57">
        <f>C553</f>
        <v>0.27108372581947665</v>
      </c>
      <c r="U196" s="57">
        <f t="shared" ref="U196:X199" si="32">D553</f>
        <v>0.96676172778760294</v>
      </c>
      <c r="V196" s="57">
        <f t="shared" si="32"/>
        <v>62.960896103169048</v>
      </c>
      <c r="W196" s="57">
        <f t="shared" si="32"/>
        <v>29.143315817745531</v>
      </c>
      <c r="X196" s="57">
        <f t="shared" si="32"/>
        <v>6.6579426254783272</v>
      </c>
      <c r="Y196" s="13"/>
      <c r="Z196" s="74"/>
      <c r="AA196" s="12"/>
      <c r="AD196" s="51"/>
      <c r="AE196" s="51"/>
      <c r="AJ196" t="s">
        <v>633</v>
      </c>
      <c r="AK196">
        <v>1</v>
      </c>
      <c r="AL196" s="1">
        <v>224.61</v>
      </c>
      <c r="AM196" s="1">
        <v>140.32</v>
      </c>
      <c r="AN196" s="1">
        <v>4183.95</v>
      </c>
      <c r="AO196" s="1">
        <v>15404.63</v>
      </c>
      <c r="AP196" s="1">
        <v>4694.28</v>
      </c>
      <c r="AR196" s="1">
        <v>261.77</v>
      </c>
      <c r="AS196" s="1">
        <v>946.29</v>
      </c>
      <c r="AT196" s="1">
        <v>59313.93</v>
      </c>
      <c r="AU196" s="1">
        <v>29449.08</v>
      </c>
      <c r="AV196" s="1">
        <v>6567.38</v>
      </c>
    </row>
    <row r="197" spans="1:48" x14ac:dyDescent="0.3">
      <c r="C197" s="2"/>
      <c r="S197" s="66" t="s">
        <v>39</v>
      </c>
      <c r="T197" s="67">
        <f>C554</f>
        <v>0</v>
      </c>
      <c r="U197" s="67">
        <f t="shared" si="32"/>
        <v>3.2527941515787751E-2</v>
      </c>
      <c r="V197" s="67">
        <f t="shared" si="32"/>
        <v>0.3644607489192534</v>
      </c>
      <c r="W197" s="67">
        <f t="shared" si="32"/>
        <v>0.36732527660194336</v>
      </c>
      <c r="X197" s="67">
        <f t="shared" si="32"/>
        <v>0.18105036096943089</v>
      </c>
      <c r="AD197" s="51"/>
      <c r="AE197" s="51"/>
      <c r="AJ197" t="s">
        <v>633</v>
      </c>
      <c r="AK197">
        <v>2</v>
      </c>
      <c r="AL197" s="1">
        <v>224.27</v>
      </c>
      <c r="AM197" s="1">
        <v>166.14</v>
      </c>
      <c r="AN197" s="1">
        <v>4133.3900000000003</v>
      </c>
      <c r="AO197" s="1">
        <v>15444.7</v>
      </c>
      <c r="AP197" s="1">
        <v>4679.3100000000004</v>
      </c>
      <c r="AR197" s="1">
        <v>263.7</v>
      </c>
      <c r="AS197" s="1">
        <v>1003.2</v>
      </c>
      <c r="AT197" s="1">
        <v>59142.400000000001</v>
      </c>
      <c r="AU197" s="1">
        <v>29639.19</v>
      </c>
      <c r="AV197" s="1">
        <v>6489.95</v>
      </c>
    </row>
    <row r="198" spans="1:48" ht="15.6" x14ac:dyDescent="0.35">
      <c r="A198" t="s">
        <v>317</v>
      </c>
      <c r="B198" s="15" t="s">
        <v>23</v>
      </c>
      <c r="N198" s="12" t="s">
        <v>17</v>
      </c>
      <c r="O198" s="1" t="s">
        <v>27</v>
      </c>
      <c r="P198" s="1" t="s">
        <v>33</v>
      </c>
      <c r="S198" t="s">
        <v>30</v>
      </c>
      <c r="T198" s="57">
        <f>C555</f>
        <v>100</v>
      </c>
      <c r="U198" s="57">
        <f t="shared" si="32"/>
        <v>98.01143722980585</v>
      </c>
      <c r="V198" s="57">
        <f t="shared" si="32"/>
        <v>97.178427132725005</v>
      </c>
      <c r="W198" s="57">
        <f t="shared" si="32"/>
        <v>97.330257340939937</v>
      </c>
      <c r="X198" s="57">
        <f t="shared" si="32"/>
        <v>92.110552698710421</v>
      </c>
      <c r="AD198" s="51"/>
      <c r="AE198" s="51"/>
      <c r="AJ198" t="s">
        <v>633</v>
      </c>
      <c r="AK198">
        <v>3</v>
      </c>
      <c r="AL198" s="1">
        <v>228.14</v>
      </c>
      <c r="AM198" s="1">
        <v>129.28</v>
      </c>
      <c r="AN198" s="1">
        <v>4251.2299999999996</v>
      </c>
      <c r="AO198" s="1">
        <v>15359.91</v>
      </c>
      <c r="AP198" s="1">
        <v>4679.25</v>
      </c>
      <c r="AR198" s="1">
        <v>274.91000000000003</v>
      </c>
      <c r="AS198" s="1">
        <v>946.87</v>
      </c>
      <c r="AT198" s="1">
        <v>59617</v>
      </c>
      <c r="AU198" s="1">
        <v>29183.360000000001</v>
      </c>
      <c r="AV198" s="1">
        <v>6516.31</v>
      </c>
    </row>
    <row r="199" spans="1:48" ht="15.6" x14ac:dyDescent="0.35">
      <c r="B199" s="1" t="s">
        <v>0</v>
      </c>
      <c r="C199" s="13">
        <v>0</v>
      </c>
      <c r="D199" s="13">
        <v>1</v>
      </c>
      <c r="E199" s="13">
        <v>2</v>
      </c>
      <c r="F199" s="13">
        <v>3</v>
      </c>
      <c r="G199" s="13">
        <v>4</v>
      </c>
      <c r="H199" s="1" t="s">
        <v>28</v>
      </c>
      <c r="I199" s="1" t="s">
        <v>31</v>
      </c>
      <c r="J199" s="15" t="s">
        <v>39</v>
      </c>
      <c r="K199" s="1" t="s">
        <v>38</v>
      </c>
      <c r="L199" s="1" t="s">
        <v>26</v>
      </c>
      <c r="M199" t="s">
        <v>8</v>
      </c>
      <c r="N199" t="s">
        <v>9</v>
      </c>
      <c r="O199" s="1" t="s">
        <v>11</v>
      </c>
      <c r="S199" s="66" t="s">
        <v>39</v>
      </c>
      <c r="T199" s="67">
        <f>C556</f>
        <v>0</v>
      </c>
      <c r="U199" s="67">
        <f t="shared" si="32"/>
        <v>1.2906195076799407</v>
      </c>
      <c r="V199" s="67">
        <f t="shared" si="32"/>
        <v>0.44582427075648573</v>
      </c>
      <c r="W199" s="67">
        <f t="shared" si="32"/>
        <v>0.74262426234264201</v>
      </c>
      <c r="X199" s="67">
        <f t="shared" si="32"/>
        <v>2.484524925465426</v>
      </c>
      <c r="AD199" s="51"/>
      <c r="AE199" s="51"/>
      <c r="AJ199" t="s">
        <v>633</v>
      </c>
      <c r="AK199">
        <v>4</v>
      </c>
      <c r="AL199" s="1">
        <v>226.06</v>
      </c>
      <c r="AM199" s="1">
        <v>150.41</v>
      </c>
      <c r="AN199" s="1">
        <v>4126.97</v>
      </c>
      <c r="AO199" s="1">
        <v>15586.76</v>
      </c>
      <c r="AP199" s="1">
        <v>4557.59</v>
      </c>
      <c r="AR199" s="1">
        <v>268.43</v>
      </c>
      <c r="AS199" s="1">
        <v>995.11</v>
      </c>
      <c r="AT199" s="1">
        <v>59086.19</v>
      </c>
      <c r="AU199" s="1">
        <v>29906.42</v>
      </c>
      <c r="AV199" s="1">
        <v>6282.32</v>
      </c>
    </row>
    <row r="200" spans="1:48" x14ac:dyDescent="0.3">
      <c r="A200" t="s">
        <v>3</v>
      </c>
      <c r="B200" s="13">
        <v>0</v>
      </c>
      <c r="C200" s="29">
        <f>(C189/$L200)*$O200</f>
        <v>0.28114186627193621</v>
      </c>
      <c r="D200" s="31">
        <f>(D189/$L200)*$O200</f>
        <v>0</v>
      </c>
      <c r="E200" s="31">
        <f>(E189/$L200)*$O200</f>
        <v>0</v>
      </c>
      <c r="F200" s="31">
        <f>(F189/$L200)*$O200</f>
        <v>0</v>
      </c>
      <c r="G200" s="32">
        <f>(G189/$L200)*$O200</f>
        <v>0</v>
      </c>
      <c r="H200" s="17">
        <f>SUM(C200:G200)</f>
        <v>0.28114186627193621</v>
      </c>
      <c r="I200" s="17">
        <f>C200/H200*100</f>
        <v>100</v>
      </c>
      <c r="J200" s="17">
        <f>SQRT(I200*(100-I200)/(L200-1))</f>
        <v>0</v>
      </c>
      <c r="K200" s="18">
        <f>100-I200</f>
        <v>0</v>
      </c>
      <c r="L200" s="1">
        <f>H189</f>
        <v>450</v>
      </c>
      <c r="M200">
        <v>0</v>
      </c>
      <c r="N200" s="1">
        <v>271.41000000000003</v>
      </c>
      <c r="O200" s="17">
        <f>N200/N205*100</f>
        <v>0.28114186627193621</v>
      </c>
      <c r="P200" s="52">
        <f>((O200*O200*(I200/100)*(K200/100))/(L200-1))</f>
        <v>0</v>
      </c>
      <c r="S200" t="s">
        <v>31</v>
      </c>
      <c r="T200" s="57">
        <f>I548</f>
        <v>100</v>
      </c>
      <c r="U200" s="57">
        <f>I549</f>
        <v>93.75</v>
      </c>
      <c r="V200" s="57">
        <f>I550</f>
        <v>98.930481283422452</v>
      </c>
      <c r="W200" s="57">
        <f>I551</f>
        <v>93.36569579288026</v>
      </c>
      <c r="X200" s="57">
        <f>I552</f>
        <v>94.471865745310964</v>
      </c>
      <c r="AD200" s="51"/>
      <c r="AE200" s="51"/>
      <c r="AJ200" t="s">
        <v>633</v>
      </c>
      <c r="AK200">
        <v>5</v>
      </c>
      <c r="AL200" s="1">
        <v>223.4</v>
      </c>
      <c r="AM200" s="1">
        <v>148.33000000000001</v>
      </c>
      <c r="AN200" s="1">
        <v>4255.1400000000003</v>
      </c>
      <c r="AO200" s="1">
        <v>15455.07</v>
      </c>
      <c r="AP200" s="1">
        <v>4565.8599999999997</v>
      </c>
      <c r="AR200" s="1">
        <v>255.86</v>
      </c>
      <c r="AS200" s="1">
        <v>1016.8</v>
      </c>
      <c r="AT200" s="1">
        <v>59606.65</v>
      </c>
      <c r="AU200" s="1">
        <v>29353.38</v>
      </c>
      <c r="AV200" s="1">
        <v>6305.75</v>
      </c>
    </row>
    <row r="201" spans="1:48" x14ac:dyDescent="0.3">
      <c r="A201" t="s">
        <v>4</v>
      </c>
      <c r="B201" s="13">
        <v>1</v>
      </c>
      <c r="C201" s="33">
        <f t="shared" ref="C201:G204" si="33">(C190/$L201)*$O201</f>
        <v>0</v>
      </c>
      <c r="D201" s="34">
        <f t="shared" si="33"/>
        <v>0.91486863524326312</v>
      </c>
      <c r="E201" s="19">
        <f t="shared" si="33"/>
        <v>4.5743431762163153E-2</v>
      </c>
      <c r="F201" s="18">
        <f t="shared" si="33"/>
        <v>1.5247810587387719E-2</v>
      </c>
      <c r="G201" s="20">
        <f t="shared" si="33"/>
        <v>0</v>
      </c>
      <c r="H201" s="17">
        <f>SUM(C201:G201)</f>
        <v>0.9758598775928139</v>
      </c>
      <c r="I201" s="17">
        <f>D201/H201*100</f>
        <v>93.750000000000014</v>
      </c>
      <c r="J201" s="17">
        <f>SQRT(I201*(100-I201)/(L201-1))</f>
        <v>3.0496877279641628</v>
      </c>
      <c r="K201" s="18">
        <f>100-I201</f>
        <v>6.2499999999999858</v>
      </c>
      <c r="L201" s="1">
        <f>H190</f>
        <v>64</v>
      </c>
      <c r="M201">
        <v>1</v>
      </c>
      <c r="N201" s="1">
        <v>942.08</v>
      </c>
      <c r="O201" s="17">
        <f>N201/N205*100</f>
        <v>0.97585987759281401</v>
      </c>
      <c r="P201" s="52">
        <f>((O201*O201*(I201/100)*(K201/100))/(L201-1))</f>
        <v>8.8569801031943821E-4</v>
      </c>
      <c r="S201" s="66" t="s">
        <v>39</v>
      </c>
      <c r="T201" s="67">
        <f>J548</f>
        <v>0</v>
      </c>
      <c r="U201" s="67">
        <f>J549</f>
        <v>3.0496877279641659</v>
      </c>
      <c r="V201" s="67">
        <f>J550</f>
        <v>0.37635609574810108</v>
      </c>
      <c r="W201" s="67">
        <f>J551</f>
        <v>1.001956294235498</v>
      </c>
      <c r="X201" s="67">
        <f>J552</f>
        <v>0.71837346272511016</v>
      </c>
      <c r="AD201" s="51"/>
      <c r="AE201" s="51"/>
      <c r="AJ201" t="s">
        <v>633</v>
      </c>
      <c r="AK201">
        <v>6</v>
      </c>
      <c r="AL201" s="1">
        <v>228.61</v>
      </c>
      <c r="AM201" s="1">
        <v>123.62</v>
      </c>
      <c r="AN201" s="1">
        <v>4165.95</v>
      </c>
      <c r="AO201" s="1">
        <v>15498.86</v>
      </c>
      <c r="AP201" s="1">
        <v>4630.75</v>
      </c>
      <c r="AR201" s="1">
        <v>271.41000000000003</v>
      </c>
      <c r="AS201" s="1">
        <v>942.08</v>
      </c>
      <c r="AT201" s="1">
        <v>59262.76</v>
      </c>
      <c r="AU201" s="1">
        <v>29585.24</v>
      </c>
      <c r="AV201" s="1">
        <v>6476.96</v>
      </c>
    </row>
    <row r="202" spans="1:48" x14ac:dyDescent="0.3">
      <c r="A202" t="s">
        <v>5</v>
      </c>
      <c r="B202" s="13">
        <v>2</v>
      </c>
      <c r="C202" s="33">
        <f t="shared" si="33"/>
        <v>0</v>
      </c>
      <c r="D202" s="19">
        <f t="shared" si="33"/>
        <v>0</v>
      </c>
      <c r="E202" s="34">
        <f t="shared" si="33"/>
        <v>60.402897016431645</v>
      </c>
      <c r="F202" s="19">
        <f t="shared" si="33"/>
        <v>0.73862238199440866</v>
      </c>
      <c r="G202" s="20">
        <f t="shared" si="33"/>
        <v>0.24620746066480292</v>
      </c>
      <c r="H202" s="17">
        <f>SUM(C202:G202)</f>
        <v>61.387726859090861</v>
      </c>
      <c r="I202" s="17">
        <f>E202/H202*100</f>
        <v>98.395721925133685</v>
      </c>
      <c r="J202" s="17">
        <f>SQRT(I202*(100-I202)/(L202-1))</f>
        <v>0.45969272570756808</v>
      </c>
      <c r="K202" s="18">
        <f>100-I202</f>
        <v>1.6042780748663148</v>
      </c>
      <c r="L202" s="1">
        <f>H191</f>
        <v>748</v>
      </c>
      <c r="M202">
        <v>2</v>
      </c>
      <c r="N202" s="1">
        <v>59262.76</v>
      </c>
      <c r="O202" s="17">
        <f>N202/N205*100</f>
        <v>61.387726859090854</v>
      </c>
      <c r="P202" s="52">
        <f>((O202*O202*(I202/100)*(K202/100))/(L202-1))</f>
        <v>7.9633969966336163E-2</v>
      </c>
      <c r="S202" s="66" t="s">
        <v>51</v>
      </c>
      <c r="T202" s="67">
        <f>N537*100</f>
        <v>100</v>
      </c>
      <c r="U202" s="67">
        <f>N538*100</f>
        <v>94.488188976377955</v>
      </c>
      <c r="V202" s="67">
        <f>N539*100</f>
        <v>96.479791395045638</v>
      </c>
      <c r="W202" s="67">
        <f>N540*100</f>
        <v>92.690763052208837</v>
      </c>
      <c r="X202" s="67">
        <f>N541*100</f>
        <v>96.666666666666657</v>
      </c>
      <c r="AD202" s="51"/>
      <c r="AE202" s="51"/>
      <c r="AJ202" t="s">
        <v>633</v>
      </c>
      <c r="AK202">
        <v>7</v>
      </c>
      <c r="AL202" s="1">
        <v>224.13</v>
      </c>
      <c r="AM202" s="1">
        <v>172.59</v>
      </c>
      <c r="AN202" s="1">
        <v>4227.59</v>
      </c>
      <c r="AO202" s="1">
        <v>15502.12</v>
      </c>
      <c r="AP202" s="1">
        <v>4521.3599999999997</v>
      </c>
      <c r="AR202" s="1">
        <v>257.10000000000002</v>
      </c>
      <c r="AS202" s="1">
        <v>1024.43</v>
      </c>
      <c r="AT202" s="1">
        <v>59534.5</v>
      </c>
      <c r="AU202" s="1">
        <v>29517.55</v>
      </c>
      <c r="AV202" s="1">
        <v>6204.87</v>
      </c>
    </row>
    <row r="203" spans="1:48" x14ac:dyDescent="0.3">
      <c r="A203" t="s">
        <v>6</v>
      </c>
      <c r="B203" s="13">
        <v>3</v>
      </c>
      <c r="C203" s="33">
        <f t="shared" si="33"/>
        <v>0</v>
      </c>
      <c r="D203" s="19">
        <f t="shared" si="33"/>
        <v>0</v>
      </c>
      <c r="E203" s="19">
        <f t="shared" si="33"/>
        <v>1.6860296861678876</v>
      </c>
      <c r="F203" s="34">
        <f t="shared" si="33"/>
        <v>28.513737339603981</v>
      </c>
      <c r="G203" s="20">
        <f t="shared" si="33"/>
        <v>0.44630197575032321</v>
      </c>
      <c r="H203" s="17">
        <f>SUM(C203:G203)</f>
        <v>30.646069001522193</v>
      </c>
      <c r="I203" s="17">
        <f>F203/H203*100</f>
        <v>93.042071197411005</v>
      </c>
      <c r="J203" s="17">
        <f>SQRT(I203*(100-I203)/(L203-1))</f>
        <v>1.0243233976994559</v>
      </c>
      <c r="K203" s="18">
        <f>100-I203</f>
        <v>6.9579288025889952</v>
      </c>
      <c r="L203" s="1">
        <f>H192</f>
        <v>618</v>
      </c>
      <c r="M203">
        <v>3</v>
      </c>
      <c r="N203" s="1">
        <v>29585.24</v>
      </c>
      <c r="O203" s="17">
        <f>N203/N205*100</f>
        <v>30.646069001522193</v>
      </c>
      <c r="P203" s="52">
        <f>((O203*O203*(I203/100)*(K203/100))/(L203-1))</f>
        <v>9.8542536351470159E-2</v>
      </c>
      <c r="R203" s="16" t="s">
        <v>61</v>
      </c>
      <c r="S203" t="s">
        <v>9</v>
      </c>
      <c r="T203" s="1">
        <f>N548</f>
        <v>261.7</v>
      </c>
      <c r="U203" s="1">
        <f>N549</f>
        <v>975.72</v>
      </c>
      <c r="V203" s="1">
        <f>N550</f>
        <v>59705.03</v>
      </c>
      <c r="W203" s="1">
        <f>N551</f>
        <v>29329.17</v>
      </c>
      <c r="X203" s="1">
        <f>N552</f>
        <v>6266.82</v>
      </c>
      <c r="Z203" t="s">
        <v>36</v>
      </c>
      <c r="AA203" s="1">
        <f>N553</f>
        <v>96538.44</v>
      </c>
      <c r="AD203" s="51"/>
      <c r="AE203" s="51"/>
      <c r="AJ203" t="s">
        <v>633</v>
      </c>
      <c r="AK203">
        <v>8</v>
      </c>
      <c r="AL203" s="1">
        <v>223.34</v>
      </c>
      <c r="AM203" s="1">
        <v>134.44999999999999</v>
      </c>
      <c r="AN203" s="1">
        <v>4326.68</v>
      </c>
      <c r="AO203" s="1">
        <v>15359.41</v>
      </c>
      <c r="AP203" s="1">
        <v>4603.91</v>
      </c>
      <c r="AR203" s="1">
        <v>253.38</v>
      </c>
      <c r="AS203" s="1">
        <v>1010.23</v>
      </c>
      <c r="AT203" s="1">
        <v>59865.69</v>
      </c>
      <c r="AU203" s="1">
        <v>28994.55</v>
      </c>
      <c r="AV203" s="1">
        <v>6414.6</v>
      </c>
    </row>
    <row r="204" spans="1:48" ht="15.6" x14ac:dyDescent="0.35">
      <c r="A204" t="s">
        <v>7</v>
      </c>
      <c r="B204" s="13">
        <v>4</v>
      </c>
      <c r="C204" s="35">
        <f t="shared" si="33"/>
        <v>0</v>
      </c>
      <c r="D204" s="36">
        <f t="shared" si="33"/>
        <v>6.6231020686300076E-3</v>
      </c>
      <c r="E204" s="21">
        <f t="shared" si="33"/>
        <v>5.298481654904006E-2</v>
      </c>
      <c r="F204" s="21">
        <f t="shared" si="33"/>
        <v>0.24505477653931029</v>
      </c>
      <c r="G204" s="37">
        <f t="shared" si="33"/>
        <v>6.404539700365218</v>
      </c>
      <c r="H204" s="17">
        <f>SUM(C204:G204)</f>
        <v>6.7092023955221984</v>
      </c>
      <c r="I204" s="17">
        <f>G204/H204*100</f>
        <v>95.459032576505436</v>
      </c>
      <c r="J204" s="17">
        <f>SQRT(I204*(100-I204)/(L204-1))</f>
        <v>0.65447407996955353</v>
      </c>
      <c r="K204" s="18">
        <f>100-I204</f>
        <v>4.5409674234945641</v>
      </c>
      <c r="L204" s="1">
        <f>H193</f>
        <v>1013</v>
      </c>
      <c r="M204">
        <v>4</v>
      </c>
      <c r="N204" s="1">
        <v>6476.96</v>
      </c>
      <c r="O204" s="17">
        <f>N204/N205*100</f>
        <v>6.7092023955221984</v>
      </c>
      <c r="P204" s="52">
        <f>((O204*O204*(I204/100)*(K204/100))/(L204-1))</f>
        <v>1.9280872790050833E-3</v>
      </c>
      <c r="R204" s="16" t="s">
        <v>318</v>
      </c>
      <c r="S204" t="s">
        <v>63</v>
      </c>
      <c r="T204" s="57">
        <f>$AA203*T196/100</f>
        <v>261.7</v>
      </c>
      <c r="U204" s="57">
        <f>$AA203*U196/100</f>
        <v>933.29669052319844</v>
      </c>
      <c r="V204" s="57">
        <f>$AA203*V196/100</f>
        <v>60781.466908020193</v>
      </c>
      <c r="W204" s="57">
        <f>$AA203*W196/100</f>
        <v>28134.502454724778</v>
      </c>
      <c r="X204" s="57">
        <f>$AA203*X196/100</f>
        <v>6427.4739467318195</v>
      </c>
      <c r="Z204" t="s">
        <v>36</v>
      </c>
      <c r="AA204" s="25">
        <f>SUM(T204:X204)</f>
        <v>96538.439999999988</v>
      </c>
      <c r="AD204" s="51"/>
      <c r="AE204" s="51"/>
      <c r="AJ204" t="s">
        <v>633</v>
      </c>
      <c r="AK204">
        <v>9</v>
      </c>
      <c r="AL204" s="1">
        <v>223.24</v>
      </c>
      <c r="AM204" s="1">
        <v>146.63999999999999</v>
      </c>
      <c r="AN204" s="1">
        <v>4294.8999999999996</v>
      </c>
      <c r="AO204" s="1">
        <v>15437.97</v>
      </c>
      <c r="AP204" s="1">
        <v>4545.04</v>
      </c>
      <c r="AR204" s="1">
        <v>255.87</v>
      </c>
      <c r="AS204" s="1">
        <v>1013.9</v>
      </c>
      <c r="AT204" s="1">
        <v>59799.92</v>
      </c>
      <c r="AU204" s="1">
        <v>29163.58</v>
      </c>
      <c r="AV204" s="1">
        <v>6305.17</v>
      </c>
    </row>
    <row r="205" spans="1:48" x14ac:dyDescent="0.3">
      <c r="B205" t="s">
        <v>28</v>
      </c>
      <c r="C205" s="17">
        <f t="shared" ref="C205:H205" si="34">SUM(C200:C204)</f>
        <v>0.28114186627193621</v>
      </c>
      <c r="D205" s="17">
        <f t="shared" si="34"/>
        <v>0.92149173731189316</v>
      </c>
      <c r="E205" s="17">
        <f t="shared" si="34"/>
        <v>62.187654950910733</v>
      </c>
      <c r="F205" s="17">
        <f t="shared" si="34"/>
        <v>29.512662308725087</v>
      </c>
      <c r="G205" s="17">
        <f t="shared" si="34"/>
        <v>7.0970491367803437</v>
      </c>
      <c r="H205" s="18">
        <f t="shared" si="34"/>
        <v>100</v>
      </c>
      <c r="I205" s="13" t="s">
        <v>24</v>
      </c>
      <c r="J205" s="12" t="s">
        <v>29</v>
      </c>
      <c r="N205" s="1">
        <f>SUM(N200:N204)</f>
        <v>96538.450000000012</v>
      </c>
      <c r="O205" s="17">
        <f>SUM(O200:O204)</f>
        <v>100</v>
      </c>
      <c r="R205" s="66"/>
      <c r="S205" s="66" t="s">
        <v>62</v>
      </c>
      <c r="T205" s="67">
        <f>$AA203*T197/100</f>
        <v>0</v>
      </c>
      <c r="U205" s="67">
        <f>$AA203*U197/100</f>
        <v>31.401967303453848</v>
      </c>
      <c r="V205" s="67">
        <f>$AA203*V197/100</f>
        <v>351.84472141896413</v>
      </c>
      <c r="W205" s="67">
        <f>$AA203*W197/100</f>
        <v>354.61009175720113</v>
      </c>
      <c r="X205" s="67">
        <f>$AA203*X197/100</f>
        <v>174.78319409425745</v>
      </c>
      <c r="AA205" s="1"/>
      <c r="AD205" s="51"/>
      <c r="AE205" s="51"/>
      <c r="AJ205" t="s">
        <v>633</v>
      </c>
      <c r="AK205">
        <v>10</v>
      </c>
      <c r="AL205" s="1">
        <v>224.03</v>
      </c>
      <c r="AM205" s="1">
        <v>153.21</v>
      </c>
      <c r="AN205" s="1">
        <v>4312.25</v>
      </c>
      <c r="AO205" s="1">
        <v>15406.07</v>
      </c>
      <c r="AP205" s="1">
        <v>4552.24</v>
      </c>
      <c r="AR205" s="1">
        <v>267.54000000000002</v>
      </c>
      <c r="AS205" s="1">
        <v>1002.67</v>
      </c>
      <c r="AT205" s="1">
        <v>59844.41</v>
      </c>
      <c r="AU205" s="1">
        <v>29192.59</v>
      </c>
      <c r="AV205" s="1">
        <v>6231.25</v>
      </c>
    </row>
    <row r="206" spans="1:48" x14ac:dyDescent="0.3">
      <c r="B206" s="16" t="s">
        <v>39</v>
      </c>
      <c r="C206" s="18">
        <f>SQRT(SUM((O200*O200*(C200/O200)*(1-C200/O200))/L200,(O201*O201*(C201/O201)*(1-C201/O201))/L201,(O202*O202*(C202/O202)*(1-C202/O202))/L202,(O203*O203*(C203/O203)*(1-C203/O203))/L203,(O204*O204*(C204/O204)*(1-C204/O204))/L204))</f>
        <v>0</v>
      </c>
      <c r="D206" s="18">
        <f>SQRT(SUM((O200*O200*(D200/O200)*(1-D200/O200))/L200,(O201*O201*(D201/O201)*(1-D201/O201))/L201,(O202*O202*(D202/O202)*(1-D202/O202))/L202,(O203*O203*(D203/O203)*(1-D203/O203))/L203,(O204*O204*(D204/O204)*(1-D204/O204))/L204))</f>
        <v>3.0260224013906458E-2</v>
      </c>
      <c r="E206" s="18">
        <f>SQRT(SUM((O200*O200*(E200/O200)*(1-E200/O200))/L200,(O201*O201*(E201/O201)*(1-E201/O201))/L201,(O202*O202*(E202/O202)*(1-E202/O202))/L202,(O203*O203*(E203/O203)*(1-E203/O203))/L203,(O204*O204*(E204/O204)*(1-E204/O204))/L204))</f>
        <v>0.39943626452282993</v>
      </c>
      <c r="F206" s="18">
        <f>SQRT(SUM((O200*O200*(F200/O200)*(1-F200/O200))/L200,(O201*O201*(F201/O201)*(1-F201/O201))/L201,(O202*O202*(F202/O202)*(1-F202/O202))/L202,(O203*O203*(F203/O203)*(1-F203/O203))/L203,(O204*O204*(F204/O204)*(1-F204/O204))/L204))</f>
        <v>0.40008053983796094</v>
      </c>
      <c r="G206" s="18">
        <f>SQRT(SUM((O200*O200*(G200/O200)*(1-G200/O200))/L200,(O201*O201*(G201/O201)*(1-G201/O201))/L201,(O202*O202*(G202/O202)*(1-G202/O202))/L202,(O203*O203*(G203/O203)*(1-G203/O203))/L203,(O204*O204*(G204/O204)*(1-G204/O204))/L204))</f>
        <v>0.20942920540087259</v>
      </c>
      <c r="H206" s="1"/>
      <c r="I206" s="14">
        <f>(C200+D201+E202+F203+G204)/H205</f>
        <v>0.96517184557916036</v>
      </c>
      <c r="J206" s="53">
        <f>SQRT(SUM(P200:P204))/100</f>
        <v>4.2542953776992356E-3</v>
      </c>
      <c r="M206" s="1"/>
      <c r="N206" s="9"/>
      <c r="R206" t="s">
        <v>107</v>
      </c>
      <c r="S206" t="s">
        <v>28</v>
      </c>
      <c r="T206" s="57">
        <f>C582</f>
        <v>0.27105265011533231</v>
      </c>
      <c r="U206" s="57">
        <f t="shared" ref="U206:X209" si="35">D582</f>
        <v>0.99934642118957051</v>
      </c>
      <c r="V206" s="57">
        <f t="shared" si="35"/>
        <v>63.140917644958506</v>
      </c>
      <c r="W206" s="57">
        <f t="shared" si="35"/>
        <v>29.268707174704332</v>
      </c>
      <c r="X206" s="57">
        <f>G582</f>
        <v>6.3199761090322486</v>
      </c>
      <c r="Y206" s="60"/>
      <c r="Z206" s="74"/>
      <c r="AA206" s="12"/>
      <c r="AD206" s="51"/>
      <c r="AE206" s="51"/>
      <c r="AJ206" t="s">
        <v>633</v>
      </c>
      <c r="AK206">
        <v>11</v>
      </c>
      <c r="AL206" s="1">
        <v>225.82</v>
      </c>
      <c r="AM206" s="1">
        <v>115.61</v>
      </c>
      <c r="AN206" s="1">
        <v>4270.53</v>
      </c>
      <c r="AO206" s="1">
        <v>15452.34</v>
      </c>
      <c r="AP206" s="1">
        <v>4583.4799999999996</v>
      </c>
      <c r="AR206" s="1">
        <v>274.31</v>
      </c>
      <c r="AS206" s="1">
        <v>940.74</v>
      </c>
      <c r="AT206" s="1">
        <v>59751.58</v>
      </c>
      <c r="AU206" s="1">
        <v>29158.92</v>
      </c>
      <c r="AV206" s="1">
        <v>6412.91</v>
      </c>
    </row>
    <row r="207" spans="1:48" x14ac:dyDescent="0.3">
      <c r="B207" s="1" t="s">
        <v>30</v>
      </c>
      <c r="C207" s="17">
        <f>C200/C205*100</f>
        <v>100</v>
      </c>
      <c r="D207" s="17">
        <f>D201/D205*100</f>
        <v>99.281262999931997</v>
      </c>
      <c r="E207" s="17">
        <f>E202/E205*100</f>
        <v>97.130044643285018</v>
      </c>
      <c r="F207" s="17">
        <f>F203/F205*100</f>
        <v>96.615266495880363</v>
      </c>
      <c r="G207" s="17">
        <f>G204/G205*100</f>
        <v>90.242290520066902</v>
      </c>
      <c r="H207" s="1"/>
      <c r="S207" s="66" t="s">
        <v>39</v>
      </c>
      <c r="T207" s="67">
        <f>C583</f>
        <v>0</v>
      </c>
      <c r="U207" s="67">
        <f t="shared" si="35"/>
        <v>3.3082351183204572E-2</v>
      </c>
      <c r="V207" s="67">
        <f t="shared" si="35"/>
        <v>0.35140168575363617</v>
      </c>
      <c r="W207" s="67">
        <f t="shared" si="35"/>
        <v>0.36427458200548207</v>
      </c>
      <c r="X207" s="67">
        <f t="shared" si="35"/>
        <v>0.10655355368429216</v>
      </c>
      <c r="AD207" s="51"/>
      <c r="AE207" s="51"/>
      <c r="AJ207" t="s">
        <v>633</v>
      </c>
      <c r="AK207">
        <v>12</v>
      </c>
      <c r="AL207" s="1">
        <v>224.83</v>
      </c>
      <c r="AM207" s="1">
        <v>140.96</v>
      </c>
      <c r="AN207" s="1">
        <v>4236.08</v>
      </c>
      <c r="AO207" s="1">
        <v>15518.11</v>
      </c>
      <c r="AP207" s="1">
        <v>4527.82</v>
      </c>
      <c r="AR207" s="1">
        <v>260.97000000000003</v>
      </c>
      <c r="AS207" s="1">
        <v>945.44</v>
      </c>
      <c r="AT207" s="1">
        <v>59502.05</v>
      </c>
      <c r="AU207" s="1">
        <v>29591.91</v>
      </c>
      <c r="AV207" s="1">
        <v>6238.09</v>
      </c>
    </row>
    <row r="208" spans="1:48" x14ac:dyDescent="0.3">
      <c r="B208" s="16" t="s">
        <v>39</v>
      </c>
      <c r="C208" s="18">
        <f>SQRT((C211+C212)/(C205*C205))</f>
        <v>0</v>
      </c>
      <c r="D208" s="18">
        <f>SQRT((D211+D212)/(D205*D205))</f>
        <v>0.75037703981376924</v>
      </c>
      <c r="E208" s="18">
        <f>SQRT((E211+E212)/(E205*E205))</f>
        <v>0.46099008971964417</v>
      </c>
      <c r="F208" s="18">
        <f>SQRT((F211+F212)/(F205*F205))</f>
        <v>0.88970291651676825</v>
      </c>
      <c r="G208" s="18">
        <f>SQRT((G211+G212)/(G205*G205))</f>
        <v>2.6748139856457573</v>
      </c>
      <c r="H208" s="1"/>
      <c r="S208" t="s">
        <v>30</v>
      </c>
      <c r="T208" s="57">
        <f>C584</f>
        <v>100</v>
      </c>
      <c r="U208" s="57">
        <f t="shared" si="35"/>
        <v>98.729888421435476</v>
      </c>
      <c r="V208" s="57">
        <f t="shared" si="35"/>
        <v>97.294582727550022</v>
      </c>
      <c r="W208" s="57">
        <f t="shared" si="35"/>
        <v>97.115383567367047</v>
      </c>
      <c r="X208" s="57">
        <f t="shared" si="35"/>
        <v>96.90357908791276</v>
      </c>
      <c r="AD208" s="51"/>
      <c r="AE208" s="51"/>
      <c r="AJ208" t="s">
        <v>633</v>
      </c>
      <c r="AK208">
        <v>13</v>
      </c>
      <c r="AL208" s="1">
        <v>227.29</v>
      </c>
      <c r="AM208" s="1">
        <v>144.01</v>
      </c>
      <c r="AN208" s="1">
        <v>4222.83</v>
      </c>
      <c r="AO208" s="1">
        <v>15496.19</v>
      </c>
      <c r="AP208" s="1">
        <v>4557.4799999999996</v>
      </c>
      <c r="AR208" s="1">
        <v>268.06</v>
      </c>
      <c r="AS208" s="1">
        <v>958.2</v>
      </c>
      <c r="AT208" s="1">
        <v>59508.94</v>
      </c>
      <c r="AU208" s="1">
        <v>29488.79</v>
      </c>
      <c r="AV208" s="1">
        <v>6314.47</v>
      </c>
    </row>
    <row r="209" spans="1:48" x14ac:dyDescent="0.3">
      <c r="B209" s="1" t="s">
        <v>37</v>
      </c>
      <c r="C209" s="18">
        <f>100-C207</f>
        <v>0</v>
      </c>
      <c r="D209" s="18">
        <f>100-D207</f>
        <v>0.71873700006800334</v>
      </c>
      <c r="E209" s="18">
        <f>100-E207</f>
        <v>2.869955356714982</v>
      </c>
      <c r="F209" s="18">
        <f>100-F207</f>
        <v>3.3847335041196374</v>
      </c>
      <c r="G209" s="18">
        <f>100-G207</f>
        <v>9.7577094799330979</v>
      </c>
      <c r="S209" s="66" t="s">
        <v>39</v>
      </c>
      <c r="T209" s="67">
        <f>C585</f>
        <v>0</v>
      </c>
      <c r="U209" s="67">
        <f t="shared" si="35"/>
        <v>0.97563011623785156</v>
      </c>
      <c r="V209" s="67">
        <f t="shared" si="35"/>
        <v>0.43486625004482576</v>
      </c>
      <c r="W209" s="67">
        <f t="shared" si="35"/>
        <v>0.79124457837300399</v>
      </c>
      <c r="X209" s="67">
        <f t="shared" si="35"/>
        <v>1.5113312432939352</v>
      </c>
      <c r="AD209" s="51"/>
      <c r="AE209" s="51"/>
      <c r="AJ209" t="s">
        <v>633</v>
      </c>
      <c r="AK209">
        <v>14</v>
      </c>
      <c r="AL209" s="1">
        <v>223.03</v>
      </c>
      <c r="AM209" s="1">
        <v>163.54</v>
      </c>
      <c r="AN209" s="1">
        <v>4201.1000000000004</v>
      </c>
      <c r="AO209" s="1">
        <v>15558.53</v>
      </c>
      <c r="AP209" s="1">
        <v>4501.6000000000004</v>
      </c>
      <c r="AR209" s="1">
        <v>259.5</v>
      </c>
      <c r="AS209" s="1">
        <v>1043.8599999999999</v>
      </c>
      <c r="AT209" s="1">
        <v>59381.99</v>
      </c>
      <c r="AU209" s="1">
        <v>29684.38</v>
      </c>
      <c r="AV209" s="1">
        <v>6168.72</v>
      </c>
    </row>
    <row r="210" spans="1:48" ht="15.6" x14ac:dyDescent="0.35">
      <c r="B210" s="1" t="s">
        <v>25</v>
      </c>
      <c r="C210" s="1">
        <f>C194</f>
        <v>450</v>
      </c>
      <c r="D210" s="1">
        <f>D194</f>
        <v>61</v>
      </c>
      <c r="E210" s="1">
        <f>E194</f>
        <v>781</v>
      </c>
      <c r="F210" s="1">
        <f>F194</f>
        <v>622</v>
      </c>
      <c r="G210" s="1">
        <f>G194</f>
        <v>979</v>
      </c>
      <c r="S210" s="15" t="s">
        <v>31</v>
      </c>
      <c r="T210" s="71">
        <f>I577</f>
        <v>100</v>
      </c>
      <c r="U210" s="71">
        <f>I578</f>
        <v>93.75</v>
      </c>
      <c r="V210" s="71">
        <f>I579</f>
        <v>99.064171122994651</v>
      </c>
      <c r="W210" s="71">
        <f>I580</f>
        <v>94.012944983818784</v>
      </c>
      <c r="X210" s="71">
        <f>I581</f>
        <v>95.261599210266539</v>
      </c>
      <c r="AD210" s="51"/>
      <c r="AE210" s="51"/>
      <c r="AJ210" t="s">
        <v>633</v>
      </c>
      <c r="AK210">
        <v>15</v>
      </c>
      <c r="AL210" s="1">
        <v>222.42</v>
      </c>
      <c r="AM210" s="1">
        <v>146.54</v>
      </c>
      <c r="AN210" s="1">
        <v>4351.29</v>
      </c>
      <c r="AO210" s="1">
        <v>15344.66</v>
      </c>
      <c r="AP210" s="1">
        <v>4582.88</v>
      </c>
      <c r="AR210" s="1">
        <v>253.55</v>
      </c>
      <c r="AS210" s="1">
        <v>993.15</v>
      </c>
      <c r="AT210" s="1">
        <v>59926.05</v>
      </c>
      <c r="AU210" s="1">
        <v>29127.360000000001</v>
      </c>
      <c r="AV210" s="1">
        <v>6238.35</v>
      </c>
    </row>
    <row r="211" spans="1:48" x14ac:dyDescent="0.3">
      <c r="B211" s="1" t="s">
        <v>34</v>
      </c>
      <c r="C211" s="18">
        <f>(O200*O200*(100-C207)*(100-C207)*(I200)*(100-I200))/(L200-1)</f>
        <v>0</v>
      </c>
      <c r="D211" s="18">
        <f>(O201*O201*(100-D207)*(100-D207)*(I201)*(100-I201))/((L201-1)*100)</f>
        <v>4.5753642478885768E-2</v>
      </c>
      <c r="E211" s="18">
        <f>(O202*O202*(100-E207)*(100-E207)*(I202)*(100-I202))/((L202-1)*100)</f>
        <v>65.591664097404134</v>
      </c>
      <c r="F211" s="18">
        <f>(O203*O203*(100-F207)*(100-F207)*(I203)*(100-I203))/((L203-1)*100)</f>
        <v>112.89447723958685</v>
      </c>
      <c r="G211" s="18">
        <f>(O204*O204*(100-G207)*(100-G207)*(I204)*(100-I204))/((L204-1)*100)</f>
        <v>18.357877028701377</v>
      </c>
      <c r="S211" s="75" t="s">
        <v>39</v>
      </c>
      <c r="T211" s="76">
        <f>J577</f>
        <v>0</v>
      </c>
      <c r="U211" s="76">
        <f>J578</f>
        <v>3.0496877279641659</v>
      </c>
      <c r="V211" s="76">
        <f>J579</f>
        <v>0.35228668199337793</v>
      </c>
      <c r="W211" s="76">
        <f>J580</f>
        <v>0.95511985030479685</v>
      </c>
      <c r="X211" s="76">
        <f>J581</f>
        <v>0.66785867843198421</v>
      </c>
      <c r="AD211" s="51"/>
      <c r="AE211" s="51"/>
      <c r="AJ211" t="s">
        <v>633</v>
      </c>
      <c r="AK211">
        <v>16</v>
      </c>
      <c r="AL211" s="1">
        <v>225.2</v>
      </c>
      <c r="AM211" s="1">
        <v>133.62</v>
      </c>
      <c r="AN211" s="1">
        <v>4242.92</v>
      </c>
      <c r="AO211" s="1">
        <v>15537.37</v>
      </c>
      <c r="AP211" s="1">
        <v>4508.6899999999996</v>
      </c>
      <c r="AR211" s="1">
        <v>270.43</v>
      </c>
      <c r="AS211" s="1">
        <v>880.39</v>
      </c>
      <c r="AT211" s="1">
        <v>59648.46</v>
      </c>
      <c r="AU211" s="1">
        <v>29519.59</v>
      </c>
      <c r="AV211" s="1">
        <v>6219.58</v>
      </c>
    </row>
    <row r="212" spans="1:48" x14ac:dyDescent="0.3">
      <c r="B212" s="1" t="s">
        <v>35</v>
      </c>
      <c r="C212" s="18">
        <f>C207*C207*(SUM((H201*C201*(1-C190/H190))/(H190-1),(H202*C202*(1-C191/H191))/(H191-1), (H203*C203*(1-C192/H192))/(H192-1),(H204*C204*(1-C193/H193))/(H193-1)))</f>
        <v>0</v>
      </c>
      <c r="D212" s="18">
        <f>D207*D207*(SUM((H200*D200*(1-D189/H189))/(H189-1),(H202*D202*(1-D191/H191))/(H191-1), (H203*D203*(1-D192/H192))/(H192-1),(H204*D204*(1-D193/H193))/(H193-1)))</f>
        <v>0.43237192142546899</v>
      </c>
      <c r="E212" s="18">
        <f>E207*E207*(SUM((H200*E200*(1-E189/H189))/(H189-1),(H201*E201*(1-E190/H190))/(H190-1), (H203*E203*(1-E192/H192))/(H192-1),(H204*E204*(1-E193/H193))/(H193-1)))</f>
        <v>756.25640405022818</v>
      </c>
      <c r="F212" s="18">
        <f>F207*F207*(SUM((H200*F200*(1-F189/H189))/(H189-1),(H201*F201*(1-F190/H190))/(H190-1), (H202*F202*(1-F191/H191))/(H191-1),(H204*F204*(1-F193/H193))/(H193-1)))</f>
        <v>576.56191987434818</v>
      </c>
      <c r="G212" s="18">
        <f>G207*G207*(SUM((H200*G200*(1-G189/H189))/(H189-1),(H201*G201*(1-G190/H190))/(H190-1), (H202*G202*(1-G191/H191))/(H191-1),(H203*G203*(1-G192/H192))/(H192-1)))</f>
        <v>342.00728125872973</v>
      </c>
      <c r="S212" s="66" t="s">
        <v>51</v>
      </c>
      <c r="T212" s="67">
        <f>N566*100</f>
        <v>100</v>
      </c>
      <c r="U212" s="67">
        <f>N567*100</f>
        <v>95.238095238095227</v>
      </c>
      <c r="V212" s="67">
        <f>N568*100</f>
        <v>96.736292428198425</v>
      </c>
      <c r="W212" s="67">
        <f>N569*100</f>
        <v>93.258426966292134</v>
      </c>
      <c r="X212" s="67">
        <f>N570*100</f>
        <v>97.376387487386467</v>
      </c>
      <c r="AD212" s="51"/>
      <c r="AE212" s="51"/>
      <c r="AJ212" t="s">
        <v>633</v>
      </c>
      <c r="AK212">
        <v>17</v>
      </c>
      <c r="AL212" s="1">
        <v>224.49</v>
      </c>
      <c r="AM212" s="1">
        <v>156.6</v>
      </c>
      <c r="AN212" s="1">
        <v>4287.66</v>
      </c>
      <c r="AO212" s="1">
        <v>15264.08</v>
      </c>
      <c r="AP212" s="1">
        <v>4714.96</v>
      </c>
      <c r="AR212" s="1">
        <v>258.98</v>
      </c>
      <c r="AS212" s="1">
        <v>1033.26</v>
      </c>
      <c r="AT212" s="1">
        <v>59562.14</v>
      </c>
      <c r="AU212" s="1">
        <v>29062.560000000001</v>
      </c>
      <c r="AV212" s="1">
        <v>6621.5</v>
      </c>
    </row>
    <row r="213" spans="1:48" x14ac:dyDescent="0.3">
      <c r="R213" s="16" t="s">
        <v>61</v>
      </c>
      <c r="S213" t="s">
        <v>9</v>
      </c>
      <c r="T213" s="1">
        <f>N577</f>
        <v>261.67</v>
      </c>
      <c r="U213" s="1">
        <f>N578</f>
        <v>1016</v>
      </c>
      <c r="V213" s="1">
        <f>N579</f>
        <v>59866.41</v>
      </c>
      <c r="W213" s="1">
        <f>N580</f>
        <v>29187.99</v>
      </c>
      <c r="X213" s="1">
        <f>N581</f>
        <v>6206.37</v>
      </c>
      <c r="Z213" t="s">
        <v>36</v>
      </c>
      <c r="AA213" s="1">
        <f>N582</f>
        <v>96538.44</v>
      </c>
      <c r="AD213" s="51"/>
      <c r="AE213" s="51"/>
      <c r="AJ213" t="s">
        <v>633</v>
      </c>
      <c r="AK213">
        <v>18</v>
      </c>
      <c r="AL213" s="1">
        <v>225.84</v>
      </c>
      <c r="AM213" s="1">
        <v>160.15</v>
      </c>
      <c r="AN213" s="1">
        <v>4256.84</v>
      </c>
      <c r="AO213" s="1">
        <v>15487.15</v>
      </c>
      <c r="AP213" s="1">
        <v>4517.8100000000004</v>
      </c>
      <c r="AR213" s="1">
        <v>261.7</v>
      </c>
      <c r="AS213" s="1">
        <v>975.72</v>
      </c>
      <c r="AT213" s="1">
        <v>59705.03</v>
      </c>
      <c r="AU213" s="1">
        <v>29329.17</v>
      </c>
      <c r="AV213" s="1">
        <v>6266.82</v>
      </c>
    </row>
    <row r="214" spans="1:48" ht="15.6" x14ac:dyDescent="0.35">
      <c r="R214" s="16" t="s">
        <v>318</v>
      </c>
      <c r="S214" t="s">
        <v>63</v>
      </c>
      <c r="T214" s="57">
        <f>$AA213*T206/100</f>
        <v>261.67</v>
      </c>
      <c r="U214" s="57">
        <f>$AA213*U206/100</f>
        <v>964.75344521224076</v>
      </c>
      <c r="V214" s="57">
        <f>$AA213*V206/100</f>
        <v>60955.256896127685</v>
      </c>
      <c r="W214" s="57">
        <f>$AA213*W206/100</f>
        <v>28255.553314627636</v>
      </c>
      <c r="X214" s="57">
        <f>$AA213*X206/100</f>
        <v>6101.2063440324318</v>
      </c>
      <c r="Z214" t="s">
        <v>36</v>
      </c>
      <c r="AA214" s="25">
        <f>SUM(T214:X214)</f>
        <v>96538.439999999988</v>
      </c>
      <c r="AD214" s="51"/>
      <c r="AE214" s="51"/>
      <c r="AJ214" t="s">
        <v>633</v>
      </c>
      <c r="AK214">
        <v>19</v>
      </c>
      <c r="AL214" s="1">
        <v>224.86</v>
      </c>
      <c r="AM214" s="1">
        <v>156.87</v>
      </c>
      <c r="AN214" s="1">
        <v>4313.42</v>
      </c>
      <c r="AO214" s="1">
        <v>15404.06</v>
      </c>
      <c r="AP214" s="1">
        <v>4548.58</v>
      </c>
      <c r="AR214" s="1">
        <v>261.67</v>
      </c>
      <c r="AS214" s="1">
        <v>1016</v>
      </c>
      <c r="AT214" s="1">
        <v>59866.41</v>
      </c>
      <c r="AU214" s="1">
        <v>29187.99</v>
      </c>
      <c r="AV214" s="1">
        <v>6206.37</v>
      </c>
    </row>
    <row r="215" spans="1:48" x14ac:dyDescent="0.3">
      <c r="A215" s="348" t="s">
        <v>388</v>
      </c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 t="s">
        <v>80</v>
      </c>
      <c r="M215" s="348"/>
      <c r="N215" s="348"/>
      <c r="O215" s="348"/>
      <c r="P215" s="348"/>
      <c r="R215" s="66"/>
      <c r="S215" s="66" t="s">
        <v>62</v>
      </c>
      <c r="T215" s="67">
        <f>$AA213*T207/100</f>
        <v>0</v>
      </c>
      <c r="U215" s="67">
        <f>$AA213*U207/100</f>
        <v>31.937185747587236</v>
      </c>
      <c r="V215" s="67">
        <f>$AA213*V207/100</f>
        <v>339.23770556026261</v>
      </c>
      <c r="W215" s="67">
        <f>$AA213*W207/100</f>
        <v>351.66499878461315</v>
      </c>
      <c r="X215" s="67">
        <f>$AA213*X207/100</f>
        <v>102.86513849137819</v>
      </c>
      <c r="AA215" s="1"/>
      <c r="AD215" s="51"/>
      <c r="AE215" s="51"/>
      <c r="AL215" s="1"/>
      <c r="AM215" s="1"/>
      <c r="AN215" s="1"/>
      <c r="AO215" s="1"/>
      <c r="AP215" s="1"/>
      <c r="AQ215" t="s">
        <v>644</v>
      </c>
    </row>
    <row r="216" spans="1:48" x14ac:dyDescent="0.3">
      <c r="A216" t="s">
        <v>315</v>
      </c>
      <c r="B216" t="s">
        <v>21</v>
      </c>
      <c r="I216" s="1" t="s">
        <v>53</v>
      </c>
      <c r="O216" s="142"/>
      <c r="P216" s="142"/>
      <c r="AJ216" t="s">
        <v>644</v>
      </c>
      <c r="AK216">
        <v>0</v>
      </c>
      <c r="AL216" s="1">
        <v>7.0000000000000007E-2</v>
      </c>
      <c r="AM216" s="1">
        <v>20.93</v>
      </c>
      <c r="AN216" s="1">
        <v>1173.44</v>
      </c>
      <c r="AO216" s="1">
        <v>233.46</v>
      </c>
      <c r="AP216" s="1">
        <v>34.42</v>
      </c>
      <c r="AR216" s="1">
        <v>8.67</v>
      </c>
      <c r="AS216" s="1">
        <v>212.44</v>
      </c>
      <c r="AT216" s="1">
        <v>5179.57</v>
      </c>
      <c r="AU216" s="1">
        <v>587.96</v>
      </c>
      <c r="AV216" s="1">
        <v>235.61</v>
      </c>
    </row>
    <row r="217" spans="1:48" ht="15.6" x14ac:dyDescent="0.35">
      <c r="B217" s="1" t="s">
        <v>0</v>
      </c>
      <c r="C217" s="13">
        <v>0</v>
      </c>
      <c r="D217" s="13">
        <v>1</v>
      </c>
      <c r="E217" s="13">
        <v>2</v>
      </c>
      <c r="F217" s="13">
        <v>3</v>
      </c>
      <c r="G217" s="13">
        <v>4</v>
      </c>
      <c r="H217" s="1" t="s">
        <v>20</v>
      </c>
      <c r="I217" s="1" t="s">
        <v>1</v>
      </c>
      <c r="J217" s="1" t="s">
        <v>13</v>
      </c>
      <c r="N217" s="1" t="s">
        <v>51</v>
      </c>
      <c r="O217" s="13"/>
      <c r="P217" s="13"/>
      <c r="AJ217" t="s">
        <v>644</v>
      </c>
      <c r="AK217">
        <v>1</v>
      </c>
      <c r="AL217" s="1">
        <v>0</v>
      </c>
      <c r="AM217" s="1">
        <v>19.55</v>
      </c>
      <c r="AN217" s="1">
        <v>1175.0999999999999</v>
      </c>
      <c r="AO217" s="1">
        <v>231.84</v>
      </c>
      <c r="AP217" s="1">
        <v>35.83</v>
      </c>
      <c r="AR217" s="1">
        <v>6.88</v>
      </c>
      <c r="AS217" s="1">
        <v>205.29</v>
      </c>
      <c r="AT217" s="1">
        <v>5180.29</v>
      </c>
      <c r="AU217" s="1">
        <v>589.23</v>
      </c>
      <c r="AV217" s="1">
        <v>242.56</v>
      </c>
    </row>
    <row r="218" spans="1:48" x14ac:dyDescent="0.3">
      <c r="A218" t="s">
        <v>3</v>
      </c>
      <c r="B218" s="13">
        <v>0</v>
      </c>
      <c r="C218" s="26">
        <v>450</v>
      </c>
      <c r="D218" s="3">
        <v>0</v>
      </c>
      <c r="E218" s="3">
        <v>0</v>
      </c>
      <c r="F218" s="3">
        <v>0</v>
      </c>
      <c r="G218" s="4">
        <v>0</v>
      </c>
      <c r="H218" s="1">
        <f>SUM(C218:G218)</f>
        <v>450</v>
      </c>
      <c r="I218" s="10">
        <f>C218/H218</f>
        <v>1</v>
      </c>
      <c r="J218" s="11">
        <f>1-I218</f>
        <v>0</v>
      </c>
      <c r="K218">
        <f>H218-C223</f>
        <v>0</v>
      </c>
      <c r="N218" s="10">
        <f>2*(C224*I218)/(C224+I218)</f>
        <v>1</v>
      </c>
      <c r="O218" s="1"/>
      <c r="P218" s="1"/>
      <c r="R218" s="66"/>
      <c r="S218" s="66"/>
      <c r="T218" s="66"/>
      <c r="U218" s="66"/>
      <c r="V218" s="66"/>
      <c r="W218" s="66"/>
      <c r="X218" s="66"/>
      <c r="AJ218" t="s">
        <v>644</v>
      </c>
      <c r="AK218">
        <v>2</v>
      </c>
      <c r="AL218" s="1">
        <v>0.03</v>
      </c>
      <c r="AM218" s="1">
        <v>19.77</v>
      </c>
      <c r="AN218" s="1">
        <v>1175.1600000000001</v>
      </c>
      <c r="AO218" s="1">
        <v>232.91</v>
      </c>
      <c r="AP218" s="1">
        <v>34.450000000000003</v>
      </c>
      <c r="AR218" s="1">
        <v>4.3</v>
      </c>
      <c r="AS218" s="1">
        <v>217.72</v>
      </c>
      <c r="AT218" s="1">
        <v>5172.1099999999997</v>
      </c>
      <c r="AU218" s="1">
        <v>595.94000000000005</v>
      </c>
      <c r="AV218" s="1">
        <v>234.18</v>
      </c>
    </row>
    <row r="219" spans="1:48" x14ac:dyDescent="0.3">
      <c r="A219" t="s">
        <v>4</v>
      </c>
      <c r="B219" s="13">
        <v>1</v>
      </c>
      <c r="C219" s="5">
        <v>0</v>
      </c>
      <c r="D219" s="27">
        <v>59</v>
      </c>
      <c r="E219" s="1">
        <v>4</v>
      </c>
      <c r="F219" s="1">
        <v>1</v>
      </c>
      <c r="G219" s="6">
        <v>0</v>
      </c>
      <c r="H219" s="1">
        <f>SUM(C219:G219)</f>
        <v>64</v>
      </c>
      <c r="I219" s="10">
        <f>D219/H219</f>
        <v>0.921875</v>
      </c>
      <c r="J219" s="11">
        <f>1-I219</f>
        <v>7.8125E-2</v>
      </c>
      <c r="K219">
        <f>H219-D223</f>
        <v>3</v>
      </c>
      <c r="N219" s="10">
        <f>2*(D224*I219)/(D224+I219)</f>
        <v>0.94399999999999995</v>
      </c>
      <c r="O219" s="1"/>
      <c r="P219" s="1"/>
      <c r="R219" t="s">
        <v>348</v>
      </c>
      <c r="S219" t="s">
        <v>28</v>
      </c>
      <c r="T219" s="57">
        <f>AVERAGE(T16,T26,T36,T46,T56,T66,T76,T86,T96,T106,T116,T126,T136,T146,T156,T166,T176,T186,T196,T206)</f>
        <v>0.27727286266574652</v>
      </c>
      <c r="U219" s="57">
        <f>AVERAGE(U16,U26,U36,U46,U56,U66,U76,U86,U96,U106,U116,U126,U136,U146,U156,U166,U176,U186,U196,U206)</f>
        <v>0.96267760243183287</v>
      </c>
      <c r="V219" s="57">
        <f>AVERAGE(V16,V26,V36,V46,V56,V66,V76,V86,V96,V106,V116,V126,V136,V146,V156,V166,V176,V186,V196,V206)</f>
        <v>62.726026000966421</v>
      </c>
      <c r="W219" s="57">
        <f>AVERAGE(W16,W26,W36,W46,W56,W66,W76,W86,W96,W106,W116,W126,W136,W146,W156,W166,W176,W186,W196,W206)</f>
        <v>29.241356715937094</v>
      </c>
      <c r="X219" s="57">
        <f>AVERAGE(X16,X26,X36,X46,X56,X66,X76,X86,X96,X106,X116,X126,X136,X146,X156,X166,X176,X186,X196,X206)</f>
        <v>6.7926668179989225</v>
      </c>
      <c r="AJ219" t="s">
        <v>644</v>
      </c>
      <c r="AK219">
        <v>3</v>
      </c>
      <c r="AL219" s="1">
        <v>0.08</v>
      </c>
      <c r="AM219" s="1">
        <v>18.3</v>
      </c>
      <c r="AN219" s="1">
        <v>1179.1199999999999</v>
      </c>
      <c r="AO219" s="1">
        <v>230.52</v>
      </c>
      <c r="AP219" s="1">
        <v>34.29</v>
      </c>
      <c r="AR219" s="1">
        <v>9.15</v>
      </c>
      <c r="AS219" s="1">
        <v>205.41</v>
      </c>
      <c r="AT219" s="1">
        <v>5189.18</v>
      </c>
      <c r="AU219" s="1">
        <v>581.54999999999995</v>
      </c>
      <c r="AV219" s="1">
        <v>238.96</v>
      </c>
    </row>
    <row r="220" spans="1:48" x14ac:dyDescent="0.3">
      <c r="A220" t="s">
        <v>5</v>
      </c>
      <c r="B220" s="13">
        <v>2</v>
      </c>
      <c r="C220" s="5">
        <v>0</v>
      </c>
      <c r="D220" s="1">
        <v>1</v>
      </c>
      <c r="E220" s="27">
        <v>736</v>
      </c>
      <c r="F220" s="1">
        <v>10</v>
      </c>
      <c r="G220" s="6">
        <v>1</v>
      </c>
      <c r="H220" s="1">
        <f>SUM(C220:G220)</f>
        <v>748</v>
      </c>
      <c r="I220" s="10">
        <f>E220/H220</f>
        <v>0.98395721925133695</v>
      </c>
      <c r="J220" s="11">
        <f>1-I220</f>
        <v>1.6042780748663055E-2</v>
      </c>
      <c r="K220">
        <f>H220-E223</f>
        <v>-37</v>
      </c>
      <c r="N220" s="10">
        <f>2*(E224*I220)/(E224+I220)</f>
        <v>0.9602087410306589</v>
      </c>
      <c r="O220" s="1"/>
      <c r="P220" s="1"/>
      <c r="S220" s="66" t="s">
        <v>39</v>
      </c>
      <c r="T220" s="67">
        <f t="shared" ref="T220:X228" si="36">AVERAGE(T17,T27,T37,T47,T57,T67,T77,T87,T97,T107,T117,T127,T137,T147,T157,T167,T177,T187,T197,T207)</f>
        <v>4.1214299704484952E-3</v>
      </c>
      <c r="U220" s="67">
        <f t="shared" si="36"/>
        <v>3.3075749873544204E-2</v>
      </c>
      <c r="V220" s="67">
        <f t="shared" si="36"/>
        <v>0.36251398421356984</v>
      </c>
      <c r="W220" s="67">
        <f t="shared" si="36"/>
        <v>0.37005718262135162</v>
      </c>
      <c r="X220" s="67">
        <f t="shared" si="36"/>
        <v>0.17688086728943561</v>
      </c>
      <c r="AC220" t="s">
        <v>118</v>
      </c>
      <c r="AD220" t="s">
        <v>157</v>
      </c>
      <c r="AE220" t="s">
        <v>119</v>
      </c>
      <c r="AJ220" t="s">
        <v>644</v>
      </c>
      <c r="AK220">
        <v>4</v>
      </c>
      <c r="AL220" s="1">
        <v>0.08</v>
      </c>
      <c r="AM220" s="1">
        <v>22.4</v>
      </c>
      <c r="AN220" s="1">
        <v>1168.43</v>
      </c>
      <c r="AO220" s="1">
        <v>237.62</v>
      </c>
      <c r="AP220" s="1">
        <v>33.770000000000003</v>
      </c>
      <c r="AR220" s="1">
        <v>5.44</v>
      </c>
      <c r="AS220" s="1">
        <v>234.63</v>
      </c>
      <c r="AT220" s="1">
        <v>5149.51</v>
      </c>
      <c r="AU220" s="1">
        <v>604.45000000000005</v>
      </c>
      <c r="AV220" s="1">
        <v>230.22</v>
      </c>
    </row>
    <row r="221" spans="1:48" x14ac:dyDescent="0.3">
      <c r="A221" t="s">
        <v>6</v>
      </c>
      <c r="B221" s="13">
        <v>3</v>
      </c>
      <c r="C221" s="5">
        <v>0</v>
      </c>
      <c r="D221" s="1">
        <v>0</v>
      </c>
      <c r="E221" s="1">
        <v>36</v>
      </c>
      <c r="F221" s="27">
        <v>574</v>
      </c>
      <c r="G221" s="6">
        <v>8</v>
      </c>
      <c r="H221" s="1">
        <f>SUM(C221:G221)</f>
        <v>618</v>
      </c>
      <c r="I221" s="10">
        <f>F221/H221</f>
        <v>0.92880258899676371</v>
      </c>
      <c r="J221" s="11">
        <f>1-I221</f>
        <v>7.1197411003236288E-2</v>
      </c>
      <c r="K221">
        <f>H221-F223</f>
        <v>-7</v>
      </c>
      <c r="N221" s="10">
        <f>2*(F224*I221)/(F224+I221)</f>
        <v>0.92357200321802102</v>
      </c>
      <c r="O221" s="1"/>
      <c r="P221" s="1"/>
      <c r="S221" t="s">
        <v>30</v>
      </c>
      <c r="T221" s="57">
        <f t="shared" si="36"/>
        <v>98.824180100393562</v>
      </c>
      <c r="U221" s="57">
        <f t="shared" si="36"/>
        <v>99.180007756778963</v>
      </c>
      <c r="V221" s="57">
        <f t="shared" si="36"/>
        <v>97.292737057380705</v>
      </c>
      <c r="W221" s="57">
        <f t="shared" si="36"/>
        <v>97.263605753944987</v>
      </c>
      <c r="X221" s="57">
        <f t="shared" si="36"/>
        <v>92.271802376962214</v>
      </c>
      <c r="AB221">
        <v>0</v>
      </c>
      <c r="AC221">
        <v>31</v>
      </c>
      <c r="AD221">
        <v>26</v>
      </c>
      <c r="AE221">
        <v>15</v>
      </c>
      <c r="AJ221" t="s">
        <v>644</v>
      </c>
      <c r="AK221">
        <v>5</v>
      </c>
      <c r="AL221" s="1">
        <v>0.08</v>
      </c>
      <c r="AM221" s="1">
        <v>19</v>
      </c>
      <c r="AN221" s="1">
        <v>1176.81</v>
      </c>
      <c r="AO221" s="1">
        <v>233.65</v>
      </c>
      <c r="AP221" s="1">
        <v>32.770000000000003</v>
      </c>
      <c r="AR221" s="1">
        <v>9.58</v>
      </c>
      <c r="AS221" s="1">
        <v>212.79</v>
      </c>
      <c r="AT221" s="1">
        <v>5189.37</v>
      </c>
      <c r="AU221" s="1">
        <v>584.41999999999996</v>
      </c>
      <c r="AV221" s="1">
        <v>228.09</v>
      </c>
    </row>
    <row r="222" spans="1:48" x14ac:dyDescent="0.3">
      <c r="A222" t="s">
        <v>7</v>
      </c>
      <c r="B222" s="13">
        <v>4</v>
      </c>
      <c r="C222" s="7">
        <v>0</v>
      </c>
      <c r="D222" s="8">
        <v>1</v>
      </c>
      <c r="E222" s="8">
        <v>9</v>
      </c>
      <c r="F222" s="8">
        <v>40</v>
      </c>
      <c r="G222" s="28">
        <v>963</v>
      </c>
      <c r="H222" s="1">
        <f>SUM(C222:G222)</f>
        <v>1013</v>
      </c>
      <c r="I222" s="10">
        <f>G222/H222</f>
        <v>0.95064165844027637</v>
      </c>
      <c r="J222" s="11">
        <f>1-I222</f>
        <v>4.9358341559723629E-2</v>
      </c>
      <c r="K222">
        <f>H222-G223</f>
        <v>41</v>
      </c>
      <c r="N222" s="10">
        <f>2*(G224*I222)/(G224+I222)</f>
        <v>0.97027707808564223</v>
      </c>
      <c r="O222" s="1"/>
      <c r="P222" s="1"/>
      <c r="S222" s="66" t="s">
        <v>39</v>
      </c>
      <c r="T222" s="67">
        <f t="shared" si="36"/>
        <v>0.89930941234433737</v>
      </c>
      <c r="U222" s="67">
        <f t="shared" si="36"/>
        <v>0.74588136054221432</v>
      </c>
      <c r="V222" s="67">
        <f t="shared" si="36"/>
        <v>0.43867039389894258</v>
      </c>
      <c r="W222" s="67">
        <f t="shared" si="36"/>
        <v>0.76087507604023785</v>
      </c>
      <c r="X222" s="67">
        <f t="shared" si="36"/>
        <v>2.3709215565361981</v>
      </c>
      <c r="AB222">
        <v>1</v>
      </c>
      <c r="AC222">
        <v>60</v>
      </c>
      <c r="AD222">
        <v>55</v>
      </c>
      <c r="AE222">
        <v>44</v>
      </c>
      <c r="AJ222" t="s">
        <v>644</v>
      </c>
      <c r="AK222">
        <v>6</v>
      </c>
      <c r="AL222" s="1">
        <v>0.08</v>
      </c>
      <c r="AM222" s="1">
        <v>17.850000000000001</v>
      </c>
      <c r="AN222" s="1">
        <v>1169.29</v>
      </c>
      <c r="AO222" s="1">
        <v>239.42</v>
      </c>
      <c r="AP222" s="1">
        <v>35.68</v>
      </c>
      <c r="AR222" s="1">
        <v>5.48</v>
      </c>
      <c r="AS222" s="1">
        <v>214.36</v>
      </c>
      <c r="AT222" s="1">
        <v>5156.07</v>
      </c>
      <c r="AU222" s="1">
        <v>605.49</v>
      </c>
      <c r="AV222" s="1">
        <v>242.85</v>
      </c>
    </row>
    <row r="223" spans="1:48" ht="15.6" x14ac:dyDescent="0.35">
      <c r="B223" s="1" t="s">
        <v>19</v>
      </c>
      <c r="C223" s="1">
        <f>SUM(C218:C222)</f>
        <v>450</v>
      </c>
      <c r="D223" s="1">
        <f>SUM(D218:D222)</f>
        <v>61</v>
      </c>
      <c r="E223" s="1">
        <f>SUM(E218:E222)</f>
        <v>785</v>
      </c>
      <c r="F223" s="1">
        <f>SUM(F218:F222)</f>
        <v>625</v>
      </c>
      <c r="G223" s="1">
        <f>SUM(G218:G222)</f>
        <v>972</v>
      </c>
      <c r="H223" s="1">
        <f>SUM(H217:H222)</f>
        <v>2893</v>
      </c>
      <c r="I223" s="13" t="s">
        <v>12</v>
      </c>
      <c r="N223" s="16"/>
      <c r="O223" s="1"/>
      <c r="P223" s="1"/>
      <c r="S223" s="15" t="s">
        <v>31</v>
      </c>
      <c r="T223" s="71">
        <f t="shared" si="36"/>
        <v>100</v>
      </c>
      <c r="U223" s="71">
        <f t="shared" si="36"/>
        <v>93.984375</v>
      </c>
      <c r="V223" s="71">
        <f t="shared" si="36"/>
        <v>98.883689839572185</v>
      </c>
      <c r="W223" s="71">
        <f t="shared" si="36"/>
        <v>93.487055016181216</v>
      </c>
      <c r="X223" s="71">
        <f t="shared" si="36"/>
        <v>95.286278381046401</v>
      </c>
      <c r="AB223">
        <v>2</v>
      </c>
      <c r="AC223">
        <v>89</v>
      </c>
      <c r="AD223">
        <v>84</v>
      </c>
      <c r="AE223">
        <v>73</v>
      </c>
      <c r="AJ223" t="s">
        <v>644</v>
      </c>
      <c r="AK223">
        <v>7</v>
      </c>
      <c r="AL223" s="1">
        <v>0</v>
      </c>
      <c r="AM223" s="1">
        <v>21.16</v>
      </c>
      <c r="AN223" s="1">
        <v>1176.3699999999999</v>
      </c>
      <c r="AO223" s="1">
        <v>233.58</v>
      </c>
      <c r="AP223" s="1">
        <v>31.2</v>
      </c>
      <c r="AR223" s="1">
        <v>2.2200000000000002</v>
      </c>
      <c r="AS223" s="1">
        <v>226.2</v>
      </c>
      <c r="AT223" s="1">
        <v>5183.1499999999996</v>
      </c>
      <c r="AU223" s="1">
        <v>593.1</v>
      </c>
      <c r="AV223" s="1">
        <v>219.58</v>
      </c>
    </row>
    <row r="224" spans="1:48" x14ac:dyDescent="0.3">
      <c r="A224" s="1" t="s">
        <v>316</v>
      </c>
      <c r="B224" s="1" t="s">
        <v>2</v>
      </c>
      <c r="C224" s="10">
        <f>C218/C223</f>
        <v>1</v>
      </c>
      <c r="D224" s="10">
        <f>D219/D223</f>
        <v>0.96721311475409832</v>
      </c>
      <c r="E224" s="10">
        <f>E220/E223</f>
        <v>0.93757961783439492</v>
      </c>
      <c r="F224" s="10">
        <f>F221/F223</f>
        <v>0.91839999999999999</v>
      </c>
      <c r="G224" s="10">
        <f>G222/G223</f>
        <v>0.9907407407407407</v>
      </c>
      <c r="H224" s="10"/>
      <c r="I224" s="14">
        <f>(C218+D219+E220+F221+G222)/H223</f>
        <v>0.96163152436916699</v>
      </c>
      <c r="S224" s="75" t="s">
        <v>39</v>
      </c>
      <c r="T224" s="76">
        <f t="shared" si="36"/>
        <v>0</v>
      </c>
      <c r="U224" s="76">
        <f t="shared" si="36"/>
        <v>2.969454998960535</v>
      </c>
      <c r="V224" s="76">
        <f t="shared" si="36"/>
        <v>0.38227756943095326</v>
      </c>
      <c r="W224" s="76">
        <f t="shared" si="36"/>
        <v>0.99274955624395278</v>
      </c>
      <c r="X224" s="76">
        <f t="shared" si="36"/>
        <v>0.66540533021227666</v>
      </c>
      <c r="AB224">
        <v>3</v>
      </c>
      <c r="AC224">
        <v>118</v>
      </c>
      <c r="AD224">
        <v>113</v>
      </c>
      <c r="AE224">
        <v>102</v>
      </c>
      <c r="AJ224" t="s">
        <v>644</v>
      </c>
      <c r="AK224">
        <v>8</v>
      </c>
      <c r="AL224" s="1">
        <v>0.01</v>
      </c>
      <c r="AM224" s="1">
        <v>21.26</v>
      </c>
      <c r="AN224" s="1">
        <v>1177.2</v>
      </c>
      <c r="AO224" s="1">
        <v>228.71</v>
      </c>
      <c r="AP224" s="1">
        <v>35.130000000000003</v>
      </c>
      <c r="AR224" s="1">
        <v>2.38</v>
      </c>
      <c r="AS224" s="1">
        <v>236.11</v>
      </c>
      <c r="AT224" s="1">
        <v>5173.32</v>
      </c>
      <c r="AU224" s="1">
        <v>575.52</v>
      </c>
      <c r="AV224" s="1">
        <v>236.92</v>
      </c>
    </row>
    <row r="225" spans="1:48" x14ac:dyDescent="0.3">
      <c r="B225" s="1" t="s">
        <v>14</v>
      </c>
      <c r="C225" s="11">
        <f>1-C224</f>
        <v>0</v>
      </c>
      <c r="D225" s="11">
        <f>1-D224</f>
        <v>3.2786885245901676E-2</v>
      </c>
      <c r="E225" s="11">
        <f>1-E224</f>
        <v>6.2420382165605082E-2</v>
      </c>
      <c r="F225" s="11">
        <f>1-F224</f>
        <v>8.1600000000000006E-2</v>
      </c>
      <c r="G225" s="11">
        <f>1-G224</f>
        <v>9.2592592592593004E-3</v>
      </c>
      <c r="S225" s="66" t="s">
        <v>51</v>
      </c>
      <c r="T225" s="67">
        <f t="shared" si="36"/>
        <v>99.99445061043285</v>
      </c>
      <c r="U225" s="67">
        <f t="shared" si="36"/>
        <v>96.35454618723405</v>
      </c>
      <c r="V225" s="67">
        <f t="shared" si="36"/>
        <v>96.60754551255215</v>
      </c>
      <c r="W225" s="67">
        <f t="shared" si="36"/>
        <v>93.070436577520994</v>
      </c>
      <c r="X225" s="67">
        <f t="shared" si="36"/>
        <v>97.092608828180545</v>
      </c>
      <c r="AB225">
        <v>4</v>
      </c>
      <c r="AC225">
        <v>147</v>
      </c>
      <c r="AD225">
        <v>142</v>
      </c>
      <c r="AE225">
        <v>131</v>
      </c>
      <c r="AJ225" t="s">
        <v>644</v>
      </c>
      <c r="AK225">
        <v>9</v>
      </c>
      <c r="AL225" s="1">
        <v>0</v>
      </c>
      <c r="AM225" s="1">
        <v>20.94</v>
      </c>
      <c r="AN225" s="1">
        <v>1179.1099999999999</v>
      </c>
      <c r="AO225" s="1">
        <v>229.52</v>
      </c>
      <c r="AP225" s="1">
        <v>32.75</v>
      </c>
      <c r="AR225" s="1">
        <v>7.6</v>
      </c>
      <c r="AS225" s="1">
        <v>217.47</v>
      </c>
      <c r="AT225" s="1">
        <v>5192.62</v>
      </c>
      <c r="AU225" s="1">
        <v>577.96</v>
      </c>
      <c r="AV225" s="1">
        <v>228.6</v>
      </c>
    </row>
    <row r="226" spans="1:48" x14ac:dyDescent="0.3">
      <c r="C226" s="2"/>
      <c r="R226" s="16" t="s">
        <v>61</v>
      </c>
      <c r="S226" t="s">
        <v>9</v>
      </c>
      <c r="T226" s="1">
        <f t="shared" si="36"/>
        <v>263.69349999999997</v>
      </c>
      <c r="U226" s="1">
        <f t="shared" si="36"/>
        <v>980.35450000000003</v>
      </c>
      <c r="V226" s="1">
        <f t="shared" si="36"/>
        <v>59579.991000000002</v>
      </c>
      <c r="W226" s="1">
        <f t="shared" si="36"/>
        <v>29367.702000000001</v>
      </c>
      <c r="X226" s="1">
        <f t="shared" si="36"/>
        <v>6346.7100000000009</v>
      </c>
      <c r="AB226">
        <v>5</v>
      </c>
      <c r="AC226">
        <v>176</v>
      </c>
      <c r="AD226">
        <v>171</v>
      </c>
      <c r="AE226">
        <v>160</v>
      </c>
      <c r="AJ226" t="s">
        <v>644</v>
      </c>
      <c r="AK226">
        <v>10</v>
      </c>
      <c r="AL226" s="1">
        <v>0</v>
      </c>
      <c r="AM226" s="1">
        <v>19.96</v>
      </c>
      <c r="AN226" s="1">
        <v>1176.72</v>
      </c>
      <c r="AO226" s="1">
        <v>232.02</v>
      </c>
      <c r="AP226" s="1">
        <v>33.619999999999997</v>
      </c>
      <c r="AR226" s="1">
        <v>11.03</v>
      </c>
      <c r="AS226" s="1">
        <v>222.16</v>
      </c>
      <c r="AT226" s="1">
        <v>5176.33</v>
      </c>
      <c r="AU226" s="1">
        <v>587.16999999999996</v>
      </c>
      <c r="AV226" s="1">
        <v>227.56</v>
      </c>
    </row>
    <row r="227" spans="1:48" ht="15.6" x14ac:dyDescent="0.35">
      <c r="A227" t="s">
        <v>317</v>
      </c>
      <c r="B227" s="15" t="s">
        <v>23</v>
      </c>
      <c r="N227" s="12" t="s">
        <v>17</v>
      </c>
      <c r="O227" s="1" t="s">
        <v>27</v>
      </c>
      <c r="P227" s="1" t="s">
        <v>33</v>
      </c>
      <c r="R227" s="16" t="s">
        <v>318</v>
      </c>
      <c r="S227" t="s">
        <v>63</v>
      </c>
      <c r="T227" s="57">
        <f>AVERAGE(T24,T34,T44,T54,T64,T74,T84,T94,T104,T114,T124,T134,T144,T154,T164,T174,T184,T194,T204,T214)</f>
        <v>267.67492647058828</v>
      </c>
      <c r="U227" s="57">
        <f t="shared" si="36"/>
        <v>929.35404428760523</v>
      </c>
      <c r="V227" s="57">
        <f t="shared" si="36"/>
        <v>60554.733870125237</v>
      </c>
      <c r="W227" s="57">
        <f t="shared" si="36"/>
        <v>28229.152833987067</v>
      </c>
      <c r="X227" s="57">
        <f t="shared" si="36"/>
        <v>6557.5353251295019</v>
      </c>
      <c r="AB227">
        <v>6</v>
      </c>
      <c r="AC227">
        <v>205</v>
      </c>
      <c r="AD227">
        <v>200</v>
      </c>
      <c r="AE227">
        <v>189</v>
      </c>
      <c r="AJ227" t="s">
        <v>644</v>
      </c>
      <c r="AK227">
        <v>11</v>
      </c>
      <c r="AL227" s="1">
        <v>7.0000000000000007E-2</v>
      </c>
      <c r="AM227" s="1">
        <v>20.65</v>
      </c>
      <c r="AN227" s="1">
        <v>1183.27</v>
      </c>
      <c r="AO227" s="1">
        <v>223.02</v>
      </c>
      <c r="AP227" s="1">
        <v>35.299999999999997</v>
      </c>
      <c r="AR227" s="1">
        <v>7.2</v>
      </c>
      <c r="AS227" s="1">
        <v>220.75</v>
      </c>
      <c r="AT227" s="1">
        <v>5188.34</v>
      </c>
      <c r="AU227" s="1">
        <v>566.20000000000005</v>
      </c>
      <c r="AV227" s="1">
        <v>241.76</v>
      </c>
    </row>
    <row r="228" spans="1:48" ht="15.6" x14ac:dyDescent="0.35">
      <c r="B228" s="1" t="s">
        <v>0</v>
      </c>
      <c r="C228" s="13">
        <v>0</v>
      </c>
      <c r="D228" s="13">
        <v>1</v>
      </c>
      <c r="E228" s="13">
        <v>2</v>
      </c>
      <c r="F228" s="13">
        <v>3</v>
      </c>
      <c r="G228" s="13">
        <v>4</v>
      </c>
      <c r="H228" s="1" t="s">
        <v>28</v>
      </c>
      <c r="I228" s="1" t="s">
        <v>31</v>
      </c>
      <c r="J228" s="15" t="s">
        <v>39</v>
      </c>
      <c r="K228" s="1" t="s">
        <v>38</v>
      </c>
      <c r="L228" s="1" t="s">
        <v>26</v>
      </c>
      <c r="M228" t="s">
        <v>8</v>
      </c>
      <c r="N228" t="s">
        <v>9</v>
      </c>
      <c r="O228" s="1" t="s">
        <v>11</v>
      </c>
      <c r="R228" s="66"/>
      <c r="S228" s="66" t="s">
        <v>62</v>
      </c>
      <c r="T228" s="67">
        <f>AVERAGE(T25,T35,T45,T55,T65,T75,T85,T95,T105,T115,T125,T135,T145,T155,T165,T175,T185,T195,T205,T215)</f>
        <v>3.9787641991634382</v>
      </c>
      <c r="U228" s="67">
        <f t="shared" si="36"/>
        <v>31.930816447622853</v>
      </c>
      <c r="V228" s="67">
        <f t="shared" si="36"/>
        <v>349.96538531100651</v>
      </c>
      <c r="W228" s="67">
        <f t="shared" si="36"/>
        <v>357.24747214106225</v>
      </c>
      <c r="X228" s="67">
        <f t="shared" si="36"/>
        <v>170.75804954774242</v>
      </c>
      <c r="AB228">
        <v>7</v>
      </c>
      <c r="AC228">
        <v>234</v>
      </c>
      <c r="AD228">
        <v>229</v>
      </c>
      <c r="AE228">
        <v>218</v>
      </c>
      <c r="AJ228" t="s">
        <v>644</v>
      </c>
      <c r="AK228">
        <v>12</v>
      </c>
      <c r="AL228" s="1">
        <v>0</v>
      </c>
      <c r="AM228" s="1">
        <v>18.940000000000001</v>
      </c>
      <c r="AN228" s="1">
        <v>1173.9000000000001</v>
      </c>
      <c r="AO228" s="1">
        <v>237</v>
      </c>
      <c r="AP228" s="1">
        <v>32.479999999999997</v>
      </c>
      <c r="AR228" s="1">
        <v>5.0999999999999996</v>
      </c>
      <c r="AS228" s="1">
        <v>213.55</v>
      </c>
      <c r="AT228" s="1">
        <v>5182.04</v>
      </c>
      <c r="AU228" s="1">
        <v>599.92999999999995</v>
      </c>
      <c r="AV228" s="1">
        <v>223.63</v>
      </c>
    </row>
    <row r="229" spans="1:48" x14ac:dyDescent="0.3">
      <c r="A229" t="s">
        <v>3</v>
      </c>
      <c r="B229" s="13">
        <v>0</v>
      </c>
      <c r="C229" s="29">
        <f>(C218/$L229)*$O229</f>
        <v>0.26631875693052875</v>
      </c>
      <c r="D229" s="31">
        <f>(D218/$L229)*$O229</f>
        <v>0</v>
      </c>
      <c r="E229" s="31">
        <f>(E218/$L229)*$O229</f>
        <v>0</v>
      </c>
      <c r="F229" s="31">
        <f>(F218/$L229)*$O229</f>
        <v>0</v>
      </c>
      <c r="G229" s="32">
        <f>(G218/$L229)*$O229</f>
        <v>0</v>
      </c>
      <c r="H229" s="17">
        <f>SUM(C229:G229)</f>
        <v>0.26631875693052875</v>
      </c>
      <c r="I229" s="17">
        <f>C229/H229*100</f>
        <v>100</v>
      </c>
      <c r="J229" s="17">
        <f>SQRT(I229*(100-I229)/(L229-1))</f>
        <v>0</v>
      </c>
      <c r="K229" s="18">
        <f>100-I229</f>
        <v>0</v>
      </c>
      <c r="L229" s="1">
        <f>H218</f>
        <v>450</v>
      </c>
      <c r="M229">
        <v>0</v>
      </c>
      <c r="N229" s="1">
        <v>257.10000000000002</v>
      </c>
      <c r="O229" s="17">
        <f>N229/N234*100</f>
        <v>0.26631875693052875</v>
      </c>
      <c r="P229" s="52">
        <f>((O229*O229*(I229/100)*(K229/100))/(L229-1))</f>
        <v>0</v>
      </c>
      <c r="AB229">
        <v>8</v>
      </c>
      <c r="AC229">
        <v>263</v>
      </c>
      <c r="AD229">
        <v>258</v>
      </c>
      <c r="AE229">
        <v>247</v>
      </c>
      <c r="AJ229" t="s">
        <v>644</v>
      </c>
      <c r="AK229">
        <v>13</v>
      </c>
      <c r="AL229" s="1">
        <v>0.06</v>
      </c>
      <c r="AM229" s="1">
        <v>19.579999999999998</v>
      </c>
      <c r="AN229" s="1">
        <v>1176.55</v>
      </c>
      <c r="AO229" s="1">
        <v>233.85</v>
      </c>
      <c r="AP229" s="1">
        <v>32.28</v>
      </c>
      <c r="AR229" s="1">
        <v>2.27</v>
      </c>
      <c r="AS229" s="1">
        <v>224.42</v>
      </c>
      <c r="AT229" s="1">
        <v>5170.6400000000003</v>
      </c>
      <c r="AU229" s="1">
        <v>599.09</v>
      </c>
      <c r="AV229" s="1">
        <v>227.83</v>
      </c>
    </row>
    <row r="230" spans="1:48" x14ac:dyDescent="0.3">
      <c r="A230" t="s">
        <v>4</v>
      </c>
      <c r="B230" s="13">
        <v>1</v>
      </c>
      <c r="C230" s="33">
        <f t="shared" ref="C230:G233" si="37">(C219/$L230)*$O230</f>
        <v>0</v>
      </c>
      <c r="D230" s="34">
        <f t="shared" si="37"/>
        <v>0.97825934252103708</v>
      </c>
      <c r="E230" s="19">
        <f t="shared" si="37"/>
        <v>6.6322667289561835E-2</v>
      </c>
      <c r="F230" s="18">
        <f t="shared" si="37"/>
        <v>1.6580666822390459E-2</v>
      </c>
      <c r="G230" s="20">
        <f t="shared" si="37"/>
        <v>0</v>
      </c>
      <c r="H230" s="17">
        <f>SUM(C230:G230)</f>
        <v>1.0611626766329894</v>
      </c>
      <c r="I230" s="17">
        <f>D230/H230*100</f>
        <v>92.1875</v>
      </c>
      <c r="J230" s="17">
        <f>SQRT(I230*(100-I230)/(L230-1))</f>
        <v>3.3811213593755247</v>
      </c>
      <c r="K230" s="18">
        <f>100-I230</f>
        <v>7.8125</v>
      </c>
      <c r="L230" s="1">
        <f>H219</f>
        <v>64</v>
      </c>
      <c r="M230">
        <v>1</v>
      </c>
      <c r="N230" s="1">
        <v>1024.43</v>
      </c>
      <c r="O230" s="17">
        <f>N230/N234*100</f>
        <v>1.0611626766329894</v>
      </c>
      <c r="P230" s="52">
        <f>((O230*O230*(I230/100)*(K230/100))/(L230-1))</f>
        <v>1.2873168431930208E-3</v>
      </c>
      <c r="S230" t="s">
        <v>64</v>
      </c>
      <c r="T230" s="1" t="s">
        <v>639</v>
      </c>
      <c r="U230" s="1" t="s">
        <v>640</v>
      </c>
      <c r="V230" s="1" t="s">
        <v>641</v>
      </c>
      <c r="W230" s="1" t="s">
        <v>642</v>
      </c>
      <c r="X230" s="1" t="s">
        <v>643</v>
      </c>
      <c r="AB230">
        <v>9</v>
      </c>
      <c r="AC230">
        <v>292</v>
      </c>
      <c r="AD230">
        <v>287</v>
      </c>
      <c r="AE230">
        <v>276</v>
      </c>
      <c r="AJ230" t="s">
        <v>644</v>
      </c>
      <c r="AK230">
        <v>14</v>
      </c>
      <c r="AL230" s="1">
        <v>0.03</v>
      </c>
      <c r="AM230" s="1">
        <v>19.940000000000001</v>
      </c>
      <c r="AN230" s="1">
        <v>1177.73</v>
      </c>
      <c r="AO230" s="1">
        <v>234.32</v>
      </c>
      <c r="AP230" s="1">
        <v>30.3</v>
      </c>
      <c r="AR230" s="1">
        <v>8.5299999999999994</v>
      </c>
      <c r="AS230" s="1">
        <v>219.58</v>
      </c>
      <c r="AT230" s="1">
        <v>5179.96</v>
      </c>
      <c r="AU230" s="1">
        <v>595.23</v>
      </c>
      <c r="AV230" s="1">
        <v>220.95</v>
      </c>
    </row>
    <row r="231" spans="1:48" x14ac:dyDescent="0.3">
      <c r="A231" t="s">
        <v>5</v>
      </c>
      <c r="B231" s="13">
        <v>2</v>
      </c>
      <c r="C231" s="33">
        <f t="shared" si="37"/>
        <v>0</v>
      </c>
      <c r="D231" s="19">
        <f t="shared" si="37"/>
        <v>8.2445468660525364E-2</v>
      </c>
      <c r="E231" s="34">
        <f t="shared" si="37"/>
        <v>60.679864934146671</v>
      </c>
      <c r="F231" s="19">
        <f t="shared" si="37"/>
        <v>0.82445468660525367</v>
      </c>
      <c r="G231" s="20">
        <f t="shared" si="37"/>
        <v>8.2445468660525364E-2</v>
      </c>
      <c r="H231" s="17">
        <f>SUM(C231:G231)</f>
        <v>61.669210558072969</v>
      </c>
      <c r="I231" s="17">
        <f>E231/H231*100</f>
        <v>98.395721925133699</v>
      </c>
      <c r="J231" s="17">
        <f>SQRT(I231*(100-I231)/(L231-1))</f>
        <v>0.45969272570756609</v>
      </c>
      <c r="K231" s="18">
        <f>100-I231</f>
        <v>1.6042780748663006</v>
      </c>
      <c r="L231" s="1">
        <f>H220</f>
        <v>748</v>
      </c>
      <c r="M231">
        <v>2</v>
      </c>
      <c r="N231" s="1">
        <v>59534.5</v>
      </c>
      <c r="O231" s="17">
        <f>N231/N234*100</f>
        <v>61.669210558072976</v>
      </c>
      <c r="P231" s="52">
        <f>((O231*O231*(I231/100)*(K231/100))/(L231-1))</f>
        <v>8.0365942212900748E-2</v>
      </c>
      <c r="T231" s="57">
        <f>T24</f>
        <v>274.73</v>
      </c>
      <c r="U231" s="57">
        <f>U24</f>
        <v>896.4090822433368</v>
      </c>
      <c r="V231" s="57">
        <f>V24</f>
        <v>60841.727195771149</v>
      </c>
      <c r="W231" s="57">
        <f>W24</f>
        <v>27947.068390022687</v>
      </c>
      <c r="X231" s="57">
        <f>X24</f>
        <v>6578.5253319628255</v>
      </c>
      <c r="AB231">
        <v>10</v>
      </c>
      <c r="AC231">
        <v>321</v>
      </c>
      <c r="AD231">
        <v>316</v>
      </c>
      <c r="AE231">
        <v>305</v>
      </c>
      <c r="AJ231" t="s">
        <v>644</v>
      </c>
      <c r="AK231">
        <v>15</v>
      </c>
      <c r="AL231" s="1">
        <v>0.01</v>
      </c>
      <c r="AM231" s="1">
        <v>20</v>
      </c>
      <c r="AN231" s="1">
        <v>1180.06</v>
      </c>
      <c r="AO231" s="1">
        <v>231.25</v>
      </c>
      <c r="AP231" s="1">
        <v>30.99</v>
      </c>
      <c r="AR231" s="1">
        <v>5.0999999999999996</v>
      </c>
      <c r="AS231" s="1">
        <v>222.82</v>
      </c>
      <c r="AT231" s="1">
        <v>5186.8</v>
      </c>
      <c r="AU231" s="1">
        <v>588.33000000000004</v>
      </c>
      <c r="AV231" s="1">
        <v>221.2</v>
      </c>
    </row>
    <row r="232" spans="1:48" x14ac:dyDescent="0.3">
      <c r="A232" t="s">
        <v>6</v>
      </c>
      <c r="B232" s="13">
        <v>3</v>
      </c>
      <c r="C232" s="33">
        <f t="shared" si="37"/>
        <v>0</v>
      </c>
      <c r="D232" s="19">
        <f t="shared" si="37"/>
        <v>0</v>
      </c>
      <c r="E232" s="19">
        <f t="shared" si="37"/>
        <v>1.7811234094175274</v>
      </c>
      <c r="F232" s="34">
        <f t="shared" si="37"/>
        <v>28.399023250157242</v>
      </c>
      <c r="G232" s="20">
        <f t="shared" si="37"/>
        <v>0.39580520209278391</v>
      </c>
      <c r="H232" s="17">
        <f>SUM(C232:G232)</f>
        <v>30.575951861667555</v>
      </c>
      <c r="I232" s="17">
        <f>F232/H232*100</f>
        <v>92.880258899676377</v>
      </c>
      <c r="J232" s="17">
        <f>SQRT(I232*(100-I232)/(L232-1))</f>
        <v>1.035264274387411</v>
      </c>
      <c r="K232" s="18">
        <f>100-I232</f>
        <v>7.1197411003236226</v>
      </c>
      <c r="L232" s="1">
        <f>H221</f>
        <v>618</v>
      </c>
      <c r="M232">
        <v>3</v>
      </c>
      <c r="N232" s="1">
        <v>29517.55</v>
      </c>
      <c r="O232" s="17">
        <f>N232/N234*100</f>
        <v>30.575951861667555</v>
      </c>
      <c r="P232" s="52">
        <f>((O232*O232*(I232/100)*(K232/100))/(L232-1))</f>
        <v>0.10019877836663509</v>
      </c>
      <c r="T232" s="57">
        <f>T34</f>
        <v>261.77000000000004</v>
      </c>
      <c r="U232" s="57">
        <f>U34</f>
        <v>901.93265624999981</v>
      </c>
      <c r="V232" s="57">
        <f>V34</f>
        <v>60289.305764506869</v>
      </c>
      <c r="W232" s="57">
        <f>W34</f>
        <v>28345.84497302465</v>
      </c>
      <c r="X232" s="57">
        <f>X34</f>
        <v>6739.5966062184798</v>
      </c>
      <c r="AB232">
        <v>11</v>
      </c>
      <c r="AC232">
        <v>350</v>
      </c>
      <c r="AD232">
        <v>345</v>
      </c>
      <c r="AE232">
        <v>334</v>
      </c>
      <c r="AJ232" t="s">
        <v>644</v>
      </c>
      <c r="AK232">
        <v>16</v>
      </c>
      <c r="AL232" s="1">
        <v>0</v>
      </c>
      <c r="AM232" s="1">
        <v>16.559999999999999</v>
      </c>
      <c r="AN232" s="1">
        <v>1180.1400000000001</v>
      </c>
      <c r="AO232" s="1">
        <v>232.41</v>
      </c>
      <c r="AP232" s="1">
        <v>33.21</v>
      </c>
      <c r="AR232" s="1">
        <v>8.61</v>
      </c>
      <c r="AS232" s="1">
        <v>192.97</v>
      </c>
      <c r="AT232" s="1">
        <v>5199.1000000000004</v>
      </c>
      <c r="AU232" s="1">
        <v>597.41999999999996</v>
      </c>
      <c r="AV232" s="1">
        <v>226.15</v>
      </c>
    </row>
    <row r="233" spans="1:48" x14ac:dyDescent="0.3">
      <c r="A233" t="s">
        <v>7</v>
      </c>
      <c r="B233" s="13">
        <v>4</v>
      </c>
      <c r="C233" s="35">
        <f t="shared" si="37"/>
        <v>0</v>
      </c>
      <c r="D233" s="36">
        <f t="shared" si="37"/>
        <v>6.3448728002921551E-3</v>
      </c>
      <c r="E233" s="21">
        <f t="shared" si="37"/>
        <v>5.7103855202629401E-2</v>
      </c>
      <c r="F233" s="21">
        <f t="shared" si="37"/>
        <v>0.25379491201168625</v>
      </c>
      <c r="G233" s="37">
        <f t="shared" si="37"/>
        <v>6.1101125066813458</v>
      </c>
      <c r="H233" s="17">
        <f>SUM(C233:G233)</f>
        <v>6.4273561466959537</v>
      </c>
      <c r="I233" s="17">
        <f>G233/H233*100</f>
        <v>95.064165844027642</v>
      </c>
      <c r="J233" s="17">
        <f>SQRT(I233*(100-I233)/(L233-1))</f>
        <v>0.68092369023183874</v>
      </c>
      <c r="K233" s="18">
        <f>100-I233</f>
        <v>4.9358341559723584</v>
      </c>
      <c r="L233" s="1">
        <f>H222</f>
        <v>1013</v>
      </c>
      <c r="M233">
        <v>4</v>
      </c>
      <c r="N233" s="1">
        <v>6204.87</v>
      </c>
      <c r="O233" s="17">
        <f>N233/N234*100</f>
        <v>6.4273561466959537</v>
      </c>
      <c r="P233" s="52">
        <f>((O233*O233*(I233/100)*(K233/100))/(L233-1))</f>
        <v>1.9154094194845546E-3</v>
      </c>
      <c r="T233" s="57">
        <f>T44</f>
        <v>263.7</v>
      </c>
      <c r="U233" s="57">
        <f>U44</f>
        <v>940.50000000000011</v>
      </c>
      <c r="V233" s="57">
        <f>V44</f>
        <v>60396.909077477707</v>
      </c>
      <c r="W233" s="57">
        <f>W44</f>
        <v>28123.825662392479</v>
      </c>
      <c r="X233" s="57">
        <f>X44</f>
        <v>6813.5052601298121</v>
      </c>
      <c r="AB233">
        <v>12</v>
      </c>
      <c r="AC233">
        <v>379</v>
      </c>
      <c r="AD233">
        <v>374</v>
      </c>
      <c r="AE233">
        <v>363</v>
      </c>
      <c r="AJ233" t="s">
        <v>644</v>
      </c>
      <c r="AK233">
        <v>17</v>
      </c>
      <c r="AL233" s="1">
        <v>0.01</v>
      </c>
      <c r="AM233" s="1">
        <v>18.97</v>
      </c>
      <c r="AN233" s="1">
        <v>1175.3800000000001</v>
      </c>
      <c r="AO233" s="1">
        <v>231.76</v>
      </c>
      <c r="AP233" s="1">
        <v>36.19</v>
      </c>
      <c r="AR233" s="1">
        <v>5.33</v>
      </c>
      <c r="AS233" s="1">
        <v>210.11</v>
      </c>
      <c r="AT233" s="1">
        <v>5177.79</v>
      </c>
      <c r="AU233" s="1">
        <v>587.72</v>
      </c>
      <c r="AV233" s="1">
        <v>243.3</v>
      </c>
    </row>
    <row r="234" spans="1:48" x14ac:dyDescent="0.3">
      <c r="B234" t="s">
        <v>28</v>
      </c>
      <c r="C234" s="17">
        <f>SUM(C229:C233)</f>
        <v>0.26631875693052875</v>
      </c>
      <c r="D234" s="17">
        <f>SUM(D229:D233)</f>
        <v>1.0670496839818546</v>
      </c>
      <c r="E234" s="17">
        <f>SUM(E229:E233)</f>
        <v>62.584414866056385</v>
      </c>
      <c r="F234" s="17">
        <f>SUM(F229:F233)</f>
        <v>29.49385351559657</v>
      </c>
      <c r="G234" s="17">
        <f>SUM(G229:G233)</f>
        <v>6.5883631774346547</v>
      </c>
      <c r="H234" s="1">
        <f>SUM(H228:H233)</f>
        <v>100</v>
      </c>
      <c r="I234" s="13" t="s">
        <v>24</v>
      </c>
      <c r="J234" s="12" t="s">
        <v>29</v>
      </c>
      <c r="N234" s="1">
        <f>SUM(N229:N233)</f>
        <v>96538.45</v>
      </c>
      <c r="O234" s="17">
        <f>SUM(O229:O233)</f>
        <v>100</v>
      </c>
      <c r="T234" s="57">
        <f>T54</f>
        <v>274.91000000000003</v>
      </c>
      <c r="U234" s="57">
        <f>U54</f>
        <v>894.1233100937809</v>
      </c>
      <c r="V234" s="57">
        <f>V54</f>
        <v>60317.752597501174</v>
      </c>
      <c r="W234" s="57">
        <f>W54</f>
        <v>28232.058631303949</v>
      </c>
      <c r="X234" s="57">
        <f>X54</f>
        <v>6819.605461101105</v>
      </c>
      <c r="AB234">
        <v>13</v>
      </c>
      <c r="AC234">
        <v>408</v>
      </c>
      <c r="AD234">
        <v>403</v>
      </c>
      <c r="AE234">
        <v>392</v>
      </c>
      <c r="AJ234" t="s">
        <v>644</v>
      </c>
      <c r="AK234">
        <v>18</v>
      </c>
      <c r="AL234" s="1">
        <v>7.0000000000000007E-2</v>
      </c>
      <c r="AM234" s="1">
        <v>19.45</v>
      </c>
      <c r="AN234" s="1">
        <v>1178.96</v>
      </c>
      <c r="AO234" s="1">
        <v>229.78</v>
      </c>
      <c r="AP234" s="1">
        <v>34.07</v>
      </c>
      <c r="AR234" s="1">
        <v>4.79</v>
      </c>
      <c r="AS234" s="1">
        <v>211.5</v>
      </c>
      <c r="AT234" s="1">
        <v>5187.63</v>
      </c>
      <c r="AU234" s="1">
        <v>587.89</v>
      </c>
      <c r="AV234" s="1">
        <v>232.44</v>
      </c>
    </row>
    <row r="235" spans="1:48" x14ac:dyDescent="0.3">
      <c r="B235" s="16" t="s">
        <v>39</v>
      </c>
      <c r="C235" s="18">
        <f>SQRT(SUM((O229*O229*(C229/O229)*(1-C229/O229))/L229,(O230*O230*(C230/O230)*(1-C230/O230))/L230,(O231*O231*(C231/O231)*(1-C231/O231))/L231,(O232*O232*(C232/O232)*(1-C232/O232))/L232,(O233*O233*(C233/O233)*(1-C233/O233))/L233))</f>
        <v>0</v>
      </c>
      <c r="D235" s="18">
        <f>SQRT(SUM((O229*O229*(D229/O229)*(1-D229/O229))/L229,(O230*O230*(D230/O230)*(1-D230/O230))/L230,(O231*O231*(D231/O231)*(1-D231/O231))/L231,(O232*O232*(D232/O232)*(1-D232/O232))/L232,(O233*O233*(D233/O233)*(1-D233/O233))/L233))</f>
        <v>8.9975486942464253E-2</v>
      </c>
      <c r="E235" s="18">
        <f>SQRT(SUM((O229*O229*(E229/O229)*(1-E229/O229))/L229,(O230*O230*(E230/O230)*(1-E230/O230))/L230,(O231*O231*(E231/O231)*(1-E231/O231))/L231,(O232*O232*(E232/O232)*(1-E232/O232))/L232,(O233*O233*(E233/O233)*(1-E233/O233))/L233))</f>
        <v>0.40575540391067455</v>
      </c>
      <c r="F235" s="18">
        <f>SQRT(SUM((O229*O229*(F229/O229)*(1-F229/O229))/L229,(O230*O230*(F230/O230)*(1-F230/O230))/L230,(O231*O231*(F231/O231)*(1-F231/O231))/L231,(O232*O232*(F232/O232)*(1-F232/O232))/L232,(O233*O233*(F233/O233)*(1-F233/O233))/L233))</f>
        <v>0.41099611624944055</v>
      </c>
      <c r="G235" s="18">
        <f>SQRT(SUM((O229*O229*(G229/O229)*(1-G229/O229))/L229,(O230*O230*(G230/O230)*(1-G230/O230))/L230,(O231*O231*(G231/O231)*(1-G231/O231))/L231,(O232*O232*(G232/O232)*(1-G232/O232))/L232,(O233*O233*(G233/O233)*(1-G233/O233))/L233))</f>
        <v>0.16742433638497167</v>
      </c>
      <c r="H235" s="1"/>
      <c r="I235" s="14">
        <f>(C229+D230+E231+F232+G233)/H234</f>
        <v>0.96433578790436825</v>
      </c>
      <c r="J235" s="53">
        <f>SQRT(SUM(P229:P233))/100</f>
        <v>4.2868105491403914E-3</v>
      </c>
      <c r="M235" s="1"/>
      <c r="N235" s="9"/>
      <c r="T235" s="57">
        <f>T64</f>
        <v>268.43000000000006</v>
      </c>
      <c r="U235" s="57">
        <f>U64</f>
        <v>923.56872917694966</v>
      </c>
      <c r="V235" s="57">
        <f>V64</f>
        <v>59689.455732282906</v>
      </c>
      <c r="W235" s="57">
        <f>W64</f>
        <v>29147.694726584017</v>
      </c>
      <c r="X235" s="57">
        <f>X64</f>
        <v>6509.320811956135</v>
      </c>
      <c r="AB235">
        <v>14</v>
      </c>
      <c r="AC235">
        <v>437</v>
      </c>
      <c r="AD235">
        <v>432</v>
      </c>
      <c r="AE235">
        <v>421</v>
      </c>
      <c r="AJ235" t="s">
        <v>644</v>
      </c>
      <c r="AK235">
        <v>19</v>
      </c>
      <c r="AL235" s="1">
        <v>7.0000000000000007E-2</v>
      </c>
      <c r="AM235" s="1">
        <v>18.89</v>
      </c>
      <c r="AN235" s="1">
        <v>1179.4000000000001</v>
      </c>
      <c r="AO235" s="1">
        <v>231.55</v>
      </c>
      <c r="AP235" s="1">
        <v>32.4</v>
      </c>
      <c r="AR235" s="1">
        <v>7.95</v>
      </c>
      <c r="AS235" s="1">
        <v>218.91</v>
      </c>
      <c r="AT235" s="1">
        <v>5184.8500000000004</v>
      </c>
      <c r="AU235" s="1">
        <v>588.16999999999996</v>
      </c>
      <c r="AV235" s="1">
        <v>224.37</v>
      </c>
    </row>
    <row r="236" spans="1:48" x14ac:dyDescent="0.3">
      <c r="B236" s="1" t="s">
        <v>30</v>
      </c>
      <c r="C236" s="17">
        <f>C229/C234*100</f>
        <v>100</v>
      </c>
      <c r="D236" s="17">
        <f>D230/D234*100</f>
        <v>91.678893420455992</v>
      </c>
      <c r="E236" s="17">
        <f>E231/E234*100</f>
        <v>96.95683032910695</v>
      </c>
      <c r="F236" s="17">
        <f>F232/F234*100</f>
        <v>96.287937536339996</v>
      </c>
      <c r="G236" s="17">
        <f>G233/G234*100</f>
        <v>92.740978937054777</v>
      </c>
      <c r="H236" s="1"/>
      <c r="T236" s="57">
        <f>T74</f>
        <v>255.86</v>
      </c>
      <c r="U236" s="57">
        <f>U74</f>
        <v>969.13750000000005</v>
      </c>
      <c r="V236" s="57">
        <f>V74</f>
        <v>60443.450042996279</v>
      </c>
      <c r="W236" s="57">
        <f>W74</f>
        <v>28386.993858505008</v>
      </c>
      <c r="X236" s="57">
        <f>X74</f>
        <v>6482.9985984987079</v>
      </c>
      <c r="AB236">
        <v>15</v>
      </c>
      <c r="AC236">
        <v>466</v>
      </c>
      <c r="AD236">
        <v>461</v>
      </c>
      <c r="AE236">
        <v>450</v>
      </c>
    </row>
    <row r="237" spans="1:48" x14ac:dyDescent="0.3">
      <c r="B237" s="16" t="s">
        <v>39</v>
      </c>
      <c r="C237" s="18">
        <f>SQRT((C240+C241)/(C234*C234))</f>
        <v>0</v>
      </c>
      <c r="D237" s="18">
        <f>SQRT((D240+D241)/(D234*D234))</f>
        <v>7.6356060966991626</v>
      </c>
      <c r="E237" s="18">
        <f>SQRT((E240+E241)/(E234*E234))</f>
        <v>0.47104165987818852</v>
      </c>
      <c r="F237" s="18">
        <f>SQRT((F240+F241)/(F234*F234))</f>
        <v>0.94545344681063759</v>
      </c>
      <c r="G237" s="18">
        <f>SQRT((G240+G241)/(G234*G234))</f>
        <v>2.3271487303314347</v>
      </c>
      <c r="H237" s="1"/>
      <c r="T237" s="57">
        <f>T84</f>
        <v>271.41000000000003</v>
      </c>
      <c r="U237" s="57">
        <f>U84</f>
        <v>889.59384007897347</v>
      </c>
      <c r="V237" s="57">
        <f>V84</f>
        <v>60034.998180957489</v>
      </c>
      <c r="W237" s="57">
        <f>W84</f>
        <v>28491.066746577417</v>
      </c>
      <c r="X237" s="57">
        <f>X84</f>
        <v>6851.3812323861239</v>
      </c>
      <c r="AB237">
        <v>16</v>
      </c>
      <c r="AC237">
        <v>495</v>
      </c>
      <c r="AD237">
        <v>490</v>
      </c>
      <c r="AE237">
        <v>479</v>
      </c>
      <c r="AN237" s="78"/>
      <c r="AO237" s="78"/>
    </row>
    <row r="238" spans="1:48" x14ac:dyDescent="0.3">
      <c r="B238" s="1" t="s">
        <v>37</v>
      </c>
      <c r="C238" s="18">
        <f>100-C236</f>
        <v>0</v>
      </c>
      <c r="D238" s="18">
        <f>100-D236</f>
        <v>8.3211065795440078</v>
      </c>
      <c r="E238" s="18">
        <f>100-E236</f>
        <v>3.0431696708930502</v>
      </c>
      <c r="F238" s="18">
        <f>100-F236</f>
        <v>3.7120624636600041</v>
      </c>
      <c r="G238" s="18">
        <f>100-G236</f>
        <v>7.259021062945223</v>
      </c>
      <c r="T238" s="57">
        <f>T94</f>
        <v>257.10000000000002</v>
      </c>
      <c r="U238" s="57">
        <f>U94</f>
        <v>1030.1132256459807</v>
      </c>
      <c r="V238" s="57">
        <f>V94</f>
        <v>60418.024053260408</v>
      </c>
      <c r="W238" s="57">
        <f>W94</f>
        <v>28472.909029227434</v>
      </c>
      <c r="X238" s="57">
        <f>X94</f>
        <v>6360.3036918661646</v>
      </c>
      <c r="AB238">
        <v>17</v>
      </c>
      <c r="AC238">
        <v>524</v>
      </c>
      <c r="AD238">
        <v>519</v>
      </c>
      <c r="AE238">
        <v>508</v>
      </c>
    </row>
    <row r="239" spans="1:48" ht="15.6" x14ac:dyDescent="0.35">
      <c r="B239" s="1" t="s">
        <v>25</v>
      </c>
      <c r="C239" s="1">
        <f>C223</f>
        <v>450</v>
      </c>
      <c r="D239" s="1">
        <f>D223</f>
        <v>61</v>
      </c>
      <c r="E239" s="1">
        <f>E223</f>
        <v>785</v>
      </c>
      <c r="F239" s="1">
        <f>F223</f>
        <v>625</v>
      </c>
      <c r="G239" s="1">
        <f>G223</f>
        <v>972</v>
      </c>
      <c r="T239" s="57">
        <f>T104</f>
        <v>253.38</v>
      </c>
      <c r="U239" s="57">
        <f>U104</f>
        <v>947.09062500000005</v>
      </c>
      <c r="V239" s="57">
        <f>V104</f>
        <v>61092.465272275898</v>
      </c>
      <c r="W239" s="57">
        <f>W104</f>
        <v>27636.925073538445</v>
      </c>
      <c r="X239" s="57">
        <f>X104</f>
        <v>6608.5890291856576</v>
      </c>
      <c r="AB239">
        <v>18</v>
      </c>
      <c r="AC239">
        <v>553</v>
      </c>
      <c r="AD239">
        <v>548</v>
      </c>
      <c r="AE239">
        <v>537</v>
      </c>
      <c r="AN239" s="78"/>
      <c r="AO239" s="78"/>
    </row>
    <row r="240" spans="1:48" x14ac:dyDescent="0.3">
      <c r="B240" s="1" t="s">
        <v>34</v>
      </c>
      <c r="C240" s="18">
        <f>(O229*O229*(100-C236)*(100-C236)*(I229)*(100-I229))/(L229-1)</f>
        <v>0</v>
      </c>
      <c r="D240" s="18">
        <f>(O230*O230*(100-D236)*(100-D236)*(I230)*(100-I230))/((L230-1)*100)</f>
        <v>8.9134867010183552</v>
      </c>
      <c r="E240" s="18">
        <f>(O231*O231*(100-E236)*(100-E236)*(I231)*(100-I231))/((L231-1)*100)</f>
        <v>74.425947919035721</v>
      </c>
      <c r="F240" s="18">
        <f>(O232*O232*(100-F236)*(100-F236)*(I232)*(100-I232))/((L232-1)*100)</f>
        <v>138.06798215739437</v>
      </c>
      <c r="G240" s="18">
        <f>(O233*O233*(100-G236)*(100-G236)*(I233)*(100-I233))/((L233-1)*100)</f>
        <v>10.092940940648072</v>
      </c>
      <c r="T240" s="57">
        <f>T114</f>
        <v>255.87</v>
      </c>
      <c r="U240" s="57">
        <f>U114</f>
        <v>934.68906249999986</v>
      </c>
      <c r="V240" s="57">
        <f>V114</f>
        <v>60668.911568769698</v>
      </c>
      <c r="W240" s="57">
        <f>W114</f>
        <v>28250.063652970683</v>
      </c>
      <c r="X240" s="57">
        <f>X114</f>
        <v>6428.905715759618</v>
      </c>
      <c r="AB240">
        <v>19</v>
      </c>
      <c r="AC240">
        <v>582</v>
      </c>
      <c r="AD240">
        <v>577</v>
      </c>
      <c r="AE240">
        <v>566</v>
      </c>
    </row>
    <row r="241" spans="1:41" x14ac:dyDescent="0.3">
      <c r="B241" s="1" t="s">
        <v>35</v>
      </c>
      <c r="C241" s="18">
        <f>C236*C236*(SUM((H230*C230*(1-C219/H219))/(H219-1),(H231*C231*(1-C220/H220))/(H220-1), (H232*C232*(1-C221/H221))/(H221-1),(H233*C233*(1-C222/H222))/(H222-1)))</f>
        <v>0</v>
      </c>
      <c r="D241" s="18">
        <f>D236*D236*(SUM((H229*D229*(1-D218/H218))/(H218-1),(H231*D231*(1-D220/H220))/(H220-1), (H232*D232*(1-D221/H221))/(H221-1),(H233*D233*(1-D222/H222))/(H222-1)))</f>
        <v>57.469427680302516</v>
      </c>
      <c r="E241" s="18">
        <f>E236*E236*(SUM((H229*E229*(1-E218/H218))/(H218-1),(H230*E230*(1-E219/H219))/(H219-1), (H232*E232*(1-E221/H221))/(H221-1),(H233*E233*(1-E222/H222))/(H222-1)))</f>
        <v>794.63659043203336</v>
      </c>
      <c r="F241" s="18">
        <f>F236*F236*(SUM((H229*F229*(1-F218/H218))/(H218-1),(H230*F230*(1-F219/H219))/(H219-1), (H231*F231*(1-F220/H220))/(H220-1),(H233*F233*(1-F222/H222))/(H222-1)))</f>
        <v>639.50889388843405</v>
      </c>
      <c r="G241" s="18">
        <f>G236*G236*(SUM((H229*G229*(1-G218/H218))/(H218-1),(H230*G230*(1-G219/H219))/(H219-1), (H231*G231*(1-G220/H220))/(H220-1),(H232*G232*(1-G221/H221))/(H221-1)))</f>
        <v>224.98038023564737</v>
      </c>
      <c r="T241" s="57">
        <f>T124</f>
        <v>267.54000000000002</v>
      </c>
      <c r="U241" s="57">
        <f>U124</f>
        <v>961.82112706688054</v>
      </c>
      <c r="V241" s="57">
        <f>V124</f>
        <v>60909.271549768222</v>
      </c>
      <c r="W241" s="57">
        <f>W124</f>
        <v>27926.550718015154</v>
      </c>
      <c r="X241" s="57">
        <f>X124</f>
        <v>6473.2766051497474</v>
      </c>
      <c r="AB241">
        <v>20</v>
      </c>
      <c r="AC241">
        <v>611</v>
      </c>
      <c r="AD241">
        <v>606</v>
      </c>
      <c r="AE241">
        <v>595</v>
      </c>
      <c r="AN241" s="78"/>
      <c r="AO241" s="78"/>
    </row>
    <row r="242" spans="1:41" x14ac:dyDescent="0.3">
      <c r="T242" s="57">
        <f>T134</f>
        <v>274.31</v>
      </c>
      <c r="U242" s="57">
        <f>U134</f>
        <v>896.6428125000001</v>
      </c>
      <c r="V242" s="57">
        <f>V134</f>
        <v>60870.332296381559</v>
      </c>
      <c r="W242" s="57">
        <f>W134</f>
        <v>27859.061972148738</v>
      </c>
      <c r="X242" s="57">
        <f>X134</f>
        <v>6638.1129189697022</v>
      </c>
      <c r="AB242">
        <v>21</v>
      </c>
      <c r="AC242">
        <v>640</v>
      </c>
      <c r="AD242">
        <v>635</v>
      </c>
      <c r="AE242">
        <v>624</v>
      </c>
    </row>
    <row r="243" spans="1:41" x14ac:dyDescent="0.3">
      <c r="T243" s="57">
        <f>T144</f>
        <v>260.97000000000003</v>
      </c>
      <c r="U243" s="57">
        <f>U144</f>
        <v>892.50803553800597</v>
      </c>
      <c r="V243" s="57">
        <f>V144</f>
        <v>60647.479526892443</v>
      </c>
      <c r="W243" s="57">
        <f>W144</f>
        <v>28369.396434370676</v>
      </c>
      <c r="X243" s="57">
        <f>X144</f>
        <v>6368.1060031988754</v>
      </c>
      <c r="AB243">
        <v>22</v>
      </c>
      <c r="AC243">
        <v>669</v>
      </c>
      <c r="AD243">
        <v>664</v>
      </c>
      <c r="AE243">
        <v>653</v>
      </c>
      <c r="AN243" s="78"/>
      <c r="AO243" s="78"/>
    </row>
    <row r="244" spans="1:41" x14ac:dyDescent="0.3">
      <c r="A244" s="348" t="s">
        <v>388</v>
      </c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 t="s">
        <v>81</v>
      </c>
      <c r="M244" s="348"/>
      <c r="N244" s="348"/>
      <c r="O244" s="348"/>
      <c r="P244" s="348"/>
      <c r="T244" s="57">
        <f>T154</f>
        <v>268.06000000000006</v>
      </c>
      <c r="U244" s="57">
        <f>U154</f>
        <v>883.34062500000005</v>
      </c>
      <c r="V244" s="57">
        <f>V154</f>
        <v>60334.172985164747</v>
      </c>
      <c r="W244" s="57">
        <f>W154</f>
        <v>28501.176736026231</v>
      </c>
      <c r="X244" s="57">
        <f>X154</f>
        <v>6551.7096538090263</v>
      </c>
      <c r="AB244">
        <v>23</v>
      </c>
      <c r="AC244">
        <v>698</v>
      </c>
      <c r="AD244">
        <v>693</v>
      </c>
      <c r="AE244">
        <v>682</v>
      </c>
    </row>
    <row r="245" spans="1:41" x14ac:dyDescent="0.3">
      <c r="A245" t="s">
        <v>315</v>
      </c>
      <c r="B245" t="s">
        <v>21</v>
      </c>
      <c r="I245" s="1" t="s">
        <v>53</v>
      </c>
      <c r="O245" s="142"/>
      <c r="P245" s="142"/>
      <c r="T245" s="57">
        <f>T164</f>
        <v>259.5</v>
      </c>
      <c r="U245" s="57">
        <f>U164</f>
        <v>978.61874999999975</v>
      </c>
      <c r="V245" s="57">
        <f>V164</f>
        <v>60141.426274722704</v>
      </c>
      <c r="W245" s="57">
        <f>W164</f>
        <v>28784.936635566082</v>
      </c>
      <c r="X245" s="57">
        <f>X164</f>
        <v>6373.9683397112058</v>
      </c>
      <c r="AB245">
        <v>24</v>
      </c>
      <c r="AC245">
        <v>727</v>
      </c>
      <c r="AD245">
        <v>722</v>
      </c>
      <c r="AE245">
        <v>711</v>
      </c>
      <c r="AN245" s="78"/>
      <c r="AO245" s="78"/>
    </row>
    <row r="246" spans="1:41" ht="15.6" x14ac:dyDescent="0.35">
      <c r="B246" s="1" t="s">
        <v>0</v>
      </c>
      <c r="C246" s="13">
        <v>0</v>
      </c>
      <c r="D246" s="13">
        <v>1</v>
      </c>
      <c r="E246" s="13">
        <v>2</v>
      </c>
      <c r="F246" s="13">
        <v>3</v>
      </c>
      <c r="G246" s="13">
        <v>4</v>
      </c>
      <c r="H246" s="1" t="s">
        <v>20</v>
      </c>
      <c r="I246" s="1" t="s">
        <v>1</v>
      </c>
      <c r="J246" s="1" t="s">
        <v>13</v>
      </c>
      <c r="N246" s="1" t="s">
        <v>51</v>
      </c>
      <c r="O246" s="13"/>
      <c r="P246" s="13"/>
      <c r="T246" s="57">
        <f>T174</f>
        <v>253.54999999999995</v>
      </c>
      <c r="U246" s="57">
        <f>U174</f>
        <v>962.11406250000005</v>
      </c>
      <c r="V246" s="57">
        <f>V174</f>
        <v>60999.521752495719</v>
      </c>
      <c r="W246" s="57">
        <f>W174</f>
        <v>27890.370577058649</v>
      </c>
      <c r="X246" s="57">
        <f>X174</f>
        <v>6432.9036079456246</v>
      </c>
      <c r="AB246">
        <v>25</v>
      </c>
      <c r="AC246">
        <v>756</v>
      </c>
      <c r="AD246">
        <v>751</v>
      </c>
      <c r="AE246">
        <v>740</v>
      </c>
    </row>
    <row r="247" spans="1:41" x14ac:dyDescent="0.3">
      <c r="A247" t="s">
        <v>3</v>
      </c>
      <c r="B247" s="13">
        <v>0</v>
      </c>
      <c r="C247" s="26">
        <v>450</v>
      </c>
      <c r="D247" s="3">
        <v>0</v>
      </c>
      <c r="E247" s="3">
        <v>0</v>
      </c>
      <c r="F247" s="3">
        <v>0</v>
      </c>
      <c r="G247" s="4">
        <v>0</v>
      </c>
      <c r="H247" s="1">
        <f>SUM(C247:G247)</f>
        <v>450</v>
      </c>
      <c r="I247" s="10">
        <f>C247/H247</f>
        <v>1</v>
      </c>
      <c r="J247" s="11">
        <f>1-I247</f>
        <v>0</v>
      </c>
      <c r="K247">
        <f>H247-C252</f>
        <v>0</v>
      </c>
      <c r="N247" s="10">
        <f>2*(C253*I247)/(C253+I247)</f>
        <v>1</v>
      </c>
      <c r="O247" s="1"/>
      <c r="P247" s="1"/>
      <c r="T247" s="57">
        <f>T184</f>
        <v>270.43000000000006</v>
      </c>
      <c r="U247" s="57">
        <f>U184</f>
        <v>811.60953125000003</v>
      </c>
      <c r="V247" s="57">
        <f>V184</f>
        <v>60658.962218576737</v>
      </c>
      <c r="W247" s="57">
        <f>W184</f>
        <v>28392.158253592224</v>
      </c>
      <c r="X247" s="57">
        <f>X184</f>
        <v>6405.2899965810266</v>
      </c>
      <c r="AB247">
        <v>26</v>
      </c>
      <c r="AC247">
        <v>785</v>
      </c>
      <c r="AD247">
        <v>780</v>
      </c>
      <c r="AE247">
        <v>769</v>
      </c>
      <c r="AN247" s="78"/>
      <c r="AO247" s="78"/>
    </row>
    <row r="248" spans="1:41" x14ac:dyDescent="0.3">
      <c r="A248" t="s">
        <v>4</v>
      </c>
      <c r="B248" s="13">
        <v>1</v>
      </c>
      <c r="C248" s="5">
        <v>0</v>
      </c>
      <c r="D248" s="27">
        <v>60</v>
      </c>
      <c r="E248" s="1">
        <v>3</v>
      </c>
      <c r="F248" s="1">
        <v>0</v>
      </c>
      <c r="G248" s="6">
        <v>1</v>
      </c>
      <c r="H248" s="1">
        <f>SUM(C248:G248)</f>
        <v>64</v>
      </c>
      <c r="I248" s="10">
        <f>D248/H248</f>
        <v>0.9375</v>
      </c>
      <c r="J248" s="11">
        <f>1-I248</f>
        <v>6.25E-2</v>
      </c>
      <c r="K248">
        <f>H248-D252</f>
        <v>4</v>
      </c>
      <c r="N248" s="10">
        <f>2*(D253*I248)/(D253+I248)</f>
        <v>0.967741935483871</v>
      </c>
      <c r="O248" s="1"/>
      <c r="P248" s="1"/>
      <c r="T248" s="57">
        <f>T194</f>
        <v>338.60852941176466</v>
      </c>
      <c r="U248" s="57">
        <f>U194</f>
        <v>975.21777517275416</v>
      </c>
      <c r="V248" s="57">
        <f>V194</f>
        <v>60603.787508555084</v>
      </c>
      <c r="W248" s="57">
        <f>W194</f>
        <v>27434.898839464462</v>
      </c>
      <c r="X248" s="57">
        <f>X194</f>
        <v>7185.9273473959393</v>
      </c>
      <c r="AB248">
        <v>27</v>
      </c>
      <c r="AC248">
        <v>814</v>
      </c>
      <c r="AD248">
        <v>809</v>
      </c>
      <c r="AE248">
        <v>798</v>
      </c>
    </row>
    <row r="249" spans="1:41" x14ac:dyDescent="0.3">
      <c r="A249" t="s">
        <v>5</v>
      </c>
      <c r="B249" s="13">
        <v>2</v>
      </c>
      <c r="C249" s="5">
        <v>0</v>
      </c>
      <c r="D249" s="1">
        <v>0</v>
      </c>
      <c r="E249" s="27">
        <v>741</v>
      </c>
      <c r="F249" s="1">
        <v>5</v>
      </c>
      <c r="G249" s="6">
        <v>2</v>
      </c>
      <c r="H249" s="1">
        <f>SUM(C249:G249)</f>
        <v>748</v>
      </c>
      <c r="I249" s="10">
        <f>E249/H249</f>
        <v>0.99064171122994649</v>
      </c>
      <c r="J249" s="11">
        <f>1-I249</f>
        <v>9.3582887700535133E-3</v>
      </c>
      <c r="K249">
        <f>H249-E252</f>
        <v>-40</v>
      </c>
      <c r="N249" s="10">
        <f>2*(E253*I249)/(E253+I249)</f>
        <v>0.96484374999999989</v>
      </c>
      <c r="O249" s="1"/>
      <c r="P249" s="1"/>
      <c r="T249" s="57">
        <f>T204</f>
        <v>261.7</v>
      </c>
      <c r="U249" s="57">
        <f>U204</f>
        <v>933.29669052319844</v>
      </c>
      <c r="V249" s="57">
        <f>V204</f>
        <v>60781.466908020193</v>
      </c>
      <c r="W249" s="57">
        <f>W204</f>
        <v>28134.502454724778</v>
      </c>
      <c r="X249" s="57">
        <f>X204</f>
        <v>6427.4739467318195</v>
      </c>
      <c r="AB249">
        <v>28</v>
      </c>
      <c r="AC249">
        <v>843</v>
      </c>
      <c r="AD249">
        <v>838</v>
      </c>
      <c r="AE249">
        <v>827</v>
      </c>
      <c r="AN249" s="78"/>
      <c r="AO249" s="78"/>
    </row>
    <row r="250" spans="1:41" x14ac:dyDescent="0.3">
      <c r="A250" t="s">
        <v>6</v>
      </c>
      <c r="B250" s="13">
        <v>3</v>
      </c>
      <c r="C250" s="5">
        <v>0</v>
      </c>
      <c r="D250" s="1">
        <v>0</v>
      </c>
      <c r="E250" s="1">
        <v>36</v>
      </c>
      <c r="F250" s="27">
        <v>575</v>
      </c>
      <c r="G250" s="6">
        <v>7</v>
      </c>
      <c r="H250" s="1">
        <f>SUM(C250:G250)</f>
        <v>618</v>
      </c>
      <c r="I250" s="10">
        <f>F250/H250</f>
        <v>0.93042071197411003</v>
      </c>
      <c r="J250" s="11">
        <f>1-I250</f>
        <v>6.9579288025889974E-2</v>
      </c>
      <c r="K250">
        <f>H250-F252</f>
        <v>-3</v>
      </c>
      <c r="N250" s="10">
        <f>2*(F253*I250)/(F253+I250)</f>
        <v>0.92816787732041972</v>
      </c>
      <c r="O250" s="1"/>
      <c r="P250" s="1"/>
      <c r="T250" s="57">
        <f>T214</f>
        <v>261.67</v>
      </c>
      <c r="U250" s="57">
        <f>U214</f>
        <v>964.75344521224076</v>
      </c>
      <c r="V250" s="57">
        <f>V214</f>
        <v>60955.256896127685</v>
      </c>
      <c r="W250" s="57">
        <f>W214</f>
        <v>28255.553314627636</v>
      </c>
      <c r="X250" s="57">
        <f>X214</f>
        <v>6101.2063440324318</v>
      </c>
      <c r="AB250">
        <v>29</v>
      </c>
      <c r="AC250">
        <v>872</v>
      </c>
      <c r="AD250">
        <v>867</v>
      </c>
      <c r="AE250">
        <v>856</v>
      </c>
    </row>
    <row r="251" spans="1:41" x14ac:dyDescent="0.3">
      <c r="A251" t="s">
        <v>7</v>
      </c>
      <c r="B251" s="13">
        <v>4</v>
      </c>
      <c r="C251" s="7">
        <v>0</v>
      </c>
      <c r="D251" s="8">
        <v>0</v>
      </c>
      <c r="E251" s="8">
        <v>8</v>
      </c>
      <c r="F251" s="8">
        <v>41</v>
      </c>
      <c r="G251" s="28">
        <v>964</v>
      </c>
      <c r="H251" s="1">
        <f>SUM(C251:G251)</f>
        <v>1013</v>
      </c>
      <c r="I251" s="10">
        <f>G251/H251</f>
        <v>0.95162882527147086</v>
      </c>
      <c r="J251" s="11">
        <f>1-I251</f>
        <v>4.8371174728529143E-2</v>
      </c>
      <c r="K251">
        <f>H251-G252</f>
        <v>39</v>
      </c>
      <c r="N251" s="10">
        <f>2*(G253*I251)/(G253+I251)</f>
        <v>0.97030699547055854</v>
      </c>
      <c r="O251" s="1"/>
      <c r="P251" s="1"/>
      <c r="AN251" s="78"/>
      <c r="AO251" s="78"/>
    </row>
    <row r="252" spans="1:41" ht="15.6" x14ac:dyDescent="0.35">
      <c r="B252" s="1" t="s">
        <v>19</v>
      </c>
      <c r="C252" s="1">
        <f>SUM(C247:C251)</f>
        <v>450</v>
      </c>
      <c r="D252" s="1">
        <f>SUM(D247:D251)</f>
        <v>60</v>
      </c>
      <c r="E252" s="1">
        <f>SUM(E247:E251)</f>
        <v>788</v>
      </c>
      <c r="F252" s="1">
        <f>SUM(F247:F251)</f>
        <v>621</v>
      </c>
      <c r="G252" s="1">
        <f>SUM(G247:G251)</f>
        <v>974</v>
      </c>
      <c r="H252" s="1">
        <f>SUM(H246:H251)</f>
        <v>2893</v>
      </c>
      <c r="I252" s="13" t="s">
        <v>12</v>
      </c>
      <c r="N252" s="16"/>
      <c r="O252" s="1"/>
      <c r="P252" s="1"/>
    </row>
    <row r="253" spans="1:41" x14ac:dyDescent="0.3">
      <c r="A253" s="1" t="s">
        <v>316</v>
      </c>
      <c r="B253" s="1" t="s">
        <v>2</v>
      </c>
      <c r="C253" s="10">
        <f>C247/C252</f>
        <v>1</v>
      </c>
      <c r="D253" s="10">
        <f>D248/D252</f>
        <v>1</v>
      </c>
      <c r="E253" s="10">
        <f>E249/E252</f>
        <v>0.94035532994923854</v>
      </c>
      <c r="F253" s="10">
        <f>F250/F252</f>
        <v>0.92592592592592593</v>
      </c>
      <c r="G253" s="10">
        <f>G251/G252</f>
        <v>0.98973305954825463</v>
      </c>
      <c r="H253" s="10"/>
      <c r="I253" s="14">
        <f>(C247+D248+E249+F250+G251)/H252</f>
        <v>0.96439681991012793</v>
      </c>
      <c r="AN253" s="78"/>
      <c r="AO253" s="78"/>
    </row>
    <row r="254" spans="1:41" x14ac:dyDescent="0.3">
      <c r="B254" s="1" t="s">
        <v>14</v>
      </c>
      <c r="C254" s="11">
        <f>1-C253</f>
        <v>0</v>
      </c>
      <c r="D254" s="11">
        <f>1-D253</f>
        <v>0</v>
      </c>
      <c r="E254" s="11">
        <f>1-E253</f>
        <v>5.9644670050761461E-2</v>
      </c>
      <c r="F254" s="11">
        <f>1-F253</f>
        <v>7.407407407407407E-2</v>
      </c>
      <c r="G254" s="11">
        <f>1-G253</f>
        <v>1.0266940451745366E-2</v>
      </c>
    </row>
    <row r="255" spans="1:41" x14ac:dyDescent="0.3">
      <c r="C255" s="2"/>
      <c r="AN255" s="78"/>
      <c r="AO255" s="78"/>
    </row>
    <row r="256" spans="1:41" ht="15.6" x14ac:dyDescent="0.35">
      <c r="A256" t="s">
        <v>317</v>
      </c>
      <c r="B256" s="15" t="s">
        <v>23</v>
      </c>
      <c r="N256" s="12" t="s">
        <v>17</v>
      </c>
      <c r="O256" s="1" t="s">
        <v>27</v>
      </c>
      <c r="P256" s="1" t="s">
        <v>33</v>
      </c>
    </row>
    <row r="257" spans="1:41" ht="15.6" x14ac:dyDescent="0.35">
      <c r="B257" s="1" t="s">
        <v>0</v>
      </c>
      <c r="C257" s="13">
        <v>0</v>
      </c>
      <c r="D257" s="13">
        <v>1</v>
      </c>
      <c r="E257" s="13">
        <v>2</v>
      </c>
      <c r="F257" s="13">
        <v>3</v>
      </c>
      <c r="G257" s="13">
        <v>4</v>
      </c>
      <c r="H257" s="1" t="s">
        <v>28</v>
      </c>
      <c r="I257" s="1" t="s">
        <v>31</v>
      </c>
      <c r="J257" s="15" t="s">
        <v>39</v>
      </c>
      <c r="K257" s="1" t="s">
        <v>38</v>
      </c>
      <c r="L257" s="1" t="s">
        <v>26</v>
      </c>
      <c r="M257" t="s">
        <v>8</v>
      </c>
      <c r="N257" t="s">
        <v>9</v>
      </c>
      <c r="O257" s="1" t="s">
        <v>11</v>
      </c>
      <c r="AN257" s="78"/>
      <c r="AO257" s="78"/>
    </row>
    <row r="258" spans="1:41" x14ac:dyDescent="0.3">
      <c r="A258" t="s">
        <v>3</v>
      </c>
      <c r="B258" s="13">
        <v>0</v>
      </c>
      <c r="C258" s="29">
        <f>(C247/$L258)*$O258</f>
        <v>0.26246537001578124</v>
      </c>
      <c r="D258" s="31">
        <f>(D247/$L258)*$O258</f>
        <v>0</v>
      </c>
      <c r="E258" s="31">
        <f>(E247/$L258)*$O258</f>
        <v>0</v>
      </c>
      <c r="F258" s="31">
        <f>(F247/$L258)*$O258</f>
        <v>0</v>
      </c>
      <c r="G258" s="32">
        <f>(G247/$L258)*$O258</f>
        <v>0</v>
      </c>
      <c r="H258" s="17">
        <f>SUM(C258:G258)</f>
        <v>0.26246537001578124</v>
      </c>
      <c r="I258" s="17">
        <f>C258/H258*100</f>
        <v>100</v>
      </c>
      <c r="J258" s="17">
        <f>SQRT(I258*(100-I258)/(L258-1))</f>
        <v>0</v>
      </c>
      <c r="K258" s="18">
        <f>100-I258</f>
        <v>0</v>
      </c>
      <c r="L258" s="1">
        <f>H247</f>
        <v>450</v>
      </c>
      <c r="M258">
        <v>0</v>
      </c>
      <c r="N258" s="1">
        <v>253.38</v>
      </c>
      <c r="O258" s="17">
        <f>N258/N263*100</f>
        <v>0.26246537001578124</v>
      </c>
      <c r="P258" s="52">
        <f>((O258*O258*(I258/100)*(K258/100))/(L258-1))</f>
        <v>0</v>
      </c>
    </row>
    <row r="259" spans="1:41" x14ac:dyDescent="0.3">
      <c r="A259" t="s">
        <v>4</v>
      </c>
      <c r="B259" s="13">
        <v>1</v>
      </c>
      <c r="C259" s="33">
        <f t="shared" ref="C259:G262" si="38">(C248/$L259)*$O259</f>
        <v>0</v>
      </c>
      <c r="D259" s="34">
        <f t="shared" si="38"/>
        <v>0.9810501670577888</v>
      </c>
      <c r="E259" s="19">
        <f t="shared" si="38"/>
        <v>4.9052508352889435E-2</v>
      </c>
      <c r="F259" s="18">
        <f t="shared" si="38"/>
        <v>0</v>
      </c>
      <c r="G259" s="20">
        <f t="shared" si="38"/>
        <v>1.6350836117629813E-2</v>
      </c>
      <c r="H259" s="17">
        <f>SUM(C259:G259)</f>
        <v>1.0464535115283082</v>
      </c>
      <c r="I259" s="17">
        <f>D259/H259*100</f>
        <v>93.749999999999986</v>
      </c>
      <c r="J259" s="17">
        <f>SQRT(I259*(100-I259)/(L259-1))</f>
        <v>3.0496877279641694</v>
      </c>
      <c r="K259" s="18">
        <f>100-I259</f>
        <v>6.2500000000000142</v>
      </c>
      <c r="L259" s="1">
        <f>H248</f>
        <v>64</v>
      </c>
      <c r="M259">
        <v>1</v>
      </c>
      <c r="N259" s="1">
        <v>1010.23</v>
      </c>
      <c r="O259" s="17">
        <f>N259/N263*100</f>
        <v>1.046453511528308</v>
      </c>
      <c r="P259" s="52">
        <f>((O259*O259*(I259/100)*(K259/100))/(L259-1))</f>
        <v>1.0184755876022403E-3</v>
      </c>
      <c r="AN259" s="78"/>
      <c r="AO259" s="78"/>
    </row>
    <row r="260" spans="1:41" x14ac:dyDescent="0.3">
      <c r="A260" t="s">
        <v>5</v>
      </c>
      <c r="B260" s="13">
        <v>2</v>
      </c>
      <c r="C260" s="33">
        <f t="shared" si="38"/>
        <v>0</v>
      </c>
      <c r="D260" s="19">
        <f t="shared" si="38"/>
        <v>0</v>
      </c>
      <c r="E260" s="34">
        <f t="shared" si="38"/>
        <v>61.431947152208771</v>
      </c>
      <c r="F260" s="19">
        <f t="shared" si="38"/>
        <v>0.41452056108103086</v>
      </c>
      <c r="G260" s="20">
        <f t="shared" si="38"/>
        <v>0.16580822443241233</v>
      </c>
      <c r="H260" s="17">
        <f>SUM(C260:G260)</f>
        <v>62.012275937722215</v>
      </c>
      <c r="I260" s="17">
        <f>E260/H260*100</f>
        <v>99.064171122994651</v>
      </c>
      <c r="J260" s="17">
        <f>SQRT(I260*(100-I260)/(L260-1))</f>
        <v>0.35228668199337793</v>
      </c>
      <c r="K260" s="18">
        <f>100-I260</f>
        <v>0.93582887700534911</v>
      </c>
      <c r="L260" s="1">
        <f>H249</f>
        <v>748</v>
      </c>
      <c r="M260">
        <v>2</v>
      </c>
      <c r="N260" s="1">
        <v>59865.69</v>
      </c>
      <c r="O260" s="17">
        <f>N260/N263*100</f>
        <v>62.012275937722215</v>
      </c>
      <c r="P260" s="52">
        <f>((O260*O260*(I260/100)*(K260/100))/(L260-1))</f>
        <v>4.7725203858858631E-2</v>
      </c>
    </row>
    <row r="261" spans="1:41" x14ac:dyDescent="0.3">
      <c r="A261" t="s">
        <v>6</v>
      </c>
      <c r="B261" s="13">
        <v>3</v>
      </c>
      <c r="C261" s="33">
        <f t="shared" si="38"/>
        <v>0</v>
      </c>
      <c r="D261" s="19">
        <f t="shared" si="38"/>
        <v>0</v>
      </c>
      <c r="E261" s="19">
        <f t="shared" si="38"/>
        <v>1.7495649791573813</v>
      </c>
      <c r="F261" s="34">
        <f t="shared" si="38"/>
        <v>27.944440639319286</v>
      </c>
      <c r="G261" s="20">
        <f t="shared" si="38"/>
        <v>0.34019319039171303</v>
      </c>
      <c r="H261" s="17">
        <f>SUM(C261:G261)</f>
        <v>30.034198808868378</v>
      </c>
      <c r="I261" s="17">
        <f>F261/H261*100</f>
        <v>93.042071197411019</v>
      </c>
      <c r="J261" s="17">
        <f>SQRT(I261*(100-I261)/(L261-1))</f>
        <v>1.0243233976994548</v>
      </c>
      <c r="K261" s="18">
        <f>100-I261</f>
        <v>6.9579288025889809</v>
      </c>
      <c r="L261" s="1">
        <f>H250</f>
        <v>618</v>
      </c>
      <c r="M261">
        <v>3</v>
      </c>
      <c r="N261" s="1">
        <v>28994.55</v>
      </c>
      <c r="O261" s="17">
        <f>N261/N263*100</f>
        <v>30.034198808868378</v>
      </c>
      <c r="P261" s="52">
        <f>((O261*O261*(I261/100)*(K261/100))/(L261-1))</f>
        <v>9.4646877017013062E-2</v>
      </c>
      <c r="AN261" s="78"/>
      <c r="AO261" s="78"/>
    </row>
    <row r="262" spans="1:41" x14ac:dyDescent="0.3">
      <c r="A262" t="s">
        <v>7</v>
      </c>
      <c r="B262" s="13">
        <v>4</v>
      </c>
      <c r="C262" s="35">
        <f t="shared" si="38"/>
        <v>0</v>
      </c>
      <c r="D262" s="36">
        <f t="shared" si="38"/>
        <v>0</v>
      </c>
      <c r="E262" s="21">
        <f t="shared" si="38"/>
        <v>5.2474680133190933E-2</v>
      </c>
      <c r="F262" s="21">
        <f t="shared" si="38"/>
        <v>0.26893273568260356</v>
      </c>
      <c r="G262" s="37">
        <f t="shared" si="38"/>
        <v>6.3231989560495077</v>
      </c>
      <c r="H262" s="17">
        <f>SUM(C262:G262)</f>
        <v>6.6446063718653026</v>
      </c>
      <c r="I262" s="17">
        <f>G262/H262*100</f>
        <v>95.16288252714709</v>
      </c>
      <c r="J262" s="17">
        <f>SQRT(I262*(100-I262)/(L262-1))</f>
        <v>0.67442996120300924</v>
      </c>
      <c r="K262" s="18">
        <f>100-I262</f>
        <v>4.8371174728529098</v>
      </c>
      <c r="L262" s="1">
        <f>H251</f>
        <v>1013</v>
      </c>
      <c r="M262">
        <v>4</v>
      </c>
      <c r="N262" s="1">
        <v>6414.6</v>
      </c>
      <c r="O262" s="17">
        <f>N262/N263*100</f>
        <v>6.6446063718653026</v>
      </c>
      <c r="P262" s="52">
        <f>((O262*O262*(I262/100)*(K262/100))/(L262-1))</f>
        <v>2.0082243440247044E-3</v>
      </c>
    </row>
    <row r="263" spans="1:41" x14ac:dyDescent="0.3">
      <c r="B263" t="s">
        <v>28</v>
      </c>
      <c r="C263" s="17">
        <f>SUM(C258:C262)</f>
        <v>0.26246537001578124</v>
      </c>
      <c r="D263" s="17">
        <f>SUM(D258:D262)</f>
        <v>0.9810501670577888</v>
      </c>
      <c r="E263" s="17">
        <f>SUM(E258:E262)</f>
        <v>63.283039319852236</v>
      </c>
      <c r="F263" s="17">
        <f>SUM(F258:F262)</f>
        <v>28.62789393608292</v>
      </c>
      <c r="G263" s="17">
        <f>SUM(G258:G262)</f>
        <v>6.8455512069912627</v>
      </c>
      <c r="H263" s="1">
        <f>SUM(H257:H262)</f>
        <v>99.999999999999986</v>
      </c>
      <c r="I263" s="13" t="s">
        <v>24</v>
      </c>
      <c r="J263" s="12" t="s">
        <v>29</v>
      </c>
      <c r="N263" s="1">
        <f>SUM(N258:N262)</f>
        <v>96538.450000000012</v>
      </c>
      <c r="O263" s="17">
        <f>SUM(O258:O262)</f>
        <v>99.999999999999986</v>
      </c>
      <c r="AM263" s="78"/>
      <c r="AN263" s="78"/>
      <c r="AO263" s="78"/>
    </row>
    <row r="264" spans="1:41" x14ac:dyDescent="0.3">
      <c r="B264" s="16" t="s">
        <v>39</v>
      </c>
      <c r="C264" s="18">
        <f>SQRT(SUM((O258*O258*(C258/O258)*(1-C258/O258))/L258,(O259*O259*(C259/O259)*(1-C259/O259))/L259,(O260*O260*(C260/O260)*(1-C260/O260))/L260,(O261*O261*(C261/O261)*(1-C261/O261))/L261,(O262*O262*(C262/O262)*(1-C262/O262))/L262))</f>
        <v>0</v>
      </c>
      <c r="D264" s="18">
        <f>SQRT(SUM((O258*O258*(D258/O258)*(1-D258/O258))/L258,(O259*O259*(D259/O259)*(1-D259/O259))/L259,(O260*O260*(D260/O260)*(1-D260/O260))/L260,(O261*O261*(D261/O261)*(1-D261/O261))/L261,(O262*O262*(D262/O262)*(1-D262/O262))/L262))</f>
        <v>3.1663257990073503E-2</v>
      </c>
      <c r="E264" s="18">
        <f>SQRT(SUM((O258*O258*(E258/O258)*(1-E258/O258))/L258,(O259*O259*(E259/O259)*(1-E259/O259))/L259,(O260*O260*(E260/O260)*(1-E260/O260))/L260,(O261*O261*(E261/O261)*(1-E261/O261))/L261,(O262*O262*(E262/O262)*(1-E262/O262))/L262))</f>
        <v>0.35894491514766602</v>
      </c>
      <c r="F264" s="18">
        <f>SQRT(SUM((O258*O258*(F258/O258)*(1-F258/O258))/L258,(O259*O259*(F259/O259)*(1-F259/O259))/L259,(O260*O260*(F260/O260)*(1-F260/O260))/L260,(O261*O261*(F261/O261)*(1-F261/O261))/L261,(O262*O262*(F262/O262)*(1-F262/O262))/L262))</f>
        <v>0.3610015144803847</v>
      </c>
      <c r="G264" s="18">
        <f>SQRT(SUM((O258*O258*(G258/O258)*(1-G258/O258))/L258,(O259*O259*(G259/O259)*(1-G259/O259))/L259,(O260*O260*(G260/O260)*(1-G260/O260))/L260,(O261*O261*(G261/O261)*(1-G261/O261))/L261,(O262*O262*(G262/O262)*(1-G262/O262))/L262))</f>
        <v>0.17979052811312102</v>
      </c>
      <c r="H264" s="1"/>
      <c r="I264" s="56">
        <f>(C258+D259+E260+F261+G262)/H263</f>
        <v>0.9694310228465115</v>
      </c>
      <c r="J264" s="53">
        <f>SQRT(SUM(P258:P262))/100</f>
        <v>3.813119206207677E-3</v>
      </c>
      <c r="M264" s="1"/>
      <c r="N264" s="9"/>
    </row>
    <row r="265" spans="1:41" x14ac:dyDescent="0.3">
      <c r="B265" s="1" t="s">
        <v>30</v>
      </c>
      <c r="C265" s="17">
        <f>C258/C263*100</f>
        <v>100</v>
      </c>
      <c r="D265" s="17">
        <f>D259/D263*100</f>
        <v>100</v>
      </c>
      <c r="E265" s="17">
        <f>E260/E263*100</f>
        <v>97.074900024495562</v>
      </c>
      <c r="F265" s="17">
        <f>F261/F263*100</f>
        <v>97.612631588304851</v>
      </c>
      <c r="G265" s="17">
        <f>G262/G263*100</f>
        <v>92.369463975256167</v>
      </c>
      <c r="H265" s="1"/>
      <c r="AM265" s="78"/>
      <c r="AN265" s="78"/>
      <c r="AO265" s="78"/>
    </row>
    <row r="266" spans="1:41" x14ac:dyDescent="0.3">
      <c r="B266" s="16" t="s">
        <v>39</v>
      </c>
      <c r="C266" s="18">
        <f>SQRT((C269+C270)/(C263*C263))</f>
        <v>0</v>
      </c>
      <c r="D266" s="18">
        <f>SQRT((D269+D270)/(D263*D263))</f>
        <v>0</v>
      </c>
      <c r="E266" s="18">
        <f>SQRT((E269+E270)/(E263*E263))</f>
        <v>0.44894943079033089</v>
      </c>
      <c r="F266" s="18">
        <f>SQRT((F269+F270)/(F263*F263))</f>
        <v>0.69492115257898923</v>
      </c>
      <c r="G266" s="18">
        <f>SQRT((G269+G270)/(G263*G263))</f>
        <v>2.4038584990280678</v>
      </c>
      <c r="H266" s="1"/>
    </row>
    <row r="267" spans="1:41" x14ac:dyDescent="0.3">
      <c r="B267" s="1" t="s">
        <v>37</v>
      </c>
      <c r="C267" s="18">
        <f>100-C265</f>
        <v>0</v>
      </c>
      <c r="D267" s="18">
        <f>100-D265</f>
        <v>0</v>
      </c>
      <c r="E267" s="18">
        <f>100-E265</f>
        <v>2.9250999755044376</v>
      </c>
      <c r="F267" s="18">
        <f>100-F265</f>
        <v>2.3873684116951495</v>
      </c>
      <c r="G267" s="18">
        <f>100-G265</f>
        <v>7.630536024743833</v>
      </c>
      <c r="AM267" s="78"/>
      <c r="AN267" s="78"/>
      <c r="AO267" s="78"/>
    </row>
    <row r="268" spans="1:41" ht="15.6" x14ac:dyDescent="0.35">
      <c r="B268" s="1" t="s">
        <v>25</v>
      </c>
      <c r="C268" s="1">
        <f>C252</f>
        <v>450</v>
      </c>
      <c r="D268" s="1">
        <f>D252</f>
        <v>60</v>
      </c>
      <c r="E268" s="1">
        <f>E252</f>
        <v>788</v>
      </c>
      <c r="F268" s="1">
        <f>F252</f>
        <v>621</v>
      </c>
      <c r="G268" s="1">
        <f>G252</f>
        <v>974</v>
      </c>
    </row>
    <row r="269" spans="1:41" x14ac:dyDescent="0.3">
      <c r="B269" s="1" t="s">
        <v>34</v>
      </c>
      <c r="C269" s="18">
        <f>(O258*O258*(100-C265)*(100-C265)*(I258)*(100-I258))/(L258-1)</f>
        <v>0</v>
      </c>
      <c r="D269" s="18">
        <f>(O259*O259*(100-D265)*(100-D265)*(I259)*(100-I259))/((L259-1)*100)</f>
        <v>0</v>
      </c>
      <c r="E269" s="18">
        <f>(O260*O260*(100-E265)*(100-E265)*(I260)*(100-I260))/((L260-1)*100)</f>
        <v>40.834686014724717</v>
      </c>
      <c r="F269" s="18">
        <f>(O261*O261*(100-F265)*(100-F265)*(I261)*(100-I261))/((L261-1)*100)</f>
        <v>53.944251934480825</v>
      </c>
      <c r="G269" s="18">
        <f>(O262*O262*(100-G265)*(100-G265)*(I262)*(100-I262))/((L262-1)*100)</f>
        <v>11.692902313881765</v>
      </c>
      <c r="AM269" s="78"/>
      <c r="AN269" s="78"/>
      <c r="AO269" s="78"/>
    </row>
    <row r="270" spans="1:41" x14ac:dyDescent="0.3">
      <c r="B270" s="1" t="s">
        <v>35</v>
      </c>
      <c r="C270" s="18">
        <f>C265*C265*(SUM((H259*C259*(1-C248/H248))/(H248-1),(H260*C260*(1-C249/H249))/(H249-1), (H261*C261*(1-C250/H250))/(H250-1),(H262*C262*(1-C251/H251))/(H251-1)))</f>
        <v>0</v>
      </c>
      <c r="D270" s="18">
        <f>D265*D265*(SUM((H258*D258*(1-D247/H247))/(H247-1),(H260*D260*(1-D249/H249))/(H249-1), (H261*D261*(1-D250/H250))/(H250-1),(H262*D262*(1-D251/H251))/(H251-1)))</f>
        <v>0</v>
      </c>
      <c r="E270" s="18">
        <f>E265*E265*(SUM((H258*E258*(1-E247/H247))/(H247-1),(H259*E259*(1-E248/H248))/(H248-1), (H261*E261*(1-E250/H250))/(H250-1),(H262*E262*(1-E251/H251))/(H251-1)))</f>
        <v>766.34367099674114</v>
      </c>
      <c r="F270" s="18">
        <f>F265*F265*(SUM((H258*F258*(1-F247/H247))/(H247-1),(H259*F259*(1-F248/H248))/(H248-1), (H260*F260*(1-F249/H249))/(H249-1),(H262*F262*(1-F251/H251))/(H251-1)))</f>
        <v>341.83211872245101</v>
      </c>
      <c r="G270" s="18">
        <f>G265*G265*(SUM((H258*G258*(1-G247/H247))/(H247-1),(H259*G259*(1-G248/H248))/(H248-1), (H260*G260*(1-G249/H249))/(H249-1),(H261*G261*(1-G250/H250))/(H250-1)))</f>
        <v>259.09835978013211</v>
      </c>
    </row>
    <row r="271" spans="1:41" x14ac:dyDescent="0.3">
      <c r="AM271" s="78"/>
      <c r="AN271" s="78"/>
      <c r="AO271" s="78"/>
    </row>
    <row r="272" spans="1:41" x14ac:dyDescent="0.3">
      <c r="T272" s="2"/>
    </row>
    <row r="273" spans="1:41" x14ac:dyDescent="0.3">
      <c r="A273" s="348" t="s">
        <v>388</v>
      </c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 t="s">
        <v>82</v>
      </c>
      <c r="M273" s="348"/>
      <c r="N273" s="348"/>
      <c r="O273" s="348"/>
      <c r="P273" s="348"/>
      <c r="AM273" s="78"/>
      <c r="AN273" s="78"/>
      <c r="AO273" s="78"/>
    </row>
    <row r="274" spans="1:41" ht="15" thickBot="1" x14ac:dyDescent="0.35">
      <c r="A274" t="s">
        <v>315</v>
      </c>
      <c r="B274" t="s">
        <v>21</v>
      </c>
      <c r="I274" s="1" t="s">
        <v>53</v>
      </c>
      <c r="O274" s="142"/>
      <c r="P274" s="142"/>
      <c r="R274" s="59" t="s">
        <v>73</v>
      </c>
      <c r="S274" s="62"/>
      <c r="T274" s="63">
        <v>0</v>
      </c>
      <c r="U274" s="63">
        <v>1</v>
      </c>
      <c r="V274" s="63">
        <v>2</v>
      </c>
      <c r="W274" s="63">
        <v>3</v>
      </c>
      <c r="X274" s="63">
        <v>4</v>
      </c>
      <c r="Z274" s="74" t="s">
        <v>72</v>
      </c>
      <c r="AA274" s="12" t="s">
        <v>29</v>
      </c>
    </row>
    <row r="275" spans="1:41" ht="16.2" thickTop="1" x14ac:dyDescent="0.35">
      <c r="B275" s="1" t="s">
        <v>0</v>
      </c>
      <c r="C275" s="13">
        <v>0</v>
      </c>
      <c r="D275" s="13">
        <v>1</v>
      </c>
      <c r="E275" s="13">
        <v>2</v>
      </c>
      <c r="F275" s="13">
        <v>3</v>
      </c>
      <c r="G275" s="13">
        <v>4</v>
      </c>
      <c r="H275" s="1" t="s">
        <v>20</v>
      </c>
      <c r="I275" s="1" t="s">
        <v>1</v>
      </c>
      <c r="J275" s="1" t="s">
        <v>13</v>
      </c>
      <c r="N275" s="1" t="s">
        <v>51</v>
      </c>
      <c r="O275" s="13"/>
      <c r="P275" s="13"/>
      <c r="S275" t="s">
        <v>28</v>
      </c>
      <c r="T275" s="57">
        <f t="shared" ref="T275:X276" si="39">AVERAGE(T16,T26,T36,T46,T56)</f>
        <v>0.27834296971755085</v>
      </c>
      <c r="U275" s="57">
        <f t="shared" si="39"/>
        <v>0.94398316753466482</v>
      </c>
      <c r="V275" s="57">
        <f t="shared" si="39"/>
        <v>62.469438437331938</v>
      </c>
      <c r="W275" s="57">
        <f t="shared" si="39"/>
        <v>29.376168016592807</v>
      </c>
      <c r="X275" s="57">
        <f t="shared" si="39"/>
        <v>6.9320674088230376</v>
      </c>
      <c r="Z275" s="14">
        <f>AVERAGE(AE16,AE17,AE18,AE19,AE20)</f>
        <v>0.970453627716094</v>
      </c>
      <c r="AA275" s="72">
        <f>AVERAGE(AF16,AF17,AF18,AF19,AF20)</f>
        <v>3.8289271163727337E-3</v>
      </c>
      <c r="AM275" s="78"/>
      <c r="AN275" s="78"/>
      <c r="AO275" s="78"/>
    </row>
    <row r="276" spans="1:41" x14ac:dyDescent="0.3">
      <c r="A276" t="s">
        <v>3</v>
      </c>
      <c r="B276" s="13">
        <v>0</v>
      </c>
      <c r="C276" s="26">
        <v>450</v>
      </c>
      <c r="D276" s="3">
        <v>0</v>
      </c>
      <c r="E276" s="3">
        <v>0</v>
      </c>
      <c r="F276" s="3">
        <v>0</v>
      </c>
      <c r="G276" s="4">
        <v>0</v>
      </c>
      <c r="H276" s="1">
        <f>SUM(C276:G276)</f>
        <v>450</v>
      </c>
      <c r="I276" s="10">
        <f>C276/H276</f>
        <v>1</v>
      </c>
      <c r="J276" s="11">
        <f>1-I276</f>
        <v>0</v>
      </c>
      <c r="K276">
        <f>H276-C281</f>
        <v>0</v>
      </c>
      <c r="N276" s="10">
        <f>2*(C282*I276)/(C282+I276)</f>
        <v>1</v>
      </c>
      <c r="O276" s="1"/>
      <c r="P276" s="1"/>
      <c r="S276" t="s">
        <v>39</v>
      </c>
      <c r="T276" s="57">
        <f t="shared" si="39"/>
        <v>0</v>
      </c>
      <c r="U276" s="57">
        <f t="shared" si="39"/>
        <v>2.893020725509161E-2</v>
      </c>
      <c r="V276" s="57">
        <f t="shared" si="39"/>
        <v>0.35803690101205587</v>
      </c>
      <c r="W276" s="57">
        <f t="shared" si="39"/>
        <v>0.36508628332557086</v>
      </c>
      <c r="X276" s="57">
        <f t="shared" si="39"/>
        <v>0.17985620879442182</v>
      </c>
    </row>
    <row r="277" spans="1:41" x14ac:dyDescent="0.3">
      <c r="A277" t="s">
        <v>4</v>
      </c>
      <c r="B277" s="13">
        <v>1</v>
      </c>
      <c r="C277" s="5">
        <v>0</v>
      </c>
      <c r="D277" s="27">
        <v>59</v>
      </c>
      <c r="E277" s="1">
        <v>4</v>
      </c>
      <c r="F277" s="1">
        <v>0</v>
      </c>
      <c r="G277" s="6">
        <v>1</v>
      </c>
      <c r="H277" s="1">
        <f>SUM(C277:G277)</f>
        <v>64</v>
      </c>
      <c r="I277" s="10">
        <f>D277/H277</f>
        <v>0.921875</v>
      </c>
      <c r="J277" s="11">
        <f>1-I277</f>
        <v>7.8125E-2</v>
      </c>
      <c r="K277">
        <f>H277-D281</f>
        <v>5</v>
      </c>
      <c r="N277" s="10">
        <f>2*(D282*I277)/(D282+I277)</f>
        <v>0.95934959349593496</v>
      </c>
      <c r="O277" s="1"/>
      <c r="P277" s="1"/>
      <c r="S277" s="66" t="s">
        <v>60</v>
      </c>
      <c r="T277" s="67">
        <f>1.96*T276</f>
        <v>0</v>
      </c>
      <c r="U277" s="67">
        <f>1.96*U276</f>
        <v>5.6703206219979554E-2</v>
      </c>
      <c r="V277" s="67">
        <f>1.96*V276</f>
        <v>0.70175232598362947</v>
      </c>
      <c r="W277" s="67">
        <f>1.96*W276</f>
        <v>0.71556911531811884</v>
      </c>
      <c r="X277" s="67">
        <f>1.96*X276</f>
        <v>0.35251816923706675</v>
      </c>
      <c r="AM277" s="78"/>
      <c r="AN277" s="78"/>
      <c r="AO277" s="78"/>
    </row>
    <row r="278" spans="1:41" x14ac:dyDescent="0.3">
      <c r="A278" t="s">
        <v>5</v>
      </c>
      <c r="B278" s="13">
        <v>2</v>
      </c>
      <c r="C278" s="5">
        <v>0</v>
      </c>
      <c r="D278" s="1">
        <v>0</v>
      </c>
      <c r="E278" s="27">
        <v>739</v>
      </c>
      <c r="F278" s="1">
        <v>8</v>
      </c>
      <c r="G278" s="6">
        <v>1</v>
      </c>
      <c r="H278" s="1">
        <f>SUM(C278:G278)</f>
        <v>748</v>
      </c>
      <c r="I278" s="10">
        <f>E278/H278</f>
        <v>0.98796791443850263</v>
      </c>
      <c r="J278" s="11">
        <f>1-I278</f>
        <v>1.2032085561497374E-2</v>
      </c>
      <c r="K278">
        <f>H278-E281</f>
        <v>-36</v>
      </c>
      <c r="N278" s="10">
        <f>2*(E282*I278)/(E282+I278)</f>
        <v>0.96475195822454296</v>
      </c>
      <c r="O278" s="1"/>
      <c r="P278" s="1"/>
      <c r="S278" t="s">
        <v>30</v>
      </c>
      <c r="T278" s="57">
        <f t="shared" ref="T278:X279" si="40">AVERAGE(T18,T28,T38,T48,T58)</f>
        <v>100</v>
      </c>
      <c r="U278" s="57">
        <f t="shared" si="40"/>
        <v>99.579690281549759</v>
      </c>
      <c r="V278" s="57">
        <f t="shared" si="40"/>
        <v>97.3623106416144</v>
      </c>
      <c r="W278" s="57">
        <f t="shared" si="40"/>
        <v>97.396050927038118</v>
      </c>
      <c r="X278" s="57">
        <f t="shared" si="40"/>
        <v>92.280094395122518</v>
      </c>
    </row>
    <row r="279" spans="1:41" x14ac:dyDescent="0.3">
      <c r="A279" t="s">
        <v>6</v>
      </c>
      <c r="B279" s="13">
        <v>3</v>
      </c>
      <c r="C279" s="5">
        <v>0</v>
      </c>
      <c r="D279" s="1">
        <v>0</v>
      </c>
      <c r="E279" s="1">
        <v>31</v>
      </c>
      <c r="F279" s="27">
        <v>581</v>
      </c>
      <c r="G279" s="6">
        <v>6</v>
      </c>
      <c r="H279" s="1">
        <f>SUM(C279:G279)</f>
        <v>618</v>
      </c>
      <c r="I279" s="10">
        <f>F279/H279</f>
        <v>0.94012944983818769</v>
      </c>
      <c r="J279" s="11">
        <f>1-I279</f>
        <v>5.9870550161812308E-2</v>
      </c>
      <c r="K279">
        <f>H279-F281</f>
        <v>-2</v>
      </c>
      <c r="N279" s="10">
        <f>2*(F282*I279)/(F282+I279)</f>
        <v>0.93861066235864299</v>
      </c>
      <c r="O279" s="1"/>
      <c r="P279" s="1"/>
      <c r="S279" t="s">
        <v>39</v>
      </c>
      <c r="T279" s="57">
        <f t="shared" si="40"/>
        <v>0</v>
      </c>
      <c r="U279" s="57">
        <f t="shared" si="40"/>
        <v>0.43698781147197224</v>
      </c>
      <c r="V279" s="57">
        <f t="shared" si="40"/>
        <v>0.43441465638612409</v>
      </c>
      <c r="W279" s="57">
        <f t="shared" si="40"/>
        <v>0.73852522245550722</v>
      </c>
      <c r="X279" s="57">
        <f t="shared" si="40"/>
        <v>2.3722786532979043</v>
      </c>
      <c r="AM279" s="78"/>
      <c r="AN279" s="78"/>
      <c r="AO279" s="78"/>
    </row>
    <row r="280" spans="1:41" x14ac:dyDescent="0.3">
      <c r="A280" t="s">
        <v>7</v>
      </c>
      <c r="B280" s="13">
        <v>4</v>
      </c>
      <c r="C280" s="7">
        <v>0</v>
      </c>
      <c r="D280" s="8">
        <v>0</v>
      </c>
      <c r="E280" s="8">
        <v>10</v>
      </c>
      <c r="F280" s="8">
        <v>31</v>
      </c>
      <c r="G280" s="28">
        <v>972</v>
      </c>
      <c r="H280" s="1">
        <f>SUM(C280:G280)</f>
        <v>1013</v>
      </c>
      <c r="I280" s="10">
        <f>G280/H280</f>
        <v>0.95952615992102663</v>
      </c>
      <c r="J280" s="11">
        <f>1-I280</f>
        <v>4.0473840078973367E-2</v>
      </c>
      <c r="K280">
        <f>H280-G281</f>
        <v>33</v>
      </c>
      <c r="N280" s="10">
        <f>2*(G282*I280)/(G282+I280)</f>
        <v>0.97541394882087307</v>
      </c>
      <c r="O280" s="1"/>
      <c r="P280" s="1"/>
      <c r="S280" s="66" t="s">
        <v>60</v>
      </c>
      <c r="T280" s="67">
        <f>1.96*T279</f>
        <v>0</v>
      </c>
      <c r="U280" s="67">
        <f>1.96*U279</f>
        <v>0.85649611048506558</v>
      </c>
      <c r="V280" s="67">
        <f>1.96*V279</f>
        <v>0.85145272651680315</v>
      </c>
      <c r="W280" s="67">
        <f>1.96*W279</f>
        <v>1.447509436012794</v>
      </c>
      <c r="X280" s="67">
        <f>1.96*X279</f>
        <v>4.6496661604638927</v>
      </c>
    </row>
    <row r="281" spans="1:41" ht="15.6" x14ac:dyDescent="0.35">
      <c r="B281" s="1" t="s">
        <v>19</v>
      </c>
      <c r="C281" s="1">
        <f>SUM(C276:C280)</f>
        <v>450</v>
      </c>
      <c r="D281" s="1">
        <f>SUM(D276:D280)</f>
        <v>59</v>
      </c>
      <c r="E281" s="1">
        <f>SUM(E276:E280)</f>
        <v>784</v>
      </c>
      <c r="F281" s="1">
        <f>SUM(F276:F280)</f>
        <v>620</v>
      </c>
      <c r="G281" s="1">
        <f>SUM(G276:G280)</f>
        <v>980</v>
      </c>
      <c r="H281" s="1">
        <f>SUM(H275:H280)</f>
        <v>2893</v>
      </c>
      <c r="I281" s="13" t="s">
        <v>12</v>
      </c>
      <c r="N281" s="16"/>
      <c r="O281" s="1"/>
      <c r="P281" s="1"/>
      <c r="S281" t="s">
        <v>31</v>
      </c>
      <c r="T281" s="57">
        <f t="shared" ref="T281:X282" si="41">AVERAGE(T20,T30,T40,T50,T60)</f>
        <v>100</v>
      </c>
      <c r="U281" s="57">
        <f t="shared" si="41"/>
        <v>94.375</v>
      </c>
      <c r="V281" s="57">
        <f t="shared" si="41"/>
        <v>98.903743315508024</v>
      </c>
      <c r="W281" s="57">
        <f t="shared" si="41"/>
        <v>93.689320388349515</v>
      </c>
      <c r="X281" s="57">
        <f t="shared" si="41"/>
        <v>95.55774925962487</v>
      </c>
      <c r="AM281" s="78"/>
      <c r="AN281" s="78"/>
      <c r="AO281" s="78"/>
    </row>
    <row r="282" spans="1:41" x14ac:dyDescent="0.3">
      <c r="A282" s="1" t="s">
        <v>316</v>
      </c>
      <c r="B282" s="1" t="s">
        <v>2</v>
      </c>
      <c r="C282" s="10">
        <f>C276/C281</f>
        <v>1</v>
      </c>
      <c r="D282" s="10">
        <f>D277/D281</f>
        <v>1</v>
      </c>
      <c r="E282" s="10">
        <f>E278/E281</f>
        <v>0.94260204081632648</v>
      </c>
      <c r="F282" s="10">
        <f>F279/F281</f>
        <v>0.93709677419354842</v>
      </c>
      <c r="G282" s="10">
        <f>G280/G281</f>
        <v>0.99183673469387756</v>
      </c>
      <c r="H282" s="10"/>
      <c r="I282" s="14">
        <f>(C276+D277+E278+F279+G280)/H281</f>
        <v>0.96819910127894915</v>
      </c>
      <c r="S282" t="s">
        <v>39</v>
      </c>
      <c r="T282" s="57">
        <f t="shared" si="41"/>
        <v>0</v>
      </c>
      <c r="U282" s="57">
        <f t="shared" si="41"/>
        <v>2.867124661597364</v>
      </c>
      <c r="V282" s="57">
        <f t="shared" si="41"/>
        <v>0.37791125866336178</v>
      </c>
      <c r="W282" s="57">
        <f t="shared" si="41"/>
        <v>0.97814409107446409</v>
      </c>
      <c r="X282" s="57">
        <f t="shared" si="41"/>
        <v>0.64751385721553967</v>
      </c>
    </row>
    <row r="283" spans="1:41" x14ac:dyDescent="0.3">
      <c r="B283" s="1" t="s">
        <v>14</v>
      </c>
      <c r="C283" s="11">
        <f>1-C282</f>
        <v>0</v>
      </c>
      <c r="D283" s="11">
        <f>1-D282</f>
        <v>0</v>
      </c>
      <c r="E283" s="11">
        <f>1-E282</f>
        <v>5.7397959183673519E-2</v>
      </c>
      <c r="F283" s="11">
        <f>1-F282</f>
        <v>6.2903225806451579E-2</v>
      </c>
      <c r="G283" s="11">
        <f>1-G282</f>
        <v>8.1632653061224358E-3</v>
      </c>
      <c r="S283" s="66" t="s">
        <v>60</v>
      </c>
      <c r="T283" s="67">
        <f>1.96*T282</f>
        <v>0</v>
      </c>
      <c r="U283" s="67">
        <f>1.96*U282</f>
        <v>5.619564336730833</v>
      </c>
      <c r="V283" s="67">
        <f>1.96*V282</f>
        <v>0.74070606698018904</v>
      </c>
      <c r="W283" s="67">
        <f>1.96*W282</f>
        <v>1.9171624185059495</v>
      </c>
      <c r="X283" s="67">
        <f>1.96*X282</f>
        <v>1.2691271601424576</v>
      </c>
      <c r="AM283" s="78"/>
      <c r="AN283" s="78"/>
      <c r="AO283" s="78"/>
    </row>
    <row r="284" spans="1:41" x14ac:dyDescent="0.3">
      <c r="C284" s="2"/>
      <c r="S284" t="s">
        <v>51</v>
      </c>
      <c r="T284" s="57">
        <f>AVERAGE(T22,T32,T42,T52,T62)</f>
        <v>100</v>
      </c>
      <c r="U284" s="57">
        <f>AVERAGE(U22,U32,U42,U52,U62)</f>
        <v>96.63465582931164</v>
      </c>
      <c r="V284" s="57">
        <f>AVERAGE(V22,V32,V42,V52,V62)</f>
        <v>96.693286896808303</v>
      </c>
      <c r="W284" s="57">
        <f>AVERAGE(W22,W32,W42,W52,W62)</f>
        <v>93.417619084870694</v>
      </c>
      <c r="X284" s="57">
        <f>AVERAGE(X22,X32,X42,X52,X62)</f>
        <v>97.22778324339501</v>
      </c>
    </row>
    <row r="285" spans="1:41" ht="15.6" x14ac:dyDescent="0.35">
      <c r="A285" t="s">
        <v>317</v>
      </c>
      <c r="B285" s="15" t="s">
        <v>23</v>
      </c>
      <c r="N285" s="12" t="s">
        <v>17</v>
      </c>
      <c r="O285" s="1" t="s">
        <v>27</v>
      </c>
      <c r="P285" s="1" t="s">
        <v>33</v>
      </c>
      <c r="S285" t="s">
        <v>29</v>
      </c>
      <c r="T285" s="57">
        <f>_xlfn.STDEV.S(T22,T32,T42,T52,T62)</f>
        <v>0</v>
      </c>
      <c r="U285" s="57">
        <f>_xlfn.STDEV.S(U22,U32,U42,U52,U62)</f>
        <v>1.0643358057623853</v>
      </c>
      <c r="V285" s="57">
        <f>_xlfn.STDEV.S(V22,V32,V42,V52,V62)</f>
        <v>0.107359073975774</v>
      </c>
      <c r="W285" s="57">
        <f>_xlfn.STDEV.S(W22,W32,W42,W52,W62)</f>
        <v>0.40902096642699987</v>
      </c>
      <c r="X285" s="57">
        <f>_xlfn.STDEV.S(X22,X32,X42,X52,X62)</f>
        <v>0.1526734614250512</v>
      </c>
      <c r="AM285" s="78"/>
      <c r="AN285" s="78"/>
      <c r="AO285" s="78"/>
    </row>
    <row r="286" spans="1:41" ht="15.6" x14ac:dyDescent="0.35">
      <c r="B286" s="1" t="s">
        <v>0</v>
      </c>
      <c r="C286" s="13">
        <v>0</v>
      </c>
      <c r="D286" s="13">
        <v>1</v>
      </c>
      <c r="E286" s="13">
        <v>2</v>
      </c>
      <c r="F286" s="13">
        <v>3</v>
      </c>
      <c r="G286" s="13">
        <v>4</v>
      </c>
      <c r="H286" s="1" t="s">
        <v>28</v>
      </c>
      <c r="I286" s="1" t="s">
        <v>31</v>
      </c>
      <c r="J286" s="15" t="s">
        <v>39</v>
      </c>
      <c r="K286" s="1" t="s">
        <v>38</v>
      </c>
      <c r="L286" s="1" t="s">
        <v>26</v>
      </c>
      <c r="M286" t="s">
        <v>8</v>
      </c>
      <c r="N286" t="s">
        <v>9</v>
      </c>
      <c r="O286" s="1" t="s">
        <v>11</v>
      </c>
      <c r="S286" s="66" t="s">
        <v>60</v>
      </c>
      <c r="T286" s="67">
        <f>1.96*T285</f>
        <v>0</v>
      </c>
      <c r="U286" s="67">
        <f>1.96*U285</f>
        <v>2.0860981792942752</v>
      </c>
      <c r="V286" s="67">
        <f>1.96*V285</f>
        <v>0.21042378499251704</v>
      </c>
      <c r="W286" s="67">
        <f>1.96*W285</f>
        <v>0.80168109419691969</v>
      </c>
      <c r="X286" s="67">
        <f>1.96*X285</f>
        <v>0.29923998439310034</v>
      </c>
    </row>
    <row r="287" spans="1:41" x14ac:dyDescent="0.3">
      <c r="A287" t="s">
        <v>3</v>
      </c>
      <c r="B287" s="13">
        <v>0</v>
      </c>
      <c r="C287" s="29">
        <f>(C276/$L287)*$O287</f>
        <v>0.26504468064741882</v>
      </c>
      <c r="D287" s="31">
        <f>(D276/$L287)*$O287</f>
        <v>0</v>
      </c>
      <c r="E287" s="31">
        <f>(E276/$L287)*$O287</f>
        <v>0</v>
      </c>
      <c r="F287" s="31">
        <f>(F276/$L287)*$O287</f>
        <v>0</v>
      </c>
      <c r="G287" s="32">
        <f>(G276/$L287)*$O287</f>
        <v>0</v>
      </c>
      <c r="H287" s="17">
        <f>SUM(C287:G287)</f>
        <v>0.26504468064741882</v>
      </c>
      <c r="I287" s="17">
        <f>C287/H287*100</f>
        <v>100</v>
      </c>
      <c r="J287" s="17">
        <f>SQRT(I287*(100-I287)/(L287-1))</f>
        <v>0</v>
      </c>
      <c r="K287" s="18">
        <f>100-I287</f>
        <v>0</v>
      </c>
      <c r="L287" s="1">
        <f>H276</f>
        <v>450</v>
      </c>
      <c r="M287">
        <v>0</v>
      </c>
      <c r="N287" s="1">
        <v>255.87</v>
      </c>
      <c r="O287" s="17">
        <f>N287/N292*100</f>
        <v>0.26504468064741882</v>
      </c>
      <c r="P287" s="52">
        <f>((O287*O287*(I287/100)*(K287/100))/(L287-1))</f>
        <v>0</v>
      </c>
      <c r="R287" s="16" t="s">
        <v>70</v>
      </c>
      <c r="S287" t="s">
        <v>9</v>
      </c>
      <c r="T287" s="57">
        <f>AVERAGE(T23,T33,T43,T53,T63)</f>
        <v>268.70800000000003</v>
      </c>
      <c r="U287" s="57">
        <f>AVERAGE(U23,U33,U43,U53,U63)</f>
        <v>962.04399999999987</v>
      </c>
      <c r="V287" s="57">
        <f>AVERAGE(V23,V33,V43,V53,V63)</f>
        <v>59366.648000000001</v>
      </c>
      <c r="W287" s="57">
        <f>AVERAGE(W23,W33,W43,W53,W63)</f>
        <v>29479.295999999995</v>
      </c>
      <c r="X287" s="57">
        <f>AVERAGE(X23,X33,X43,X53,X63)</f>
        <v>6461.7579999999998</v>
      </c>
      <c r="Z287" t="s">
        <v>36</v>
      </c>
      <c r="AA287" s="57">
        <f>AVERAGE(AA23,AA33,AA43,AA53,AA63)</f>
        <v>96538.453999999998</v>
      </c>
      <c r="AM287" s="78"/>
      <c r="AN287" s="78"/>
      <c r="AO287" s="78"/>
    </row>
    <row r="288" spans="1:41" x14ac:dyDescent="0.3">
      <c r="A288" t="s">
        <v>4</v>
      </c>
      <c r="B288" s="13">
        <v>1</v>
      </c>
      <c r="C288" s="33">
        <f t="shared" ref="C288:G291" si="42">(C277/$L288)*$O288</f>
        <v>0</v>
      </c>
      <c r="D288" s="34">
        <f t="shared" si="42"/>
        <v>0.96820402577460341</v>
      </c>
      <c r="E288" s="19">
        <f t="shared" si="42"/>
        <v>6.5640950899973113E-2</v>
      </c>
      <c r="F288" s="18">
        <f t="shared" si="42"/>
        <v>0</v>
      </c>
      <c r="G288" s="20">
        <f t="shared" si="42"/>
        <v>1.6410237724993278E-2</v>
      </c>
      <c r="H288" s="17">
        <f>SUM(C288:G288)</f>
        <v>1.0502552143995698</v>
      </c>
      <c r="I288" s="17">
        <f>D288/H288*100</f>
        <v>92.1875</v>
      </c>
      <c r="J288" s="17">
        <f>SQRT(I288*(100-I288)/(L288-1))</f>
        <v>3.3811213593755247</v>
      </c>
      <c r="K288" s="18">
        <f>100-I288</f>
        <v>7.8125</v>
      </c>
      <c r="L288" s="1">
        <f>H277</f>
        <v>64</v>
      </c>
      <c r="M288">
        <v>1</v>
      </c>
      <c r="N288" s="1">
        <v>1013.9</v>
      </c>
      <c r="O288" s="17">
        <f>N288/N292*100</f>
        <v>1.0502552143995698</v>
      </c>
      <c r="P288" s="52">
        <f>((O288*O288*(I288/100)*(K288/100))/(L288-1))</f>
        <v>1.2609887483537112E-3</v>
      </c>
      <c r="S288" t="s">
        <v>29</v>
      </c>
      <c r="T288" s="57">
        <f>_xlfn.STDEV.S(T23,T33,T43,T53,T63)</f>
        <v>6.0832244739118604</v>
      </c>
      <c r="U288" s="57">
        <f>_xlfn.STDEV.S(U23,U33,U43,U53,U63)</f>
        <v>35.846847560141207</v>
      </c>
      <c r="V288" s="57">
        <f>_xlfn.STDEV.S(V23,V33,V43,V53,V63)</f>
        <v>268.65050710914301</v>
      </c>
      <c r="W288" s="57">
        <f>_xlfn.STDEV.S(W23,W33,W43,W53,W63)</f>
        <v>301.88706303848028</v>
      </c>
      <c r="X288" s="57">
        <f>_xlfn.STDEV.S(X23,X33,X43,X53,X63)</f>
        <v>108.63289267068258</v>
      </c>
      <c r="Z288" t="s">
        <v>29</v>
      </c>
      <c r="AA288" s="57">
        <f>_xlfn.STDEV.S(AA23,AA33,AA43,AA53,AA63)</f>
        <v>1.1401754250761648E-2</v>
      </c>
    </row>
    <row r="289" spans="1:41" x14ac:dyDescent="0.3">
      <c r="A289" t="s">
        <v>5</v>
      </c>
      <c r="B289" s="13">
        <v>2</v>
      </c>
      <c r="C289" s="33">
        <f t="shared" si="42"/>
        <v>0</v>
      </c>
      <c r="D289" s="19">
        <f t="shared" si="42"/>
        <v>0</v>
      </c>
      <c r="E289" s="34">
        <f t="shared" si="42"/>
        <v>61.198836697577988</v>
      </c>
      <c r="F289" s="19">
        <f t="shared" si="42"/>
        <v>0.66250432148934224</v>
      </c>
      <c r="G289" s="20">
        <f t="shared" si="42"/>
        <v>8.281304018616778E-2</v>
      </c>
      <c r="H289" s="17">
        <f>SUM(C289:G289)</f>
        <v>61.944154059253499</v>
      </c>
      <c r="I289" s="17">
        <f>E289/H289*100</f>
        <v>98.796791443850267</v>
      </c>
      <c r="J289" s="17">
        <f>SQRT(I289*(100-I289)/(L289-1))</f>
        <v>0.3989161097662422</v>
      </c>
      <c r="K289" s="18">
        <f>100-I289</f>
        <v>1.2032085561497325</v>
      </c>
      <c r="L289" s="1">
        <f>H278</f>
        <v>748</v>
      </c>
      <c r="M289">
        <v>2</v>
      </c>
      <c r="N289" s="1">
        <v>59799.92</v>
      </c>
      <c r="O289" s="17">
        <f>N289/N292*100</f>
        <v>61.944154059253499</v>
      </c>
      <c r="P289" s="52">
        <f>((O289*O289*(I289/100)*(K289/100))/(L289-1))</f>
        <v>6.1060984611846329E-2</v>
      </c>
      <c r="S289" t="s">
        <v>60</v>
      </c>
      <c r="T289" s="57">
        <f>1.96*T288</f>
        <v>11.923119968867246</v>
      </c>
      <c r="U289" s="57">
        <f>1.96*U288</f>
        <v>70.259821217876762</v>
      </c>
      <c r="V289" s="57">
        <f>1.96*V288</f>
        <v>526.55499393392029</v>
      </c>
      <c r="W289" s="57">
        <f>1.96*W288</f>
        <v>591.69864355542131</v>
      </c>
      <c r="X289" s="57">
        <f>1.96*X288</f>
        <v>212.92046963453785</v>
      </c>
      <c r="AM289" s="78"/>
      <c r="AN289" s="78"/>
      <c r="AO289" s="78"/>
    </row>
    <row r="290" spans="1:41" x14ac:dyDescent="0.3">
      <c r="A290" t="s">
        <v>6</v>
      </c>
      <c r="B290" s="13">
        <v>3</v>
      </c>
      <c r="C290" s="33">
        <f t="shared" si="42"/>
        <v>0</v>
      </c>
      <c r="D290" s="19">
        <f t="shared" si="42"/>
        <v>0</v>
      </c>
      <c r="E290" s="19">
        <f t="shared" si="42"/>
        <v>1.5153528748651499</v>
      </c>
      <c r="F290" s="34">
        <f t="shared" si="42"/>
        <v>28.400645816021033</v>
      </c>
      <c r="G290" s="20">
        <f t="shared" si="42"/>
        <v>0.29329410481260965</v>
      </c>
      <c r="H290" s="17">
        <f>SUM(C290:G290)</f>
        <v>30.209292795698794</v>
      </c>
      <c r="I290" s="17">
        <f>F290/H290*100</f>
        <v>94.01294498381877</v>
      </c>
      <c r="J290" s="17">
        <f>SQRT(I290*(100-I290)/(L290-1))</f>
        <v>0.95511985030479796</v>
      </c>
      <c r="K290" s="18">
        <f>100-I290</f>
        <v>5.9870550161812304</v>
      </c>
      <c r="L290" s="1">
        <f>H279</f>
        <v>618</v>
      </c>
      <c r="M290">
        <v>3</v>
      </c>
      <c r="N290" s="1">
        <v>29163.58</v>
      </c>
      <c r="O290" s="17">
        <f>N290/N292*100</f>
        <v>30.209292795698794</v>
      </c>
      <c r="P290" s="52">
        <f>((O290*O290*(I290/100)*(K290/100))/(L290-1))</f>
        <v>8.3252418599747566E-2</v>
      </c>
      <c r="R290" s="16" t="s">
        <v>69</v>
      </c>
      <c r="S290" t="s">
        <v>9</v>
      </c>
      <c r="T290" s="57">
        <f>AVERAGE(T24,T34,T44,T54,T64)</f>
        <v>268.70800000000003</v>
      </c>
      <c r="U290" s="57">
        <f>AVERAGE(U24,U34,U44,U54,U64)</f>
        <v>911.30675555281357</v>
      </c>
      <c r="V290" s="57">
        <f>AVERAGE(V24,V34,V44,V54,V64)</f>
        <v>60307.030073507958</v>
      </c>
      <c r="W290" s="57">
        <f>AVERAGE(W24,W34,W44,W54,W64)</f>
        <v>28359.298476665561</v>
      </c>
      <c r="X290" s="57">
        <f>AVERAGE(X24,X34,X44,X54,X64)</f>
        <v>6692.1106942736715</v>
      </c>
      <c r="Z290" t="s">
        <v>36</v>
      </c>
      <c r="AA290" s="24">
        <f>SUM(T290:X290)</f>
        <v>96538.453999999998</v>
      </c>
    </row>
    <row r="291" spans="1:41" x14ac:dyDescent="0.3">
      <c r="A291" t="s">
        <v>7</v>
      </c>
      <c r="B291" s="13">
        <v>4</v>
      </c>
      <c r="C291" s="35">
        <f t="shared" si="42"/>
        <v>0</v>
      </c>
      <c r="D291" s="36">
        <f t="shared" si="42"/>
        <v>0</v>
      </c>
      <c r="E291" s="21">
        <f t="shared" si="42"/>
        <v>6.4474365745318132E-2</v>
      </c>
      <c r="F291" s="21">
        <f t="shared" si="42"/>
        <v>0.1998705338104862</v>
      </c>
      <c r="G291" s="37">
        <f t="shared" si="42"/>
        <v>6.2669083504449219</v>
      </c>
      <c r="H291" s="17">
        <f>SUM(C291:G291)</f>
        <v>6.5312532500007263</v>
      </c>
      <c r="I291" s="17">
        <f>G291/H291*100</f>
        <v>95.952615992102665</v>
      </c>
      <c r="J291" s="17">
        <f>SQRT(I291*(100-I291)/(L291-1))</f>
        <v>0.61947724637554369</v>
      </c>
      <c r="K291" s="18">
        <f>100-I291</f>
        <v>4.0473840078973353</v>
      </c>
      <c r="L291" s="1">
        <f>H280</f>
        <v>1013</v>
      </c>
      <c r="M291">
        <v>4</v>
      </c>
      <c r="N291" s="1">
        <v>6305.17</v>
      </c>
      <c r="O291" s="17">
        <f>N291/N292*100</f>
        <v>6.5312532500007263</v>
      </c>
      <c r="P291" s="52">
        <f>((O291*O291*(I291/100)*(K291/100))/(L291-1))</f>
        <v>1.6369814806559235E-3</v>
      </c>
      <c r="S291" t="s">
        <v>29</v>
      </c>
      <c r="T291" s="57">
        <f>_xlfn.STDEV.S(T24,T34,T44,T54,T64)</f>
        <v>6.0832244739118435</v>
      </c>
      <c r="U291" s="57">
        <f>_xlfn.STDEV.S(U24,U34,U44,U54,U64)</f>
        <v>20.047984463099137</v>
      </c>
      <c r="V291" s="57">
        <f>_xlfn.STDEV.S(V24,V34,V44,V54,V64)</f>
        <v>411.0372363001436</v>
      </c>
      <c r="W291" s="57">
        <f>_xlfn.STDEV.S(W24,W34,W44,W54,W64)</f>
        <v>464.57526636935393</v>
      </c>
      <c r="X291" s="57">
        <f>_xlfn.STDEV.S(X24,X34,X44,X54,X64)</f>
        <v>141.03212721748685</v>
      </c>
      <c r="AM291" s="78"/>
      <c r="AN291" s="78"/>
      <c r="AO291" s="78"/>
    </row>
    <row r="292" spans="1:41" x14ac:dyDescent="0.3">
      <c r="B292" t="s">
        <v>28</v>
      </c>
      <c r="C292" s="17">
        <f>SUM(C287:C291)</f>
        <v>0.26504468064741882</v>
      </c>
      <c r="D292" s="17">
        <f>SUM(D287:D291)</f>
        <v>0.96820402577460341</v>
      </c>
      <c r="E292" s="17">
        <f>SUM(E287:E291)</f>
        <v>62.844304889088434</v>
      </c>
      <c r="F292" s="17">
        <f>SUM(F287:F291)</f>
        <v>29.263020671320863</v>
      </c>
      <c r="G292" s="17">
        <f>SUM(G287:G291)</f>
        <v>6.6594257331686926</v>
      </c>
      <c r="H292" s="1">
        <f>SUM(H286:H291)</f>
        <v>100.00000000000001</v>
      </c>
      <c r="I292" s="13" t="s">
        <v>24</v>
      </c>
      <c r="J292" s="12" t="s">
        <v>29</v>
      </c>
      <c r="N292" s="1">
        <f>SUM(N287:N291)</f>
        <v>96538.439999999988</v>
      </c>
      <c r="O292" s="17">
        <f>SUM(O287:O291)</f>
        <v>100.00000000000001</v>
      </c>
      <c r="S292" s="66" t="s">
        <v>60</v>
      </c>
      <c r="T292" s="67">
        <f>1.96*T291</f>
        <v>11.923119968867214</v>
      </c>
      <c r="U292" s="67">
        <f>1.96*U291</f>
        <v>39.294049547674305</v>
      </c>
      <c r="V292" s="67">
        <f>1.96*V291</f>
        <v>805.63298314828148</v>
      </c>
      <c r="W292" s="67">
        <f>1.96*W291</f>
        <v>910.56752208393368</v>
      </c>
      <c r="X292" s="67">
        <f>1.96*X291</f>
        <v>276.42296934627421</v>
      </c>
    </row>
    <row r="293" spans="1:41" x14ac:dyDescent="0.3">
      <c r="B293" s="16" t="s">
        <v>39</v>
      </c>
      <c r="C293" s="18">
        <f>SQRT(SUM((O287*O287*(C287/O287)*(1-C287/O287))/L287,(O288*O288*(C288/O288)*(1-C288/O288))/L288,(O289*O289*(C289/O289)*(1-C289/O289))/L289,(O290*O290*(C290/O290)*(1-C290/O290))/L290,(O291*O291*(C291/O291)*(1-C291/O291))/L291))</f>
        <v>0</v>
      </c>
      <c r="D293" s="18">
        <f>SQRT(SUM((O287*O287*(D287/O287)*(1-D287/O287))/L287,(O288*O288*(D288/O288)*(1-D288/O288))/L288,(O289*O289*(D289/O289)*(1-D289/O289))/L289,(O290*O290*(D290/O290)*(1-D290/O290))/L290,(O291*O291*(D291/O291)*(1-D291/O291))/L291))</f>
        <v>3.5231886114153531E-2</v>
      </c>
      <c r="E293" s="18">
        <f>SQRT(SUM((O287*O287*(E287/O287)*(1-E287/O287))/L287,(O288*O288*(E288/O288)*(1-E288/O288))/L288,(O289*O289*(E289/O289)*(1-E289/O289))/L289,(O290*O290*(E290/O290)*(1-E290/O290))/L290,(O291*O291*(E291/O291)*(1-E291/O291))/L291))</f>
        <v>0.36436125876768932</v>
      </c>
      <c r="F293" s="18">
        <f>SQRT(SUM((O287*O287*(F287/O287)*(1-F287/O287))/L287,(O288*O288*(F288/O288)*(1-F288/O288))/L288,(O289*O289*(F289/O289)*(1-F289/O289))/L289,(O290*O290*(F290/O290)*(1-F290/O290))/L290,(O291*O291*(F291/O291)*(1-F291/O291))/L291))</f>
        <v>0.37234948536648932</v>
      </c>
      <c r="G293" s="18">
        <f>SQRT(SUM((O287*O287*(G287/O287)*(1-G287/O287))/L287,(O288*O288*(G288/O288)*(1-G288/O288))/L288,(O289*O289*(G289/O289)*(1-G289/O289))/L289,(O290*O290*(G290/O290)*(1-G290/O290))/L290,(O291*O291*(G291/O291)*(1-G291/O291))/L291))</f>
        <v>0.15148266204698596</v>
      </c>
      <c r="H293" s="1"/>
      <c r="I293" s="56">
        <f>(C287+D288+E289+F290+G291)/H292</f>
        <v>0.97099639570465957</v>
      </c>
      <c r="J293" s="53">
        <f>SQRT(SUM(P287:P291))/100</f>
        <v>3.836813436181169E-3</v>
      </c>
      <c r="M293" s="1"/>
      <c r="N293" s="9"/>
      <c r="AM293" s="78"/>
      <c r="AN293" s="78"/>
      <c r="AO293" s="78"/>
    </row>
    <row r="294" spans="1:41" x14ac:dyDescent="0.3">
      <c r="B294" s="1" t="s">
        <v>30</v>
      </c>
      <c r="C294" s="17">
        <f>C287/C292*100</f>
        <v>100</v>
      </c>
      <c r="D294" s="17">
        <f>D288/D292*100</f>
        <v>100</v>
      </c>
      <c r="E294" s="17">
        <f>E289/E292*100</f>
        <v>97.381674927561903</v>
      </c>
      <c r="F294" s="17">
        <f>F290/F292*100</f>
        <v>97.053021747187572</v>
      </c>
      <c r="G294" s="17">
        <f>G291/G292*100</f>
        <v>94.105837373202405</v>
      </c>
      <c r="H294" s="1"/>
    </row>
    <row r="295" spans="1:41" x14ac:dyDescent="0.3">
      <c r="B295" s="16" t="s">
        <v>39</v>
      </c>
      <c r="C295" s="18">
        <f>SQRT((C298+C299)/(C292*C292))</f>
        <v>0</v>
      </c>
      <c r="D295" s="18">
        <f>SQRT((D298+D299)/(D292*D292))</f>
        <v>0</v>
      </c>
      <c r="E295" s="18">
        <f>SQRT((E298+E299)/(E292*E292))</f>
        <v>0.42809806576627818</v>
      </c>
      <c r="F295" s="18">
        <f>SQRT((F298+F299)/(F292*F292))</f>
        <v>0.83427724470503595</v>
      </c>
      <c r="G295" s="18">
        <f>SQRT((G298+G299)/(G292*G292))</f>
        <v>2.095532159418243</v>
      </c>
      <c r="H295" s="1"/>
      <c r="AM295" s="78"/>
      <c r="AN295" s="78"/>
      <c r="AO295" s="78"/>
    </row>
    <row r="296" spans="1:41" x14ac:dyDescent="0.3">
      <c r="B296" s="1" t="s">
        <v>37</v>
      </c>
      <c r="C296" s="18">
        <f>100-C294</f>
        <v>0</v>
      </c>
      <c r="D296" s="18">
        <f>100-D294</f>
        <v>0</v>
      </c>
      <c r="E296" s="18">
        <f>100-E294</f>
        <v>2.6183250724380969</v>
      </c>
      <c r="F296" s="18">
        <f>100-F294</f>
        <v>2.9469782528124284</v>
      </c>
      <c r="G296" s="18">
        <f>100-G294</f>
        <v>5.8941626267975948</v>
      </c>
    </row>
    <row r="297" spans="1:41" ht="15.6" x14ac:dyDescent="0.35">
      <c r="B297" s="1" t="s">
        <v>25</v>
      </c>
      <c r="C297" s="1">
        <f>C281</f>
        <v>450</v>
      </c>
      <c r="D297" s="1">
        <f>D281</f>
        <v>59</v>
      </c>
      <c r="E297" s="1">
        <f>E281</f>
        <v>784</v>
      </c>
      <c r="F297" s="1">
        <f>F281</f>
        <v>620</v>
      </c>
      <c r="G297" s="1">
        <f>G281</f>
        <v>980</v>
      </c>
      <c r="AM297" s="78"/>
      <c r="AN297" s="78"/>
      <c r="AO297" s="78"/>
    </row>
    <row r="298" spans="1:41" x14ac:dyDescent="0.3">
      <c r="B298" s="1" t="s">
        <v>34</v>
      </c>
      <c r="C298" s="18">
        <f>(O287*O287*(100-C294)*(100-C294)*(I287)*(100-I287))/(L287-1)</f>
        <v>0</v>
      </c>
      <c r="D298" s="18">
        <f>(O288*O288*(100-D294)*(100-D294)*(I288)*(100-I288))/((L288-1)*100)</f>
        <v>0</v>
      </c>
      <c r="E298" s="18">
        <f>(O289*O289*(100-E294)*(100-E294)*(I289)*(100-I289))/((L289-1)*100)</f>
        <v>41.861128498428911</v>
      </c>
      <c r="F298" s="18">
        <f>(O290*O290*(100-F294)*(100-F294)*(I290)*(100-I290))/((L290-1)*100)</f>
        <v>72.302068324408197</v>
      </c>
      <c r="G298" s="18">
        <f>(O291*O291*(100-G294)*(100-G294)*(I291)*(100-I291))/((L291-1)*100)</f>
        <v>5.6870624194084778</v>
      </c>
    </row>
    <row r="299" spans="1:41" x14ac:dyDescent="0.3">
      <c r="B299" s="1" t="s">
        <v>35</v>
      </c>
      <c r="C299" s="18">
        <f>C294*C294*(SUM((H288*C288*(1-C277/H277))/(H277-1),(H289*C289*(1-C278/H278))/(H278-1), (H290*C290*(1-C279/H279))/(H279-1),(H291*C291*(1-C280/H280))/(H280-1)))</f>
        <v>0</v>
      </c>
      <c r="D299" s="18">
        <f>D294*D294*(SUM((H287*D287*(1-D276/H276))/(H276-1),(H289*D289*(1-D278/H278))/(H278-1), (H290*D290*(1-D279/H279))/(H279-1),(H291*D291*(1-D280/H280))/(H280-1)))</f>
        <v>0</v>
      </c>
      <c r="E299" s="18">
        <f>E294*E294*(SUM((H287*E287*(1-E276/H276))/(H276-1),(H288*E288*(1-E277/H277))/(H277-1), (H290*E290*(1-E279/H279))/(H279-1),(H291*E291*(1-E280/H280))/(H280-1)))</f>
        <v>681.93854869832865</v>
      </c>
      <c r="F299" s="18">
        <f>F294*F294*(SUM((H287*F287*(1-F276/H276))/(H276-1),(H288*F288*(1-F277/H277))/(H277-1), (H289*F289*(1-F278/H278))/(H278-1),(H291*F291*(1-F280/H280))/(H280-1)))</f>
        <v>523.7155593392165</v>
      </c>
      <c r="G299" s="18">
        <f>G294*G294*(SUM((H287*G287*(1-G276/H276))/(H276-1),(H288*G288*(1-G277/H277))/(H277-1), (H289*G289*(1-G278/H278))/(H278-1),(H290*G290*(1-G279/H279))/(H279-1)))</f>
        <v>189.05610095056241</v>
      </c>
      <c r="AM299" s="78"/>
      <c r="AN299" s="78"/>
      <c r="AO299" s="78"/>
    </row>
    <row r="301" spans="1:41" x14ac:dyDescent="0.3">
      <c r="AM301" s="78"/>
      <c r="AN301" s="78"/>
      <c r="AO301" s="78"/>
    </row>
    <row r="302" spans="1:41" x14ac:dyDescent="0.3">
      <c r="A302" s="348" t="s">
        <v>388</v>
      </c>
      <c r="B302" s="348"/>
      <c r="C302" s="348"/>
      <c r="D302" s="348"/>
      <c r="E302" s="348"/>
      <c r="F302" s="348"/>
      <c r="G302" s="348"/>
      <c r="H302" s="348"/>
      <c r="I302" s="348"/>
      <c r="J302" s="348"/>
      <c r="K302" s="348"/>
      <c r="L302" s="348" t="s">
        <v>83</v>
      </c>
      <c r="M302" s="348"/>
      <c r="N302" s="348"/>
      <c r="O302" s="348"/>
      <c r="P302" s="348"/>
    </row>
    <row r="303" spans="1:41" x14ac:dyDescent="0.3">
      <c r="A303" t="s">
        <v>315</v>
      </c>
      <c r="B303" t="s">
        <v>21</v>
      </c>
      <c r="I303" s="1" t="s">
        <v>53</v>
      </c>
      <c r="O303" s="142"/>
      <c r="P303" s="142"/>
      <c r="AM303" s="78"/>
      <c r="AN303" s="78"/>
      <c r="AO303" s="78"/>
    </row>
    <row r="304" spans="1:41" ht="15.6" x14ac:dyDescent="0.35">
      <c r="B304" s="1" t="s">
        <v>0</v>
      </c>
      <c r="C304" s="13">
        <v>0</v>
      </c>
      <c r="D304" s="13">
        <v>1</v>
      </c>
      <c r="E304" s="13">
        <v>2</v>
      </c>
      <c r="F304" s="13">
        <v>3</v>
      </c>
      <c r="G304" s="13">
        <v>4</v>
      </c>
      <c r="H304" s="1" t="s">
        <v>20</v>
      </c>
      <c r="I304" s="1" t="s">
        <v>1</v>
      </c>
      <c r="J304" s="1" t="s">
        <v>13</v>
      </c>
      <c r="N304" s="1" t="s">
        <v>51</v>
      </c>
      <c r="O304" s="13"/>
      <c r="P304" s="13"/>
    </row>
    <row r="305" spans="1:41" x14ac:dyDescent="0.3">
      <c r="A305" t="s">
        <v>3</v>
      </c>
      <c r="B305" s="13">
        <v>0</v>
      </c>
      <c r="C305" s="26">
        <v>450</v>
      </c>
      <c r="D305" s="3">
        <v>0</v>
      </c>
      <c r="E305" s="3">
        <v>0</v>
      </c>
      <c r="F305" s="3">
        <v>0</v>
      </c>
      <c r="G305" s="4">
        <v>0</v>
      </c>
      <c r="H305" s="1">
        <f>SUM(C305:G305)</f>
        <v>450</v>
      </c>
      <c r="I305" s="10">
        <f>C305/H305</f>
        <v>1</v>
      </c>
      <c r="J305" s="11">
        <f>1-I305</f>
        <v>0</v>
      </c>
      <c r="K305">
        <f>H305-C310</f>
        <v>0</v>
      </c>
      <c r="N305" s="10">
        <f>2*(C311*I305)/(C311+I305)</f>
        <v>1</v>
      </c>
      <c r="O305" s="1"/>
      <c r="P305" s="1"/>
      <c r="AM305" s="78"/>
      <c r="AN305" s="78"/>
      <c r="AO305" s="78"/>
    </row>
    <row r="306" spans="1:41" x14ac:dyDescent="0.3">
      <c r="A306" t="s">
        <v>4</v>
      </c>
      <c r="B306" s="13">
        <v>1</v>
      </c>
      <c r="C306" s="5">
        <v>0</v>
      </c>
      <c r="D306" s="27">
        <v>61</v>
      </c>
      <c r="E306" s="1">
        <v>2</v>
      </c>
      <c r="F306" s="1">
        <v>0</v>
      </c>
      <c r="G306" s="6">
        <v>1</v>
      </c>
      <c r="H306" s="1">
        <f>SUM(C306:G306)</f>
        <v>64</v>
      </c>
      <c r="I306" s="10">
        <f>D306/H306</f>
        <v>0.953125</v>
      </c>
      <c r="J306" s="11">
        <f>1-I306</f>
        <v>4.6875E-2</v>
      </c>
      <c r="K306">
        <f>H306-D310</f>
        <v>2</v>
      </c>
      <c r="N306" s="10">
        <f>2*(D311*I306)/(D311+I306)</f>
        <v>0.96825396825396826</v>
      </c>
      <c r="O306" s="1"/>
      <c r="P306" s="1"/>
    </row>
    <row r="307" spans="1:41" x14ac:dyDescent="0.3">
      <c r="A307" t="s">
        <v>5</v>
      </c>
      <c r="B307" s="13">
        <v>2</v>
      </c>
      <c r="C307" s="5">
        <v>0</v>
      </c>
      <c r="D307" s="1">
        <v>0</v>
      </c>
      <c r="E307" s="27">
        <v>742</v>
      </c>
      <c r="F307" s="1">
        <v>5</v>
      </c>
      <c r="G307" s="6">
        <v>1</v>
      </c>
      <c r="H307" s="1">
        <f>SUM(C307:G307)</f>
        <v>748</v>
      </c>
      <c r="I307" s="10">
        <f>E307/H307</f>
        <v>0.99197860962566842</v>
      </c>
      <c r="J307" s="11">
        <f>1-I307</f>
        <v>8.0213903743315829E-3</v>
      </c>
      <c r="K307">
        <f>H307-E310</f>
        <v>-35</v>
      </c>
      <c r="N307" s="10">
        <f>2*(E311*I307)/(E311+I307)</f>
        <v>0.96930111038536904</v>
      </c>
      <c r="O307" s="1"/>
      <c r="P307" s="1"/>
      <c r="AM307" s="78"/>
      <c r="AN307" s="78"/>
      <c r="AO307" s="78"/>
    </row>
    <row r="308" spans="1:41" x14ac:dyDescent="0.3">
      <c r="A308" t="s">
        <v>6</v>
      </c>
      <c r="B308" s="13">
        <v>3</v>
      </c>
      <c r="C308" s="5">
        <v>0</v>
      </c>
      <c r="D308" s="1">
        <v>0</v>
      </c>
      <c r="E308" s="1">
        <v>31</v>
      </c>
      <c r="F308" s="27">
        <v>577</v>
      </c>
      <c r="G308" s="6">
        <v>10</v>
      </c>
      <c r="H308" s="1">
        <f>SUM(C308:G308)</f>
        <v>618</v>
      </c>
      <c r="I308" s="10">
        <f>F308/H308</f>
        <v>0.93365695792880254</v>
      </c>
      <c r="J308" s="11">
        <f>1-I308</f>
        <v>6.6343042071197456E-2</v>
      </c>
      <c r="K308">
        <f>H308-F310</f>
        <v>-8</v>
      </c>
      <c r="N308" s="10">
        <f>2*(F311*I308)/(F311+I308)</f>
        <v>0.92765273311897101</v>
      </c>
      <c r="O308" s="1"/>
      <c r="P308" s="1"/>
    </row>
    <row r="309" spans="1:41" x14ac:dyDescent="0.3">
      <c r="A309" t="s">
        <v>7</v>
      </c>
      <c r="B309" s="13">
        <v>4</v>
      </c>
      <c r="C309" s="7">
        <v>0</v>
      </c>
      <c r="D309" s="8">
        <v>1</v>
      </c>
      <c r="E309" s="8">
        <v>8</v>
      </c>
      <c r="F309" s="8">
        <v>44</v>
      </c>
      <c r="G309" s="28">
        <v>960</v>
      </c>
      <c r="H309" s="1">
        <f>SUM(C309:G309)</f>
        <v>1013</v>
      </c>
      <c r="I309" s="10">
        <f>G309/H309</f>
        <v>0.94768015794669302</v>
      </c>
      <c r="J309" s="11">
        <f>1-I309</f>
        <v>5.2319842053306975E-2</v>
      </c>
      <c r="K309">
        <f>H309-G310</f>
        <v>41</v>
      </c>
      <c r="N309" s="10">
        <f>2*(G311*I309)/(G311+I309)</f>
        <v>0.96725440806045337</v>
      </c>
      <c r="O309" s="1"/>
      <c r="P309" s="1"/>
      <c r="AM309" s="78"/>
      <c r="AN309" s="78"/>
      <c r="AO309" s="78"/>
    </row>
    <row r="310" spans="1:41" ht="15.6" x14ac:dyDescent="0.35">
      <c r="B310" s="1" t="s">
        <v>19</v>
      </c>
      <c r="C310" s="1">
        <f>SUM(C305:C309)</f>
        <v>450</v>
      </c>
      <c r="D310" s="1">
        <f>SUM(D305:D309)</f>
        <v>62</v>
      </c>
      <c r="E310" s="1">
        <f>SUM(E305:E309)</f>
        <v>783</v>
      </c>
      <c r="F310" s="1">
        <f>SUM(F305:F309)</f>
        <v>626</v>
      </c>
      <c r="G310" s="1">
        <f>SUM(G305:G309)</f>
        <v>972</v>
      </c>
      <c r="H310" s="1">
        <f>SUM(H304:H309)</f>
        <v>2893</v>
      </c>
      <c r="I310" s="13" t="s">
        <v>12</v>
      </c>
      <c r="N310" s="16" t="s">
        <v>36</v>
      </c>
      <c r="O310" s="1"/>
      <c r="P310" s="1"/>
    </row>
    <row r="311" spans="1:41" x14ac:dyDescent="0.3">
      <c r="A311" s="1" t="s">
        <v>316</v>
      </c>
      <c r="B311" s="1" t="s">
        <v>2</v>
      </c>
      <c r="C311" s="10">
        <f>C305/C310</f>
        <v>1</v>
      </c>
      <c r="D311" s="10">
        <f>D306/D310</f>
        <v>0.9838709677419355</v>
      </c>
      <c r="E311" s="10">
        <f>E307/E310</f>
        <v>0.94763729246487871</v>
      </c>
      <c r="F311" s="10">
        <f>F308/F310</f>
        <v>0.92172523961661346</v>
      </c>
      <c r="G311" s="10">
        <f>G309/G310</f>
        <v>0.98765432098765427</v>
      </c>
      <c r="H311" s="10"/>
      <c r="I311" s="14">
        <f>(C305+D306+E307+F308+G309)/H310</f>
        <v>0.96439681991012793</v>
      </c>
      <c r="AM311" s="78"/>
      <c r="AN311" s="78"/>
      <c r="AO311" s="78"/>
    </row>
    <row r="312" spans="1:41" x14ac:dyDescent="0.3">
      <c r="B312" s="1" t="s">
        <v>14</v>
      </c>
      <c r="C312" s="11">
        <f>1-C311</f>
        <v>0</v>
      </c>
      <c r="D312" s="11">
        <f>1-D311</f>
        <v>1.6129032258064502E-2</v>
      </c>
      <c r="E312" s="11">
        <f>1-E311</f>
        <v>5.2362707535121289E-2</v>
      </c>
      <c r="F312" s="11">
        <f>1-F311</f>
        <v>7.8274760383386544E-2</v>
      </c>
      <c r="G312" s="11">
        <f>1-G311</f>
        <v>1.2345679012345734E-2</v>
      </c>
      <c r="Q312" s="25"/>
    </row>
    <row r="313" spans="1:41" x14ac:dyDescent="0.3">
      <c r="C313" s="2"/>
      <c r="Q313" s="25"/>
      <c r="AM313" s="78"/>
      <c r="AN313" s="78"/>
      <c r="AO313" s="78"/>
    </row>
    <row r="314" spans="1:41" ht="15.6" x14ac:dyDescent="0.35">
      <c r="A314" t="s">
        <v>317</v>
      </c>
      <c r="B314" s="15" t="s">
        <v>23</v>
      </c>
      <c r="N314" s="12" t="s">
        <v>17</v>
      </c>
      <c r="O314" s="1" t="s">
        <v>27</v>
      </c>
      <c r="P314" s="1" t="s">
        <v>33</v>
      </c>
      <c r="Q314" s="25"/>
    </row>
    <row r="315" spans="1:41" ht="15.6" x14ac:dyDescent="0.35">
      <c r="B315" s="1" t="s">
        <v>0</v>
      </c>
      <c r="C315" s="13">
        <v>0</v>
      </c>
      <c r="D315" s="13">
        <v>1</v>
      </c>
      <c r="E315" s="13">
        <v>2</v>
      </c>
      <c r="F315" s="13">
        <v>3</v>
      </c>
      <c r="G315" s="13">
        <v>4</v>
      </c>
      <c r="H315" s="1" t="s">
        <v>28</v>
      </c>
      <c r="I315" s="1" t="s">
        <v>31</v>
      </c>
      <c r="J315" s="15" t="s">
        <v>39</v>
      </c>
      <c r="K315" s="1" t="s">
        <v>38</v>
      </c>
      <c r="L315" s="1" t="s">
        <v>26</v>
      </c>
      <c r="M315" t="s">
        <v>8</v>
      </c>
      <c r="N315" t="s">
        <v>9</v>
      </c>
      <c r="O315" s="1" t="s">
        <v>11</v>
      </c>
      <c r="AM315" s="78"/>
      <c r="AN315" s="78"/>
      <c r="AO315" s="78"/>
    </row>
    <row r="316" spans="1:41" x14ac:dyDescent="0.3">
      <c r="A316" t="s">
        <v>3</v>
      </c>
      <c r="B316" s="13">
        <v>0</v>
      </c>
      <c r="C316" s="29">
        <f>(C305/$L316)*$O316</f>
        <v>0.277133072145547</v>
      </c>
      <c r="D316" s="31">
        <f>(D305/$L316)*$O316</f>
        <v>0</v>
      </c>
      <c r="E316" s="31">
        <f>(E305/$L316)*$O316</f>
        <v>0</v>
      </c>
      <c r="F316" s="31">
        <f>(F305/$L316)*$O316</f>
        <v>0</v>
      </c>
      <c r="G316" s="32">
        <f>(G305/$L316)*$O316</f>
        <v>0</v>
      </c>
      <c r="H316" s="17">
        <f>SUM(C316:G316)</f>
        <v>0.277133072145547</v>
      </c>
      <c r="I316" s="17">
        <f>C316/H316*100</f>
        <v>100</v>
      </c>
      <c r="J316" s="17">
        <f>SQRT(I316*(100-I316)/(L316-1))</f>
        <v>0</v>
      </c>
      <c r="K316" s="18">
        <f>100-I316</f>
        <v>0</v>
      </c>
      <c r="L316" s="1">
        <f>H305</f>
        <v>450</v>
      </c>
      <c r="M316">
        <v>0</v>
      </c>
      <c r="N316" s="1">
        <v>267.54000000000002</v>
      </c>
      <c r="O316" s="17">
        <f>N316/N321*100</f>
        <v>0.277133072145547</v>
      </c>
      <c r="P316" s="52">
        <f>((O316*O316*(I316/100)*(K316/100))/(L316-1))</f>
        <v>0</v>
      </c>
    </row>
    <row r="317" spans="1:41" x14ac:dyDescent="0.3">
      <c r="A317" t="s">
        <v>4</v>
      </c>
      <c r="B317" s="13">
        <v>1</v>
      </c>
      <c r="C317" s="33">
        <f t="shared" ref="C317:G320" si="43">(C306/$L317)*$O317</f>
        <v>0</v>
      </c>
      <c r="D317" s="34">
        <f t="shared" si="43"/>
        <v>0.98993690571612591</v>
      </c>
      <c r="E317" s="19">
        <f t="shared" si="43"/>
        <v>3.2456947728397571E-2</v>
      </c>
      <c r="F317" s="18">
        <f t="shared" si="43"/>
        <v>0</v>
      </c>
      <c r="G317" s="20">
        <f t="shared" si="43"/>
        <v>1.6228473864198786E-2</v>
      </c>
      <c r="H317" s="17">
        <f>SUM(C317:G317)</f>
        <v>1.0386223273087221</v>
      </c>
      <c r="I317" s="17">
        <f>D317/H317*100</f>
        <v>95.312500000000028</v>
      </c>
      <c r="J317" s="17">
        <f>SQRT(I317*(100-I317)/(L317-1))</f>
        <v>2.6630253226448257</v>
      </c>
      <c r="K317" s="18">
        <f>100-I317</f>
        <v>4.6874999999999716</v>
      </c>
      <c r="L317" s="1">
        <f>H306</f>
        <v>64</v>
      </c>
      <c r="M317">
        <v>1</v>
      </c>
      <c r="N317" s="1">
        <v>1002.67</v>
      </c>
      <c r="O317" s="17">
        <f>N317/N321*100</f>
        <v>1.0386223273087223</v>
      </c>
      <c r="P317" s="52">
        <f>((O317*O317*(I317/100)*(K317/100))/(L317-1))</f>
        <v>7.6500786674380363E-4</v>
      </c>
      <c r="AM317" s="78"/>
      <c r="AN317" s="78"/>
      <c r="AO317" s="78"/>
    </row>
    <row r="318" spans="1:41" x14ac:dyDescent="0.3">
      <c r="A318" t="s">
        <v>5</v>
      </c>
      <c r="B318" s="13">
        <v>2</v>
      </c>
      <c r="C318" s="33">
        <f t="shared" si="43"/>
        <v>0</v>
      </c>
      <c r="D318" s="19">
        <f t="shared" si="43"/>
        <v>0</v>
      </c>
      <c r="E318" s="34">
        <f t="shared" si="43"/>
        <v>61.492978679863391</v>
      </c>
      <c r="F318" s="19">
        <f t="shared" si="43"/>
        <v>0.41437317169719268</v>
      </c>
      <c r="G318" s="20">
        <f t="shared" si="43"/>
        <v>8.2874634339438535E-2</v>
      </c>
      <c r="H318" s="17">
        <f>SUM(C318:G318)</f>
        <v>61.990226485900024</v>
      </c>
      <c r="I318" s="17">
        <f>E318/H318*100</f>
        <v>99.197860962566835</v>
      </c>
      <c r="J318" s="17">
        <f>SQRT(I318*(100-I318)/(L318-1))</f>
        <v>0.32637409385624488</v>
      </c>
      <c r="K318" s="18">
        <f>100-I318</f>
        <v>0.8021390374331645</v>
      </c>
      <c r="L318" s="1">
        <f>H307</f>
        <v>748</v>
      </c>
      <c r="M318">
        <v>2</v>
      </c>
      <c r="N318" s="1">
        <v>59844.41</v>
      </c>
      <c r="O318" s="17">
        <f>N318/N321*100</f>
        <v>61.990226485900024</v>
      </c>
      <c r="P318" s="52">
        <f>((O318*O318*(I318/100)*(K318/100))/(L318-1))</f>
        <v>4.0933398574591384E-2</v>
      </c>
    </row>
    <row r="319" spans="1:41" x14ac:dyDescent="0.3">
      <c r="A319" t="s">
        <v>6</v>
      </c>
      <c r="B319" s="13">
        <v>3</v>
      </c>
      <c r="C319" s="33">
        <f t="shared" si="43"/>
        <v>0</v>
      </c>
      <c r="D319" s="19">
        <f t="shared" si="43"/>
        <v>0</v>
      </c>
      <c r="E319" s="19">
        <f t="shared" si="43"/>
        <v>1.5168599334034589</v>
      </c>
      <c r="F319" s="34">
        <f t="shared" si="43"/>
        <v>28.233167147541799</v>
      </c>
      <c r="G319" s="20">
        <f t="shared" si="43"/>
        <v>0.48930965593659964</v>
      </c>
      <c r="H319" s="17">
        <f>SUM(C319:G319)</f>
        <v>30.239336736881857</v>
      </c>
      <c r="I319" s="17">
        <f>F319/H319*100</f>
        <v>93.36569579288026</v>
      </c>
      <c r="J319" s="17">
        <f>SQRT(I319*(100-I319)/(L319-1))</f>
        <v>1.001956294235498</v>
      </c>
      <c r="K319" s="18">
        <f>100-I319</f>
        <v>6.6343042071197402</v>
      </c>
      <c r="L319" s="1">
        <f>H308</f>
        <v>618</v>
      </c>
      <c r="M319">
        <v>3</v>
      </c>
      <c r="N319" s="1">
        <v>29192.59</v>
      </c>
      <c r="O319" s="17">
        <f>N319/N321*100</f>
        <v>30.23933673688186</v>
      </c>
      <c r="P319" s="52">
        <f>((O319*O319*(I319/100)*(K319/100))/(L319-1))</f>
        <v>9.1799872515645309E-2</v>
      </c>
      <c r="AM319" s="78"/>
      <c r="AN319" s="78"/>
      <c r="AO319" s="78"/>
    </row>
    <row r="320" spans="1:41" x14ac:dyDescent="0.3">
      <c r="A320" t="s">
        <v>7</v>
      </c>
      <c r="B320" s="13">
        <v>4</v>
      </c>
      <c r="C320" s="35">
        <f t="shared" si="43"/>
        <v>0</v>
      </c>
      <c r="D320" s="36">
        <f t="shared" si="43"/>
        <v>6.371847362057103E-3</v>
      </c>
      <c r="E320" s="21">
        <f t="shared" si="43"/>
        <v>5.0974778896456824E-2</v>
      </c>
      <c r="F320" s="21">
        <f t="shared" si="43"/>
        <v>0.28036128393051257</v>
      </c>
      <c r="G320" s="37">
        <f t="shared" si="43"/>
        <v>6.1169734675748195</v>
      </c>
      <c r="H320" s="17">
        <f>SUM(C320:G320)</f>
        <v>6.4546813777638459</v>
      </c>
      <c r="I320" s="17">
        <f>G320/H320*100</f>
        <v>94.768015794669296</v>
      </c>
      <c r="J320" s="17">
        <f>SQRT(I320*(100-I320)/(L320-1))</f>
        <v>0.69996101091886664</v>
      </c>
      <c r="K320" s="18">
        <f>100-I320</f>
        <v>5.2319842053307042</v>
      </c>
      <c r="L320" s="1">
        <f>H309</f>
        <v>1013</v>
      </c>
      <c r="M320">
        <v>4</v>
      </c>
      <c r="N320" s="1">
        <v>6231.25</v>
      </c>
      <c r="O320" s="17">
        <f>N320/N321*100</f>
        <v>6.4546813777638459</v>
      </c>
      <c r="P320" s="52">
        <f>((O320*O320*(I320/100)*(K320/100))/(L320-1))</f>
        <v>2.0412552632573288E-3</v>
      </c>
    </row>
    <row r="321" spans="1:41" x14ac:dyDescent="0.3">
      <c r="B321" t="s">
        <v>28</v>
      </c>
      <c r="C321" s="17">
        <f t="shared" ref="C321:H321" si="44">SUM(C316:C320)</f>
        <v>0.277133072145547</v>
      </c>
      <c r="D321" s="17">
        <f t="shared" si="44"/>
        <v>0.99630875307818301</v>
      </c>
      <c r="E321" s="17">
        <f t="shared" si="44"/>
        <v>63.09327033989171</v>
      </c>
      <c r="F321" s="17">
        <f t="shared" si="44"/>
        <v>28.927901603169506</v>
      </c>
      <c r="G321" s="17">
        <f t="shared" si="44"/>
        <v>6.7053862317150568</v>
      </c>
      <c r="H321" s="18">
        <f t="shared" si="44"/>
        <v>100</v>
      </c>
      <c r="I321" s="13" t="s">
        <v>24</v>
      </c>
      <c r="J321" s="12" t="s">
        <v>29</v>
      </c>
      <c r="N321" s="1">
        <f>SUM(N316:N320)</f>
        <v>96538.46</v>
      </c>
      <c r="O321" s="17">
        <f>SUM(O316:O320)</f>
        <v>100</v>
      </c>
      <c r="AM321" s="78"/>
      <c r="AN321" s="78"/>
      <c r="AO321" s="78"/>
    </row>
    <row r="322" spans="1:41" x14ac:dyDescent="0.3">
      <c r="B322" s="16" t="s">
        <v>39</v>
      </c>
      <c r="C322" s="18">
        <f>SQRT(SUM((O316*O316*(C316/O316)*(1-C316/O316))/L316,(O317*O317*(C317/O317)*(1-C317/O317))/L317,(O318*O318*(C318/O318)*(1-C318/O318))/L318,(O319*O319*(C319/O319)*(1-C319/O319))/L319,(O320*O320*(C320/O320)*(1-C320/O320))/L320))</f>
        <v>0</v>
      </c>
      <c r="D322" s="18">
        <f>SQRT(SUM((O316*O316*(D316/O316)*(1-D316/O316))/L316,(O317*O317*(D317/O317)*(1-D317/O317))/L317,(O318*O318*(D318/O318)*(1-D318/O318))/L318,(O319*O319*(D319/O319)*(1-D319/O319))/L319,(O320*O320*(D320/O320)*(1-D320/O320))/L320))</f>
        <v>2.8171172823025479E-2</v>
      </c>
      <c r="E322" s="18">
        <f>SQRT(SUM((O316*O316*(E316/O316)*(1-E316/O316))/L316,(O317*O317*(E317/O317)*(1-E317/O317))/L317,(O318*O318*(E318/O318)*(1-E318/O318))/L318,(O319*O319*(E319/O319)*(1-E319/O319))/L319,(O320*O320*(E320/O320)*(1-E320/O320))/L320))</f>
        <v>0.33497689463345898</v>
      </c>
      <c r="F322" s="18">
        <f>SQRT(SUM((O316*O316*(F316/O316)*(1-F316/O316))/L316,(O317*O317*(F317/O317)*(1-F317/O317))/L317,(O318*O318*(F318/O318)*(1-F318/O318))/L318,(O319*O319*(F319/O319)*(1-F319/O319))/L319,(O320*O320*(F320/O320)*(1-F320/O320))/L320))</f>
        <v>0.35703168961142073</v>
      </c>
      <c r="G322" s="18">
        <f>SQRT(SUM((O316*O316*(G316/O316)*(1-G316/O316))/L316,(O317*O317*(G317/O317)*(1-G317/O317))/L317,(O318*O318*(G318/O318)*(1-G318/O318))/L318,(O319*O319*(G319/O319)*(1-G319/O319))/L319,(O320*O320*(G320/O320)*(1-G320/O320))/L320))</f>
        <v>0.18086593930703124</v>
      </c>
      <c r="H322" s="1"/>
      <c r="I322" s="14">
        <f>(C316+D317+E318+F319+G320)/H321</f>
        <v>0.97110189272841685</v>
      </c>
      <c r="J322" s="53">
        <f>SQRT(SUM(P316:P320))/100</f>
        <v>3.6815694237680458E-3</v>
      </c>
      <c r="M322" s="1"/>
      <c r="N322" s="9"/>
    </row>
    <row r="323" spans="1:41" x14ac:dyDescent="0.3">
      <c r="B323" s="1" t="s">
        <v>30</v>
      </c>
      <c r="C323" s="17">
        <f>C316/C321*100</f>
        <v>100</v>
      </c>
      <c r="D323" s="17">
        <f>D317/D321*100</f>
        <v>99.360454543596973</v>
      </c>
      <c r="E323" s="17">
        <f>E318/E321*100</f>
        <v>97.46360958719157</v>
      </c>
      <c r="F323" s="17">
        <f>F319/F321*100</f>
        <v>97.598393187456139</v>
      </c>
      <c r="G323" s="17">
        <f>G320/G321*100</f>
        <v>91.224774475224564</v>
      </c>
      <c r="H323" s="1"/>
      <c r="AM323" s="78"/>
      <c r="AN323" s="78"/>
      <c r="AO323" s="78"/>
    </row>
    <row r="324" spans="1:41" x14ac:dyDescent="0.3">
      <c r="B324" s="16" t="s">
        <v>39</v>
      </c>
      <c r="C324" s="18">
        <f>SQRT((C327+C328)/(C321*C321))</f>
        <v>0</v>
      </c>
      <c r="D324" s="18">
        <f>SQRT((D327+D328)/(D321*D321))</f>
        <v>0.65979232889122941</v>
      </c>
      <c r="E324" s="18">
        <f>SQRT((E327+E328)/(E321*E321))</f>
        <v>0.42085905855545591</v>
      </c>
      <c r="F324" s="18">
        <f>SQRT((F327+F328)/(F321*F321))</f>
        <v>0.68669396176315245</v>
      </c>
      <c r="G324" s="18">
        <f>SQRT((G327+G328)/(G321*G321))</f>
        <v>2.4569024599313769</v>
      </c>
      <c r="H324" s="1"/>
    </row>
    <row r="325" spans="1:41" x14ac:dyDescent="0.3">
      <c r="B325" s="1" t="s">
        <v>37</v>
      </c>
      <c r="C325" s="18">
        <f>100-C323</f>
        <v>0</v>
      </c>
      <c r="D325" s="18">
        <f>100-D323</f>
        <v>0.6395454564030274</v>
      </c>
      <c r="E325" s="18">
        <f>100-E323</f>
        <v>2.53639041280843</v>
      </c>
      <c r="F325" s="18">
        <f>100-F323</f>
        <v>2.4016068125438608</v>
      </c>
      <c r="G325" s="18">
        <f>100-G323</f>
        <v>8.7752255247754363</v>
      </c>
      <c r="AM325" s="78"/>
      <c r="AN325" s="78"/>
      <c r="AO325" s="78"/>
    </row>
    <row r="326" spans="1:41" ht="15.6" x14ac:dyDescent="0.35">
      <c r="B326" s="1" t="s">
        <v>25</v>
      </c>
      <c r="C326" s="1">
        <f>C310</f>
        <v>450</v>
      </c>
      <c r="D326" s="1">
        <f>D310</f>
        <v>62</v>
      </c>
      <c r="E326" s="1">
        <f>E310</f>
        <v>783</v>
      </c>
      <c r="F326" s="1">
        <f>F310</f>
        <v>626</v>
      </c>
      <c r="G326" s="1">
        <f>G310</f>
        <v>972</v>
      </c>
    </row>
    <row r="327" spans="1:41" x14ac:dyDescent="0.3">
      <c r="B327" s="1" t="s">
        <v>34</v>
      </c>
      <c r="C327" s="18">
        <f>(O316*O316*(100-C323)*(100-C323)*(I316)*(100-I316))/(L316-1)</f>
        <v>0</v>
      </c>
      <c r="D327" s="18">
        <f>(O317*O317*(100-D323)*(100-D323)*(I317)*(100-I317))/((L317-1)*100)</f>
        <v>3.1290228660929523E-2</v>
      </c>
      <c r="E327" s="18">
        <f>(O318*O318*(100-E323)*(100-E323)*(I318)*(100-I318))/((L318-1)*100)</f>
        <v>26.333586400027571</v>
      </c>
      <c r="F327" s="18">
        <f>(O319*O319*(100-F323)*(100-F323)*(I319)*(100-I319))/((L319-1)*100)</f>
        <v>52.947552759937949</v>
      </c>
      <c r="G327" s="18">
        <f>(O320*O320*(100-G323)*(100-G323)*(I320)*(100-I320))/((L320-1)*100)</f>
        <v>15.718601036546664</v>
      </c>
      <c r="AM327" s="78"/>
    </row>
    <row r="328" spans="1:41" x14ac:dyDescent="0.3">
      <c r="B328" s="1" t="s">
        <v>35</v>
      </c>
      <c r="C328" s="18">
        <f>C323*C323*(SUM((H317*C317*(1-C306/H306))/(H306-1),(H318*C318*(1-C307/H307))/(H307-1), (H319*C319*(1-C308/H308))/(H308-1),(H320*C320*(1-C309/H309))/(H309-1)))</f>
        <v>0</v>
      </c>
      <c r="D328" s="18">
        <f>D323*D323*(SUM((H316*D316*(1-D305/H305))/(H305-1),(H318*D318*(1-D307/H307))/(H307-1), (H319*D319*(1-D308/H308))/(H308-1),(H320*D320*(1-D309/H309))/(H309-1)))</f>
        <v>0.40082782914650023</v>
      </c>
      <c r="E328" s="18">
        <f>E323*E323*(SUM((H316*E316*(1-E305/H305))/(H305-1),(H317*E317*(1-E306/H306))/(H306-1), (H319*E319*(1-E308/H308))/(H308-1),(H320*E320*(1-E309/H309))/(H309-1)))</f>
        <v>678.74810331277672</v>
      </c>
      <c r="F328" s="18">
        <f>F323*F323*(SUM((H316*F316*(1-F305/H305))/(H305-1),(H317*F317*(1-F306/H306))/(H306-1), (H318*F318*(1-F307/H307))/(H307-1),(H320*F320*(1-F309/H309))/(H309-1)))</f>
        <v>341.65539053652537</v>
      </c>
      <c r="G328" s="18">
        <f>G323*G323*(SUM((H316*G316*(1-G305/H305))/(H305-1),(H317*G317*(1-G306/H306))/(H306-1), (H318*G318*(1-G307/H307))/(H307-1),(H319*G319*(1-G308/H308))/(H308-1)))</f>
        <v>255.68988784474752</v>
      </c>
    </row>
    <row r="329" spans="1:41" x14ac:dyDescent="0.3">
      <c r="AM329" s="78"/>
    </row>
    <row r="331" spans="1:41" x14ac:dyDescent="0.3">
      <c r="A331" s="348" t="s">
        <v>388</v>
      </c>
      <c r="B331" s="348"/>
      <c r="C331" s="348"/>
      <c r="D331" s="348"/>
      <c r="E331" s="348"/>
      <c r="F331" s="348"/>
      <c r="G331" s="348"/>
      <c r="H331" s="348"/>
      <c r="I331" s="348"/>
      <c r="J331" s="348"/>
      <c r="K331" s="348"/>
      <c r="L331" s="348" t="s">
        <v>84</v>
      </c>
      <c r="M331" s="348"/>
      <c r="N331" s="348"/>
      <c r="O331" s="348"/>
      <c r="P331" s="348"/>
      <c r="AM331" s="78"/>
    </row>
    <row r="332" spans="1:41" x14ac:dyDescent="0.3">
      <c r="A332" t="s">
        <v>315</v>
      </c>
      <c r="B332" t="s">
        <v>21</v>
      </c>
      <c r="I332" s="1" t="s">
        <v>53</v>
      </c>
      <c r="O332" s="142"/>
      <c r="P332" s="142"/>
    </row>
    <row r="333" spans="1:41" ht="15.6" x14ac:dyDescent="0.35">
      <c r="B333" s="1" t="s">
        <v>0</v>
      </c>
      <c r="C333" s="13">
        <v>0</v>
      </c>
      <c r="D333" s="13">
        <v>1</v>
      </c>
      <c r="E333" s="13">
        <v>2</v>
      </c>
      <c r="F333" s="13">
        <v>3</v>
      </c>
      <c r="G333" s="13">
        <v>4</v>
      </c>
      <c r="H333" s="1" t="s">
        <v>20</v>
      </c>
      <c r="I333" s="1" t="s">
        <v>1</v>
      </c>
      <c r="J333" s="1" t="s">
        <v>13</v>
      </c>
      <c r="N333" s="1" t="s">
        <v>51</v>
      </c>
      <c r="O333" s="13"/>
      <c r="P333" s="13"/>
      <c r="AM333" s="78"/>
    </row>
    <row r="334" spans="1:41" x14ac:dyDescent="0.3">
      <c r="A334" t="s">
        <v>3</v>
      </c>
      <c r="B334" s="13">
        <v>0</v>
      </c>
      <c r="C334" s="26">
        <v>450</v>
      </c>
      <c r="D334" s="3">
        <v>0</v>
      </c>
      <c r="E334" s="3">
        <v>0</v>
      </c>
      <c r="F334" s="3">
        <v>0</v>
      </c>
      <c r="G334" s="4">
        <v>0</v>
      </c>
      <c r="H334" s="1">
        <f>SUM(C334:G334)</f>
        <v>450</v>
      </c>
      <c r="I334" s="10">
        <f>C334/H334</f>
        <v>1</v>
      </c>
      <c r="J334" s="11">
        <f>1-I334</f>
        <v>0</v>
      </c>
      <c r="K334">
        <f>H334-C339</f>
        <v>0</v>
      </c>
      <c r="N334" s="10">
        <f>2*(C340*I334)/(C340+I334)</f>
        <v>1</v>
      </c>
      <c r="O334" s="1"/>
      <c r="P334" s="1"/>
    </row>
    <row r="335" spans="1:41" x14ac:dyDescent="0.3">
      <c r="A335" t="s">
        <v>4</v>
      </c>
      <c r="B335" s="13">
        <v>1</v>
      </c>
      <c r="C335" s="5">
        <v>0</v>
      </c>
      <c r="D335" s="27">
        <v>61</v>
      </c>
      <c r="E335" s="1">
        <v>2</v>
      </c>
      <c r="F335" s="1">
        <v>1</v>
      </c>
      <c r="G335" s="6">
        <v>0</v>
      </c>
      <c r="H335" s="1">
        <f>SUM(C335:G335)</f>
        <v>64</v>
      </c>
      <c r="I335" s="10">
        <f>D335/H335</f>
        <v>0.953125</v>
      </c>
      <c r="J335" s="11">
        <f>1-I335</f>
        <v>4.6875E-2</v>
      </c>
      <c r="K335">
        <f>H335-D339</f>
        <v>3</v>
      </c>
      <c r="N335" s="10">
        <f>2*(D340*I335)/(D340+I335)</f>
        <v>0.97599999999999998</v>
      </c>
      <c r="O335" s="1"/>
      <c r="P335" s="1"/>
      <c r="AM335" s="78"/>
    </row>
    <row r="336" spans="1:41" x14ac:dyDescent="0.3">
      <c r="A336" t="s">
        <v>5</v>
      </c>
      <c r="B336" s="13">
        <v>2</v>
      </c>
      <c r="C336" s="5">
        <v>0</v>
      </c>
      <c r="D336" s="1">
        <v>0</v>
      </c>
      <c r="E336" s="27">
        <v>741</v>
      </c>
      <c r="F336" s="1">
        <v>4</v>
      </c>
      <c r="G336" s="6">
        <v>3</v>
      </c>
      <c r="H336" s="1">
        <f>SUM(C336:G336)</f>
        <v>748</v>
      </c>
      <c r="I336" s="10">
        <f>E336/H336</f>
        <v>0.99064171122994649</v>
      </c>
      <c r="J336" s="11">
        <f>1-I336</f>
        <v>9.3582887700535133E-3</v>
      </c>
      <c r="K336">
        <f>H336-E339</f>
        <v>-36</v>
      </c>
      <c r="N336" s="10">
        <f>2*(E340*I336)/(E340+I336)</f>
        <v>0.96736292428198423</v>
      </c>
      <c r="O336" s="1"/>
      <c r="P336" s="1"/>
    </row>
    <row r="337" spans="1:40" x14ac:dyDescent="0.3">
      <c r="A337" t="s">
        <v>6</v>
      </c>
      <c r="B337" s="13">
        <v>3</v>
      </c>
      <c r="C337" s="5">
        <v>0</v>
      </c>
      <c r="D337" s="1">
        <v>0</v>
      </c>
      <c r="E337" s="1">
        <v>34</v>
      </c>
      <c r="F337" s="27">
        <v>578</v>
      </c>
      <c r="G337" s="6">
        <v>6</v>
      </c>
      <c r="H337" s="1">
        <f>SUM(C337:G337)</f>
        <v>618</v>
      </c>
      <c r="I337" s="10">
        <f>F337/H337</f>
        <v>0.93527508090614886</v>
      </c>
      <c r="J337" s="11">
        <f>1-I337</f>
        <v>6.4724919093851141E-2</v>
      </c>
      <c r="K337">
        <f>H337-F339</f>
        <v>-5</v>
      </c>
      <c r="N337" s="10">
        <f>2*(F340*I337)/(F340+I337)</f>
        <v>0.93150684931506855</v>
      </c>
      <c r="O337" s="1"/>
      <c r="P337" s="1"/>
      <c r="AM337" s="78"/>
    </row>
    <row r="338" spans="1:40" x14ac:dyDescent="0.3">
      <c r="A338" t="s">
        <v>7</v>
      </c>
      <c r="B338" s="13">
        <v>4</v>
      </c>
      <c r="C338" s="7">
        <v>0</v>
      </c>
      <c r="D338" s="8">
        <v>0</v>
      </c>
      <c r="E338" s="8">
        <v>7</v>
      </c>
      <c r="F338" s="8">
        <v>40</v>
      </c>
      <c r="G338" s="28">
        <v>966</v>
      </c>
      <c r="H338" s="1">
        <f>SUM(C338:G338)</f>
        <v>1013</v>
      </c>
      <c r="I338" s="10">
        <f>G338/H338</f>
        <v>0.95360315893385983</v>
      </c>
      <c r="J338" s="11">
        <f>1-I338</f>
        <v>4.6396841066140171E-2</v>
      </c>
      <c r="K338">
        <f>H338-G339</f>
        <v>38</v>
      </c>
      <c r="N338" s="10">
        <f>2*(G340*I338)/(G340+I338)</f>
        <v>0.971830985915493</v>
      </c>
      <c r="O338" s="1"/>
      <c r="P338" s="1"/>
    </row>
    <row r="339" spans="1:40" ht="15.6" x14ac:dyDescent="0.35">
      <c r="B339" s="1" t="s">
        <v>19</v>
      </c>
      <c r="C339" s="1">
        <f>SUM(C334:C338)</f>
        <v>450</v>
      </c>
      <c r="D339" s="1">
        <f>SUM(D334:D338)</f>
        <v>61</v>
      </c>
      <c r="E339" s="1">
        <f>SUM(E334:E338)</f>
        <v>784</v>
      </c>
      <c r="F339" s="1">
        <f>SUM(F334:F338)</f>
        <v>623</v>
      </c>
      <c r="G339" s="1">
        <f>SUM(G334:G338)</f>
        <v>975</v>
      </c>
      <c r="H339" s="1">
        <f>SUM(H333:H338)</f>
        <v>2893</v>
      </c>
      <c r="I339" s="13" t="s">
        <v>12</v>
      </c>
      <c r="N339" s="16"/>
      <c r="O339" s="1"/>
      <c r="P339" s="1"/>
      <c r="AM339" s="78"/>
    </row>
    <row r="340" spans="1:40" x14ac:dyDescent="0.3">
      <c r="A340" s="1" t="s">
        <v>316</v>
      </c>
      <c r="B340" s="1" t="s">
        <v>2</v>
      </c>
      <c r="C340" s="10">
        <f>C334/C339</f>
        <v>1</v>
      </c>
      <c r="D340" s="10">
        <f>D335/D339</f>
        <v>1</v>
      </c>
      <c r="E340" s="10">
        <f>E336/E339</f>
        <v>0.94515306122448983</v>
      </c>
      <c r="F340" s="10">
        <f>F337/F339</f>
        <v>0.92776886035313</v>
      </c>
      <c r="G340" s="10">
        <f>G338/G339</f>
        <v>0.99076923076923074</v>
      </c>
      <c r="H340" s="10"/>
      <c r="I340" s="14">
        <f>(C334+D335+E336+F337+G338)/H339</f>
        <v>0.96647079156584859</v>
      </c>
    </row>
    <row r="341" spans="1:40" x14ac:dyDescent="0.3">
      <c r="B341" s="1" t="s">
        <v>14</v>
      </c>
      <c r="C341" s="11">
        <f>1-C340</f>
        <v>0</v>
      </c>
      <c r="D341" s="11">
        <f>1-D340</f>
        <v>0</v>
      </c>
      <c r="E341" s="11">
        <f>1-E340</f>
        <v>5.4846938775510168E-2</v>
      </c>
      <c r="F341" s="11">
        <f>1-F340</f>
        <v>7.2231139646870002E-2</v>
      </c>
      <c r="G341" s="11">
        <f>1-G340</f>
        <v>9.2307692307692646E-3</v>
      </c>
      <c r="AM341" s="78"/>
      <c r="AN341" s="78"/>
    </row>
    <row r="342" spans="1:40" x14ac:dyDescent="0.3">
      <c r="C342" s="2"/>
    </row>
    <row r="343" spans="1:40" ht="15.6" x14ac:dyDescent="0.35">
      <c r="A343" t="s">
        <v>317</v>
      </c>
      <c r="B343" s="15" t="s">
        <v>23</v>
      </c>
      <c r="N343" s="12" t="s">
        <v>17</v>
      </c>
      <c r="O343" s="1" t="s">
        <v>27</v>
      </c>
      <c r="P343" s="1" t="s">
        <v>33</v>
      </c>
      <c r="AM343" s="78"/>
      <c r="AN343" s="78"/>
    </row>
    <row r="344" spans="1:40" ht="15.6" x14ac:dyDescent="0.35">
      <c r="B344" s="1" t="s">
        <v>0</v>
      </c>
      <c r="C344" s="13">
        <v>0</v>
      </c>
      <c r="D344" s="13">
        <v>1</v>
      </c>
      <c r="E344" s="13">
        <v>2</v>
      </c>
      <c r="F344" s="13">
        <v>3</v>
      </c>
      <c r="G344" s="13">
        <v>4</v>
      </c>
      <c r="H344" s="1" t="s">
        <v>28</v>
      </c>
      <c r="I344" s="1" t="s">
        <v>31</v>
      </c>
      <c r="J344" s="15" t="s">
        <v>39</v>
      </c>
      <c r="K344" s="1" t="s">
        <v>38</v>
      </c>
      <c r="L344" s="1" t="s">
        <v>26</v>
      </c>
      <c r="M344" t="s">
        <v>8</v>
      </c>
      <c r="N344" t="s">
        <v>9</v>
      </c>
      <c r="O344" s="1" t="s">
        <v>11</v>
      </c>
    </row>
    <row r="345" spans="1:40" x14ac:dyDescent="0.3">
      <c r="A345" t="s">
        <v>3</v>
      </c>
      <c r="B345" s="13">
        <v>0</v>
      </c>
      <c r="C345" s="29">
        <f>(C334/$L345)*$O345</f>
        <v>0.28414582126128796</v>
      </c>
      <c r="D345" s="31">
        <f>(D334/$L345)*$O345</f>
        <v>0</v>
      </c>
      <c r="E345" s="31">
        <f>(E334/$L345)*$O345</f>
        <v>0</v>
      </c>
      <c r="F345" s="31">
        <f>(F334/$L345)*$O345</f>
        <v>0</v>
      </c>
      <c r="G345" s="32">
        <f>(G334/$L345)*$O345</f>
        <v>0</v>
      </c>
      <c r="H345" s="17">
        <f>SUM(C345:G345)</f>
        <v>0.28414582126128796</v>
      </c>
      <c r="I345" s="17">
        <f>C345/H345*100</f>
        <v>100</v>
      </c>
      <c r="J345" s="17">
        <f>SQRT(I345*(100-I345)/(L345-1))</f>
        <v>0</v>
      </c>
      <c r="K345" s="18">
        <f>100-I345</f>
        <v>0</v>
      </c>
      <c r="L345" s="1">
        <f>H334</f>
        <v>450</v>
      </c>
      <c r="M345">
        <v>0</v>
      </c>
      <c r="N345" s="1">
        <v>274.31</v>
      </c>
      <c r="O345" s="17">
        <f>N345/N350*100</f>
        <v>0.28414582126128796</v>
      </c>
      <c r="P345" s="52">
        <f>((O345*O345*(I345/100)*(K345/100))/(L345-1))</f>
        <v>0</v>
      </c>
      <c r="AM345" s="78"/>
      <c r="AN345" s="78"/>
    </row>
    <row r="346" spans="1:40" x14ac:dyDescent="0.3">
      <c r="A346" t="s">
        <v>4</v>
      </c>
      <c r="B346" s="13">
        <v>1</v>
      </c>
      <c r="C346" s="33">
        <f t="shared" ref="C346:G349" si="45">(C335/$L346)*$O346</f>
        <v>0</v>
      </c>
      <c r="D346" s="34">
        <f t="shared" si="45"/>
        <v>0.92879336639511345</v>
      </c>
      <c r="E346" s="19">
        <f t="shared" si="45"/>
        <v>3.0452241521151259E-2</v>
      </c>
      <c r="F346" s="18">
        <f t="shared" si="45"/>
        <v>1.5226120760575629E-2</v>
      </c>
      <c r="G346" s="20">
        <f t="shared" si="45"/>
        <v>0</v>
      </c>
      <c r="H346" s="17">
        <f>SUM(C346:G346)</f>
        <v>0.97447172867684029</v>
      </c>
      <c r="I346" s="17">
        <f>D346/H346*100</f>
        <v>95.3125</v>
      </c>
      <c r="J346" s="17">
        <f>SQRT(I346*(100-I346)/(L346-1))</f>
        <v>2.6630253226448333</v>
      </c>
      <c r="K346" s="18">
        <f>100-I346</f>
        <v>4.6875</v>
      </c>
      <c r="L346" s="1">
        <f>H335</f>
        <v>64</v>
      </c>
      <c r="M346">
        <v>1</v>
      </c>
      <c r="N346" s="1">
        <v>940.74</v>
      </c>
      <c r="O346" s="17">
        <f>N346/N350*100</f>
        <v>0.97447172867684029</v>
      </c>
      <c r="P346" s="52">
        <f>((O346*O346*(I346/100)*(K346/100))/(L346-1))</f>
        <v>6.7342475992159825E-4</v>
      </c>
    </row>
    <row r="347" spans="1:40" x14ac:dyDescent="0.3">
      <c r="A347" t="s">
        <v>5</v>
      </c>
      <c r="B347" s="13">
        <v>2</v>
      </c>
      <c r="C347" s="33">
        <f t="shared" si="45"/>
        <v>0</v>
      </c>
      <c r="D347" s="19">
        <f t="shared" si="45"/>
        <v>0</v>
      </c>
      <c r="E347" s="34">
        <f t="shared" si="45"/>
        <v>61.314845357894704</v>
      </c>
      <c r="F347" s="19">
        <f t="shared" si="45"/>
        <v>0.3309843204204842</v>
      </c>
      <c r="G347" s="20">
        <f t="shared" si="45"/>
        <v>0.24823824031536321</v>
      </c>
      <c r="H347" s="17">
        <f>SUM(C347:G347)</f>
        <v>61.894067918630554</v>
      </c>
      <c r="I347" s="17">
        <f>E347/H347*100</f>
        <v>99.064171122994651</v>
      </c>
      <c r="J347" s="17">
        <f>SQRT(I347*(100-I347)/(L347-1))</f>
        <v>0.35228668199337793</v>
      </c>
      <c r="K347" s="18">
        <f>100-I347</f>
        <v>0.93582887700534911</v>
      </c>
      <c r="L347" s="1">
        <f>H336</f>
        <v>748</v>
      </c>
      <c r="M347">
        <v>2</v>
      </c>
      <c r="N347" s="1">
        <v>59751.58</v>
      </c>
      <c r="O347" s="17">
        <f>N347/N350*100</f>
        <v>61.894067918630554</v>
      </c>
      <c r="P347" s="52">
        <f>((O347*O347*(I347/100)*(K347/100))/(L347-1))</f>
        <v>4.7543429369909393E-2</v>
      </c>
      <c r="AM347" s="78"/>
      <c r="AN347" s="78"/>
    </row>
    <row r="348" spans="1:40" x14ac:dyDescent="0.3">
      <c r="A348" t="s">
        <v>6</v>
      </c>
      <c r="B348" s="13">
        <v>3</v>
      </c>
      <c r="C348" s="33">
        <f t="shared" si="45"/>
        <v>0</v>
      </c>
      <c r="D348" s="19">
        <f t="shared" si="45"/>
        <v>0</v>
      </c>
      <c r="E348" s="19">
        <f t="shared" si="45"/>
        <v>1.6617340148003872</v>
      </c>
      <c r="F348" s="34">
        <f t="shared" si="45"/>
        <v>28.249478251606583</v>
      </c>
      <c r="G348" s="20">
        <f t="shared" si="45"/>
        <v>0.29324717908242126</v>
      </c>
      <c r="H348" s="17">
        <f>SUM(C348:G348)</f>
        <v>30.204459445489391</v>
      </c>
      <c r="I348" s="17">
        <f>F348/H348*100</f>
        <v>93.527508090614887</v>
      </c>
      <c r="J348" s="17">
        <f>SQRT(I348*(100-I348)/(L348-1))</f>
        <v>0.99051910773595953</v>
      </c>
      <c r="K348" s="18">
        <f>100-I348</f>
        <v>6.4724919093851128</v>
      </c>
      <c r="L348" s="1">
        <f>H337</f>
        <v>618</v>
      </c>
      <c r="M348">
        <v>3</v>
      </c>
      <c r="N348" s="1">
        <v>29158.92</v>
      </c>
      <c r="O348" s="17">
        <f>N348/N350*100</f>
        <v>30.204459445489391</v>
      </c>
      <c r="P348" s="52">
        <f>((O348*O348*(I348/100)*(K348/100))/(L348-1))</f>
        <v>8.950923617324516E-2</v>
      </c>
    </row>
    <row r="349" spans="1:40" x14ac:dyDescent="0.3">
      <c r="A349" t="s">
        <v>7</v>
      </c>
      <c r="B349" s="13">
        <v>4</v>
      </c>
      <c r="C349" s="35">
        <f t="shared" si="45"/>
        <v>0</v>
      </c>
      <c r="D349" s="36">
        <f t="shared" si="45"/>
        <v>0</v>
      </c>
      <c r="E349" s="21">
        <f t="shared" si="45"/>
        <v>4.5903243436913523E-2</v>
      </c>
      <c r="F349" s="21">
        <f t="shared" si="45"/>
        <v>0.2623042482109344</v>
      </c>
      <c r="G349" s="37">
        <f t="shared" si="45"/>
        <v>6.3346475942940659</v>
      </c>
      <c r="H349" s="17">
        <f>SUM(C349:G349)</f>
        <v>6.642855085941914</v>
      </c>
      <c r="I349" s="17">
        <f>G349/H349*100</f>
        <v>95.360315893385987</v>
      </c>
      <c r="J349" s="17">
        <f>SQRT(I349*(100-I349)/(L349-1))</f>
        <v>0.66120752966433827</v>
      </c>
      <c r="K349" s="18">
        <f>100-I349</f>
        <v>4.6396841066140126</v>
      </c>
      <c r="L349" s="1">
        <f>H338</f>
        <v>1013</v>
      </c>
      <c r="M349">
        <v>4</v>
      </c>
      <c r="N349" s="1">
        <v>6412.91</v>
      </c>
      <c r="O349" s="17">
        <f>N349/N350*100</f>
        <v>6.642855085941914</v>
      </c>
      <c r="P349" s="52">
        <f>((O349*O349*(I349/100)*(K349/100))/(L349-1))</f>
        <v>1.929235025207951E-3</v>
      </c>
      <c r="AM349" s="78"/>
      <c r="AN349" s="78"/>
    </row>
    <row r="350" spans="1:40" x14ac:dyDescent="0.3">
      <c r="B350" t="s">
        <v>28</v>
      </c>
      <c r="C350" s="17">
        <f t="shared" ref="C350:H350" si="46">SUM(C345:C349)</f>
        <v>0.28414582126128796</v>
      </c>
      <c r="D350" s="17">
        <f t="shared" si="46"/>
        <v>0.92879336639511345</v>
      </c>
      <c r="E350" s="17">
        <f t="shared" si="46"/>
        <v>63.052934857653156</v>
      </c>
      <c r="F350" s="17">
        <f t="shared" si="46"/>
        <v>28.857992940998578</v>
      </c>
      <c r="G350" s="17">
        <f t="shared" si="46"/>
        <v>6.8761330136918506</v>
      </c>
      <c r="H350" s="18">
        <f t="shared" si="46"/>
        <v>99.999999999999986</v>
      </c>
      <c r="I350" s="13" t="s">
        <v>24</v>
      </c>
      <c r="J350" s="12" t="s">
        <v>29</v>
      </c>
      <c r="N350" s="1">
        <f>SUM(N345:N349)</f>
        <v>96538.46</v>
      </c>
      <c r="O350" s="17">
        <f>SUM(O345:O349)</f>
        <v>99.999999999999986</v>
      </c>
    </row>
    <row r="351" spans="1:40" x14ac:dyDescent="0.3">
      <c r="B351" s="16" t="s">
        <v>39</v>
      </c>
      <c r="C351" s="18">
        <f>SQRT(SUM((O345*O345*(C345/O345)*(1-C345/O345))/L345,(O346*O346*(C346/O346)*(1-C346/O346))/L346,(O347*O347*(C347/O347)*(1-C347/O347))/L347,(O348*O348*(C348/O348)*(1-C348/O348))/L348,(O349*O349*(C349/O349)*(1-C349/O349))/L349))</f>
        <v>0</v>
      </c>
      <c r="D351" s="18">
        <f>SQRT(SUM((O345*O345*(D345/O345)*(1-D345/O345))/L345,(O346*O346*(D346/O346)*(1-D346/O346))/L346,(O347*O347*(D347/O347)*(1-D347/O347))/L347,(O348*O348*(D348/O348)*(1-D348/O348))/L348,(O349*O349*(D349/O349)*(1-D349/O349))/L349))</f>
        <v>2.5746892978528949E-2</v>
      </c>
      <c r="E351" s="18">
        <f>SQRT(SUM((O345*O345*(E345/O345)*(1-E345/O345))/L345,(O346*O346*(E346/O346)*(1-E346/O346))/L346,(O347*O347*(E347/O347)*(1-E347/O347))/L347,(O348*O348*(E348/O348)*(1-E348/O348))/L348,(O349*O349*(E349/O349)*(1-E349/O349))/L349))</f>
        <v>0.35351977673178914</v>
      </c>
      <c r="F351" s="18">
        <f>SQRT(SUM((O345*O345*(F345/O345)*(1-F345/O345))/L345,(O346*O346*(F346/O346)*(1-F346/O346))/L346,(O347*O347*(F347/O347)*(1-F347/O347))/L347,(O348*O348*(F348/O348)*(1-F348/O348))/L348,(O349*O349*(F349/O349)*(1-F349/O349))/L349))</f>
        <v>0.34421791936739188</v>
      </c>
      <c r="G351" s="18">
        <f>SQRT(SUM((O345*O345*(G345/O345)*(1-G345/O345))/L345,(O346*O346*(G346/O346)*(1-G346/O346))/L346,(O347*O347*(G347/O347)*(1-G347/O347))/L347,(O348*O348*(G348/O348)*(1-G348/O348))/L348,(O349*O349*(G349/O349)*(1-G349/O349))/L349))</f>
        <v>0.19125600252657873</v>
      </c>
      <c r="H351" s="1"/>
      <c r="I351" s="14">
        <f>(C345+D346+E347+F348+G349)/H350</f>
        <v>0.97111910391451772</v>
      </c>
      <c r="J351" s="53">
        <f>SQRT(SUM(P345:P349))/100</f>
        <v>3.7370486393447449E-3</v>
      </c>
      <c r="M351" s="1"/>
      <c r="N351" s="9"/>
      <c r="AM351" s="78"/>
      <c r="AN351" s="78"/>
    </row>
    <row r="352" spans="1:40" x14ac:dyDescent="0.3">
      <c r="B352" s="1" t="s">
        <v>30</v>
      </c>
      <c r="C352" s="17">
        <f>C345/C350*100</f>
        <v>100</v>
      </c>
      <c r="D352" s="17">
        <f>D346/D350*100</f>
        <v>100</v>
      </c>
      <c r="E352" s="17">
        <f>E347/E350*100</f>
        <v>97.243443935350001</v>
      </c>
      <c r="F352" s="17">
        <f>F348/F350*100</f>
        <v>97.891347847245896</v>
      </c>
      <c r="G352" s="17">
        <f>G349/G350*100</f>
        <v>92.125146236706428</v>
      </c>
      <c r="H352" s="1"/>
    </row>
    <row r="353" spans="1:40" x14ac:dyDescent="0.3">
      <c r="B353" s="16" t="s">
        <v>39</v>
      </c>
      <c r="C353" s="18">
        <f>SQRT((C356+C357)/(C350*C350))</f>
        <v>0</v>
      </c>
      <c r="D353" s="18">
        <f>SQRT((D356+D357)/(D350*D350))</f>
        <v>0</v>
      </c>
      <c r="E353" s="18">
        <f>SQRT((E356+E357)/(E350*E350))</f>
        <v>0.44014589390665249</v>
      </c>
      <c r="F353" s="18">
        <f>SQRT((F356+F357)/(F350*F350))</f>
        <v>0.61916764986619444</v>
      </c>
      <c r="G353" s="18">
        <f>SQRT((G356+G357)/(G350*G350))</f>
        <v>2.5459926594562035</v>
      </c>
      <c r="H353" s="1"/>
      <c r="AM353" s="78"/>
      <c r="AN353" s="78"/>
    </row>
    <row r="354" spans="1:40" x14ac:dyDescent="0.3">
      <c r="B354" s="1" t="s">
        <v>37</v>
      </c>
      <c r="C354" s="18">
        <f>100-C352</f>
        <v>0</v>
      </c>
      <c r="D354" s="18">
        <f>100-D352</f>
        <v>0</v>
      </c>
      <c r="E354" s="18">
        <f>100-E352</f>
        <v>2.7565560646499989</v>
      </c>
      <c r="F354" s="18">
        <f>100-F352</f>
        <v>2.1086521527541038</v>
      </c>
      <c r="G354" s="18">
        <f>100-G352</f>
        <v>7.8748537632935722</v>
      </c>
    </row>
    <row r="355" spans="1:40" ht="15.6" x14ac:dyDescent="0.35">
      <c r="B355" s="1" t="s">
        <v>25</v>
      </c>
      <c r="C355" s="1">
        <f>C339</f>
        <v>450</v>
      </c>
      <c r="D355" s="1">
        <f>D339</f>
        <v>61</v>
      </c>
      <c r="E355" s="1">
        <f>E339</f>
        <v>784</v>
      </c>
      <c r="F355" s="1">
        <f>F339</f>
        <v>623</v>
      </c>
      <c r="G355" s="1">
        <f>G339</f>
        <v>975</v>
      </c>
      <c r="AM355" s="78"/>
      <c r="AN355" s="78"/>
    </row>
    <row r="356" spans="1:40" x14ac:dyDescent="0.3">
      <c r="B356" s="1" t="s">
        <v>34</v>
      </c>
      <c r="C356" s="18">
        <f>(O345*O345*(100-C352)*(100-C352)*(I345)*(100-I345))/(L345-1)</f>
        <v>0</v>
      </c>
      <c r="D356" s="18">
        <f>(O346*O346*(100-D352)*(100-D352)*(I346)*(100-I346))/((L346-1)*100)</f>
        <v>0</v>
      </c>
      <c r="E356" s="18">
        <f>(O347*O347*(100-E352)*(100-E352)*(I347)*(100-I347))/((L347-1)*100)</f>
        <v>36.126356600232064</v>
      </c>
      <c r="F356" s="18">
        <f>(O348*O348*(100-F352)*(100-F352)*(I348)*(100-I348))/((L348-1)*100)</f>
        <v>39.799511201676147</v>
      </c>
      <c r="G356" s="18">
        <f>(O349*O349*(100-G352)*(100-G352)*(I349)*(100-I349))/((L349-1)*100)</f>
        <v>11.963827243304667</v>
      </c>
    </row>
    <row r="357" spans="1:40" x14ac:dyDescent="0.3">
      <c r="B357" s="1" t="s">
        <v>35</v>
      </c>
      <c r="C357" s="18">
        <f>C352*C352*(SUM((H346*C346*(1-C335/H335))/(H335-1),(H347*C347*(1-C336/H336))/(H336-1), (H348*C348*(1-C337/H337))/(H337-1),(H349*C349*(1-C338/H338))/(H338-1)))</f>
        <v>0</v>
      </c>
      <c r="D357" s="18">
        <f>D352*D352*(SUM((H345*D345*(1-D334/H334))/(H334-1),(H347*D347*(1-D336/H336))/(H336-1), (H348*D348*(1-D337/H337))/(H337-1),(H349*D349*(1-D338/H338))/(H338-1)))</f>
        <v>0</v>
      </c>
      <c r="E357" s="18">
        <f>E352*E352*(SUM((H345*E345*(1-E334/H334))/(H334-1),(H346*E346*(1-E335/H335))/(H335-1), (H348*E348*(1-E337/H337))/(H337-1),(H349*E349*(1-E338/H338))/(H338-1)))</f>
        <v>734.07436548970441</v>
      </c>
      <c r="F357" s="18">
        <f>F352*F352*(SUM((H345*F345*(1-F334/H334))/(H334-1),(H346*F346*(1-F335/H335))/(H335-1), (H347*F347*(1-F336/H336))/(H336-1),(H349*F349*(1-F338/H338))/(H338-1)))</f>
        <v>279.46361387461059</v>
      </c>
      <c r="G357" s="18">
        <f>G352*G352*(SUM((H345*G345*(1-G334/H334))/(H334-1),(H346*G346*(1-G335/H335))/(H335-1), (H347*G347*(1-G336/H336))/(H336-1),(H348*G348*(1-G337/H337))/(H337-1)))</f>
        <v>294.51666234873625</v>
      </c>
      <c r="AM357" s="78"/>
      <c r="AN357" s="78"/>
    </row>
    <row r="359" spans="1:40" x14ac:dyDescent="0.3">
      <c r="AM359" s="78"/>
      <c r="AN359" s="78"/>
    </row>
    <row r="360" spans="1:40" x14ac:dyDescent="0.3">
      <c r="A360" s="348" t="s">
        <v>388</v>
      </c>
      <c r="B360" s="348"/>
      <c r="C360" s="348"/>
      <c r="D360" s="348"/>
      <c r="E360" s="348"/>
      <c r="F360" s="348"/>
      <c r="G360" s="348"/>
      <c r="H360" s="348"/>
      <c r="I360" s="348"/>
      <c r="J360" s="348"/>
      <c r="K360" s="348"/>
      <c r="L360" s="348" t="s">
        <v>85</v>
      </c>
      <c r="M360" s="348"/>
      <c r="N360" s="348"/>
      <c r="O360" s="348"/>
      <c r="P360" s="348"/>
    </row>
    <row r="361" spans="1:40" x14ac:dyDescent="0.3">
      <c r="A361" t="s">
        <v>15</v>
      </c>
      <c r="B361" t="s">
        <v>21</v>
      </c>
      <c r="I361" s="1" t="s">
        <v>53</v>
      </c>
      <c r="O361" s="142"/>
      <c r="P361" s="142"/>
      <c r="AM361" s="78"/>
      <c r="AN361" s="78"/>
    </row>
    <row r="362" spans="1:40" ht="15.6" x14ac:dyDescent="0.35">
      <c r="B362" s="1" t="s">
        <v>0</v>
      </c>
      <c r="C362" s="13">
        <v>0</v>
      </c>
      <c r="D362" s="13">
        <v>1</v>
      </c>
      <c r="E362" s="13">
        <v>2</v>
      </c>
      <c r="F362" s="13">
        <v>3</v>
      </c>
      <c r="G362" s="13">
        <v>4</v>
      </c>
      <c r="H362" s="1" t="s">
        <v>20</v>
      </c>
      <c r="I362" s="1" t="s">
        <v>1</v>
      </c>
      <c r="J362" s="1" t="s">
        <v>13</v>
      </c>
      <c r="N362" s="1" t="s">
        <v>51</v>
      </c>
      <c r="O362" s="13"/>
      <c r="P362" s="13"/>
    </row>
    <row r="363" spans="1:40" x14ac:dyDescent="0.3">
      <c r="A363" t="s">
        <v>3</v>
      </c>
      <c r="B363" s="13">
        <v>0</v>
      </c>
      <c r="C363" s="26">
        <v>450</v>
      </c>
      <c r="D363" s="3">
        <v>0</v>
      </c>
      <c r="E363" s="3">
        <v>0</v>
      </c>
      <c r="F363" s="3">
        <v>0</v>
      </c>
      <c r="G363" s="4">
        <v>0</v>
      </c>
      <c r="H363" s="1">
        <f>SUM(C363:G363)</f>
        <v>450</v>
      </c>
      <c r="I363" s="10">
        <f>C363/H363</f>
        <v>1</v>
      </c>
      <c r="J363" s="11">
        <f>1-I363</f>
        <v>0</v>
      </c>
      <c r="K363">
        <f>H363-C368</f>
        <v>0</v>
      </c>
      <c r="N363" s="10">
        <f>2*(C369*I363)/(C369+I363)</f>
        <v>1</v>
      </c>
      <c r="O363" s="1"/>
      <c r="P363" s="1"/>
      <c r="AM363" s="78"/>
      <c r="AN363" s="78"/>
    </row>
    <row r="364" spans="1:40" x14ac:dyDescent="0.3">
      <c r="A364" t="s">
        <v>4</v>
      </c>
      <c r="B364" s="13">
        <v>1</v>
      </c>
      <c r="C364" s="5">
        <v>0</v>
      </c>
      <c r="D364" s="27">
        <v>60</v>
      </c>
      <c r="E364" s="1">
        <v>3</v>
      </c>
      <c r="F364" s="1">
        <v>0</v>
      </c>
      <c r="G364" s="6">
        <v>1</v>
      </c>
      <c r="H364" s="1">
        <f>SUM(C364:G364)</f>
        <v>64</v>
      </c>
      <c r="I364" s="10">
        <f>D364/H364</f>
        <v>0.9375</v>
      </c>
      <c r="J364" s="11">
        <f>1-I364</f>
        <v>6.25E-2</v>
      </c>
      <c r="K364">
        <f>H364-D368</f>
        <v>3</v>
      </c>
      <c r="N364" s="10">
        <f>2*(D369*I364)/(D369+I364)</f>
        <v>0.96</v>
      </c>
      <c r="O364" s="1"/>
      <c r="P364" s="1"/>
    </row>
    <row r="365" spans="1:40" x14ac:dyDescent="0.3">
      <c r="A365" t="s">
        <v>5</v>
      </c>
      <c r="B365" s="13">
        <v>2</v>
      </c>
      <c r="C365" s="5">
        <v>0</v>
      </c>
      <c r="D365" s="1">
        <v>0</v>
      </c>
      <c r="E365" s="27">
        <v>740</v>
      </c>
      <c r="F365" s="1">
        <v>6</v>
      </c>
      <c r="G365" s="6">
        <v>2</v>
      </c>
      <c r="H365" s="1">
        <f>SUM(C365:G365)</f>
        <v>748</v>
      </c>
      <c r="I365" s="10">
        <f>E365/H365</f>
        <v>0.98930481283422456</v>
      </c>
      <c r="J365" s="11">
        <f>1-I365</f>
        <v>1.0695187165775444E-2</v>
      </c>
      <c r="K365">
        <f>H365-E368</f>
        <v>-40</v>
      </c>
      <c r="N365" s="10">
        <f>2*(E369*I365)/(E369+I365)</f>
        <v>0.96354166666666674</v>
      </c>
      <c r="O365" s="1"/>
      <c r="P365" s="1"/>
      <c r="AM365" s="78"/>
      <c r="AN365" s="78"/>
    </row>
    <row r="366" spans="1:40" x14ac:dyDescent="0.3">
      <c r="A366" t="s">
        <v>6</v>
      </c>
      <c r="B366" s="13">
        <v>3</v>
      </c>
      <c r="C366" s="5">
        <v>0</v>
      </c>
      <c r="D366" s="1">
        <v>0</v>
      </c>
      <c r="E366" s="1">
        <v>35</v>
      </c>
      <c r="F366" s="27">
        <v>578</v>
      </c>
      <c r="G366" s="6">
        <v>5</v>
      </c>
      <c r="H366" s="1">
        <f>SUM(C366:G366)</f>
        <v>618</v>
      </c>
      <c r="I366" s="10">
        <f>F366/H366</f>
        <v>0.93527508090614886</v>
      </c>
      <c r="J366" s="11">
        <f>1-I366</f>
        <v>6.4724919093851141E-2</v>
      </c>
      <c r="K366">
        <f>H366-F368</f>
        <v>-1</v>
      </c>
      <c r="N366" s="10">
        <f>2*(F369*I366)/(F369+I366)</f>
        <v>0.93451899757477774</v>
      </c>
      <c r="O366" s="1"/>
      <c r="P366" s="1"/>
    </row>
    <row r="367" spans="1:40" x14ac:dyDescent="0.3">
      <c r="A367" t="s">
        <v>7</v>
      </c>
      <c r="B367" s="13">
        <v>4</v>
      </c>
      <c r="C367" s="7">
        <v>0</v>
      </c>
      <c r="D367" s="8">
        <v>1</v>
      </c>
      <c r="E367" s="8">
        <v>10</v>
      </c>
      <c r="F367" s="8">
        <v>35</v>
      </c>
      <c r="G367" s="28">
        <v>967</v>
      </c>
      <c r="H367" s="1">
        <f>SUM(C367:G367)</f>
        <v>1013</v>
      </c>
      <c r="I367" s="10">
        <f>G367/H367</f>
        <v>0.95459032576505431</v>
      </c>
      <c r="J367" s="11">
        <f>1-I367</f>
        <v>4.5409674234945685E-2</v>
      </c>
      <c r="K367">
        <f>H367-G368</f>
        <v>38</v>
      </c>
      <c r="N367" s="10">
        <f>2*(G369*I367)/(G369+I367)</f>
        <v>0.97283702213279688</v>
      </c>
      <c r="O367" s="1"/>
      <c r="P367" s="1"/>
      <c r="AM367" s="78"/>
      <c r="AN367" s="78"/>
    </row>
    <row r="368" spans="1:40" ht="15.6" x14ac:dyDescent="0.35">
      <c r="B368" s="1" t="s">
        <v>19</v>
      </c>
      <c r="C368" s="1">
        <f>SUM(C363:C367)</f>
        <v>450</v>
      </c>
      <c r="D368" s="1">
        <f>SUM(D363:D367)</f>
        <v>61</v>
      </c>
      <c r="E368" s="1">
        <f>SUM(E363:E367)</f>
        <v>788</v>
      </c>
      <c r="F368" s="1">
        <f>SUM(F363:F367)</f>
        <v>619</v>
      </c>
      <c r="G368" s="1">
        <f>SUM(G363:G367)</f>
        <v>975</v>
      </c>
      <c r="H368" s="1">
        <f>SUM(H362:H367)</f>
        <v>2893</v>
      </c>
      <c r="I368" s="13" t="s">
        <v>12</v>
      </c>
      <c r="N368" s="16"/>
      <c r="O368" s="1"/>
      <c r="P368" s="1"/>
    </row>
    <row r="369" spans="1:40" x14ac:dyDescent="0.3">
      <c r="A369" s="1" t="s">
        <v>52</v>
      </c>
      <c r="B369" s="1" t="s">
        <v>2</v>
      </c>
      <c r="C369" s="10">
        <f>C363/C368</f>
        <v>1</v>
      </c>
      <c r="D369" s="10">
        <f>D364/D368</f>
        <v>0.98360655737704916</v>
      </c>
      <c r="E369" s="10">
        <f>E365/E368</f>
        <v>0.93908629441624369</v>
      </c>
      <c r="F369" s="10">
        <f>F366/F368</f>
        <v>0.93376413570274641</v>
      </c>
      <c r="G369" s="10">
        <f>G367/G368</f>
        <v>0.9917948717948718</v>
      </c>
      <c r="H369" s="10"/>
      <c r="I369" s="14">
        <f>(C363+D364+E365+F366+G367)/H368</f>
        <v>0.9661251296232285</v>
      </c>
      <c r="AM369" s="78"/>
      <c r="AN369" s="78"/>
    </row>
    <row r="370" spans="1:40" x14ac:dyDescent="0.3">
      <c r="B370" s="1" t="s">
        <v>14</v>
      </c>
      <c r="C370" s="11">
        <f>1-C369</f>
        <v>0</v>
      </c>
      <c r="D370" s="11">
        <f>1-D369</f>
        <v>1.6393442622950838E-2</v>
      </c>
      <c r="E370" s="11">
        <f>1-E369</f>
        <v>6.0913705583756306E-2</v>
      </c>
      <c r="F370" s="11">
        <f>1-F369</f>
        <v>6.6235864297253588E-2</v>
      </c>
      <c r="G370" s="11">
        <f>1-G369</f>
        <v>8.2051282051281982E-3</v>
      </c>
    </row>
    <row r="371" spans="1:40" x14ac:dyDescent="0.3">
      <c r="C371" s="2"/>
      <c r="AM371" s="78"/>
      <c r="AN371" s="78"/>
    </row>
    <row r="372" spans="1:40" ht="15.6" x14ac:dyDescent="0.35">
      <c r="A372" t="s">
        <v>22</v>
      </c>
      <c r="B372" s="15" t="s">
        <v>23</v>
      </c>
      <c r="N372" s="12" t="s">
        <v>17</v>
      </c>
      <c r="O372" s="1" t="s">
        <v>27</v>
      </c>
      <c r="P372" s="1" t="s">
        <v>33</v>
      </c>
    </row>
    <row r="373" spans="1:40" ht="15.6" x14ac:dyDescent="0.35">
      <c r="B373" s="1" t="s">
        <v>0</v>
      </c>
      <c r="C373" s="13">
        <v>0</v>
      </c>
      <c r="D373" s="13">
        <v>1</v>
      </c>
      <c r="E373" s="13">
        <v>2</v>
      </c>
      <c r="F373" s="13">
        <v>3</v>
      </c>
      <c r="G373" s="13">
        <v>4</v>
      </c>
      <c r="H373" s="1" t="s">
        <v>28</v>
      </c>
      <c r="I373" s="1" t="s">
        <v>31</v>
      </c>
      <c r="J373" s="15" t="s">
        <v>39</v>
      </c>
      <c r="K373" s="1" t="s">
        <v>38</v>
      </c>
      <c r="L373" s="1" t="s">
        <v>26</v>
      </c>
      <c r="M373" t="s">
        <v>8</v>
      </c>
      <c r="N373" t="s">
        <v>9</v>
      </c>
      <c r="O373" s="1" t="s">
        <v>11</v>
      </c>
      <c r="AM373" s="78"/>
      <c r="AN373" s="78"/>
    </row>
    <row r="374" spans="1:40" x14ac:dyDescent="0.3">
      <c r="A374" t="s">
        <v>3</v>
      </c>
      <c r="B374" s="13">
        <v>0</v>
      </c>
      <c r="C374" s="29">
        <f>(C363/$L374)*$O374</f>
        <v>0.27032749434784853</v>
      </c>
      <c r="D374" s="31">
        <f>(D363/$L374)*$O374</f>
        <v>0</v>
      </c>
      <c r="E374" s="31">
        <f>(E363/$L374)*$O374</f>
        <v>0</v>
      </c>
      <c r="F374" s="31">
        <f>(F363/$L374)*$O374</f>
        <v>0</v>
      </c>
      <c r="G374" s="32">
        <f>(G363/$L374)*$O374</f>
        <v>0</v>
      </c>
      <c r="H374" s="17">
        <f>SUM(C374:G374)</f>
        <v>0.27032749434784853</v>
      </c>
      <c r="I374" s="17">
        <f>C374/H374*100</f>
        <v>100</v>
      </c>
      <c r="J374" s="17">
        <f>SQRT(I374*(100-I374)/(L374-1))</f>
        <v>0</v>
      </c>
      <c r="K374" s="18">
        <f>100-I374</f>
        <v>0</v>
      </c>
      <c r="L374" s="1">
        <f>H363</f>
        <v>450</v>
      </c>
      <c r="M374">
        <v>0</v>
      </c>
      <c r="N374" s="1">
        <v>260.97000000000003</v>
      </c>
      <c r="O374" s="17">
        <f>N374/N379*100</f>
        <v>0.27032749434784853</v>
      </c>
      <c r="P374" s="52">
        <f>((O374*O374*(I374/100)*(K374/100))/(L374-1))</f>
        <v>0</v>
      </c>
    </row>
    <row r="375" spans="1:40" x14ac:dyDescent="0.3">
      <c r="A375" t="s">
        <v>4</v>
      </c>
      <c r="B375" s="13">
        <v>1</v>
      </c>
      <c r="C375" s="33">
        <f t="shared" ref="C375:G378" si="47">(C364/$L375)*$O375</f>
        <v>0</v>
      </c>
      <c r="D375" s="34">
        <f t="shared" si="47"/>
        <v>0.91813148873516315</v>
      </c>
      <c r="E375" s="19">
        <f t="shared" si="47"/>
        <v>4.5906574436758163E-2</v>
      </c>
      <c r="F375" s="18">
        <f t="shared" si="47"/>
        <v>0</v>
      </c>
      <c r="G375" s="20">
        <f t="shared" si="47"/>
        <v>1.5302191478919386E-2</v>
      </c>
      <c r="H375" s="17">
        <f>SUM(C375:G375)</f>
        <v>0.97934025465084074</v>
      </c>
      <c r="I375" s="17">
        <f>D375/H375*100</f>
        <v>93.75</v>
      </c>
      <c r="J375" s="17">
        <f>SQRT(I375*(100-I375)/(L375-1))</f>
        <v>3.0496877279641659</v>
      </c>
      <c r="K375" s="18">
        <f>100-I375</f>
        <v>6.25</v>
      </c>
      <c r="L375" s="1">
        <f>H364</f>
        <v>64</v>
      </c>
      <c r="M375">
        <v>1</v>
      </c>
      <c r="N375" s="1">
        <v>945.44</v>
      </c>
      <c r="O375" s="17">
        <f>N375/N379*100</f>
        <v>0.97934025465084074</v>
      </c>
      <c r="P375" s="52">
        <f>((O375*O375*(I375/100)*(K375/100))/(L375-1))</f>
        <v>8.9202691069528793E-4</v>
      </c>
      <c r="AM375" s="78"/>
      <c r="AN375" s="78"/>
    </row>
    <row r="376" spans="1:40" x14ac:dyDescent="0.3">
      <c r="A376" t="s">
        <v>5</v>
      </c>
      <c r="B376" s="13">
        <v>2</v>
      </c>
      <c r="C376" s="33">
        <f t="shared" si="47"/>
        <v>0</v>
      </c>
      <c r="D376" s="19">
        <f t="shared" si="47"/>
        <v>0</v>
      </c>
      <c r="E376" s="34">
        <f t="shared" si="47"/>
        <v>60.976386445881438</v>
      </c>
      <c r="F376" s="19">
        <f t="shared" si="47"/>
        <v>0.4944031333449847</v>
      </c>
      <c r="G376" s="20">
        <f t="shared" si="47"/>
        <v>0.16480104444832822</v>
      </c>
      <c r="H376" s="17">
        <f>SUM(C376:G376)</f>
        <v>61.635590623674744</v>
      </c>
      <c r="I376" s="17">
        <f>E376/H376*100</f>
        <v>98.930481283422466</v>
      </c>
      <c r="J376" s="17">
        <f>SQRT(I376*(100-I376)/(L376-1))</f>
        <v>0.37635609574809858</v>
      </c>
      <c r="K376" s="18">
        <f>100-I376</f>
        <v>1.0695187165775337</v>
      </c>
      <c r="L376" s="1">
        <f>H365</f>
        <v>748</v>
      </c>
      <c r="M376">
        <v>2</v>
      </c>
      <c r="N376" s="1">
        <v>59502.05</v>
      </c>
      <c r="O376" s="17">
        <f>N376/N379*100</f>
        <v>61.635590623674751</v>
      </c>
      <c r="P376" s="52">
        <f>((O376*O376*(I376/100)*(K376/100))/(L376-1))</f>
        <v>5.3809757284958966E-2</v>
      </c>
    </row>
    <row r="377" spans="1:40" x14ac:dyDescent="0.3">
      <c r="A377" t="s">
        <v>6</v>
      </c>
      <c r="B377" s="13">
        <v>3</v>
      </c>
      <c r="C377" s="33">
        <f t="shared" si="47"/>
        <v>0</v>
      </c>
      <c r="D377" s="19">
        <f t="shared" si="47"/>
        <v>0</v>
      </c>
      <c r="E377" s="19">
        <f t="shared" si="47"/>
        <v>1.7360099104643978</v>
      </c>
      <c r="F377" s="34">
        <f t="shared" si="47"/>
        <v>28.668963664240625</v>
      </c>
      <c r="G377" s="20">
        <f t="shared" si="47"/>
        <v>0.24800141578062823</v>
      </c>
      <c r="H377" s="17">
        <f>SUM(C377:G377)</f>
        <v>30.652974990485649</v>
      </c>
      <c r="I377" s="17">
        <f>F377/H377*100</f>
        <v>93.527508090614887</v>
      </c>
      <c r="J377" s="17">
        <f>SQRT(I377*(100-I377)/(L377-1))</f>
        <v>0.99051910773595953</v>
      </c>
      <c r="K377" s="18">
        <f>100-I377</f>
        <v>6.4724919093851128</v>
      </c>
      <c r="L377" s="1">
        <f>H366</f>
        <v>618</v>
      </c>
      <c r="M377">
        <v>3</v>
      </c>
      <c r="N377" s="1">
        <v>29591.91</v>
      </c>
      <c r="O377" s="17">
        <f>N377/N379*100</f>
        <v>30.652974990485653</v>
      </c>
      <c r="P377" s="52">
        <f>((O377*O377*(I377/100)*(K377/100))/(L377-1))</f>
        <v>9.218727491338817E-2</v>
      </c>
      <c r="AM377" s="78"/>
      <c r="AN377" s="78"/>
    </row>
    <row r="378" spans="1:40" x14ac:dyDescent="0.3">
      <c r="A378" t="s">
        <v>7</v>
      </c>
      <c r="B378" s="13">
        <v>4</v>
      </c>
      <c r="C378" s="35">
        <f t="shared" si="47"/>
        <v>0</v>
      </c>
      <c r="D378" s="36">
        <f t="shared" si="47"/>
        <v>6.3788416948083928E-3</v>
      </c>
      <c r="E378" s="21">
        <f t="shared" si="47"/>
        <v>6.3788416948083931E-2</v>
      </c>
      <c r="F378" s="21">
        <f t="shared" si="47"/>
        <v>0.22325945931829377</v>
      </c>
      <c r="G378" s="37">
        <f t="shared" si="47"/>
        <v>6.1683399188797168</v>
      </c>
      <c r="H378" s="17">
        <f>SUM(C378:G378)</f>
        <v>6.4617666368409026</v>
      </c>
      <c r="I378" s="17">
        <f>G378/H378*100</f>
        <v>95.459032576505436</v>
      </c>
      <c r="J378" s="17">
        <f>SQRT(I378*(100-I378)/(L378-1))</f>
        <v>0.65447407996955353</v>
      </c>
      <c r="K378" s="18">
        <f>100-I378</f>
        <v>4.5409674234945641</v>
      </c>
      <c r="L378" s="1">
        <f>H367</f>
        <v>1013</v>
      </c>
      <c r="M378">
        <v>4</v>
      </c>
      <c r="N378" s="1">
        <v>6238.09</v>
      </c>
      <c r="O378" s="17">
        <f>N378/N379*100</f>
        <v>6.4617666368409026</v>
      </c>
      <c r="P378" s="52">
        <f>((O378*O378*(I378/100)*(K378/100))/(L378-1))</f>
        <v>1.7884938119227683E-3</v>
      </c>
    </row>
    <row r="379" spans="1:40" x14ac:dyDescent="0.3">
      <c r="B379" t="s">
        <v>28</v>
      </c>
      <c r="C379" s="17">
        <f t="shared" ref="C379:H379" si="48">SUM(C374:C378)</f>
        <v>0.27032749434784853</v>
      </c>
      <c r="D379" s="17">
        <f t="shared" si="48"/>
        <v>0.92451033042997155</v>
      </c>
      <c r="E379" s="17">
        <f t="shared" si="48"/>
        <v>62.822091347730677</v>
      </c>
      <c r="F379" s="17">
        <f t="shared" si="48"/>
        <v>29.386626256903902</v>
      </c>
      <c r="G379" s="17">
        <f t="shared" si="48"/>
        <v>6.5964445705875923</v>
      </c>
      <c r="H379" s="18">
        <f t="shared" si="48"/>
        <v>99.999999999999986</v>
      </c>
      <c r="I379" s="13" t="s">
        <v>24</v>
      </c>
      <c r="J379" s="12" t="s">
        <v>29</v>
      </c>
      <c r="N379" s="1">
        <f>SUM(N374:N378)</f>
        <v>96538.46</v>
      </c>
      <c r="O379" s="17">
        <f>SUM(O374:O378)</f>
        <v>100</v>
      </c>
      <c r="AM379" s="78"/>
      <c r="AN379" s="78"/>
    </row>
    <row r="380" spans="1:40" x14ac:dyDescent="0.3">
      <c r="B380" s="16" t="s">
        <v>39</v>
      </c>
      <c r="C380" s="18">
        <f>SQRT(SUM((O374*O374*(C374/O374)*(1-C374/O374))/L374,(O375*O375*(C375/O375)*(1-C375/O375))/L375,(O376*O376*(C376/O376)*(1-C376/O376))/L376,(O377*O377*(C377/O377)*(1-C377/O377))/L377,(O378*O378*(C378/O378)*(1-C378/O378))/L378))</f>
        <v>0</v>
      </c>
      <c r="D380" s="18">
        <f>SQRT(SUM((O374*O374*(D374/O374)*(1-D374/O374))/L374,(O375*O375*(D375/O375)*(1-D375/O375))/L375,(O376*O376*(D376/O376)*(1-D376/O376))/L376,(O377*O377*(D377/O377)*(1-D377/O377))/L377,(O378*O378*(D378/O378)*(1-D378/O378))/L378))</f>
        <v>3.0310698509577641E-2</v>
      </c>
      <c r="E380" s="18">
        <f>SQRT(SUM((O374*O374*(E374/O374)*(1-E374/O374))/L374,(O375*O375*(E375/O375)*(1-E375/O375))/L375,(O376*O376*(E376/O376)*(1-E376/O376))/L376,(O377*O377*(E377/O377)*(1-E377/O377))/L377,(O378*O378*(E378/O378)*(1-E378/O378))/L378))</f>
        <v>0.3688363297306777</v>
      </c>
      <c r="F380" s="18">
        <f>SQRT(SUM((O374*O374*(F374/O374)*(1-F374/O374))/L374,(O375*O375*(F375/O375)*(1-F375/O375))/L375,(O376*O376*(F376/O376)*(1-F376/O376))/L376,(O377*O377*(F377/O377)*(1-F377/O377))/L377,(O378*O378*(F378/O378)*(1-F378/O378))/L378))</f>
        <v>0.36582144351534801</v>
      </c>
      <c r="G380" s="18">
        <f>SQRT(SUM((O374*O374*(G374/O374)*(1-G374/O374))/L374,(O375*O375*(G375/O375)*(1-G375/O375))/L375,(O376*O376*(G376/O376)*(1-G376/O376))/L376,(O377*O377*(G377/O377)*(1-G377/O377))/L377,(O378*O378*(G378/O378)*(1-G378/O378))/L378))</f>
        <v>0.1666194097109589</v>
      </c>
      <c r="H380" s="1"/>
      <c r="I380" s="14">
        <f>(C374+D375+E376+F377+G378)/H379</f>
        <v>0.97002149012084815</v>
      </c>
      <c r="J380" s="53">
        <f>SQRT(SUM(P374:P378))/100</f>
        <v>3.8558728314217676E-3</v>
      </c>
      <c r="M380" s="1"/>
      <c r="N380" s="9"/>
    </row>
    <row r="381" spans="1:40" x14ac:dyDescent="0.3">
      <c r="B381" s="1" t="s">
        <v>30</v>
      </c>
      <c r="C381" s="17">
        <f>C374/C379*100</f>
        <v>100</v>
      </c>
      <c r="D381" s="17">
        <f>D375/D379*100</f>
        <v>99.310030241431519</v>
      </c>
      <c r="E381" s="17">
        <f>E376/E379*100</f>
        <v>97.062012960324807</v>
      </c>
      <c r="F381" s="17">
        <f>F377/F379*100</f>
        <v>97.557859870032971</v>
      </c>
      <c r="G381" s="17">
        <f>G378/G379*100</f>
        <v>93.510069748532104</v>
      </c>
      <c r="H381" s="1"/>
      <c r="AM381" s="78"/>
      <c r="AN381" s="78"/>
    </row>
    <row r="382" spans="1:40" x14ac:dyDescent="0.3">
      <c r="B382" s="16" t="s">
        <v>39</v>
      </c>
      <c r="C382" s="18">
        <f>SQRT((C385+C386)/(C379*C379))</f>
        <v>0</v>
      </c>
      <c r="D382" s="18">
        <f>SQRT((D385+D386)/(D379*D379))</f>
        <v>0.72055213793268291</v>
      </c>
      <c r="E382" s="18">
        <f>SQRT((E385+E386)/(E379*E379))</f>
        <v>0.45670016940185848</v>
      </c>
      <c r="F382" s="18">
        <f>SQRT((F385+F386)/(F379*F379))</f>
        <v>0.72444410945021942</v>
      </c>
      <c r="G382" s="18">
        <f>SQRT((G385+G386)/(G379*G379))</f>
        <v>2.3240732141121927</v>
      </c>
      <c r="H382" s="1"/>
    </row>
    <row r="383" spans="1:40" x14ac:dyDescent="0.3">
      <c r="B383" s="1" t="s">
        <v>37</v>
      </c>
      <c r="C383" s="18">
        <f>100-C381</f>
        <v>0</v>
      </c>
      <c r="D383" s="18">
        <f>100-D381</f>
        <v>0.68996975856848053</v>
      </c>
      <c r="E383" s="18">
        <f>100-E381</f>
        <v>2.9379870396751926</v>
      </c>
      <c r="F383" s="18">
        <f>100-F381</f>
        <v>2.4421401299670293</v>
      </c>
      <c r="G383" s="18">
        <f>100-G381</f>
        <v>6.4899302514678965</v>
      </c>
      <c r="AM383" s="78"/>
      <c r="AN383" s="78"/>
    </row>
    <row r="384" spans="1:40" ht="15.6" x14ac:dyDescent="0.35">
      <c r="B384" s="1" t="s">
        <v>25</v>
      </c>
      <c r="C384" s="1">
        <f>C368</f>
        <v>450</v>
      </c>
      <c r="D384" s="1">
        <f>D368</f>
        <v>61</v>
      </c>
      <c r="E384" s="1">
        <f>E368</f>
        <v>788</v>
      </c>
      <c r="F384" s="1">
        <f>F368</f>
        <v>619</v>
      </c>
      <c r="G384" s="1">
        <f>G368</f>
        <v>975</v>
      </c>
    </row>
    <row r="385" spans="1:40" x14ac:dyDescent="0.3">
      <c r="B385" s="1" t="s">
        <v>34</v>
      </c>
      <c r="C385" s="18">
        <f>(O374*O374*(100-C381)*(100-C381)*(I374)*(100-I374))/(L374-1)</f>
        <v>0</v>
      </c>
      <c r="D385" s="18">
        <f>(O375*O375*(100-D381)*(100-D381)*(I375)*(100-I375))/((L375-1)*100)</f>
        <v>4.2465678588221263E-2</v>
      </c>
      <c r="E385" s="18">
        <f>(O376*O376*(100-E381)*(100-E381)*(I376)*(100-I376))/((L376-1)*100)</f>
        <v>46.447333269567402</v>
      </c>
      <c r="F385" s="18">
        <f>(O377*O377*(100-F381)*(100-F381)*(I377)*(100-I377))/((L377-1)*100)</f>
        <v>54.980937077462364</v>
      </c>
      <c r="G385" s="18">
        <f>(O378*O378*(100-G381)*(100-G381)*(I378)*(100-I378))/((L378-1)*100)</f>
        <v>7.5329919028530572</v>
      </c>
      <c r="AM385" s="78"/>
      <c r="AN385" s="78"/>
    </row>
    <row r="386" spans="1:40" x14ac:dyDescent="0.3">
      <c r="B386" s="1" t="s">
        <v>35</v>
      </c>
      <c r="C386" s="18">
        <f>C381*C381*(SUM((H375*C375*(1-C364/H364))/(H364-1),(H376*C376*(1-C365/H365))/(H365-1), (H377*C377*(1-C366/H366))/(H366-1),(H378*C378*(1-C367/H367))/(H367-1)))</f>
        <v>0</v>
      </c>
      <c r="D386" s="18">
        <f>D381*D381*(SUM((H374*D374*(1-D363/H363))/(H363-1),(H376*D376*(1-D365/H365))/(H365-1), (H377*D377*(1-D366/H366))/(H366-1),(H378*D378*(1-D367/H367))/(H367-1)))</f>
        <v>0.40130066265869813</v>
      </c>
      <c r="E386" s="18">
        <f>E381*E381*(SUM((H374*E374*(1-E363/H363))/(H363-1),(H375*E375*(1-E364/H364))/(H364-1), (H377*E377*(1-E366/H366))/(H366-1),(H378*E378*(1-E367/H367))/(H367-1)))</f>
        <v>776.71810053787726</v>
      </c>
      <c r="F386" s="18">
        <f>F381*F381*(SUM((H374*F374*(1-F363/H363))/(H363-1),(H375*F375*(1-F364/H364))/(H364-1), (H376*F376*(1-F365/H365))/(H365-1),(H378*F378*(1-F367/H367))/(H367-1)))</f>
        <v>398.23923370828101</v>
      </c>
      <c r="G386" s="18">
        <f>G381*G381*(SUM((H374*G374*(1-G363/H363))/(H363-1),(H375*G375*(1-G364/H364))/(H364-1), (H376*G376*(1-G365/H365))/(H365-1),(H377*G377*(1-G366/H366))/(H366-1)))</f>
        <v>227.49492181708678</v>
      </c>
    </row>
    <row r="387" spans="1:40" x14ac:dyDescent="0.3">
      <c r="AM387" s="78"/>
      <c r="AN387" s="78"/>
    </row>
    <row r="389" spans="1:40" x14ac:dyDescent="0.3">
      <c r="A389" s="348" t="s">
        <v>388</v>
      </c>
      <c r="B389" s="348"/>
      <c r="C389" s="348"/>
      <c r="D389" s="348"/>
      <c r="E389" s="348"/>
      <c r="F389" s="348"/>
      <c r="G389" s="348"/>
      <c r="H389" s="348"/>
      <c r="I389" s="348"/>
      <c r="J389" s="348"/>
      <c r="K389" s="348"/>
      <c r="L389" s="348" t="s">
        <v>86</v>
      </c>
      <c r="M389" s="348"/>
      <c r="N389" s="348"/>
      <c r="O389" s="348"/>
      <c r="P389" s="348"/>
      <c r="AM389" s="78"/>
      <c r="AN389" s="78"/>
    </row>
    <row r="390" spans="1:40" x14ac:dyDescent="0.3">
      <c r="A390" t="s">
        <v>15</v>
      </c>
      <c r="B390" t="s">
        <v>21</v>
      </c>
      <c r="I390" s="1" t="s">
        <v>53</v>
      </c>
      <c r="O390" s="142"/>
      <c r="P390" s="142"/>
    </row>
    <row r="391" spans="1:40" ht="15.6" x14ac:dyDescent="0.35">
      <c r="B391" s="1" t="s">
        <v>0</v>
      </c>
      <c r="C391" s="13">
        <v>0</v>
      </c>
      <c r="D391" s="13">
        <v>1</v>
      </c>
      <c r="E391" s="13">
        <v>2</v>
      </c>
      <c r="F391" s="13">
        <v>3</v>
      </c>
      <c r="G391" s="13">
        <v>4</v>
      </c>
      <c r="H391" s="1" t="s">
        <v>20</v>
      </c>
      <c r="I391" s="1" t="s">
        <v>1</v>
      </c>
      <c r="J391" s="1" t="s">
        <v>13</v>
      </c>
      <c r="N391" s="1" t="s">
        <v>51</v>
      </c>
      <c r="O391" s="13"/>
      <c r="P391" s="13"/>
      <c r="AM391" s="78"/>
      <c r="AN391" s="78"/>
    </row>
    <row r="392" spans="1:40" x14ac:dyDescent="0.3">
      <c r="A392" t="s">
        <v>3</v>
      </c>
      <c r="B392" s="13">
        <v>0</v>
      </c>
      <c r="C392" s="26">
        <v>450</v>
      </c>
      <c r="D392" s="3">
        <v>0</v>
      </c>
      <c r="E392" s="3">
        <v>0</v>
      </c>
      <c r="F392" s="3">
        <v>0</v>
      </c>
      <c r="G392" s="4">
        <v>0</v>
      </c>
      <c r="H392" s="1">
        <f>SUM(C392:G392)</f>
        <v>450</v>
      </c>
      <c r="I392" s="10">
        <f>C392/H392</f>
        <v>1</v>
      </c>
      <c r="J392" s="11">
        <f>1-I392</f>
        <v>0</v>
      </c>
      <c r="K392">
        <f>H392-C397</f>
        <v>0</v>
      </c>
      <c r="N392" s="10">
        <f>2*(C398*I392)/(C398+I392)</f>
        <v>1</v>
      </c>
      <c r="O392" s="1"/>
      <c r="P392" s="1"/>
    </row>
    <row r="393" spans="1:40" x14ac:dyDescent="0.3">
      <c r="A393" t="s">
        <v>4</v>
      </c>
      <c r="B393" s="13">
        <v>1</v>
      </c>
      <c r="C393" s="5">
        <v>0</v>
      </c>
      <c r="D393" s="27">
        <v>59</v>
      </c>
      <c r="E393" s="1">
        <v>4</v>
      </c>
      <c r="F393" s="1">
        <v>0</v>
      </c>
      <c r="G393" s="6">
        <v>1</v>
      </c>
      <c r="H393" s="1">
        <f>SUM(C393:G393)</f>
        <v>64</v>
      </c>
      <c r="I393" s="10">
        <f>D393/H393</f>
        <v>0.921875</v>
      </c>
      <c r="J393" s="11">
        <f>1-I393</f>
        <v>7.8125E-2</v>
      </c>
      <c r="K393">
        <f>H393-D397</f>
        <v>5</v>
      </c>
      <c r="N393" s="10">
        <f>2*(D398*I393)/(D398+I393)</f>
        <v>0.95934959349593496</v>
      </c>
      <c r="O393" s="1"/>
      <c r="P393" s="1"/>
      <c r="AM393" s="78"/>
      <c r="AN393" s="78"/>
    </row>
    <row r="394" spans="1:40" x14ac:dyDescent="0.3">
      <c r="A394" t="s">
        <v>5</v>
      </c>
      <c r="B394" s="13">
        <v>2</v>
      </c>
      <c r="C394" s="5">
        <v>0</v>
      </c>
      <c r="D394" s="1">
        <v>0</v>
      </c>
      <c r="E394" s="27">
        <v>739</v>
      </c>
      <c r="F394" s="1">
        <v>8</v>
      </c>
      <c r="G394" s="6">
        <v>1</v>
      </c>
      <c r="H394" s="1">
        <f>SUM(C394:G394)</f>
        <v>748</v>
      </c>
      <c r="I394" s="10">
        <f>E394/H394</f>
        <v>0.98796791443850263</v>
      </c>
      <c r="J394" s="11">
        <f>1-I394</f>
        <v>1.2032085561497374E-2</v>
      </c>
      <c r="K394">
        <f>H394-E397</f>
        <v>-33</v>
      </c>
      <c r="N394" s="10">
        <f>2*(E398*I394)/(E398+I394)</f>
        <v>0.96664486592544152</v>
      </c>
      <c r="O394" s="1"/>
      <c r="P394" s="1"/>
    </row>
    <row r="395" spans="1:40" x14ac:dyDescent="0.3">
      <c r="A395" t="s">
        <v>6</v>
      </c>
      <c r="B395" s="13">
        <v>3</v>
      </c>
      <c r="C395" s="5">
        <v>0</v>
      </c>
      <c r="D395" s="1">
        <v>0</v>
      </c>
      <c r="E395" s="1">
        <v>30</v>
      </c>
      <c r="F395" s="27">
        <v>579</v>
      </c>
      <c r="G395" s="6">
        <v>9</v>
      </c>
      <c r="H395" s="1">
        <f>SUM(C395:G395)</f>
        <v>618</v>
      </c>
      <c r="I395" s="10">
        <f>F395/H395</f>
        <v>0.93689320388349517</v>
      </c>
      <c r="J395" s="11">
        <f>1-I395</f>
        <v>6.3106796116504826E-2</v>
      </c>
      <c r="K395">
        <f>H395-F397</f>
        <v>-7</v>
      </c>
      <c r="N395" s="10">
        <f>2*(F398*I395)/(F398+I395)</f>
        <v>0.93161705551086094</v>
      </c>
      <c r="O395" s="1"/>
      <c r="P395" s="1"/>
      <c r="X395" s="49"/>
      <c r="AM395" s="78"/>
      <c r="AN395" s="78"/>
    </row>
    <row r="396" spans="1:40" x14ac:dyDescent="0.3">
      <c r="A396" t="s">
        <v>7</v>
      </c>
      <c r="B396" s="13">
        <v>4</v>
      </c>
      <c r="C396" s="7">
        <v>0</v>
      </c>
      <c r="D396" s="8">
        <v>0</v>
      </c>
      <c r="E396" s="8">
        <v>8</v>
      </c>
      <c r="F396" s="8">
        <v>38</v>
      </c>
      <c r="G396" s="28">
        <v>967</v>
      </c>
      <c r="H396" s="1">
        <f>SUM(C396:G396)</f>
        <v>1013</v>
      </c>
      <c r="I396" s="10">
        <f>G396/H396</f>
        <v>0.95459032576505431</v>
      </c>
      <c r="J396" s="11">
        <f>1-I396</f>
        <v>4.5409674234945685E-2</v>
      </c>
      <c r="K396">
        <f>H396-G397</f>
        <v>35</v>
      </c>
      <c r="N396" s="10">
        <f>2*(G398*I396)/(G398+I396)</f>
        <v>0.9713711702661979</v>
      </c>
      <c r="O396" s="1"/>
      <c r="P396" s="1"/>
    </row>
    <row r="397" spans="1:40" ht="15.6" x14ac:dyDescent="0.35">
      <c r="B397" s="1" t="s">
        <v>19</v>
      </c>
      <c r="C397" s="1">
        <f>SUM(C392:C396)</f>
        <v>450</v>
      </c>
      <c r="D397" s="1">
        <f>SUM(D392:D396)</f>
        <v>59</v>
      </c>
      <c r="E397" s="1">
        <f>SUM(E392:E396)</f>
        <v>781</v>
      </c>
      <c r="F397" s="1">
        <f>SUM(F392:F396)</f>
        <v>625</v>
      </c>
      <c r="G397" s="1">
        <f>SUM(G392:G396)</f>
        <v>978</v>
      </c>
      <c r="H397" s="1">
        <f>SUM(H391:H396)</f>
        <v>2893</v>
      </c>
      <c r="I397" s="13" t="s">
        <v>12</v>
      </c>
      <c r="N397" s="16"/>
      <c r="O397" s="1"/>
      <c r="P397" s="1"/>
      <c r="AM397" s="78"/>
      <c r="AN397" s="78"/>
    </row>
    <row r="398" spans="1:40" x14ac:dyDescent="0.3">
      <c r="A398" s="1" t="s">
        <v>52</v>
      </c>
      <c r="B398" s="1" t="s">
        <v>2</v>
      </c>
      <c r="C398" s="10">
        <f>C392/C397</f>
        <v>1</v>
      </c>
      <c r="D398" s="10">
        <f>D393/D397</f>
        <v>1</v>
      </c>
      <c r="E398" s="10">
        <f>E394/E397</f>
        <v>0.94622279129321385</v>
      </c>
      <c r="F398" s="10">
        <f>F395/F397</f>
        <v>0.9264</v>
      </c>
      <c r="G398" s="10">
        <f>G396/G397</f>
        <v>0.9887525562372188</v>
      </c>
      <c r="H398" s="10"/>
      <c r="I398" s="14">
        <f>(C392+D393+E394+F395+G396)/H397</f>
        <v>0.96577946768060841</v>
      </c>
    </row>
    <row r="399" spans="1:40" x14ac:dyDescent="0.3">
      <c r="B399" s="1" t="s">
        <v>14</v>
      </c>
      <c r="C399" s="11">
        <f>1-C398</f>
        <v>0</v>
      </c>
      <c r="D399" s="11">
        <f>1-D398</f>
        <v>0</v>
      </c>
      <c r="E399" s="11">
        <f>1-E398</f>
        <v>5.377720870678615E-2</v>
      </c>
      <c r="F399" s="11">
        <f>1-F398</f>
        <v>7.3599999999999999E-2</v>
      </c>
      <c r="G399" s="11">
        <f>1-G398</f>
        <v>1.1247443762781195E-2</v>
      </c>
      <c r="AM399" s="78"/>
      <c r="AN399" s="78"/>
    </row>
    <row r="400" spans="1:40" x14ac:dyDescent="0.3">
      <c r="C400" s="2"/>
    </row>
    <row r="401" spans="1:40" ht="15.6" x14ac:dyDescent="0.35">
      <c r="A401" t="s">
        <v>22</v>
      </c>
      <c r="B401" s="15" t="s">
        <v>23</v>
      </c>
      <c r="N401" s="12" t="s">
        <v>17</v>
      </c>
      <c r="O401" s="1" t="s">
        <v>27</v>
      </c>
      <c r="P401" s="1" t="s">
        <v>33</v>
      </c>
      <c r="AM401" s="78"/>
      <c r="AN401" s="78"/>
    </row>
    <row r="402" spans="1:40" ht="15.6" x14ac:dyDescent="0.35">
      <c r="B402" s="1" t="s">
        <v>0</v>
      </c>
      <c r="C402" s="13">
        <v>0</v>
      </c>
      <c r="D402" s="13">
        <v>1</v>
      </c>
      <c r="E402" s="13">
        <v>2</v>
      </c>
      <c r="F402" s="13">
        <v>3</v>
      </c>
      <c r="G402" s="13">
        <v>4</v>
      </c>
      <c r="H402" s="1" t="s">
        <v>28</v>
      </c>
      <c r="I402" s="1" t="s">
        <v>31</v>
      </c>
      <c r="J402" s="15" t="s">
        <v>39</v>
      </c>
      <c r="K402" s="1" t="s">
        <v>38</v>
      </c>
      <c r="L402" s="1" t="s">
        <v>26</v>
      </c>
      <c r="M402" t="s">
        <v>8</v>
      </c>
      <c r="N402" t="s">
        <v>9</v>
      </c>
      <c r="O402" s="1" t="s">
        <v>11</v>
      </c>
    </row>
    <row r="403" spans="1:40" x14ac:dyDescent="0.3">
      <c r="A403" t="s">
        <v>3</v>
      </c>
      <c r="B403" s="13">
        <v>0</v>
      </c>
      <c r="C403" s="29">
        <f>(C392/$L403)*$O403</f>
        <v>0.27767171757245768</v>
      </c>
      <c r="D403" s="31">
        <f>(D392/$L403)*$O403</f>
        <v>0</v>
      </c>
      <c r="E403" s="31">
        <f>(E392/$L403)*$O403</f>
        <v>0</v>
      </c>
      <c r="F403" s="31">
        <f>(F392/$L403)*$O403</f>
        <v>0</v>
      </c>
      <c r="G403" s="32">
        <f>(G392/$L403)*$O403</f>
        <v>0</v>
      </c>
      <c r="H403" s="17">
        <f>SUM(C403:G403)</f>
        <v>0.27767171757245768</v>
      </c>
      <c r="I403" s="17">
        <f>C403/H403*100</f>
        <v>100</v>
      </c>
      <c r="J403" s="17">
        <f>SQRT(I403*(100-I403)/(L403-1))</f>
        <v>0</v>
      </c>
      <c r="K403" s="18">
        <f>100-I403</f>
        <v>0</v>
      </c>
      <c r="L403" s="1">
        <f>H392</f>
        <v>450</v>
      </c>
      <c r="M403">
        <v>0</v>
      </c>
      <c r="N403" s="1">
        <v>268.06</v>
      </c>
      <c r="O403" s="17">
        <f>N403/N408*100</f>
        <v>0.27767171757245768</v>
      </c>
      <c r="P403" s="52">
        <f>((O403*O403*(I403/100)*(K403/100))/(L403-1))</f>
        <v>0</v>
      </c>
      <c r="AM403" s="78"/>
      <c r="AN403" s="78"/>
    </row>
    <row r="404" spans="1:40" x14ac:dyDescent="0.3">
      <c r="A404" t="s">
        <v>4</v>
      </c>
      <c r="B404" s="13">
        <v>1</v>
      </c>
      <c r="C404" s="33">
        <f t="shared" ref="C404:G407" si="49">(C393/$L404)*$O404</f>
        <v>0</v>
      </c>
      <c r="D404" s="34">
        <f t="shared" si="49"/>
        <v>0.91501420780899134</v>
      </c>
      <c r="E404" s="19">
        <f t="shared" si="49"/>
        <v>6.2034861546372291E-2</v>
      </c>
      <c r="F404" s="18">
        <f t="shared" si="49"/>
        <v>0</v>
      </c>
      <c r="G404" s="20">
        <f t="shared" si="49"/>
        <v>1.5508715386593073E-2</v>
      </c>
      <c r="H404" s="17">
        <f>SUM(C404:G404)</f>
        <v>0.99255778474195666</v>
      </c>
      <c r="I404" s="17">
        <f>D404/H404*100</f>
        <v>92.1875</v>
      </c>
      <c r="J404" s="17">
        <f>SQRT(I404*(100-I404)/(L404-1))</f>
        <v>3.3811213593755247</v>
      </c>
      <c r="K404" s="18">
        <f>100-I404</f>
        <v>7.8125</v>
      </c>
      <c r="L404" s="1">
        <f>H393</f>
        <v>64</v>
      </c>
      <c r="M404">
        <v>1</v>
      </c>
      <c r="N404" s="1">
        <v>958.2</v>
      </c>
      <c r="O404" s="17">
        <f>N404/N408*100</f>
        <v>0.99255778474195666</v>
      </c>
      <c r="P404" s="52">
        <f>((O404*O404*(I404/100)*(K404/100))/(L404-1))</f>
        <v>1.1262456288570297E-3</v>
      </c>
    </row>
    <row r="405" spans="1:40" x14ac:dyDescent="0.3">
      <c r="A405" t="s">
        <v>5</v>
      </c>
      <c r="B405" s="13">
        <v>2</v>
      </c>
      <c r="C405" s="33">
        <f t="shared" si="49"/>
        <v>0</v>
      </c>
      <c r="D405" s="19">
        <f t="shared" si="49"/>
        <v>0</v>
      </c>
      <c r="E405" s="34">
        <f t="shared" si="49"/>
        <v>60.901037101944645</v>
      </c>
      <c r="F405" s="19">
        <f t="shared" si="49"/>
        <v>0.65928050989926545</v>
      </c>
      <c r="G405" s="20">
        <f t="shared" si="49"/>
        <v>8.2410063737408182E-2</v>
      </c>
      <c r="H405" s="17">
        <f>SUM(C405:G405)</f>
        <v>61.64272767558132</v>
      </c>
      <c r="I405" s="17">
        <f>E405/H405*100</f>
        <v>98.796791443850267</v>
      </c>
      <c r="J405" s="17">
        <f>SQRT(I405*(100-I405)/(L405-1))</f>
        <v>0.3989161097662422</v>
      </c>
      <c r="K405" s="18">
        <f>100-I405</f>
        <v>1.2032085561497325</v>
      </c>
      <c r="L405" s="1">
        <f>H394</f>
        <v>748</v>
      </c>
      <c r="M405">
        <v>2</v>
      </c>
      <c r="N405" s="1">
        <v>59508.94</v>
      </c>
      <c r="O405" s="17">
        <f>N405/N408*100</f>
        <v>61.64272767558132</v>
      </c>
      <c r="P405" s="52">
        <f>((O405*O405*(I405/100)*(K405/100))/(L405-1))</f>
        <v>6.0468172882476121E-2</v>
      </c>
      <c r="AM405" s="78"/>
      <c r="AN405" s="78"/>
    </row>
    <row r="406" spans="1:40" x14ac:dyDescent="0.3">
      <c r="A406" t="s">
        <v>6</v>
      </c>
      <c r="B406" s="13">
        <v>3</v>
      </c>
      <c r="C406" s="33">
        <f t="shared" si="49"/>
        <v>0</v>
      </c>
      <c r="D406" s="19">
        <f t="shared" si="49"/>
        <v>0</v>
      </c>
      <c r="E406" s="19">
        <f t="shared" si="49"/>
        <v>1.4828231776166461</v>
      </c>
      <c r="F406" s="34">
        <f t="shared" si="49"/>
        <v>28.618487328001269</v>
      </c>
      <c r="G406" s="20">
        <f t="shared" si="49"/>
        <v>0.4448469532849938</v>
      </c>
      <c r="H406" s="17">
        <f>SUM(C406:G406)</f>
        <v>30.546157458902908</v>
      </c>
      <c r="I406" s="17">
        <f>F406/H406*100</f>
        <v>93.689320388349515</v>
      </c>
      <c r="J406" s="17">
        <f>SQRT(I406*(100-I406)/(L406-1))</f>
        <v>0.97890495828180346</v>
      </c>
      <c r="K406" s="18">
        <f>100-I406</f>
        <v>6.3106796116504853</v>
      </c>
      <c r="L406" s="1">
        <f>H395</f>
        <v>618</v>
      </c>
      <c r="M406">
        <v>3</v>
      </c>
      <c r="N406" s="1">
        <v>29488.79</v>
      </c>
      <c r="O406" s="17">
        <f>N406/N408*100</f>
        <v>30.546157458902908</v>
      </c>
      <c r="P406" s="52">
        <f>((O406*O406*(I406/100)*(K406/100))/(L406-1))</f>
        <v>8.9411674576620942E-2</v>
      </c>
    </row>
    <row r="407" spans="1:40" x14ac:dyDescent="0.3">
      <c r="A407" t="s">
        <v>7</v>
      </c>
      <c r="B407" s="13">
        <v>4</v>
      </c>
      <c r="C407" s="35">
        <f t="shared" si="49"/>
        <v>0</v>
      </c>
      <c r="D407" s="36">
        <f t="shared" si="49"/>
        <v>0</v>
      </c>
      <c r="E407" s="21">
        <f t="shared" si="49"/>
        <v>5.1655560617582308E-2</v>
      </c>
      <c r="F407" s="21">
        <f t="shared" si="49"/>
        <v>0.24536391293351595</v>
      </c>
      <c r="G407" s="37">
        <f t="shared" si="49"/>
        <v>6.2438658896502615</v>
      </c>
      <c r="H407" s="17">
        <f>SUM(C407:G407)</f>
        <v>6.5408853632013599</v>
      </c>
      <c r="I407" s="17">
        <f>G407/H407*100</f>
        <v>95.459032576505436</v>
      </c>
      <c r="J407" s="17">
        <f>SQRT(I407*(100-I407)/(L407-1))</f>
        <v>0.65447407996955353</v>
      </c>
      <c r="K407" s="18">
        <f>100-I407</f>
        <v>4.5409674234945641</v>
      </c>
      <c r="L407" s="1">
        <f>H396</f>
        <v>1013</v>
      </c>
      <c r="M407">
        <v>4</v>
      </c>
      <c r="N407" s="1">
        <v>6314.47</v>
      </c>
      <c r="O407" s="17">
        <f>N407/N408*100</f>
        <v>6.5408853632013599</v>
      </c>
      <c r="P407" s="52">
        <f>((O407*O407*(I407/100)*(K407/100))/(L407-1))</f>
        <v>1.8325590508572907E-3</v>
      </c>
      <c r="AM407" s="78"/>
      <c r="AN407" s="78"/>
    </row>
    <row r="408" spans="1:40" x14ac:dyDescent="0.3">
      <c r="B408" t="s">
        <v>28</v>
      </c>
      <c r="C408" s="17">
        <f t="shared" ref="C408:H408" si="50">SUM(C403:C407)</f>
        <v>0.27767171757245768</v>
      </c>
      <c r="D408" s="17">
        <f t="shared" si="50"/>
        <v>0.91501420780899134</v>
      </c>
      <c r="E408" s="17">
        <f t="shared" si="50"/>
        <v>62.497550701725245</v>
      </c>
      <c r="F408" s="17">
        <f t="shared" si="50"/>
        <v>29.52313175083405</v>
      </c>
      <c r="G408" s="17">
        <f t="shared" si="50"/>
        <v>6.7866316220592564</v>
      </c>
      <c r="H408" s="18">
        <f t="shared" si="50"/>
        <v>100</v>
      </c>
      <c r="I408" s="13" t="s">
        <v>24</v>
      </c>
      <c r="J408" s="12" t="s">
        <v>29</v>
      </c>
      <c r="N408" s="1">
        <f>SUM(N403:N407)</f>
        <v>96538.46</v>
      </c>
      <c r="O408" s="17">
        <f>SUM(O403:O407)</f>
        <v>100</v>
      </c>
    </row>
    <row r="409" spans="1:40" x14ac:dyDescent="0.3">
      <c r="B409" s="16" t="s">
        <v>39</v>
      </c>
      <c r="C409" s="18">
        <f>SQRT(SUM((O403*O403*(C403/O403)*(1-C403/O403))/L403,(O404*O404*(C404/O404)*(1-C404/O404))/L404,(O405*O405*(C405/O405)*(1-C405/O405))/L405,(O406*O406*(C406/O406)*(1-C406/O406))/L406,(O407*O407*(C407/O407)*(1-C407/O407))/L407))</f>
        <v>0</v>
      </c>
      <c r="D409" s="18">
        <f>SQRT(SUM((O403*O403*(D403/O403)*(1-D403/O403))/L403,(O404*O404*(D404/O404)*(1-D404/O404))/L404,(O405*O405*(D405/O405)*(1-D405/O405))/L405,(O406*O406*(D406/O406)*(1-D406/O406))/L406,(O407*O407*(D407/O407)*(1-D407/O407))/L407))</f>
        <v>3.3296366782370392E-2</v>
      </c>
      <c r="E409" s="18">
        <f>SQRT(SUM((O403*O403*(E403/O403)*(1-E403/O403))/L403,(O404*O404*(E404/O404)*(1-E404/O404))/L404,(O405*O405*(E405/O405)*(1-E405/O405))/L405,(O406*O406*(E406/O406)*(1-E406/O406))/L406,(O407*O407*(E407/O407)*(1-E407/O407))/L407))</f>
        <v>0.36242856971391219</v>
      </c>
      <c r="F409" s="18">
        <f>SQRT(SUM((O403*O403*(F403/O403)*(1-F403/O403))/L403,(O404*O404*(F404/O404)*(1-F404/O404))/L404,(O405*O405*(F405/O405)*(1-F405/O405))/L405,(O406*O406*(F406/O406)*(1-F406/O406))/L406,(O407*O407*(F407/O407)*(1-F407/O407))/L407))</f>
        <v>0.3801869682792221</v>
      </c>
      <c r="G409" s="18">
        <f>SQRT(SUM((O403*O403*(G403/O403)*(1-G403/O403))/L403,(O404*O404*(G404/O404)*(1-G404/O404))/L404,(O405*O405*(G405/O405)*(1-G405/O405))/L405,(O406*O406*(G406/O406)*(1-G406/O406))/L406,(O407*O407*(G407/O407)*(1-G407/O407))/L407))</f>
        <v>0.17469198215506027</v>
      </c>
      <c r="H409" s="1"/>
      <c r="I409" s="56">
        <f>(C403+D404+E405+F406+G407)/H408</f>
        <v>0.96956076244977618</v>
      </c>
      <c r="J409" s="53">
        <f>SQRT(SUM(P403:P407))/100</f>
        <v>3.9094584297420451E-3</v>
      </c>
      <c r="M409" s="1"/>
      <c r="N409" s="9"/>
      <c r="AM409" s="78"/>
      <c r="AN409" s="78"/>
    </row>
    <row r="410" spans="1:40" x14ac:dyDescent="0.3">
      <c r="B410" s="1" t="s">
        <v>30</v>
      </c>
      <c r="C410" s="17">
        <f>C403/C408*100</f>
        <v>100</v>
      </c>
      <c r="D410" s="17">
        <f>D404/D408*100</f>
        <v>100</v>
      </c>
      <c r="E410" s="17">
        <f>E405/E408*100</f>
        <v>97.445478131774962</v>
      </c>
      <c r="F410" s="17">
        <f>F406/F408*100</f>
        <v>96.935811449585714</v>
      </c>
      <c r="G410" s="17">
        <f>G407/G408*100</f>
        <v>92.002428264342655</v>
      </c>
      <c r="H410" s="1"/>
    </row>
    <row r="411" spans="1:40" x14ac:dyDescent="0.3">
      <c r="B411" s="16" t="s">
        <v>39</v>
      </c>
      <c r="C411" s="18">
        <f>SQRT((C414+C415)/(C408*C408))</f>
        <v>0</v>
      </c>
      <c r="D411" s="18">
        <f>SQRT((D414+D415)/(D408*D408))</f>
        <v>0</v>
      </c>
      <c r="E411" s="18">
        <f>SQRT((E414+E415)/(E408*E408))</f>
        <v>0.42771334035748071</v>
      </c>
      <c r="F411" s="18">
        <f>SQRT((F414+F415)/(F408*F408))</f>
        <v>0.8324713184877689</v>
      </c>
      <c r="G411" s="18">
        <f>SQRT((G414+G415)/(G408*G408))</f>
        <v>2.352703200288278</v>
      </c>
      <c r="H411" s="1"/>
      <c r="AM411" s="78"/>
      <c r="AN411" s="78"/>
    </row>
    <row r="412" spans="1:40" x14ac:dyDescent="0.3">
      <c r="B412" s="1" t="s">
        <v>37</v>
      </c>
      <c r="C412" s="18">
        <f>100-C410</f>
        <v>0</v>
      </c>
      <c r="D412" s="18">
        <f>100-D410</f>
        <v>0</v>
      </c>
      <c r="E412" s="18">
        <f>100-E410</f>
        <v>2.5545218682250379</v>
      </c>
      <c r="F412" s="18">
        <f>100-F410</f>
        <v>3.0641885504142863</v>
      </c>
      <c r="G412" s="18">
        <f>100-G410</f>
        <v>7.9975717356573455</v>
      </c>
    </row>
    <row r="413" spans="1:40" ht="15.6" x14ac:dyDescent="0.35">
      <c r="B413" s="1" t="s">
        <v>25</v>
      </c>
      <c r="C413" s="1">
        <f>C397</f>
        <v>450</v>
      </c>
      <c r="D413" s="1">
        <f>D397</f>
        <v>59</v>
      </c>
      <c r="E413" s="1">
        <f>E397</f>
        <v>781</v>
      </c>
      <c r="F413" s="1">
        <f>F397</f>
        <v>625</v>
      </c>
      <c r="G413" s="1">
        <f>G397</f>
        <v>978</v>
      </c>
      <c r="AM413" s="78"/>
      <c r="AN413" s="78"/>
    </row>
    <row r="414" spans="1:40" x14ac:dyDescent="0.3">
      <c r="B414" s="1" t="s">
        <v>34</v>
      </c>
      <c r="C414" s="18">
        <f>(O403*O403*(100-C410)*(100-C410)*(I403)*(100-I403))/(L403-1)</f>
        <v>0</v>
      </c>
      <c r="D414" s="18">
        <f>(O404*O404*(100-D410)*(100-D410)*(I404)*(100-I404))/((L404-1)*100)</f>
        <v>0</v>
      </c>
      <c r="E414" s="18">
        <f>(O405*O405*(100-E410)*(100-E410)*(I405)*(100-I405))/((L405-1)*100)</f>
        <v>39.459001903757859</v>
      </c>
      <c r="F414" s="18">
        <f>(O406*O406*(100-F410)*(100-F410)*(I406)*(100-I406))/((L406-1)*100)</f>
        <v>83.950869717633537</v>
      </c>
      <c r="G414" s="18">
        <f>(O407*O407*(100-G410)*(100-G410)*(I407)*(100-I407))/((L407-1)*100)</f>
        <v>11.72125910557078</v>
      </c>
    </row>
    <row r="415" spans="1:40" x14ac:dyDescent="0.3">
      <c r="B415" s="1" t="s">
        <v>35</v>
      </c>
      <c r="C415" s="18">
        <f>C410*C410*(SUM((H404*C404*(1-C393/H393))/(H393-1),(H405*C405*(1-C394/H394))/(H394-1), (H406*C406*(1-C395/H395))/(H395-1),(H407*C407*(1-C396/H396))/(H396-1)))</f>
        <v>0</v>
      </c>
      <c r="D415" s="18">
        <f>D410*D410*(SUM((H403*D403*(1-D392/H392))/(H392-1),(H405*D405*(1-D394/H394))/(H394-1), (H406*D406*(1-D395/H395))/(H395-1),(H407*D407*(1-D396/H396))/(H396-1)))</f>
        <v>0</v>
      </c>
      <c r="E415" s="18">
        <f>E410*E410*(SUM((H403*E403*(1-E392/H392))/(H392-1),(H404*E404*(1-E393/H393))/(H393-1), (H406*E406*(1-E395/H395))/(H395-1),(H407*E407*(1-E396/H396))/(H396-1)))</f>
        <v>675.08929307449012</v>
      </c>
      <c r="F415" s="18">
        <f>F410*F410*(SUM((H403*F403*(1-F392/H392))/(H392-1),(H404*F404*(1-F393/H393))/(H393-1), (H405*F405*(1-F394/H394))/(H394-1),(H407*F407*(1-F396/H396))/(H396-1)))</f>
        <v>520.085944322675</v>
      </c>
      <c r="G415" s="18">
        <f>G410*G410*(SUM((H403*G403*(1-G392/H392))/(H392-1),(H404*G404*(1-G393/H393))/(H393-1), (H405*G405*(1-G394/H394))/(H394-1),(H406*G406*(1-G395/H395))/(H395-1)))</f>
        <v>243.221592488222</v>
      </c>
      <c r="AM415" s="78"/>
      <c r="AN415" s="78"/>
    </row>
    <row r="417" spans="1:40" x14ac:dyDescent="0.3">
      <c r="AM417" s="78"/>
      <c r="AN417" s="78"/>
    </row>
    <row r="418" spans="1:40" x14ac:dyDescent="0.3">
      <c r="A418" s="348" t="s">
        <v>388</v>
      </c>
      <c r="B418" s="348"/>
      <c r="C418" s="348"/>
      <c r="D418" s="348"/>
      <c r="E418" s="348"/>
      <c r="F418" s="348"/>
      <c r="G418" s="348"/>
      <c r="H418" s="348"/>
      <c r="I418" s="348"/>
      <c r="J418" s="348"/>
      <c r="K418" s="348"/>
      <c r="L418" s="348" t="s">
        <v>87</v>
      </c>
      <c r="M418" s="348"/>
      <c r="N418" s="348"/>
      <c r="O418" s="348"/>
      <c r="P418" s="348"/>
    </row>
    <row r="419" spans="1:40" x14ac:dyDescent="0.3">
      <c r="A419" t="s">
        <v>15</v>
      </c>
      <c r="B419" t="s">
        <v>21</v>
      </c>
      <c r="I419" s="1" t="s">
        <v>53</v>
      </c>
      <c r="O419" s="142"/>
      <c r="P419" s="142"/>
      <c r="AM419" s="78"/>
      <c r="AN419" s="78"/>
    </row>
    <row r="420" spans="1:40" ht="15.6" x14ac:dyDescent="0.35">
      <c r="B420" s="1" t="s">
        <v>0</v>
      </c>
      <c r="C420" s="13">
        <v>0</v>
      </c>
      <c r="D420" s="13">
        <v>1</v>
      </c>
      <c r="E420" s="13">
        <v>2</v>
      </c>
      <c r="F420" s="13">
        <v>3</v>
      </c>
      <c r="G420" s="13">
        <v>4</v>
      </c>
      <c r="H420" s="1" t="s">
        <v>20</v>
      </c>
      <c r="I420" s="1" t="s">
        <v>1</v>
      </c>
      <c r="J420" s="1" t="s">
        <v>13</v>
      </c>
      <c r="N420" s="1" t="s">
        <v>51</v>
      </c>
      <c r="O420" s="13"/>
      <c r="P420" s="13"/>
    </row>
    <row r="421" spans="1:40" x14ac:dyDescent="0.3">
      <c r="A421" t="s">
        <v>3</v>
      </c>
      <c r="B421" s="13">
        <v>0</v>
      </c>
      <c r="C421" s="26">
        <v>450</v>
      </c>
      <c r="D421" s="3">
        <v>0</v>
      </c>
      <c r="E421" s="3">
        <v>0</v>
      </c>
      <c r="F421" s="3">
        <v>0</v>
      </c>
      <c r="G421" s="4">
        <v>0</v>
      </c>
      <c r="H421" s="1">
        <f>SUM(C421:G421)</f>
        <v>450</v>
      </c>
      <c r="I421" s="10">
        <f>C421/H421</f>
        <v>1</v>
      </c>
      <c r="J421" s="11">
        <f>1-I421</f>
        <v>0</v>
      </c>
      <c r="K421">
        <f>H421-C426</f>
        <v>0</v>
      </c>
      <c r="N421" s="10">
        <f>2*(C427*I421)/(C427+I421)</f>
        <v>1</v>
      </c>
      <c r="O421" s="1"/>
      <c r="P421" s="1"/>
      <c r="AM421" s="78"/>
      <c r="AN421" s="78"/>
    </row>
    <row r="422" spans="1:40" x14ac:dyDescent="0.3">
      <c r="A422" t="s">
        <v>4</v>
      </c>
      <c r="B422" s="13">
        <v>1</v>
      </c>
      <c r="C422" s="5">
        <v>0</v>
      </c>
      <c r="D422" s="27">
        <v>60</v>
      </c>
      <c r="E422" s="1">
        <v>3</v>
      </c>
      <c r="F422" s="1">
        <v>0</v>
      </c>
      <c r="G422" s="6">
        <v>1</v>
      </c>
      <c r="H422" s="1">
        <f>SUM(C422:G422)</f>
        <v>64</v>
      </c>
      <c r="I422" s="10">
        <f>D422/H422</f>
        <v>0.9375</v>
      </c>
      <c r="J422" s="11">
        <f>1-I422</f>
        <v>6.25E-2</v>
      </c>
      <c r="K422">
        <f>H422-D426</f>
        <v>4</v>
      </c>
      <c r="N422" s="10">
        <f>2*(D427*I422)/(D427+I422)</f>
        <v>0.967741935483871</v>
      </c>
      <c r="O422" s="1"/>
      <c r="P422" s="1"/>
    </row>
    <row r="423" spans="1:40" x14ac:dyDescent="0.3">
      <c r="A423" t="s">
        <v>5</v>
      </c>
      <c r="B423" s="13">
        <v>2</v>
      </c>
      <c r="C423" s="5">
        <v>0</v>
      </c>
      <c r="D423" s="1">
        <v>0</v>
      </c>
      <c r="E423" s="27">
        <v>740</v>
      </c>
      <c r="F423" s="1">
        <v>7</v>
      </c>
      <c r="G423" s="6">
        <v>1</v>
      </c>
      <c r="H423" s="1">
        <f>SUM(C423:G423)</f>
        <v>748</v>
      </c>
      <c r="I423" s="10">
        <f>E423/H423</f>
        <v>0.98930481283422456</v>
      </c>
      <c r="J423" s="11">
        <f>1-I423</f>
        <v>1.0695187165775444E-2</v>
      </c>
      <c r="K423">
        <f>H423-E426</f>
        <v>-30</v>
      </c>
      <c r="N423" s="10">
        <f>2*(E427*I423)/(E427+I423)</f>
        <v>0.96985583224115335</v>
      </c>
      <c r="O423" s="1"/>
      <c r="P423" s="1"/>
      <c r="AM423" s="78"/>
      <c r="AN423" s="78"/>
    </row>
    <row r="424" spans="1:40" x14ac:dyDescent="0.3">
      <c r="A424" t="s">
        <v>6</v>
      </c>
      <c r="B424" s="13">
        <v>3</v>
      </c>
      <c r="C424" s="5">
        <v>0</v>
      </c>
      <c r="D424" s="1">
        <v>0</v>
      </c>
      <c r="E424" s="1">
        <v>27</v>
      </c>
      <c r="F424" s="27">
        <v>582</v>
      </c>
      <c r="G424" s="6">
        <v>9</v>
      </c>
      <c r="H424" s="1">
        <f>SUM(C424:G424)</f>
        <v>618</v>
      </c>
      <c r="I424" s="10">
        <f>F424/H424</f>
        <v>0.94174757281553401</v>
      </c>
      <c r="J424" s="11">
        <f>1-I424</f>
        <v>5.8252427184465994E-2</v>
      </c>
      <c r="K424">
        <f>H424-F426</f>
        <v>-16</v>
      </c>
      <c r="N424" s="10">
        <f>2*(F427*I424)/(F427+I424)</f>
        <v>0.92971246006389763</v>
      </c>
      <c r="O424" s="1"/>
      <c r="P424" s="1"/>
    </row>
    <row r="425" spans="1:40" x14ac:dyDescent="0.3">
      <c r="A425" t="s">
        <v>7</v>
      </c>
      <c r="B425" s="13">
        <v>4</v>
      </c>
      <c r="C425" s="7">
        <v>0</v>
      </c>
      <c r="D425" s="8">
        <v>0</v>
      </c>
      <c r="E425" s="8">
        <v>8</v>
      </c>
      <c r="F425" s="8">
        <v>45</v>
      </c>
      <c r="G425" s="28">
        <v>960</v>
      </c>
      <c r="H425" s="1">
        <f>SUM(C425:G425)</f>
        <v>1013</v>
      </c>
      <c r="I425" s="10">
        <f>G425/H425</f>
        <v>0.94768015794669302</v>
      </c>
      <c r="J425" s="11">
        <f>1-I425</f>
        <v>5.2319842053306975E-2</v>
      </c>
      <c r="K425">
        <f>H425-G426</f>
        <v>42</v>
      </c>
      <c r="N425" s="10">
        <f>2*(G427*I425)/(G427+I425)</f>
        <v>0.967741935483871</v>
      </c>
      <c r="O425" s="1"/>
      <c r="P425" s="1"/>
      <c r="AM425" s="78"/>
      <c r="AN425" s="78"/>
    </row>
    <row r="426" spans="1:40" ht="15.6" x14ac:dyDescent="0.35">
      <c r="B426" s="1" t="s">
        <v>19</v>
      </c>
      <c r="C426" s="1">
        <f>SUM(C421:C425)</f>
        <v>450</v>
      </c>
      <c r="D426" s="1">
        <f>SUM(D421:D425)</f>
        <v>60</v>
      </c>
      <c r="E426" s="1">
        <f>SUM(E421:E425)</f>
        <v>778</v>
      </c>
      <c r="F426" s="1">
        <f>SUM(F421:F425)</f>
        <v>634</v>
      </c>
      <c r="G426" s="1">
        <f>SUM(G421:G425)</f>
        <v>971</v>
      </c>
      <c r="H426" s="1">
        <f>SUM(H420:H425)</f>
        <v>2893</v>
      </c>
      <c r="I426" s="13" t="s">
        <v>12</v>
      </c>
      <c r="N426" s="16"/>
      <c r="O426" s="1"/>
      <c r="P426" s="1"/>
    </row>
    <row r="427" spans="1:40" x14ac:dyDescent="0.3">
      <c r="A427" s="1" t="s">
        <v>52</v>
      </c>
      <c r="B427" s="1" t="s">
        <v>2</v>
      </c>
      <c r="C427" s="10">
        <f>C421/C426</f>
        <v>1</v>
      </c>
      <c r="D427" s="10">
        <f>D422/D426</f>
        <v>1</v>
      </c>
      <c r="E427" s="10">
        <f>E423/E426</f>
        <v>0.95115681233933158</v>
      </c>
      <c r="F427" s="10">
        <f>F424/F426</f>
        <v>0.917981072555205</v>
      </c>
      <c r="G427" s="10">
        <f>G425/G426</f>
        <v>0.98867147270854794</v>
      </c>
      <c r="H427" s="10"/>
      <c r="I427" s="14">
        <f>(C421+D422+E423+F424+G425)/H426</f>
        <v>0.96508814379536811</v>
      </c>
      <c r="AM427" s="78"/>
      <c r="AN427" s="78"/>
    </row>
    <row r="428" spans="1:40" x14ac:dyDescent="0.3">
      <c r="B428" s="1" t="s">
        <v>14</v>
      </c>
      <c r="C428" s="11">
        <f>1-C427</f>
        <v>0</v>
      </c>
      <c r="D428" s="11">
        <f>1-D427</f>
        <v>0</v>
      </c>
      <c r="E428" s="11">
        <f>1-E427</f>
        <v>4.8843187660668419E-2</v>
      </c>
      <c r="F428" s="11">
        <f>1-F427</f>
        <v>8.2018927444794998E-2</v>
      </c>
      <c r="G428" s="11">
        <f>1-G427</f>
        <v>1.1328527291452062E-2</v>
      </c>
    </row>
    <row r="429" spans="1:40" x14ac:dyDescent="0.3">
      <c r="C429" s="2"/>
      <c r="AM429" s="78"/>
      <c r="AN429" s="78"/>
    </row>
    <row r="430" spans="1:40" ht="15.6" x14ac:dyDescent="0.35">
      <c r="A430" t="s">
        <v>22</v>
      </c>
      <c r="B430" s="15" t="s">
        <v>23</v>
      </c>
      <c r="N430" s="12" t="s">
        <v>17</v>
      </c>
      <c r="O430" s="1" t="s">
        <v>27</v>
      </c>
      <c r="P430" s="1" t="s">
        <v>33</v>
      </c>
    </row>
    <row r="431" spans="1:40" ht="15.6" x14ac:dyDescent="0.35">
      <c r="B431" s="1" t="s">
        <v>0</v>
      </c>
      <c r="C431" s="13">
        <v>0</v>
      </c>
      <c r="D431" s="13">
        <v>1</v>
      </c>
      <c r="E431" s="13">
        <v>2</v>
      </c>
      <c r="F431" s="13">
        <v>3</v>
      </c>
      <c r="G431" s="13">
        <v>4</v>
      </c>
      <c r="H431" s="1" t="s">
        <v>28</v>
      </c>
      <c r="I431" s="1" t="s">
        <v>31</v>
      </c>
      <c r="J431" s="15" t="s">
        <v>39</v>
      </c>
      <c r="K431" s="1" t="s">
        <v>38</v>
      </c>
      <c r="L431" s="1" t="s">
        <v>26</v>
      </c>
      <c r="M431" t="s">
        <v>8</v>
      </c>
      <c r="N431" t="s">
        <v>9</v>
      </c>
      <c r="O431" s="1" t="s">
        <v>11</v>
      </c>
      <c r="AM431" s="78"/>
      <c r="AN431" s="78"/>
    </row>
    <row r="432" spans="1:40" x14ac:dyDescent="0.3">
      <c r="A432" t="s">
        <v>3</v>
      </c>
      <c r="B432" s="13">
        <v>0</v>
      </c>
      <c r="C432" s="29">
        <f>(C421/$L432)*$O432</f>
        <v>0.26880481300455933</v>
      </c>
      <c r="D432" s="31">
        <f>(D421/$L432)*$O432</f>
        <v>0</v>
      </c>
      <c r="E432" s="31">
        <f>(E421/$L432)*$O432</f>
        <v>0</v>
      </c>
      <c r="F432" s="31">
        <f>(F421/$L432)*$O432</f>
        <v>0</v>
      </c>
      <c r="G432" s="32">
        <f>(G421/$L432)*$O432</f>
        <v>0</v>
      </c>
      <c r="H432" s="17">
        <f>SUM(C432:G432)</f>
        <v>0.26880481300455933</v>
      </c>
      <c r="I432" s="17">
        <f>C432/H432*100</f>
        <v>100</v>
      </c>
      <c r="J432" s="17">
        <f>SQRT(I432*(100-I432)/(L432-1))</f>
        <v>0</v>
      </c>
      <c r="K432" s="18">
        <f>100-I432</f>
        <v>0</v>
      </c>
      <c r="L432" s="1">
        <f>H421</f>
        <v>450</v>
      </c>
      <c r="M432">
        <v>0</v>
      </c>
      <c r="N432" s="1">
        <v>259.5</v>
      </c>
      <c r="O432" s="17">
        <f>N432/N437*100</f>
        <v>0.26880481300455933</v>
      </c>
      <c r="P432" s="52">
        <f>((O432*O432*(I432/100)*(K432/100))/(L432-1))</f>
        <v>0</v>
      </c>
    </row>
    <row r="433" spans="1:40" x14ac:dyDescent="0.3">
      <c r="A433" t="s">
        <v>4</v>
      </c>
      <c r="B433" s="13">
        <v>1</v>
      </c>
      <c r="C433" s="33">
        <f t="shared" ref="C433:G436" si="51">(C422/$L433)*$O433</f>
        <v>0</v>
      </c>
      <c r="D433" s="34">
        <f t="shared" si="51"/>
        <v>1.0137087864990579</v>
      </c>
      <c r="E433" s="19">
        <f t="shared" si="51"/>
        <v>5.0685439324952897E-2</v>
      </c>
      <c r="F433" s="18">
        <f t="shared" si="51"/>
        <v>0</v>
      </c>
      <c r="G433" s="20">
        <f t="shared" si="51"/>
        <v>1.6895146441650966E-2</v>
      </c>
      <c r="H433" s="17">
        <f>SUM(C433:G433)</f>
        <v>1.0812893722656618</v>
      </c>
      <c r="I433" s="17">
        <f>D433/H433*100</f>
        <v>93.75</v>
      </c>
      <c r="J433" s="17">
        <f>SQRT(I433*(100-I433)/(L433-1))</f>
        <v>3.0496877279641659</v>
      </c>
      <c r="K433" s="18">
        <f>100-I433</f>
        <v>6.25</v>
      </c>
      <c r="L433" s="1">
        <f>H422</f>
        <v>64</v>
      </c>
      <c r="M433">
        <v>1</v>
      </c>
      <c r="N433" s="1">
        <v>1043.8599999999999</v>
      </c>
      <c r="O433" s="17">
        <f>N433/N437*100</f>
        <v>1.0812893722656618</v>
      </c>
      <c r="P433" s="52">
        <f>((O433*O433*(I433/100)*(K433/100))/(L433-1))</f>
        <v>1.0874132315612619E-3</v>
      </c>
      <c r="AM433" s="78"/>
      <c r="AN433" s="78"/>
    </row>
    <row r="434" spans="1:40" x14ac:dyDescent="0.3">
      <c r="A434" t="s">
        <v>5</v>
      </c>
      <c r="B434" s="13">
        <v>2</v>
      </c>
      <c r="C434" s="33">
        <f t="shared" si="51"/>
        <v>0</v>
      </c>
      <c r="D434" s="19">
        <f t="shared" si="51"/>
        <v>0</v>
      </c>
      <c r="E434" s="34">
        <f t="shared" si="51"/>
        <v>60.853357913529571</v>
      </c>
      <c r="F434" s="19">
        <f t="shared" si="51"/>
        <v>0.57563987215500945</v>
      </c>
      <c r="G434" s="20">
        <f t="shared" si="51"/>
        <v>8.2234267450715645E-2</v>
      </c>
      <c r="H434" s="17">
        <f>SUM(C434:G434)</f>
        <v>61.511232053135295</v>
      </c>
      <c r="I434" s="17">
        <f>E434/H434*100</f>
        <v>98.930481283422466</v>
      </c>
      <c r="J434" s="17">
        <f>SQRT(I434*(100-I434)/(L434-1))</f>
        <v>0.37635609574809858</v>
      </c>
      <c r="K434" s="18">
        <f>100-I434</f>
        <v>1.0695187165775337</v>
      </c>
      <c r="L434" s="1">
        <f>H423</f>
        <v>748</v>
      </c>
      <c r="M434">
        <v>2</v>
      </c>
      <c r="N434" s="1">
        <v>59381.99</v>
      </c>
      <c r="O434" s="17">
        <f>N434/N437*100</f>
        <v>61.511232053135302</v>
      </c>
      <c r="P434" s="52">
        <f>((O434*O434*(I434/100)*(K434/100))/(L434-1))</f>
        <v>5.3592838660618855E-2</v>
      </c>
    </row>
    <row r="435" spans="1:40" x14ac:dyDescent="0.3">
      <c r="A435" t="s">
        <v>6</v>
      </c>
      <c r="B435" s="13">
        <v>3</v>
      </c>
      <c r="C435" s="33">
        <f t="shared" si="51"/>
        <v>0</v>
      </c>
      <c r="D435" s="19">
        <f t="shared" si="51"/>
        <v>0</v>
      </c>
      <c r="E435" s="19">
        <f t="shared" si="51"/>
        <v>1.3433925947117598</v>
      </c>
      <c r="F435" s="34">
        <f t="shared" si="51"/>
        <v>28.957573708231266</v>
      </c>
      <c r="G435" s="20">
        <f t="shared" si="51"/>
        <v>0.44779753157058655</v>
      </c>
      <c r="H435" s="17">
        <f>SUM(C435:G435)</f>
        <v>30.748763834513611</v>
      </c>
      <c r="I435" s="17">
        <f>F435/H435*100</f>
        <v>94.174757281553397</v>
      </c>
      <c r="J435" s="17">
        <f>SQRT(I435*(100-I435)/(L435-1))</f>
        <v>0.94293484662788984</v>
      </c>
      <c r="K435" s="18">
        <f>100-I435</f>
        <v>5.8252427184466029</v>
      </c>
      <c r="L435" s="1">
        <f>H424</f>
        <v>618</v>
      </c>
      <c r="M435">
        <v>3</v>
      </c>
      <c r="N435" s="1">
        <v>29684.38</v>
      </c>
      <c r="O435" s="17">
        <f>N435/N437*100</f>
        <v>30.748763834513611</v>
      </c>
      <c r="P435" s="52">
        <f>((O435*O435*(I435/100)*(K435/100))/(L435-1))</f>
        <v>8.4065672783269235E-2</v>
      </c>
      <c r="AM435" s="78"/>
      <c r="AN435" s="78"/>
    </row>
    <row r="436" spans="1:40" x14ac:dyDescent="0.3">
      <c r="A436" t="s">
        <v>7</v>
      </c>
      <c r="B436" s="13">
        <v>4</v>
      </c>
      <c r="C436" s="35">
        <f t="shared" si="51"/>
        <v>0</v>
      </c>
      <c r="D436" s="36">
        <f t="shared" si="51"/>
        <v>0</v>
      </c>
      <c r="E436" s="21">
        <f t="shared" si="51"/>
        <v>5.0463257074676152E-2</v>
      </c>
      <c r="F436" s="21">
        <f t="shared" si="51"/>
        <v>0.28385582104505336</v>
      </c>
      <c r="G436" s="37">
        <f t="shared" si="51"/>
        <v>6.0555908489611392</v>
      </c>
      <c r="H436" s="17">
        <f>SUM(C436:G436)</f>
        <v>6.3899099270808684</v>
      </c>
      <c r="I436" s="17">
        <f>G436/H436*100</f>
        <v>94.768015794669296</v>
      </c>
      <c r="J436" s="17">
        <f>SQRT(I436*(100-I436)/(L436-1))</f>
        <v>0.69996101091886664</v>
      </c>
      <c r="K436" s="18">
        <f>100-I436</f>
        <v>5.2319842053307042</v>
      </c>
      <c r="L436" s="1">
        <f>H425</f>
        <v>1013</v>
      </c>
      <c r="M436">
        <v>4</v>
      </c>
      <c r="N436" s="1">
        <v>6168.72</v>
      </c>
      <c r="O436" s="17">
        <f>N436/N437*100</f>
        <v>6.3899099270808684</v>
      </c>
      <c r="P436" s="52">
        <f>((O436*O436*(I436/100)*(K436/100))/(L436-1))</f>
        <v>2.000493626576047E-3</v>
      </c>
    </row>
    <row r="437" spans="1:40" x14ac:dyDescent="0.3">
      <c r="B437" t="s">
        <v>28</v>
      </c>
      <c r="C437" s="17">
        <f t="shared" ref="C437:H437" si="52">SUM(C432:C436)</f>
        <v>0.26880481300455933</v>
      </c>
      <c r="D437" s="17">
        <f t="shared" si="52"/>
        <v>1.0137087864990579</v>
      </c>
      <c r="E437" s="17">
        <f t="shared" si="52"/>
        <v>62.297899204640956</v>
      </c>
      <c r="F437" s="17">
        <f t="shared" si="52"/>
        <v>29.817069401431329</v>
      </c>
      <c r="G437" s="17">
        <f t="shared" si="52"/>
        <v>6.6025177944240925</v>
      </c>
      <c r="H437" s="18">
        <f t="shared" si="52"/>
        <v>99.999999999999986</v>
      </c>
      <c r="I437" s="13" t="s">
        <v>24</v>
      </c>
      <c r="J437" s="12" t="s">
        <v>29</v>
      </c>
      <c r="N437" s="1">
        <f>SUM(N432:N436)</f>
        <v>96538.45</v>
      </c>
      <c r="O437" s="17">
        <f>SUM(O432:O436)</f>
        <v>100</v>
      </c>
      <c r="AM437" s="78"/>
      <c r="AN437" s="78"/>
    </row>
    <row r="438" spans="1:40" x14ac:dyDescent="0.3">
      <c r="B438" s="16" t="s">
        <v>39</v>
      </c>
      <c r="C438" s="18">
        <f>SQRT(SUM((O432*O432*(C432/O432)*(1-C432/O432))/L432,(O433*O433*(C433/O433)*(1-C433/O433))/L433,(O434*O434*(C434/O434)*(1-C434/O434))/L434,(O435*O435*(C435/O435)*(1-C435/O435))/L435,(O436*O436*(C436/O436)*(1-C436/O436))/L436))</f>
        <v>0</v>
      </c>
      <c r="D438" s="18">
        <f>SQRT(SUM((O432*O432*(D432/O432)*(1-D432/O432))/L432,(O433*O433*(D433/O433)*(1-D433/O433))/L433,(O434*O434*(D434/O434)*(1-D434/O434))/L434,(O435*O435*(D435/O435)*(1-D435/O435))/L435,(O436*O436*(D436/O436)*(1-D436/O436))/L436))</f>
        <v>3.2717310400124842E-2</v>
      </c>
      <c r="E438" s="18">
        <f>SQRT(SUM((O432*O432*(E432/O432)*(1-E432/O432))/L432,(O433*O433*(E433/O433)*(1-E433/O433))/L433,(O434*O434*(E434/O434)*(1-E434/O434))/L434,(O435*O435*(E435/O435)*(1-E435/O435))/L435,(O436*O436*(E436/O436)*(1-E436/O436))/L436))</f>
        <v>0.34434551717903022</v>
      </c>
      <c r="F438" s="18">
        <f>SQRT(SUM((O432*O432*(F432/O432)*(1-F432/O432))/L432,(O433*O433*(F433/O433)*(1-F433/O433))/L433,(O434*O434*(F434/O434)*(1-F434/O434))/L434,(O435*O435*(F435/O435)*(1-F435/O435))/L435,(O436*O436*(F436/O436)*(1-F436/O436))/L436))</f>
        <v>0.36405352230327764</v>
      </c>
      <c r="G438" s="18">
        <f>SQRT(SUM((O432*O432*(G432/O432)*(1-G432/O432))/L432,(O433*O433*(G433/O433)*(1-G433/O433))/L433,(O434*O434*(G434/O434)*(1-G434/O434))/L434,(O435*O435*(G435/O435)*(1-G435/O435))/L435,(O436*O436*(G436/O436)*(1-G436/O436))/L436))</f>
        <v>0.17603624784537666</v>
      </c>
      <c r="H438" s="1"/>
      <c r="I438" s="56">
        <f>(C432+D433+E434+F435+G436)/H437</f>
        <v>0.97149036070225614</v>
      </c>
      <c r="J438" s="53">
        <f>SQRT(SUM(P432:P436))/100</f>
        <v>3.7516185613948733E-3</v>
      </c>
      <c r="M438" s="1"/>
      <c r="N438" s="9"/>
    </row>
    <row r="439" spans="1:40" x14ac:dyDescent="0.3">
      <c r="B439" s="1" t="s">
        <v>30</v>
      </c>
      <c r="C439" s="17">
        <f>C432/C437*100</f>
        <v>100</v>
      </c>
      <c r="D439" s="17">
        <f>D433/D437*100</f>
        <v>100</v>
      </c>
      <c r="E439" s="17">
        <f>E434/E437*100</f>
        <v>97.681235949279383</v>
      </c>
      <c r="F439" s="17">
        <f>F435/F437*100</f>
        <v>97.117437392560106</v>
      </c>
      <c r="G439" s="17">
        <f>G436/G437*100</f>
        <v>91.716388164453875</v>
      </c>
      <c r="H439" s="1"/>
      <c r="AM439" s="78"/>
      <c r="AN439" s="78"/>
    </row>
    <row r="440" spans="1:40" x14ac:dyDescent="0.3">
      <c r="B440" s="16" t="s">
        <v>39</v>
      </c>
      <c r="C440" s="18">
        <f>SQRT((C443+C444)/(C437*C437))</f>
        <v>0</v>
      </c>
      <c r="D440" s="18">
        <f>SQRT((D443+D444)/(D437*D437))</f>
        <v>0</v>
      </c>
      <c r="E440" s="18">
        <f>SQRT((E443+E444)/(E437*E437))</f>
        <v>0.40944571119109247</v>
      </c>
      <c r="F440" s="18">
        <f>SQRT((F443+F444)/(F437*F437))</f>
        <v>0.77129378500496037</v>
      </c>
      <c r="G440" s="18">
        <f>SQRT((G443+G444)/(G437*G437))</f>
        <v>2.4327789785858425</v>
      </c>
      <c r="H440" s="1"/>
    </row>
    <row r="441" spans="1:40" x14ac:dyDescent="0.3">
      <c r="B441" s="1" t="s">
        <v>37</v>
      </c>
      <c r="C441" s="18">
        <f>100-C439</f>
        <v>0</v>
      </c>
      <c r="D441" s="18">
        <f>100-D439</f>
        <v>0</v>
      </c>
      <c r="E441" s="18">
        <f>100-E439</f>
        <v>2.3187640507206169</v>
      </c>
      <c r="F441" s="18">
        <f>100-F439</f>
        <v>2.882562607439894</v>
      </c>
      <c r="G441" s="18">
        <f>100-G439</f>
        <v>8.2836118355461252</v>
      </c>
      <c r="AM441" s="78"/>
      <c r="AN441" s="78"/>
    </row>
    <row r="442" spans="1:40" ht="15.6" x14ac:dyDescent="0.35">
      <c r="B442" s="1" t="s">
        <v>25</v>
      </c>
      <c r="C442" s="1">
        <f>C426</f>
        <v>450</v>
      </c>
      <c r="D442" s="1">
        <f>D426</f>
        <v>60</v>
      </c>
      <c r="E442" s="1">
        <f>E426</f>
        <v>778</v>
      </c>
      <c r="F442" s="1">
        <f>F426</f>
        <v>634</v>
      </c>
      <c r="G442" s="1">
        <f>G426</f>
        <v>971</v>
      </c>
    </row>
    <row r="443" spans="1:40" x14ac:dyDescent="0.3">
      <c r="B443" s="1" t="s">
        <v>34</v>
      </c>
      <c r="C443" s="18">
        <f>(O432*O432*(100-C439)*(100-C439)*(I432)*(100-I432))/(L432-1)</f>
        <v>0</v>
      </c>
      <c r="D443" s="18">
        <f>(O433*O433*(100-D439)*(100-D439)*(I433)*(100-I433))/((L433-1)*100)</f>
        <v>0</v>
      </c>
      <c r="E443" s="18">
        <f>(O434*O434*(100-E439)*(100-E439)*(I434)*(100-I434))/((L434-1)*100)</f>
        <v>28.815083221306349</v>
      </c>
      <c r="F443" s="18">
        <f>(O435*O435*(100-F439)*(100-F439)*(I435)*(100-I435))/((L435-1)*100)</f>
        <v>69.851572974383885</v>
      </c>
      <c r="G443" s="18">
        <f>(O436*O436*(100-G439)*(100-G439)*(I436)*(100-I436))/((L436-1)*100)</f>
        <v>13.727032186348158</v>
      </c>
      <c r="AM443" s="78"/>
      <c r="AN443" s="78"/>
    </row>
    <row r="444" spans="1:40" x14ac:dyDescent="0.3">
      <c r="B444" s="1" t="s">
        <v>35</v>
      </c>
      <c r="C444" s="18">
        <f>C439*C439*(SUM((H433*C433*(1-C422/H422))/(H422-1),(H434*C434*(1-C423/H423))/(H423-1), (H435*C435*(1-C424/H424))/(H424-1),(H436*C436*(1-C425/H425))/(H425-1)))</f>
        <v>0</v>
      </c>
      <c r="D444" s="18">
        <f>D439*D439*(SUM((H432*D432*(1-D421/H421))/(H421-1),(H434*D434*(1-D423/H423))/(H423-1), (H435*D435*(1-D424/H424))/(H424-1),(H436*D436*(1-D425/H425))/(H425-1)))</f>
        <v>0</v>
      </c>
      <c r="E444" s="18">
        <f>E439*E439*(SUM((H432*E432*(1-E421/H421))/(H421-1),(H433*E433*(1-E422/H422))/(H422-1), (H435*E435*(1-E424/H424))/(H424-1),(H436*E436*(1-E425/H425))/(H425-1)))</f>
        <v>621.82296457828022</v>
      </c>
      <c r="F444" s="18">
        <f>F439*F439*(SUM((H432*F432*(1-F421/H421))/(H421-1),(H433*F433*(1-F422/H422))/(H422-1), (H434*F434*(1-F423/H423))/(H423-1),(H436*F436*(1-F425/H425))/(H425-1)))</f>
        <v>459.04356677630915</v>
      </c>
      <c r="G444" s="18">
        <f>G439*G439*(SUM((H432*G432*(1-G421/H421))/(H421-1),(H433*G433*(1-G422/H422))/(H422-1), (H434*G434*(1-G423/H423))/(H423-1),(H435*G435*(1-G424/H424))/(H424-1)))</f>
        <v>244.27579774922071</v>
      </c>
    </row>
    <row r="445" spans="1:40" x14ac:dyDescent="0.3">
      <c r="AM445" s="78"/>
      <c r="AN445" s="78"/>
    </row>
    <row r="447" spans="1:40" x14ac:dyDescent="0.3">
      <c r="A447" s="348" t="s">
        <v>388</v>
      </c>
      <c r="B447" s="348"/>
      <c r="C447" s="348"/>
      <c r="D447" s="348"/>
      <c r="E447" s="348"/>
      <c r="F447" s="348"/>
      <c r="G447" s="348"/>
      <c r="H447" s="348"/>
      <c r="I447" s="348"/>
      <c r="J447" s="348"/>
      <c r="K447" s="348"/>
      <c r="L447" s="348" t="s">
        <v>88</v>
      </c>
      <c r="M447" s="348"/>
      <c r="N447" s="348"/>
      <c r="O447" s="348"/>
      <c r="P447" s="348"/>
      <c r="AM447" s="78"/>
      <c r="AN447" s="78"/>
    </row>
    <row r="448" spans="1:40" x14ac:dyDescent="0.3">
      <c r="A448" t="s">
        <v>15</v>
      </c>
      <c r="B448" t="s">
        <v>21</v>
      </c>
      <c r="I448" s="1" t="s">
        <v>53</v>
      </c>
      <c r="O448" s="142"/>
      <c r="P448" s="142"/>
    </row>
    <row r="449" spans="1:40" ht="15.6" x14ac:dyDescent="0.35">
      <c r="B449" s="1" t="s">
        <v>0</v>
      </c>
      <c r="C449" s="13">
        <v>0</v>
      </c>
      <c r="D449" s="13">
        <v>1</v>
      </c>
      <c r="E449" s="13">
        <v>2</v>
      </c>
      <c r="F449" s="13">
        <v>3</v>
      </c>
      <c r="G449" s="13">
        <v>4</v>
      </c>
      <c r="H449" s="1" t="s">
        <v>20</v>
      </c>
      <c r="I449" s="1" t="s">
        <v>1</v>
      </c>
      <c r="J449" s="1" t="s">
        <v>13</v>
      </c>
      <c r="N449" s="1" t="s">
        <v>51</v>
      </c>
      <c r="O449" s="13"/>
      <c r="P449" s="13"/>
      <c r="AM449" s="78"/>
      <c r="AN449" s="78"/>
    </row>
    <row r="450" spans="1:40" x14ac:dyDescent="0.3">
      <c r="A450" t="s">
        <v>3</v>
      </c>
      <c r="B450" s="13">
        <v>0</v>
      </c>
      <c r="C450" s="26">
        <v>450</v>
      </c>
      <c r="D450" s="3">
        <v>0</v>
      </c>
      <c r="E450" s="3">
        <v>0</v>
      </c>
      <c r="F450" s="3">
        <v>0</v>
      </c>
      <c r="G450" s="4">
        <v>0</v>
      </c>
      <c r="H450" s="1">
        <f>SUM(C450:G450)</f>
        <v>450</v>
      </c>
      <c r="I450" s="10">
        <f>C450/H450</f>
        <v>1</v>
      </c>
      <c r="J450" s="11">
        <f>1-I450</f>
        <v>0</v>
      </c>
      <c r="K450">
        <f>H450-C455</f>
        <v>0</v>
      </c>
      <c r="N450" s="10">
        <f>2*(C456*I450)/(C456+I450)</f>
        <v>1</v>
      </c>
      <c r="O450" s="1"/>
      <c r="P450" s="1"/>
    </row>
    <row r="451" spans="1:40" x14ac:dyDescent="0.3">
      <c r="A451" t="s">
        <v>4</v>
      </c>
      <c r="B451" s="13">
        <v>1</v>
      </c>
      <c r="C451" s="5">
        <v>0</v>
      </c>
      <c r="D451" s="27">
        <v>62</v>
      </c>
      <c r="E451" s="1">
        <v>1</v>
      </c>
      <c r="F451" s="1">
        <v>1</v>
      </c>
      <c r="G451" s="6">
        <v>0</v>
      </c>
      <c r="H451" s="1">
        <f>SUM(C451:G451)</f>
        <v>64</v>
      </c>
      <c r="I451" s="10">
        <f>D451/H451</f>
        <v>0.96875</v>
      </c>
      <c r="J451" s="11">
        <f>1-I451</f>
        <v>3.125E-2</v>
      </c>
      <c r="K451">
        <f>H451-D455</f>
        <v>2</v>
      </c>
      <c r="N451" s="10">
        <f>2*(D456*I451)/(D456+I451)</f>
        <v>0.98412698412698407</v>
      </c>
      <c r="O451" s="1"/>
      <c r="P451" s="1"/>
      <c r="AM451" s="78"/>
      <c r="AN451" s="78"/>
    </row>
    <row r="452" spans="1:40" x14ac:dyDescent="0.3">
      <c r="A452" t="s">
        <v>5</v>
      </c>
      <c r="B452" s="13">
        <v>2</v>
      </c>
      <c r="C452" s="5">
        <v>0</v>
      </c>
      <c r="D452" s="1">
        <v>0</v>
      </c>
      <c r="E452" s="27">
        <v>740</v>
      </c>
      <c r="F452" s="1">
        <v>6</v>
      </c>
      <c r="G452" s="6">
        <v>2</v>
      </c>
      <c r="H452" s="1">
        <f>SUM(C452:G452)</f>
        <v>748</v>
      </c>
      <c r="I452" s="10">
        <f>E452/H452</f>
        <v>0.98930481283422456</v>
      </c>
      <c r="J452" s="11">
        <f>1-I452</f>
        <v>1.0695187165775444E-2</v>
      </c>
      <c r="K452">
        <f>H452-E455</f>
        <v>-36</v>
      </c>
      <c r="N452" s="10">
        <f>2*(E456*I452)/(E456+I452)</f>
        <v>0.96605744125326376</v>
      </c>
      <c r="O452" s="1"/>
      <c r="P452" s="1"/>
    </row>
    <row r="453" spans="1:40" x14ac:dyDescent="0.3">
      <c r="A453" t="s">
        <v>6</v>
      </c>
      <c r="B453" s="13">
        <v>3</v>
      </c>
      <c r="C453" s="5">
        <v>0</v>
      </c>
      <c r="D453" s="1">
        <v>0</v>
      </c>
      <c r="E453" s="1">
        <v>35</v>
      </c>
      <c r="F453" s="27">
        <v>576</v>
      </c>
      <c r="G453" s="6">
        <v>7</v>
      </c>
      <c r="H453" s="1">
        <f>SUM(C453:G453)</f>
        <v>618</v>
      </c>
      <c r="I453" s="10">
        <f>F453/H453</f>
        <v>0.93203883495145634</v>
      </c>
      <c r="J453" s="11">
        <f>1-I453</f>
        <v>6.7961165048543659E-2</v>
      </c>
      <c r="K453">
        <f>H453-F455</f>
        <v>-5</v>
      </c>
      <c r="N453" s="10">
        <f>2*(F456*I453)/(F456+I453)</f>
        <v>0.92828364222401294</v>
      </c>
      <c r="O453" s="1"/>
      <c r="P453" s="1"/>
      <c r="AM453" s="78"/>
      <c r="AN453" s="78"/>
    </row>
    <row r="454" spans="1:40" x14ac:dyDescent="0.3">
      <c r="A454" t="s">
        <v>7</v>
      </c>
      <c r="B454" s="13">
        <v>4</v>
      </c>
      <c r="C454" s="7">
        <v>0</v>
      </c>
      <c r="D454" s="8">
        <v>0</v>
      </c>
      <c r="E454" s="8">
        <v>8</v>
      </c>
      <c r="F454" s="8">
        <v>40</v>
      </c>
      <c r="G454" s="28">
        <v>965</v>
      </c>
      <c r="H454" s="1">
        <f>SUM(C454:G454)</f>
        <v>1013</v>
      </c>
      <c r="I454" s="10">
        <f>G454/H454</f>
        <v>0.95261599210266534</v>
      </c>
      <c r="J454" s="11">
        <f>1-I454</f>
        <v>4.7384007897334657E-2</v>
      </c>
      <c r="K454">
        <f>H454-G455</f>
        <v>39</v>
      </c>
      <c r="N454" s="10">
        <f>2*(G456*I454)/(G456+I454)</f>
        <v>0.97131353799698039</v>
      </c>
      <c r="O454" s="1"/>
      <c r="P454" s="1"/>
    </row>
    <row r="455" spans="1:40" ht="15.6" x14ac:dyDescent="0.35">
      <c r="B455" s="1" t="s">
        <v>19</v>
      </c>
      <c r="C455" s="1">
        <f>SUM(C450:C454)</f>
        <v>450</v>
      </c>
      <c r="D455" s="1">
        <f>SUM(D450:D454)</f>
        <v>62</v>
      </c>
      <c r="E455" s="1">
        <f>SUM(E450:E454)</f>
        <v>784</v>
      </c>
      <c r="F455" s="1">
        <f>SUM(F450:F454)</f>
        <v>623</v>
      </c>
      <c r="G455" s="1">
        <f>SUM(G450:G454)</f>
        <v>974</v>
      </c>
      <c r="H455" s="1">
        <f>SUM(H449:H454)</f>
        <v>2893</v>
      </c>
      <c r="I455" s="13" t="s">
        <v>12</v>
      </c>
      <c r="N455" s="16"/>
      <c r="O455" s="1"/>
      <c r="P455" s="1"/>
      <c r="AM455" s="78"/>
      <c r="AN455" s="78"/>
    </row>
    <row r="456" spans="1:40" x14ac:dyDescent="0.3">
      <c r="A456" s="1" t="s">
        <v>52</v>
      </c>
      <c r="B456" s="1" t="s">
        <v>2</v>
      </c>
      <c r="C456" s="10">
        <f>C450/C455</f>
        <v>1</v>
      </c>
      <c r="D456" s="10">
        <f>D451/D455</f>
        <v>1</v>
      </c>
      <c r="E456" s="10">
        <f>E452/E455</f>
        <v>0.94387755102040816</v>
      </c>
      <c r="F456" s="10">
        <f>F453/F455</f>
        <v>0.9245585874799358</v>
      </c>
      <c r="G456" s="10">
        <f>G454/G455</f>
        <v>0.99075975359342916</v>
      </c>
      <c r="H456" s="10"/>
      <c r="I456" s="14">
        <f>(C450+D451+E452+F453+G454)/H455</f>
        <v>0.9654338057379882</v>
      </c>
    </row>
    <row r="457" spans="1:40" x14ac:dyDescent="0.3">
      <c r="B457" s="1" t="s">
        <v>14</v>
      </c>
      <c r="C457" s="11">
        <f>1-C456</f>
        <v>0</v>
      </c>
      <c r="D457" s="11">
        <f>1-D456</f>
        <v>0</v>
      </c>
      <c r="E457" s="11">
        <f>1-E456</f>
        <v>5.6122448979591844E-2</v>
      </c>
      <c r="F457" s="11">
        <f>1-F456</f>
        <v>7.5441412520064199E-2</v>
      </c>
      <c r="G457" s="11">
        <f>1-G456</f>
        <v>9.2402464065708401E-3</v>
      </c>
      <c r="AM457" s="78"/>
      <c r="AN457" s="78"/>
    </row>
    <row r="458" spans="1:40" x14ac:dyDescent="0.3">
      <c r="C458" s="2"/>
    </row>
    <row r="459" spans="1:40" ht="15.6" x14ac:dyDescent="0.35">
      <c r="A459" t="s">
        <v>22</v>
      </c>
      <c r="B459" s="15" t="s">
        <v>23</v>
      </c>
      <c r="N459" s="12" t="s">
        <v>17</v>
      </c>
      <c r="O459" s="1" t="s">
        <v>27</v>
      </c>
      <c r="P459" s="1" t="s">
        <v>33</v>
      </c>
      <c r="AM459" s="78"/>
      <c r="AN459" s="78"/>
    </row>
    <row r="460" spans="1:40" ht="15.6" x14ac:dyDescent="0.35">
      <c r="B460" s="1" t="s">
        <v>0</v>
      </c>
      <c r="C460" s="13">
        <v>0</v>
      </c>
      <c r="D460" s="13">
        <v>1</v>
      </c>
      <c r="E460" s="13">
        <v>2</v>
      </c>
      <c r="F460" s="13">
        <v>3</v>
      </c>
      <c r="G460" s="13">
        <v>4</v>
      </c>
      <c r="H460" s="1" t="s">
        <v>28</v>
      </c>
      <c r="I460" s="1" t="s">
        <v>31</v>
      </c>
      <c r="J460" s="15" t="s">
        <v>39</v>
      </c>
      <c r="K460" s="1" t="s">
        <v>38</v>
      </c>
      <c r="L460" s="1" t="s">
        <v>26</v>
      </c>
      <c r="M460" t="s">
        <v>8</v>
      </c>
      <c r="N460" t="s">
        <v>9</v>
      </c>
      <c r="O460" s="1" t="s">
        <v>11</v>
      </c>
    </row>
    <row r="461" spans="1:40" x14ac:dyDescent="0.3">
      <c r="A461" t="s">
        <v>3</v>
      </c>
      <c r="B461" s="13">
        <v>0</v>
      </c>
      <c r="C461" s="29">
        <f>(C450/$L461)*$O461</f>
        <v>0.2626414384484691</v>
      </c>
      <c r="D461" s="31">
        <f>(D450/$L461)*$O461</f>
        <v>0</v>
      </c>
      <c r="E461" s="31">
        <f>(E450/$L461)*$O461</f>
        <v>0</v>
      </c>
      <c r="F461" s="31">
        <f>(F450/$L461)*$O461</f>
        <v>0</v>
      </c>
      <c r="G461" s="32">
        <f>(G450/$L461)*$O461</f>
        <v>0</v>
      </c>
      <c r="H461" s="17">
        <f>SUM(C461:G461)</f>
        <v>0.2626414384484691</v>
      </c>
      <c r="I461" s="17">
        <f>C461/H461*100</f>
        <v>100</v>
      </c>
      <c r="J461" s="17">
        <f>SQRT(I461*(100-I461)/(L461-1))</f>
        <v>0</v>
      </c>
      <c r="K461" s="18">
        <f>100-I461</f>
        <v>0</v>
      </c>
      <c r="L461" s="1">
        <f>H450</f>
        <v>450</v>
      </c>
      <c r="M461">
        <v>0</v>
      </c>
      <c r="N461" s="1">
        <v>253.55</v>
      </c>
      <c r="O461" s="17">
        <f>N461/N466*100</f>
        <v>0.2626414384484691</v>
      </c>
      <c r="P461" s="52">
        <f>((O461*O461*(I461/100)*(K461/100))/(L461-1))</f>
        <v>0</v>
      </c>
      <c r="AM461" s="78"/>
      <c r="AN461" s="78"/>
    </row>
    <row r="462" spans="1:40" x14ac:dyDescent="0.3">
      <c r="A462" t="s">
        <v>4</v>
      </c>
      <c r="B462" s="13">
        <v>1</v>
      </c>
      <c r="C462" s="33">
        <f t="shared" ref="C462:G465" si="53">(C451/$L462)*$O462</f>
        <v>0</v>
      </c>
      <c r="D462" s="34">
        <f t="shared" si="53"/>
        <v>0.99661219217708663</v>
      </c>
      <c r="E462" s="19">
        <f t="shared" si="53"/>
        <v>1.6074390196404623E-2</v>
      </c>
      <c r="F462" s="18">
        <f t="shared" si="53"/>
        <v>1.6074390196404623E-2</v>
      </c>
      <c r="G462" s="20">
        <f t="shared" si="53"/>
        <v>0</v>
      </c>
      <c r="H462" s="17">
        <f>SUM(C462:G462)</f>
        <v>1.0287609725698958</v>
      </c>
      <c r="I462" s="17">
        <f>D462/H462*100</f>
        <v>96.875</v>
      </c>
      <c r="J462" s="17">
        <f>SQRT(I462*(100-I462)/(L462-1))</f>
        <v>2.1921011700381303</v>
      </c>
      <c r="K462" s="18">
        <f>100-I462</f>
        <v>3.125</v>
      </c>
      <c r="L462" s="1">
        <f>H451</f>
        <v>64</v>
      </c>
      <c r="M462">
        <v>1</v>
      </c>
      <c r="N462" s="1">
        <v>993.15</v>
      </c>
      <c r="O462" s="17">
        <f>N462/N466*100</f>
        <v>1.0287609725698958</v>
      </c>
      <c r="P462" s="52">
        <f>((O462*O462*(I462/100)*(K462/100))/(L462-1))</f>
        <v>5.0856930957297397E-4</v>
      </c>
    </row>
    <row r="463" spans="1:40" x14ac:dyDescent="0.3">
      <c r="A463" t="s">
        <v>5</v>
      </c>
      <c r="B463" s="13">
        <v>2</v>
      </c>
      <c r="C463" s="33">
        <f t="shared" si="53"/>
        <v>0</v>
      </c>
      <c r="D463" s="19">
        <f t="shared" si="53"/>
        <v>0</v>
      </c>
      <c r="E463" s="34">
        <f t="shared" si="53"/>
        <v>61.41089227976537</v>
      </c>
      <c r="F463" s="19">
        <f t="shared" si="53"/>
        <v>0.49792615361971931</v>
      </c>
      <c r="G463" s="20">
        <f t="shared" si="53"/>
        <v>0.1659753845399064</v>
      </c>
      <c r="H463" s="17">
        <f>SUM(C463:G463)</f>
        <v>62.074793817924999</v>
      </c>
      <c r="I463" s="17">
        <f>E463/H463*100</f>
        <v>98.930481283422452</v>
      </c>
      <c r="J463" s="17">
        <f>SQRT(I463*(100-I463)/(L463-1))</f>
        <v>0.37635609574810108</v>
      </c>
      <c r="K463" s="18">
        <f>100-I463</f>
        <v>1.0695187165775479</v>
      </c>
      <c r="L463" s="1">
        <f>H452</f>
        <v>748</v>
      </c>
      <c r="M463">
        <v>2</v>
      </c>
      <c r="N463" s="1">
        <v>59926.05</v>
      </c>
      <c r="O463" s="17">
        <f>N463/N466*100</f>
        <v>62.074793817924999</v>
      </c>
      <c r="P463" s="52">
        <f>((O463*O463*(I463/100)*(K463/100))/(L463-1))</f>
        <v>5.4579365253402415E-2</v>
      </c>
      <c r="AM463" s="78"/>
      <c r="AN463" s="78"/>
    </row>
    <row r="464" spans="1:40" x14ac:dyDescent="0.3">
      <c r="A464" t="s">
        <v>6</v>
      </c>
      <c r="B464" s="13">
        <v>3</v>
      </c>
      <c r="C464" s="33">
        <f t="shared" si="53"/>
        <v>0</v>
      </c>
      <c r="D464" s="19">
        <f t="shared" si="53"/>
        <v>0</v>
      </c>
      <c r="E464" s="19">
        <f t="shared" si="53"/>
        <v>1.7087570767032032</v>
      </c>
      <c r="F464" s="34">
        <f t="shared" si="53"/>
        <v>28.121259319458431</v>
      </c>
      <c r="G464" s="20">
        <f t="shared" si="53"/>
        <v>0.34175141534064069</v>
      </c>
      <c r="H464" s="17">
        <f>SUM(C464:G464)</f>
        <v>30.171767811502278</v>
      </c>
      <c r="I464" s="17">
        <f>F464/H464*100</f>
        <v>93.203883495145618</v>
      </c>
      <c r="J464" s="17">
        <f>SQRT(I464*(100-I464)/(L464-1))</f>
        <v>1.0132225104353794</v>
      </c>
      <c r="K464" s="18">
        <f>100-I464</f>
        <v>6.7961165048543819</v>
      </c>
      <c r="L464" s="1">
        <f>H453</f>
        <v>618</v>
      </c>
      <c r="M464">
        <v>3</v>
      </c>
      <c r="N464" s="1">
        <v>29127.360000000001</v>
      </c>
      <c r="O464" s="17">
        <f>N464/N466*100</f>
        <v>30.171767811502274</v>
      </c>
      <c r="P464" s="52">
        <f>((O464*O464*(I464/100)*(K464/100))/(L464-1))</f>
        <v>9.3456857441680238E-2</v>
      </c>
    </row>
    <row r="465" spans="1:40" x14ac:dyDescent="0.3">
      <c r="A465" t="s">
        <v>7</v>
      </c>
      <c r="B465" s="13">
        <v>4</v>
      </c>
      <c r="C465" s="35">
        <f t="shared" si="53"/>
        <v>0</v>
      </c>
      <c r="D465" s="36">
        <f t="shared" si="53"/>
        <v>0</v>
      </c>
      <c r="E465" s="21">
        <f t="shared" si="53"/>
        <v>5.103286049006403E-2</v>
      </c>
      <c r="F465" s="21">
        <f t="shared" si="53"/>
        <v>0.25516430245032012</v>
      </c>
      <c r="G465" s="37">
        <f t="shared" si="53"/>
        <v>6.155838796613974</v>
      </c>
      <c r="H465" s="17">
        <f>SUM(C465:G465)</f>
        <v>6.4620359595543579</v>
      </c>
      <c r="I465" s="17">
        <f>G465/H465*100</f>
        <v>95.261599210266539</v>
      </c>
      <c r="J465" s="17">
        <f>SQRT(I465*(100-I465)/(L465-1))</f>
        <v>0.66785867843198421</v>
      </c>
      <c r="K465" s="18">
        <f>100-I465</f>
        <v>4.7384007897334612</v>
      </c>
      <c r="L465" s="1">
        <f>H454</f>
        <v>1013</v>
      </c>
      <c r="M465">
        <v>4</v>
      </c>
      <c r="N465" s="1">
        <v>6238.35</v>
      </c>
      <c r="O465" s="17">
        <f>N465/N466*100</f>
        <v>6.4620359595543579</v>
      </c>
      <c r="P465" s="52">
        <f>((O465*O465*(I465/100)*(K465/100))/(L465-1))</f>
        <v>1.8625497777090376E-3</v>
      </c>
      <c r="AM465" s="78"/>
      <c r="AN465" s="78"/>
    </row>
    <row r="466" spans="1:40" x14ac:dyDescent="0.3">
      <c r="B466" t="s">
        <v>28</v>
      </c>
      <c r="C466" s="17">
        <f t="shared" ref="C466:H466" si="54">SUM(C461:C465)</f>
        <v>0.2626414384484691</v>
      </c>
      <c r="D466" s="17">
        <f t="shared" si="54"/>
        <v>0.99661219217708663</v>
      </c>
      <c r="E466" s="17">
        <f t="shared" si="54"/>
        <v>63.186756607155033</v>
      </c>
      <c r="F466" s="17">
        <f t="shared" si="54"/>
        <v>28.890424165724877</v>
      </c>
      <c r="G466" s="17">
        <f t="shared" si="54"/>
        <v>6.6635655964945215</v>
      </c>
      <c r="H466" s="18">
        <f t="shared" si="54"/>
        <v>100</v>
      </c>
      <c r="I466" s="13" t="s">
        <v>24</v>
      </c>
      <c r="J466" s="12" t="s">
        <v>29</v>
      </c>
      <c r="N466" s="1">
        <f>SUM(N461:N465)</f>
        <v>96538.46</v>
      </c>
      <c r="O466" s="17">
        <f>SUM(O461:O465)</f>
        <v>100</v>
      </c>
    </row>
    <row r="467" spans="1:40" x14ac:dyDescent="0.3">
      <c r="B467" s="16" t="s">
        <v>39</v>
      </c>
      <c r="C467" s="18">
        <f>SQRT(SUM((O461*O461*(C461/O461)*(1-C461/O461))/L461,(O462*O462*(C462/O462)*(1-C462/O462))/L462,(O463*O463*(C463/O463)*(1-C463/O463))/L463,(O464*O464*(C464/O464)*(1-C464/O464))/L464,(O465*O465*(C465/O465)*(1-C465/O465))/L465))</f>
        <v>0</v>
      </c>
      <c r="D467" s="18">
        <f>SQRT(SUM((O461*O461*(D461/O461)*(1-D461/O461))/L461,(O462*O462*(D462/O462)*(1-D462/O462))/L462,(O463*O463*(D463/O463)*(1-D463/O463))/L463,(O464*O464*(D464/O464)*(1-D464/O464))/L464,(O465*O465*(D465/O465)*(1-D465/O465))/L465))</f>
        <v>2.2374604222441485E-2</v>
      </c>
      <c r="E467" s="18">
        <f>SQRT(SUM((O461*O461*(E461/O461)*(1-E461/O461))/L461,(O462*O462*(E462/O462)*(1-E462/O462))/L462,(O463*O463*(E463/O463)*(1-E463/O463))/L463,(O464*O464*(E464/O464)*(1-E464/O464))/L464,(O465*O465*(E465/O465)*(1-E465/O465))/L465))</f>
        <v>0.36576406272294082</v>
      </c>
      <c r="F467" s="18">
        <f>SQRT(SUM((O461*O461*(F461/O461)*(1-F461/O461))/L461,(O462*O462*(F462/O462)*(1-F462/O462))/L462,(O463*O463*(F463/O463)*(1-F463/O463))/L463,(O464*O464*(F464/O464)*(1-F464/O464))/L464,(O465*O465*(F465/O465)*(1-F465/O465))/L465))</f>
        <v>0.36893592036720302</v>
      </c>
      <c r="G467" s="18">
        <f>SQRT(SUM((O461*O461*(G461/O461)*(1-G461/O461))/L461,(O462*O462*(G462/O462)*(1-G462/O462))/L462,(O463*O463*(G463/O463)*(1-G463/O463))/L463,(O464*O464*(G464/O464)*(1-G464/O464))/L464,(O465*O465*(G465/O465)*(1-G465/O465))/L465))</f>
        <v>0.17914706508510325</v>
      </c>
      <c r="H467" s="1"/>
      <c r="I467" s="14">
        <f>(C461+D462+E463+F464+G465)/H466</f>
        <v>0.96947244026463342</v>
      </c>
      <c r="J467" s="53">
        <f>SQRT(SUM(P461:P465))/100</f>
        <v>3.8782385406568877E-3</v>
      </c>
      <c r="M467" s="1"/>
      <c r="N467" s="9"/>
      <c r="AM467" s="78"/>
      <c r="AN467" s="78"/>
    </row>
    <row r="468" spans="1:40" x14ac:dyDescent="0.3">
      <c r="B468" s="1" t="s">
        <v>30</v>
      </c>
      <c r="C468" s="17">
        <f>C461/C466*100</f>
        <v>100</v>
      </c>
      <c r="D468" s="17">
        <f>D462/D466*100</f>
        <v>100</v>
      </c>
      <c r="E468" s="17">
        <f>E463/E466*100</f>
        <v>97.189499156554945</v>
      </c>
      <c r="F468" s="17">
        <f>F464/F466*100</f>
        <v>97.337647789958822</v>
      </c>
      <c r="G468" s="17">
        <f>G465/G466*100</f>
        <v>92.380553736161232</v>
      </c>
      <c r="H468" s="1"/>
    </row>
    <row r="469" spans="1:40" x14ac:dyDescent="0.3">
      <c r="B469" s="16" t="s">
        <v>39</v>
      </c>
      <c r="C469" s="18">
        <f>SQRT((C472+C473)/(C466*C466))</f>
        <v>0</v>
      </c>
      <c r="D469" s="18">
        <f>SQRT((D472+D473)/(D466*D466))</f>
        <v>0</v>
      </c>
      <c r="E469" s="18">
        <f>SQRT((E472+E473)/(E466*E466))</f>
        <v>0.44572097097321983</v>
      </c>
      <c r="F469" s="18">
        <f>SQRT((F472+F473)/(F466*F466))</f>
        <v>0.75232229681234553</v>
      </c>
      <c r="G469" s="18">
        <f>SQRT((G472+G473)/(G466*G466))</f>
        <v>2.4622949605700817</v>
      </c>
      <c r="H469" s="1"/>
      <c r="AM469" s="78"/>
      <c r="AN469" s="78"/>
    </row>
    <row r="470" spans="1:40" x14ac:dyDescent="0.3">
      <c r="B470" s="1" t="s">
        <v>37</v>
      </c>
      <c r="C470" s="18">
        <f>100-C468</f>
        <v>0</v>
      </c>
      <c r="D470" s="18">
        <f>100-D468</f>
        <v>0</v>
      </c>
      <c r="E470" s="18">
        <f>100-E468</f>
        <v>2.8105008434450554</v>
      </c>
      <c r="F470" s="18">
        <f>100-F468</f>
        <v>2.6623522100411776</v>
      </c>
      <c r="G470" s="18">
        <f>100-G468</f>
        <v>7.6194462638387677</v>
      </c>
    </row>
    <row r="471" spans="1:40" ht="15.6" x14ac:dyDescent="0.35">
      <c r="B471" s="1" t="s">
        <v>25</v>
      </c>
      <c r="C471" s="1">
        <f>C455</f>
        <v>450</v>
      </c>
      <c r="D471" s="1">
        <f>D455</f>
        <v>62</v>
      </c>
      <c r="E471" s="1">
        <f>E455</f>
        <v>784</v>
      </c>
      <c r="F471" s="1">
        <f>F455</f>
        <v>623</v>
      </c>
      <c r="G471" s="1">
        <f>G455</f>
        <v>974</v>
      </c>
      <c r="AM471" s="78"/>
      <c r="AN471" s="78"/>
    </row>
    <row r="472" spans="1:40" x14ac:dyDescent="0.3">
      <c r="B472" s="1" t="s">
        <v>34</v>
      </c>
      <c r="C472" s="18">
        <f>(O461*O461*(100-C468)*(100-C468)*(I461)*(100-I461))/(L461-1)</f>
        <v>0</v>
      </c>
      <c r="D472" s="18">
        <f>(O462*O462*(100-D468)*(100-D468)*(I462)*(100-I462))/((L462-1)*100)</f>
        <v>0</v>
      </c>
      <c r="E472" s="18">
        <f>(O463*O463*(100-E468)*(100-E468)*(I463)*(100-I463))/((L463-1)*100)</f>
        <v>43.11177663996579</v>
      </c>
      <c r="F472" s="18">
        <f>(O464*O464*(100-F468)*(100-F468)*(I464)*(100-I464))/((L464-1)*100)</f>
        <v>66.243335404423206</v>
      </c>
      <c r="G472" s="18">
        <f>(O465*O465*(100-G468)*(100-G468)*(I465)*(100-I465))/((L465-1)*100)</f>
        <v>10.813211793977104</v>
      </c>
    </row>
    <row r="473" spans="1:40" x14ac:dyDescent="0.3">
      <c r="B473" s="1" t="s">
        <v>35</v>
      </c>
      <c r="C473" s="18">
        <f>C468*C468*(SUM((H462*C462*(1-C451/H451))/(H451-1),(H463*C463*(1-C452/H452))/(H452-1), (H464*C464*(1-C453/H453))/(H453-1),(H465*C465*(1-C454/H454))/(H454-1)))</f>
        <v>0</v>
      </c>
      <c r="D473" s="18">
        <f>D468*D468*(SUM((H461*D461*(1-D450/H450))/(H450-1),(H463*D463*(1-D452/H452))/(H452-1), (H464*D464*(1-D453/H453))/(H453-1),(H465*D465*(1-D454/H454))/(H454-1)))</f>
        <v>0</v>
      </c>
      <c r="E473" s="18">
        <f>E468*E468*(SUM((H461*E461*(1-E450/H450))/(H450-1),(H462*E462*(1-E451/H451))/(H451-1), (H464*E464*(1-E453/H453))/(H453-1),(H465*E465*(1-E454/H454))/(H454-1)))</f>
        <v>750.08010920144545</v>
      </c>
      <c r="F473" s="18">
        <f>F468*F468*(SUM((H461*F461*(1-F450/H450))/(H450-1),(H462*F462*(1-F451/H451))/(H451-1), (H463*F463*(1-F452/H452))/(H452-1),(H465*F465*(1-F454/H454))/(H454-1)))</f>
        <v>406.162988790187</v>
      </c>
      <c r="G473" s="18">
        <f>G468*G468*(SUM((H461*G461*(1-G450/H450))/(H450-1),(H462*G462*(1-G451/H451))/(H451-1), (H463*G463*(1-G452/H452))/(H452-1),(H464*G464*(1-G453/H453))/(H453-1)))</f>
        <v>258.39822573852348</v>
      </c>
      <c r="AM473" s="78"/>
      <c r="AN473" s="78"/>
    </row>
    <row r="475" spans="1:40" x14ac:dyDescent="0.3">
      <c r="AM475" s="78"/>
      <c r="AN475" s="78"/>
    </row>
    <row r="476" spans="1:40" x14ac:dyDescent="0.3">
      <c r="A476" s="348" t="s">
        <v>388</v>
      </c>
      <c r="B476" s="348"/>
      <c r="C476" s="348"/>
      <c r="D476" s="348"/>
      <c r="E476" s="348"/>
      <c r="F476" s="348"/>
      <c r="G476" s="348"/>
      <c r="H476" s="348"/>
      <c r="I476" s="348"/>
      <c r="J476" s="348"/>
      <c r="K476" s="348"/>
      <c r="L476" s="348" t="s">
        <v>89</v>
      </c>
      <c r="M476" s="348"/>
      <c r="N476" s="348"/>
      <c r="O476" s="348"/>
      <c r="P476" s="348"/>
    </row>
    <row r="477" spans="1:40" x14ac:dyDescent="0.3">
      <c r="A477" t="s">
        <v>15</v>
      </c>
      <c r="B477" t="s">
        <v>21</v>
      </c>
      <c r="I477" s="1" t="s">
        <v>53</v>
      </c>
      <c r="O477" s="142"/>
      <c r="P477" s="142"/>
      <c r="AM477" s="78"/>
      <c r="AN477" s="78"/>
    </row>
    <row r="478" spans="1:40" ht="15.6" x14ac:dyDescent="0.35">
      <c r="B478" s="1" t="s">
        <v>0</v>
      </c>
      <c r="C478" s="13">
        <v>0</v>
      </c>
      <c r="D478" s="13">
        <v>1</v>
      </c>
      <c r="E478" s="13">
        <v>2</v>
      </c>
      <c r="F478" s="13">
        <v>3</v>
      </c>
      <c r="G478" s="13">
        <v>4</v>
      </c>
      <c r="H478" s="1" t="s">
        <v>20</v>
      </c>
      <c r="I478" s="1" t="s">
        <v>1</v>
      </c>
      <c r="J478" s="1" t="s">
        <v>13</v>
      </c>
      <c r="N478" s="1" t="s">
        <v>51</v>
      </c>
      <c r="O478" s="13"/>
      <c r="P478" s="13"/>
    </row>
    <row r="479" spans="1:40" x14ac:dyDescent="0.3">
      <c r="A479" t="s">
        <v>3</v>
      </c>
      <c r="B479" s="13">
        <v>0</v>
      </c>
      <c r="C479" s="26">
        <v>450</v>
      </c>
      <c r="D479" s="3">
        <v>0</v>
      </c>
      <c r="E479" s="3">
        <v>0</v>
      </c>
      <c r="F479" s="3">
        <v>0</v>
      </c>
      <c r="G479" s="4">
        <v>0</v>
      </c>
      <c r="H479" s="1">
        <f>SUM(C479:G479)</f>
        <v>450</v>
      </c>
      <c r="I479" s="10">
        <f>C479/H479</f>
        <v>1</v>
      </c>
      <c r="J479" s="11">
        <f>1-I479</f>
        <v>0</v>
      </c>
      <c r="K479">
        <f>H479-C484</f>
        <v>0</v>
      </c>
      <c r="N479" s="10">
        <f>2*(C485*I479)/(C485+I479)</f>
        <v>1</v>
      </c>
      <c r="O479" s="1"/>
      <c r="P479" s="1"/>
      <c r="AM479" s="78"/>
      <c r="AN479" s="78"/>
    </row>
    <row r="480" spans="1:40" x14ac:dyDescent="0.3">
      <c r="A480" t="s">
        <v>4</v>
      </c>
      <c r="B480" s="13">
        <v>1</v>
      </c>
      <c r="C480" s="5">
        <v>0</v>
      </c>
      <c r="D480" s="27">
        <v>59</v>
      </c>
      <c r="E480" s="1">
        <v>4</v>
      </c>
      <c r="F480" s="1">
        <v>0</v>
      </c>
      <c r="G480" s="6">
        <v>1</v>
      </c>
      <c r="H480" s="1">
        <f>SUM(C480:G480)</f>
        <v>64</v>
      </c>
      <c r="I480" s="10">
        <f>D480/H480</f>
        <v>0.921875</v>
      </c>
      <c r="J480" s="11">
        <f>1-I480</f>
        <v>7.8125E-2</v>
      </c>
      <c r="K480">
        <f>H480-D484</f>
        <v>5</v>
      </c>
      <c r="N480" s="10">
        <f>2*(D485*I480)/(D485+I480)</f>
        <v>0.95934959349593496</v>
      </c>
      <c r="O480" s="1"/>
      <c r="P480" s="1"/>
    </row>
    <row r="481" spans="1:40" x14ac:dyDescent="0.3">
      <c r="A481" t="s">
        <v>5</v>
      </c>
      <c r="B481" s="13">
        <v>2</v>
      </c>
      <c r="C481" s="5">
        <v>0</v>
      </c>
      <c r="D481" s="1">
        <v>0</v>
      </c>
      <c r="E481" s="27">
        <v>739</v>
      </c>
      <c r="F481" s="1">
        <v>8</v>
      </c>
      <c r="G481" s="6">
        <v>1</v>
      </c>
      <c r="H481" s="1">
        <f>SUM(C481:G481)</f>
        <v>748</v>
      </c>
      <c r="I481" s="10">
        <f>E481/H481</f>
        <v>0.98796791443850263</v>
      </c>
      <c r="J481" s="11">
        <f>1-I481</f>
        <v>1.2032085561497374E-2</v>
      </c>
      <c r="K481">
        <f>H481-E484</f>
        <v>-37</v>
      </c>
      <c r="N481" s="10">
        <f>2*(E485*I481)/(E485+I481)</f>
        <v>0.96412263535551213</v>
      </c>
      <c r="O481" s="1"/>
      <c r="P481" s="1"/>
      <c r="AM481" s="78"/>
      <c r="AN481" s="78"/>
    </row>
    <row r="482" spans="1:40" x14ac:dyDescent="0.3">
      <c r="A482" t="s">
        <v>6</v>
      </c>
      <c r="B482" s="13">
        <v>3</v>
      </c>
      <c r="C482" s="5">
        <v>0</v>
      </c>
      <c r="D482" s="1">
        <v>0</v>
      </c>
      <c r="E482" s="1">
        <v>34</v>
      </c>
      <c r="F482" s="27">
        <v>575</v>
      </c>
      <c r="G482" s="6">
        <v>9</v>
      </c>
      <c r="H482" s="1">
        <f>SUM(C482:G482)</f>
        <v>618</v>
      </c>
      <c r="I482" s="10">
        <f>F482/H482</f>
        <v>0.93042071197411003</v>
      </c>
      <c r="J482" s="11">
        <f>1-I482</f>
        <v>6.9579288025889974E-2</v>
      </c>
      <c r="K482">
        <f>H482-F484</f>
        <v>-12</v>
      </c>
      <c r="N482" s="10">
        <f>2*(F485*I482)/(F485+I482)</f>
        <v>0.92147435897435892</v>
      </c>
      <c r="O482" s="1"/>
      <c r="P482" s="1"/>
    </row>
    <row r="483" spans="1:40" x14ac:dyDescent="0.3">
      <c r="A483" t="s">
        <v>7</v>
      </c>
      <c r="B483" s="13">
        <v>4</v>
      </c>
      <c r="C483" s="7">
        <v>0</v>
      </c>
      <c r="D483" s="8">
        <v>0</v>
      </c>
      <c r="E483" s="8">
        <v>8</v>
      </c>
      <c r="F483" s="8">
        <v>47</v>
      </c>
      <c r="G483" s="28">
        <v>958</v>
      </c>
      <c r="H483" s="1">
        <f>SUM(C483:G483)</f>
        <v>1013</v>
      </c>
      <c r="I483" s="10">
        <f>G483/H483</f>
        <v>0.94570582428430405</v>
      </c>
      <c r="J483" s="11">
        <f>1-I483</f>
        <v>5.4294175715695947E-2</v>
      </c>
      <c r="K483">
        <f>H483-G484</f>
        <v>44</v>
      </c>
      <c r="N483" s="10">
        <f>2*(G485*I483)/(G485+I483)</f>
        <v>0.96670030272452068</v>
      </c>
      <c r="O483" s="1"/>
      <c r="P483" s="1"/>
      <c r="AM483" s="78"/>
      <c r="AN483" s="78"/>
    </row>
    <row r="484" spans="1:40" ht="15.6" x14ac:dyDescent="0.35">
      <c r="B484" s="1" t="s">
        <v>19</v>
      </c>
      <c r="C484" s="1">
        <f>SUM(C479:C483)</f>
        <v>450</v>
      </c>
      <c r="D484" s="1">
        <f>SUM(D479:D483)</f>
        <v>59</v>
      </c>
      <c r="E484" s="1">
        <f>SUM(E479:E483)</f>
        <v>785</v>
      </c>
      <c r="F484" s="1">
        <f>SUM(F479:F483)</f>
        <v>630</v>
      </c>
      <c r="G484" s="1">
        <f>SUM(G479:G483)</f>
        <v>969</v>
      </c>
      <c r="H484" s="1">
        <f>SUM(H478:H483)</f>
        <v>2893</v>
      </c>
      <c r="I484" s="13" t="s">
        <v>12</v>
      </c>
      <c r="N484" s="16"/>
      <c r="O484" s="1"/>
      <c r="P484" s="1"/>
    </row>
    <row r="485" spans="1:40" x14ac:dyDescent="0.3">
      <c r="A485" s="1" t="s">
        <v>52</v>
      </c>
      <c r="B485" s="1" t="s">
        <v>2</v>
      </c>
      <c r="C485" s="10">
        <f>C479/C484</f>
        <v>1</v>
      </c>
      <c r="D485" s="10">
        <f>D480/D484</f>
        <v>1</v>
      </c>
      <c r="E485" s="10">
        <f>E481/E484</f>
        <v>0.94140127388535033</v>
      </c>
      <c r="F485" s="10">
        <f>F482/F484</f>
        <v>0.91269841269841268</v>
      </c>
      <c r="G485" s="10">
        <f>G483/G484</f>
        <v>0.98864809081527349</v>
      </c>
      <c r="H485" s="10"/>
      <c r="I485" s="14">
        <f>(C479+D480+E481+F482+G483)/H484</f>
        <v>0.96128586242654679</v>
      </c>
      <c r="AM485" s="78"/>
      <c r="AN485" s="78"/>
    </row>
    <row r="486" spans="1:40" x14ac:dyDescent="0.3">
      <c r="B486" s="1" t="s">
        <v>14</v>
      </c>
      <c r="C486" s="11">
        <f>1-C485</f>
        <v>0</v>
      </c>
      <c r="D486" s="11">
        <f>1-D485</f>
        <v>0</v>
      </c>
      <c r="E486" s="11">
        <f>1-E485</f>
        <v>5.8598726114649669E-2</v>
      </c>
      <c r="F486" s="11">
        <f>1-F485</f>
        <v>8.7301587301587324E-2</v>
      </c>
      <c r="G486" s="11">
        <f>1-G485</f>
        <v>1.1351909184726505E-2</v>
      </c>
    </row>
    <row r="487" spans="1:40" x14ac:dyDescent="0.3">
      <c r="C487" s="2"/>
      <c r="AM487" s="78"/>
      <c r="AN487" s="78"/>
    </row>
    <row r="488" spans="1:40" ht="15.6" x14ac:dyDescent="0.35">
      <c r="A488" t="s">
        <v>22</v>
      </c>
      <c r="B488" s="15" t="s">
        <v>23</v>
      </c>
      <c r="N488" s="12" t="s">
        <v>17</v>
      </c>
      <c r="O488" s="1" t="s">
        <v>27</v>
      </c>
      <c r="P488" s="1" t="s">
        <v>33</v>
      </c>
    </row>
    <row r="489" spans="1:40" ht="15.6" x14ac:dyDescent="0.35">
      <c r="B489" s="1" t="s">
        <v>0</v>
      </c>
      <c r="C489" s="13">
        <v>0</v>
      </c>
      <c r="D489" s="13">
        <v>1</v>
      </c>
      <c r="E489" s="13">
        <v>2</v>
      </c>
      <c r="F489" s="13">
        <v>3</v>
      </c>
      <c r="G489" s="13">
        <v>4</v>
      </c>
      <c r="H489" s="1" t="s">
        <v>28</v>
      </c>
      <c r="I489" s="1" t="s">
        <v>31</v>
      </c>
      <c r="J489" s="15" t="s">
        <v>39</v>
      </c>
      <c r="K489" s="1" t="s">
        <v>38</v>
      </c>
      <c r="L489" s="1" t="s">
        <v>26</v>
      </c>
      <c r="M489" t="s">
        <v>8</v>
      </c>
      <c r="N489" t="s">
        <v>9</v>
      </c>
      <c r="O489" s="1" t="s">
        <v>11</v>
      </c>
      <c r="AM489" s="78"/>
      <c r="AN489" s="78"/>
    </row>
    <row r="490" spans="1:40" x14ac:dyDescent="0.3">
      <c r="A490" t="s">
        <v>3</v>
      </c>
      <c r="B490" s="13">
        <v>0</v>
      </c>
      <c r="C490" s="29">
        <f>(C479/$L490)*$O490</f>
        <v>0.28012672670837374</v>
      </c>
      <c r="D490" s="31">
        <f>(D479/$L490)*$O490</f>
        <v>0</v>
      </c>
      <c r="E490" s="31">
        <f>(E479/$L490)*$O490</f>
        <v>0</v>
      </c>
      <c r="F490" s="31">
        <f>(F479/$L490)*$O490</f>
        <v>0</v>
      </c>
      <c r="G490" s="32">
        <f>(G479/$L490)*$O490</f>
        <v>0</v>
      </c>
      <c r="H490" s="17">
        <f>SUM(C490:G490)</f>
        <v>0.28012672670837374</v>
      </c>
      <c r="I490" s="17">
        <f>C490/H490*100</f>
        <v>100</v>
      </c>
      <c r="J490" s="17">
        <f>SQRT(I490*(100-I490)/(L490-1))</f>
        <v>0</v>
      </c>
      <c r="K490" s="18">
        <f>100-I490</f>
        <v>0</v>
      </c>
      <c r="L490" s="1">
        <f>H479</f>
        <v>450</v>
      </c>
      <c r="M490">
        <v>0</v>
      </c>
      <c r="N490" s="1">
        <v>270.43</v>
      </c>
      <c r="O490" s="17">
        <f>N490/N495*100</f>
        <v>0.28012672670837374</v>
      </c>
      <c r="P490" s="52">
        <f>((O490*O490*(I490/100)*(K490/100))/(L490-1))</f>
        <v>0</v>
      </c>
    </row>
    <row r="491" spans="1:40" x14ac:dyDescent="0.3">
      <c r="A491" t="s">
        <v>4</v>
      </c>
      <c r="B491" s="13">
        <v>1</v>
      </c>
      <c r="C491" s="33">
        <f t="shared" ref="C491:G494" si="55">(C480/$L491)*$O491</f>
        <v>0</v>
      </c>
      <c r="D491" s="34">
        <f t="shared" si="55"/>
        <v>0.84071116871049822</v>
      </c>
      <c r="E491" s="19">
        <f t="shared" si="55"/>
        <v>5.6997367370203271E-2</v>
      </c>
      <c r="F491" s="18">
        <f t="shared" si="55"/>
        <v>0</v>
      </c>
      <c r="G491" s="20">
        <f t="shared" si="55"/>
        <v>1.4249341842550818E-2</v>
      </c>
      <c r="H491" s="17">
        <f>SUM(C491:G491)</f>
        <v>0.91195787792325222</v>
      </c>
      <c r="I491" s="17">
        <f>D491/H491*100</f>
        <v>92.187500000000014</v>
      </c>
      <c r="J491" s="17">
        <f>SQRT(I491*(100-I491)/(L491-1))</f>
        <v>3.3811213593755221</v>
      </c>
      <c r="K491" s="18">
        <f>100-I491</f>
        <v>7.8124999999999858</v>
      </c>
      <c r="L491" s="1">
        <f>H480</f>
        <v>64</v>
      </c>
      <c r="M491">
        <v>1</v>
      </c>
      <c r="N491" s="1">
        <v>880.39</v>
      </c>
      <c r="O491" s="17">
        <f>N491/N495*100</f>
        <v>0.91195787792325234</v>
      </c>
      <c r="P491" s="52">
        <f>((O491*O491*(I491/100)*(K491/100))/(L491-1))</f>
        <v>9.5076038363541915E-4</v>
      </c>
      <c r="AM491" s="78"/>
      <c r="AN491" s="78"/>
    </row>
    <row r="492" spans="1:40" x14ac:dyDescent="0.3">
      <c r="A492" t="s">
        <v>5</v>
      </c>
      <c r="B492" s="13">
        <v>2</v>
      </c>
      <c r="C492" s="33">
        <f t="shared" si="55"/>
        <v>0</v>
      </c>
      <c r="D492" s="19">
        <f t="shared" si="55"/>
        <v>0</v>
      </c>
      <c r="E492" s="34">
        <f t="shared" si="55"/>
        <v>61.043827227046272</v>
      </c>
      <c r="F492" s="19">
        <f t="shared" si="55"/>
        <v>0.66082627580023023</v>
      </c>
      <c r="G492" s="20">
        <f t="shared" si="55"/>
        <v>8.2603284475028779E-2</v>
      </c>
      <c r="H492" s="17">
        <f>SUM(C492:G492)</f>
        <v>61.787256787321532</v>
      </c>
      <c r="I492" s="17">
        <f>E492/H492*100</f>
        <v>98.796791443850267</v>
      </c>
      <c r="J492" s="17">
        <f>SQRT(I492*(100-I492)/(L492-1))</f>
        <v>0.3989161097662422</v>
      </c>
      <c r="K492" s="18">
        <f>100-I492</f>
        <v>1.2032085561497325</v>
      </c>
      <c r="L492" s="1">
        <f>H481</f>
        <v>748</v>
      </c>
      <c r="M492">
        <v>2</v>
      </c>
      <c r="N492" s="1">
        <v>59648.46</v>
      </c>
      <c r="O492" s="17">
        <f>N492/N495*100</f>
        <v>61.787256787321532</v>
      </c>
      <c r="P492" s="52">
        <f>((O492*O492*(I492/100)*(K492/100))/(L492-1))</f>
        <v>6.0752055733496506E-2</v>
      </c>
    </row>
    <row r="493" spans="1:40" x14ac:dyDescent="0.3">
      <c r="A493" t="s">
        <v>6</v>
      </c>
      <c r="B493" s="13">
        <v>3</v>
      </c>
      <c r="C493" s="33">
        <f t="shared" si="55"/>
        <v>0</v>
      </c>
      <c r="D493" s="19">
        <f t="shared" si="55"/>
        <v>0</v>
      </c>
      <c r="E493" s="19">
        <f t="shared" si="55"/>
        <v>1.6822883662091201</v>
      </c>
      <c r="F493" s="34">
        <f t="shared" si="55"/>
        <v>28.450465016771886</v>
      </c>
      <c r="G493" s="20">
        <f t="shared" si="55"/>
        <v>0.44531162634947302</v>
      </c>
      <c r="H493" s="17">
        <f>SUM(C493:G493)</f>
        <v>30.57806500933048</v>
      </c>
      <c r="I493" s="17">
        <f>F493/H493*100</f>
        <v>93.042071197411005</v>
      </c>
      <c r="J493" s="17">
        <f>SQRT(I493*(100-I493)/(L493-1))</f>
        <v>1.0243233976994559</v>
      </c>
      <c r="K493" s="18">
        <f>100-I493</f>
        <v>6.9579288025889952</v>
      </c>
      <c r="L493" s="1">
        <f>H482</f>
        <v>618</v>
      </c>
      <c r="M493">
        <v>3</v>
      </c>
      <c r="N493" s="1">
        <v>29519.59</v>
      </c>
      <c r="O493" s="17">
        <f>N493/N495*100</f>
        <v>30.57806500933048</v>
      </c>
      <c r="P493" s="52">
        <f>((O493*O493*(I493/100)*(K493/100))/(L493-1))</f>
        <v>9.8105687452143209E-2</v>
      </c>
      <c r="AM493" s="78"/>
      <c r="AN493" s="78"/>
    </row>
    <row r="494" spans="1:40" x14ac:dyDescent="0.3">
      <c r="A494" t="s">
        <v>7</v>
      </c>
      <c r="B494" s="13">
        <v>4</v>
      </c>
      <c r="C494" s="35">
        <f t="shared" si="55"/>
        <v>0</v>
      </c>
      <c r="D494" s="36">
        <f t="shared" si="55"/>
        <v>0</v>
      </c>
      <c r="E494" s="21">
        <f t="shared" si="55"/>
        <v>5.0879317660148984E-2</v>
      </c>
      <c r="F494" s="21">
        <f t="shared" si="55"/>
        <v>0.29891599125337531</v>
      </c>
      <c r="G494" s="37">
        <f t="shared" si="55"/>
        <v>6.0927982898028414</v>
      </c>
      <c r="H494" s="17">
        <f>SUM(C494:G494)</f>
        <v>6.4425935987163658</v>
      </c>
      <c r="I494" s="17">
        <f>G494/H494*100</f>
        <v>94.570582428430399</v>
      </c>
      <c r="J494" s="17">
        <f>SQRT(I494*(100-I494)/(L494-1))</f>
        <v>0.71230238365553367</v>
      </c>
      <c r="K494" s="18">
        <f>100-I494</f>
        <v>5.4294175715696014</v>
      </c>
      <c r="L494" s="1">
        <f>H483</f>
        <v>1013</v>
      </c>
      <c r="M494">
        <v>4</v>
      </c>
      <c r="N494" s="1">
        <v>6219.58</v>
      </c>
      <c r="O494" s="17">
        <f>N494/N495*100</f>
        <v>6.4425935987163658</v>
      </c>
      <c r="P494" s="52">
        <f>((O494*O494*(I494/100)*(K494/100))/(L494-1))</f>
        <v>2.1059607311555133E-3</v>
      </c>
    </row>
    <row r="495" spans="1:40" x14ac:dyDescent="0.3">
      <c r="B495" t="s">
        <v>28</v>
      </c>
      <c r="C495" s="17">
        <f t="shared" ref="C495:H495" si="56">SUM(C490:C494)</f>
        <v>0.28012672670837374</v>
      </c>
      <c r="D495" s="17">
        <f t="shared" si="56"/>
        <v>0.84071116871049822</v>
      </c>
      <c r="E495" s="17">
        <f t="shared" si="56"/>
        <v>62.833992278285741</v>
      </c>
      <c r="F495" s="17">
        <f t="shared" si="56"/>
        <v>29.410207283825489</v>
      </c>
      <c r="G495" s="17">
        <f t="shared" si="56"/>
        <v>6.6349625424698937</v>
      </c>
      <c r="H495" s="18">
        <f t="shared" si="56"/>
        <v>100</v>
      </c>
      <c r="I495" s="13" t="s">
        <v>24</v>
      </c>
      <c r="J495" s="12" t="s">
        <v>29</v>
      </c>
      <c r="N495" s="1">
        <f>SUM(N490:N494)</f>
        <v>96538.45</v>
      </c>
      <c r="O495" s="17">
        <f>SUM(O490:O494)</f>
        <v>100</v>
      </c>
      <c r="AM495" s="78"/>
      <c r="AN495" s="78"/>
    </row>
    <row r="496" spans="1:40" x14ac:dyDescent="0.3">
      <c r="B496" s="16" t="s">
        <v>39</v>
      </c>
      <c r="C496" s="18">
        <f>SQRT(SUM((O490*O490*(C490/O490)*(1-C490/O490))/L490,(O491*O491*(C491/O491)*(1-C491/O491))/L491,(O492*O492*(C492/O492)*(1-C492/O492))/L492,(O493*O493*(C493/O493)*(1-C493/O493))/L493,(O494*O494*(C494/O494)*(1-C494/O494))/L494))</f>
        <v>0</v>
      </c>
      <c r="D496" s="18">
        <f>SQRT(SUM((O490*O490*(D490/O490)*(1-D490/O490))/L490,(O491*O491*(D491/O491)*(1-D491/O491))/L491,(O492*O492*(D492/O492)*(1-D492/O492))/L492,(O493*O493*(D493/O493)*(1-D493/O493))/L493,(O494*O494*(D494/O494)*(1-D494/O494))/L494))</f>
        <v>3.0592560413295215E-2</v>
      </c>
      <c r="E496" s="18">
        <f>SQRT(SUM((O490*O490*(E490/O490)*(1-E490/O490))/L490,(O491*O491*(E491/O491)*(1-E491/O491))/L491,(O492*O492*(E492/O492)*(1-E492/O492))/L492,(O493*O493*(E493/O493)*(1-E493/O493))/L493,(O494*O494*(E494/O494)*(1-E494/O494))/L494))</f>
        <v>0.37471576676562957</v>
      </c>
      <c r="F496" s="18">
        <f>SQRT(SUM((O490*O490*(F490/O490)*(1-F490/O490))/L490,(O491*O491*(F491/O491)*(1-F491/O491))/L491,(O492*O492*(F492/O492)*(1-F492/O492))/L492,(O493*O493*(F493/O493)*(1-F493/O493))/L493,(O494*O494*(F494/O494)*(1-F494/O494))/L494))</f>
        <v>0.39212552242700843</v>
      </c>
      <c r="G496" s="18">
        <f>SQRT(SUM((O490*O490*(G490/O490)*(1-G490/O490))/L490,(O491*O491*(G491/O491)*(1-G491/O491))/L491,(O492*O492*(G492/O492)*(1-G492/O492))/L492,(O493*O493*(G493/O493)*(1-G493/O493))/L493,(O494*O494*(G494/O494)*(1-G494/O494))/L494))</f>
        <v>0.17558661889254609</v>
      </c>
      <c r="H496" s="1"/>
      <c r="I496" s="14">
        <f>(C490+D491+E492+F493+G494)/H495</f>
        <v>0.9670792842903988</v>
      </c>
      <c r="J496" s="53">
        <f>SQRT(SUM(P490:P494))/100</f>
        <v>4.023859643432293E-3</v>
      </c>
      <c r="M496" s="1"/>
      <c r="N496" s="9"/>
    </row>
    <row r="497" spans="1:40" x14ac:dyDescent="0.3">
      <c r="B497" s="1" t="s">
        <v>30</v>
      </c>
      <c r="C497" s="17">
        <f>C490/C495*100</f>
        <v>100</v>
      </c>
      <c r="D497" s="17">
        <f>D491/D495*100</f>
        <v>100</v>
      </c>
      <c r="E497" s="17">
        <f>E492/E495*100</f>
        <v>97.150960831342687</v>
      </c>
      <c r="F497" s="17">
        <f>F493/F495*100</f>
        <v>96.736703492799165</v>
      </c>
      <c r="G497" s="17">
        <f>G494/G495*100</f>
        <v>91.828676511785872</v>
      </c>
      <c r="H497" s="1"/>
      <c r="AM497" s="78"/>
      <c r="AN497" s="78"/>
    </row>
    <row r="498" spans="1:40" x14ac:dyDescent="0.3">
      <c r="B498" s="16" t="s">
        <v>39</v>
      </c>
      <c r="C498" s="18">
        <f>SQRT((C501+C502)/(C495*C495))</f>
        <v>0</v>
      </c>
      <c r="D498" s="18">
        <f>SQRT((D501+D502)/(D495*D495))</f>
        <v>0</v>
      </c>
      <c r="E498" s="18">
        <f>SQRT((E501+E502)/(E495*E495))</f>
        <v>0.45105731742639815</v>
      </c>
      <c r="F498" s="18">
        <f>SQRT((F501+F502)/(F495*F495))</f>
        <v>0.85173511468147189</v>
      </c>
      <c r="G498" s="18">
        <f>SQRT((G501+G502)/(G495*G495))</f>
        <v>2.4147662887986292</v>
      </c>
      <c r="H498" s="1"/>
    </row>
    <row r="499" spans="1:40" x14ac:dyDescent="0.3">
      <c r="B499" s="1" t="s">
        <v>37</v>
      </c>
      <c r="C499" s="18">
        <f>100-C497</f>
        <v>0</v>
      </c>
      <c r="D499" s="18">
        <f>100-D497</f>
        <v>0</v>
      </c>
      <c r="E499" s="18">
        <f>100-E497</f>
        <v>2.8490391686573133</v>
      </c>
      <c r="F499" s="18">
        <f>100-F497</f>
        <v>3.2632965072008346</v>
      </c>
      <c r="G499" s="18">
        <f>100-G497</f>
        <v>8.1713234882141279</v>
      </c>
      <c r="AM499" s="78"/>
      <c r="AN499" s="78"/>
    </row>
    <row r="500" spans="1:40" ht="15.6" x14ac:dyDescent="0.35">
      <c r="B500" s="1" t="s">
        <v>25</v>
      </c>
      <c r="C500" s="1">
        <f>C484</f>
        <v>450</v>
      </c>
      <c r="D500" s="1">
        <f>D484</f>
        <v>59</v>
      </c>
      <c r="E500" s="1">
        <f>E484</f>
        <v>785</v>
      </c>
      <c r="F500" s="1">
        <f>F484</f>
        <v>630</v>
      </c>
      <c r="G500" s="1">
        <f>G484</f>
        <v>969</v>
      </c>
    </row>
    <row r="501" spans="1:40" x14ac:dyDescent="0.3">
      <c r="B501" s="1" t="s">
        <v>34</v>
      </c>
      <c r="C501" s="18">
        <f>(O490*O490*(100-C497)*(100-C497)*(I490)*(100-I490))/(L490-1)</f>
        <v>0</v>
      </c>
      <c r="D501" s="18">
        <f>(O491*O491*(100-D497)*(100-D497)*(I491)*(100-I491))/((L491-1)*100)</f>
        <v>0</v>
      </c>
      <c r="E501" s="18">
        <f>(O492*O492*(100-E497)*(100-E497)*(I492)*(100-I492))/((L492-1)*100)</f>
        <v>49.312590564952906</v>
      </c>
      <c r="F501" s="18">
        <f>(O493*O493*(100-F497)*(100-F497)*(I493)*(100-I493))/((L493-1)*100)</f>
        <v>104.47376778823916</v>
      </c>
      <c r="G501" s="18">
        <f>(O494*O494*(100-G497)*(100-G497)*(I494)*(100-I494))/((L494-1)*100)</f>
        <v>14.061610901681544</v>
      </c>
      <c r="AM501" s="78"/>
      <c r="AN501" s="78"/>
    </row>
    <row r="502" spans="1:40" x14ac:dyDescent="0.3">
      <c r="B502" s="1" t="s">
        <v>35</v>
      </c>
      <c r="C502" s="18">
        <f>C497*C497*(SUM((H491*C491*(1-C480/H480))/(H480-1),(H492*C492*(1-C481/H481))/(H481-1), (H493*C493*(1-C482/H482))/(H482-1),(H494*C494*(1-C483/H483))/(H483-1)))</f>
        <v>0</v>
      </c>
      <c r="D502" s="18">
        <f>D497*D497*(SUM((H490*D490*(1-D479/H479))/(H479-1),(H492*D492*(1-D481/H481))/(H481-1), (H493*D493*(1-D482/H482))/(H482-1),(H494*D494*(1-D483/H483))/(H483-1)))</f>
        <v>0</v>
      </c>
      <c r="E502" s="18">
        <f>E497*E497*(SUM((H490*E490*(1-E479/H479))/(H479-1),(H491*E491*(1-E480/H480))/(H480-1), (H493*E493*(1-E482/H482))/(H482-1),(H494*E494*(1-E483/H483))/(H483-1)))</f>
        <v>753.94118220816813</v>
      </c>
      <c r="F502" s="18">
        <f>F497*F497*(SUM((H490*F490*(1-F479/H479))/(H479-1),(H491*F491*(1-F480/H480))/(H480-1), (H492*F492*(1-F481/H481))/(H481-1),(H494*F494*(1-F483/H483))/(H483-1)))</f>
        <v>523.0140166101537</v>
      </c>
      <c r="G502" s="18">
        <f>G497*G497*(SUM((H490*G490*(1-G479/H479))/(H479-1),(H491*G491*(1-G480/H480))/(H480-1), (H492*G492*(1-G481/H481))/(H481-1),(H493*G493*(1-G482/H482))/(H482-1)))</f>
        <v>242.63915200223758</v>
      </c>
    </row>
    <row r="503" spans="1:40" x14ac:dyDescent="0.3">
      <c r="AM503" s="78"/>
      <c r="AN503" s="78"/>
    </row>
    <row r="505" spans="1:40" x14ac:dyDescent="0.3">
      <c r="A505" s="348" t="s">
        <v>388</v>
      </c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 t="s">
        <v>90</v>
      </c>
      <c r="M505" s="348"/>
      <c r="N505" s="348"/>
      <c r="O505" s="348"/>
      <c r="P505" s="348"/>
      <c r="AM505" s="78"/>
      <c r="AN505" s="78"/>
    </row>
    <row r="506" spans="1:40" x14ac:dyDescent="0.3">
      <c r="A506" t="s">
        <v>15</v>
      </c>
      <c r="B506" t="s">
        <v>21</v>
      </c>
      <c r="I506" s="1" t="s">
        <v>53</v>
      </c>
      <c r="O506" s="142"/>
      <c r="P506" s="142"/>
    </row>
    <row r="507" spans="1:40" ht="15.6" x14ac:dyDescent="0.35">
      <c r="B507" s="1" t="s">
        <v>0</v>
      </c>
      <c r="C507" s="13">
        <v>0</v>
      </c>
      <c r="D507" s="13">
        <v>1</v>
      </c>
      <c r="E507" s="13">
        <v>2</v>
      </c>
      <c r="F507" s="13">
        <v>3</v>
      </c>
      <c r="G507" s="13">
        <v>4</v>
      </c>
      <c r="H507" s="1" t="s">
        <v>20</v>
      </c>
      <c r="I507" s="1" t="s">
        <v>1</v>
      </c>
      <c r="J507" s="1" t="s">
        <v>13</v>
      </c>
      <c r="N507" s="1" t="s">
        <v>51</v>
      </c>
      <c r="O507" s="13"/>
      <c r="P507" s="13"/>
      <c r="AM507" s="78"/>
      <c r="AN507" s="78"/>
    </row>
    <row r="508" spans="1:40" x14ac:dyDescent="0.3">
      <c r="A508" t="s">
        <v>3</v>
      </c>
      <c r="B508" s="13">
        <v>0</v>
      </c>
      <c r="C508" s="26">
        <v>450</v>
      </c>
      <c r="D508" s="3">
        <v>0</v>
      </c>
      <c r="E508" s="3">
        <v>0</v>
      </c>
      <c r="F508" s="3">
        <v>0</v>
      </c>
      <c r="G508" s="4">
        <v>0</v>
      </c>
      <c r="H508" s="1">
        <f>SUM(C508:G508)</f>
        <v>450</v>
      </c>
      <c r="I508" s="10">
        <f>C508/H508</f>
        <v>1</v>
      </c>
      <c r="J508" s="11">
        <f>1-I508</f>
        <v>0</v>
      </c>
      <c r="K508">
        <f>H508-C513</f>
        <v>-1</v>
      </c>
      <c r="N508" s="10">
        <f>2*(C514*I508)/(C514+I508)</f>
        <v>0.99889012208657046</v>
      </c>
      <c r="O508" s="1"/>
      <c r="P508" s="1"/>
    </row>
    <row r="509" spans="1:40" x14ac:dyDescent="0.3">
      <c r="A509" t="s">
        <v>4</v>
      </c>
      <c r="B509" s="13">
        <v>1</v>
      </c>
      <c r="C509" s="5">
        <v>0</v>
      </c>
      <c r="D509" s="27">
        <v>60</v>
      </c>
      <c r="E509" s="1">
        <v>3</v>
      </c>
      <c r="F509" s="1">
        <v>0</v>
      </c>
      <c r="G509" s="6">
        <v>1</v>
      </c>
      <c r="H509" s="1">
        <f>SUM(C509:G509)</f>
        <v>64</v>
      </c>
      <c r="I509" s="10">
        <f>D509/H509</f>
        <v>0.9375</v>
      </c>
      <c r="J509" s="11">
        <f>1-I509</f>
        <v>6.25E-2</v>
      </c>
      <c r="K509">
        <f>H509-D513</f>
        <v>3</v>
      </c>
      <c r="N509" s="10">
        <f>2*(D514*I509)/(D514+I509)</f>
        <v>0.96</v>
      </c>
      <c r="O509" s="1"/>
      <c r="P509" s="1"/>
      <c r="AM509" s="78"/>
      <c r="AN509" s="78"/>
    </row>
    <row r="510" spans="1:40" x14ac:dyDescent="0.3">
      <c r="A510" t="s">
        <v>5</v>
      </c>
      <c r="B510" s="13">
        <v>2</v>
      </c>
      <c r="C510" s="5">
        <v>1</v>
      </c>
      <c r="D510" s="1">
        <v>0</v>
      </c>
      <c r="E510" s="27">
        <v>741</v>
      </c>
      <c r="F510" s="1">
        <v>3</v>
      </c>
      <c r="G510" s="6">
        <v>3</v>
      </c>
      <c r="H510" s="1">
        <f>SUM(C510:G510)</f>
        <v>748</v>
      </c>
      <c r="I510" s="10">
        <f>E510/H510</f>
        <v>0.99064171122994649</v>
      </c>
      <c r="J510" s="11">
        <f>1-I510</f>
        <v>9.3582887700535133E-3</v>
      </c>
      <c r="K510">
        <f>H510-E513</f>
        <v>-35</v>
      </c>
      <c r="N510" s="10">
        <f>2*(E514*I510)/(E514+I510)</f>
        <v>0.96799477465708672</v>
      </c>
      <c r="O510" s="1"/>
      <c r="P510" s="1"/>
    </row>
    <row r="511" spans="1:40" x14ac:dyDescent="0.3">
      <c r="A511" t="s">
        <v>6</v>
      </c>
      <c r="B511" s="13">
        <v>3</v>
      </c>
      <c r="C511" s="5">
        <v>0</v>
      </c>
      <c r="D511" s="1">
        <v>0</v>
      </c>
      <c r="E511" s="1">
        <v>32</v>
      </c>
      <c r="F511" s="27">
        <v>574</v>
      </c>
      <c r="G511" s="6">
        <v>12</v>
      </c>
      <c r="H511" s="1">
        <f>SUM(C511:G511)</f>
        <v>618</v>
      </c>
      <c r="I511" s="10">
        <f>F511/H511</f>
        <v>0.92880258899676371</v>
      </c>
      <c r="J511" s="11">
        <f>1-I511</f>
        <v>7.1197411003236288E-2</v>
      </c>
      <c r="K511">
        <f>H511-F513</f>
        <v>10</v>
      </c>
      <c r="N511" s="10">
        <f>2*(F514*I511)/(F514+I511)</f>
        <v>0.9363784665579119</v>
      </c>
      <c r="O511" s="1"/>
      <c r="P511" s="1"/>
      <c r="AM511" s="78"/>
      <c r="AN511" s="78"/>
    </row>
    <row r="512" spans="1:40" x14ac:dyDescent="0.3">
      <c r="A512" t="s">
        <v>7</v>
      </c>
      <c r="B512" s="13">
        <v>4</v>
      </c>
      <c r="C512" s="7">
        <v>0</v>
      </c>
      <c r="D512" s="8">
        <v>1</v>
      </c>
      <c r="E512" s="8">
        <v>7</v>
      </c>
      <c r="F512" s="8">
        <v>31</v>
      </c>
      <c r="G512" s="28">
        <v>974</v>
      </c>
      <c r="H512" s="1">
        <f>SUM(C512:G512)</f>
        <v>1013</v>
      </c>
      <c r="I512" s="10">
        <f>G512/H512</f>
        <v>0.96150049358341561</v>
      </c>
      <c r="J512" s="11">
        <f>1-I512</f>
        <v>3.8499506416584395E-2</v>
      </c>
      <c r="K512">
        <f>H512-G513</f>
        <v>23</v>
      </c>
      <c r="N512" s="10">
        <f>2*(G514*I512)/(G514+I512)</f>
        <v>0.97254118821767355</v>
      </c>
      <c r="O512" s="1"/>
      <c r="P512" s="1"/>
    </row>
    <row r="513" spans="1:40" ht="15.6" x14ac:dyDescent="0.35">
      <c r="B513" s="1" t="s">
        <v>19</v>
      </c>
      <c r="C513" s="1">
        <f>SUM(C508:C512)</f>
        <v>451</v>
      </c>
      <c r="D513" s="1">
        <f>SUM(D508:D512)</f>
        <v>61</v>
      </c>
      <c r="E513" s="1">
        <f>SUM(E508:E512)</f>
        <v>783</v>
      </c>
      <c r="F513" s="1">
        <f>SUM(F508:F512)</f>
        <v>608</v>
      </c>
      <c r="G513" s="1">
        <f>SUM(G508:G512)</f>
        <v>990</v>
      </c>
      <c r="H513" s="1">
        <f>SUM(H507:H512)</f>
        <v>2893</v>
      </c>
      <c r="I513" s="13" t="s">
        <v>12</v>
      </c>
      <c r="N513" s="16"/>
      <c r="O513" s="1"/>
      <c r="P513" s="1"/>
      <c r="AM513" s="78"/>
      <c r="AN513" s="78"/>
    </row>
    <row r="514" spans="1:40" x14ac:dyDescent="0.3">
      <c r="A514" s="1" t="s">
        <v>52</v>
      </c>
      <c r="B514" s="1" t="s">
        <v>2</v>
      </c>
      <c r="C514" s="10">
        <f>C508/C513</f>
        <v>0.99778270509977829</v>
      </c>
      <c r="D514" s="10">
        <f>D509/D513</f>
        <v>0.98360655737704916</v>
      </c>
      <c r="E514" s="10">
        <f>E510/E513</f>
        <v>0.94636015325670497</v>
      </c>
      <c r="F514" s="10">
        <f>F511/F513</f>
        <v>0.94407894736842102</v>
      </c>
      <c r="G514" s="10">
        <f>G512/G513</f>
        <v>0.98383838383838385</v>
      </c>
      <c r="H514" s="10"/>
      <c r="I514" s="14">
        <f>(C508+D509+E510+F511+G512)/H513</f>
        <v>0.96750777739370897</v>
      </c>
    </row>
    <row r="515" spans="1:40" x14ac:dyDescent="0.3">
      <c r="B515" s="1" t="s">
        <v>14</v>
      </c>
      <c r="C515" s="11">
        <f>1-C514</f>
        <v>2.2172949002217113E-3</v>
      </c>
      <c r="D515" s="11">
        <f>1-D514</f>
        <v>1.6393442622950838E-2</v>
      </c>
      <c r="E515" s="11">
        <f>1-E514</f>
        <v>5.3639846743295028E-2</v>
      </c>
      <c r="F515" s="11">
        <f>1-F514</f>
        <v>5.5921052631578982E-2</v>
      </c>
      <c r="G515" s="11">
        <f>1-G514</f>
        <v>1.6161616161616155E-2</v>
      </c>
      <c r="AM515" s="78"/>
      <c r="AN515" s="78"/>
    </row>
    <row r="516" spans="1:40" x14ac:dyDescent="0.3">
      <c r="C516" s="2"/>
    </row>
    <row r="517" spans="1:40" ht="15.6" x14ac:dyDescent="0.35">
      <c r="A517" t="s">
        <v>22</v>
      </c>
      <c r="B517" s="15" t="s">
        <v>23</v>
      </c>
      <c r="N517" s="12" t="s">
        <v>17</v>
      </c>
      <c r="O517" s="1" t="s">
        <v>27</v>
      </c>
      <c r="P517" s="1" t="s">
        <v>33</v>
      </c>
      <c r="AM517" s="78"/>
      <c r="AN517" s="78"/>
    </row>
    <row r="518" spans="1:40" ht="15.6" x14ac:dyDescent="0.35">
      <c r="B518" s="1" t="s">
        <v>0</v>
      </c>
      <c r="C518" s="13">
        <v>0</v>
      </c>
      <c r="D518" s="13">
        <v>1</v>
      </c>
      <c r="E518" s="13">
        <v>2</v>
      </c>
      <c r="F518" s="13">
        <v>3</v>
      </c>
      <c r="G518" s="13">
        <v>4</v>
      </c>
      <c r="H518" s="1" t="s">
        <v>28</v>
      </c>
      <c r="I518" s="1" t="s">
        <v>31</v>
      </c>
      <c r="J518" s="15" t="s">
        <v>39</v>
      </c>
      <c r="K518" s="1" t="s">
        <v>38</v>
      </c>
      <c r="L518" s="1" t="s">
        <v>26</v>
      </c>
      <c r="M518" t="s">
        <v>8</v>
      </c>
      <c r="N518" t="s">
        <v>9</v>
      </c>
      <c r="O518" s="1" t="s">
        <v>11</v>
      </c>
    </row>
    <row r="519" spans="1:40" x14ac:dyDescent="0.3">
      <c r="A519" t="s">
        <v>3</v>
      </c>
      <c r="B519" s="13">
        <v>0</v>
      </c>
      <c r="C519" s="29">
        <f>(C508/$L519)*$O519</f>
        <v>0.2682661953103862</v>
      </c>
      <c r="D519" s="31">
        <f>(D508/$L519)*$O519</f>
        <v>0</v>
      </c>
      <c r="E519" s="31">
        <f>(E508/$L519)*$O519</f>
        <v>0</v>
      </c>
      <c r="F519" s="31">
        <f>(F508/$L519)*$O519</f>
        <v>0</v>
      </c>
      <c r="G519" s="32">
        <f>(G508/$L519)*$O519</f>
        <v>0</v>
      </c>
      <c r="H519" s="17">
        <f>SUM(C519:G519)</f>
        <v>0.2682661953103862</v>
      </c>
      <c r="I519" s="17">
        <f>C519/H519*100</f>
        <v>100</v>
      </c>
      <c r="J519" s="17">
        <f>SQRT(I519*(100-I519)/(L519-1))</f>
        <v>0</v>
      </c>
      <c r="K519" s="18">
        <f>100-I519</f>
        <v>0</v>
      </c>
      <c r="L519" s="1">
        <f>H508</f>
        <v>450</v>
      </c>
      <c r="M519">
        <v>0</v>
      </c>
      <c r="N519" s="1">
        <v>258.98</v>
      </c>
      <c r="O519" s="17">
        <f>N519/N524*100</f>
        <v>0.2682661953103862</v>
      </c>
      <c r="P519" s="52">
        <f>((O519*O519*(I519/100)*(K519/100))/(L519-1))</f>
        <v>0</v>
      </c>
      <c r="AM519" s="78"/>
      <c r="AN519" s="78"/>
    </row>
    <row r="520" spans="1:40" x14ac:dyDescent="0.3">
      <c r="A520" t="s">
        <v>4</v>
      </c>
      <c r="B520" s="13">
        <v>1</v>
      </c>
      <c r="C520" s="33">
        <f t="shared" ref="C520:G523" si="57">(C509/$L520)*$O520</f>
        <v>0</v>
      </c>
      <c r="D520" s="34">
        <f t="shared" si="57"/>
        <v>1.0034150645069466</v>
      </c>
      <c r="E520" s="19">
        <f t="shared" si="57"/>
        <v>5.0170753225347337E-2</v>
      </c>
      <c r="F520" s="18">
        <f t="shared" si="57"/>
        <v>0</v>
      </c>
      <c r="G520" s="20">
        <f t="shared" si="57"/>
        <v>1.6723584408449111E-2</v>
      </c>
      <c r="H520" s="17">
        <f>SUM(C520:G520)</f>
        <v>1.0703094021407429</v>
      </c>
      <c r="I520" s="17">
        <f>D520/H520*100</f>
        <v>93.750000000000014</v>
      </c>
      <c r="J520" s="17">
        <f>SQRT(I520*(100-I520)/(L520-1))</f>
        <v>3.0496877279641628</v>
      </c>
      <c r="K520" s="18">
        <f>100-I520</f>
        <v>6.2499999999999858</v>
      </c>
      <c r="L520" s="1">
        <f>H509</f>
        <v>64</v>
      </c>
      <c r="M520">
        <v>1</v>
      </c>
      <c r="N520" s="1">
        <v>1033.26</v>
      </c>
      <c r="O520" s="17">
        <f>N520/N524*100</f>
        <v>1.0703094021407431</v>
      </c>
      <c r="P520" s="52">
        <f>((O520*O520*(I520/100)*(K520/100))/(L520-1))</f>
        <v>1.065441049396273E-3</v>
      </c>
    </row>
    <row r="521" spans="1:40" x14ac:dyDescent="0.3">
      <c r="A521" t="s">
        <v>5</v>
      </c>
      <c r="B521" s="13">
        <v>2</v>
      </c>
      <c r="C521" s="33">
        <f t="shared" si="57"/>
        <v>8.248375404840258E-2</v>
      </c>
      <c r="D521" s="19">
        <f t="shared" si="57"/>
        <v>0</v>
      </c>
      <c r="E521" s="34">
        <f t="shared" si="57"/>
        <v>61.120461749866315</v>
      </c>
      <c r="F521" s="19">
        <f t="shared" si="57"/>
        <v>0.2474512621452078</v>
      </c>
      <c r="G521" s="20">
        <f t="shared" si="57"/>
        <v>0.2474512621452078</v>
      </c>
      <c r="H521" s="17">
        <f>SUM(C521:G521)</f>
        <v>61.697848028205129</v>
      </c>
      <c r="I521" s="17">
        <f>E521/H521*100</f>
        <v>99.064171122994665</v>
      </c>
      <c r="J521" s="17">
        <f>SQRT(I521*(100-I521)/(L521-1))</f>
        <v>0.35228668199337526</v>
      </c>
      <c r="K521" s="18">
        <f>100-I521</f>
        <v>0.9358288770053349</v>
      </c>
      <c r="L521" s="1">
        <f>H510</f>
        <v>748</v>
      </c>
      <c r="M521">
        <v>2</v>
      </c>
      <c r="N521" s="1">
        <v>59562.14</v>
      </c>
      <c r="O521" s="17">
        <f>N521/N524*100</f>
        <v>61.697848028205136</v>
      </c>
      <c r="P521" s="52">
        <f>((O521*O521*(I521/100)*(K521/100))/(L521-1))</f>
        <v>4.7242457751144482E-2</v>
      </c>
      <c r="AM521" s="78"/>
      <c r="AN521" s="78"/>
    </row>
    <row r="522" spans="1:40" x14ac:dyDescent="0.3">
      <c r="A522" t="s">
        <v>6</v>
      </c>
      <c r="B522" s="13">
        <v>3</v>
      </c>
      <c r="C522" s="33">
        <f t="shared" si="57"/>
        <v>0</v>
      </c>
      <c r="D522" s="19">
        <f t="shared" si="57"/>
        <v>0</v>
      </c>
      <c r="E522" s="19">
        <f t="shared" si="57"/>
        <v>1.5588168565062326</v>
      </c>
      <c r="F522" s="34">
        <f t="shared" si="57"/>
        <v>27.961277363580546</v>
      </c>
      <c r="G522" s="20">
        <f t="shared" si="57"/>
        <v>0.58455632118983714</v>
      </c>
      <c r="H522" s="17">
        <f>SUM(C522:G522)</f>
        <v>30.104650541276616</v>
      </c>
      <c r="I522" s="17">
        <f>F522/H522*100</f>
        <v>92.880258899676377</v>
      </c>
      <c r="J522" s="17">
        <f>SQRT(I522*(100-I522)/(L522-1))</f>
        <v>1.035264274387411</v>
      </c>
      <c r="K522" s="18">
        <f>100-I522</f>
        <v>7.1197411003236226</v>
      </c>
      <c r="L522" s="1">
        <f>H511</f>
        <v>618</v>
      </c>
      <c r="M522">
        <v>3</v>
      </c>
      <c r="N522" s="1">
        <v>29062.560000000001</v>
      </c>
      <c r="O522" s="17">
        <f>N522/N524*100</f>
        <v>30.104650541276616</v>
      </c>
      <c r="P522" s="52">
        <f>((O522*O522*(I522/100)*(K522/100))/(L522-1))</f>
        <v>9.7133633574098571E-2</v>
      </c>
    </row>
    <row r="523" spans="1:40" x14ac:dyDescent="0.3">
      <c r="A523" t="s">
        <v>7</v>
      </c>
      <c r="B523" s="13">
        <v>4</v>
      </c>
      <c r="C523" s="35">
        <f t="shared" si="57"/>
        <v>0</v>
      </c>
      <c r="D523" s="36">
        <f t="shared" si="57"/>
        <v>6.7709040800267703E-3</v>
      </c>
      <c r="E523" s="21">
        <f t="shared" si="57"/>
        <v>4.7396328560187398E-2</v>
      </c>
      <c r="F523" s="21">
        <f t="shared" si="57"/>
        <v>0.20989802648082989</v>
      </c>
      <c r="G523" s="37">
        <f t="shared" si="57"/>
        <v>6.5948605739460744</v>
      </c>
      <c r="H523" s="17">
        <f>SUM(C523:G523)</f>
        <v>6.8589258330671186</v>
      </c>
      <c r="I523" s="17">
        <f>G523/H523*100</f>
        <v>96.150049358341562</v>
      </c>
      <c r="J523" s="17">
        <f>SQRT(I523*(100-I523)/(L523-1))</f>
        <v>0.60480041478323565</v>
      </c>
      <c r="K523" s="18">
        <f>100-I523</f>
        <v>3.8499506416584381</v>
      </c>
      <c r="L523" s="1">
        <f>H512</f>
        <v>1013</v>
      </c>
      <c r="M523">
        <v>4</v>
      </c>
      <c r="N523" s="1">
        <v>6621.5</v>
      </c>
      <c r="O523" s="17">
        <f>N523/N524*100</f>
        <v>6.8589258330671186</v>
      </c>
      <c r="P523" s="52">
        <f>((O523*O523*(I523/100)*(K523/100))/(L523-1))</f>
        <v>1.72082368214054E-3</v>
      </c>
      <c r="AM523" s="78"/>
      <c r="AN523" s="78"/>
    </row>
    <row r="524" spans="1:40" x14ac:dyDescent="0.3">
      <c r="B524" t="s">
        <v>28</v>
      </c>
      <c r="C524" s="17">
        <f>SUM(C519:C523)</f>
        <v>0.35074994935878878</v>
      </c>
      <c r="D524" s="17">
        <f>SUM(D519:D523)</f>
        <v>1.0101859685869734</v>
      </c>
      <c r="E524" s="17">
        <f>SUM(E519:E523)</f>
        <v>62.776845688158083</v>
      </c>
      <c r="F524" s="17">
        <f>SUM(F519:F523)</f>
        <v>28.418626652206584</v>
      </c>
      <c r="G524" s="17">
        <f>SUM(G519:G523)</f>
        <v>7.4435917416895681</v>
      </c>
      <c r="H524" s="1">
        <f>SUM(H518:H523)</f>
        <v>99.999999999999986</v>
      </c>
      <c r="I524" s="13" t="s">
        <v>24</v>
      </c>
      <c r="J524" s="12" t="s">
        <v>29</v>
      </c>
      <c r="N524" s="1">
        <f>SUM(N519:N523)</f>
        <v>96538.44</v>
      </c>
      <c r="O524" s="17">
        <f>SUM(O519:O523)</f>
        <v>100</v>
      </c>
    </row>
    <row r="525" spans="1:40" x14ac:dyDescent="0.3">
      <c r="B525" s="16" t="s">
        <v>39</v>
      </c>
      <c r="C525" s="18">
        <f>SQRT(SUM((O519*O519*(C519/O519)*(1-C519/O519))/L519,(O520*O520*(C520/O520)*(1-C520/O520))/L520,(O521*O521*(C521/O521)*(1-C521/O521))/L521,(O522*O522*(C522/O522)*(1-C522/O522))/L522,(O523*O523*(C523/O523)*(1-C523/O523))/L523))</f>
        <v>8.2428599408969905E-2</v>
      </c>
      <c r="D525" s="18">
        <f>SQRT(SUM((O519*O519*(D519/O519)*(1-D519/O519))/L519,(O520*O520*(D520/O520)*(1-D520/O520))/L520,(O521*O521*(D521/O521)*(1-D521/O521))/L521,(O522*O522*(D522/O522)*(1-D522/O522))/L522,(O523*O523*(D523/O523)*(1-D523/O523))/L523))</f>
        <v>3.3084640216522951E-2</v>
      </c>
      <c r="E525" s="18">
        <f>SQRT(SUM((O519*O519*(E519/O519)*(1-E519/O519))/L519,(O520*O520*(E520/O520)*(1-E520/O520))/L520,(O521*O521*(E521/O521)*(1-E521/O521))/L521,(O522*O522*(E522/O522)*(1-E522/O522))/L522,(O523*O523*(E523/O523)*(1-E523/O523))/L523))</f>
        <v>0.34684362027862475</v>
      </c>
      <c r="F525" s="18">
        <f>SQRT(SUM((O519*O519*(F519/O519)*(1-F519/O519))/L519,(O520*O520*(F520/O520)*(1-F520/O520))/L520,(O521*O521*(F521/O521)*(1-F521/O521))/L521,(O522*O522*(F522/O522)*(1-F522/O522))/L522,(O523*O523*(F523/O523)*(1-F523/O523))/L523))</f>
        <v>0.3445040129498792</v>
      </c>
      <c r="G525" s="18">
        <f>SQRT(SUM((O519*O519*(G519/O519)*(1-G519/O519))/L519,(O520*O520*(G520/O520)*(1-G520/O520))/L520,(O521*O521*(G521/O521)*(1-G521/O521))/L521,(O522*O522*(G522/O522)*(1-G522/O522))/L522,(O523*O523*(G523/O523)*(1-G523/O523))/L523))</f>
        <v>0.22415589753105328</v>
      </c>
      <c r="H525" s="1"/>
      <c r="I525" s="14">
        <f>(C519+D520+E521+F522+G523)/H524</f>
        <v>0.96948280947210297</v>
      </c>
      <c r="J525" s="53">
        <f>SQRT(SUM(P519:P523))/100</f>
        <v>3.8361746057339451E-3</v>
      </c>
      <c r="M525" s="1"/>
      <c r="N525" s="9"/>
      <c r="AM525" s="78"/>
      <c r="AN525" s="78"/>
    </row>
    <row r="526" spans="1:40" x14ac:dyDescent="0.3">
      <c r="B526" s="1" t="s">
        <v>30</v>
      </c>
      <c r="C526" s="17">
        <f>C519/C524*100</f>
        <v>76.483602007871326</v>
      </c>
      <c r="D526" s="17">
        <f>D520/D524*100</f>
        <v>99.329736871172571</v>
      </c>
      <c r="E526" s="17">
        <f>E521/E524*100</f>
        <v>97.361473135302461</v>
      </c>
      <c r="F526" s="17">
        <f>F522/F524*100</f>
        <v>98.390670688548127</v>
      </c>
      <c r="G526" s="17">
        <f>G523/G524*100</f>
        <v>88.597827538149659</v>
      </c>
      <c r="H526" s="1"/>
    </row>
    <row r="527" spans="1:40" x14ac:dyDescent="0.3">
      <c r="B527" s="16" t="s">
        <v>39</v>
      </c>
      <c r="C527" s="18">
        <f>SQRT((C530+C531)/(C524*C524))</f>
        <v>17.986188246886748</v>
      </c>
      <c r="D527" s="18">
        <f>SQRT((D530+D531)/(D524*D524))</f>
        <v>0.70011092622978843</v>
      </c>
      <c r="E527" s="18">
        <f>SQRT((E530+E531)/(E524*E524))</f>
        <v>0.42957936590141066</v>
      </c>
      <c r="F527" s="18">
        <f>SQRT((F530+F531)/(F524*F524))</f>
        <v>0.54007719120618147</v>
      </c>
      <c r="G527" s="18">
        <f>SQRT((G530+G531)/(G524*G524))</f>
        <v>2.6999075885204271</v>
      </c>
      <c r="H527" s="1"/>
      <c r="AM527" s="78"/>
      <c r="AN527" s="78"/>
    </row>
    <row r="528" spans="1:40" x14ac:dyDescent="0.3">
      <c r="B528" s="1" t="s">
        <v>37</v>
      </c>
      <c r="C528" s="18">
        <f>100-C526</f>
        <v>23.516397992128674</v>
      </c>
      <c r="D528" s="18">
        <f>100-D526</f>
        <v>0.670263128827429</v>
      </c>
      <c r="E528" s="18">
        <f>100-E526</f>
        <v>2.6385268646975391</v>
      </c>
      <c r="F528" s="18">
        <f>100-F526</f>
        <v>1.609329311451873</v>
      </c>
      <c r="G528" s="18">
        <f>100-G526</f>
        <v>11.402172461850341</v>
      </c>
    </row>
    <row r="529" spans="1:40" ht="15.6" x14ac:dyDescent="0.35">
      <c r="B529" s="1" t="s">
        <v>25</v>
      </c>
      <c r="C529" s="1">
        <f>C513</f>
        <v>451</v>
      </c>
      <c r="D529" s="1">
        <f>D513</f>
        <v>61</v>
      </c>
      <c r="E529" s="1">
        <f>E513</f>
        <v>783</v>
      </c>
      <c r="F529" s="1">
        <f>F513</f>
        <v>608</v>
      </c>
      <c r="G529" s="1">
        <f>G513</f>
        <v>990</v>
      </c>
      <c r="AM529" s="78"/>
      <c r="AN529" s="78"/>
    </row>
    <row r="530" spans="1:40" x14ac:dyDescent="0.3">
      <c r="B530" s="1" t="s">
        <v>34</v>
      </c>
      <c r="C530" s="18">
        <f>(O519*O519*(100-C526)*(100-C526)*(I519)*(100-I519))/(L519-1)</f>
        <v>0</v>
      </c>
      <c r="D530" s="18">
        <f>(O520*O520*(100-D526)*(100-D526)*(I520)*(100-I520))/((L520-1)*100)</f>
        <v>4.7865222750208415E-2</v>
      </c>
      <c r="E530" s="18">
        <f>(O521*O521*(100-E526)*(100-E526)*(I521)*(100-I521))/((L521-1)*100)</f>
        <v>32.88936769340571</v>
      </c>
      <c r="F530" s="18">
        <f>(O522*O522*(100-F526)*(100-F526)*(I522)*(100-I522))/((L522-1)*100)</f>
        <v>25.157036382189869</v>
      </c>
      <c r="G530" s="18">
        <f>(O523*O523*(100-G526)*(100-G526)*(I523)*(100-I523))/((L523-1)*100)</f>
        <v>22.372348991522166</v>
      </c>
    </row>
    <row r="531" spans="1:40" x14ac:dyDescent="0.3">
      <c r="B531" s="1" t="s">
        <v>35</v>
      </c>
      <c r="C531" s="18">
        <f>C526*C526*(SUM((H520*C520*(1-C509/H509))/(H509-1),(H521*C521*(1-C510/H510))/(H510-1), (H522*C522*(1-C511/H511))/(H511-1),(H523*C523*(1-C512/H512))/(H512-1)))</f>
        <v>39.79912307348107</v>
      </c>
      <c r="D531" s="18">
        <f>D526*D526*(SUM((H519*D519*(1-D508/H508))/(H508-1),(H521*D521*(1-D510/H510))/(H510-1), (H522*D522*(1-D511/H511))/(H511-1),(H523*D523*(1-D512/H512))/(H512-1)))</f>
        <v>0.45232635498947765</v>
      </c>
      <c r="E531" s="18">
        <f>E526*E526*(SUM((H519*E519*(1-E508/H508))/(H508-1),(H520*E520*(1-E509/H509))/(H509-1), (H522*E522*(1-E511/H511))/(H511-1),(H523*E523*(1-E512/H512))/(H512-1)))</f>
        <v>694.36410809037909</v>
      </c>
      <c r="F531" s="18">
        <f>F526*F526*(SUM((H519*F519*(1-F508/H508))/(H508-1),(H520*F520*(1-F509/H509))/(H509-1), (H521*F521*(1-F510/H510))/(H510-1),(H523*F523*(1-F512/H512))/(H512-1)))</f>
        <v>210.41180492311184</v>
      </c>
      <c r="G531" s="18">
        <f>G526*G526*(SUM((H519*G519*(1-G508/H508))/(H508-1),(H520*G520*(1-G509/H509))/(H509-1), (H521*G521*(1-G510/H510))/(H510-1),(H522*G522*(1-G511/H511))/(H511-1)))</f>
        <v>381.5174550848721</v>
      </c>
      <c r="AM531" s="78"/>
      <c r="AN531" s="78"/>
    </row>
    <row r="533" spans="1:40" x14ac:dyDescent="0.3">
      <c r="AM533" s="78"/>
      <c r="AN533" s="78"/>
    </row>
    <row r="534" spans="1:40" x14ac:dyDescent="0.3">
      <c r="A534" s="348" t="s">
        <v>388</v>
      </c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 t="s">
        <v>91</v>
      </c>
      <c r="M534" s="348"/>
      <c r="N534" s="348"/>
      <c r="O534" s="348"/>
      <c r="P534" s="348"/>
    </row>
    <row r="535" spans="1:40" x14ac:dyDescent="0.3">
      <c r="A535" t="s">
        <v>15</v>
      </c>
      <c r="B535" t="s">
        <v>21</v>
      </c>
      <c r="I535" s="1" t="s">
        <v>53</v>
      </c>
      <c r="O535" s="142"/>
      <c r="P535" s="142"/>
      <c r="AM535" s="78"/>
      <c r="AN535" s="78"/>
    </row>
    <row r="536" spans="1:40" ht="15.6" x14ac:dyDescent="0.35">
      <c r="B536" s="1" t="s">
        <v>0</v>
      </c>
      <c r="C536" s="13">
        <v>0</v>
      </c>
      <c r="D536" s="13">
        <v>1</v>
      </c>
      <c r="E536" s="13">
        <v>2</v>
      </c>
      <c r="F536" s="13">
        <v>3</v>
      </c>
      <c r="G536" s="13">
        <v>4</v>
      </c>
      <c r="H536" s="1" t="s">
        <v>20</v>
      </c>
      <c r="I536" s="1" t="s">
        <v>1</v>
      </c>
      <c r="J536" s="1" t="s">
        <v>13</v>
      </c>
      <c r="N536" s="1" t="s">
        <v>51</v>
      </c>
      <c r="O536" s="13"/>
      <c r="P536" s="13"/>
    </row>
    <row r="537" spans="1:40" x14ac:dyDescent="0.3">
      <c r="A537" t="s">
        <v>3</v>
      </c>
      <c r="B537" s="13">
        <v>0</v>
      </c>
      <c r="C537" s="26">
        <v>450</v>
      </c>
      <c r="D537" s="3">
        <v>0</v>
      </c>
      <c r="E537" s="3">
        <v>0</v>
      </c>
      <c r="F537" s="3">
        <v>0</v>
      </c>
      <c r="G537" s="4">
        <v>0</v>
      </c>
      <c r="H537" s="1">
        <f>SUM(C537:G537)</f>
        <v>450</v>
      </c>
      <c r="I537" s="10">
        <f>C537/H537</f>
        <v>1</v>
      </c>
      <c r="J537" s="11">
        <f>1-I537</f>
        <v>0</v>
      </c>
      <c r="K537">
        <f>H537-C542</f>
        <v>0</v>
      </c>
      <c r="N537" s="10">
        <f>2*(C543*I537)/(C543+I537)</f>
        <v>1</v>
      </c>
      <c r="O537" s="1"/>
      <c r="P537" s="1"/>
      <c r="AM537" s="78"/>
      <c r="AN537" s="78"/>
    </row>
    <row r="538" spans="1:40" x14ac:dyDescent="0.3">
      <c r="A538" t="s">
        <v>4</v>
      </c>
      <c r="B538" s="13">
        <v>1</v>
      </c>
      <c r="C538" s="5">
        <v>0</v>
      </c>
      <c r="D538" s="27">
        <v>60</v>
      </c>
      <c r="E538" s="1">
        <v>3</v>
      </c>
      <c r="F538" s="1">
        <v>0</v>
      </c>
      <c r="G538" s="6">
        <v>1</v>
      </c>
      <c r="H538" s="1">
        <f>SUM(C538:G538)</f>
        <v>64</v>
      </c>
      <c r="I538" s="10">
        <f>D538/H538</f>
        <v>0.9375</v>
      </c>
      <c r="J538" s="11">
        <f>1-I538</f>
        <v>6.25E-2</v>
      </c>
      <c r="K538">
        <f>H538-D542</f>
        <v>1</v>
      </c>
      <c r="N538" s="10">
        <f>2*(D543*I538)/(D543+I538)</f>
        <v>0.94488188976377951</v>
      </c>
      <c r="O538" s="1"/>
      <c r="P538" s="1"/>
    </row>
    <row r="539" spans="1:40" x14ac:dyDescent="0.3">
      <c r="A539" t="s">
        <v>5</v>
      </c>
      <c r="B539" s="13">
        <v>2</v>
      </c>
      <c r="C539" s="5">
        <v>0</v>
      </c>
      <c r="D539" s="1">
        <v>0</v>
      </c>
      <c r="E539" s="27">
        <v>740</v>
      </c>
      <c r="F539" s="1">
        <v>6</v>
      </c>
      <c r="G539" s="6">
        <v>2</v>
      </c>
      <c r="H539" s="1">
        <f>SUM(C539:G539)</f>
        <v>748</v>
      </c>
      <c r="I539" s="10">
        <f>E539/H539</f>
        <v>0.98930481283422456</v>
      </c>
      <c r="J539" s="11">
        <f>1-I539</f>
        <v>1.0695187165775444E-2</v>
      </c>
      <c r="K539">
        <f>H539-E542</f>
        <v>-38</v>
      </c>
      <c r="N539" s="10">
        <f>2*(E543*I539)/(E543+I539)</f>
        <v>0.96479791395045633</v>
      </c>
      <c r="O539" s="1"/>
      <c r="P539" s="1"/>
      <c r="AM539" s="78"/>
      <c r="AN539" s="78"/>
    </row>
    <row r="540" spans="1:40" x14ac:dyDescent="0.3">
      <c r="A540" t="s">
        <v>6</v>
      </c>
      <c r="B540" s="13">
        <v>3</v>
      </c>
      <c r="C540" s="5">
        <v>0</v>
      </c>
      <c r="D540" s="1">
        <v>0</v>
      </c>
      <c r="E540" s="1">
        <v>34</v>
      </c>
      <c r="F540" s="27">
        <v>577</v>
      </c>
      <c r="G540" s="6">
        <v>7</v>
      </c>
      <c r="H540" s="1">
        <f>SUM(C540:G540)</f>
        <v>618</v>
      </c>
      <c r="I540" s="10">
        <f>F540/H540</f>
        <v>0.93365695792880254</v>
      </c>
      <c r="J540" s="11">
        <f>1-I540</f>
        <v>6.6343042071197456E-2</v>
      </c>
      <c r="K540">
        <f>H540-F542</f>
        <v>-9</v>
      </c>
      <c r="N540" s="10">
        <f>2*(F543*I540)/(F543+I540)</f>
        <v>0.92690763052208835</v>
      </c>
      <c r="O540" s="1"/>
      <c r="P540" s="1"/>
    </row>
    <row r="541" spans="1:40" x14ac:dyDescent="0.3">
      <c r="A541" t="s">
        <v>7</v>
      </c>
      <c r="B541" s="13">
        <v>4</v>
      </c>
      <c r="C541" s="7">
        <v>0</v>
      </c>
      <c r="D541" s="8">
        <v>3</v>
      </c>
      <c r="E541" s="8">
        <v>9</v>
      </c>
      <c r="F541" s="8">
        <v>44</v>
      </c>
      <c r="G541" s="28">
        <v>957</v>
      </c>
      <c r="H541" s="1">
        <f>SUM(C541:G541)</f>
        <v>1013</v>
      </c>
      <c r="I541" s="10">
        <f>G541/H541</f>
        <v>0.94471865745310957</v>
      </c>
      <c r="J541" s="11">
        <f>1-I541</f>
        <v>5.5281342546890433E-2</v>
      </c>
      <c r="K541">
        <f>H541-G542</f>
        <v>46</v>
      </c>
      <c r="N541" s="10">
        <f>2*(G543*I541)/(G543+I541)</f>
        <v>0.96666666666666656</v>
      </c>
      <c r="O541" s="1"/>
      <c r="P541" s="1"/>
      <c r="AM541" s="78"/>
      <c r="AN541" s="78"/>
    </row>
    <row r="542" spans="1:40" ht="15.6" x14ac:dyDescent="0.35">
      <c r="B542" s="1" t="s">
        <v>19</v>
      </c>
      <c r="C542" s="1">
        <f>SUM(C537:C541)</f>
        <v>450</v>
      </c>
      <c r="D542" s="1">
        <f>SUM(D537:D541)</f>
        <v>63</v>
      </c>
      <c r="E542" s="1">
        <f>SUM(E537:E541)</f>
        <v>786</v>
      </c>
      <c r="F542" s="1">
        <f>SUM(F537:F541)</f>
        <v>627</v>
      </c>
      <c r="G542" s="1">
        <f>SUM(G537:G541)</f>
        <v>967</v>
      </c>
      <c r="H542" s="1">
        <f>SUM(H536:H541)</f>
        <v>2893</v>
      </c>
      <c r="I542" s="13" t="s">
        <v>12</v>
      </c>
      <c r="N542" s="16"/>
      <c r="O542" s="1"/>
      <c r="P542" s="1"/>
    </row>
    <row r="543" spans="1:40" x14ac:dyDescent="0.3">
      <c r="A543" s="1" t="s">
        <v>52</v>
      </c>
      <c r="B543" s="1" t="s">
        <v>2</v>
      </c>
      <c r="C543" s="10">
        <f>C537/C542</f>
        <v>1</v>
      </c>
      <c r="D543" s="10">
        <f>D538/D542</f>
        <v>0.95238095238095233</v>
      </c>
      <c r="E543" s="10">
        <f>E539/E542</f>
        <v>0.94147582697201015</v>
      </c>
      <c r="F543" s="10">
        <f>F540/F542</f>
        <v>0.9202551834130781</v>
      </c>
      <c r="G543" s="10">
        <f>G541/G542</f>
        <v>0.98965873836608065</v>
      </c>
      <c r="H543" s="10"/>
      <c r="I543" s="14">
        <f>(C537+D538+E539+F540+G541)/H542</f>
        <v>0.96232284825440717</v>
      </c>
    </row>
    <row r="544" spans="1:40" x14ac:dyDescent="0.3">
      <c r="B544" s="1" t="s">
        <v>14</v>
      </c>
      <c r="C544" s="11">
        <f>1-C543</f>
        <v>0</v>
      </c>
      <c r="D544" s="11">
        <f>1-D543</f>
        <v>4.7619047619047672E-2</v>
      </c>
      <c r="E544" s="11">
        <f>1-E543</f>
        <v>5.8524173027989845E-2</v>
      </c>
      <c r="F544" s="11">
        <f>1-F543</f>
        <v>7.9744816586921896E-2</v>
      </c>
      <c r="G544" s="11">
        <f>1-G543</f>
        <v>1.0341261633919352E-2</v>
      </c>
    </row>
    <row r="545" spans="1:16" x14ac:dyDescent="0.3">
      <c r="C545" s="2"/>
    </row>
    <row r="546" spans="1:16" ht="15.6" x14ac:dyDescent="0.35">
      <c r="A546" t="s">
        <v>22</v>
      </c>
      <c r="B546" s="15" t="s">
        <v>23</v>
      </c>
      <c r="N546" s="12" t="s">
        <v>17</v>
      </c>
      <c r="O546" s="1" t="s">
        <v>27</v>
      </c>
      <c r="P546" s="1" t="s">
        <v>33</v>
      </c>
    </row>
    <row r="547" spans="1:16" ht="15.6" x14ac:dyDescent="0.35">
      <c r="B547" s="1" t="s">
        <v>0</v>
      </c>
      <c r="C547" s="13">
        <v>0</v>
      </c>
      <c r="D547" s="13">
        <v>1</v>
      </c>
      <c r="E547" s="13">
        <v>2</v>
      </c>
      <c r="F547" s="13">
        <v>3</v>
      </c>
      <c r="G547" s="13">
        <v>4</v>
      </c>
      <c r="H547" s="1" t="s">
        <v>28</v>
      </c>
      <c r="I547" s="1" t="s">
        <v>31</v>
      </c>
      <c r="J547" s="15" t="s">
        <v>39</v>
      </c>
      <c r="K547" s="1" t="s">
        <v>38</v>
      </c>
      <c r="L547" s="1" t="s">
        <v>26</v>
      </c>
      <c r="M547" t="s">
        <v>8</v>
      </c>
      <c r="N547" t="s">
        <v>9</v>
      </c>
      <c r="O547" s="1" t="s">
        <v>11</v>
      </c>
    </row>
    <row r="548" spans="1:16" x14ac:dyDescent="0.3">
      <c r="A548" t="s">
        <v>3</v>
      </c>
      <c r="B548" s="13">
        <v>0</v>
      </c>
      <c r="C548" s="29">
        <f>(C537/$L548)*$O548</f>
        <v>0.27108372581947665</v>
      </c>
      <c r="D548" s="31">
        <f>(D537/$L548)*$O548</f>
        <v>0</v>
      </c>
      <c r="E548" s="31">
        <f>(E537/$L548)*$O548</f>
        <v>0</v>
      </c>
      <c r="F548" s="31">
        <f>(F537/$L548)*$O548</f>
        <v>0</v>
      </c>
      <c r="G548" s="32">
        <f>(G537/$L548)*$O548</f>
        <v>0</v>
      </c>
      <c r="H548" s="17">
        <f>SUM(C548:G548)</f>
        <v>0.27108372581947665</v>
      </c>
      <c r="I548" s="17">
        <f>C548/H548*100</f>
        <v>100</v>
      </c>
      <c r="J548" s="17">
        <f>SQRT(I548*(100-I548)/(L548-1))</f>
        <v>0</v>
      </c>
      <c r="K548" s="18">
        <f>100-I548</f>
        <v>0</v>
      </c>
      <c r="L548" s="1">
        <f>H537</f>
        <v>450</v>
      </c>
      <c r="M548">
        <v>0</v>
      </c>
      <c r="N548" s="1">
        <v>261.7</v>
      </c>
      <c r="O548" s="17">
        <f>N548/N553*100</f>
        <v>0.27108372581947665</v>
      </c>
      <c r="P548" s="52">
        <f>((O548*O548*(I548/100)*(K548/100))/(L548-1))</f>
        <v>0</v>
      </c>
    </row>
    <row r="549" spans="1:16" x14ac:dyDescent="0.3">
      <c r="A549" t="s">
        <v>4</v>
      </c>
      <c r="B549" s="13">
        <v>1</v>
      </c>
      <c r="C549" s="33">
        <f t="shared" ref="C549:G552" si="58">(C538/$L549)*$O549</f>
        <v>0</v>
      </c>
      <c r="D549" s="34">
        <f t="shared" si="58"/>
        <v>0.94753706399233295</v>
      </c>
      <c r="E549" s="19">
        <f t="shared" si="58"/>
        <v>4.7376853199616646E-2</v>
      </c>
      <c r="F549" s="18">
        <f t="shared" si="58"/>
        <v>0</v>
      </c>
      <c r="G549" s="20">
        <f t="shared" si="58"/>
        <v>1.5792284399872215E-2</v>
      </c>
      <c r="H549" s="17">
        <f>SUM(C549:G549)</f>
        <v>1.0107062015918218</v>
      </c>
      <c r="I549" s="17">
        <f>D549/H549*100</f>
        <v>93.75</v>
      </c>
      <c r="J549" s="17">
        <f>SQRT(I549*(100-I549)/(L549-1))</f>
        <v>3.0496877279641659</v>
      </c>
      <c r="K549" s="18">
        <f>100-I549</f>
        <v>6.25</v>
      </c>
      <c r="L549" s="1">
        <f>H538</f>
        <v>64</v>
      </c>
      <c r="M549">
        <v>1</v>
      </c>
      <c r="N549" s="1">
        <v>975.72</v>
      </c>
      <c r="O549" s="17">
        <f>N549/N553*100</f>
        <v>1.0107062015918218</v>
      </c>
      <c r="P549" s="52">
        <f>((O549*O549*(I549/100)*(K549/100))/(L549-1))</f>
        <v>9.5008093930075194E-4</v>
      </c>
    </row>
    <row r="550" spans="1:16" x14ac:dyDescent="0.3">
      <c r="A550" t="s">
        <v>5</v>
      </c>
      <c r="B550" s="13">
        <v>2</v>
      </c>
      <c r="C550" s="33">
        <f t="shared" si="58"/>
        <v>0</v>
      </c>
      <c r="D550" s="19">
        <f t="shared" si="58"/>
        <v>0</v>
      </c>
      <c r="E550" s="34">
        <f t="shared" si="58"/>
        <v>61.184408541728828</v>
      </c>
      <c r="F550" s="19">
        <f t="shared" si="58"/>
        <v>0.49608979898699057</v>
      </c>
      <c r="G550" s="20">
        <f t="shared" si="58"/>
        <v>0.16536326632899684</v>
      </c>
      <c r="H550" s="17">
        <f>SUM(C550:G550)</f>
        <v>61.845861607044817</v>
      </c>
      <c r="I550" s="17">
        <f>E550/H550*100</f>
        <v>98.930481283422452</v>
      </c>
      <c r="J550" s="17">
        <f>SQRT(I550*(100-I550)/(L550-1))</f>
        <v>0.37635609574810108</v>
      </c>
      <c r="K550" s="18">
        <f>100-I550</f>
        <v>1.0695187165775479</v>
      </c>
      <c r="L550" s="1">
        <f>H539</f>
        <v>748</v>
      </c>
      <c r="M550">
        <v>2</v>
      </c>
      <c r="N550" s="1">
        <v>59705.03</v>
      </c>
      <c r="O550" s="17">
        <f>N550/N553*100</f>
        <v>61.845861607044817</v>
      </c>
      <c r="P550" s="52">
        <f>((O550*O550*(I550/100)*(K550/100))/(L550-1))</f>
        <v>5.4177529557526777E-2</v>
      </c>
    </row>
    <row r="551" spans="1:16" x14ac:dyDescent="0.3">
      <c r="A551" t="s">
        <v>6</v>
      </c>
      <c r="B551" s="13">
        <v>3</v>
      </c>
      <c r="C551" s="33">
        <f t="shared" si="58"/>
        <v>0</v>
      </c>
      <c r="D551" s="19">
        <f t="shared" si="58"/>
        <v>0</v>
      </c>
      <c r="E551" s="19">
        <f t="shared" si="58"/>
        <v>1.6714367168547934</v>
      </c>
      <c r="F551" s="34">
        <f t="shared" si="58"/>
        <v>28.365264283094582</v>
      </c>
      <c r="G551" s="20">
        <f t="shared" si="58"/>
        <v>0.34411932405833989</v>
      </c>
      <c r="H551" s="17">
        <f>SUM(C551:G551)</f>
        <v>30.380820324007715</v>
      </c>
      <c r="I551" s="17">
        <f>F551/H551*100</f>
        <v>93.36569579288026</v>
      </c>
      <c r="J551" s="17">
        <f>SQRT(I551*(100-I551)/(L551-1))</f>
        <v>1.001956294235498</v>
      </c>
      <c r="K551" s="18">
        <f>100-I551</f>
        <v>6.6343042071197402</v>
      </c>
      <c r="L551" s="1">
        <f>H540</f>
        <v>618</v>
      </c>
      <c r="M551">
        <v>3</v>
      </c>
      <c r="N551" s="1">
        <v>29329.17</v>
      </c>
      <c r="O551" s="17">
        <f>N551/N553*100</f>
        <v>30.380820324007718</v>
      </c>
      <c r="P551" s="52">
        <f>((O551*O551*(I551/100)*(K551/100))/(L551-1))</f>
        <v>9.2660907257518355E-2</v>
      </c>
    </row>
    <row r="552" spans="1:16" x14ac:dyDescent="0.3">
      <c r="A552" t="s">
        <v>7</v>
      </c>
      <c r="B552" s="13">
        <v>4</v>
      </c>
      <c r="C552" s="35">
        <f t="shared" si="58"/>
        <v>0</v>
      </c>
      <c r="D552" s="36">
        <f t="shared" si="58"/>
        <v>1.9224663795269967E-2</v>
      </c>
      <c r="E552" s="21">
        <f t="shared" si="58"/>
        <v>5.7673991385809899E-2</v>
      </c>
      <c r="F552" s="21">
        <f t="shared" si="58"/>
        <v>0.28196173566395949</v>
      </c>
      <c r="G552" s="37">
        <f t="shared" si="58"/>
        <v>6.1326677506911187</v>
      </c>
      <c r="H552" s="17">
        <f>SUM(C552:G552)</f>
        <v>6.4915281415361576</v>
      </c>
      <c r="I552" s="17">
        <f>G552/H552*100</f>
        <v>94.471865745310964</v>
      </c>
      <c r="J552" s="17">
        <f>SQRT(I552*(100-I552)/(L552-1))</f>
        <v>0.71837346272511016</v>
      </c>
      <c r="K552" s="18">
        <f>100-I552</f>
        <v>5.5281342546890357</v>
      </c>
      <c r="L552" s="1">
        <f>H541</f>
        <v>1013</v>
      </c>
      <c r="M552">
        <v>4</v>
      </c>
      <c r="N552" s="1">
        <v>6266.82</v>
      </c>
      <c r="O552" s="17">
        <f>N552/N553*100</f>
        <v>6.4915281415361585</v>
      </c>
      <c r="P552" s="52">
        <f>((O552*O552*(I552/100)*(K552/100))/(L552-1))</f>
        <v>2.1746754406480051E-3</v>
      </c>
    </row>
    <row r="553" spans="1:16" x14ac:dyDescent="0.3">
      <c r="B553" t="s">
        <v>28</v>
      </c>
      <c r="C553" s="17">
        <f>SUM(C548:C552)</f>
        <v>0.27108372581947665</v>
      </c>
      <c r="D553" s="17">
        <f>SUM(D548:D552)</f>
        <v>0.96676172778760294</v>
      </c>
      <c r="E553" s="17">
        <f>SUM(E548:E552)</f>
        <v>62.960896103169048</v>
      </c>
      <c r="F553" s="17">
        <f>SUM(F548:F552)</f>
        <v>29.143315817745531</v>
      </c>
      <c r="G553" s="17">
        <f>SUM(G548:G552)</f>
        <v>6.6579426254783272</v>
      </c>
      <c r="H553" s="1">
        <f>SUM(H547:H552)</f>
        <v>99.999999999999972</v>
      </c>
      <c r="I553" s="13" t="s">
        <v>24</v>
      </c>
      <c r="J553" s="12" t="s">
        <v>29</v>
      </c>
      <c r="N553" s="1">
        <f>SUM(N548:N552)</f>
        <v>96538.44</v>
      </c>
      <c r="O553" s="17">
        <f>SUM(O548:O552)</f>
        <v>100</v>
      </c>
    </row>
    <row r="554" spans="1:16" x14ac:dyDescent="0.3">
      <c r="B554" s="16" t="s">
        <v>39</v>
      </c>
      <c r="C554" s="18">
        <f>SQRT(SUM((O548*O548*(C548/O548)*(1-C548/O548))/L548,(O549*O549*(C549/O549)*(1-C549/O549))/L549,(O550*O550*(C550/O550)*(1-C550/O550))/L550,(O551*O551*(C551/O551)*(1-C551/O551))/L551,(O552*O552*(C552/O552)*(1-C552/O552))/L552))</f>
        <v>0</v>
      </c>
      <c r="D554" s="18">
        <f>SQRT(SUM((O548*O548*(D548/O548)*(1-D548/O548))/L548,(O549*O549*(D549/O549)*(1-D549/O549))/L549,(O550*O550*(D550/O550)*(1-D550/O550))/L550,(O551*O551*(D551/O551)*(1-D551/O551))/L551,(O552*O552*(D552/O552)*(1-D552/O552))/L552))</f>
        <v>3.2527941515787751E-2</v>
      </c>
      <c r="E554" s="18">
        <f>SQRT(SUM((O548*O548*(E548/O548)*(1-E548/O548))/L548,(O549*O549*(E549/O549)*(1-E549/O549))/L549,(O550*O550*(E550/O550)*(1-E550/O550))/L550,(O551*O551*(E551/O551)*(1-E551/O551))/L551,(O552*O552*(E552/O552)*(1-E552/O552))/L552))</f>
        <v>0.3644607489192534</v>
      </c>
      <c r="F554" s="18">
        <f>SQRT(SUM((O548*O548*(F548/O548)*(1-F548/O548))/L548,(O549*O549*(F549/O549)*(1-F549/O549))/L549,(O550*O550*(F550/O550)*(1-F550/O550))/L550,(O551*O551*(F551/O551)*(1-F551/O551))/L551,(O552*O552*(F552/O552)*(1-F552/O552))/L552))</f>
        <v>0.36732527660194336</v>
      </c>
      <c r="G554" s="18">
        <f>SQRT(SUM((O548*O548*(G548/O548)*(1-G548/O548))/L548,(O549*O549*(G549/O549)*(1-G549/O549))/L549,(O550*O550*(G550/O550)*(1-G550/O550))/L550,(O551*O551*(G551/O551)*(1-G551/O551))/L551,(O552*O552*(G552/O552)*(1-G552/O552))/L552))</f>
        <v>0.18105036096943089</v>
      </c>
      <c r="H554" s="1"/>
      <c r="I554" s="56">
        <f>(C548+D549+E550+F551+G552)/H553</f>
        <v>0.96900961365326355</v>
      </c>
      <c r="J554" s="53">
        <f>SQRT(SUM(P548:P552))/100</f>
        <v>3.872508143245071E-3</v>
      </c>
      <c r="M554" s="1"/>
      <c r="N554" s="9"/>
    </row>
    <row r="555" spans="1:16" x14ac:dyDescent="0.3">
      <c r="B555" s="1" t="s">
        <v>30</v>
      </c>
      <c r="C555" s="17">
        <f>C548/C553*100</f>
        <v>100</v>
      </c>
      <c r="D555" s="17">
        <f>D549/D553*100</f>
        <v>98.01143722980585</v>
      </c>
      <c r="E555" s="17">
        <f>E550/E553*100</f>
        <v>97.178427132725005</v>
      </c>
      <c r="F555" s="17">
        <f>F551/F553*100</f>
        <v>97.330257340939937</v>
      </c>
      <c r="G555" s="17">
        <f>G552/G553*100</f>
        <v>92.110552698710421</v>
      </c>
      <c r="H555" s="1"/>
    </row>
    <row r="556" spans="1:16" x14ac:dyDescent="0.3">
      <c r="B556" s="16" t="s">
        <v>39</v>
      </c>
      <c r="C556" s="18">
        <f>SQRT((C559+C560)/(C553*C553))</f>
        <v>0</v>
      </c>
      <c r="D556" s="18">
        <f>SQRT((D559+D560)/(D553*D553))</f>
        <v>1.2906195076799407</v>
      </c>
      <c r="E556" s="18">
        <f>SQRT((E559+E560)/(E553*E553))</f>
        <v>0.44582427075648573</v>
      </c>
      <c r="F556" s="18">
        <f>SQRT((F559+F560)/(F553*F553))</f>
        <v>0.74262426234264201</v>
      </c>
      <c r="G556" s="18">
        <f>SQRT((G559+G560)/(G553*G553))</f>
        <v>2.484524925465426</v>
      </c>
      <c r="H556" s="1"/>
    </row>
    <row r="557" spans="1:16" x14ac:dyDescent="0.3">
      <c r="B557" s="1" t="s">
        <v>37</v>
      </c>
      <c r="C557" s="18">
        <f>100-C555</f>
        <v>0</v>
      </c>
      <c r="D557" s="18">
        <f>100-D555</f>
        <v>1.9885627701941502</v>
      </c>
      <c r="E557" s="18">
        <f>100-E555</f>
        <v>2.8215728672749947</v>
      </c>
      <c r="F557" s="18">
        <f>100-F555</f>
        <v>2.6697426590600628</v>
      </c>
      <c r="G557" s="18">
        <f>100-G555</f>
        <v>7.8894473012895787</v>
      </c>
    </row>
    <row r="558" spans="1:16" ht="15.6" x14ac:dyDescent="0.35">
      <c r="B558" s="1" t="s">
        <v>25</v>
      </c>
      <c r="C558" s="1">
        <f>C542</f>
        <v>450</v>
      </c>
      <c r="D558" s="1">
        <f>D542</f>
        <v>63</v>
      </c>
      <c r="E558" s="1">
        <f>E542</f>
        <v>786</v>
      </c>
      <c r="F558" s="1">
        <f>F542</f>
        <v>627</v>
      </c>
      <c r="G558" s="1">
        <f>G542</f>
        <v>967</v>
      </c>
    </row>
    <row r="559" spans="1:16" x14ac:dyDescent="0.3">
      <c r="B559" s="1" t="s">
        <v>34</v>
      </c>
      <c r="C559" s="18">
        <f>(O548*O548*(100-C555)*(100-C555)*(I548)*(100-I548))/(L548-1)</f>
        <v>0</v>
      </c>
      <c r="D559" s="18">
        <f>(O549*O549*(100-D555)*(100-D555)*(I549)*(100-I549))/((L549-1)*100)</f>
        <v>0.37569828613572848</v>
      </c>
      <c r="E559" s="18">
        <f>(O550*O550*(100-E555)*(100-E555)*(I550)*(100-I550))/((L550-1)*100)</f>
        <v>43.132212740059288</v>
      </c>
      <c r="F559" s="18">
        <f>(O551*O551*(100-F555)*(100-F555)*(I551)*(100-I551))/((L551-1)*100)</f>
        <v>66.044301320839693</v>
      </c>
      <c r="G559" s="18">
        <f>(O552*O552*(100-G555)*(100-G555)*(I552)*(100-I552))/((L552-1)*100)</f>
        <v>13.535914704495699</v>
      </c>
    </row>
    <row r="560" spans="1:16" x14ac:dyDescent="0.3">
      <c r="B560" s="1" t="s">
        <v>35</v>
      </c>
      <c r="C560" s="18">
        <f>C555*C555*(SUM((H549*C549*(1-C538/H538))/(H538-1),(H550*C550*(1-C539/H539))/(H539-1), (H551*C551*(1-C540/H540))/(H540-1),(H552*C552*(1-C541/H541))/(H541-1)))</f>
        <v>0</v>
      </c>
      <c r="D560" s="18">
        <f>D555*D555*(SUM((H548*D548*(1-D537/H537))/(H537-1),(H550*D550*(1-D539/H539))/(H539-1), (H551*D551*(1-D540/H540))/(H540-1),(H552*D552*(1-D541/H541))/(H541-1)))</f>
        <v>1.1811107681233373</v>
      </c>
      <c r="E560" s="18">
        <f>E555*E555*(SUM((H548*E548*(1-E537/H537))/(H537-1),(H549*E549*(1-E538/H538))/(H538-1), (H551*E551*(1-E540/H540))/(H540-1),(H552*E552*(1-E541/H541))/(H541-1)))</f>
        <v>744.76437001389218</v>
      </c>
      <c r="F560" s="18">
        <f>F555*F555*(SUM((H548*F548*(1-F537/H537))/(H537-1),(H549*F549*(1-F538/H538))/(H538-1), (H550*F550*(1-F539/H539))/(H539-1),(H552*F552*(1-F541/H541))/(H541-1)))</f>
        <v>402.35495114151041</v>
      </c>
      <c r="G560" s="18">
        <f>G555*G555*(SUM((H548*G548*(1-G537/H537))/(H537-1),(H549*G549*(1-G538/H538))/(H538-1), (H550*G550*(1-G539/H539))/(H539-1),(H551*G551*(1-G540/H540))/(H540-1)))</f>
        <v>260.09603995193214</v>
      </c>
    </row>
    <row r="563" spans="1:16" x14ac:dyDescent="0.3">
      <c r="A563" s="348" t="s">
        <v>388</v>
      </c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 t="s">
        <v>92</v>
      </c>
      <c r="M563" s="348"/>
      <c r="N563" s="348"/>
      <c r="O563" s="348"/>
      <c r="P563" s="348"/>
    </row>
    <row r="564" spans="1:16" x14ac:dyDescent="0.3">
      <c r="A564" t="s">
        <v>15</v>
      </c>
      <c r="B564" t="s">
        <v>21</v>
      </c>
      <c r="I564" s="1" t="s">
        <v>53</v>
      </c>
      <c r="O564" s="142"/>
      <c r="P564" s="142"/>
    </row>
    <row r="565" spans="1:16" ht="15.6" x14ac:dyDescent="0.35">
      <c r="B565" s="1" t="s">
        <v>0</v>
      </c>
      <c r="C565" s="13">
        <v>0</v>
      </c>
      <c r="D565" s="13">
        <v>1</v>
      </c>
      <c r="E565" s="13">
        <v>2</v>
      </c>
      <c r="F565" s="13">
        <v>3</v>
      </c>
      <c r="G565" s="13">
        <v>4</v>
      </c>
      <c r="H565" s="1" t="s">
        <v>20</v>
      </c>
      <c r="I565" s="1" t="s">
        <v>1</v>
      </c>
      <c r="J565" s="1" t="s">
        <v>13</v>
      </c>
      <c r="N565" s="1" t="s">
        <v>51</v>
      </c>
      <c r="O565" s="13"/>
      <c r="P565" s="13"/>
    </row>
    <row r="566" spans="1:16" x14ac:dyDescent="0.3">
      <c r="A566" t="s">
        <v>3</v>
      </c>
      <c r="B566" s="13">
        <v>0</v>
      </c>
      <c r="C566" s="26">
        <v>450</v>
      </c>
      <c r="D566" s="3">
        <v>0</v>
      </c>
      <c r="E566" s="3">
        <v>0</v>
      </c>
      <c r="F566" s="3">
        <v>0</v>
      </c>
      <c r="G566" s="4">
        <v>0</v>
      </c>
      <c r="H566" s="1">
        <f>SUM(C566:G566)</f>
        <v>450</v>
      </c>
      <c r="I566" s="10">
        <f>C566/H566</f>
        <v>1</v>
      </c>
      <c r="J566" s="11">
        <f>1-I566</f>
        <v>0</v>
      </c>
      <c r="K566">
        <f>H566-C571</f>
        <v>0</v>
      </c>
      <c r="N566" s="10">
        <f>2*(C572*I566)/(C572+I566)</f>
        <v>1</v>
      </c>
      <c r="O566" s="1"/>
      <c r="P566" s="1"/>
    </row>
    <row r="567" spans="1:16" x14ac:dyDescent="0.3">
      <c r="A567" t="s">
        <v>4</v>
      </c>
      <c r="B567" s="13">
        <v>1</v>
      </c>
      <c r="C567" s="5">
        <v>0</v>
      </c>
      <c r="D567" s="27">
        <v>60</v>
      </c>
      <c r="E567" s="1">
        <v>3</v>
      </c>
      <c r="F567" s="1">
        <v>1</v>
      </c>
      <c r="G567" s="6">
        <v>0</v>
      </c>
      <c r="H567" s="1">
        <f>SUM(C567:G567)</f>
        <v>64</v>
      </c>
      <c r="I567" s="10">
        <f>D567/H567</f>
        <v>0.9375</v>
      </c>
      <c r="J567" s="11">
        <f>1-I567</f>
        <v>6.25E-2</v>
      </c>
      <c r="K567">
        <f>H567-D571</f>
        <v>2</v>
      </c>
      <c r="N567" s="10">
        <f>2*(D572*I567)/(D572+I567)</f>
        <v>0.95238095238095233</v>
      </c>
      <c r="O567" s="1"/>
      <c r="P567" s="1"/>
    </row>
    <row r="568" spans="1:16" x14ac:dyDescent="0.3">
      <c r="A568" t="s">
        <v>5</v>
      </c>
      <c r="B568" s="13">
        <v>2</v>
      </c>
      <c r="C568" s="5">
        <v>0</v>
      </c>
      <c r="D568" s="1">
        <v>0</v>
      </c>
      <c r="E568" s="27">
        <v>741</v>
      </c>
      <c r="F568" s="1">
        <v>7</v>
      </c>
      <c r="G568" s="6">
        <v>0</v>
      </c>
      <c r="H568" s="1">
        <f>SUM(C568:G568)</f>
        <v>748</v>
      </c>
      <c r="I568" s="10">
        <f>E568/H568</f>
        <v>0.99064171122994649</v>
      </c>
      <c r="J568" s="11">
        <f>1-I568</f>
        <v>9.3582887700535133E-3</v>
      </c>
      <c r="K568">
        <f>H568-E571</f>
        <v>-36</v>
      </c>
      <c r="N568" s="10">
        <f>2*(E572*I568)/(E572+I568)</f>
        <v>0.96736292428198423</v>
      </c>
      <c r="O568" s="1"/>
      <c r="P568" s="1"/>
    </row>
    <row r="569" spans="1:16" x14ac:dyDescent="0.3">
      <c r="A569" t="s">
        <v>6</v>
      </c>
      <c r="B569" s="13">
        <v>3</v>
      </c>
      <c r="C569" s="5">
        <v>0</v>
      </c>
      <c r="D569" s="1">
        <v>0</v>
      </c>
      <c r="E569" s="1">
        <v>33</v>
      </c>
      <c r="F569" s="27">
        <v>581</v>
      </c>
      <c r="G569" s="6">
        <v>4</v>
      </c>
      <c r="H569" s="1">
        <f>SUM(C569:G569)</f>
        <v>618</v>
      </c>
      <c r="I569" s="10">
        <f>F569/H569</f>
        <v>0.94012944983818769</v>
      </c>
      <c r="J569" s="11">
        <f>1-I569</f>
        <v>5.9870550161812308E-2</v>
      </c>
      <c r="K569">
        <f>H569-F571</f>
        <v>-10</v>
      </c>
      <c r="N569" s="10">
        <f>2*(F572*I569)/(F572+I569)</f>
        <v>0.93258426966292129</v>
      </c>
      <c r="O569" s="1"/>
      <c r="P569" s="1"/>
    </row>
    <row r="570" spans="1:16" x14ac:dyDescent="0.3">
      <c r="A570" t="s">
        <v>7</v>
      </c>
      <c r="B570" s="13">
        <v>4</v>
      </c>
      <c r="C570" s="7">
        <v>0</v>
      </c>
      <c r="D570" s="8">
        <v>2</v>
      </c>
      <c r="E570" s="8">
        <v>7</v>
      </c>
      <c r="F570" s="8">
        <v>39</v>
      </c>
      <c r="G570" s="28">
        <v>965</v>
      </c>
      <c r="H570" s="1">
        <f>SUM(C570:G570)</f>
        <v>1013</v>
      </c>
      <c r="I570" s="10">
        <f>G570/H570</f>
        <v>0.95261599210266534</v>
      </c>
      <c r="J570" s="11">
        <f>1-I570</f>
        <v>4.7384007897334657E-2</v>
      </c>
      <c r="K570">
        <f>H570-G571</f>
        <v>44</v>
      </c>
      <c r="N570" s="10">
        <f>2*(G572*I570)/(G572+I570)</f>
        <v>0.97376387487386473</v>
      </c>
      <c r="O570" s="1"/>
      <c r="P570" s="1"/>
    </row>
    <row r="571" spans="1:16" ht="15.6" x14ac:dyDescent="0.35">
      <c r="B571" s="1" t="s">
        <v>19</v>
      </c>
      <c r="C571" s="1">
        <f>SUM(C566:C570)</f>
        <v>450</v>
      </c>
      <c r="D571" s="1">
        <f>SUM(D566:D570)</f>
        <v>62</v>
      </c>
      <c r="E571" s="1">
        <f>SUM(E566:E570)</f>
        <v>784</v>
      </c>
      <c r="F571" s="1">
        <f>SUM(F566:F570)</f>
        <v>628</v>
      </c>
      <c r="G571" s="1">
        <f>SUM(G566:G570)</f>
        <v>969</v>
      </c>
      <c r="H571" s="1">
        <f>SUM(H565:H570)</f>
        <v>2893</v>
      </c>
      <c r="I571" s="13" t="s">
        <v>12</v>
      </c>
      <c r="N571" s="16"/>
      <c r="O571" s="1"/>
      <c r="P571" s="1"/>
    </row>
    <row r="572" spans="1:16" x14ac:dyDescent="0.3">
      <c r="A572" s="1" t="s">
        <v>52</v>
      </c>
      <c r="B572" s="1" t="s">
        <v>2</v>
      </c>
      <c r="C572" s="10">
        <f>C566/C571</f>
        <v>1</v>
      </c>
      <c r="D572" s="10">
        <f>D567/D571</f>
        <v>0.967741935483871</v>
      </c>
      <c r="E572" s="10">
        <f>E568/E571</f>
        <v>0.94515306122448983</v>
      </c>
      <c r="F572" s="10">
        <f>F569/F571</f>
        <v>0.92515923566878977</v>
      </c>
      <c r="G572" s="10">
        <f>G570/G571</f>
        <v>0.99587203302373584</v>
      </c>
      <c r="H572" s="10"/>
      <c r="I572" s="14">
        <f>(C566+D567+E568+F569+G570)/H571</f>
        <v>0.96681645350846868</v>
      </c>
    </row>
    <row r="573" spans="1:16" x14ac:dyDescent="0.3">
      <c r="B573" s="1" t="s">
        <v>14</v>
      </c>
      <c r="C573" s="11">
        <f>1-C572</f>
        <v>0</v>
      </c>
      <c r="D573" s="11">
        <f>1-D572</f>
        <v>3.2258064516129004E-2</v>
      </c>
      <c r="E573" s="11">
        <f>1-E572</f>
        <v>5.4846938775510168E-2</v>
      </c>
      <c r="F573" s="11">
        <f>1-F572</f>
        <v>7.484076433121023E-2</v>
      </c>
      <c r="G573" s="11">
        <f>1-G572</f>
        <v>4.1279669762641635E-3</v>
      </c>
    </row>
    <row r="574" spans="1:16" x14ac:dyDescent="0.3">
      <c r="C574" s="2"/>
    </row>
    <row r="575" spans="1:16" ht="15.6" x14ac:dyDescent="0.35">
      <c r="A575" t="s">
        <v>22</v>
      </c>
      <c r="B575" s="15" t="s">
        <v>23</v>
      </c>
      <c r="N575" s="12" t="s">
        <v>17</v>
      </c>
      <c r="O575" s="1" t="s">
        <v>27</v>
      </c>
      <c r="P575" s="1" t="s">
        <v>33</v>
      </c>
    </row>
    <row r="576" spans="1:16" ht="15.6" x14ac:dyDescent="0.35">
      <c r="B576" s="1" t="s">
        <v>0</v>
      </c>
      <c r="C576" s="13">
        <v>0</v>
      </c>
      <c r="D576" s="13">
        <v>1</v>
      </c>
      <c r="E576" s="13">
        <v>2</v>
      </c>
      <c r="F576" s="13">
        <v>3</v>
      </c>
      <c r="G576" s="13">
        <v>4</v>
      </c>
      <c r="H576" s="1" t="s">
        <v>28</v>
      </c>
      <c r="I576" s="1" t="s">
        <v>31</v>
      </c>
      <c r="J576" s="15" t="s">
        <v>39</v>
      </c>
      <c r="K576" s="1" t="s">
        <v>38</v>
      </c>
      <c r="L576" s="1" t="s">
        <v>26</v>
      </c>
      <c r="M576" t="s">
        <v>8</v>
      </c>
      <c r="N576" t="s">
        <v>9</v>
      </c>
      <c r="O576" s="1" t="s">
        <v>11</v>
      </c>
    </row>
    <row r="577" spans="1:16" x14ac:dyDescent="0.3">
      <c r="A577" t="s">
        <v>3</v>
      </c>
      <c r="B577" s="13">
        <v>0</v>
      </c>
      <c r="C577" s="29">
        <f>(C566/$L577)*$O577</f>
        <v>0.27105265011533231</v>
      </c>
      <c r="D577" s="31">
        <f>(D566/$L577)*$O577</f>
        <v>0</v>
      </c>
      <c r="E577" s="31">
        <f>(E566/$L577)*$O577</f>
        <v>0</v>
      </c>
      <c r="F577" s="31">
        <f>(F566/$L577)*$O577</f>
        <v>0</v>
      </c>
      <c r="G577" s="32">
        <f>(G566/$L577)*$O577</f>
        <v>0</v>
      </c>
      <c r="H577" s="17">
        <f>SUM(C577:G577)</f>
        <v>0.27105265011533231</v>
      </c>
      <c r="I577" s="17">
        <f>C577/H577*100</f>
        <v>100</v>
      </c>
      <c r="J577" s="17">
        <f>SQRT(I577*(100-I577)/(L577-1))</f>
        <v>0</v>
      </c>
      <c r="K577" s="18">
        <f>100-I577</f>
        <v>0</v>
      </c>
      <c r="L577" s="1">
        <f>H566</f>
        <v>450</v>
      </c>
      <c r="M577">
        <v>0</v>
      </c>
      <c r="N577" s="1">
        <v>261.67</v>
      </c>
      <c r="O577" s="17">
        <f>N577/N582*100</f>
        <v>0.27105265011533231</v>
      </c>
      <c r="P577" s="52">
        <f>((O577*O577*(I577/100)*(K577/100))/(L577-1))</f>
        <v>0</v>
      </c>
    </row>
    <row r="578" spans="1:16" x14ac:dyDescent="0.3">
      <c r="A578" t="s">
        <v>4</v>
      </c>
      <c r="B578" s="13">
        <v>1</v>
      </c>
      <c r="C578" s="33">
        <f t="shared" ref="C578:G581" si="59">(C567/$L578)*$O578</f>
        <v>0</v>
      </c>
      <c r="D578" s="34">
        <f t="shared" si="59"/>
        <v>0.98665360658407153</v>
      </c>
      <c r="E578" s="19">
        <f t="shared" si="59"/>
        <v>4.9332680329203578E-2</v>
      </c>
      <c r="F578" s="18">
        <f t="shared" si="59"/>
        <v>1.6444226776401193E-2</v>
      </c>
      <c r="G578" s="20">
        <f t="shared" si="59"/>
        <v>0</v>
      </c>
      <c r="H578" s="17">
        <f>SUM(C578:G578)</f>
        <v>1.0524305136896763</v>
      </c>
      <c r="I578" s="17">
        <f>D578/H578*100</f>
        <v>93.75</v>
      </c>
      <c r="J578" s="17">
        <f>SQRT(I578*(100-I578)/(L578-1))</f>
        <v>3.0496877279641659</v>
      </c>
      <c r="K578" s="18">
        <f>100-I578</f>
        <v>6.25</v>
      </c>
      <c r="L578" s="1">
        <f>H567</f>
        <v>64</v>
      </c>
      <c r="M578">
        <v>1</v>
      </c>
      <c r="N578" s="1">
        <v>1016</v>
      </c>
      <c r="O578" s="17">
        <f>N578/N582*100</f>
        <v>1.0524305136896763</v>
      </c>
      <c r="P578" s="52">
        <f>((O578*O578*(I578/100)*(K578/100))/(L578-1))</f>
        <v>1.0301432162807998E-3</v>
      </c>
    </row>
    <row r="579" spans="1:16" x14ac:dyDescent="0.3">
      <c r="A579" t="s">
        <v>5</v>
      </c>
      <c r="B579" s="13">
        <v>2</v>
      </c>
      <c r="C579" s="33">
        <f t="shared" si="59"/>
        <v>0</v>
      </c>
      <c r="D579" s="19">
        <f t="shared" si="59"/>
        <v>0</v>
      </c>
      <c r="E579" s="34">
        <f t="shared" si="59"/>
        <v>61.432692353008377</v>
      </c>
      <c r="F579" s="19">
        <f t="shared" si="59"/>
        <v>0.58033582519711013</v>
      </c>
      <c r="G579" s="20">
        <f t="shared" si="59"/>
        <v>0</v>
      </c>
      <c r="H579" s="17">
        <f>SUM(C579:G579)</f>
        <v>62.013028178205488</v>
      </c>
      <c r="I579" s="17">
        <f>E579/H579*100</f>
        <v>99.064171122994651</v>
      </c>
      <c r="J579" s="17">
        <f>SQRT(I579*(100-I579)/(L579-1))</f>
        <v>0.35228668199337793</v>
      </c>
      <c r="K579" s="18">
        <f>100-I579</f>
        <v>0.93582887700534911</v>
      </c>
      <c r="L579" s="1">
        <f>H568</f>
        <v>748</v>
      </c>
      <c r="M579">
        <v>2</v>
      </c>
      <c r="N579" s="1">
        <v>59866.41</v>
      </c>
      <c r="O579" s="17">
        <f>N579/N582*100</f>
        <v>62.013028178205488</v>
      </c>
      <c r="P579" s="52">
        <f>((O579*O579*(I579/100)*(K579/100))/(L579-1))</f>
        <v>4.7726361727929552E-2</v>
      </c>
    </row>
    <row r="580" spans="1:16" x14ac:dyDescent="0.3">
      <c r="A580" t="s">
        <v>6</v>
      </c>
      <c r="B580" s="13">
        <v>3</v>
      </c>
      <c r="C580" s="33">
        <f t="shared" si="59"/>
        <v>0</v>
      </c>
      <c r="D580" s="19">
        <f t="shared" si="59"/>
        <v>0</v>
      </c>
      <c r="E580" s="19">
        <f t="shared" si="59"/>
        <v>1.6144677605016842</v>
      </c>
      <c r="F580" s="34">
        <f t="shared" si="59"/>
        <v>28.424417237923592</v>
      </c>
      <c r="G580" s="20">
        <f t="shared" si="59"/>
        <v>0.19569306187899205</v>
      </c>
      <c r="H580" s="17">
        <f>SUM(C580:G580)</f>
        <v>30.234578060304266</v>
      </c>
      <c r="I580" s="17">
        <f>F580/H580*100</f>
        <v>94.012944983818784</v>
      </c>
      <c r="J580" s="17">
        <f>SQRT(I580*(100-I580)/(L580-1))</f>
        <v>0.95511985030479685</v>
      </c>
      <c r="K580" s="18">
        <f>100-I580</f>
        <v>5.9870550161812162</v>
      </c>
      <c r="L580" s="1">
        <f>H569</f>
        <v>618</v>
      </c>
      <c r="M580">
        <v>3</v>
      </c>
      <c r="N580" s="1">
        <v>29187.99</v>
      </c>
      <c r="O580" s="17">
        <f>N580/N582*100</f>
        <v>30.234578060304269</v>
      </c>
      <c r="P580" s="52">
        <f>((O580*O580*(I580/100)*(K580/100))/(L580-1))</f>
        <v>8.3391841949904594E-2</v>
      </c>
    </row>
    <row r="581" spans="1:16" x14ac:dyDescent="0.3">
      <c r="A581" t="s">
        <v>7</v>
      </c>
      <c r="B581" s="13">
        <v>4</v>
      </c>
      <c r="C581" s="35">
        <f t="shared" si="59"/>
        <v>0</v>
      </c>
      <c r="D581" s="36">
        <f t="shared" si="59"/>
        <v>1.2692814605498976E-2</v>
      </c>
      <c r="E581" s="21">
        <f t="shared" si="59"/>
        <v>4.442485111924642E-2</v>
      </c>
      <c r="F581" s="21">
        <f t="shared" si="59"/>
        <v>0.24750988480723005</v>
      </c>
      <c r="G581" s="37">
        <f t="shared" si="59"/>
        <v>6.1242830471532566</v>
      </c>
      <c r="H581" s="17">
        <f>SUM(C581:G581)</f>
        <v>6.4289105976852321</v>
      </c>
      <c r="I581" s="17">
        <f>G581/H581*100</f>
        <v>95.261599210266539</v>
      </c>
      <c r="J581" s="17">
        <f>SQRT(I581*(100-I581)/(L581-1))</f>
        <v>0.66785867843198421</v>
      </c>
      <c r="K581" s="18">
        <f>100-I581</f>
        <v>4.7384007897334612</v>
      </c>
      <c r="L581" s="1">
        <f>H570</f>
        <v>1013</v>
      </c>
      <c r="M581">
        <v>4</v>
      </c>
      <c r="N581" s="1">
        <v>6206.37</v>
      </c>
      <c r="O581" s="17">
        <f>N581/N582*100</f>
        <v>6.4289105976852321</v>
      </c>
      <c r="P581" s="52">
        <f>((O581*O581*(I581/100)*(K581/100))/(L581-1))</f>
        <v>1.8435033037735157E-3</v>
      </c>
    </row>
    <row r="582" spans="1:16" x14ac:dyDescent="0.3">
      <c r="B582" t="s">
        <v>28</v>
      </c>
      <c r="C582" s="17">
        <f t="shared" ref="C582:H582" si="60">SUM(C577:C581)</f>
        <v>0.27105265011533231</v>
      </c>
      <c r="D582" s="17">
        <f t="shared" si="60"/>
        <v>0.99934642118957051</v>
      </c>
      <c r="E582" s="17">
        <f t="shared" si="60"/>
        <v>63.140917644958506</v>
      </c>
      <c r="F582" s="17">
        <f t="shared" si="60"/>
        <v>29.268707174704332</v>
      </c>
      <c r="G582" s="17">
        <f t="shared" si="60"/>
        <v>6.3199761090322486</v>
      </c>
      <c r="H582" s="18">
        <f t="shared" si="60"/>
        <v>99.999999999999986</v>
      </c>
      <c r="I582" s="13" t="s">
        <v>24</v>
      </c>
      <c r="J582" s="12" t="s">
        <v>29</v>
      </c>
      <c r="N582" s="1">
        <f>SUM(N577:N581)</f>
        <v>96538.44</v>
      </c>
      <c r="O582" s="17">
        <f>SUM(O577:O581)</f>
        <v>100</v>
      </c>
    </row>
    <row r="583" spans="1:16" x14ac:dyDescent="0.3">
      <c r="B583" s="16" t="s">
        <v>39</v>
      </c>
      <c r="C583" s="18">
        <f>SQRT(SUM((O577*O577*(C577/O577)*(1-C577/O577))/L577,(O578*O578*(C578/O578)*(1-C578/O578))/L578,(O579*O579*(C579/O579)*(1-C579/O579))/L579,(O580*O580*(C580/O580)*(1-C580/O580))/L580,(O581*O581*(C581/O581)*(1-C581/O581))/L581))</f>
        <v>0</v>
      </c>
      <c r="D583" s="18">
        <f>SQRT(SUM((O577*O577*(D577/O577)*(1-D577/O577))/L577,(O578*O578*(D578/O578)*(1-D578/O578))/L578,(O579*O579*(D579/O579)*(1-D579/O579))/L579,(O580*O580*(D580/O580)*(1-D580/O580))/L580,(O581*O581*(D581/O581)*(1-D581/O581))/L581))</f>
        <v>3.3082351183204572E-2</v>
      </c>
      <c r="E583" s="18">
        <f>SQRT(SUM((O577*O577*(E577/O577)*(1-E577/O577))/L577,(O578*O578*(E578/O578)*(1-E578/O578))/L578,(O579*O579*(E579/O579)*(1-E579/O579))/L579,(O580*O580*(E580/O580)*(1-E580/O580))/L580,(O581*O581*(E581/O581)*(1-E581/O581))/L581))</f>
        <v>0.35140168575363617</v>
      </c>
      <c r="F583" s="18">
        <f>SQRT(SUM((O577*O577*(F577/O577)*(1-F577/O577))/L577,(O578*O578*(F578/O578)*(1-F578/O578))/L578,(O579*O579*(F579/O579)*(1-F579/O579))/L579,(O580*O580*(F580/O580)*(1-F580/O580))/L580,(O581*O581*(F581/O581)*(1-F581/O581))/L581))</f>
        <v>0.36427458200548207</v>
      </c>
      <c r="G583" s="18">
        <f>SQRT(SUM((O577*O577*(G577/O577)*(1-G577/O577))/L577,(O578*O578*(G578/O578)*(1-G578/O578))/L578,(O579*O579*(G579/O579)*(1-G579/O579))/L579,(O580*O580*(G580/O580)*(1-G580/O580))/L580,(O581*O581*(G581/O581)*(1-G581/O581))/L581))</f>
        <v>0.10655355368429216</v>
      </c>
      <c r="H583" s="1"/>
      <c r="I583" s="56">
        <f>(C577+D578+E579+F580+G581)/H582</f>
        <v>0.97239098894784648</v>
      </c>
      <c r="J583" s="53">
        <f>SQRT(SUM(P577:P581))/100</f>
        <v>3.6604897240381435E-3</v>
      </c>
      <c r="M583" s="1"/>
      <c r="N583" s="9"/>
    </row>
    <row r="584" spans="1:16" x14ac:dyDescent="0.3">
      <c r="B584" s="1" t="s">
        <v>30</v>
      </c>
      <c r="C584" s="17">
        <f>C577/C582*100</f>
        <v>100</v>
      </c>
      <c r="D584" s="17">
        <f>D578/D582*100</f>
        <v>98.729888421435476</v>
      </c>
      <c r="E584" s="17">
        <f>E579/E582*100</f>
        <v>97.294582727550022</v>
      </c>
      <c r="F584" s="17">
        <f>F580/F582*100</f>
        <v>97.115383567367047</v>
      </c>
      <c r="G584" s="17">
        <f>G581/G582*100</f>
        <v>96.90357908791276</v>
      </c>
      <c r="H584" s="1"/>
    </row>
    <row r="585" spans="1:16" x14ac:dyDescent="0.3">
      <c r="B585" s="16" t="s">
        <v>39</v>
      </c>
      <c r="C585" s="18">
        <f>SQRT((C588+C589)/(C582*C582))</f>
        <v>0</v>
      </c>
      <c r="D585" s="18">
        <f>SQRT((D588+D589)/(D582*D582))</f>
        <v>0.97563011623785156</v>
      </c>
      <c r="E585" s="18">
        <f>SQRT((E588+E589)/(E582*E582))</f>
        <v>0.43486625004482576</v>
      </c>
      <c r="F585" s="18">
        <f>SQRT((F588+F589)/(F582*F582))</f>
        <v>0.79124457837300399</v>
      </c>
      <c r="G585" s="18">
        <f>SQRT((G588+G589)/(G582*G582))</f>
        <v>1.5113312432939352</v>
      </c>
      <c r="H585" s="1"/>
    </row>
    <row r="586" spans="1:16" x14ac:dyDescent="0.3">
      <c r="B586" s="1" t="s">
        <v>37</v>
      </c>
      <c r="C586" s="18">
        <f>100-C584</f>
        <v>0</v>
      </c>
      <c r="D586" s="18">
        <f>100-D584</f>
        <v>1.2701115785645243</v>
      </c>
      <c r="E586" s="18">
        <f>100-E584</f>
        <v>2.7054172724499779</v>
      </c>
      <c r="F586" s="18">
        <f>100-F584</f>
        <v>2.8846164326329529</v>
      </c>
      <c r="G586" s="18">
        <f>100-G584</f>
        <v>3.0964209120872397</v>
      </c>
    </row>
    <row r="587" spans="1:16" ht="15.6" x14ac:dyDescent="0.35">
      <c r="B587" s="1" t="s">
        <v>25</v>
      </c>
      <c r="C587" s="1">
        <f>C571</f>
        <v>450</v>
      </c>
      <c r="D587" s="1">
        <f>D571</f>
        <v>62</v>
      </c>
      <c r="E587" s="1">
        <f>E571</f>
        <v>784</v>
      </c>
      <c r="F587" s="1">
        <f>F571</f>
        <v>628</v>
      </c>
      <c r="G587" s="1">
        <f>G571</f>
        <v>969</v>
      </c>
    </row>
    <row r="588" spans="1:16" x14ac:dyDescent="0.3">
      <c r="B588" s="1" t="s">
        <v>34</v>
      </c>
      <c r="C588" s="18">
        <f>(O577*O577*(100-C584)*(100-C584)*(I577)*(100-I577))/(L577-1)</f>
        <v>0</v>
      </c>
      <c r="D588" s="18">
        <f>(O578*O578*(100-D584)*(100-D584)*(I578)*(100-I578))/((L578-1)*100)</f>
        <v>0.16618099587937252</v>
      </c>
      <c r="E588" s="18">
        <f>(O579*O579*(100-E584)*(100-E584)*(I579)*(100-I579))/((L579-1)*100)</f>
        <v>34.932272981898848</v>
      </c>
      <c r="F588" s="18">
        <f>(O580*O580*(100-F584)*(100-F584)*(I580)*(100-I580))/((L580-1)*100)</f>
        <v>69.390451451645774</v>
      </c>
      <c r="G588" s="18">
        <f>(O581*O581*(100-G584)*(100-G584)*(I581)*(100-I581))/((L581-1)*100)</f>
        <v>1.7675182389873334</v>
      </c>
    </row>
    <row r="589" spans="1:16" x14ac:dyDescent="0.3">
      <c r="B589" s="1" t="s">
        <v>35</v>
      </c>
      <c r="C589" s="18">
        <f>C584*C584*(SUM((H578*C578*(1-C567/H567))/(H567-1),(H579*C579*(1-C568/H568))/(H568-1), (H580*C580*(1-C569/H569))/(H569-1),(H581*C581*(1-C570/H570))/(H570-1)))</f>
        <v>0</v>
      </c>
      <c r="D589" s="18">
        <f>D584*D584*(SUM((H577*D577*(1-D566/H566))/(H566-1),(H579*D579*(1-D568/H568))/(H568-1), (H580*D580*(1-D569/H569))/(H569-1),(H581*D581*(1-D570/H570))/(H570-1)))</f>
        <v>0.78442931105817282</v>
      </c>
      <c r="E589" s="18">
        <f>E584*E584*(SUM((H577*E577*(1-E566/H566))/(H566-1),(H578*E578*(1-E567/H567))/(H567-1), (H580*E580*(1-E569/H569))/(H569-1),(H581*E581*(1-E570/H570))/(H570-1)))</f>
        <v>719.0014777324941</v>
      </c>
      <c r="F589" s="18">
        <f>F584*F584*(SUM((H577*F577*(1-F566/H566))/(H566-1),(H578*F578*(1-F567/H567))/(H567-1), (H579*F579*(1-F568/H568))/(H568-1),(H581*F581*(1-F570/H570))/(H570-1)))</f>
        <v>466.93520602758787</v>
      </c>
      <c r="G589" s="18">
        <f>G584*G584*(SUM((H577*G577*(1-G566/H566))/(H566-1),(H578*G578*(1-G567/H567))/(H567-1), (H579*G579*(1-G568/H568))/(H568-1),(H580*G580*(1-G569/H569))/(H569-1)))</f>
        <v>89.465111642674103</v>
      </c>
    </row>
    <row r="592" spans="1:16" x14ac:dyDescent="0.3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</row>
    <row r="593" spans="1:16" x14ac:dyDescent="0.3">
      <c r="I593" s="1"/>
    </row>
    <row r="594" spans="1:16" x14ac:dyDescent="0.3">
      <c r="B594" s="1"/>
      <c r="C594" s="13"/>
      <c r="D594" s="13"/>
      <c r="E594" s="13"/>
      <c r="F594" s="13"/>
      <c r="G594" s="13"/>
      <c r="H594" s="1"/>
      <c r="I594" s="1"/>
      <c r="J594" s="1"/>
      <c r="N594" s="1"/>
    </row>
    <row r="595" spans="1:16" x14ac:dyDescent="0.3">
      <c r="B595" s="13"/>
      <c r="C595" s="26"/>
      <c r="D595" s="3"/>
      <c r="E595" s="3"/>
      <c r="F595" s="3"/>
      <c r="G595" s="4"/>
      <c r="H595" s="1"/>
      <c r="I595" s="10"/>
      <c r="J595" s="11"/>
      <c r="N595" s="10"/>
    </row>
    <row r="596" spans="1:16" x14ac:dyDescent="0.3">
      <c r="B596" s="13"/>
      <c r="C596" s="5"/>
      <c r="D596" s="27"/>
      <c r="E596" s="1"/>
      <c r="F596" s="1"/>
      <c r="G596" s="6"/>
      <c r="H596" s="1"/>
      <c r="I596" s="10"/>
      <c r="J596" s="11"/>
      <c r="N596" s="10"/>
    </row>
    <row r="597" spans="1:16" x14ac:dyDescent="0.3">
      <c r="B597" s="13"/>
      <c r="C597" s="5"/>
      <c r="D597" s="1"/>
      <c r="E597" s="27"/>
      <c r="F597" s="1"/>
      <c r="G597" s="6"/>
      <c r="H597" s="1"/>
      <c r="I597" s="10"/>
      <c r="J597" s="11"/>
      <c r="N597" s="10"/>
    </row>
    <row r="598" spans="1:16" x14ac:dyDescent="0.3">
      <c r="B598" s="13"/>
      <c r="C598" s="5"/>
      <c r="D598" s="1"/>
      <c r="E598" s="1"/>
      <c r="F598" s="27"/>
      <c r="G598" s="6"/>
      <c r="H598" s="1"/>
      <c r="I598" s="10"/>
      <c r="J598" s="11"/>
      <c r="N598" s="10"/>
    </row>
    <row r="599" spans="1:16" x14ac:dyDescent="0.3">
      <c r="B599" s="13"/>
      <c r="C599" s="7"/>
      <c r="D599" s="8"/>
      <c r="E599" s="8"/>
      <c r="F599" s="8"/>
      <c r="G599" s="28"/>
      <c r="H599" s="1"/>
      <c r="I599" s="10"/>
      <c r="J599" s="11"/>
      <c r="N599" s="10"/>
    </row>
    <row r="600" spans="1:16" x14ac:dyDescent="0.3">
      <c r="B600" s="1"/>
      <c r="C600" s="1"/>
      <c r="D600" s="1"/>
      <c r="E600" s="1"/>
      <c r="F600" s="1"/>
      <c r="G600" s="1"/>
      <c r="H600" s="1"/>
      <c r="I600" s="13"/>
    </row>
    <row r="601" spans="1:16" x14ac:dyDescent="0.3">
      <c r="A601" s="1"/>
      <c r="B601" s="1"/>
      <c r="C601" s="10"/>
      <c r="D601" s="10"/>
      <c r="E601" s="10"/>
      <c r="F601" s="10"/>
      <c r="G601" s="10"/>
      <c r="H601" s="10"/>
      <c r="I601" s="14"/>
    </row>
    <row r="602" spans="1:16" x14ac:dyDescent="0.3">
      <c r="B602" s="1"/>
      <c r="C602" s="11"/>
      <c r="D602" s="11"/>
      <c r="E602" s="11"/>
      <c r="F602" s="11"/>
      <c r="G602" s="11"/>
    </row>
    <row r="603" spans="1:16" x14ac:dyDescent="0.3">
      <c r="C603" s="2"/>
    </row>
    <row r="604" spans="1:16" x14ac:dyDescent="0.3">
      <c r="B604" s="15"/>
      <c r="N604" s="12"/>
      <c r="O604" s="1"/>
      <c r="P604" s="1"/>
    </row>
    <row r="605" spans="1:16" x14ac:dyDescent="0.3">
      <c r="B605" s="1"/>
      <c r="C605" s="13"/>
      <c r="D605" s="13"/>
      <c r="E605" s="13"/>
      <c r="F605" s="13"/>
      <c r="G605" s="13"/>
      <c r="H605" s="1"/>
      <c r="I605" s="1"/>
      <c r="J605" s="15"/>
      <c r="K605" s="1"/>
      <c r="L605" s="1"/>
      <c r="O605" s="1"/>
    </row>
    <row r="606" spans="1:16" x14ac:dyDescent="0.3">
      <c r="B606" s="13"/>
      <c r="C606" s="29"/>
      <c r="D606" s="31"/>
      <c r="E606" s="31"/>
      <c r="F606" s="31"/>
      <c r="G606" s="32"/>
      <c r="H606" s="17"/>
      <c r="I606" s="17"/>
      <c r="J606" s="17"/>
      <c r="K606" s="18"/>
      <c r="L606" s="1"/>
      <c r="N606" s="1"/>
      <c r="O606" s="17"/>
      <c r="P606" s="52"/>
    </row>
    <row r="607" spans="1:16" x14ac:dyDescent="0.3">
      <c r="B607" s="13"/>
      <c r="C607" s="33"/>
      <c r="D607" s="34"/>
      <c r="E607" s="19"/>
      <c r="F607" s="18"/>
      <c r="G607" s="20"/>
      <c r="H607" s="17"/>
      <c r="I607" s="17"/>
      <c r="J607" s="17"/>
      <c r="K607" s="18"/>
      <c r="L607" s="1"/>
      <c r="N607" s="1"/>
      <c r="O607" s="17"/>
      <c r="P607" s="52"/>
    </row>
    <row r="608" spans="1:16" x14ac:dyDescent="0.3">
      <c r="B608" s="13"/>
      <c r="C608" s="33"/>
      <c r="D608" s="19"/>
      <c r="E608" s="34"/>
      <c r="F608" s="19"/>
      <c r="G608" s="20"/>
      <c r="H608" s="17"/>
      <c r="I608" s="17"/>
      <c r="J608" s="17"/>
      <c r="K608" s="18"/>
      <c r="L608" s="1"/>
      <c r="N608" s="1"/>
      <c r="O608" s="17"/>
      <c r="P608" s="52"/>
    </row>
    <row r="609" spans="1:16" x14ac:dyDescent="0.3">
      <c r="B609" s="13"/>
      <c r="C609" s="33"/>
      <c r="D609" s="19"/>
      <c r="E609" s="19"/>
      <c r="F609" s="34"/>
      <c r="G609" s="20"/>
      <c r="H609" s="17"/>
      <c r="I609" s="17"/>
      <c r="J609" s="17"/>
      <c r="K609" s="18"/>
      <c r="L609" s="1"/>
      <c r="N609" s="1"/>
      <c r="O609" s="17"/>
      <c r="P609" s="52"/>
    </row>
    <row r="610" spans="1:16" x14ac:dyDescent="0.3">
      <c r="B610" s="13"/>
      <c r="C610" s="35"/>
      <c r="D610" s="36"/>
      <c r="E610" s="21"/>
      <c r="F610" s="21"/>
      <c r="G610" s="37"/>
      <c r="H610" s="17"/>
      <c r="I610" s="17"/>
      <c r="J610" s="17"/>
      <c r="K610" s="18"/>
      <c r="L610" s="1"/>
      <c r="N610" s="1"/>
      <c r="O610" s="17"/>
      <c r="P610" s="52"/>
    </row>
    <row r="611" spans="1:16" x14ac:dyDescent="0.3">
      <c r="C611" s="17"/>
      <c r="D611" s="17"/>
      <c r="E611" s="17"/>
      <c r="F611" s="17"/>
      <c r="G611" s="17"/>
      <c r="H611" s="18"/>
      <c r="I611" s="13"/>
      <c r="J611" s="12"/>
      <c r="N611" s="1"/>
      <c r="O611" s="17"/>
    </row>
    <row r="612" spans="1:16" x14ac:dyDescent="0.3">
      <c r="B612" s="16"/>
      <c r="C612" s="18"/>
      <c r="D612" s="18"/>
      <c r="E612" s="18"/>
      <c r="F612" s="18"/>
      <c r="G612" s="18"/>
      <c r="H612" s="1"/>
      <c r="I612" s="14"/>
      <c r="J612" s="53"/>
      <c r="M612" s="1"/>
      <c r="N612" s="9"/>
    </row>
    <row r="613" spans="1:16" x14ac:dyDescent="0.3">
      <c r="B613" s="1"/>
      <c r="C613" s="17"/>
      <c r="D613" s="17"/>
      <c r="E613" s="17"/>
      <c r="F613" s="17"/>
      <c r="G613" s="17"/>
      <c r="H613" s="1"/>
    </row>
    <row r="614" spans="1:16" x14ac:dyDescent="0.3">
      <c r="B614" s="16"/>
      <c r="C614" s="18"/>
      <c r="D614" s="18"/>
      <c r="E614" s="18"/>
      <c r="F614" s="18"/>
      <c r="G614" s="18"/>
      <c r="H614" s="1"/>
      <c r="I614" s="14"/>
    </row>
    <row r="615" spans="1:16" x14ac:dyDescent="0.3">
      <c r="B615" s="1"/>
      <c r="C615" s="18"/>
      <c r="D615" s="18"/>
      <c r="E615" s="18"/>
      <c r="F615" s="18"/>
      <c r="G615" s="18"/>
    </row>
    <row r="616" spans="1:16" x14ac:dyDescent="0.3">
      <c r="B616" s="1"/>
      <c r="C616" s="1"/>
      <c r="D616" s="1"/>
      <c r="E616" s="1"/>
      <c r="F616" s="1"/>
      <c r="G616" s="1"/>
    </row>
    <row r="617" spans="1:16" x14ac:dyDescent="0.3">
      <c r="B617" s="1"/>
      <c r="C617" s="18"/>
      <c r="D617" s="18"/>
      <c r="E617" s="18"/>
      <c r="F617" s="18"/>
      <c r="G617" s="18"/>
    </row>
    <row r="618" spans="1:16" x14ac:dyDescent="0.3">
      <c r="B618" s="1"/>
      <c r="C618" s="18"/>
      <c r="D618" s="18"/>
      <c r="E618" s="18"/>
      <c r="F618" s="18"/>
      <c r="G618" s="18"/>
    </row>
    <row r="621" spans="1:16" x14ac:dyDescent="0.3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</row>
    <row r="622" spans="1:16" x14ac:dyDescent="0.3">
      <c r="I622" s="1"/>
    </row>
    <row r="623" spans="1:16" x14ac:dyDescent="0.3">
      <c r="B623" s="1"/>
      <c r="C623" s="13"/>
      <c r="D623" s="13"/>
      <c r="E623" s="13"/>
      <c r="F623" s="13"/>
      <c r="G623" s="13"/>
      <c r="H623" s="1"/>
      <c r="I623" s="1"/>
      <c r="J623" s="1"/>
      <c r="N623" s="1"/>
    </row>
    <row r="624" spans="1:16" x14ac:dyDescent="0.3">
      <c r="B624" s="13"/>
      <c r="C624" s="26"/>
      <c r="D624" s="3"/>
      <c r="E624" s="3"/>
      <c r="F624" s="3"/>
      <c r="G624" s="4"/>
      <c r="H624" s="1"/>
      <c r="I624" s="10"/>
      <c r="J624" s="11"/>
      <c r="N624" s="10"/>
    </row>
    <row r="625" spans="1:16" x14ac:dyDescent="0.3">
      <c r="B625" s="13"/>
      <c r="C625" s="5"/>
      <c r="D625" s="27"/>
      <c r="E625" s="1"/>
      <c r="F625" s="1"/>
      <c r="G625" s="6"/>
      <c r="H625" s="1"/>
      <c r="I625" s="10"/>
      <c r="J625" s="11"/>
      <c r="N625" s="10"/>
    </row>
    <row r="626" spans="1:16" x14ac:dyDescent="0.3">
      <c r="B626" s="13"/>
      <c r="C626" s="5"/>
      <c r="D626" s="1"/>
      <c r="E626" s="27"/>
      <c r="F626" s="1"/>
      <c r="G626" s="6"/>
      <c r="H626" s="1"/>
      <c r="I626" s="10"/>
      <c r="J626" s="11"/>
      <c r="N626" s="10"/>
    </row>
    <row r="627" spans="1:16" x14ac:dyDescent="0.3">
      <c r="B627" s="13"/>
      <c r="C627" s="5"/>
      <c r="D627" s="1"/>
      <c r="E627" s="1"/>
      <c r="F627" s="27"/>
      <c r="G627" s="6"/>
      <c r="H627" s="1"/>
      <c r="I627" s="10"/>
      <c r="J627" s="11"/>
      <c r="N627" s="10"/>
    </row>
    <row r="628" spans="1:16" x14ac:dyDescent="0.3">
      <c r="B628" s="13"/>
      <c r="C628" s="7"/>
      <c r="D628" s="8"/>
      <c r="E628" s="8"/>
      <c r="F628" s="8"/>
      <c r="G628" s="28"/>
      <c r="H628" s="1"/>
      <c r="I628" s="10"/>
      <c r="J628" s="11"/>
      <c r="N628" s="10"/>
    </row>
    <row r="629" spans="1:16" x14ac:dyDescent="0.3">
      <c r="B629" s="1"/>
      <c r="C629" s="1"/>
      <c r="D629" s="1"/>
      <c r="E629" s="1"/>
      <c r="F629" s="1"/>
      <c r="G629" s="1"/>
      <c r="H629" s="1"/>
      <c r="I629" s="13"/>
    </row>
    <row r="630" spans="1:16" x14ac:dyDescent="0.3">
      <c r="A630" s="1"/>
      <c r="B630" s="1"/>
      <c r="C630" s="10"/>
      <c r="D630" s="10"/>
      <c r="E630" s="10"/>
      <c r="F630" s="10"/>
      <c r="G630" s="10"/>
      <c r="H630" s="10"/>
      <c r="I630" s="14"/>
    </row>
    <row r="631" spans="1:16" x14ac:dyDescent="0.3">
      <c r="B631" s="1"/>
      <c r="C631" s="11"/>
      <c r="D631" s="11"/>
      <c r="E631" s="11"/>
      <c r="F631" s="11"/>
      <c r="G631" s="11"/>
    </row>
    <row r="632" spans="1:16" x14ac:dyDescent="0.3">
      <c r="C632" s="2"/>
    </row>
    <row r="633" spans="1:16" x14ac:dyDescent="0.3">
      <c r="B633" s="15"/>
      <c r="N633" s="12"/>
      <c r="O633" s="1"/>
      <c r="P633" s="1"/>
    </row>
    <row r="634" spans="1:16" x14ac:dyDescent="0.3">
      <c r="B634" s="1"/>
      <c r="C634" s="13"/>
      <c r="D634" s="13"/>
      <c r="E634" s="13"/>
      <c r="F634" s="13"/>
      <c r="G634" s="13"/>
      <c r="H634" s="1"/>
      <c r="I634" s="1"/>
      <c r="J634" s="15"/>
      <c r="K634" s="1"/>
      <c r="L634" s="1"/>
      <c r="O634" s="1"/>
    </row>
    <row r="635" spans="1:16" x14ac:dyDescent="0.3">
      <c r="B635" s="13"/>
      <c r="C635" s="29"/>
      <c r="D635" s="31"/>
      <c r="E635" s="31"/>
      <c r="F635" s="31"/>
      <c r="G635" s="32"/>
      <c r="H635" s="17"/>
      <c r="I635" s="17"/>
      <c r="J635" s="17"/>
      <c r="K635" s="18"/>
      <c r="L635" s="1"/>
      <c r="N635" s="1"/>
      <c r="O635" s="17"/>
      <c r="P635" s="52"/>
    </row>
    <row r="636" spans="1:16" x14ac:dyDescent="0.3">
      <c r="B636" s="13"/>
      <c r="C636" s="33"/>
      <c r="D636" s="34"/>
      <c r="E636" s="19"/>
      <c r="F636" s="18"/>
      <c r="G636" s="20"/>
      <c r="H636" s="17"/>
      <c r="I636" s="17"/>
      <c r="J636" s="17"/>
      <c r="K636" s="18"/>
      <c r="L636" s="1"/>
      <c r="N636" s="1"/>
      <c r="O636" s="17"/>
      <c r="P636" s="52"/>
    </row>
    <row r="637" spans="1:16" x14ac:dyDescent="0.3">
      <c r="B637" s="13"/>
      <c r="C637" s="33"/>
      <c r="D637" s="19"/>
      <c r="E637" s="34"/>
      <c r="F637" s="19"/>
      <c r="G637" s="20"/>
      <c r="H637" s="17"/>
      <c r="I637" s="17"/>
      <c r="J637" s="17"/>
      <c r="K637" s="18"/>
      <c r="L637" s="1"/>
      <c r="N637" s="1"/>
      <c r="O637" s="17"/>
      <c r="P637" s="52"/>
    </row>
    <row r="638" spans="1:16" x14ac:dyDescent="0.3">
      <c r="B638" s="13"/>
      <c r="C638" s="33"/>
      <c r="D638" s="19"/>
      <c r="E638" s="19"/>
      <c r="F638" s="34"/>
      <c r="G638" s="20"/>
      <c r="H638" s="17"/>
      <c r="I638" s="17"/>
      <c r="J638" s="17"/>
      <c r="K638" s="18"/>
      <c r="L638" s="1"/>
      <c r="N638" s="1"/>
      <c r="O638" s="17"/>
      <c r="P638" s="52"/>
    </row>
    <row r="639" spans="1:16" x14ac:dyDescent="0.3">
      <c r="B639" s="13"/>
      <c r="C639" s="35"/>
      <c r="D639" s="36"/>
      <c r="E639" s="21"/>
      <c r="F639" s="21"/>
      <c r="G639" s="37"/>
      <c r="H639" s="17"/>
      <c r="I639" s="17"/>
      <c r="J639" s="17"/>
      <c r="K639" s="18"/>
      <c r="L639" s="1"/>
      <c r="N639" s="1"/>
      <c r="O639" s="17"/>
      <c r="P639" s="52"/>
    </row>
    <row r="640" spans="1:16" x14ac:dyDescent="0.3">
      <c r="C640" s="17"/>
      <c r="D640" s="17"/>
      <c r="E640" s="17"/>
      <c r="F640" s="17"/>
      <c r="G640" s="17"/>
      <c r="H640" s="18"/>
      <c r="I640" s="13"/>
      <c r="J640" s="12"/>
      <c r="N640" s="1"/>
      <c r="O640" s="17"/>
    </row>
    <row r="641" spans="1:16" x14ac:dyDescent="0.3">
      <c r="B641" s="16"/>
      <c r="C641" s="18"/>
      <c r="D641" s="18"/>
      <c r="E641" s="18"/>
      <c r="F641" s="18"/>
      <c r="G641" s="18"/>
      <c r="H641" s="1"/>
      <c r="I641" s="14"/>
      <c r="J641" s="53"/>
      <c r="M641" s="1"/>
      <c r="N641" s="9"/>
    </row>
    <row r="642" spans="1:16" x14ac:dyDescent="0.3">
      <c r="B642" s="1"/>
      <c r="C642" s="17"/>
      <c r="D642" s="17"/>
      <c r="E642" s="17"/>
      <c r="F642" s="17"/>
      <c r="G642" s="17"/>
      <c r="H642" s="1"/>
    </row>
    <row r="643" spans="1:16" x14ac:dyDescent="0.3">
      <c r="B643" s="16"/>
      <c r="C643" s="18"/>
      <c r="D643" s="18"/>
      <c r="E643" s="18"/>
      <c r="F643" s="18"/>
      <c r="G643" s="18"/>
      <c r="H643" s="1"/>
      <c r="I643" s="14"/>
    </row>
    <row r="644" spans="1:16" x14ac:dyDescent="0.3">
      <c r="B644" s="1"/>
      <c r="C644" s="18"/>
      <c r="D644" s="18"/>
      <c r="E644" s="18"/>
      <c r="F644" s="18"/>
      <c r="G644" s="18"/>
    </row>
    <row r="645" spans="1:16" x14ac:dyDescent="0.3">
      <c r="B645" s="1"/>
      <c r="C645" s="1"/>
      <c r="D645" s="1"/>
      <c r="E645" s="1"/>
      <c r="F645" s="1"/>
      <c r="G645" s="1"/>
    </row>
    <row r="646" spans="1:16" x14ac:dyDescent="0.3">
      <c r="B646" s="1"/>
      <c r="C646" s="18"/>
      <c r="D646" s="18"/>
      <c r="E646" s="18"/>
      <c r="F646" s="18"/>
      <c r="G646" s="18"/>
    </row>
    <row r="647" spans="1:16" x14ac:dyDescent="0.3">
      <c r="B647" s="1"/>
      <c r="C647" s="18"/>
      <c r="D647" s="18"/>
      <c r="E647" s="18"/>
      <c r="F647" s="18"/>
      <c r="G647" s="18"/>
    </row>
    <row r="650" spans="1:16" x14ac:dyDescent="0.3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</row>
    <row r="651" spans="1:16" x14ac:dyDescent="0.3">
      <c r="I651" s="1"/>
    </row>
    <row r="652" spans="1:16" x14ac:dyDescent="0.3">
      <c r="B652" s="1"/>
      <c r="C652" s="13"/>
      <c r="D652" s="13"/>
      <c r="E652" s="13"/>
      <c r="F652" s="13"/>
      <c r="G652" s="13"/>
      <c r="H652" s="1"/>
      <c r="I652" s="1"/>
      <c r="J652" s="1"/>
      <c r="N652" s="1"/>
    </row>
    <row r="653" spans="1:16" x14ac:dyDescent="0.3">
      <c r="B653" s="13"/>
      <c r="C653" s="26"/>
      <c r="D653" s="3"/>
      <c r="E653" s="3"/>
      <c r="F653" s="3"/>
      <c r="G653" s="4"/>
      <c r="H653" s="1"/>
      <c r="I653" s="10"/>
      <c r="J653" s="11"/>
      <c r="N653" s="10"/>
    </row>
    <row r="654" spans="1:16" x14ac:dyDescent="0.3">
      <c r="B654" s="13"/>
      <c r="C654" s="5"/>
      <c r="D654" s="27"/>
      <c r="E654" s="1"/>
      <c r="F654" s="1"/>
      <c r="G654" s="6"/>
      <c r="H654" s="1"/>
      <c r="I654" s="10"/>
      <c r="J654" s="11"/>
      <c r="N654" s="10"/>
    </row>
    <row r="655" spans="1:16" x14ac:dyDescent="0.3">
      <c r="B655" s="13"/>
      <c r="C655" s="5"/>
      <c r="D655" s="1"/>
      <c r="E655" s="27"/>
      <c r="F655" s="1"/>
      <c r="G655" s="6"/>
      <c r="H655" s="1"/>
      <c r="I655" s="10"/>
      <c r="J655" s="11"/>
      <c r="N655" s="10"/>
    </row>
    <row r="656" spans="1:16" x14ac:dyDescent="0.3">
      <c r="B656" s="13"/>
      <c r="C656" s="5"/>
      <c r="D656" s="1"/>
      <c r="E656" s="1"/>
      <c r="F656" s="27"/>
      <c r="G656" s="6"/>
      <c r="H656" s="1"/>
      <c r="I656" s="10"/>
      <c r="J656" s="11"/>
      <c r="N656" s="10"/>
    </row>
    <row r="657" spans="1:16" x14ac:dyDescent="0.3">
      <c r="B657" s="13"/>
      <c r="C657" s="7"/>
      <c r="D657" s="8"/>
      <c r="E657" s="8"/>
      <c r="F657" s="8"/>
      <c r="G657" s="28"/>
      <c r="H657" s="1"/>
      <c r="I657" s="10"/>
      <c r="J657" s="11"/>
      <c r="N657" s="10"/>
    </row>
    <row r="658" spans="1:16" x14ac:dyDescent="0.3">
      <c r="B658" s="1"/>
      <c r="C658" s="1"/>
      <c r="D658" s="1"/>
      <c r="E658" s="1"/>
      <c r="F658" s="1"/>
      <c r="G658" s="1"/>
      <c r="H658" s="1"/>
      <c r="I658" s="13"/>
    </row>
    <row r="659" spans="1:16" x14ac:dyDescent="0.3">
      <c r="A659" s="1"/>
      <c r="B659" s="1"/>
      <c r="C659" s="10"/>
      <c r="D659" s="10"/>
      <c r="E659" s="10"/>
      <c r="F659" s="10"/>
      <c r="G659" s="10"/>
      <c r="H659" s="10"/>
      <c r="I659" s="14"/>
    </row>
    <row r="660" spans="1:16" x14ac:dyDescent="0.3">
      <c r="B660" s="1"/>
      <c r="C660" s="11"/>
      <c r="D660" s="11"/>
      <c r="E660" s="11"/>
      <c r="F660" s="11"/>
      <c r="G660" s="11"/>
    </row>
    <row r="661" spans="1:16" x14ac:dyDescent="0.3">
      <c r="C661" s="2"/>
    </row>
    <row r="662" spans="1:16" x14ac:dyDescent="0.3">
      <c r="B662" s="15"/>
      <c r="N662" s="12"/>
      <c r="O662" s="1"/>
      <c r="P662" s="1"/>
    </row>
    <row r="663" spans="1:16" x14ac:dyDescent="0.3">
      <c r="B663" s="1"/>
      <c r="C663" s="13"/>
      <c r="D663" s="13"/>
      <c r="E663" s="13"/>
      <c r="F663" s="13"/>
      <c r="G663" s="13"/>
      <c r="H663" s="1"/>
      <c r="I663" s="1"/>
      <c r="J663" s="15"/>
      <c r="K663" s="1"/>
      <c r="L663" s="1"/>
      <c r="O663" s="1"/>
    </row>
    <row r="664" spans="1:16" x14ac:dyDescent="0.3">
      <c r="B664" s="13"/>
      <c r="C664" s="29"/>
      <c r="D664" s="31"/>
      <c r="E664" s="31"/>
      <c r="F664" s="31"/>
      <c r="G664" s="32"/>
      <c r="H664" s="17"/>
      <c r="I664" s="17"/>
      <c r="J664" s="17"/>
      <c r="K664" s="18"/>
      <c r="L664" s="1"/>
      <c r="N664" s="1"/>
      <c r="O664" s="17"/>
      <c r="P664" s="52"/>
    </row>
    <row r="665" spans="1:16" x14ac:dyDescent="0.3">
      <c r="B665" s="13"/>
      <c r="C665" s="33"/>
      <c r="D665" s="34"/>
      <c r="E665" s="19"/>
      <c r="F665" s="18"/>
      <c r="G665" s="20"/>
      <c r="H665" s="17"/>
      <c r="I665" s="17"/>
      <c r="J665" s="17"/>
      <c r="K665" s="18"/>
      <c r="L665" s="1"/>
      <c r="N665" s="1"/>
      <c r="O665" s="17"/>
      <c r="P665" s="52"/>
    </row>
    <row r="666" spans="1:16" x14ac:dyDescent="0.3">
      <c r="B666" s="13"/>
      <c r="C666" s="33"/>
      <c r="D666" s="19"/>
      <c r="E666" s="34"/>
      <c r="F666" s="19"/>
      <c r="G666" s="20"/>
      <c r="H666" s="17"/>
      <c r="I666" s="17"/>
      <c r="J666" s="17"/>
      <c r="K666" s="18"/>
      <c r="L666" s="1"/>
      <c r="N666" s="1"/>
      <c r="O666" s="17"/>
      <c r="P666" s="52"/>
    </row>
    <row r="667" spans="1:16" x14ac:dyDescent="0.3">
      <c r="B667" s="13"/>
      <c r="C667" s="33"/>
      <c r="D667" s="19"/>
      <c r="E667" s="19"/>
      <c r="F667" s="34"/>
      <c r="G667" s="20"/>
      <c r="H667" s="17"/>
      <c r="I667" s="17"/>
      <c r="J667" s="17"/>
      <c r="K667" s="18"/>
      <c r="L667" s="1"/>
      <c r="N667" s="1"/>
      <c r="O667" s="17"/>
      <c r="P667" s="52"/>
    </row>
    <row r="668" spans="1:16" x14ac:dyDescent="0.3">
      <c r="B668" s="13"/>
      <c r="C668" s="35"/>
      <c r="D668" s="36"/>
      <c r="E668" s="21"/>
      <c r="F668" s="21"/>
      <c r="G668" s="37"/>
      <c r="H668" s="17"/>
      <c r="I668" s="17"/>
      <c r="J668" s="17"/>
      <c r="K668" s="18"/>
      <c r="L668" s="1"/>
      <c r="N668" s="1"/>
      <c r="O668" s="17"/>
      <c r="P668" s="52"/>
    </row>
    <row r="669" spans="1:16" x14ac:dyDescent="0.3">
      <c r="C669" s="17"/>
      <c r="D669" s="17"/>
      <c r="E669" s="17"/>
      <c r="F669" s="17"/>
      <c r="G669" s="17"/>
      <c r="H669" s="18"/>
      <c r="I669" s="13"/>
      <c r="J669" s="12"/>
      <c r="N669" s="1"/>
      <c r="O669" s="17"/>
    </row>
    <row r="670" spans="1:16" x14ac:dyDescent="0.3">
      <c r="B670" s="16"/>
      <c r="C670" s="18"/>
      <c r="D670" s="18"/>
      <c r="E670" s="18"/>
      <c r="F670" s="18"/>
      <c r="G670" s="18"/>
      <c r="H670" s="1"/>
      <c r="I670" s="14"/>
      <c r="J670" s="53"/>
      <c r="M670" s="1"/>
      <c r="N670" s="9"/>
    </row>
    <row r="671" spans="1:16" x14ac:dyDescent="0.3">
      <c r="B671" s="1"/>
      <c r="C671" s="17"/>
      <c r="D671" s="17"/>
      <c r="E671" s="17"/>
      <c r="F671" s="17"/>
      <c r="G671" s="17"/>
      <c r="H671" s="1"/>
    </row>
    <row r="672" spans="1:16" x14ac:dyDescent="0.3">
      <c r="B672" s="16"/>
      <c r="C672" s="18"/>
      <c r="D672" s="18"/>
      <c r="E672" s="18"/>
      <c r="F672" s="18"/>
      <c r="G672" s="18"/>
      <c r="H672" s="1"/>
      <c r="I672" s="14"/>
    </row>
    <row r="673" spans="1:16" x14ac:dyDescent="0.3">
      <c r="B673" s="1"/>
      <c r="C673" s="18"/>
      <c r="D673" s="18"/>
      <c r="E673" s="18"/>
      <c r="F673" s="18"/>
      <c r="G673" s="18"/>
    </row>
    <row r="674" spans="1:16" x14ac:dyDescent="0.3">
      <c r="B674" s="1"/>
      <c r="C674" s="1"/>
      <c r="D674" s="1"/>
      <c r="E674" s="1"/>
      <c r="F674" s="1"/>
      <c r="G674" s="1"/>
    </row>
    <row r="675" spans="1:16" x14ac:dyDescent="0.3">
      <c r="B675" s="1"/>
      <c r="C675" s="18"/>
      <c r="D675" s="18"/>
      <c r="E675" s="18"/>
      <c r="F675" s="18"/>
      <c r="G675" s="18"/>
    </row>
    <row r="676" spans="1:16" x14ac:dyDescent="0.3">
      <c r="B676" s="1"/>
      <c r="C676" s="18"/>
      <c r="D676" s="18"/>
      <c r="E676" s="18"/>
      <c r="F676" s="18"/>
      <c r="G676" s="18"/>
    </row>
    <row r="679" spans="1:16" x14ac:dyDescent="0.3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</row>
    <row r="680" spans="1:16" x14ac:dyDescent="0.3">
      <c r="I680" s="1"/>
    </row>
    <row r="681" spans="1:16" x14ac:dyDescent="0.3">
      <c r="B681" s="1"/>
      <c r="C681" s="13"/>
      <c r="D681" s="13"/>
      <c r="E681" s="13"/>
      <c r="F681" s="13"/>
      <c r="G681" s="13"/>
      <c r="H681" s="1"/>
      <c r="I681" s="1"/>
      <c r="J681" s="1"/>
      <c r="N681" s="1"/>
    </row>
    <row r="682" spans="1:16" x14ac:dyDescent="0.3">
      <c r="B682" s="13"/>
      <c r="C682" s="26"/>
      <c r="D682" s="3"/>
      <c r="E682" s="3"/>
      <c r="F682" s="3"/>
      <c r="G682" s="4"/>
      <c r="H682" s="1"/>
      <c r="I682" s="10"/>
      <c r="J682" s="11"/>
      <c r="N682" s="10"/>
    </row>
    <row r="683" spans="1:16" x14ac:dyDescent="0.3">
      <c r="B683" s="13"/>
      <c r="C683" s="5"/>
      <c r="D683" s="27"/>
      <c r="E683" s="1"/>
      <c r="F683" s="1"/>
      <c r="G683" s="6"/>
      <c r="H683" s="1"/>
      <c r="I683" s="10"/>
      <c r="J683" s="11"/>
      <c r="N683" s="10"/>
    </row>
    <row r="684" spans="1:16" x14ac:dyDescent="0.3">
      <c r="B684" s="13"/>
      <c r="C684" s="5"/>
      <c r="D684" s="1"/>
      <c r="E684" s="27"/>
      <c r="F684" s="1"/>
      <c r="G684" s="6"/>
      <c r="H684" s="1"/>
      <c r="I684" s="10"/>
      <c r="J684" s="11"/>
      <c r="N684" s="10"/>
    </row>
    <row r="685" spans="1:16" x14ac:dyDescent="0.3">
      <c r="B685" s="13"/>
      <c r="C685" s="5"/>
      <c r="D685" s="1"/>
      <c r="E685" s="1"/>
      <c r="F685" s="27"/>
      <c r="G685" s="6"/>
      <c r="H685" s="1"/>
      <c r="I685" s="10"/>
      <c r="J685" s="11"/>
      <c r="N685" s="10"/>
    </row>
    <row r="686" spans="1:16" x14ac:dyDescent="0.3">
      <c r="B686" s="13"/>
      <c r="C686" s="7"/>
      <c r="D686" s="8"/>
      <c r="E686" s="8"/>
      <c r="F686" s="8"/>
      <c r="G686" s="28"/>
      <c r="H686" s="1"/>
      <c r="I686" s="10"/>
      <c r="J686" s="11"/>
      <c r="N686" s="10"/>
    </row>
    <row r="687" spans="1:16" x14ac:dyDescent="0.3">
      <c r="B687" s="1"/>
      <c r="C687" s="1"/>
      <c r="D687" s="1"/>
      <c r="E687" s="1"/>
      <c r="F687" s="1"/>
      <c r="G687" s="1"/>
      <c r="H687" s="1"/>
      <c r="I687" s="13"/>
    </row>
    <row r="688" spans="1:16" x14ac:dyDescent="0.3">
      <c r="A688" s="1"/>
      <c r="B688" s="1"/>
      <c r="C688" s="10"/>
      <c r="D688" s="10"/>
      <c r="E688" s="10"/>
      <c r="F688" s="10"/>
      <c r="G688" s="10"/>
      <c r="H688" s="10"/>
      <c r="I688" s="14"/>
    </row>
    <row r="689" spans="2:16" x14ac:dyDescent="0.3">
      <c r="B689" s="1"/>
      <c r="C689" s="11"/>
      <c r="D689" s="11"/>
      <c r="E689" s="11"/>
      <c r="F689" s="11"/>
      <c r="G689" s="11"/>
    </row>
    <row r="690" spans="2:16" x14ac:dyDescent="0.3">
      <c r="C690" s="2"/>
    </row>
    <row r="691" spans="2:16" x14ac:dyDescent="0.3">
      <c r="B691" s="15"/>
      <c r="N691" s="12"/>
      <c r="O691" s="1"/>
      <c r="P691" s="1"/>
    </row>
    <row r="692" spans="2:16" x14ac:dyDescent="0.3">
      <c r="B692" s="1"/>
      <c r="C692" s="13"/>
      <c r="D692" s="13"/>
      <c r="E692" s="13"/>
      <c r="F692" s="13"/>
      <c r="G692" s="13"/>
      <c r="H692" s="1"/>
      <c r="I692" s="1"/>
      <c r="J692" s="15"/>
      <c r="K692" s="1"/>
      <c r="L692" s="1"/>
      <c r="O692" s="1"/>
    </row>
    <row r="693" spans="2:16" x14ac:dyDescent="0.3">
      <c r="B693" s="13"/>
      <c r="C693" s="29"/>
      <c r="D693" s="31"/>
      <c r="E693" s="31"/>
      <c r="F693" s="31"/>
      <c r="G693" s="32"/>
      <c r="H693" s="17"/>
      <c r="I693" s="17"/>
      <c r="J693" s="17"/>
      <c r="K693" s="18"/>
      <c r="L693" s="1"/>
      <c r="N693" s="1"/>
      <c r="O693" s="17"/>
      <c r="P693" s="52"/>
    </row>
    <row r="694" spans="2:16" x14ac:dyDescent="0.3">
      <c r="B694" s="13"/>
      <c r="C694" s="33"/>
      <c r="D694" s="34"/>
      <c r="E694" s="19"/>
      <c r="F694" s="18"/>
      <c r="G694" s="20"/>
      <c r="H694" s="17"/>
      <c r="I694" s="17"/>
      <c r="J694" s="17"/>
      <c r="K694" s="18"/>
      <c r="L694" s="1"/>
      <c r="N694" s="1"/>
      <c r="O694" s="17"/>
      <c r="P694" s="52"/>
    </row>
    <row r="695" spans="2:16" x14ac:dyDescent="0.3">
      <c r="B695" s="13"/>
      <c r="C695" s="33"/>
      <c r="D695" s="19"/>
      <c r="E695" s="34"/>
      <c r="F695" s="19"/>
      <c r="G695" s="20"/>
      <c r="H695" s="17"/>
      <c r="I695" s="17"/>
      <c r="J695" s="17"/>
      <c r="K695" s="18"/>
      <c r="L695" s="1"/>
      <c r="N695" s="1"/>
      <c r="O695" s="17"/>
      <c r="P695" s="52"/>
    </row>
    <row r="696" spans="2:16" x14ac:dyDescent="0.3">
      <c r="B696" s="13"/>
      <c r="C696" s="33"/>
      <c r="D696" s="19"/>
      <c r="E696" s="19"/>
      <c r="F696" s="34"/>
      <c r="G696" s="20"/>
      <c r="H696" s="17"/>
      <c r="I696" s="17"/>
      <c r="J696" s="17"/>
      <c r="K696" s="18"/>
      <c r="L696" s="1"/>
      <c r="N696" s="1"/>
      <c r="O696" s="17"/>
      <c r="P696" s="52"/>
    </row>
    <row r="697" spans="2:16" x14ac:dyDescent="0.3">
      <c r="B697" s="13"/>
      <c r="C697" s="35"/>
      <c r="D697" s="36"/>
      <c r="E697" s="21"/>
      <c r="F697" s="21"/>
      <c r="G697" s="37"/>
      <c r="H697" s="17"/>
      <c r="I697" s="17"/>
      <c r="J697" s="17"/>
      <c r="K697" s="18"/>
      <c r="L697" s="1"/>
      <c r="N697" s="1"/>
      <c r="O697" s="17"/>
      <c r="P697" s="52"/>
    </row>
    <row r="698" spans="2:16" x14ac:dyDescent="0.3">
      <c r="C698" s="17"/>
      <c r="D698" s="17"/>
      <c r="E698" s="17"/>
      <c r="F698" s="17"/>
      <c r="G698" s="17"/>
      <c r="H698" s="18"/>
      <c r="I698" s="13"/>
      <c r="J698" s="12"/>
      <c r="N698" s="1"/>
      <c r="O698" s="17"/>
    </row>
    <row r="699" spans="2:16" x14ac:dyDescent="0.3">
      <c r="B699" s="16"/>
      <c r="C699" s="18"/>
      <c r="D699" s="18"/>
      <c r="E699" s="18"/>
      <c r="F699" s="18"/>
      <c r="G699" s="18"/>
      <c r="H699" s="1"/>
      <c r="I699" s="56"/>
      <c r="J699" s="53"/>
      <c r="M699" s="1"/>
      <c r="N699" s="9"/>
    </row>
    <row r="700" spans="2:16" x14ac:dyDescent="0.3">
      <c r="B700" s="1"/>
      <c r="C700" s="17"/>
      <c r="D700" s="17"/>
      <c r="E700" s="17"/>
      <c r="F700" s="17"/>
      <c r="G700" s="17"/>
      <c r="H700" s="1"/>
    </row>
    <row r="701" spans="2:16" x14ac:dyDescent="0.3">
      <c r="B701" s="16"/>
      <c r="C701" s="18"/>
      <c r="D701" s="18"/>
      <c r="E701" s="18"/>
      <c r="F701" s="18"/>
      <c r="G701" s="18"/>
      <c r="H701" s="1"/>
      <c r="I701" s="14"/>
    </row>
    <row r="702" spans="2:16" x14ac:dyDescent="0.3">
      <c r="B702" s="1"/>
      <c r="C702" s="18"/>
      <c r="D702" s="18"/>
      <c r="E702" s="18"/>
      <c r="F702" s="18"/>
      <c r="G702" s="18"/>
    </row>
    <row r="703" spans="2:16" x14ac:dyDescent="0.3">
      <c r="B703" s="1"/>
      <c r="C703" s="1"/>
      <c r="D703" s="1"/>
      <c r="E703" s="1"/>
      <c r="F703" s="1"/>
      <c r="G703" s="1"/>
    </row>
    <row r="704" spans="2:16" x14ac:dyDescent="0.3">
      <c r="B704" s="1"/>
      <c r="C704" s="18"/>
      <c r="D704" s="18"/>
      <c r="E704" s="18"/>
      <c r="F704" s="18"/>
      <c r="G704" s="18"/>
    </row>
    <row r="705" spans="1:16" x14ac:dyDescent="0.3">
      <c r="B705" s="1"/>
      <c r="C705" s="18"/>
      <c r="D705" s="18"/>
      <c r="E705" s="18"/>
      <c r="F705" s="18"/>
      <c r="G705" s="18"/>
    </row>
    <row r="708" spans="1:16" x14ac:dyDescent="0.3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</row>
    <row r="709" spans="1:16" x14ac:dyDescent="0.3">
      <c r="I709" s="1"/>
    </row>
    <row r="710" spans="1:16" x14ac:dyDescent="0.3">
      <c r="B710" s="1"/>
      <c r="C710" s="13"/>
      <c r="D710" s="13"/>
      <c r="E710" s="13"/>
      <c r="F710" s="13"/>
      <c r="G710" s="13"/>
      <c r="H710" s="1"/>
      <c r="I710" s="1"/>
      <c r="J710" s="1"/>
      <c r="N710" s="1"/>
    </row>
    <row r="711" spans="1:16" x14ac:dyDescent="0.3">
      <c r="B711" s="13"/>
      <c r="C711" s="26"/>
      <c r="D711" s="3"/>
      <c r="E711" s="3"/>
      <c r="F711" s="3"/>
      <c r="G711" s="4"/>
      <c r="H711" s="1"/>
      <c r="I711" s="10"/>
      <c r="J711" s="11"/>
      <c r="N711" s="10"/>
    </row>
    <row r="712" spans="1:16" x14ac:dyDescent="0.3">
      <c r="B712" s="13"/>
      <c r="C712" s="5"/>
      <c r="D712" s="27"/>
      <c r="E712" s="1"/>
      <c r="F712" s="1"/>
      <c r="G712" s="6"/>
      <c r="H712" s="1"/>
      <c r="I712" s="10"/>
      <c r="J712" s="11"/>
      <c r="N712" s="10"/>
    </row>
    <row r="713" spans="1:16" x14ac:dyDescent="0.3">
      <c r="B713" s="13"/>
      <c r="C713" s="5"/>
      <c r="D713" s="1"/>
      <c r="E713" s="27"/>
      <c r="F713" s="1"/>
      <c r="G713" s="6"/>
      <c r="H713" s="1"/>
      <c r="I713" s="10"/>
      <c r="J713" s="11"/>
      <c r="N713" s="10"/>
    </row>
    <row r="714" spans="1:16" x14ac:dyDescent="0.3">
      <c r="B714" s="13"/>
      <c r="C714" s="5"/>
      <c r="D714" s="1"/>
      <c r="E714" s="1"/>
      <c r="F714" s="27"/>
      <c r="G714" s="6"/>
      <c r="H714" s="1"/>
      <c r="I714" s="10"/>
      <c r="J714" s="11"/>
      <c r="N714" s="10"/>
    </row>
    <row r="715" spans="1:16" x14ac:dyDescent="0.3">
      <c r="B715" s="13"/>
      <c r="C715" s="7"/>
      <c r="D715" s="8"/>
      <c r="E715" s="8"/>
      <c r="F715" s="8"/>
      <c r="G715" s="28"/>
      <c r="H715" s="1"/>
      <c r="I715" s="10"/>
      <c r="J715" s="11"/>
      <c r="N715" s="10"/>
    </row>
    <row r="716" spans="1:16" x14ac:dyDescent="0.3">
      <c r="B716" s="1"/>
      <c r="C716" s="1"/>
      <c r="D716" s="1"/>
      <c r="E716" s="1"/>
      <c r="F716" s="1"/>
      <c r="G716" s="1"/>
      <c r="H716" s="1"/>
      <c r="I716" s="13"/>
    </row>
    <row r="717" spans="1:16" x14ac:dyDescent="0.3">
      <c r="A717" s="1"/>
      <c r="B717" s="1"/>
      <c r="C717" s="10"/>
      <c r="D717" s="10"/>
      <c r="E717" s="10"/>
      <c r="F717" s="10"/>
      <c r="G717" s="10"/>
      <c r="H717" s="10"/>
      <c r="I717" s="14"/>
    </row>
    <row r="718" spans="1:16" x14ac:dyDescent="0.3">
      <c r="B718" s="1"/>
      <c r="C718" s="11"/>
      <c r="D718" s="11"/>
      <c r="E718" s="11"/>
      <c r="F718" s="11"/>
      <c r="G718" s="11"/>
    </row>
    <row r="719" spans="1:16" x14ac:dyDescent="0.3">
      <c r="C719" s="2"/>
    </row>
    <row r="720" spans="1:16" x14ac:dyDescent="0.3">
      <c r="B720" s="15"/>
      <c r="N720" s="12"/>
      <c r="O720" s="1"/>
      <c r="P720" s="1"/>
    </row>
    <row r="721" spans="2:16" x14ac:dyDescent="0.3">
      <c r="B721" s="1"/>
      <c r="C721" s="13"/>
      <c r="D721" s="13"/>
      <c r="E721" s="13"/>
      <c r="F721" s="13"/>
      <c r="G721" s="13"/>
      <c r="H721" s="1"/>
      <c r="I721" s="1"/>
      <c r="J721" s="15"/>
      <c r="K721" s="1"/>
      <c r="L721" s="1"/>
      <c r="O721" s="1"/>
    </row>
    <row r="722" spans="2:16" x14ac:dyDescent="0.3">
      <c r="B722" s="13"/>
      <c r="C722" s="29"/>
      <c r="D722" s="31"/>
      <c r="E722" s="31"/>
      <c r="F722" s="31"/>
      <c r="G722" s="32"/>
      <c r="H722" s="17"/>
      <c r="I722" s="17"/>
      <c r="J722" s="17"/>
      <c r="K722" s="18"/>
      <c r="L722" s="1"/>
      <c r="N722" s="1"/>
      <c r="O722" s="17"/>
      <c r="P722" s="52"/>
    </row>
    <row r="723" spans="2:16" x14ac:dyDescent="0.3">
      <c r="B723" s="13"/>
      <c r="C723" s="33"/>
      <c r="D723" s="34"/>
      <c r="E723" s="19"/>
      <c r="F723" s="18"/>
      <c r="G723" s="20"/>
      <c r="H723" s="17"/>
      <c r="I723" s="17"/>
      <c r="J723" s="17"/>
      <c r="K723" s="18"/>
      <c r="L723" s="1"/>
      <c r="N723" s="1"/>
      <c r="O723" s="17"/>
      <c r="P723" s="52"/>
    </row>
    <row r="724" spans="2:16" x14ac:dyDescent="0.3">
      <c r="B724" s="13"/>
      <c r="C724" s="33"/>
      <c r="D724" s="19"/>
      <c r="E724" s="34"/>
      <c r="F724" s="19"/>
      <c r="G724" s="20"/>
      <c r="H724" s="17"/>
      <c r="I724" s="17"/>
      <c r="J724" s="17"/>
      <c r="K724" s="18"/>
      <c r="L724" s="1"/>
      <c r="N724" s="1"/>
      <c r="O724" s="17"/>
      <c r="P724" s="52"/>
    </row>
    <row r="725" spans="2:16" x14ac:dyDescent="0.3">
      <c r="B725" s="13"/>
      <c r="C725" s="33"/>
      <c r="D725" s="19"/>
      <c r="E725" s="19"/>
      <c r="F725" s="34"/>
      <c r="G725" s="20"/>
      <c r="H725" s="17"/>
      <c r="I725" s="17"/>
      <c r="J725" s="17"/>
      <c r="K725" s="18"/>
      <c r="L725" s="1"/>
      <c r="N725" s="1"/>
      <c r="O725" s="17"/>
      <c r="P725" s="52"/>
    </row>
    <row r="726" spans="2:16" x14ac:dyDescent="0.3">
      <c r="B726" s="13"/>
      <c r="C726" s="35"/>
      <c r="D726" s="36"/>
      <c r="E726" s="21"/>
      <c r="F726" s="21"/>
      <c r="G726" s="37"/>
      <c r="H726" s="17"/>
      <c r="I726" s="17"/>
      <c r="J726" s="17"/>
      <c r="K726" s="18"/>
      <c r="L726" s="1"/>
      <c r="N726" s="1"/>
      <c r="O726" s="17"/>
      <c r="P726" s="52"/>
    </row>
    <row r="727" spans="2:16" x14ac:dyDescent="0.3">
      <c r="C727" s="17"/>
      <c r="D727" s="17"/>
      <c r="E727" s="17"/>
      <c r="F727" s="17"/>
      <c r="G727" s="17"/>
      <c r="H727" s="1"/>
      <c r="I727" s="13"/>
      <c r="J727" s="12"/>
      <c r="N727" s="1"/>
      <c r="O727" s="17"/>
    </row>
    <row r="728" spans="2:16" x14ac:dyDescent="0.3">
      <c r="B728" s="16"/>
      <c r="C728" s="18"/>
      <c r="D728" s="18"/>
      <c r="E728" s="18"/>
      <c r="F728" s="18"/>
      <c r="G728" s="18"/>
      <c r="H728" s="1"/>
      <c r="I728" s="56"/>
      <c r="J728" s="53"/>
      <c r="M728" s="1"/>
      <c r="N728" s="9"/>
    </row>
    <row r="729" spans="2:16" x14ac:dyDescent="0.3">
      <c r="B729" s="1"/>
      <c r="C729" s="17"/>
      <c r="D729" s="17"/>
      <c r="E729" s="17"/>
      <c r="F729" s="17"/>
      <c r="G729" s="17"/>
      <c r="H729" s="1"/>
    </row>
    <row r="730" spans="2:16" x14ac:dyDescent="0.3">
      <c r="B730" s="16"/>
      <c r="C730" s="18"/>
      <c r="D730" s="18"/>
      <c r="E730" s="18"/>
      <c r="F730" s="18"/>
      <c r="G730" s="18"/>
      <c r="H730" s="1"/>
      <c r="I730" s="14"/>
    </row>
    <row r="731" spans="2:16" x14ac:dyDescent="0.3">
      <c r="B731" s="1"/>
      <c r="C731" s="18"/>
      <c r="D731" s="18"/>
      <c r="E731" s="18"/>
      <c r="F731" s="18"/>
      <c r="G731" s="18"/>
    </row>
    <row r="732" spans="2:16" x14ac:dyDescent="0.3">
      <c r="B732" s="1"/>
      <c r="C732" s="1"/>
      <c r="D732" s="1"/>
      <c r="E732" s="1"/>
      <c r="F732" s="1"/>
      <c r="G732" s="1"/>
    </row>
    <row r="733" spans="2:16" x14ac:dyDescent="0.3">
      <c r="B733" s="1"/>
      <c r="C733" s="18"/>
      <c r="D733" s="18"/>
      <c r="E733" s="18"/>
      <c r="F733" s="18"/>
      <c r="G733" s="18"/>
    </row>
    <row r="734" spans="2:16" x14ac:dyDescent="0.3">
      <c r="B734" s="1"/>
      <c r="C734" s="18"/>
      <c r="D734" s="18"/>
      <c r="E734" s="18"/>
      <c r="F734" s="18"/>
      <c r="G734" s="18"/>
    </row>
    <row r="737" spans="1:16" x14ac:dyDescent="0.3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</row>
    <row r="738" spans="1:16" x14ac:dyDescent="0.3">
      <c r="I738" s="1"/>
    </row>
    <row r="739" spans="1:16" x14ac:dyDescent="0.3">
      <c r="B739" s="1"/>
      <c r="C739" s="13"/>
      <c r="D739" s="13"/>
      <c r="E739" s="13"/>
      <c r="F739" s="13"/>
      <c r="G739" s="13"/>
      <c r="H739" s="1"/>
      <c r="I739" s="1"/>
      <c r="J739" s="1"/>
      <c r="N739" s="1"/>
    </row>
    <row r="740" spans="1:16" x14ac:dyDescent="0.3">
      <c r="B740" s="13"/>
      <c r="C740" s="26"/>
      <c r="D740" s="3"/>
      <c r="E740" s="3"/>
      <c r="F740" s="3"/>
      <c r="G740" s="4"/>
      <c r="H740" s="1"/>
      <c r="I740" s="10"/>
      <c r="J740" s="11"/>
      <c r="N740" s="10"/>
    </row>
    <row r="741" spans="1:16" x14ac:dyDescent="0.3">
      <c r="B741" s="13"/>
      <c r="C741" s="5"/>
      <c r="D741" s="27"/>
      <c r="E741" s="1"/>
      <c r="F741" s="1"/>
      <c r="G741" s="6"/>
      <c r="H741" s="1"/>
      <c r="I741" s="10"/>
      <c r="J741" s="11"/>
      <c r="N741" s="10"/>
    </row>
    <row r="742" spans="1:16" x14ac:dyDescent="0.3">
      <c r="B742" s="13"/>
      <c r="C742" s="5"/>
      <c r="D742" s="1"/>
      <c r="E742" s="27"/>
      <c r="F742" s="1"/>
      <c r="G742" s="6"/>
      <c r="H742" s="1"/>
      <c r="I742" s="10"/>
      <c r="J742" s="11"/>
      <c r="N742" s="10"/>
    </row>
    <row r="743" spans="1:16" x14ac:dyDescent="0.3">
      <c r="B743" s="13"/>
      <c r="C743" s="5"/>
      <c r="D743" s="1"/>
      <c r="E743" s="1"/>
      <c r="F743" s="27"/>
      <c r="G743" s="6"/>
      <c r="H743" s="1"/>
      <c r="I743" s="10"/>
      <c r="J743" s="11"/>
      <c r="N743" s="10"/>
    </row>
    <row r="744" spans="1:16" x14ac:dyDescent="0.3">
      <c r="B744" s="13"/>
      <c r="C744" s="7"/>
      <c r="D744" s="8"/>
      <c r="E744" s="8"/>
      <c r="F744" s="8"/>
      <c r="G744" s="28"/>
      <c r="H744" s="1"/>
      <c r="I744" s="10"/>
      <c r="J744" s="11"/>
      <c r="N744" s="10"/>
    </row>
    <row r="745" spans="1:16" x14ac:dyDescent="0.3">
      <c r="B745" s="1"/>
      <c r="C745" s="1"/>
      <c r="D745" s="1"/>
      <c r="E745" s="1"/>
      <c r="F745" s="1"/>
      <c r="G745" s="1"/>
      <c r="H745" s="1"/>
      <c r="I745" s="13"/>
    </row>
    <row r="746" spans="1:16" x14ac:dyDescent="0.3">
      <c r="A746" s="1"/>
      <c r="B746" s="1"/>
      <c r="C746" s="10"/>
      <c r="D746" s="10"/>
      <c r="E746" s="10"/>
      <c r="F746" s="10"/>
      <c r="G746" s="10"/>
      <c r="H746" s="10"/>
      <c r="I746" s="14"/>
    </row>
    <row r="747" spans="1:16" x14ac:dyDescent="0.3">
      <c r="B747" s="1"/>
      <c r="C747" s="11"/>
      <c r="D747" s="11"/>
      <c r="E747" s="11"/>
      <c r="F747" s="11"/>
      <c r="G747" s="11"/>
    </row>
    <row r="748" spans="1:16" x14ac:dyDescent="0.3">
      <c r="C748" s="2"/>
    </row>
    <row r="749" spans="1:16" x14ac:dyDescent="0.3">
      <c r="B749" s="15"/>
      <c r="N749" s="12"/>
      <c r="O749" s="1"/>
      <c r="P749" s="1"/>
    </row>
    <row r="750" spans="1:16" x14ac:dyDescent="0.3">
      <c r="B750" s="1"/>
      <c r="C750" s="13"/>
      <c r="D750" s="13"/>
      <c r="E750" s="13"/>
      <c r="F750" s="13"/>
      <c r="G750" s="13"/>
      <c r="H750" s="1"/>
      <c r="I750" s="1"/>
      <c r="J750" s="15"/>
      <c r="K750" s="1"/>
      <c r="L750" s="1"/>
      <c r="O750" s="1"/>
    </row>
    <row r="751" spans="1:16" x14ac:dyDescent="0.3">
      <c r="B751" s="13"/>
      <c r="C751" s="29"/>
      <c r="D751" s="31"/>
      <c r="E751" s="31"/>
      <c r="F751" s="31"/>
      <c r="G751" s="32"/>
      <c r="H751" s="17"/>
      <c r="I751" s="17"/>
      <c r="J751" s="17"/>
      <c r="K751" s="18"/>
      <c r="L751" s="1"/>
      <c r="N751" s="1"/>
      <c r="O751" s="17"/>
      <c r="P751" s="52"/>
    </row>
    <row r="752" spans="1:16" x14ac:dyDescent="0.3">
      <c r="B752" s="13"/>
      <c r="C752" s="33"/>
      <c r="D752" s="34"/>
      <c r="E752" s="19"/>
      <c r="F752" s="18"/>
      <c r="G752" s="20"/>
      <c r="H752" s="17"/>
      <c r="I752" s="17"/>
      <c r="J752" s="17"/>
      <c r="K752" s="18"/>
      <c r="L752" s="1"/>
      <c r="N752" s="1"/>
      <c r="O752" s="17"/>
      <c r="P752" s="52"/>
    </row>
    <row r="753" spans="1:16" x14ac:dyDescent="0.3">
      <c r="B753" s="13"/>
      <c r="C753" s="33"/>
      <c r="D753" s="19"/>
      <c r="E753" s="34"/>
      <c r="F753" s="19"/>
      <c r="G753" s="20"/>
      <c r="H753" s="17"/>
      <c r="I753" s="17"/>
      <c r="J753" s="17"/>
      <c r="K753" s="18"/>
      <c r="L753" s="1"/>
      <c r="N753" s="1"/>
      <c r="O753" s="17"/>
      <c r="P753" s="52"/>
    </row>
    <row r="754" spans="1:16" x14ac:dyDescent="0.3">
      <c r="B754" s="13"/>
      <c r="C754" s="33"/>
      <c r="D754" s="19"/>
      <c r="E754" s="19"/>
      <c r="F754" s="34"/>
      <c r="G754" s="20"/>
      <c r="H754" s="17"/>
      <c r="I754" s="17"/>
      <c r="J754" s="17"/>
      <c r="K754" s="18"/>
      <c r="L754" s="1"/>
      <c r="N754" s="1"/>
      <c r="O754" s="17"/>
      <c r="P754" s="52"/>
    </row>
    <row r="755" spans="1:16" x14ac:dyDescent="0.3">
      <c r="B755" s="13"/>
      <c r="C755" s="35"/>
      <c r="D755" s="36"/>
      <c r="E755" s="21"/>
      <c r="F755" s="21"/>
      <c r="G755" s="37"/>
      <c r="H755" s="17"/>
      <c r="I755" s="17"/>
      <c r="J755" s="17"/>
      <c r="K755" s="18"/>
      <c r="L755" s="1"/>
      <c r="N755" s="1"/>
      <c r="O755" s="17"/>
      <c r="P755" s="52"/>
    </row>
    <row r="756" spans="1:16" x14ac:dyDescent="0.3">
      <c r="C756" s="17"/>
      <c r="D756" s="17"/>
      <c r="E756" s="17"/>
      <c r="F756" s="17"/>
      <c r="G756" s="17"/>
      <c r="H756" s="18"/>
      <c r="I756" s="13"/>
      <c r="J756" s="12"/>
      <c r="N756" s="1"/>
      <c r="O756" s="17"/>
    </row>
    <row r="757" spans="1:16" x14ac:dyDescent="0.3">
      <c r="B757" s="16"/>
      <c r="C757" s="18"/>
      <c r="D757" s="18"/>
      <c r="E757" s="18"/>
      <c r="F757" s="18"/>
      <c r="G757" s="18"/>
      <c r="H757" s="1"/>
      <c r="I757" s="14"/>
      <c r="J757" s="53"/>
      <c r="M757" s="1"/>
      <c r="N757" s="9"/>
    </row>
    <row r="758" spans="1:16" x14ac:dyDescent="0.3">
      <c r="B758" s="1"/>
      <c r="C758" s="17"/>
      <c r="D758" s="17"/>
      <c r="E758" s="17"/>
      <c r="F758" s="17"/>
      <c r="G758" s="17"/>
      <c r="H758" s="1"/>
    </row>
    <row r="759" spans="1:16" x14ac:dyDescent="0.3">
      <c r="B759" s="16"/>
      <c r="C759" s="18"/>
      <c r="D759" s="18"/>
      <c r="E759" s="18"/>
      <c r="F759" s="18"/>
      <c r="G759" s="18"/>
      <c r="H759" s="1"/>
      <c r="I759" s="14"/>
    </row>
    <row r="760" spans="1:16" x14ac:dyDescent="0.3">
      <c r="B760" s="1"/>
      <c r="C760" s="18"/>
      <c r="D760" s="18"/>
      <c r="E760" s="18"/>
      <c r="F760" s="18"/>
      <c r="G760" s="18"/>
    </row>
    <row r="761" spans="1:16" x14ac:dyDescent="0.3">
      <c r="B761" s="1"/>
      <c r="C761" s="1"/>
      <c r="D761" s="1"/>
      <c r="E761" s="1"/>
      <c r="F761" s="1"/>
      <c r="G761" s="1"/>
    </row>
    <row r="762" spans="1:16" x14ac:dyDescent="0.3">
      <c r="B762" s="1"/>
      <c r="C762" s="18"/>
      <c r="D762" s="18"/>
      <c r="E762" s="18"/>
      <c r="F762" s="18"/>
      <c r="G762" s="18"/>
    </row>
    <row r="763" spans="1:16" x14ac:dyDescent="0.3">
      <c r="B763" s="1"/>
      <c r="C763" s="18"/>
      <c r="D763" s="18"/>
      <c r="E763" s="18"/>
      <c r="F763" s="18"/>
      <c r="G763" s="18"/>
    </row>
    <row r="766" spans="1:16" x14ac:dyDescent="0.3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</row>
    <row r="767" spans="1:16" x14ac:dyDescent="0.3">
      <c r="I767" s="1"/>
    </row>
    <row r="768" spans="1:16" x14ac:dyDescent="0.3">
      <c r="B768" s="1"/>
      <c r="C768" s="13"/>
      <c r="D768" s="13"/>
      <c r="E768" s="13"/>
      <c r="F768" s="13"/>
      <c r="G768" s="13"/>
      <c r="H768" s="1"/>
      <c r="I768" s="1"/>
      <c r="J768" s="1"/>
      <c r="N768" s="1"/>
    </row>
    <row r="769" spans="1:16" x14ac:dyDescent="0.3">
      <c r="B769" s="13"/>
      <c r="C769" s="26"/>
      <c r="D769" s="3"/>
      <c r="E769" s="3"/>
      <c r="F769" s="3"/>
      <c r="G769" s="4"/>
      <c r="H769" s="1"/>
      <c r="I769" s="10"/>
      <c r="J769" s="11"/>
      <c r="N769" s="10"/>
    </row>
    <row r="770" spans="1:16" x14ac:dyDescent="0.3">
      <c r="B770" s="13"/>
      <c r="C770" s="5"/>
      <c r="D770" s="27"/>
      <c r="E770" s="1"/>
      <c r="F770" s="1"/>
      <c r="G770" s="6"/>
      <c r="H770" s="1"/>
      <c r="I770" s="10"/>
      <c r="J770" s="11"/>
      <c r="N770" s="10"/>
    </row>
    <row r="771" spans="1:16" x14ac:dyDescent="0.3">
      <c r="B771" s="13"/>
      <c r="C771" s="5"/>
      <c r="D771" s="1"/>
      <c r="E771" s="27"/>
      <c r="F771" s="1"/>
      <c r="G771" s="6"/>
      <c r="H771" s="1"/>
      <c r="I771" s="10"/>
      <c r="J771" s="11"/>
      <c r="N771" s="10"/>
    </row>
    <row r="772" spans="1:16" x14ac:dyDescent="0.3">
      <c r="B772" s="13"/>
      <c r="C772" s="5"/>
      <c r="D772" s="1"/>
      <c r="E772" s="1"/>
      <c r="F772" s="27"/>
      <c r="G772" s="6"/>
      <c r="H772" s="1"/>
      <c r="I772" s="10"/>
      <c r="J772" s="11"/>
      <c r="N772" s="10"/>
    </row>
    <row r="773" spans="1:16" x14ac:dyDescent="0.3">
      <c r="B773" s="13"/>
      <c r="C773" s="7"/>
      <c r="D773" s="8"/>
      <c r="E773" s="8"/>
      <c r="F773" s="8"/>
      <c r="G773" s="28"/>
      <c r="H773" s="1"/>
      <c r="I773" s="10"/>
      <c r="J773" s="11"/>
      <c r="N773" s="10"/>
    </row>
    <row r="774" spans="1:16" x14ac:dyDescent="0.3">
      <c r="B774" s="1"/>
      <c r="C774" s="1"/>
      <c r="D774" s="1"/>
      <c r="E774" s="1"/>
      <c r="F774" s="1"/>
      <c r="G774" s="1"/>
      <c r="H774" s="1"/>
      <c r="I774" s="13"/>
    </row>
    <row r="775" spans="1:16" x14ac:dyDescent="0.3">
      <c r="A775" s="1"/>
      <c r="B775" s="1"/>
      <c r="C775" s="10"/>
      <c r="D775" s="10"/>
      <c r="E775" s="10"/>
      <c r="F775" s="10"/>
      <c r="G775" s="10"/>
      <c r="H775" s="10"/>
      <c r="I775" s="14"/>
    </row>
    <row r="776" spans="1:16" x14ac:dyDescent="0.3">
      <c r="B776" s="1"/>
      <c r="C776" s="11"/>
      <c r="D776" s="11"/>
      <c r="E776" s="11"/>
      <c r="F776" s="11"/>
      <c r="G776" s="11"/>
    </row>
    <row r="777" spans="1:16" x14ac:dyDescent="0.3">
      <c r="C777" s="2"/>
    </row>
    <row r="778" spans="1:16" x14ac:dyDescent="0.3">
      <c r="B778" s="15"/>
      <c r="N778" s="12"/>
      <c r="O778" s="1"/>
      <c r="P778" s="1"/>
    </row>
    <row r="779" spans="1:16" x14ac:dyDescent="0.3">
      <c r="B779" s="1"/>
      <c r="C779" s="13"/>
      <c r="D779" s="13"/>
      <c r="E779" s="13"/>
      <c r="F779" s="13"/>
      <c r="G779" s="13"/>
      <c r="H779" s="1"/>
      <c r="I779" s="1"/>
      <c r="J779" s="15"/>
      <c r="K779" s="1"/>
      <c r="L779" s="1"/>
      <c r="O779" s="1"/>
    </row>
    <row r="780" spans="1:16" x14ac:dyDescent="0.3">
      <c r="B780" s="13"/>
      <c r="C780" s="29"/>
      <c r="D780" s="31"/>
      <c r="E780" s="31"/>
      <c r="F780" s="31"/>
      <c r="G780" s="32"/>
      <c r="H780" s="17"/>
      <c r="I780" s="17"/>
      <c r="J780" s="17"/>
      <c r="K780" s="18"/>
      <c r="L780" s="1"/>
      <c r="N780" s="1"/>
      <c r="O780" s="17"/>
      <c r="P780" s="52"/>
    </row>
    <row r="781" spans="1:16" x14ac:dyDescent="0.3">
      <c r="B781" s="13"/>
      <c r="C781" s="33"/>
      <c r="D781" s="34"/>
      <c r="E781" s="19"/>
      <c r="F781" s="18"/>
      <c r="G781" s="20"/>
      <c r="H781" s="17"/>
      <c r="I781" s="17"/>
      <c r="J781" s="17"/>
      <c r="K781" s="18"/>
      <c r="L781" s="1"/>
      <c r="N781" s="1"/>
      <c r="O781" s="17"/>
      <c r="P781" s="52"/>
    </row>
    <row r="782" spans="1:16" x14ac:dyDescent="0.3">
      <c r="B782" s="13"/>
      <c r="C782" s="33"/>
      <c r="D782" s="19"/>
      <c r="E782" s="34"/>
      <c r="F782" s="19"/>
      <c r="G782" s="20"/>
      <c r="H782" s="17"/>
      <c r="I782" s="17"/>
      <c r="J782" s="17"/>
      <c r="K782" s="18"/>
      <c r="L782" s="1"/>
      <c r="N782" s="1"/>
      <c r="O782" s="17"/>
      <c r="P782" s="52"/>
    </row>
    <row r="783" spans="1:16" x14ac:dyDescent="0.3">
      <c r="B783" s="13"/>
      <c r="C783" s="33"/>
      <c r="D783" s="19"/>
      <c r="E783" s="19"/>
      <c r="F783" s="34"/>
      <c r="G783" s="20"/>
      <c r="H783" s="17"/>
      <c r="I783" s="17"/>
      <c r="J783" s="17"/>
      <c r="K783" s="18"/>
      <c r="L783" s="1"/>
      <c r="N783" s="1"/>
      <c r="O783" s="17"/>
      <c r="P783" s="52"/>
    </row>
    <row r="784" spans="1:16" x14ac:dyDescent="0.3">
      <c r="B784" s="13"/>
      <c r="C784" s="35"/>
      <c r="D784" s="36"/>
      <c r="E784" s="21"/>
      <c r="F784" s="21"/>
      <c r="G784" s="37"/>
      <c r="H784" s="17"/>
      <c r="I784" s="17"/>
      <c r="J784" s="17"/>
      <c r="K784" s="18"/>
      <c r="L784" s="1"/>
      <c r="N784" s="1"/>
      <c r="O784" s="17"/>
      <c r="P784" s="52"/>
    </row>
    <row r="785" spans="1:16" x14ac:dyDescent="0.3">
      <c r="C785" s="17"/>
      <c r="D785" s="17"/>
      <c r="E785" s="17"/>
      <c r="F785" s="17"/>
      <c r="G785" s="17"/>
      <c r="H785" s="18"/>
      <c r="I785" s="13"/>
      <c r="J785" s="12"/>
      <c r="N785" s="1"/>
      <c r="O785" s="17"/>
    </row>
    <row r="786" spans="1:16" x14ac:dyDescent="0.3">
      <c r="B786" s="16"/>
      <c r="C786" s="18"/>
      <c r="D786" s="18"/>
      <c r="E786" s="18"/>
      <c r="F786" s="18"/>
      <c r="G786" s="18"/>
      <c r="H786" s="1"/>
      <c r="I786" s="14"/>
      <c r="J786" s="53"/>
      <c r="M786" s="1"/>
      <c r="N786" s="9"/>
    </row>
    <row r="787" spans="1:16" x14ac:dyDescent="0.3">
      <c r="B787" s="1"/>
      <c r="C787" s="17"/>
      <c r="D787" s="17"/>
      <c r="E787" s="17"/>
      <c r="F787" s="17"/>
      <c r="G787" s="17"/>
      <c r="H787" s="1"/>
    </row>
    <row r="788" spans="1:16" x14ac:dyDescent="0.3">
      <c r="B788" s="16"/>
      <c r="C788" s="18"/>
      <c r="D788" s="18"/>
      <c r="E788" s="18"/>
      <c r="F788" s="18"/>
      <c r="G788" s="18"/>
      <c r="H788" s="1"/>
      <c r="I788" s="14"/>
    </row>
    <row r="789" spans="1:16" x14ac:dyDescent="0.3">
      <c r="B789" s="1"/>
      <c r="C789" s="18"/>
      <c r="D789" s="18"/>
      <c r="E789" s="18"/>
      <c r="F789" s="18"/>
      <c r="G789" s="18"/>
    </row>
    <row r="790" spans="1:16" x14ac:dyDescent="0.3">
      <c r="B790" s="1"/>
      <c r="C790" s="1"/>
      <c r="D790" s="1"/>
      <c r="E790" s="1"/>
      <c r="F790" s="1"/>
      <c r="G790" s="1"/>
    </row>
    <row r="791" spans="1:16" x14ac:dyDescent="0.3">
      <c r="B791" s="1"/>
      <c r="C791" s="18"/>
      <c r="D791" s="18"/>
      <c r="E791" s="18"/>
      <c r="F791" s="18"/>
      <c r="G791" s="18"/>
    </row>
    <row r="792" spans="1:16" x14ac:dyDescent="0.3">
      <c r="B792" s="1"/>
      <c r="C792" s="18"/>
      <c r="D792" s="18"/>
      <c r="E792" s="18"/>
      <c r="F792" s="18"/>
      <c r="G792" s="18"/>
    </row>
    <row r="795" spans="1:16" x14ac:dyDescent="0.3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</row>
    <row r="796" spans="1:16" x14ac:dyDescent="0.3">
      <c r="I796" s="1"/>
    </row>
    <row r="797" spans="1:16" x14ac:dyDescent="0.3">
      <c r="B797" s="1"/>
      <c r="C797" s="13"/>
      <c r="D797" s="13"/>
      <c r="E797" s="13"/>
      <c r="F797" s="13"/>
      <c r="G797" s="13"/>
      <c r="H797" s="1"/>
      <c r="I797" s="1"/>
      <c r="J797" s="1"/>
      <c r="N797" s="1"/>
    </row>
    <row r="798" spans="1:16" x14ac:dyDescent="0.3">
      <c r="B798" s="13"/>
      <c r="C798" s="26"/>
      <c r="D798" s="3"/>
      <c r="E798" s="3"/>
      <c r="F798" s="3"/>
      <c r="G798" s="4"/>
      <c r="H798" s="1"/>
      <c r="I798" s="10"/>
      <c r="J798" s="11"/>
      <c r="N798" s="10"/>
    </row>
    <row r="799" spans="1:16" x14ac:dyDescent="0.3">
      <c r="B799" s="13"/>
      <c r="C799" s="5"/>
      <c r="D799" s="27"/>
      <c r="E799" s="1"/>
      <c r="F799" s="1"/>
      <c r="G799" s="6"/>
      <c r="H799" s="1"/>
      <c r="I799" s="10"/>
      <c r="J799" s="11"/>
      <c r="N799" s="10"/>
    </row>
    <row r="800" spans="1:16" x14ac:dyDescent="0.3">
      <c r="B800" s="13"/>
      <c r="C800" s="5"/>
      <c r="D800" s="1"/>
      <c r="E800" s="27"/>
      <c r="F800" s="1"/>
      <c r="G800" s="6"/>
      <c r="H800" s="1"/>
      <c r="I800" s="10"/>
      <c r="J800" s="11"/>
      <c r="N800" s="10"/>
    </row>
    <row r="801" spans="1:16" x14ac:dyDescent="0.3">
      <c r="B801" s="13"/>
      <c r="C801" s="5"/>
      <c r="D801" s="1"/>
      <c r="E801" s="1"/>
      <c r="F801" s="27"/>
      <c r="G801" s="6"/>
      <c r="H801" s="1"/>
      <c r="I801" s="10"/>
      <c r="J801" s="11"/>
      <c r="N801" s="10"/>
    </row>
    <row r="802" spans="1:16" x14ac:dyDescent="0.3">
      <c r="B802" s="13"/>
      <c r="C802" s="7"/>
      <c r="D802" s="8"/>
      <c r="E802" s="8"/>
      <c r="F802" s="8"/>
      <c r="G802" s="28"/>
      <c r="H802" s="1"/>
      <c r="I802" s="10"/>
      <c r="J802" s="11"/>
      <c r="N802" s="10"/>
    </row>
    <row r="803" spans="1:16" x14ac:dyDescent="0.3">
      <c r="B803" s="1"/>
      <c r="C803" s="1"/>
      <c r="D803" s="1"/>
      <c r="E803" s="1"/>
      <c r="F803" s="1"/>
      <c r="G803" s="1"/>
      <c r="H803" s="1"/>
      <c r="I803" s="13"/>
    </row>
    <row r="804" spans="1:16" x14ac:dyDescent="0.3">
      <c r="A804" s="1"/>
      <c r="B804" s="1"/>
      <c r="C804" s="10"/>
      <c r="D804" s="10"/>
      <c r="E804" s="10"/>
      <c r="F804" s="10"/>
      <c r="G804" s="10"/>
      <c r="H804" s="10"/>
      <c r="I804" s="14"/>
    </row>
    <row r="805" spans="1:16" x14ac:dyDescent="0.3">
      <c r="B805" s="1"/>
      <c r="C805" s="11"/>
      <c r="D805" s="11"/>
      <c r="E805" s="11"/>
      <c r="F805" s="11"/>
      <c r="G805" s="11"/>
    </row>
    <row r="806" spans="1:16" x14ac:dyDescent="0.3">
      <c r="C806" s="2"/>
    </row>
    <row r="807" spans="1:16" x14ac:dyDescent="0.3">
      <c r="B807" s="15"/>
      <c r="N807" s="12"/>
      <c r="O807" s="1"/>
      <c r="P807" s="1"/>
    </row>
    <row r="808" spans="1:16" x14ac:dyDescent="0.3">
      <c r="B808" s="1"/>
      <c r="C808" s="13"/>
      <c r="D808" s="13"/>
      <c r="E808" s="13"/>
      <c r="F808" s="13"/>
      <c r="G808" s="13"/>
      <c r="H808" s="1"/>
      <c r="I808" s="1"/>
      <c r="J808" s="15"/>
      <c r="K808" s="1"/>
      <c r="L808" s="1"/>
      <c r="O808" s="1"/>
    </row>
    <row r="809" spans="1:16" x14ac:dyDescent="0.3">
      <c r="B809" s="13"/>
      <c r="C809" s="29"/>
      <c r="D809" s="31"/>
      <c r="E809" s="31"/>
      <c r="F809" s="31"/>
      <c r="G809" s="32"/>
      <c r="H809" s="17"/>
      <c r="I809" s="17"/>
      <c r="J809" s="17"/>
      <c r="K809" s="18"/>
      <c r="L809" s="1"/>
      <c r="N809" s="1"/>
      <c r="O809" s="17"/>
      <c r="P809" s="52"/>
    </row>
    <row r="810" spans="1:16" x14ac:dyDescent="0.3">
      <c r="B810" s="13"/>
      <c r="C810" s="33"/>
      <c r="D810" s="34"/>
      <c r="E810" s="19"/>
      <c r="F810" s="18"/>
      <c r="G810" s="20"/>
      <c r="H810" s="17"/>
      <c r="I810" s="17"/>
      <c r="J810" s="17"/>
      <c r="K810" s="18"/>
      <c r="L810" s="1"/>
      <c r="N810" s="1"/>
      <c r="O810" s="17"/>
      <c r="P810" s="52"/>
    </row>
    <row r="811" spans="1:16" x14ac:dyDescent="0.3">
      <c r="B811" s="13"/>
      <c r="C811" s="33"/>
      <c r="D811" s="19"/>
      <c r="E811" s="34"/>
      <c r="F811" s="19"/>
      <c r="G811" s="20"/>
      <c r="H811" s="17"/>
      <c r="I811" s="17"/>
      <c r="J811" s="17"/>
      <c r="K811" s="18"/>
      <c r="L811" s="1"/>
      <c r="N811" s="1"/>
      <c r="O811" s="17"/>
      <c r="P811" s="52"/>
    </row>
    <row r="812" spans="1:16" x14ac:dyDescent="0.3">
      <c r="B812" s="13"/>
      <c r="C812" s="33"/>
      <c r="D812" s="19"/>
      <c r="E812" s="19"/>
      <c r="F812" s="34"/>
      <c r="G812" s="20"/>
      <c r="H812" s="17"/>
      <c r="I812" s="17"/>
      <c r="J812" s="17"/>
      <c r="K812" s="18"/>
      <c r="L812" s="1"/>
      <c r="N812" s="1"/>
      <c r="O812" s="17"/>
      <c r="P812" s="52"/>
    </row>
    <row r="813" spans="1:16" x14ac:dyDescent="0.3">
      <c r="B813" s="13"/>
      <c r="C813" s="35"/>
      <c r="D813" s="36"/>
      <c r="E813" s="21"/>
      <c r="F813" s="21"/>
      <c r="G813" s="37"/>
      <c r="H813" s="17"/>
      <c r="I813" s="17"/>
      <c r="J813" s="17"/>
      <c r="K813" s="18"/>
      <c r="L813" s="1"/>
      <c r="N813" s="1"/>
      <c r="O813" s="17"/>
      <c r="P813" s="52"/>
    </row>
    <row r="814" spans="1:16" x14ac:dyDescent="0.3">
      <c r="C814" s="17"/>
      <c r="D814" s="17"/>
      <c r="E814" s="17"/>
      <c r="F814" s="17"/>
      <c r="G814" s="17"/>
      <c r="H814" s="18"/>
      <c r="I814" s="13"/>
      <c r="J814" s="12"/>
      <c r="N814" s="1"/>
      <c r="O814" s="17"/>
    </row>
    <row r="815" spans="1:16" x14ac:dyDescent="0.3">
      <c r="B815" s="16"/>
      <c r="C815" s="18"/>
      <c r="D815" s="18"/>
      <c r="E815" s="18"/>
      <c r="F815" s="18"/>
      <c r="G815" s="18"/>
      <c r="H815" s="1"/>
      <c r="I815" s="14"/>
      <c r="J815" s="53"/>
      <c r="M815" s="1"/>
      <c r="N815" s="9"/>
    </row>
    <row r="816" spans="1:16" x14ac:dyDescent="0.3">
      <c r="B816" s="1"/>
      <c r="C816" s="17"/>
      <c r="D816" s="17"/>
      <c r="E816" s="17"/>
      <c r="F816" s="17"/>
      <c r="G816" s="17"/>
      <c r="H816" s="1"/>
    </row>
    <row r="817" spans="1:16" x14ac:dyDescent="0.3">
      <c r="B817" s="16"/>
      <c r="C817" s="18"/>
      <c r="D817" s="18"/>
      <c r="E817" s="18"/>
      <c r="F817" s="18"/>
      <c r="G817" s="18"/>
      <c r="H817" s="1"/>
      <c r="I817" s="14"/>
    </row>
    <row r="818" spans="1:16" x14ac:dyDescent="0.3">
      <c r="B818" s="1"/>
      <c r="C818" s="18"/>
      <c r="D818" s="18"/>
      <c r="E818" s="18"/>
      <c r="F818" s="18"/>
      <c r="G818" s="18"/>
    </row>
    <row r="819" spans="1:16" x14ac:dyDescent="0.3">
      <c r="B819" s="1"/>
      <c r="C819" s="1"/>
      <c r="D819" s="1"/>
      <c r="E819" s="1"/>
      <c r="F819" s="1"/>
      <c r="G819" s="1"/>
    </row>
    <row r="820" spans="1:16" x14ac:dyDescent="0.3">
      <c r="B820" s="1"/>
      <c r="C820" s="18"/>
      <c r="D820" s="18"/>
      <c r="E820" s="18"/>
      <c r="F820" s="18"/>
      <c r="G820" s="18"/>
    </row>
    <row r="821" spans="1:16" x14ac:dyDescent="0.3">
      <c r="B821" s="1"/>
      <c r="C821" s="18"/>
      <c r="D821" s="18"/>
      <c r="E821" s="18"/>
      <c r="F821" s="18"/>
      <c r="G821" s="18"/>
    </row>
    <row r="824" spans="1:16" x14ac:dyDescent="0.3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</row>
    <row r="825" spans="1:16" x14ac:dyDescent="0.3">
      <c r="I825" s="1"/>
    </row>
    <row r="826" spans="1:16" x14ac:dyDescent="0.3">
      <c r="B826" s="1"/>
      <c r="C826" s="13"/>
      <c r="D826" s="13"/>
      <c r="E826" s="13"/>
      <c r="F826" s="13"/>
      <c r="G826" s="13"/>
      <c r="H826" s="1"/>
      <c r="I826" s="1"/>
      <c r="J826" s="1"/>
      <c r="N826" s="1"/>
    </row>
    <row r="827" spans="1:16" x14ac:dyDescent="0.3">
      <c r="B827" s="13"/>
      <c r="C827" s="26"/>
      <c r="D827" s="3"/>
      <c r="E827" s="3"/>
      <c r="F827" s="3"/>
      <c r="G827" s="4"/>
      <c r="H827" s="1"/>
      <c r="I827" s="10"/>
      <c r="J827" s="11"/>
      <c r="N827" s="10"/>
    </row>
    <row r="828" spans="1:16" x14ac:dyDescent="0.3">
      <c r="B828" s="13"/>
      <c r="C828" s="5"/>
      <c r="D828" s="27"/>
      <c r="E828" s="1"/>
      <c r="F828" s="1"/>
      <c r="G828" s="6"/>
      <c r="H828" s="1"/>
      <c r="I828" s="10"/>
      <c r="J828" s="11"/>
      <c r="N828" s="10"/>
    </row>
    <row r="829" spans="1:16" x14ac:dyDescent="0.3">
      <c r="B829" s="13"/>
      <c r="C829" s="5"/>
      <c r="D829" s="1"/>
      <c r="E829" s="27"/>
      <c r="F829" s="1"/>
      <c r="G829" s="6"/>
      <c r="H829" s="1"/>
      <c r="I829" s="10"/>
      <c r="J829" s="11"/>
      <c r="N829" s="10"/>
    </row>
    <row r="830" spans="1:16" x14ac:dyDescent="0.3">
      <c r="B830" s="13"/>
      <c r="C830" s="5"/>
      <c r="D830" s="1"/>
      <c r="E830" s="1"/>
      <c r="F830" s="27"/>
      <c r="G830" s="6"/>
      <c r="H830" s="1"/>
      <c r="I830" s="10"/>
      <c r="J830" s="11"/>
      <c r="N830" s="10"/>
    </row>
    <row r="831" spans="1:16" x14ac:dyDescent="0.3">
      <c r="B831" s="13"/>
      <c r="C831" s="7"/>
      <c r="D831" s="8"/>
      <c r="E831" s="8"/>
      <c r="F831" s="8"/>
      <c r="G831" s="28"/>
      <c r="H831" s="1"/>
      <c r="I831" s="10"/>
      <c r="J831" s="11"/>
      <c r="N831" s="10"/>
    </row>
    <row r="832" spans="1:16" x14ac:dyDescent="0.3">
      <c r="B832" s="1"/>
      <c r="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="1"/>
      <c r="C833" s="10"/>
      <c r="D833" s="10"/>
      <c r="E833" s="10"/>
      <c r="F833" s="10"/>
      <c r="G833" s="10"/>
      <c r="H833" s="10"/>
      <c r="I833" s="14"/>
    </row>
    <row r="834" spans="1:16" x14ac:dyDescent="0.3">
      <c r="B834" s="1"/>
      <c r="C834" s="11"/>
      <c r="D834" s="11"/>
      <c r="E834" s="11"/>
      <c r="F834" s="11"/>
      <c r="G834" s="11"/>
    </row>
    <row r="835" spans="1:16" x14ac:dyDescent="0.3">
      <c r="C835" s="2"/>
    </row>
    <row r="836" spans="1:16" x14ac:dyDescent="0.3">
      <c r="B836" s="15"/>
      <c r="N836" s="12"/>
      <c r="O836" s="1"/>
      <c r="P836" s="1"/>
    </row>
    <row r="837" spans="1:16" x14ac:dyDescent="0.3">
      <c r="B837" s="1"/>
      <c r="C837" s="13"/>
      <c r="D837" s="13"/>
      <c r="E837" s="13"/>
      <c r="F837" s="13"/>
      <c r="G837" s="13"/>
      <c r="H837" s="1"/>
      <c r="I837" s="1"/>
      <c r="J837" s="15"/>
      <c r="K837" s="1"/>
      <c r="L837" s="1"/>
      <c r="O837" s="1"/>
    </row>
    <row r="838" spans="1:16" x14ac:dyDescent="0.3">
      <c r="B838" s="13"/>
      <c r="C838" s="29"/>
      <c r="D838" s="31"/>
      <c r="E838" s="31"/>
      <c r="F838" s="31"/>
      <c r="G838" s="32"/>
      <c r="H838" s="17"/>
      <c r="I838" s="17"/>
      <c r="J838" s="17"/>
      <c r="K838" s="18"/>
      <c r="L838" s="1"/>
      <c r="N838" s="1"/>
      <c r="O838" s="17"/>
      <c r="P838" s="52"/>
    </row>
    <row r="839" spans="1:16" x14ac:dyDescent="0.3">
      <c r="B839" s="13"/>
      <c r="C839" s="33"/>
      <c r="D839" s="34"/>
      <c r="E839" s="19"/>
      <c r="F839" s="18"/>
      <c r="G839" s="20"/>
      <c r="H839" s="17"/>
      <c r="I839" s="17"/>
      <c r="J839" s="17"/>
      <c r="K839" s="18"/>
      <c r="L839" s="1"/>
      <c r="N839" s="1"/>
      <c r="O839" s="17"/>
      <c r="P839" s="52"/>
    </row>
    <row r="840" spans="1:16" x14ac:dyDescent="0.3">
      <c r="B840" s="13"/>
      <c r="C840" s="33"/>
      <c r="D840" s="19"/>
      <c r="E840" s="34"/>
      <c r="F840" s="19"/>
      <c r="G840" s="20"/>
      <c r="H840" s="17"/>
      <c r="I840" s="17"/>
      <c r="J840" s="17"/>
      <c r="K840" s="18"/>
      <c r="L840" s="1"/>
      <c r="N840" s="1"/>
      <c r="O840" s="17"/>
      <c r="P840" s="52"/>
    </row>
    <row r="841" spans="1:16" x14ac:dyDescent="0.3">
      <c r="B841" s="13"/>
      <c r="C841" s="33"/>
      <c r="D841" s="19"/>
      <c r="E841" s="19"/>
      <c r="F841" s="34"/>
      <c r="G841" s="20"/>
      <c r="H841" s="17"/>
      <c r="I841" s="17"/>
      <c r="J841" s="17"/>
      <c r="K841" s="18"/>
      <c r="L841" s="1"/>
      <c r="N841" s="1"/>
      <c r="O841" s="17"/>
      <c r="P841" s="52"/>
    </row>
    <row r="842" spans="1:16" x14ac:dyDescent="0.3">
      <c r="B842" s="13"/>
      <c r="C842" s="35"/>
      <c r="D842" s="36"/>
      <c r="E842" s="21"/>
      <c r="F842" s="21"/>
      <c r="G842" s="37"/>
      <c r="H842" s="17"/>
      <c r="I842" s="17"/>
      <c r="J842" s="17"/>
      <c r="K842" s="18"/>
      <c r="L842" s="1"/>
      <c r="N842" s="1"/>
      <c r="O842" s="17"/>
      <c r="P842" s="52"/>
    </row>
    <row r="843" spans="1:16" x14ac:dyDescent="0.3">
      <c r="C843" s="17"/>
      <c r="D843" s="17"/>
      <c r="E843" s="17"/>
      <c r="F843" s="17"/>
      <c r="G843" s="17"/>
      <c r="H843" s="18"/>
      <c r="I843" s="13"/>
      <c r="J843" s="12"/>
      <c r="N843" s="1"/>
      <c r="O843" s="17"/>
    </row>
    <row r="844" spans="1:16" x14ac:dyDescent="0.3">
      <c r="B844" s="16"/>
      <c r="C844" s="18"/>
      <c r="D844" s="18"/>
      <c r="E844" s="18"/>
      <c r="F844" s="18"/>
      <c r="G844" s="18"/>
      <c r="H844" s="1"/>
      <c r="I844" s="56"/>
      <c r="J844" s="53"/>
      <c r="M844" s="1"/>
      <c r="N844" s="9"/>
    </row>
    <row r="845" spans="1:16" x14ac:dyDescent="0.3">
      <c r="B845" s="1"/>
      <c r="C845" s="17"/>
      <c r="D845" s="17"/>
      <c r="E845" s="17"/>
      <c r="F845" s="17"/>
      <c r="G845" s="17"/>
      <c r="H845" s="1"/>
    </row>
    <row r="846" spans="1:16" x14ac:dyDescent="0.3">
      <c r="B846" s="16"/>
      <c r="C846" s="18"/>
      <c r="D846" s="18"/>
      <c r="E846" s="18"/>
      <c r="F846" s="18"/>
      <c r="G846" s="18"/>
      <c r="H846" s="1"/>
      <c r="I846" s="14"/>
    </row>
    <row r="847" spans="1:16" x14ac:dyDescent="0.3">
      <c r="B847" s="1"/>
      <c r="C847" s="18"/>
      <c r="D847" s="18"/>
      <c r="E847" s="18"/>
      <c r="F847" s="18"/>
      <c r="G847" s="18"/>
    </row>
    <row r="848" spans="1:16" x14ac:dyDescent="0.3">
      <c r="B848" s="1"/>
      <c r="C848" s="1"/>
      <c r="D848" s="1"/>
      <c r="E848" s="1"/>
      <c r="F848" s="1"/>
      <c r="G848" s="1"/>
    </row>
    <row r="849" spans="1:16" x14ac:dyDescent="0.3">
      <c r="B849" s="1"/>
      <c r="C849" s="18"/>
      <c r="D849" s="18"/>
      <c r="E849" s="18"/>
      <c r="F849" s="18"/>
      <c r="G849" s="18"/>
    </row>
    <row r="850" spans="1:16" x14ac:dyDescent="0.3">
      <c r="B850" s="1"/>
      <c r="C850" s="18"/>
      <c r="D850" s="18"/>
      <c r="E850" s="18"/>
      <c r="F850" s="18"/>
      <c r="G850" s="18"/>
    </row>
    <row r="853" spans="1:16" x14ac:dyDescent="0.3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</row>
    <row r="854" spans="1:16" x14ac:dyDescent="0.3">
      <c r="I854" s="1"/>
    </row>
    <row r="855" spans="1:16" x14ac:dyDescent="0.3">
      <c r="B855" s="1"/>
      <c r="C855" s="13"/>
      <c r="D855" s="13"/>
      <c r="E855" s="13"/>
      <c r="F855" s="13"/>
      <c r="G855" s="13"/>
      <c r="H855" s="1"/>
      <c r="I855" s="1"/>
      <c r="J855" s="1"/>
      <c r="N855" s="1"/>
    </row>
    <row r="856" spans="1:16" x14ac:dyDescent="0.3">
      <c r="B856" s="13"/>
      <c r="C856" s="26"/>
      <c r="D856" s="3"/>
      <c r="E856" s="3"/>
      <c r="F856" s="3"/>
      <c r="G856" s="4"/>
      <c r="H856" s="1"/>
      <c r="I856" s="10"/>
      <c r="J856" s="11"/>
      <c r="N856" s="10"/>
    </row>
    <row r="857" spans="1:16" x14ac:dyDescent="0.3">
      <c r="B857" s="13"/>
      <c r="C857" s="5"/>
      <c r="D857" s="27"/>
      <c r="E857" s="1"/>
      <c r="F857" s="1"/>
      <c r="G857" s="6"/>
      <c r="H857" s="1"/>
      <c r="I857" s="10"/>
      <c r="J857" s="11"/>
      <c r="N857" s="10"/>
    </row>
    <row r="858" spans="1:16" x14ac:dyDescent="0.3">
      <c r="B858" s="13"/>
      <c r="C858" s="5"/>
      <c r="D858" s="1"/>
      <c r="E858" s="27"/>
      <c r="F858" s="1"/>
      <c r="G858" s="6"/>
      <c r="H858" s="1"/>
      <c r="I858" s="10"/>
      <c r="J858" s="11"/>
      <c r="N858" s="10"/>
    </row>
    <row r="859" spans="1:16" x14ac:dyDescent="0.3">
      <c r="B859" s="13"/>
      <c r="C859" s="5"/>
      <c r="D859" s="1"/>
      <c r="E859" s="1"/>
      <c r="F859" s="27"/>
      <c r="G859" s="6"/>
      <c r="H859" s="1"/>
      <c r="I859" s="10"/>
      <c r="J859" s="11"/>
      <c r="N859" s="10"/>
    </row>
    <row r="860" spans="1:16" x14ac:dyDescent="0.3">
      <c r="B860" s="13"/>
      <c r="C860" s="7"/>
      <c r="D860" s="8"/>
      <c r="E860" s="8"/>
      <c r="F860" s="8"/>
      <c r="G860" s="28"/>
      <c r="H860" s="1"/>
      <c r="I860" s="10"/>
      <c r="J860" s="11"/>
      <c r="N860" s="10"/>
    </row>
    <row r="861" spans="1:16" x14ac:dyDescent="0.3">
      <c r="B861" s="1"/>
      <c r="C861" s="1"/>
      <c r="D861" s="1"/>
      <c r="E861" s="1"/>
      <c r="F861" s="1"/>
      <c r="G861" s="1"/>
      <c r="H861" s="1"/>
      <c r="I861" s="13"/>
    </row>
    <row r="862" spans="1:16" x14ac:dyDescent="0.3">
      <c r="A862" s="1"/>
      <c r="B862" s="1"/>
      <c r="C862" s="10"/>
      <c r="D862" s="10"/>
      <c r="E862" s="10"/>
      <c r="F862" s="10"/>
      <c r="G862" s="10"/>
      <c r="H862" s="10"/>
      <c r="I862" s="14"/>
    </row>
    <row r="863" spans="1:16" x14ac:dyDescent="0.3">
      <c r="B863" s="1"/>
      <c r="C863" s="11"/>
      <c r="D863" s="11"/>
      <c r="E863" s="11"/>
      <c r="F863" s="11"/>
      <c r="G863" s="11"/>
    </row>
    <row r="864" spans="1:16" x14ac:dyDescent="0.3">
      <c r="C864" s="2"/>
    </row>
    <row r="865" spans="2:16" x14ac:dyDescent="0.3">
      <c r="B865" s="15"/>
      <c r="N865" s="12"/>
      <c r="O865" s="1"/>
      <c r="P865" s="1"/>
    </row>
    <row r="866" spans="2:16" x14ac:dyDescent="0.3">
      <c r="B866" s="1"/>
      <c r="C866" s="13"/>
      <c r="D866" s="13"/>
      <c r="E866" s="13"/>
      <c r="F866" s="13"/>
      <c r="G866" s="13"/>
      <c r="H866" s="1"/>
      <c r="I866" s="1"/>
      <c r="J866" s="15"/>
      <c r="K866" s="1"/>
      <c r="L866" s="1"/>
      <c r="O866" s="1"/>
    </row>
    <row r="867" spans="2:16" x14ac:dyDescent="0.3">
      <c r="B867" s="13"/>
      <c r="C867" s="29"/>
      <c r="D867" s="31"/>
      <c r="E867" s="31"/>
      <c r="F867" s="31"/>
      <c r="G867" s="32"/>
      <c r="H867" s="17"/>
      <c r="I867" s="17"/>
      <c r="J867" s="17"/>
      <c r="K867" s="18"/>
      <c r="L867" s="1"/>
      <c r="N867" s="1"/>
      <c r="O867" s="17"/>
      <c r="P867" s="52"/>
    </row>
    <row r="868" spans="2:16" x14ac:dyDescent="0.3">
      <c r="B868" s="13"/>
      <c r="C868" s="33"/>
      <c r="D868" s="34"/>
      <c r="E868" s="19"/>
      <c r="F868" s="18"/>
      <c r="G868" s="20"/>
      <c r="H868" s="17"/>
      <c r="I868" s="17"/>
      <c r="J868" s="17"/>
      <c r="K868" s="18"/>
      <c r="L868" s="1"/>
      <c r="N868" s="1"/>
      <c r="O868" s="17"/>
      <c r="P868" s="52"/>
    </row>
    <row r="869" spans="2:16" x14ac:dyDescent="0.3">
      <c r="B869" s="13"/>
      <c r="C869" s="33"/>
      <c r="D869" s="19"/>
      <c r="E869" s="34"/>
      <c r="F869" s="19"/>
      <c r="G869" s="20"/>
      <c r="H869" s="17"/>
      <c r="I869" s="17"/>
      <c r="J869" s="17"/>
      <c r="K869" s="18"/>
      <c r="L869" s="1"/>
      <c r="N869" s="1"/>
      <c r="O869" s="17"/>
      <c r="P869" s="52"/>
    </row>
    <row r="870" spans="2:16" x14ac:dyDescent="0.3">
      <c r="B870" s="13"/>
      <c r="C870" s="33"/>
      <c r="D870" s="19"/>
      <c r="E870" s="19"/>
      <c r="F870" s="34"/>
      <c r="G870" s="20"/>
      <c r="H870" s="17"/>
      <c r="I870" s="17"/>
      <c r="J870" s="17"/>
      <c r="K870" s="18"/>
      <c r="L870" s="1"/>
      <c r="N870" s="1"/>
      <c r="O870" s="17"/>
      <c r="P870" s="52"/>
    </row>
    <row r="871" spans="2:16" x14ac:dyDescent="0.3">
      <c r="B871" s="13"/>
      <c r="C871" s="35"/>
      <c r="D871" s="36"/>
      <c r="E871" s="21"/>
      <c r="F871" s="21"/>
      <c r="G871" s="37"/>
      <c r="H871" s="17"/>
      <c r="I871" s="17"/>
      <c r="J871" s="17"/>
      <c r="K871" s="18"/>
      <c r="L871" s="1"/>
      <c r="N871" s="1"/>
      <c r="O871" s="17"/>
      <c r="P871" s="52"/>
    </row>
    <row r="872" spans="2:16" x14ac:dyDescent="0.3">
      <c r="C872" s="17"/>
      <c r="D872" s="17"/>
      <c r="E872" s="17"/>
      <c r="F872" s="17"/>
      <c r="G872" s="17"/>
      <c r="H872" s="1"/>
      <c r="I872" s="13"/>
      <c r="J872" s="12"/>
      <c r="N872" s="1"/>
      <c r="O872" s="17"/>
    </row>
    <row r="873" spans="2:16" x14ac:dyDescent="0.3">
      <c r="B873" s="16"/>
      <c r="C873" s="18"/>
      <c r="D873" s="18"/>
      <c r="E873" s="18"/>
      <c r="F873" s="18"/>
      <c r="G873" s="18"/>
      <c r="H873" s="1"/>
      <c r="I873" s="56"/>
      <c r="J873" s="53"/>
      <c r="M873" s="1"/>
      <c r="N873" s="9"/>
    </row>
    <row r="874" spans="2:16" x14ac:dyDescent="0.3">
      <c r="B874" s="1"/>
      <c r="C874" s="17"/>
      <c r="D874" s="17"/>
      <c r="E874" s="17"/>
      <c r="F874" s="17"/>
      <c r="G874" s="17"/>
      <c r="H874" s="1"/>
    </row>
    <row r="875" spans="2:16" x14ac:dyDescent="0.3">
      <c r="B875" s="16"/>
      <c r="C875" s="18"/>
      <c r="D875" s="18"/>
      <c r="E875" s="18"/>
      <c r="F875" s="18"/>
      <c r="G875" s="18"/>
      <c r="H875" s="1"/>
      <c r="I875" s="14"/>
    </row>
    <row r="876" spans="2:16" x14ac:dyDescent="0.3">
      <c r="B876" s="1"/>
      <c r="C876" s="18"/>
      <c r="D876" s="18"/>
      <c r="E876" s="18"/>
      <c r="F876" s="18"/>
      <c r="G876" s="18"/>
    </row>
    <row r="877" spans="2:16" x14ac:dyDescent="0.3">
      <c r="B877" s="1"/>
      <c r="C877" s="1"/>
      <c r="D877" s="1"/>
      <c r="E877" s="1"/>
      <c r="F877" s="1"/>
      <c r="G877" s="1"/>
    </row>
    <row r="878" spans="2:16" x14ac:dyDescent="0.3">
      <c r="B878" s="1"/>
      <c r="C878" s="18"/>
      <c r="D878" s="18"/>
      <c r="E878" s="18"/>
      <c r="F878" s="18"/>
      <c r="G878" s="18"/>
    </row>
    <row r="879" spans="2:16" x14ac:dyDescent="0.3">
      <c r="B879" s="1"/>
      <c r="C879" s="18"/>
      <c r="D879" s="18"/>
      <c r="E879" s="18"/>
      <c r="F879" s="18"/>
      <c r="G879" s="18"/>
    </row>
    <row r="882" spans="1:16" x14ac:dyDescent="0.3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</row>
    <row r="883" spans="1:16" x14ac:dyDescent="0.3">
      <c r="I883" s="1"/>
    </row>
    <row r="884" spans="1:16" x14ac:dyDescent="0.3">
      <c r="B884" s="1"/>
      <c r="C884" s="13"/>
      <c r="D884" s="13"/>
      <c r="E884" s="13"/>
      <c r="F884" s="13"/>
      <c r="G884" s="13"/>
      <c r="H884" s="1"/>
      <c r="I884" s="1"/>
      <c r="J884" s="1"/>
      <c r="N884" s="1"/>
    </row>
    <row r="885" spans="1:16" x14ac:dyDescent="0.3">
      <c r="B885" s="13"/>
      <c r="C885" s="26"/>
      <c r="D885" s="3"/>
      <c r="E885" s="3"/>
      <c r="F885" s="3"/>
      <c r="G885" s="4"/>
      <c r="H885" s="1"/>
      <c r="I885" s="10"/>
      <c r="J885" s="11"/>
      <c r="N885" s="10"/>
    </row>
    <row r="886" spans="1:16" x14ac:dyDescent="0.3">
      <c r="B886" s="13"/>
      <c r="C886" s="5"/>
      <c r="D886" s="27"/>
      <c r="E886" s="1"/>
      <c r="F886" s="1"/>
      <c r="G886" s="6"/>
      <c r="H886" s="1"/>
      <c r="I886" s="10"/>
      <c r="J886" s="11"/>
      <c r="N886" s="10"/>
    </row>
    <row r="887" spans="1:16" x14ac:dyDescent="0.3">
      <c r="B887" s="13"/>
      <c r="C887" s="5"/>
      <c r="D887" s="1"/>
      <c r="E887" s="27"/>
      <c r="F887" s="1"/>
      <c r="G887" s="6"/>
      <c r="H887" s="1"/>
      <c r="I887" s="10"/>
      <c r="J887" s="11"/>
      <c r="N887" s="10"/>
    </row>
    <row r="888" spans="1:16" x14ac:dyDescent="0.3">
      <c r="B888" s="13"/>
      <c r="C888" s="5"/>
      <c r="D888" s="1"/>
      <c r="E888" s="1"/>
      <c r="F888" s="27"/>
      <c r="G888" s="6"/>
      <c r="H888" s="1"/>
      <c r="I888" s="10"/>
      <c r="J888" s="11"/>
      <c r="N888" s="10"/>
    </row>
    <row r="889" spans="1:16" x14ac:dyDescent="0.3">
      <c r="B889" s="13"/>
      <c r="C889" s="7"/>
      <c r="D889" s="8"/>
      <c r="E889" s="8"/>
      <c r="F889" s="8"/>
      <c r="G889" s="28"/>
      <c r="H889" s="1"/>
      <c r="I889" s="10"/>
      <c r="J889" s="11"/>
      <c r="N889" s="10"/>
    </row>
    <row r="890" spans="1:16" x14ac:dyDescent="0.3">
      <c r="B890" s="1"/>
      <c r="C890" s="1"/>
      <c r="D890" s="1"/>
      <c r="E890" s="1"/>
      <c r="F890" s="1"/>
      <c r="G890" s="1"/>
      <c r="H890" s="1"/>
      <c r="I890" s="13"/>
    </row>
    <row r="891" spans="1:16" x14ac:dyDescent="0.3">
      <c r="A891" s="1"/>
      <c r="B891" s="1"/>
      <c r="C891" s="10"/>
      <c r="D891" s="10"/>
      <c r="E891" s="10"/>
      <c r="F891" s="10"/>
      <c r="G891" s="10"/>
      <c r="H891" s="10"/>
      <c r="I891" s="14"/>
    </row>
    <row r="892" spans="1:16" x14ac:dyDescent="0.3">
      <c r="B892" s="1"/>
      <c r="C892" s="11"/>
      <c r="D892" s="11"/>
      <c r="E892" s="11"/>
      <c r="F892" s="11"/>
      <c r="G892" s="11"/>
    </row>
    <row r="893" spans="1:16" x14ac:dyDescent="0.3">
      <c r="C893" s="2"/>
    </row>
    <row r="894" spans="1:16" x14ac:dyDescent="0.3">
      <c r="B894" s="15"/>
      <c r="N894" s="12"/>
      <c r="O894" s="1"/>
      <c r="P894" s="1"/>
    </row>
    <row r="895" spans="1:16" x14ac:dyDescent="0.3">
      <c r="B895" s="1"/>
      <c r="C895" s="13"/>
      <c r="D895" s="13"/>
      <c r="E895" s="13"/>
      <c r="F895" s="13"/>
      <c r="G895" s="13"/>
      <c r="H895" s="1"/>
      <c r="I895" s="1"/>
      <c r="J895" s="15"/>
      <c r="K895" s="1"/>
      <c r="L895" s="1"/>
      <c r="O895" s="1"/>
    </row>
    <row r="896" spans="1:16" x14ac:dyDescent="0.3">
      <c r="B896" s="13"/>
      <c r="C896" s="29"/>
      <c r="D896" s="31"/>
      <c r="E896" s="31"/>
      <c r="F896" s="31"/>
      <c r="G896" s="32"/>
      <c r="H896" s="17"/>
      <c r="I896" s="17"/>
      <c r="J896" s="17"/>
      <c r="K896" s="18"/>
      <c r="L896" s="1"/>
      <c r="N896" s="1"/>
      <c r="O896" s="17"/>
      <c r="P896" s="52"/>
    </row>
    <row r="897" spans="1:16" x14ac:dyDescent="0.3">
      <c r="B897" s="13"/>
      <c r="C897" s="33"/>
      <c r="D897" s="34"/>
      <c r="E897" s="19"/>
      <c r="F897" s="18"/>
      <c r="G897" s="20"/>
      <c r="H897" s="17"/>
      <c r="I897" s="17"/>
      <c r="J897" s="17"/>
      <c r="K897" s="18"/>
      <c r="L897" s="1"/>
      <c r="N897" s="1"/>
      <c r="O897" s="17"/>
      <c r="P897" s="52"/>
    </row>
    <row r="898" spans="1:16" x14ac:dyDescent="0.3">
      <c r="B898" s="13"/>
      <c r="C898" s="33"/>
      <c r="D898" s="19"/>
      <c r="E898" s="34"/>
      <c r="F898" s="19"/>
      <c r="G898" s="20"/>
      <c r="H898" s="17"/>
      <c r="I898" s="17"/>
      <c r="J898" s="17"/>
      <c r="K898" s="18"/>
      <c r="L898" s="1"/>
      <c r="N898" s="1"/>
      <c r="O898" s="17"/>
      <c r="P898" s="52"/>
    </row>
    <row r="899" spans="1:16" x14ac:dyDescent="0.3">
      <c r="B899" s="13"/>
      <c r="C899" s="33"/>
      <c r="D899" s="19"/>
      <c r="E899" s="19"/>
      <c r="F899" s="34"/>
      <c r="G899" s="20"/>
      <c r="H899" s="17"/>
      <c r="I899" s="17"/>
      <c r="J899" s="17"/>
      <c r="K899" s="18"/>
      <c r="L899" s="1"/>
      <c r="N899" s="1"/>
      <c r="O899" s="17"/>
      <c r="P899" s="52"/>
    </row>
    <row r="900" spans="1:16" x14ac:dyDescent="0.3">
      <c r="B900" s="13"/>
      <c r="C900" s="35"/>
      <c r="D900" s="36"/>
      <c r="E900" s="21"/>
      <c r="F900" s="21"/>
      <c r="G900" s="37"/>
      <c r="H900" s="17"/>
      <c r="I900" s="17"/>
      <c r="J900" s="17"/>
      <c r="K900" s="18"/>
      <c r="L900" s="1"/>
      <c r="N900" s="1"/>
      <c r="O900" s="17"/>
      <c r="P900" s="52"/>
    </row>
    <row r="901" spans="1:16" x14ac:dyDescent="0.3">
      <c r="C901" s="17"/>
      <c r="D901" s="17"/>
      <c r="E901" s="17"/>
      <c r="F901" s="17"/>
      <c r="G901" s="17"/>
      <c r="H901" s="18"/>
      <c r="I901" s="13"/>
      <c r="J901" s="12"/>
      <c r="N901" s="1"/>
      <c r="O901" s="17"/>
    </row>
    <row r="902" spans="1:16" x14ac:dyDescent="0.3">
      <c r="B902" s="16"/>
      <c r="C902" s="18"/>
      <c r="D902" s="18"/>
      <c r="E902" s="18"/>
      <c r="F902" s="18"/>
      <c r="G902" s="18"/>
      <c r="H902" s="1"/>
      <c r="I902" s="14"/>
      <c r="J902" s="53"/>
      <c r="M902" s="1"/>
      <c r="N902" s="9"/>
    </row>
    <row r="903" spans="1:16" x14ac:dyDescent="0.3">
      <c r="B903" s="1"/>
      <c r="C903" s="17"/>
      <c r="D903" s="17"/>
      <c r="E903" s="17"/>
      <c r="F903" s="17"/>
      <c r="G903" s="17"/>
      <c r="H903" s="1"/>
    </row>
    <row r="904" spans="1:16" x14ac:dyDescent="0.3">
      <c r="B904" s="16"/>
      <c r="C904" s="18"/>
      <c r="D904" s="18"/>
      <c r="E904" s="18"/>
      <c r="F904" s="18"/>
      <c r="G904" s="18"/>
      <c r="H904" s="1"/>
      <c r="I904" s="14"/>
    </row>
    <row r="905" spans="1:16" x14ac:dyDescent="0.3">
      <c r="B905" s="1"/>
      <c r="C905" s="18"/>
      <c r="D905" s="18"/>
      <c r="E905" s="18"/>
      <c r="F905" s="18"/>
      <c r="G905" s="18"/>
    </row>
    <row r="906" spans="1:16" x14ac:dyDescent="0.3">
      <c r="B906" s="1"/>
      <c r="C906" s="1"/>
      <c r="D906" s="1"/>
      <c r="E906" s="1"/>
      <c r="F906" s="1"/>
      <c r="G906" s="1"/>
    </row>
    <row r="907" spans="1:16" x14ac:dyDescent="0.3">
      <c r="B907" s="1"/>
      <c r="C907" s="18"/>
      <c r="D907" s="18"/>
      <c r="E907" s="18"/>
      <c r="F907" s="18"/>
      <c r="G907" s="18"/>
    </row>
    <row r="908" spans="1:16" x14ac:dyDescent="0.3">
      <c r="B908" s="1"/>
      <c r="C908" s="18"/>
      <c r="D908" s="18"/>
      <c r="E908" s="18"/>
      <c r="F908" s="18"/>
      <c r="G908" s="18"/>
    </row>
    <row r="911" spans="1:16" x14ac:dyDescent="0.3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</row>
    <row r="912" spans="1:16" x14ac:dyDescent="0.3">
      <c r="I912" s="1"/>
    </row>
    <row r="913" spans="1:16" x14ac:dyDescent="0.3">
      <c r="B913" s="1"/>
      <c r="C913" s="13"/>
      <c r="D913" s="13"/>
      <c r="E913" s="13"/>
      <c r="F913" s="13"/>
      <c r="G913" s="13"/>
      <c r="H913" s="1"/>
      <c r="I913" s="1"/>
      <c r="J913" s="1"/>
      <c r="N913" s="1"/>
    </row>
    <row r="914" spans="1:16" x14ac:dyDescent="0.3">
      <c r="B914" s="13"/>
      <c r="C914" s="26"/>
      <c r="D914" s="3"/>
      <c r="E914" s="3"/>
      <c r="F914" s="3"/>
      <c r="G914" s="4"/>
      <c r="H914" s="1"/>
      <c r="I914" s="10"/>
      <c r="J914" s="11"/>
      <c r="N914" s="10"/>
    </row>
    <row r="915" spans="1:16" x14ac:dyDescent="0.3">
      <c r="B915" s="13"/>
      <c r="C915" s="5"/>
      <c r="D915" s="27"/>
      <c r="E915" s="1"/>
      <c r="F915" s="1"/>
      <c r="G915" s="6"/>
      <c r="H915" s="1"/>
      <c r="I915" s="10"/>
      <c r="J915" s="11"/>
      <c r="N915" s="10"/>
    </row>
    <row r="916" spans="1:16" x14ac:dyDescent="0.3">
      <c r="B916" s="13"/>
      <c r="C916" s="5"/>
      <c r="D916" s="1"/>
      <c r="E916" s="27"/>
      <c r="F916" s="1"/>
      <c r="G916" s="6"/>
      <c r="H916" s="1"/>
      <c r="I916" s="10"/>
      <c r="J916" s="11"/>
      <c r="N916" s="10"/>
    </row>
    <row r="917" spans="1:16" x14ac:dyDescent="0.3">
      <c r="B917" s="13"/>
      <c r="C917" s="5"/>
      <c r="D917" s="1"/>
      <c r="E917" s="1"/>
      <c r="F917" s="27"/>
      <c r="G917" s="6"/>
      <c r="H917" s="1"/>
      <c r="I917" s="10"/>
      <c r="J917" s="11"/>
      <c r="N917" s="10"/>
    </row>
    <row r="918" spans="1:16" x14ac:dyDescent="0.3">
      <c r="B918" s="13"/>
      <c r="C918" s="7"/>
      <c r="D918" s="8"/>
      <c r="E918" s="8"/>
      <c r="F918" s="8"/>
      <c r="G918" s="28"/>
      <c r="H918" s="1"/>
      <c r="I918" s="10"/>
      <c r="J918" s="11"/>
      <c r="N918" s="10"/>
    </row>
    <row r="919" spans="1:16" x14ac:dyDescent="0.3">
      <c r="B919" s="1"/>
      <c r="C919" s="1"/>
      <c r="D919" s="1"/>
      <c r="E919" s="1"/>
      <c r="F919" s="1"/>
      <c r="G919" s="1"/>
      <c r="H919" s="1"/>
      <c r="I919" s="13"/>
    </row>
    <row r="920" spans="1:16" x14ac:dyDescent="0.3">
      <c r="A920" s="1"/>
      <c r="B920" s="1"/>
      <c r="C920" s="10"/>
      <c r="D920" s="10"/>
      <c r="E920" s="10"/>
      <c r="F920" s="10"/>
      <c r="G920" s="10"/>
      <c r="H920" s="10"/>
      <c r="I920" s="14"/>
    </row>
    <row r="921" spans="1:16" x14ac:dyDescent="0.3">
      <c r="B921" s="1"/>
      <c r="C921" s="11"/>
      <c r="D921" s="11"/>
      <c r="E921" s="11"/>
      <c r="F921" s="11"/>
      <c r="G921" s="11"/>
    </row>
    <row r="922" spans="1:16" x14ac:dyDescent="0.3">
      <c r="C922" s="2"/>
    </row>
    <row r="923" spans="1:16" x14ac:dyDescent="0.3">
      <c r="B923" s="15"/>
      <c r="N923" s="12"/>
      <c r="O923" s="1"/>
      <c r="P923" s="1"/>
    </row>
    <row r="924" spans="1:16" x14ac:dyDescent="0.3">
      <c r="B924" s="1"/>
      <c r="C924" s="13"/>
      <c r="D924" s="13"/>
      <c r="E924" s="13"/>
      <c r="F924" s="13"/>
      <c r="G924" s="13"/>
      <c r="H924" s="1"/>
      <c r="I924" s="1"/>
      <c r="J924" s="15"/>
      <c r="K924" s="1"/>
      <c r="L924" s="1"/>
      <c r="O924" s="1"/>
    </row>
    <row r="925" spans="1:16" x14ac:dyDescent="0.3">
      <c r="B925" s="13"/>
      <c r="C925" s="29"/>
      <c r="D925" s="31"/>
      <c r="E925" s="31"/>
      <c r="F925" s="31"/>
      <c r="G925" s="32"/>
      <c r="H925" s="17"/>
      <c r="I925" s="17"/>
      <c r="J925" s="17"/>
      <c r="K925" s="18"/>
      <c r="L925" s="1"/>
      <c r="N925" s="1"/>
      <c r="O925" s="17"/>
      <c r="P925" s="52"/>
    </row>
    <row r="926" spans="1:16" x14ac:dyDescent="0.3">
      <c r="B926" s="13"/>
      <c r="C926" s="33"/>
      <c r="D926" s="34"/>
      <c r="E926" s="19"/>
      <c r="F926" s="18"/>
      <c r="G926" s="20"/>
      <c r="H926" s="17"/>
      <c r="I926" s="17"/>
      <c r="J926" s="17"/>
      <c r="K926" s="18"/>
      <c r="L926" s="1"/>
      <c r="N926" s="1"/>
      <c r="O926" s="17"/>
      <c r="P926" s="52"/>
    </row>
    <row r="927" spans="1:16" x14ac:dyDescent="0.3">
      <c r="B927" s="13"/>
      <c r="C927" s="33"/>
      <c r="D927" s="19"/>
      <c r="E927" s="34"/>
      <c r="F927" s="19"/>
      <c r="G927" s="20"/>
      <c r="H927" s="17"/>
      <c r="I927" s="17"/>
      <c r="J927" s="17"/>
      <c r="K927" s="18"/>
      <c r="L927" s="1"/>
      <c r="N927" s="1"/>
      <c r="O927" s="17"/>
      <c r="P927" s="52"/>
    </row>
    <row r="928" spans="1:16" x14ac:dyDescent="0.3">
      <c r="B928" s="13"/>
      <c r="C928" s="33"/>
      <c r="D928" s="19"/>
      <c r="E928" s="19"/>
      <c r="F928" s="34"/>
      <c r="G928" s="20"/>
      <c r="H928" s="17"/>
      <c r="I928" s="17"/>
      <c r="J928" s="17"/>
      <c r="K928" s="18"/>
      <c r="L928" s="1"/>
      <c r="N928" s="1"/>
      <c r="O928" s="17"/>
      <c r="P928" s="52"/>
    </row>
    <row r="929" spans="1:16" x14ac:dyDescent="0.3">
      <c r="B929" s="13"/>
      <c r="C929" s="35"/>
      <c r="D929" s="36"/>
      <c r="E929" s="21"/>
      <c r="F929" s="21"/>
      <c r="G929" s="37"/>
      <c r="H929" s="17"/>
      <c r="I929" s="17"/>
      <c r="J929" s="17"/>
      <c r="K929" s="18"/>
      <c r="L929" s="1"/>
      <c r="N929" s="1"/>
      <c r="O929" s="17"/>
      <c r="P929" s="52"/>
    </row>
    <row r="930" spans="1:16" x14ac:dyDescent="0.3">
      <c r="C930" s="17"/>
      <c r="D930" s="17"/>
      <c r="E930" s="17"/>
      <c r="F930" s="17"/>
      <c r="G930" s="17"/>
      <c r="H930" s="18"/>
      <c r="I930" s="13"/>
      <c r="J930" s="12"/>
      <c r="N930" s="1"/>
      <c r="O930" s="17"/>
    </row>
    <row r="931" spans="1:16" x14ac:dyDescent="0.3">
      <c r="B931" s="16"/>
      <c r="C931" s="18"/>
      <c r="D931" s="18"/>
      <c r="E931" s="18"/>
      <c r="F931" s="18"/>
      <c r="G931" s="18"/>
      <c r="H931" s="1"/>
      <c r="I931" s="14"/>
      <c r="J931" s="53"/>
      <c r="M931" s="1"/>
      <c r="N931" s="9"/>
    </row>
    <row r="932" spans="1:16" x14ac:dyDescent="0.3">
      <c r="B932" s="1"/>
      <c r="C932" s="17"/>
      <c r="D932" s="17"/>
      <c r="E932" s="17"/>
      <c r="F932" s="17"/>
      <c r="G932" s="17"/>
      <c r="H932" s="1"/>
    </row>
    <row r="933" spans="1:16" x14ac:dyDescent="0.3">
      <c r="B933" s="16"/>
      <c r="C933" s="18"/>
      <c r="D933" s="18"/>
      <c r="E933" s="18"/>
      <c r="F933" s="18"/>
      <c r="G933" s="18"/>
      <c r="H933" s="1"/>
      <c r="I933" s="14"/>
    </row>
    <row r="934" spans="1:16" x14ac:dyDescent="0.3">
      <c r="B934" s="1"/>
      <c r="C934" s="18"/>
      <c r="D934" s="18"/>
      <c r="E934" s="18"/>
      <c r="F934" s="18"/>
      <c r="G934" s="18"/>
    </row>
    <row r="935" spans="1:16" x14ac:dyDescent="0.3">
      <c r="B935" s="1"/>
      <c r="C935" s="1"/>
      <c r="D935" s="1"/>
      <c r="E935" s="1"/>
      <c r="F935" s="1"/>
      <c r="G935" s="1"/>
    </row>
    <row r="936" spans="1:16" x14ac:dyDescent="0.3">
      <c r="B936" s="1"/>
      <c r="C936" s="18"/>
      <c r="D936" s="18"/>
      <c r="E936" s="18"/>
      <c r="F936" s="18"/>
      <c r="G936" s="18"/>
    </row>
    <row r="937" spans="1:16" x14ac:dyDescent="0.3">
      <c r="B937" s="1"/>
      <c r="C937" s="18"/>
      <c r="D937" s="18"/>
      <c r="E937" s="18"/>
      <c r="F937" s="18"/>
      <c r="G937" s="18"/>
    </row>
    <row r="940" spans="1:16" x14ac:dyDescent="0.3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</row>
    <row r="941" spans="1:16" x14ac:dyDescent="0.3">
      <c r="I941" s="1"/>
    </row>
    <row r="942" spans="1:16" x14ac:dyDescent="0.3">
      <c r="B942" s="1"/>
      <c r="C942" s="13"/>
      <c r="D942" s="13"/>
      <c r="E942" s="13"/>
      <c r="F942" s="13"/>
      <c r="G942" s="13"/>
      <c r="H942" s="1"/>
      <c r="I942" s="1"/>
      <c r="J942" s="1"/>
      <c r="N942" s="1"/>
    </row>
    <row r="943" spans="1:16" x14ac:dyDescent="0.3">
      <c r="B943" s="13"/>
      <c r="C943" s="26"/>
      <c r="D943" s="3"/>
      <c r="E943" s="3"/>
      <c r="F943" s="3"/>
      <c r="G943" s="4"/>
      <c r="H943" s="1"/>
      <c r="I943" s="10"/>
      <c r="J943" s="11"/>
      <c r="N943" s="10"/>
    </row>
    <row r="944" spans="1:16" x14ac:dyDescent="0.3">
      <c r="B944" s="13"/>
      <c r="C944" s="5"/>
      <c r="D944" s="27"/>
      <c r="E944" s="1"/>
      <c r="F944" s="1"/>
      <c r="G944" s="6"/>
      <c r="H944" s="1"/>
      <c r="I944" s="10"/>
      <c r="J944" s="11"/>
      <c r="N944" s="10"/>
    </row>
    <row r="945" spans="1:16" x14ac:dyDescent="0.3">
      <c r="B945" s="13"/>
      <c r="C945" s="5"/>
      <c r="D945" s="1"/>
      <c r="E945" s="27"/>
      <c r="F945" s="1"/>
      <c r="G945" s="6"/>
      <c r="H945" s="1"/>
      <c r="I945" s="10"/>
      <c r="J945" s="11"/>
      <c r="N945" s="10"/>
    </row>
    <row r="946" spans="1:16" x14ac:dyDescent="0.3">
      <c r="B946" s="13"/>
      <c r="C946" s="5"/>
      <c r="D946" s="1"/>
      <c r="E946" s="1"/>
      <c r="F946" s="27"/>
      <c r="G946" s="6"/>
      <c r="H946" s="1"/>
      <c r="I946" s="10"/>
      <c r="J946" s="11"/>
      <c r="N946" s="10"/>
    </row>
    <row r="947" spans="1:16" x14ac:dyDescent="0.3">
      <c r="B947" s="13"/>
      <c r="C947" s="7"/>
      <c r="D947" s="8"/>
      <c r="E947" s="8"/>
      <c r="F947" s="8"/>
      <c r="G947" s="28"/>
      <c r="H947" s="1"/>
      <c r="I947" s="10"/>
      <c r="J947" s="11"/>
      <c r="N947" s="10"/>
    </row>
    <row r="948" spans="1:16" x14ac:dyDescent="0.3">
      <c r="B948" s="1"/>
      <c r="C948" s="1"/>
      <c r="D948" s="1"/>
      <c r="E948" s="1"/>
      <c r="F948" s="1"/>
      <c r="G948" s="1"/>
      <c r="H948" s="1"/>
      <c r="I948" s="13"/>
    </row>
    <row r="949" spans="1:16" x14ac:dyDescent="0.3">
      <c r="A949" s="1"/>
      <c r="B949" s="1"/>
      <c r="C949" s="10"/>
      <c r="D949" s="10"/>
      <c r="E949" s="10"/>
      <c r="F949" s="10"/>
      <c r="G949" s="10"/>
      <c r="H949" s="10"/>
      <c r="I949" s="14"/>
    </row>
    <row r="950" spans="1:16" x14ac:dyDescent="0.3">
      <c r="B950" s="1"/>
      <c r="C950" s="11"/>
      <c r="D950" s="11"/>
      <c r="E950" s="11"/>
      <c r="F950" s="11"/>
      <c r="G950" s="11"/>
    </row>
    <row r="951" spans="1:16" x14ac:dyDescent="0.3">
      <c r="C951" s="2"/>
    </row>
    <row r="952" spans="1:16" x14ac:dyDescent="0.3">
      <c r="B952" s="15"/>
      <c r="N952" s="12"/>
      <c r="O952" s="1"/>
      <c r="P952" s="1"/>
    </row>
    <row r="953" spans="1:16" x14ac:dyDescent="0.3">
      <c r="B953" s="1"/>
      <c r="C953" s="13"/>
      <c r="D953" s="13"/>
      <c r="E953" s="13"/>
      <c r="F953" s="13"/>
      <c r="G953" s="13"/>
      <c r="H953" s="1"/>
      <c r="I953" s="1"/>
      <c r="J953" s="15"/>
      <c r="K953" s="1"/>
      <c r="L953" s="1"/>
      <c r="O953" s="1"/>
    </row>
    <row r="954" spans="1:16" x14ac:dyDescent="0.3">
      <c r="B954" s="13"/>
      <c r="C954" s="29"/>
      <c r="D954" s="31"/>
      <c r="E954" s="31"/>
      <c r="F954" s="31"/>
      <c r="G954" s="32"/>
      <c r="H954" s="17"/>
      <c r="I954" s="17"/>
      <c r="J954" s="17"/>
      <c r="K954" s="18"/>
      <c r="L954" s="1"/>
      <c r="N954" s="1"/>
      <c r="O954" s="17"/>
      <c r="P954" s="52"/>
    </row>
    <row r="955" spans="1:16" x14ac:dyDescent="0.3">
      <c r="B955" s="13"/>
      <c r="C955" s="33"/>
      <c r="D955" s="34"/>
      <c r="E955" s="19"/>
      <c r="F955" s="18"/>
      <c r="G955" s="20"/>
      <c r="H955" s="17"/>
      <c r="I955" s="17"/>
      <c r="J955" s="17"/>
      <c r="K955" s="18"/>
      <c r="L955" s="1"/>
      <c r="N955" s="1"/>
      <c r="O955" s="17"/>
      <c r="P955" s="52"/>
    </row>
    <row r="956" spans="1:16" x14ac:dyDescent="0.3">
      <c r="B956" s="13"/>
      <c r="C956" s="33"/>
      <c r="D956" s="19"/>
      <c r="E956" s="34"/>
      <c r="F956" s="19"/>
      <c r="G956" s="20"/>
      <c r="H956" s="17"/>
      <c r="I956" s="17"/>
      <c r="J956" s="17"/>
      <c r="K956" s="18"/>
      <c r="L956" s="1"/>
      <c r="N956" s="1"/>
      <c r="O956" s="17"/>
      <c r="P956" s="52"/>
    </row>
    <row r="957" spans="1:16" x14ac:dyDescent="0.3">
      <c r="B957" s="13"/>
      <c r="C957" s="33"/>
      <c r="D957" s="19"/>
      <c r="E957" s="19"/>
      <c r="F957" s="34"/>
      <c r="G957" s="20"/>
      <c r="H957" s="17"/>
      <c r="I957" s="17"/>
      <c r="J957" s="17"/>
      <c r="K957" s="18"/>
      <c r="L957" s="1"/>
      <c r="N957" s="1"/>
      <c r="O957" s="17"/>
      <c r="P957" s="52"/>
    </row>
    <row r="958" spans="1:16" x14ac:dyDescent="0.3">
      <c r="B958" s="13"/>
      <c r="C958" s="35"/>
      <c r="D958" s="36"/>
      <c r="E958" s="21"/>
      <c r="F958" s="21"/>
      <c r="G958" s="37"/>
      <c r="H958" s="17"/>
      <c r="I958" s="17"/>
      <c r="J958" s="17"/>
      <c r="K958" s="18"/>
      <c r="L958" s="1"/>
      <c r="N958" s="1"/>
      <c r="O958" s="17"/>
      <c r="P958" s="52"/>
    </row>
    <row r="959" spans="1:16" x14ac:dyDescent="0.3">
      <c r="C959" s="17"/>
      <c r="D959" s="17"/>
      <c r="E959" s="17"/>
      <c r="F959" s="17"/>
      <c r="G959" s="17"/>
      <c r="H959" s="18"/>
      <c r="I959" s="13"/>
      <c r="J959" s="12"/>
      <c r="N959" s="1"/>
      <c r="O959" s="17"/>
    </row>
    <row r="960" spans="1:16" x14ac:dyDescent="0.3">
      <c r="B960" s="16"/>
      <c r="C960" s="18"/>
      <c r="D960" s="18"/>
      <c r="E960" s="18"/>
      <c r="F960" s="18"/>
      <c r="G960" s="18"/>
      <c r="H960" s="1"/>
      <c r="I960" s="14"/>
      <c r="J960" s="53"/>
      <c r="M960" s="1"/>
      <c r="N960" s="9"/>
    </row>
    <row r="961" spans="1:16" x14ac:dyDescent="0.3">
      <c r="B961" s="1"/>
      <c r="C961" s="17"/>
      <c r="D961" s="17"/>
      <c r="E961" s="17"/>
      <c r="F961" s="17"/>
      <c r="G961" s="17"/>
      <c r="H961" s="1"/>
    </row>
    <row r="962" spans="1:16" x14ac:dyDescent="0.3">
      <c r="B962" s="16"/>
      <c r="C962" s="18"/>
      <c r="D962" s="18"/>
      <c r="E962" s="18"/>
      <c r="F962" s="18"/>
      <c r="G962" s="18"/>
      <c r="H962" s="1"/>
      <c r="I962" s="14"/>
    </row>
    <row r="963" spans="1:16" x14ac:dyDescent="0.3">
      <c r="B963" s="1"/>
      <c r="C963" s="18"/>
      <c r="D963" s="18"/>
      <c r="E963" s="18"/>
      <c r="F963" s="18"/>
      <c r="G963" s="18"/>
    </row>
    <row r="964" spans="1:16" x14ac:dyDescent="0.3">
      <c r="B964" s="1"/>
      <c r="C964" s="1"/>
      <c r="D964" s="1"/>
      <c r="E964" s="1"/>
      <c r="F964" s="1"/>
      <c r="G964" s="1"/>
    </row>
    <row r="965" spans="1:16" x14ac:dyDescent="0.3">
      <c r="B965" s="1"/>
      <c r="C965" s="18"/>
      <c r="D965" s="18"/>
      <c r="E965" s="18"/>
      <c r="F965" s="18"/>
      <c r="G965" s="18"/>
    </row>
    <row r="966" spans="1:16" x14ac:dyDescent="0.3">
      <c r="B966" s="1"/>
      <c r="C966" s="18"/>
      <c r="D966" s="18"/>
      <c r="E966" s="18"/>
      <c r="F966" s="18"/>
      <c r="G966" s="18"/>
    </row>
    <row r="969" spans="1:16" x14ac:dyDescent="0.3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</row>
    <row r="970" spans="1:16" x14ac:dyDescent="0.3">
      <c r="I970" s="1"/>
    </row>
    <row r="971" spans="1:16" x14ac:dyDescent="0.3">
      <c r="B971" s="1"/>
      <c r="C971" s="13"/>
      <c r="D971" s="13"/>
      <c r="E971" s="13"/>
      <c r="F971" s="13"/>
      <c r="G971" s="13"/>
      <c r="H971" s="1"/>
      <c r="I971" s="1"/>
      <c r="J971" s="1"/>
      <c r="N971" s="1"/>
    </row>
    <row r="972" spans="1:16" x14ac:dyDescent="0.3">
      <c r="B972" s="13"/>
      <c r="C972" s="26"/>
      <c r="D972" s="3"/>
      <c r="E972" s="3"/>
      <c r="F972" s="3"/>
      <c r="G972" s="4"/>
      <c r="H972" s="1"/>
      <c r="I972" s="10"/>
      <c r="J972" s="11"/>
      <c r="N972" s="10"/>
    </row>
    <row r="973" spans="1:16" x14ac:dyDescent="0.3">
      <c r="B973" s="13"/>
      <c r="C973" s="5"/>
      <c r="D973" s="27"/>
      <c r="E973" s="1"/>
      <c r="F973" s="1"/>
      <c r="G973" s="6"/>
      <c r="H973" s="1"/>
      <c r="I973" s="10"/>
      <c r="J973" s="11"/>
      <c r="N973" s="10"/>
    </row>
    <row r="974" spans="1:16" x14ac:dyDescent="0.3">
      <c r="B974" s="13"/>
      <c r="C974" s="5"/>
      <c r="D974" s="1"/>
      <c r="E974" s="27"/>
      <c r="F974" s="1"/>
      <c r="G974" s="6"/>
      <c r="H974" s="1"/>
      <c r="I974" s="10"/>
      <c r="J974" s="11"/>
      <c r="N974" s="10"/>
    </row>
    <row r="975" spans="1:16" x14ac:dyDescent="0.3">
      <c r="B975" s="13"/>
      <c r="C975" s="5"/>
      <c r="D975" s="1"/>
      <c r="E975" s="1"/>
      <c r="F975" s="27"/>
      <c r="G975" s="6"/>
      <c r="H975" s="1"/>
      <c r="I975" s="10"/>
      <c r="J975" s="11"/>
      <c r="N975" s="10"/>
    </row>
    <row r="976" spans="1:16" x14ac:dyDescent="0.3">
      <c r="B976" s="13"/>
      <c r="C976" s="7"/>
      <c r="D976" s="8"/>
      <c r="E976" s="8"/>
      <c r="F976" s="8"/>
      <c r="G976" s="28"/>
      <c r="H976" s="1"/>
      <c r="I976" s="10"/>
      <c r="J976" s="11"/>
      <c r="N976" s="10"/>
    </row>
    <row r="977" spans="1:16" x14ac:dyDescent="0.3">
      <c r="B977" s="1"/>
      <c r="C977" s="1"/>
      <c r="D977" s="1"/>
      <c r="E977" s="1"/>
      <c r="F977" s="1"/>
      <c r="G977" s="1"/>
      <c r="H977" s="1"/>
      <c r="I977" s="13"/>
    </row>
    <row r="978" spans="1:16" x14ac:dyDescent="0.3">
      <c r="A978" s="1"/>
      <c r="B978" s="1"/>
      <c r="C978" s="10"/>
      <c r="D978" s="10"/>
      <c r="E978" s="10"/>
      <c r="F978" s="10"/>
      <c r="G978" s="10"/>
      <c r="H978" s="10"/>
      <c r="I978" s="14"/>
    </row>
    <row r="979" spans="1:16" x14ac:dyDescent="0.3">
      <c r="B979" s="1"/>
      <c r="C979" s="11"/>
      <c r="D979" s="11"/>
      <c r="E979" s="11"/>
      <c r="F979" s="11"/>
      <c r="G979" s="11"/>
    </row>
    <row r="980" spans="1:16" x14ac:dyDescent="0.3">
      <c r="C980" s="2"/>
    </row>
    <row r="981" spans="1:16" x14ac:dyDescent="0.3">
      <c r="B981" s="15"/>
      <c r="N981" s="12"/>
      <c r="O981" s="1"/>
      <c r="P981" s="1"/>
    </row>
    <row r="982" spans="1:16" x14ac:dyDescent="0.3">
      <c r="B982" s="1"/>
      <c r="C982" s="13"/>
      <c r="D982" s="13"/>
      <c r="E982" s="13"/>
      <c r="F982" s="13"/>
      <c r="G982" s="13"/>
      <c r="H982" s="1"/>
      <c r="I982" s="1"/>
      <c r="J982" s="15"/>
      <c r="K982" s="1"/>
      <c r="L982" s="1"/>
      <c r="O982" s="1"/>
    </row>
    <row r="983" spans="1:16" x14ac:dyDescent="0.3">
      <c r="B983" s="13"/>
      <c r="C983" s="29"/>
      <c r="D983" s="31"/>
      <c r="E983" s="31"/>
      <c r="F983" s="31"/>
      <c r="G983" s="32"/>
      <c r="H983" s="17"/>
      <c r="I983" s="17"/>
      <c r="J983" s="17"/>
      <c r="K983" s="18"/>
      <c r="L983" s="1"/>
      <c r="N983" s="1"/>
      <c r="O983" s="17"/>
      <c r="P983" s="52"/>
    </row>
    <row r="984" spans="1:16" x14ac:dyDescent="0.3">
      <c r="B984" s="13"/>
      <c r="C984" s="33"/>
      <c r="D984" s="34"/>
      <c r="E984" s="19"/>
      <c r="F984" s="18"/>
      <c r="G984" s="20"/>
      <c r="H984" s="17"/>
      <c r="I984" s="17"/>
      <c r="J984" s="17"/>
      <c r="K984" s="18"/>
      <c r="L984" s="1"/>
      <c r="N984" s="1"/>
      <c r="O984" s="17"/>
      <c r="P984" s="52"/>
    </row>
    <row r="985" spans="1:16" x14ac:dyDescent="0.3">
      <c r="B985" s="13"/>
      <c r="C985" s="33"/>
      <c r="D985" s="19"/>
      <c r="E985" s="34"/>
      <c r="F985" s="19"/>
      <c r="G985" s="20"/>
      <c r="H985" s="17"/>
      <c r="I985" s="17"/>
      <c r="J985" s="17"/>
      <c r="K985" s="18"/>
      <c r="L985" s="1"/>
      <c r="N985" s="1"/>
      <c r="O985" s="17"/>
      <c r="P985" s="52"/>
    </row>
    <row r="986" spans="1:16" x14ac:dyDescent="0.3">
      <c r="B986" s="13"/>
      <c r="C986" s="33"/>
      <c r="D986" s="19"/>
      <c r="E986" s="19"/>
      <c r="F986" s="34"/>
      <c r="G986" s="20"/>
      <c r="H986" s="17"/>
      <c r="I986" s="17"/>
      <c r="J986" s="17"/>
      <c r="K986" s="18"/>
      <c r="L986" s="1"/>
      <c r="N986" s="1"/>
      <c r="O986" s="17"/>
      <c r="P986" s="52"/>
    </row>
    <row r="987" spans="1:16" x14ac:dyDescent="0.3">
      <c r="B987" s="13"/>
      <c r="C987" s="35"/>
      <c r="D987" s="36"/>
      <c r="E987" s="21"/>
      <c r="F987" s="21"/>
      <c r="G987" s="37"/>
      <c r="H987" s="17"/>
      <c r="I987" s="17"/>
      <c r="J987" s="17"/>
      <c r="K987" s="18"/>
      <c r="L987" s="1"/>
      <c r="N987" s="1"/>
      <c r="O987" s="17"/>
      <c r="P987" s="52"/>
    </row>
    <row r="988" spans="1:16" x14ac:dyDescent="0.3">
      <c r="C988" s="17"/>
      <c r="D988" s="17"/>
      <c r="E988" s="17"/>
      <c r="F988" s="17"/>
      <c r="G988" s="17"/>
      <c r="H988" s="18"/>
      <c r="I988" s="13"/>
      <c r="J988" s="12"/>
      <c r="N988" s="1"/>
      <c r="O988" s="17"/>
    </row>
    <row r="989" spans="1:16" x14ac:dyDescent="0.3">
      <c r="B989" s="16"/>
      <c r="C989" s="18"/>
      <c r="D989" s="18"/>
      <c r="E989" s="18"/>
      <c r="F989" s="18"/>
      <c r="G989" s="18"/>
      <c r="H989" s="1"/>
      <c r="I989" s="56"/>
      <c r="J989" s="53"/>
      <c r="M989" s="1"/>
      <c r="N989" s="9"/>
    </row>
    <row r="990" spans="1:16" x14ac:dyDescent="0.3">
      <c r="B990" s="1"/>
      <c r="C990" s="17"/>
      <c r="D990" s="17"/>
      <c r="E990" s="17"/>
      <c r="F990" s="17"/>
      <c r="G990" s="17"/>
      <c r="H990" s="1"/>
    </row>
    <row r="991" spans="1:16" x14ac:dyDescent="0.3">
      <c r="B991" s="16"/>
      <c r="C991" s="18"/>
      <c r="D991" s="18"/>
      <c r="E991" s="18"/>
      <c r="F991" s="18"/>
      <c r="G991" s="18"/>
      <c r="H991" s="1"/>
      <c r="I991" s="14"/>
    </row>
    <row r="992" spans="1:16" x14ac:dyDescent="0.3">
      <c r="B992" s="1"/>
      <c r="C992" s="18"/>
      <c r="D992" s="18"/>
      <c r="E992" s="18"/>
      <c r="F992" s="18"/>
      <c r="G992" s="18"/>
    </row>
    <row r="993" spans="1:16" x14ac:dyDescent="0.3">
      <c r="B993" s="1"/>
      <c r="C993" s="1"/>
      <c r="D993" s="1"/>
      <c r="E993" s="1"/>
      <c r="F993" s="1"/>
      <c r="G993" s="1"/>
    </row>
    <row r="994" spans="1:16" x14ac:dyDescent="0.3">
      <c r="B994" s="1"/>
      <c r="C994" s="18"/>
      <c r="D994" s="18"/>
      <c r="E994" s="18"/>
      <c r="F994" s="18"/>
      <c r="G994" s="18"/>
    </row>
    <row r="995" spans="1:16" x14ac:dyDescent="0.3">
      <c r="B995" s="1"/>
      <c r="C995" s="18"/>
      <c r="D995" s="18"/>
      <c r="E995" s="18"/>
      <c r="F995" s="18"/>
      <c r="G995" s="18"/>
    </row>
    <row r="998" spans="1:16" x14ac:dyDescent="0.3">
      <c r="A998" s="348"/>
      <c r="B998" s="348"/>
      <c r="C998" s="348"/>
      <c r="D998" s="348"/>
      <c r="E998" s="348"/>
      <c r="F998" s="348"/>
      <c r="G998" s="348"/>
      <c r="H998" s="348"/>
      <c r="I998" s="348"/>
      <c r="J998" s="348"/>
      <c r="K998" s="348"/>
      <c r="L998" s="348"/>
      <c r="M998" s="348"/>
      <c r="N998" s="348"/>
      <c r="O998" s="348"/>
      <c r="P998" s="348"/>
    </row>
    <row r="999" spans="1:16" x14ac:dyDescent="0.3">
      <c r="I999" s="1"/>
    </row>
    <row r="1000" spans="1:16" x14ac:dyDescent="0.3">
      <c r="B1000" s="1"/>
      <c r="C1000" s="13"/>
      <c r="D1000" s="13"/>
      <c r="E1000" s="13"/>
      <c r="F1000" s="13"/>
      <c r="G1000" s="13"/>
      <c r="H1000" s="1"/>
      <c r="I1000" s="1"/>
      <c r="J1000" s="1"/>
      <c r="N1000" s="1"/>
    </row>
    <row r="1001" spans="1:16" x14ac:dyDescent="0.3">
      <c r="B1001" s="13"/>
      <c r="C1001" s="26"/>
      <c r="D1001" s="3"/>
      <c r="E1001" s="3"/>
      <c r="F1001" s="3"/>
      <c r="G1001" s="4"/>
      <c r="H1001" s="1"/>
      <c r="I1001" s="10"/>
      <c r="J1001" s="11"/>
      <c r="N1001" s="10"/>
    </row>
    <row r="1002" spans="1:16" x14ac:dyDescent="0.3">
      <c r="B1002" s="13"/>
      <c r="C1002" s="5"/>
      <c r="D1002" s="27"/>
      <c r="E1002" s="1"/>
      <c r="F1002" s="1"/>
      <c r="G1002" s="6"/>
      <c r="H1002" s="1"/>
      <c r="I1002" s="10"/>
      <c r="J1002" s="11"/>
      <c r="N1002" s="10"/>
    </row>
    <row r="1003" spans="1:16" x14ac:dyDescent="0.3">
      <c r="B1003" s="13"/>
      <c r="C1003" s="5"/>
      <c r="D1003" s="1"/>
      <c r="E1003" s="27"/>
      <c r="F1003" s="1"/>
      <c r="G1003" s="6"/>
      <c r="H1003" s="1"/>
      <c r="I1003" s="10"/>
      <c r="J1003" s="11"/>
      <c r="N1003" s="10"/>
    </row>
    <row r="1004" spans="1:16" x14ac:dyDescent="0.3">
      <c r="B1004" s="13"/>
      <c r="C1004" s="5"/>
      <c r="D1004" s="1"/>
      <c r="E1004" s="1"/>
      <c r="F1004" s="27"/>
      <c r="G1004" s="6"/>
      <c r="H1004" s="1"/>
      <c r="I1004" s="10"/>
      <c r="J1004" s="11"/>
      <c r="N1004" s="10"/>
    </row>
    <row r="1005" spans="1:16" x14ac:dyDescent="0.3">
      <c r="B1005" s="13"/>
      <c r="C1005" s="7"/>
      <c r="D1005" s="8"/>
      <c r="E1005" s="8"/>
      <c r="F1005" s="8"/>
      <c r="G1005" s="28"/>
      <c r="H1005" s="1"/>
      <c r="I1005" s="10"/>
      <c r="J1005" s="11"/>
      <c r="N1005" s="10"/>
    </row>
    <row r="1006" spans="1:16" x14ac:dyDescent="0.3">
      <c r="B1006" s="1"/>
      <c r="C1006" s="1"/>
      <c r="D1006" s="1"/>
      <c r="E1006" s="1"/>
      <c r="F1006" s="1"/>
      <c r="G1006" s="1"/>
      <c r="H1006" s="1"/>
      <c r="I1006" s="13"/>
    </row>
    <row r="1007" spans="1:16" x14ac:dyDescent="0.3">
      <c r="A1007" s="1"/>
      <c r="B1007" s="1"/>
      <c r="C1007" s="10"/>
      <c r="D1007" s="10"/>
      <c r="E1007" s="10"/>
      <c r="F1007" s="10"/>
      <c r="G1007" s="10"/>
      <c r="H1007" s="10"/>
      <c r="I1007" s="14"/>
    </row>
    <row r="1008" spans="1:16" x14ac:dyDescent="0.3">
      <c r="B1008" s="1"/>
      <c r="C1008" s="11"/>
      <c r="D1008" s="11"/>
      <c r="E1008" s="11"/>
      <c r="F1008" s="11"/>
      <c r="G1008" s="11"/>
    </row>
    <row r="1009" spans="2:16" x14ac:dyDescent="0.3">
      <c r="C1009" s="2"/>
    </row>
    <row r="1010" spans="2:16" x14ac:dyDescent="0.3">
      <c r="B1010" s="15"/>
      <c r="N1010" s="12"/>
      <c r="O1010" s="1"/>
      <c r="P1010" s="1"/>
    </row>
    <row r="1011" spans="2:16" x14ac:dyDescent="0.3">
      <c r="B1011" s="1"/>
      <c r="C1011" s="13"/>
      <c r="D1011" s="13"/>
      <c r="E1011" s="13"/>
      <c r="F1011" s="13"/>
      <c r="G1011" s="13"/>
      <c r="H1011" s="1"/>
      <c r="I1011" s="1"/>
      <c r="J1011" s="15"/>
      <c r="K1011" s="1"/>
      <c r="L1011" s="1"/>
      <c r="O1011" s="1"/>
    </row>
    <row r="1012" spans="2:16" x14ac:dyDescent="0.3">
      <c r="B1012" s="13"/>
      <c r="C1012" s="29"/>
      <c r="D1012" s="31"/>
      <c r="E1012" s="31"/>
      <c r="F1012" s="31"/>
      <c r="G1012" s="32"/>
      <c r="H1012" s="17"/>
      <c r="I1012" s="17"/>
      <c r="J1012" s="17"/>
      <c r="K1012" s="18"/>
      <c r="L1012" s="1"/>
      <c r="N1012" s="1"/>
      <c r="O1012" s="17"/>
      <c r="P1012" s="52"/>
    </row>
    <row r="1013" spans="2:16" x14ac:dyDescent="0.3">
      <c r="B1013" s="13"/>
      <c r="C1013" s="33"/>
      <c r="D1013" s="34"/>
      <c r="E1013" s="19"/>
      <c r="F1013" s="18"/>
      <c r="G1013" s="20"/>
      <c r="H1013" s="17"/>
      <c r="I1013" s="17"/>
      <c r="J1013" s="17"/>
      <c r="K1013" s="18"/>
      <c r="L1013" s="1"/>
      <c r="N1013" s="1"/>
      <c r="O1013" s="17"/>
      <c r="P1013" s="52"/>
    </row>
    <row r="1014" spans="2:16" x14ac:dyDescent="0.3">
      <c r="B1014" s="13"/>
      <c r="C1014" s="33"/>
      <c r="D1014" s="19"/>
      <c r="E1014" s="34"/>
      <c r="F1014" s="19"/>
      <c r="G1014" s="20"/>
      <c r="H1014" s="17"/>
      <c r="I1014" s="17"/>
      <c r="J1014" s="17"/>
      <c r="K1014" s="18"/>
      <c r="L1014" s="1"/>
      <c r="N1014" s="1"/>
      <c r="O1014" s="17"/>
      <c r="P1014" s="52"/>
    </row>
    <row r="1015" spans="2:16" x14ac:dyDescent="0.3">
      <c r="B1015" s="13"/>
      <c r="C1015" s="33"/>
      <c r="D1015" s="19"/>
      <c r="E1015" s="19"/>
      <c r="F1015" s="34"/>
      <c r="G1015" s="20"/>
      <c r="H1015" s="17"/>
      <c r="I1015" s="17"/>
      <c r="J1015" s="17"/>
      <c r="K1015" s="18"/>
      <c r="L1015" s="1"/>
      <c r="N1015" s="1"/>
      <c r="O1015" s="17"/>
      <c r="P1015" s="52"/>
    </row>
    <row r="1016" spans="2:16" x14ac:dyDescent="0.3">
      <c r="B1016" s="13"/>
      <c r="C1016" s="35"/>
      <c r="D1016" s="36"/>
      <c r="E1016" s="21"/>
      <c r="F1016" s="21"/>
      <c r="G1016" s="37"/>
      <c r="H1016" s="17"/>
      <c r="I1016" s="17"/>
      <c r="J1016" s="17"/>
      <c r="K1016" s="18"/>
      <c r="L1016" s="1"/>
      <c r="N1016" s="1"/>
      <c r="O1016" s="17"/>
      <c r="P1016" s="52"/>
    </row>
    <row r="1017" spans="2:16" x14ac:dyDescent="0.3">
      <c r="C1017" s="17"/>
      <c r="D1017" s="17"/>
      <c r="E1017" s="17"/>
      <c r="F1017" s="17"/>
      <c r="G1017" s="17"/>
      <c r="H1017" s="18"/>
      <c r="I1017" s="13"/>
      <c r="J1017" s="12"/>
      <c r="N1017" s="1"/>
      <c r="O1017" s="17"/>
    </row>
    <row r="1018" spans="2:16" x14ac:dyDescent="0.3">
      <c r="B1018" s="16"/>
      <c r="C1018" s="18"/>
      <c r="D1018" s="18"/>
      <c r="E1018" s="18"/>
      <c r="F1018" s="18"/>
      <c r="G1018" s="18"/>
      <c r="H1018" s="1"/>
      <c r="I1018" s="56"/>
      <c r="J1018" s="53"/>
      <c r="M1018" s="1"/>
      <c r="N1018" s="9"/>
    </row>
    <row r="1019" spans="2:16" x14ac:dyDescent="0.3">
      <c r="B1019" s="1"/>
      <c r="C1019" s="17"/>
      <c r="D1019" s="17"/>
      <c r="E1019" s="17"/>
      <c r="F1019" s="17"/>
      <c r="G1019" s="17"/>
      <c r="H1019" s="1"/>
    </row>
    <row r="1020" spans="2:16" x14ac:dyDescent="0.3">
      <c r="B1020" s="16"/>
      <c r="C1020" s="18"/>
      <c r="D1020" s="18"/>
      <c r="E1020" s="18"/>
      <c r="F1020" s="18"/>
      <c r="G1020" s="18"/>
      <c r="H1020" s="1"/>
      <c r="I1020" s="14"/>
    </row>
    <row r="1021" spans="2:16" x14ac:dyDescent="0.3">
      <c r="B1021" s="1"/>
      <c r="C1021" s="18"/>
      <c r="D1021" s="18"/>
      <c r="E1021" s="18"/>
      <c r="F1021" s="18"/>
      <c r="G1021" s="18"/>
    </row>
    <row r="1022" spans="2:16" x14ac:dyDescent="0.3">
      <c r="B1022" s="1"/>
      <c r="C1022" s="1"/>
      <c r="D1022" s="1"/>
      <c r="E1022" s="1"/>
      <c r="F1022" s="1"/>
      <c r="G1022" s="1"/>
    </row>
    <row r="1023" spans="2:16" x14ac:dyDescent="0.3">
      <c r="B1023" s="1"/>
      <c r="C1023" s="18"/>
      <c r="D1023" s="18"/>
      <c r="E1023" s="18"/>
      <c r="F1023" s="18"/>
      <c r="G1023" s="18"/>
    </row>
    <row r="1024" spans="2:16" x14ac:dyDescent="0.3">
      <c r="B1024" s="1"/>
      <c r="C1024" s="18"/>
      <c r="D1024" s="18"/>
      <c r="E1024" s="18"/>
      <c r="F1024" s="18"/>
      <c r="G1024" s="18"/>
    </row>
    <row r="1027" spans="1:16" x14ac:dyDescent="0.3">
      <c r="A1027" s="348"/>
      <c r="B1027" s="348"/>
      <c r="C1027" s="348"/>
      <c r="D1027" s="348"/>
      <c r="E1027" s="348"/>
      <c r="F1027" s="348"/>
      <c r="G1027" s="348"/>
      <c r="H1027" s="348"/>
      <c r="I1027" s="348"/>
      <c r="J1027" s="348"/>
      <c r="K1027" s="348"/>
      <c r="L1027" s="348"/>
      <c r="M1027" s="348"/>
      <c r="N1027" s="348"/>
      <c r="O1027" s="348"/>
      <c r="P1027" s="348"/>
    </row>
    <row r="1028" spans="1:16" x14ac:dyDescent="0.3">
      <c r="I1028" s="1"/>
    </row>
    <row r="1029" spans="1:16" x14ac:dyDescent="0.3">
      <c r="B1029" s="1"/>
      <c r="C1029" s="13"/>
      <c r="D1029" s="13"/>
      <c r="E1029" s="13"/>
      <c r="F1029" s="13"/>
      <c r="G1029" s="13"/>
      <c r="H1029" s="1"/>
      <c r="I1029" s="1"/>
      <c r="J1029" s="1"/>
      <c r="N1029" s="1"/>
    </row>
    <row r="1030" spans="1:16" x14ac:dyDescent="0.3">
      <c r="B1030" s="13"/>
      <c r="C1030" s="26"/>
      <c r="D1030" s="3"/>
      <c r="E1030" s="3"/>
      <c r="F1030" s="3"/>
      <c r="G1030" s="4"/>
      <c r="H1030" s="1"/>
      <c r="I1030" s="10"/>
      <c r="J1030" s="11"/>
      <c r="N1030" s="10"/>
    </row>
    <row r="1031" spans="1:16" x14ac:dyDescent="0.3">
      <c r="B1031" s="13"/>
      <c r="C1031" s="5"/>
      <c r="D1031" s="27"/>
      <c r="E1031" s="1"/>
      <c r="F1031" s="1"/>
      <c r="G1031" s="6"/>
      <c r="H1031" s="1"/>
      <c r="I1031" s="10"/>
      <c r="J1031" s="11"/>
      <c r="N1031" s="10"/>
    </row>
    <row r="1032" spans="1:16" x14ac:dyDescent="0.3">
      <c r="B1032" s="13"/>
      <c r="C1032" s="5"/>
      <c r="D1032" s="1"/>
      <c r="E1032" s="27"/>
      <c r="F1032" s="1"/>
      <c r="G1032" s="6"/>
      <c r="H1032" s="1"/>
      <c r="I1032" s="10"/>
      <c r="J1032" s="11"/>
      <c r="N1032" s="10"/>
    </row>
    <row r="1033" spans="1:16" x14ac:dyDescent="0.3">
      <c r="B1033" s="13"/>
      <c r="C1033" s="5"/>
      <c r="D1033" s="1"/>
      <c r="E1033" s="1"/>
      <c r="F1033" s="27"/>
      <c r="G1033" s="6"/>
      <c r="H1033" s="1"/>
      <c r="I1033" s="10"/>
      <c r="J1033" s="11"/>
      <c r="N1033" s="10"/>
    </row>
    <row r="1034" spans="1:16" x14ac:dyDescent="0.3">
      <c r="B1034" s="13"/>
      <c r="C1034" s="7"/>
      <c r="D1034" s="8"/>
      <c r="E1034" s="8"/>
      <c r="F1034" s="8"/>
      <c r="G1034" s="28"/>
      <c r="H1034" s="1"/>
      <c r="I1034" s="10"/>
      <c r="J1034" s="11"/>
      <c r="N1034" s="10"/>
    </row>
    <row r="1035" spans="1:16" x14ac:dyDescent="0.3">
      <c r="B1035" s="1"/>
      <c r="C1035" s="1"/>
      <c r="D1035" s="1"/>
      <c r="E1035" s="1"/>
      <c r="F1035" s="1"/>
      <c r="G1035" s="1"/>
      <c r="H1035" s="1"/>
      <c r="I1035" s="13"/>
    </row>
    <row r="1036" spans="1:16" x14ac:dyDescent="0.3">
      <c r="A1036" s="1"/>
      <c r="B1036" s="1"/>
      <c r="C1036" s="10"/>
      <c r="D1036" s="10"/>
      <c r="E1036" s="10"/>
      <c r="F1036" s="10"/>
      <c r="G1036" s="10"/>
      <c r="H1036" s="10"/>
      <c r="I1036" s="14"/>
    </row>
    <row r="1037" spans="1:16" x14ac:dyDescent="0.3">
      <c r="B1037" s="1"/>
      <c r="C1037" s="11"/>
      <c r="D1037" s="11"/>
      <c r="E1037" s="11"/>
      <c r="F1037" s="11"/>
      <c r="G1037" s="11"/>
    </row>
    <row r="1038" spans="1:16" x14ac:dyDescent="0.3">
      <c r="C1038" s="2"/>
    </row>
    <row r="1039" spans="1:16" x14ac:dyDescent="0.3">
      <c r="B1039" s="15"/>
      <c r="N1039" s="12"/>
      <c r="O1039" s="1"/>
      <c r="P1039" s="1"/>
    </row>
    <row r="1040" spans="1:16" x14ac:dyDescent="0.3">
      <c r="B1040" s="1"/>
      <c r="C1040" s="13"/>
      <c r="D1040" s="13"/>
      <c r="E1040" s="13"/>
      <c r="F1040" s="13"/>
      <c r="G1040" s="13"/>
      <c r="H1040" s="1"/>
      <c r="I1040" s="1"/>
      <c r="J1040" s="15"/>
      <c r="K1040" s="1"/>
      <c r="L1040" s="1"/>
      <c r="O1040" s="1"/>
    </row>
    <row r="1041" spans="1:16" x14ac:dyDescent="0.3">
      <c r="B1041" s="13"/>
      <c r="C1041" s="29"/>
      <c r="D1041" s="31"/>
      <c r="E1041" s="31"/>
      <c r="F1041" s="31"/>
      <c r="G1041" s="32"/>
      <c r="H1041" s="17"/>
      <c r="I1041" s="17"/>
      <c r="J1041" s="17"/>
      <c r="K1041" s="18"/>
      <c r="L1041" s="1"/>
      <c r="N1041" s="1"/>
      <c r="O1041" s="17"/>
      <c r="P1041" s="52"/>
    </row>
    <row r="1042" spans="1:16" x14ac:dyDescent="0.3">
      <c r="B1042" s="13"/>
      <c r="C1042" s="33"/>
      <c r="D1042" s="34"/>
      <c r="E1042" s="19"/>
      <c r="F1042" s="18"/>
      <c r="G1042" s="20"/>
      <c r="H1042" s="17"/>
      <c r="I1042" s="17"/>
      <c r="J1042" s="17"/>
      <c r="K1042" s="18"/>
      <c r="L1042" s="1"/>
      <c r="N1042" s="1"/>
      <c r="O1042" s="17"/>
      <c r="P1042" s="52"/>
    </row>
    <row r="1043" spans="1:16" x14ac:dyDescent="0.3">
      <c r="B1043" s="13"/>
      <c r="C1043" s="33"/>
      <c r="D1043" s="19"/>
      <c r="E1043" s="34"/>
      <c r="F1043" s="19"/>
      <c r="G1043" s="20"/>
      <c r="H1043" s="17"/>
      <c r="I1043" s="17"/>
      <c r="J1043" s="17"/>
      <c r="K1043" s="18"/>
      <c r="L1043" s="1"/>
      <c r="N1043" s="1"/>
      <c r="O1043" s="17"/>
      <c r="P1043" s="52"/>
    </row>
    <row r="1044" spans="1:16" x14ac:dyDescent="0.3">
      <c r="B1044" s="13"/>
      <c r="C1044" s="33"/>
      <c r="D1044" s="19"/>
      <c r="E1044" s="19"/>
      <c r="F1044" s="34"/>
      <c r="G1044" s="20"/>
      <c r="H1044" s="17"/>
      <c r="I1044" s="17"/>
      <c r="J1044" s="17"/>
      <c r="K1044" s="18"/>
      <c r="L1044" s="1"/>
      <c r="N1044" s="1"/>
      <c r="O1044" s="17"/>
      <c r="P1044" s="52"/>
    </row>
    <row r="1045" spans="1:16" x14ac:dyDescent="0.3">
      <c r="B1045" s="13"/>
      <c r="C1045" s="35"/>
      <c r="D1045" s="36"/>
      <c r="E1045" s="21"/>
      <c r="F1045" s="21"/>
      <c r="G1045" s="37"/>
      <c r="H1045" s="17"/>
      <c r="I1045" s="17"/>
      <c r="J1045" s="17"/>
      <c r="K1045" s="18"/>
      <c r="L1045" s="1"/>
      <c r="N1045" s="1"/>
      <c r="O1045" s="17"/>
      <c r="P1045" s="52"/>
    </row>
    <row r="1046" spans="1:16" x14ac:dyDescent="0.3">
      <c r="C1046" s="17"/>
      <c r="D1046" s="17"/>
      <c r="E1046" s="17"/>
      <c r="F1046" s="17"/>
      <c r="G1046" s="17"/>
      <c r="H1046" s="1"/>
      <c r="I1046" s="13"/>
      <c r="J1046" s="12"/>
      <c r="N1046" s="1"/>
      <c r="O1046" s="17"/>
    </row>
    <row r="1047" spans="1:16" x14ac:dyDescent="0.3">
      <c r="B1047" s="16"/>
      <c r="C1047" s="18"/>
      <c r="D1047" s="18"/>
      <c r="E1047" s="18"/>
      <c r="F1047" s="18"/>
      <c r="G1047" s="18"/>
      <c r="H1047" s="1"/>
      <c r="I1047" s="14"/>
      <c r="J1047" s="53"/>
      <c r="M1047" s="1"/>
      <c r="N1047" s="9"/>
    </row>
    <row r="1048" spans="1:16" x14ac:dyDescent="0.3">
      <c r="B1048" s="1"/>
      <c r="C1048" s="17"/>
      <c r="D1048" s="17"/>
      <c r="E1048" s="17"/>
      <c r="F1048" s="17"/>
      <c r="G1048" s="17"/>
      <c r="H1048" s="1"/>
    </row>
    <row r="1049" spans="1:16" x14ac:dyDescent="0.3">
      <c r="B1049" s="16"/>
      <c r="C1049" s="18"/>
      <c r="D1049" s="18"/>
      <c r="E1049" s="18"/>
      <c r="F1049" s="18"/>
      <c r="G1049" s="18"/>
      <c r="H1049" s="1"/>
      <c r="I1049" s="14"/>
    </row>
    <row r="1050" spans="1:16" x14ac:dyDescent="0.3">
      <c r="B1050" s="1"/>
      <c r="C1050" s="18"/>
      <c r="D1050" s="18"/>
      <c r="E1050" s="18"/>
      <c r="F1050" s="18"/>
      <c r="G1050" s="18"/>
    </row>
    <row r="1051" spans="1:16" x14ac:dyDescent="0.3">
      <c r="B1051" s="1"/>
      <c r="C1051" s="1"/>
      <c r="D1051" s="1"/>
      <c r="E1051" s="1"/>
      <c r="F1051" s="1"/>
      <c r="G1051" s="1"/>
    </row>
    <row r="1052" spans="1:16" x14ac:dyDescent="0.3">
      <c r="B1052" s="1"/>
      <c r="C1052" s="18"/>
      <c r="D1052" s="18"/>
      <c r="E1052" s="18"/>
      <c r="F1052" s="18"/>
      <c r="G1052" s="18"/>
    </row>
    <row r="1053" spans="1:16" x14ac:dyDescent="0.3">
      <c r="B1053" s="1"/>
      <c r="C1053" s="18"/>
      <c r="D1053" s="18"/>
      <c r="E1053" s="18"/>
      <c r="F1053" s="18"/>
      <c r="G1053" s="18"/>
    </row>
    <row r="1056" spans="1:16" x14ac:dyDescent="0.3">
      <c r="A1056" s="348"/>
      <c r="B1056" s="348"/>
      <c r="C1056" s="348"/>
      <c r="D1056" s="348"/>
      <c r="E1056" s="348"/>
      <c r="F1056" s="348"/>
      <c r="G1056" s="348"/>
      <c r="H1056" s="348"/>
      <c r="I1056" s="348"/>
      <c r="J1056" s="348"/>
      <c r="K1056" s="348"/>
      <c r="L1056" s="348"/>
      <c r="M1056" s="348"/>
      <c r="N1056" s="348"/>
      <c r="O1056" s="348"/>
      <c r="P1056" s="348"/>
    </row>
    <row r="1057" spans="1:16" x14ac:dyDescent="0.3">
      <c r="I1057" s="1"/>
    </row>
    <row r="1058" spans="1:16" x14ac:dyDescent="0.3">
      <c r="B1058" s="1"/>
      <c r="C1058" s="13"/>
      <c r="D1058" s="13"/>
      <c r="E1058" s="13"/>
      <c r="F1058" s="13"/>
      <c r="G1058" s="13"/>
      <c r="H1058" s="1"/>
      <c r="I1058" s="1"/>
      <c r="J1058" s="1"/>
      <c r="N1058" s="1"/>
    </row>
    <row r="1059" spans="1:16" x14ac:dyDescent="0.3">
      <c r="B1059" s="13"/>
      <c r="C1059" s="26"/>
      <c r="D1059" s="3"/>
      <c r="E1059" s="3"/>
      <c r="F1059" s="3"/>
      <c r="G1059" s="4"/>
      <c r="H1059" s="1"/>
      <c r="I1059" s="10"/>
      <c r="J1059" s="11"/>
      <c r="N1059" s="10"/>
    </row>
    <row r="1060" spans="1:16" x14ac:dyDescent="0.3">
      <c r="B1060" s="13"/>
      <c r="C1060" s="5"/>
      <c r="D1060" s="27"/>
      <c r="E1060" s="1"/>
      <c r="F1060" s="1"/>
      <c r="G1060" s="6"/>
      <c r="H1060" s="1"/>
      <c r="I1060" s="10"/>
      <c r="J1060" s="11"/>
      <c r="N1060" s="10"/>
    </row>
    <row r="1061" spans="1:16" x14ac:dyDescent="0.3">
      <c r="B1061" s="13"/>
      <c r="C1061" s="5"/>
      <c r="D1061" s="1"/>
      <c r="E1061" s="27"/>
      <c r="F1061" s="1"/>
      <c r="G1061" s="6"/>
      <c r="H1061" s="1"/>
      <c r="I1061" s="10"/>
      <c r="J1061" s="11"/>
      <c r="N1061" s="10"/>
    </row>
    <row r="1062" spans="1:16" x14ac:dyDescent="0.3">
      <c r="B1062" s="13"/>
      <c r="C1062" s="5"/>
      <c r="D1062" s="1"/>
      <c r="E1062" s="1"/>
      <c r="F1062" s="27"/>
      <c r="G1062" s="6"/>
      <c r="H1062" s="1"/>
      <c r="I1062" s="10"/>
      <c r="J1062" s="11"/>
      <c r="N1062" s="10"/>
    </row>
    <row r="1063" spans="1:16" x14ac:dyDescent="0.3">
      <c r="B1063" s="13"/>
      <c r="C1063" s="7"/>
      <c r="D1063" s="8"/>
      <c r="E1063" s="8"/>
      <c r="F1063" s="8"/>
      <c r="G1063" s="28"/>
      <c r="H1063" s="1"/>
      <c r="I1063" s="10"/>
      <c r="J1063" s="11"/>
      <c r="N1063" s="10"/>
    </row>
    <row r="1064" spans="1:16" x14ac:dyDescent="0.3">
      <c r="B1064" s="1"/>
      <c r="C1064" s="1"/>
      <c r="D1064" s="1"/>
      <c r="E1064" s="1"/>
      <c r="F1064" s="1"/>
      <c r="G1064" s="1"/>
      <c r="H1064" s="1"/>
      <c r="I1064" s="13"/>
    </row>
    <row r="1065" spans="1:16" x14ac:dyDescent="0.3">
      <c r="A1065" s="1"/>
      <c r="B1065" s="1"/>
      <c r="C1065" s="10"/>
      <c r="D1065" s="10"/>
      <c r="E1065" s="10"/>
      <c r="F1065" s="10"/>
      <c r="G1065" s="10"/>
      <c r="H1065" s="10"/>
      <c r="I1065" s="14"/>
    </row>
    <row r="1066" spans="1:16" x14ac:dyDescent="0.3">
      <c r="B1066" s="1"/>
      <c r="C1066" s="11"/>
      <c r="D1066" s="11"/>
      <c r="E1066" s="11"/>
      <c r="F1066" s="11"/>
      <c r="G1066" s="11"/>
    </row>
    <row r="1067" spans="1:16" x14ac:dyDescent="0.3">
      <c r="C1067" s="2"/>
    </row>
    <row r="1068" spans="1:16" x14ac:dyDescent="0.3">
      <c r="B1068" s="15"/>
      <c r="N1068" s="12"/>
      <c r="O1068" s="1"/>
      <c r="P1068" s="1"/>
    </row>
    <row r="1069" spans="1:16" x14ac:dyDescent="0.3">
      <c r="B1069" s="1"/>
      <c r="C1069" s="13"/>
      <c r="D1069" s="13"/>
      <c r="E1069" s="13"/>
      <c r="F1069" s="13"/>
      <c r="G1069" s="13"/>
      <c r="H1069" s="1"/>
      <c r="I1069" s="1"/>
      <c r="J1069" s="15"/>
      <c r="K1069" s="1"/>
      <c r="L1069" s="1"/>
      <c r="O1069" s="1"/>
    </row>
    <row r="1070" spans="1:16" x14ac:dyDescent="0.3">
      <c r="B1070" s="13"/>
      <c r="C1070" s="29"/>
      <c r="D1070" s="31"/>
      <c r="E1070" s="31"/>
      <c r="F1070" s="31"/>
      <c r="G1070" s="32"/>
      <c r="H1070" s="17"/>
      <c r="I1070" s="17"/>
      <c r="J1070" s="17"/>
      <c r="K1070" s="18"/>
      <c r="L1070" s="1"/>
      <c r="N1070" s="1"/>
      <c r="O1070" s="17"/>
      <c r="P1070" s="52"/>
    </row>
    <row r="1071" spans="1:16" x14ac:dyDescent="0.3">
      <c r="B1071" s="13"/>
      <c r="C1071" s="33"/>
      <c r="D1071" s="34"/>
      <c r="E1071" s="19"/>
      <c r="F1071" s="18"/>
      <c r="G1071" s="20"/>
      <c r="H1071" s="17"/>
      <c r="I1071" s="17"/>
      <c r="J1071" s="17"/>
      <c r="K1071" s="18"/>
      <c r="L1071" s="1"/>
      <c r="N1071" s="1"/>
      <c r="O1071" s="17"/>
      <c r="P1071" s="52"/>
    </row>
    <row r="1072" spans="1:16" x14ac:dyDescent="0.3">
      <c r="B1072" s="13"/>
      <c r="C1072" s="33"/>
      <c r="D1072" s="19"/>
      <c r="E1072" s="34"/>
      <c r="F1072" s="19"/>
      <c r="G1072" s="20"/>
      <c r="H1072" s="17"/>
      <c r="I1072" s="17"/>
      <c r="J1072" s="17"/>
      <c r="K1072" s="18"/>
      <c r="L1072" s="1"/>
      <c r="N1072" s="1"/>
      <c r="O1072" s="17"/>
      <c r="P1072" s="52"/>
    </row>
    <row r="1073" spans="1:16" x14ac:dyDescent="0.3">
      <c r="B1073" s="13"/>
      <c r="C1073" s="33"/>
      <c r="D1073" s="19"/>
      <c r="E1073" s="19"/>
      <c r="F1073" s="34"/>
      <c r="G1073" s="20"/>
      <c r="H1073" s="17"/>
      <c r="I1073" s="17"/>
      <c r="J1073" s="17"/>
      <c r="K1073" s="18"/>
      <c r="L1073" s="1"/>
      <c r="N1073" s="1"/>
      <c r="O1073" s="17"/>
      <c r="P1073" s="52"/>
    </row>
    <row r="1074" spans="1:16" x14ac:dyDescent="0.3">
      <c r="B1074" s="13"/>
      <c r="C1074" s="35"/>
      <c r="D1074" s="36"/>
      <c r="E1074" s="21"/>
      <c r="F1074" s="21"/>
      <c r="G1074" s="37"/>
      <c r="H1074" s="17"/>
      <c r="I1074" s="17"/>
      <c r="J1074" s="17"/>
      <c r="K1074" s="18"/>
      <c r="L1074" s="1"/>
      <c r="N1074" s="1"/>
      <c r="O1074" s="17"/>
      <c r="P1074" s="52"/>
    </row>
    <row r="1075" spans="1:16" x14ac:dyDescent="0.3">
      <c r="C1075" s="17"/>
      <c r="D1075" s="17"/>
      <c r="E1075" s="17"/>
      <c r="F1075" s="17"/>
      <c r="G1075" s="17"/>
      <c r="H1075" s="18"/>
      <c r="I1075" s="13"/>
      <c r="J1075" s="12"/>
      <c r="N1075" s="1"/>
      <c r="O1075" s="17"/>
    </row>
    <row r="1076" spans="1:16" x14ac:dyDescent="0.3">
      <c r="B1076" s="16"/>
      <c r="C1076" s="18"/>
      <c r="D1076" s="18"/>
      <c r="E1076" s="18"/>
      <c r="F1076" s="18"/>
      <c r="G1076" s="18"/>
      <c r="H1076" s="1"/>
      <c r="I1076" s="14"/>
      <c r="J1076" s="53"/>
      <c r="M1076" s="1"/>
      <c r="N1076" s="9"/>
    </row>
    <row r="1077" spans="1:16" x14ac:dyDescent="0.3">
      <c r="B1077" s="1"/>
      <c r="C1077" s="17"/>
      <c r="D1077" s="17"/>
      <c r="E1077" s="17"/>
      <c r="F1077" s="17"/>
      <c r="G1077" s="17"/>
      <c r="H1077" s="1"/>
    </row>
    <row r="1078" spans="1:16" x14ac:dyDescent="0.3">
      <c r="B1078" s="16"/>
      <c r="C1078" s="18"/>
      <c r="D1078" s="18"/>
      <c r="E1078" s="18"/>
      <c r="F1078" s="18"/>
      <c r="G1078" s="18"/>
      <c r="H1078" s="1"/>
      <c r="I1078" s="14"/>
    </row>
    <row r="1079" spans="1:16" x14ac:dyDescent="0.3">
      <c r="B1079" s="1"/>
      <c r="C1079" s="18"/>
      <c r="D1079" s="18"/>
      <c r="E1079" s="18"/>
      <c r="F1079" s="18"/>
      <c r="G1079" s="18"/>
    </row>
    <row r="1080" spans="1:16" x14ac:dyDescent="0.3">
      <c r="B1080" s="1"/>
      <c r="C1080" s="1"/>
      <c r="D1080" s="1"/>
      <c r="E1080" s="1"/>
      <c r="F1080" s="1"/>
      <c r="G1080" s="1"/>
    </row>
    <row r="1081" spans="1:16" x14ac:dyDescent="0.3">
      <c r="B1081" s="1"/>
      <c r="C1081" s="18"/>
      <c r="D1081" s="18"/>
      <c r="E1081" s="18"/>
      <c r="F1081" s="18"/>
      <c r="G1081" s="18"/>
    </row>
    <row r="1082" spans="1:16" x14ac:dyDescent="0.3">
      <c r="B1082" s="1"/>
      <c r="C1082" s="18"/>
      <c r="D1082" s="18"/>
      <c r="E1082" s="18"/>
      <c r="F1082" s="18"/>
      <c r="G1082" s="18"/>
    </row>
    <row r="1085" spans="1:16" x14ac:dyDescent="0.3">
      <c r="A1085" s="348"/>
      <c r="B1085" s="348"/>
      <c r="C1085" s="348"/>
      <c r="D1085" s="348"/>
      <c r="E1085" s="348"/>
      <c r="F1085" s="348"/>
      <c r="G1085" s="348"/>
      <c r="H1085" s="348"/>
      <c r="I1085" s="348"/>
      <c r="J1085" s="348"/>
      <c r="K1085" s="348"/>
      <c r="L1085" s="348"/>
      <c r="M1085" s="348"/>
      <c r="N1085" s="348"/>
      <c r="O1085" s="348"/>
      <c r="P1085" s="348"/>
    </row>
    <row r="1086" spans="1:16" x14ac:dyDescent="0.3">
      <c r="I1086" s="1"/>
    </row>
    <row r="1087" spans="1:16" x14ac:dyDescent="0.3">
      <c r="B1087" s="1"/>
      <c r="C1087" s="13"/>
      <c r="D1087" s="13"/>
      <c r="E1087" s="13"/>
      <c r="F1087" s="13"/>
      <c r="G1087" s="13"/>
      <c r="H1087" s="1"/>
      <c r="I1087" s="1"/>
      <c r="J1087" s="1"/>
      <c r="N1087" s="1"/>
    </row>
    <row r="1088" spans="1:16" x14ac:dyDescent="0.3">
      <c r="B1088" s="13"/>
      <c r="C1088" s="26"/>
      <c r="D1088" s="3"/>
      <c r="E1088" s="3"/>
      <c r="F1088" s="3"/>
      <c r="G1088" s="4"/>
      <c r="H1088" s="1"/>
      <c r="I1088" s="10"/>
      <c r="J1088" s="11"/>
      <c r="N1088" s="10"/>
    </row>
    <row r="1089" spans="1:16" x14ac:dyDescent="0.3">
      <c r="B1089" s="13"/>
      <c r="C1089" s="5"/>
      <c r="D1089" s="27"/>
      <c r="E1089" s="1"/>
      <c r="F1089" s="1"/>
      <c r="G1089" s="6"/>
      <c r="H1089" s="1"/>
      <c r="I1089" s="10"/>
      <c r="J1089" s="11"/>
      <c r="N1089" s="10"/>
    </row>
    <row r="1090" spans="1:16" x14ac:dyDescent="0.3">
      <c r="B1090" s="13"/>
      <c r="C1090" s="5"/>
      <c r="D1090" s="1"/>
      <c r="E1090" s="27"/>
      <c r="F1090" s="1"/>
      <c r="G1090" s="6"/>
      <c r="H1090" s="1"/>
      <c r="I1090" s="10"/>
      <c r="J1090" s="11"/>
      <c r="N1090" s="10"/>
    </row>
    <row r="1091" spans="1:16" x14ac:dyDescent="0.3">
      <c r="B1091" s="13"/>
      <c r="C1091" s="5"/>
      <c r="D1091" s="1"/>
      <c r="E1091" s="1"/>
      <c r="F1091" s="27"/>
      <c r="G1091" s="6"/>
      <c r="H1091" s="1"/>
      <c r="I1091" s="10"/>
      <c r="J1091" s="11"/>
      <c r="N1091" s="10"/>
    </row>
    <row r="1092" spans="1:16" x14ac:dyDescent="0.3">
      <c r="B1092" s="13"/>
      <c r="C1092" s="7"/>
      <c r="D1092" s="8"/>
      <c r="E1092" s="8"/>
      <c r="F1092" s="8"/>
      <c r="G1092" s="28"/>
      <c r="H1092" s="1"/>
      <c r="I1092" s="10"/>
      <c r="J1092" s="11"/>
      <c r="N1092" s="10"/>
    </row>
    <row r="1093" spans="1:16" x14ac:dyDescent="0.3">
      <c r="B1093" s="1"/>
      <c r="C1093" s="1"/>
      <c r="D1093" s="1"/>
      <c r="E1093" s="1"/>
      <c r="F1093" s="1"/>
      <c r="G1093" s="1"/>
      <c r="H1093" s="1"/>
      <c r="I1093" s="13"/>
    </row>
    <row r="1094" spans="1:16" x14ac:dyDescent="0.3">
      <c r="A1094" s="1"/>
      <c r="B1094" s="1"/>
      <c r="C1094" s="10"/>
      <c r="D1094" s="10"/>
      <c r="E1094" s="10"/>
      <c r="F1094" s="10"/>
      <c r="G1094" s="10"/>
      <c r="H1094" s="10"/>
      <c r="I1094" s="14"/>
    </row>
    <row r="1095" spans="1:16" x14ac:dyDescent="0.3">
      <c r="B1095" s="1"/>
      <c r="C1095" s="11"/>
      <c r="D1095" s="11"/>
      <c r="E1095" s="11"/>
      <c r="F1095" s="11"/>
      <c r="G1095" s="11"/>
    </row>
    <row r="1096" spans="1:16" x14ac:dyDescent="0.3">
      <c r="C1096" s="2"/>
    </row>
    <row r="1097" spans="1:16" x14ac:dyDescent="0.3">
      <c r="B1097" s="15"/>
      <c r="N1097" s="12"/>
      <c r="O1097" s="1"/>
      <c r="P1097" s="1"/>
    </row>
    <row r="1098" spans="1:16" x14ac:dyDescent="0.3">
      <c r="B1098" s="1"/>
      <c r="C1098" s="13"/>
      <c r="D1098" s="13"/>
      <c r="E1098" s="13"/>
      <c r="F1098" s="13"/>
      <c r="G1098" s="13"/>
      <c r="H1098" s="1"/>
      <c r="I1098" s="1"/>
      <c r="J1098" s="15"/>
      <c r="K1098" s="1"/>
      <c r="L1098" s="1"/>
      <c r="O1098" s="1"/>
    </row>
    <row r="1099" spans="1:16" x14ac:dyDescent="0.3">
      <c r="B1099" s="13"/>
      <c r="C1099" s="29"/>
      <c r="D1099" s="31"/>
      <c r="E1099" s="31"/>
      <c r="F1099" s="31"/>
      <c r="G1099" s="32"/>
      <c r="H1099" s="17"/>
      <c r="I1099" s="17"/>
      <c r="J1099" s="17"/>
      <c r="K1099" s="18"/>
      <c r="L1099" s="1"/>
      <c r="N1099" s="1"/>
      <c r="O1099" s="17"/>
      <c r="P1099" s="52"/>
    </row>
    <row r="1100" spans="1:16" x14ac:dyDescent="0.3">
      <c r="B1100" s="13"/>
      <c r="C1100" s="33"/>
      <c r="D1100" s="34"/>
      <c r="E1100" s="19"/>
      <c r="F1100" s="18"/>
      <c r="G1100" s="20"/>
      <c r="H1100" s="17"/>
      <c r="I1100" s="17"/>
      <c r="J1100" s="17"/>
      <c r="K1100" s="18"/>
      <c r="L1100" s="1"/>
      <c r="N1100" s="1"/>
      <c r="O1100" s="17"/>
      <c r="P1100" s="52"/>
    </row>
    <row r="1101" spans="1:16" x14ac:dyDescent="0.3">
      <c r="B1101" s="13"/>
      <c r="C1101" s="33"/>
      <c r="D1101" s="19"/>
      <c r="E1101" s="34"/>
      <c r="F1101" s="19"/>
      <c r="G1101" s="20"/>
      <c r="H1101" s="17"/>
      <c r="I1101" s="17"/>
      <c r="J1101" s="17"/>
      <c r="K1101" s="18"/>
      <c r="L1101" s="1"/>
      <c r="N1101" s="1"/>
      <c r="O1101" s="17"/>
      <c r="P1101" s="52"/>
    </row>
    <row r="1102" spans="1:16" x14ac:dyDescent="0.3">
      <c r="B1102" s="13"/>
      <c r="C1102" s="33"/>
      <c r="D1102" s="19"/>
      <c r="E1102" s="19"/>
      <c r="F1102" s="34"/>
      <c r="G1102" s="20"/>
      <c r="H1102" s="17"/>
      <c r="I1102" s="17"/>
      <c r="J1102" s="17"/>
      <c r="K1102" s="18"/>
      <c r="L1102" s="1"/>
      <c r="N1102" s="1"/>
      <c r="O1102" s="17"/>
      <c r="P1102" s="52"/>
    </row>
    <row r="1103" spans="1:16" x14ac:dyDescent="0.3">
      <c r="B1103" s="13"/>
      <c r="C1103" s="35"/>
      <c r="D1103" s="36"/>
      <c r="E1103" s="21"/>
      <c r="F1103" s="21"/>
      <c r="G1103" s="37"/>
      <c r="H1103" s="17"/>
      <c r="I1103" s="17"/>
      <c r="J1103" s="17"/>
      <c r="K1103" s="18"/>
      <c r="L1103" s="1"/>
      <c r="N1103" s="1"/>
      <c r="O1103" s="17"/>
      <c r="P1103" s="52"/>
    </row>
    <row r="1104" spans="1:16" x14ac:dyDescent="0.3">
      <c r="C1104" s="17"/>
      <c r="D1104" s="17"/>
      <c r="E1104" s="17"/>
      <c r="F1104" s="17"/>
      <c r="G1104" s="17"/>
      <c r="H1104" s="18"/>
      <c r="I1104" s="13"/>
      <c r="J1104" s="12"/>
      <c r="N1104" s="1"/>
      <c r="O1104" s="17"/>
    </row>
    <row r="1105" spans="1:16" x14ac:dyDescent="0.3">
      <c r="B1105" s="16"/>
      <c r="C1105" s="18"/>
      <c r="D1105" s="18"/>
      <c r="E1105" s="18"/>
      <c r="F1105" s="18"/>
      <c r="G1105" s="18"/>
      <c r="H1105" s="1"/>
      <c r="I1105" s="14"/>
      <c r="J1105" s="53"/>
      <c r="M1105" s="1"/>
      <c r="N1105" s="9"/>
    </row>
    <row r="1106" spans="1:16" x14ac:dyDescent="0.3">
      <c r="B1106" s="1"/>
      <c r="C1106" s="17"/>
      <c r="D1106" s="17"/>
      <c r="E1106" s="17"/>
      <c r="F1106" s="17"/>
      <c r="G1106" s="17"/>
      <c r="H1106" s="1"/>
    </row>
    <row r="1107" spans="1:16" x14ac:dyDescent="0.3">
      <c r="B1107" s="16"/>
      <c r="C1107" s="18"/>
      <c r="D1107" s="18"/>
      <c r="E1107" s="18"/>
      <c r="F1107" s="18"/>
      <c r="G1107" s="18"/>
      <c r="H1107" s="1"/>
      <c r="I1107" s="14"/>
    </row>
    <row r="1108" spans="1:16" x14ac:dyDescent="0.3">
      <c r="B1108" s="1"/>
      <c r="C1108" s="18"/>
      <c r="D1108" s="18"/>
      <c r="E1108" s="18"/>
      <c r="F1108" s="18"/>
      <c r="G1108" s="18"/>
    </row>
    <row r="1109" spans="1:16" x14ac:dyDescent="0.3">
      <c r="B1109" s="1"/>
      <c r="C1109" s="1"/>
      <c r="D1109" s="1"/>
      <c r="E1109" s="1"/>
      <c r="F1109" s="1"/>
      <c r="G1109" s="1"/>
    </row>
    <row r="1110" spans="1:16" x14ac:dyDescent="0.3">
      <c r="B1110" s="1"/>
      <c r="C1110" s="18"/>
      <c r="D1110" s="18"/>
      <c r="E1110" s="18"/>
      <c r="F1110" s="18"/>
      <c r="G1110" s="18"/>
    </row>
    <row r="1111" spans="1:16" x14ac:dyDescent="0.3">
      <c r="B1111" s="1"/>
      <c r="C1111" s="18"/>
      <c r="D1111" s="18"/>
      <c r="E1111" s="18"/>
      <c r="F1111" s="18"/>
      <c r="G1111" s="18"/>
    </row>
    <row r="1114" spans="1:16" x14ac:dyDescent="0.3">
      <c r="A1114" s="348"/>
      <c r="B1114" s="348"/>
      <c r="C1114" s="348"/>
      <c r="D1114" s="348"/>
      <c r="E1114" s="348"/>
      <c r="F1114" s="348"/>
      <c r="G1114" s="348"/>
      <c r="H1114" s="348"/>
      <c r="I1114" s="348"/>
      <c r="J1114" s="348"/>
      <c r="K1114" s="348"/>
      <c r="L1114" s="348"/>
      <c r="M1114" s="348"/>
      <c r="N1114" s="348"/>
      <c r="O1114" s="348"/>
      <c r="P1114" s="348"/>
    </row>
    <row r="1115" spans="1:16" x14ac:dyDescent="0.3">
      <c r="I1115" s="1"/>
    </row>
    <row r="1116" spans="1:16" x14ac:dyDescent="0.3">
      <c r="B1116" s="1"/>
      <c r="C1116" s="13"/>
      <c r="D1116" s="13"/>
      <c r="E1116" s="13"/>
      <c r="F1116" s="13"/>
      <c r="G1116" s="13"/>
      <c r="H1116" s="1"/>
      <c r="I1116" s="1"/>
      <c r="J1116" s="1"/>
      <c r="N1116" s="1"/>
    </row>
    <row r="1117" spans="1:16" x14ac:dyDescent="0.3">
      <c r="B1117" s="13"/>
      <c r="C1117" s="26"/>
      <c r="D1117" s="3"/>
      <c r="E1117" s="3"/>
      <c r="F1117" s="3"/>
      <c r="G1117" s="4"/>
      <c r="H1117" s="1"/>
      <c r="I1117" s="10"/>
      <c r="J1117" s="11"/>
      <c r="N1117" s="10"/>
    </row>
    <row r="1118" spans="1:16" x14ac:dyDescent="0.3">
      <c r="B1118" s="13"/>
      <c r="C1118" s="5"/>
      <c r="D1118" s="27"/>
      <c r="E1118" s="1"/>
      <c r="F1118" s="1"/>
      <c r="G1118" s="6"/>
      <c r="H1118" s="1"/>
      <c r="I1118" s="10"/>
      <c r="J1118" s="11"/>
      <c r="N1118" s="10"/>
    </row>
    <row r="1119" spans="1:16" x14ac:dyDescent="0.3">
      <c r="B1119" s="13"/>
      <c r="C1119" s="5"/>
      <c r="D1119" s="1"/>
      <c r="E1119" s="27"/>
      <c r="F1119" s="1"/>
      <c r="G1119" s="6"/>
      <c r="H1119" s="1"/>
      <c r="I1119" s="10"/>
      <c r="J1119" s="11"/>
      <c r="N1119" s="10"/>
    </row>
    <row r="1120" spans="1:16" x14ac:dyDescent="0.3">
      <c r="B1120" s="13"/>
      <c r="C1120" s="5"/>
      <c r="D1120" s="1"/>
      <c r="E1120" s="1"/>
      <c r="F1120" s="27"/>
      <c r="G1120" s="6"/>
      <c r="H1120" s="1"/>
      <c r="I1120" s="10"/>
      <c r="J1120" s="11"/>
      <c r="N1120" s="10"/>
    </row>
    <row r="1121" spans="1:16" x14ac:dyDescent="0.3">
      <c r="B1121" s="13"/>
      <c r="C1121" s="7"/>
      <c r="D1121" s="8"/>
      <c r="E1121" s="8"/>
      <c r="F1121" s="8"/>
      <c r="G1121" s="28"/>
      <c r="H1121" s="1"/>
      <c r="I1121" s="10"/>
      <c r="J1121" s="11"/>
      <c r="N1121" s="10"/>
    </row>
    <row r="1122" spans="1:16" x14ac:dyDescent="0.3">
      <c r="B1122" s="1"/>
      <c r="C1122" s="1"/>
      <c r="D1122" s="1"/>
      <c r="E1122" s="1"/>
      <c r="F1122" s="1"/>
      <c r="G1122" s="1"/>
      <c r="H1122" s="1"/>
      <c r="I1122" s="13"/>
    </row>
    <row r="1123" spans="1:16" x14ac:dyDescent="0.3">
      <c r="A1123" s="1"/>
      <c r="B1123" s="1"/>
      <c r="C1123" s="10"/>
      <c r="D1123" s="10"/>
      <c r="E1123" s="10"/>
      <c r="F1123" s="10"/>
      <c r="G1123" s="10"/>
      <c r="H1123" s="10"/>
      <c r="I1123" s="14"/>
    </row>
    <row r="1124" spans="1:16" x14ac:dyDescent="0.3">
      <c r="B1124" s="1"/>
      <c r="C1124" s="11"/>
      <c r="D1124" s="11"/>
      <c r="E1124" s="11"/>
      <c r="F1124" s="11"/>
      <c r="G1124" s="11"/>
    </row>
    <row r="1125" spans="1:16" x14ac:dyDescent="0.3">
      <c r="C1125" s="2"/>
    </row>
    <row r="1126" spans="1:16" x14ac:dyDescent="0.3">
      <c r="B1126" s="15"/>
      <c r="N1126" s="12"/>
      <c r="O1126" s="1"/>
      <c r="P1126" s="1"/>
    </row>
    <row r="1127" spans="1:16" x14ac:dyDescent="0.3">
      <c r="B1127" s="1"/>
      <c r="C1127" s="13"/>
      <c r="D1127" s="13"/>
      <c r="E1127" s="13"/>
      <c r="F1127" s="13"/>
      <c r="G1127" s="13"/>
      <c r="H1127" s="1"/>
      <c r="I1127" s="1"/>
      <c r="J1127" s="15"/>
      <c r="K1127" s="1"/>
      <c r="L1127" s="1"/>
      <c r="O1127" s="1"/>
    </row>
    <row r="1128" spans="1:16" x14ac:dyDescent="0.3">
      <c r="B1128" s="13"/>
      <c r="C1128" s="29"/>
      <c r="D1128" s="31"/>
      <c r="E1128" s="31"/>
      <c r="F1128" s="31"/>
      <c r="G1128" s="32"/>
      <c r="H1128" s="17"/>
      <c r="I1128" s="17"/>
      <c r="J1128" s="17"/>
      <c r="K1128" s="18"/>
      <c r="L1128" s="1"/>
      <c r="N1128" s="1"/>
      <c r="O1128" s="17"/>
      <c r="P1128" s="52"/>
    </row>
    <row r="1129" spans="1:16" x14ac:dyDescent="0.3">
      <c r="B1129" s="13"/>
      <c r="C1129" s="33"/>
      <c r="D1129" s="34"/>
      <c r="E1129" s="19"/>
      <c r="F1129" s="18"/>
      <c r="G1129" s="20"/>
      <c r="H1129" s="17"/>
      <c r="I1129" s="17"/>
      <c r="J1129" s="17"/>
      <c r="K1129" s="18"/>
      <c r="L1129" s="1"/>
      <c r="N1129" s="1"/>
      <c r="O1129" s="17"/>
      <c r="P1129" s="52"/>
    </row>
    <row r="1130" spans="1:16" x14ac:dyDescent="0.3">
      <c r="B1130" s="13"/>
      <c r="C1130" s="33"/>
      <c r="D1130" s="19"/>
      <c r="E1130" s="34"/>
      <c r="F1130" s="19"/>
      <c r="G1130" s="20"/>
      <c r="H1130" s="17"/>
      <c r="I1130" s="17"/>
      <c r="J1130" s="17"/>
      <c r="K1130" s="18"/>
      <c r="L1130" s="1"/>
      <c r="N1130" s="1"/>
      <c r="O1130" s="17"/>
      <c r="P1130" s="52"/>
    </row>
    <row r="1131" spans="1:16" x14ac:dyDescent="0.3">
      <c r="B1131" s="13"/>
      <c r="C1131" s="33"/>
      <c r="D1131" s="19"/>
      <c r="E1131" s="19"/>
      <c r="F1131" s="34"/>
      <c r="G1131" s="20"/>
      <c r="H1131" s="17"/>
      <c r="I1131" s="17"/>
      <c r="J1131" s="17"/>
      <c r="K1131" s="18"/>
      <c r="L1131" s="1"/>
      <c r="N1131" s="1"/>
      <c r="O1131" s="17"/>
      <c r="P1131" s="52"/>
    </row>
    <row r="1132" spans="1:16" x14ac:dyDescent="0.3">
      <c r="B1132" s="13"/>
      <c r="C1132" s="35"/>
      <c r="D1132" s="36"/>
      <c r="E1132" s="21"/>
      <c r="F1132" s="21"/>
      <c r="G1132" s="37"/>
      <c r="H1132" s="17"/>
      <c r="I1132" s="17"/>
      <c r="J1132" s="17"/>
      <c r="K1132" s="18"/>
      <c r="L1132" s="1"/>
      <c r="N1132" s="1"/>
      <c r="O1132" s="17"/>
      <c r="P1132" s="52"/>
    </row>
    <row r="1133" spans="1:16" x14ac:dyDescent="0.3">
      <c r="C1133" s="17"/>
      <c r="D1133" s="17"/>
      <c r="E1133" s="17"/>
      <c r="F1133" s="17"/>
      <c r="G1133" s="17"/>
      <c r="H1133" s="18"/>
      <c r="I1133" s="13"/>
      <c r="J1133" s="12"/>
      <c r="N1133" s="1"/>
      <c r="O1133" s="17"/>
    </row>
    <row r="1134" spans="1:16" x14ac:dyDescent="0.3">
      <c r="B1134" s="16"/>
      <c r="C1134" s="18"/>
      <c r="D1134" s="18"/>
      <c r="E1134" s="18"/>
      <c r="F1134" s="18"/>
      <c r="G1134" s="18"/>
      <c r="H1134" s="1"/>
      <c r="I1134" s="56"/>
      <c r="J1134" s="53"/>
      <c r="M1134" s="1"/>
      <c r="N1134" s="9"/>
    </row>
    <row r="1135" spans="1:16" x14ac:dyDescent="0.3">
      <c r="B1135" s="1"/>
      <c r="C1135" s="17"/>
      <c r="D1135" s="17"/>
      <c r="E1135" s="17"/>
      <c r="F1135" s="17"/>
      <c r="G1135" s="17"/>
      <c r="H1135" s="1"/>
    </row>
    <row r="1136" spans="1:16" x14ac:dyDescent="0.3">
      <c r="B1136" s="16"/>
      <c r="C1136" s="18"/>
      <c r="D1136" s="18"/>
      <c r="E1136" s="18"/>
      <c r="F1136" s="18"/>
      <c r="G1136" s="18"/>
      <c r="H1136" s="1"/>
      <c r="I1136" s="14"/>
    </row>
    <row r="1137" spans="1:16" x14ac:dyDescent="0.3">
      <c r="B1137" s="1"/>
      <c r="C1137" s="18"/>
      <c r="D1137" s="18"/>
      <c r="E1137" s="18"/>
      <c r="F1137" s="18"/>
      <c r="G1137" s="18"/>
    </row>
    <row r="1138" spans="1:16" x14ac:dyDescent="0.3">
      <c r="B1138" s="1"/>
      <c r="C1138" s="1"/>
      <c r="D1138" s="1"/>
      <c r="E1138" s="1"/>
      <c r="F1138" s="1"/>
      <c r="G1138" s="1"/>
    </row>
    <row r="1139" spans="1:16" x14ac:dyDescent="0.3">
      <c r="B1139" s="1"/>
      <c r="C1139" s="18"/>
      <c r="D1139" s="18"/>
      <c r="E1139" s="18"/>
      <c r="F1139" s="18"/>
      <c r="G1139" s="18"/>
    </row>
    <row r="1140" spans="1:16" x14ac:dyDescent="0.3">
      <c r="B1140" s="1"/>
      <c r="C1140" s="18"/>
      <c r="D1140" s="18"/>
      <c r="E1140" s="18"/>
      <c r="F1140" s="18"/>
      <c r="G1140" s="18"/>
    </row>
    <row r="1143" spans="1:16" x14ac:dyDescent="0.3">
      <c r="A1143" s="348"/>
      <c r="B1143" s="348"/>
      <c r="C1143" s="348"/>
      <c r="D1143" s="348"/>
      <c r="E1143" s="348"/>
      <c r="F1143" s="348"/>
      <c r="G1143" s="348"/>
      <c r="H1143" s="348"/>
      <c r="I1143" s="348"/>
      <c r="J1143" s="348"/>
      <c r="K1143" s="348"/>
      <c r="L1143" s="348"/>
      <c r="M1143" s="348"/>
      <c r="N1143" s="348"/>
      <c r="O1143" s="348"/>
      <c r="P1143" s="348"/>
    </row>
    <row r="1144" spans="1:16" x14ac:dyDescent="0.3">
      <c r="I1144" s="1"/>
    </row>
    <row r="1145" spans="1:16" x14ac:dyDescent="0.3">
      <c r="B1145" s="1"/>
      <c r="C1145" s="13"/>
      <c r="D1145" s="13"/>
      <c r="E1145" s="13"/>
      <c r="F1145" s="13"/>
      <c r="G1145" s="13"/>
      <c r="H1145" s="1"/>
      <c r="I1145" s="1"/>
      <c r="J1145" s="1"/>
      <c r="N1145" s="1"/>
    </row>
    <row r="1146" spans="1:16" x14ac:dyDescent="0.3">
      <c r="B1146" s="13"/>
      <c r="C1146" s="26"/>
      <c r="D1146" s="3"/>
      <c r="E1146" s="3"/>
      <c r="F1146" s="3"/>
      <c r="G1146" s="4"/>
      <c r="H1146" s="1"/>
      <c r="I1146" s="10"/>
      <c r="J1146" s="11"/>
      <c r="N1146" s="10"/>
    </row>
    <row r="1147" spans="1:16" x14ac:dyDescent="0.3">
      <c r="B1147" s="13"/>
      <c r="C1147" s="5"/>
      <c r="D1147" s="27"/>
      <c r="E1147" s="1"/>
      <c r="F1147" s="1"/>
      <c r="G1147" s="6"/>
      <c r="H1147" s="1"/>
      <c r="I1147" s="10"/>
      <c r="J1147" s="11"/>
      <c r="N1147" s="10"/>
    </row>
    <row r="1148" spans="1:16" x14ac:dyDescent="0.3">
      <c r="B1148" s="13"/>
      <c r="C1148" s="5"/>
      <c r="D1148" s="1"/>
      <c r="E1148" s="27"/>
      <c r="F1148" s="1"/>
      <c r="G1148" s="6"/>
      <c r="H1148" s="1"/>
      <c r="I1148" s="10"/>
      <c r="J1148" s="11"/>
      <c r="N1148" s="10"/>
    </row>
    <row r="1149" spans="1:16" x14ac:dyDescent="0.3">
      <c r="B1149" s="13"/>
      <c r="C1149" s="5"/>
      <c r="D1149" s="1"/>
      <c r="E1149" s="1"/>
      <c r="F1149" s="27"/>
      <c r="G1149" s="6"/>
      <c r="H1149" s="1"/>
      <c r="I1149" s="10"/>
      <c r="J1149" s="11"/>
      <c r="N1149" s="10"/>
    </row>
    <row r="1150" spans="1:16" x14ac:dyDescent="0.3">
      <c r="B1150" s="13"/>
      <c r="C1150" s="7"/>
      <c r="D1150" s="8"/>
      <c r="E1150" s="8"/>
      <c r="F1150" s="8"/>
      <c r="G1150" s="28"/>
      <c r="H1150" s="1"/>
      <c r="I1150" s="10"/>
      <c r="J1150" s="11"/>
      <c r="N1150" s="10"/>
    </row>
    <row r="1151" spans="1:16" x14ac:dyDescent="0.3">
      <c r="B1151" s="1"/>
      <c r="C1151" s="1"/>
      <c r="D1151" s="1"/>
      <c r="E1151" s="1"/>
      <c r="F1151" s="1"/>
      <c r="G1151" s="1"/>
      <c r="H1151" s="1"/>
      <c r="I1151" s="13"/>
    </row>
    <row r="1152" spans="1:16" x14ac:dyDescent="0.3">
      <c r="A1152" s="1"/>
      <c r="B1152" s="1"/>
      <c r="C1152" s="10"/>
      <c r="D1152" s="10"/>
      <c r="E1152" s="10"/>
      <c r="F1152" s="10"/>
      <c r="G1152" s="10"/>
      <c r="H1152" s="10"/>
      <c r="I1152" s="14"/>
    </row>
    <row r="1153" spans="2:16" x14ac:dyDescent="0.3">
      <c r="B1153" s="1"/>
      <c r="C1153" s="11"/>
      <c r="D1153" s="11"/>
      <c r="E1153" s="11"/>
      <c r="F1153" s="11"/>
      <c r="G1153" s="11"/>
    </row>
    <row r="1154" spans="2:16" x14ac:dyDescent="0.3">
      <c r="C1154" s="2"/>
    </row>
    <row r="1155" spans="2:16" x14ac:dyDescent="0.3">
      <c r="B1155" s="15"/>
      <c r="N1155" s="12"/>
      <c r="O1155" s="1"/>
      <c r="P1155" s="1"/>
    </row>
    <row r="1156" spans="2:16" x14ac:dyDescent="0.3">
      <c r="B1156" s="1"/>
      <c r="C1156" s="13"/>
      <c r="D1156" s="13"/>
      <c r="E1156" s="13"/>
      <c r="F1156" s="13"/>
      <c r="G1156" s="13"/>
      <c r="H1156" s="1"/>
      <c r="I1156" s="1"/>
      <c r="J1156" s="15"/>
      <c r="K1156" s="1"/>
      <c r="L1156" s="1"/>
      <c r="O1156" s="1"/>
    </row>
    <row r="1157" spans="2:16" x14ac:dyDescent="0.3">
      <c r="B1157" s="13"/>
      <c r="C1157" s="29"/>
      <c r="D1157" s="31"/>
      <c r="E1157" s="31"/>
      <c r="F1157" s="31"/>
      <c r="G1157" s="32"/>
      <c r="H1157" s="17"/>
      <c r="I1157" s="17"/>
      <c r="J1157" s="17"/>
      <c r="K1157" s="18"/>
      <c r="L1157" s="1"/>
      <c r="N1157" s="1"/>
      <c r="O1157" s="17"/>
      <c r="P1157" s="52"/>
    </row>
    <row r="1158" spans="2:16" x14ac:dyDescent="0.3">
      <c r="B1158" s="13"/>
      <c r="C1158" s="33"/>
      <c r="D1158" s="34"/>
      <c r="E1158" s="19"/>
      <c r="F1158" s="18"/>
      <c r="G1158" s="20"/>
      <c r="H1158" s="17"/>
      <c r="I1158" s="17"/>
      <c r="J1158" s="17"/>
      <c r="K1158" s="18"/>
      <c r="L1158" s="1"/>
      <c r="N1158" s="1"/>
      <c r="O1158" s="17"/>
      <c r="P1158" s="52"/>
    </row>
    <row r="1159" spans="2:16" x14ac:dyDescent="0.3">
      <c r="B1159" s="13"/>
      <c r="C1159" s="33"/>
      <c r="D1159" s="19"/>
      <c r="E1159" s="34"/>
      <c r="F1159" s="19"/>
      <c r="G1159" s="20"/>
      <c r="H1159" s="17"/>
      <c r="I1159" s="17"/>
      <c r="J1159" s="17"/>
      <c r="K1159" s="18"/>
      <c r="L1159" s="1"/>
      <c r="N1159" s="1"/>
      <c r="O1159" s="17"/>
      <c r="P1159" s="52"/>
    </row>
    <row r="1160" spans="2:16" x14ac:dyDescent="0.3">
      <c r="B1160" s="13"/>
      <c r="C1160" s="33"/>
      <c r="D1160" s="19"/>
      <c r="E1160" s="19"/>
      <c r="F1160" s="34"/>
      <c r="G1160" s="20"/>
      <c r="H1160" s="17"/>
      <c r="I1160" s="17"/>
      <c r="J1160" s="17"/>
      <c r="K1160" s="18"/>
      <c r="L1160" s="1"/>
      <c r="N1160" s="1"/>
      <c r="O1160" s="17"/>
      <c r="P1160" s="52"/>
    </row>
    <row r="1161" spans="2:16" x14ac:dyDescent="0.3">
      <c r="B1161" s="13"/>
      <c r="C1161" s="35"/>
      <c r="D1161" s="36"/>
      <c r="E1161" s="21"/>
      <c r="F1161" s="21"/>
      <c r="G1161" s="37"/>
      <c r="H1161" s="17"/>
      <c r="I1161" s="17"/>
      <c r="J1161" s="17"/>
      <c r="K1161" s="18"/>
      <c r="L1161" s="1"/>
      <c r="N1161" s="1"/>
      <c r="O1161" s="17"/>
      <c r="P1161" s="52"/>
    </row>
    <row r="1162" spans="2:16" x14ac:dyDescent="0.3">
      <c r="C1162" s="17"/>
      <c r="D1162" s="17"/>
      <c r="E1162" s="17"/>
      <c r="F1162" s="17"/>
      <c r="G1162" s="17"/>
      <c r="H1162" s="18"/>
      <c r="I1162" s="13"/>
      <c r="J1162" s="12"/>
      <c r="N1162" s="1"/>
      <c r="O1162" s="17"/>
    </row>
    <row r="1163" spans="2:16" x14ac:dyDescent="0.3">
      <c r="B1163" s="16"/>
      <c r="C1163" s="18"/>
      <c r="D1163" s="18"/>
      <c r="E1163" s="18"/>
      <c r="F1163" s="18"/>
      <c r="G1163" s="18"/>
      <c r="H1163" s="1"/>
      <c r="I1163" s="56"/>
      <c r="J1163" s="53"/>
      <c r="M1163" s="1"/>
      <c r="N1163" s="9"/>
    </row>
    <row r="1164" spans="2:16" x14ac:dyDescent="0.3">
      <c r="B1164" s="1"/>
      <c r="C1164" s="17"/>
      <c r="D1164" s="17"/>
      <c r="E1164" s="17"/>
      <c r="F1164" s="17"/>
      <c r="G1164" s="17"/>
      <c r="H1164" s="1"/>
    </row>
    <row r="1165" spans="2:16" x14ac:dyDescent="0.3">
      <c r="B1165" s="16"/>
      <c r="C1165" s="18"/>
      <c r="D1165" s="18"/>
      <c r="E1165" s="18"/>
      <c r="F1165" s="18"/>
      <c r="G1165" s="18"/>
      <c r="H1165" s="1"/>
      <c r="I1165" s="14"/>
    </row>
    <row r="1166" spans="2:16" x14ac:dyDescent="0.3">
      <c r="B1166" s="1"/>
      <c r="C1166" s="18"/>
      <c r="D1166" s="18"/>
      <c r="E1166" s="18"/>
      <c r="F1166" s="18"/>
      <c r="G1166" s="18"/>
    </row>
    <row r="1167" spans="2:16" x14ac:dyDescent="0.3">
      <c r="B1167" s="1"/>
      <c r="C1167" s="1"/>
      <c r="D1167" s="1"/>
      <c r="E1167" s="1"/>
      <c r="F1167" s="1"/>
      <c r="G1167" s="1"/>
    </row>
    <row r="1168" spans="2:16" x14ac:dyDescent="0.3">
      <c r="B1168" s="1"/>
      <c r="C1168" s="18"/>
      <c r="D1168" s="18"/>
      <c r="E1168" s="18"/>
      <c r="F1168" s="18"/>
      <c r="G1168" s="18"/>
    </row>
    <row r="1169" spans="1:16" x14ac:dyDescent="0.3">
      <c r="B1169" s="1"/>
      <c r="C1169" s="18"/>
      <c r="D1169" s="18"/>
      <c r="E1169" s="18"/>
      <c r="F1169" s="18"/>
      <c r="G1169" s="18"/>
    </row>
    <row r="1172" spans="1:16" x14ac:dyDescent="0.3">
      <c r="A1172" s="348"/>
      <c r="B1172" s="348"/>
      <c r="C1172" s="348"/>
      <c r="D1172" s="348"/>
      <c r="E1172" s="348"/>
      <c r="F1172" s="348"/>
      <c r="G1172" s="348"/>
      <c r="H1172" s="348"/>
      <c r="I1172" s="348"/>
      <c r="J1172" s="348"/>
      <c r="K1172" s="348"/>
      <c r="L1172" s="348"/>
      <c r="M1172" s="348"/>
      <c r="N1172" s="348"/>
      <c r="O1172" s="348"/>
      <c r="P1172" s="348"/>
    </row>
    <row r="1173" spans="1:16" x14ac:dyDescent="0.3">
      <c r="I1173" s="1"/>
    </row>
    <row r="1174" spans="1:16" x14ac:dyDescent="0.3">
      <c r="B1174" s="1"/>
      <c r="C1174" s="13"/>
      <c r="D1174" s="13"/>
      <c r="E1174" s="13"/>
      <c r="F1174" s="13"/>
      <c r="G1174" s="13"/>
      <c r="H1174" s="1"/>
      <c r="I1174" s="1"/>
      <c r="J1174" s="1"/>
      <c r="N1174" s="1"/>
    </row>
    <row r="1175" spans="1:16" x14ac:dyDescent="0.3">
      <c r="B1175" s="13"/>
      <c r="C1175" s="26"/>
      <c r="D1175" s="3"/>
      <c r="E1175" s="3"/>
      <c r="F1175" s="3"/>
      <c r="G1175" s="4"/>
      <c r="H1175" s="1"/>
      <c r="I1175" s="10"/>
      <c r="J1175" s="11"/>
      <c r="N1175" s="10"/>
    </row>
    <row r="1176" spans="1:16" x14ac:dyDescent="0.3">
      <c r="B1176" s="13"/>
      <c r="C1176" s="5"/>
      <c r="D1176" s="27"/>
      <c r="E1176" s="1"/>
      <c r="F1176" s="1"/>
      <c r="G1176" s="6"/>
      <c r="H1176" s="1"/>
      <c r="I1176" s="10"/>
      <c r="J1176" s="11"/>
      <c r="N1176" s="10"/>
    </row>
    <row r="1177" spans="1:16" x14ac:dyDescent="0.3">
      <c r="B1177" s="13"/>
      <c r="C1177" s="5"/>
      <c r="D1177" s="1"/>
      <c r="E1177" s="27"/>
      <c r="F1177" s="1"/>
      <c r="G1177" s="6"/>
      <c r="H1177" s="1"/>
      <c r="I1177" s="10"/>
      <c r="J1177" s="11"/>
      <c r="N1177" s="10"/>
    </row>
    <row r="1178" spans="1:16" x14ac:dyDescent="0.3">
      <c r="B1178" s="13"/>
      <c r="C1178" s="5"/>
      <c r="D1178" s="1"/>
      <c r="E1178" s="1"/>
      <c r="F1178" s="27"/>
      <c r="G1178" s="6"/>
      <c r="H1178" s="1"/>
      <c r="I1178" s="10"/>
      <c r="J1178" s="11"/>
      <c r="N1178" s="10"/>
    </row>
    <row r="1179" spans="1:16" x14ac:dyDescent="0.3">
      <c r="B1179" s="13"/>
      <c r="C1179" s="7"/>
      <c r="D1179" s="8"/>
      <c r="E1179" s="8"/>
      <c r="F1179" s="8"/>
      <c r="G1179" s="28"/>
      <c r="H1179" s="1"/>
      <c r="I1179" s="10"/>
      <c r="J1179" s="11"/>
      <c r="N1179" s="10"/>
    </row>
    <row r="1180" spans="1:16" x14ac:dyDescent="0.3">
      <c r="B1180" s="1"/>
      <c r="C1180" s="1"/>
      <c r="D1180" s="1"/>
      <c r="E1180" s="1"/>
      <c r="F1180" s="1"/>
      <c r="G1180" s="1"/>
      <c r="H1180" s="1"/>
      <c r="I1180" s="13"/>
    </row>
    <row r="1181" spans="1:16" x14ac:dyDescent="0.3">
      <c r="A1181" s="1"/>
      <c r="B1181" s="1"/>
      <c r="C1181" s="10"/>
      <c r="D1181" s="10"/>
      <c r="E1181" s="10"/>
      <c r="F1181" s="10"/>
      <c r="G1181" s="10"/>
      <c r="H1181" s="10"/>
      <c r="I1181" s="14"/>
    </row>
    <row r="1182" spans="1:16" x14ac:dyDescent="0.3">
      <c r="B1182" s="1"/>
      <c r="C1182" s="11"/>
      <c r="D1182" s="11"/>
      <c r="E1182" s="11"/>
      <c r="F1182" s="11"/>
      <c r="G1182" s="11"/>
    </row>
    <row r="1183" spans="1:16" x14ac:dyDescent="0.3">
      <c r="C1183" s="2"/>
    </row>
    <row r="1184" spans="1:16" x14ac:dyDescent="0.3">
      <c r="B1184" s="15"/>
      <c r="N1184" s="12"/>
      <c r="O1184" s="1"/>
      <c r="P1184" s="1"/>
    </row>
    <row r="1185" spans="2:16" x14ac:dyDescent="0.3">
      <c r="B1185" s="1"/>
      <c r="C1185" s="13"/>
      <c r="D1185" s="13"/>
      <c r="E1185" s="13"/>
      <c r="F1185" s="13"/>
      <c r="G1185" s="13"/>
      <c r="H1185" s="1"/>
      <c r="I1185" s="1"/>
      <c r="J1185" s="15"/>
      <c r="K1185" s="1"/>
      <c r="L1185" s="1"/>
      <c r="O1185" s="1"/>
    </row>
    <row r="1186" spans="2:16" x14ac:dyDescent="0.3">
      <c r="B1186" s="13"/>
      <c r="C1186" s="29"/>
      <c r="D1186" s="31"/>
      <c r="E1186" s="31"/>
      <c r="F1186" s="31"/>
      <c r="G1186" s="32"/>
      <c r="H1186" s="17"/>
      <c r="I1186" s="17"/>
      <c r="J1186" s="17"/>
      <c r="K1186" s="18"/>
      <c r="L1186" s="1"/>
      <c r="N1186" s="1"/>
      <c r="O1186" s="17"/>
      <c r="P1186" s="52"/>
    </row>
    <row r="1187" spans="2:16" x14ac:dyDescent="0.3">
      <c r="B1187" s="13"/>
      <c r="C1187" s="33"/>
      <c r="D1187" s="34"/>
      <c r="E1187" s="19"/>
      <c r="F1187" s="18"/>
      <c r="G1187" s="20"/>
      <c r="H1187" s="17"/>
      <c r="I1187" s="17"/>
      <c r="J1187" s="17"/>
      <c r="K1187" s="18"/>
      <c r="L1187" s="1"/>
      <c r="N1187" s="1"/>
      <c r="O1187" s="17"/>
      <c r="P1187" s="52"/>
    </row>
    <row r="1188" spans="2:16" x14ac:dyDescent="0.3">
      <c r="B1188" s="13"/>
      <c r="C1188" s="33"/>
      <c r="D1188" s="19"/>
      <c r="E1188" s="34"/>
      <c r="F1188" s="19"/>
      <c r="G1188" s="20"/>
      <c r="H1188" s="17"/>
      <c r="I1188" s="17"/>
      <c r="J1188" s="17"/>
      <c r="K1188" s="18"/>
      <c r="L1188" s="1"/>
      <c r="N1188" s="1"/>
      <c r="O1188" s="17"/>
      <c r="P1188" s="52"/>
    </row>
    <row r="1189" spans="2:16" x14ac:dyDescent="0.3">
      <c r="B1189" s="13"/>
      <c r="C1189" s="33"/>
      <c r="D1189" s="19"/>
      <c r="E1189" s="19"/>
      <c r="F1189" s="34"/>
      <c r="G1189" s="20"/>
      <c r="H1189" s="17"/>
      <c r="I1189" s="17"/>
      <c r="J1189" s="17"/>
      <c r="K1189" s="18"/>
      <c r="L1189" s="1"/>
      <c r="N1189" s="1"/>
      <c r="O1189" s="17"/>
      <c r="P1189" s="52"/>
    </row>
    <row r="1190" spans="2:16" x14ac:dyDescent="0.3">
      <c r="B1190" s="13"/>
      <c r="C1190" s="35"/>
      <c r="D1190" s="36"/>
      <c r="E1190" s="21"/>
      <c r="F1190" s="21"/>
      <c r="G1190" s="37"/>
      <c r="H1190" s="17"/>
      <c r="I1190" s="17"/>
      <c r="J1190" s="17"/>
      <c r="K1190" s="18"/>
      <c r="L1190" s="1"/>
      <c r="N1190" s="1"/>
      <c r="O1190" s="17"/>
      <c r="P1190" s="52"/>
    </row>
    <row r="1191" spans="2:16" x14ac:dyDescent="0.3">
      <c r="C1191" s="17"/>
      <c r="D1191" s="17"/>
      <c r="E1191" s="17"/>
      <c r="F1191" s="17"/>
      <c r="G1191" s="17"/>
      <c r="H1191" s="18"/>
      <c r="I1191" s="13"/>
      <c r="J1191" s="12"/>
      <c r="N1191" s="1"/>
      <c r="O1191" s="17"/>
    </row>
    <row r="1192" spans="2:16" x14ac:dyDescent="0.3">
      <c r="B1192" s="16"/>
      <c r="C1192" s="18"/>
      <c r="D1192" s="18"/>
      <c r="E1192" s="18"/>
      <c r="F1192" s="18"/>
      <c r="G1192" s="18"/>
      <c r="H1192" s="1"/>
      <c r="I1192" s="14"/>
      <c r="J1192" s="53"/>
      <c r="M1192" s="1"/>
      <c r="N1192" s="9"/>
    </row>
    <row r="1193" spans="2:16" x14ac:dyDescent="0.3">
      <c r="B1193" s="1"/>
      <c r="C1193" s="17"/>
      <c r="D1193" s="17"/>
      <c r="E1193" s="17"/>
      <c r="F1193" s="17"/>
      <c r="G1193" s="17"/>
      <c r="H1193" s="1"/>
    </row>
    <row r="1194" spans="2:16" x14ac:dyDescent="0.3">
      <c r="B1194" s="16"/>
      <c r="C1194" s="18"/>
      <c r="D1194" s="18"/>
      <c r="E1194" s="18"/>
      <c r="F1194" s="18"/>
      <c r="G1194" s="18"/>
      <c r="H1194" s="1"/>
      <c r="I1194" s="14"/>
    </row>
    <row r="1195" spans="2:16" x14ac:dyDescent="0.3">
      <c r="B1195" s="1"/>
      <c r="C1195" s="18"/>
      <c r="D1195" s="18"/>
      <c r="E1195" s="18"/>
      <c r="F1195" s="18"/>
      <c r="G1195" s="18"/>
    </row>
    <row r="1196" spans="2:16" x14ac:dyDescent="0.3">
      <c r="B1196" s="1"/>
      <c r="C1196" s="1"/>
      <c r="D1196" s="1"/>
      <c r="E1196" s="1"/>
      <c r="F1196" s="1"/>
      <c r="G1196" s="1"/>
    </row>
    <row r="1197" spans="2:16" x14ac:dyDescent="0.3">
      <c r="B1197" s="1"/>
      <c r="C1197" s="18"/>
      <c r="D1197" s="18"/>
      <c r="E1197" s="18"/>
      <c r="F1197" s="18"/>
      <c r="G1197" s="18"/>
    </row>
    <row r="1198" spans="2:16" x14ac:dyDescent="0.3">
      <c r="B1198" s="1"/>
      <c r="C1198" s="18"/>
      <c r="D1198" s="18"/>
      <c r="E1198" s="18"/>
      <c r="F1198" s="18"/>
      <c r="G1198" s="18"/>
    </row>
    <row r="1201" spans="1:16" x14ac:dyDescent="0.3">
      <c r="A1201" s="348"/>
      <c r="B1201" s="348"/>
      <c r="C1201" s="348"/>
      <c r="D1201" s="348"/>
      <c r="E1201" s="348"/>
      <c r="F1201" s="348"/>
      <c r="G1201" s="348"/>
      <c r="H1201" s="348"/>
      <c r="I1201" s="348"/>
      <c r="J1201" s="348"/>
      <c r="K1201" s="348"/>
      <c r="L1201" s="348"/>
      <c r="M1201" s="348"/>
      <c r="N1201" s="348"/>
      <c r="O1201" s="348"/>
      <c r="P1201" s="348"/>
    </row>
    <row r="1202" spans="1:16" x14ac:dyDescent="0.3">
      <c r="I1202" s="1"/>
    </row>
    <row r="1203" spans="1:16" x14ac:dyDescent="0.3">
      <c r="B1203" s="1"/>
      <c r="C1203" s="13"/>
      <c r="D1203" s="13"/>
      <c r="E1203" s="13"/>
      <c r="F1203" s="13"/>
      <c r="G1203" s="13"/>
      <c r="H1203" s="1"/>
      <c r="I1203" s="1"/>
      <c r="J1203" s="1"/>
      <c r="N1203" s="1"/>
    </row>
    <row r="1204" spans="1:16" x14ac:dyDescent="0.3">
      <c r="B1204" s="13"/>
      <c r="C1204" s="26"/>
      <c r="D1204" s="3"/>
      <c r="E1204" s="3"/>
      <c r="F1204" s="3"/>
      <c r="G1204" s="4"/>
      <c r="H1204" s="1"/>
      <c r="I1204" s="10"/>
      <c r="J1204" s="11"/>
      <c r="N1204" s="10"/>
    </row>
    <row r="1205" spans="1:16" x14ac:dyDescent="0.3">
      <c r="B1205" s="13"/>
      <c r="C1205" s="5"/>
      <c r="D1205" s="27"/>
      <c r="E1205" s="1"/>
      <c r="F1205" s="1"/>
      <c r="G1205" s="6"/>
      <c r="H1205" s="1"/>
      <c r="I1205" s="10"/>
      <c r="J1205" s="11"/>
      <c r="N1205" s="10"/>
    </row>
    <row r="1206" spans="1:16" x14ac:dyDescent="0.3">
      <c r="B1206" s="13"/>
      <c r="C1206" s="5"/>
      <c r="D1206" s="1"/>
      <c r="E1206" s="27"/>
      <c r="F1206" s="1"/>
      <c r="G1206" s="6"/>
      <c r="H1206" s="1"/>
      <c r="I1206" s="10"/>
      <c r="J1206" s="11"/>
      <c r="N1206" s="10"/>
    </row>
    <row r="1207" spans="1:16" x14ac:dyDescent="0.3">
      <c r="B1207" s="13"/>
      <c r="C1207" s="5"/>
      <c r="D1207" s="1"/>
      <c r="E1207" s="1"/>
      <c r="F1207" s="27"/>
      <c r="G1207" s="6"/>
      <c r="H1207" s="1"/>
      <c r="I1207" s="10"/>
      <c r="J1207" s="11"/>
      <c r="N1207" s="10"/>
    </row>
    <row r="1208" spans="1:16" x14ac:dyDescent="0.3">
      <c r="B1208" s="13"/>
      <c r="C1208" s="7"/>
      <c r="D1208" s="8"/>
      <c r="E1208" s="8"/>
      <c r="F1208" s="8"/>
      <c r="G1208" s="28"/>
      <c r="H1208" s="1"/>
      <c r="I1208" s="10"/>
      <c r="J1208" s="11"/>
      <c r="N1208" s="10"/>
    </row>
    <row r="1209" spans="1:16" x14ac:dyDescent="0.3">
      <c r="B1209" s="1"/>
      <c r="C1209" s="1"/>
      <c r="D1209" s="1"/>
      <c r="E1209" s="1"/>
      <c r="F1209" s="1"/>
      <c r="G1209" s="1"/>
      <c r="H1209" s="1"/>
      <c r="I1209" s="13"/>
    </row>
    <row r="1210" spans="1:16" x14ac:dyDescent="0.3">
      <c r="A1210" s="1"/>
      <c r="B1210" s="1"/>
      <c r="C1210" s="10"/>
      <c r="D1210" s="10"/>
      <c r="E1210" s="10"/>
      <c r="F1210" s="10"/>
      <c r="G1210" s="10"/>
      <c r="H1210" s="10"/>
      <c r="I1210" s="14"/>
    </row>
    <row r="1211" spans="1:16" x14ac:dyDescent="0.3">
      <c r="B1211" s="1"/>
      <c r="C1211" s="11"/>
      <c r="D1211" s="11"/>
      <c r="E1211" s="11"/>
      <c r="F1211" s="11"/>
      <c r="G1211" s="11"/>
    </row>
    <row r="1212" spans="1:16" x14ac:dyDescent="0.3">
      <c r="C1212" s="2"/>
    </row>
    <row r="1213" spans="1:16" x14ac:dyDescent="0.3">
      <c r="B1213" s="15"/>
      <c r="N1213" s="12"/>
      <c r="O1213" s="1"/>
      <c r="P1213" s="1"/>
    </row>
    <row r="1214" spans="1:16" x14ac:dyDescent="0.3">
      <c r="B1214" s="1"/>
      <c r="C1214" s="13"/>
      <c r="D1214" s="13"/>
      <c r="E1214" s="13"/>
      <c r="F1214" s="13"/>
      <c r="G1214" s="13"/>
      <c r="H1214" s="1"/>
      <c r="I1214" s="1"/>
      <c r="J1214" s="15"/>
      <c r="K1214" s="1"/>
      <c r="L1214" s="1"/>
      <c r="O1214" s="1"/>
    </row>
    <row r="1215" spans="1:16" x14ac:dyDescent="0.3">
      <c r="B1215" s="13"/>
      <c r="C1215" s="29"/>
      <c r="D1215" s="31"/>
      <c r="E1215" s="31"/>
      <c r="F1215" s="31"/>
      <c r="G1215" s="32"/>
      <c r="H1215" s="17"/>
      <c r="I1215" s="17"/>
      <c r="J1215" s="17"/>
      <c r="K1215" s="18"/>
      <c r="L1215" s="1"/>
      <c r="N1215" s="1"/>
      <c r="O1215" s="17"/>
      <c r="P1215" s="52"/>
    </row>
    <row r="1216" spans="1:16" x14ac:dyDescent="0.3">
      <c r="B1216" s="13"/>
      <c r="C1216" s="33"/>
      <c r="D1216" s="34"/>
      <c r="E1216" s="19"/>
      <c r="F1216" s="18"/>
      <c r="G1216" s="20"/>
      <c r="H1216" s="17"/>
      <c r="I1216" s="17"/>
      <c r="J1216" s="17"/>
      <c r="K1216" s="18"/>
      <c r="L1216" s="1"/>
      <c r="N1216" s="1"/>
      <c r="O1216" s="17"/>
      <c r="P1216" s="52"/>
    </row>
    <row r="1217" spans="1:16" x14ac:dyDescent="0.3">
      <c r="B1217" s="13"/>
      <c r="C1217" s="33"/>
      <c r="D1217" s="19"/>
      <c r="E1217" s="34"/>
      <c r="F1217" s="19"/>
      <c r="G1217" s="20"/>
      <c r="H1217" s="17"/>
      <c r="I1217" s="17"/>
      <c r="J1217" s="17"/>
      <c r="K1217" s="18"/>
      <c r="L1217" s="1"/>
      <c r="N1217" s="1"/>
      <c r="O1217" s="17"/>
      <c r="P1217" s="52"/>
    </row>
    <row r="1218" spans="1:16" x14ac:dyDescent="0.3">
      <c r="B1218" s="13"/>
      <c r="C1218" s="33"/>
      <c r="D1218" s="19"/>
      <c r="E1218" s="19"/>
      <c r="F1218" s="34"/>
      <c r="G1218" s="20"/>
      <c r="H1218" s="17"/>
      <c r="I1218" s="17"/>
      <c r="J1218" s="17"/>
      <c r="K1218" s="18"/>
      <c r="L1218" s="1"/>
      <c r="N1218" s="1"/>
      <c r="O1218" s="17"/>
      <c r="P1218" s="52"/>
    </row>
    <row r="1219" spans="1:16" x14ac:dyDescent="0.3">
      <c r="B1219" s="13"/>
      <c r="C1219" s="35"/>
      <c r="D1219" s="36"/>
      <c r="E1219" s="21"/>
      <c r="F1219" s="21"/>
      <c r="G1219" s="37"/>
      <c r="H1219" s="17"/>
      <c r="I1219" s="17"/>
      <c r="J1219" s="17"/>
      <c r="K1219" s="18"/>
      <c r="L1219" s="1"/>
      <c r="N1219" s="1"/>
      <c r="O1219" s="17"/>
      <c r="P1219" s="52"/>
    </row>
    <row r="1220" spans="1:16" x14ac:dyDescent="0.3">
      <c r="C1220" s="17"/>
      <c r="D1220" s="17"/>
      <c r="E1220" s="17"/>
      <c r="F1220" s="17"/>
      <c r="G1220" s="17"/>
      <c r="H1220" s="18"/>
      <c r="I1220" s="13"/>
      <c r="J1220" s="12"/>
      <c r="N1220" s="1"/>
      <c r="O1220" s="17"/>
    </row>
    <row r="1221" spans="1:16" x14ac:dyDescent="0.3">
      <c r="B1221" s="16"/>
      <c r="C1221" s="18"/>
      <c r="D1221" s="18"/>
      <c r="E1221" s="18"/>
      <c r="F1221" s="18"/>
      <c r="G1221" s="18"/>
      <c r="H1221" s="1"/>
      <c r="I1221" s="14"/>
      <c r="J1221" s="53"/>
      <c r="M1221" s="1"/>
      <c r="N1221" s="9"/>
    </row>
    <row r="1222" spans="1:16" x14ac:dyDescent="0.3">
      <c r="B1222" s="1"/>
      <c r="C1222" s="17"/>
      <c r="D1222" s="17"/>
      <c r="E1222" s="17"/>
      <c r="F1222" s="17"/>
      <c r="G1222" s="17"/>
      <c r="H1222" s="1"/>
    </row>
    <row r="1223" spans="1:16" x14ac:dyDescent="0.3">
      <c r="B1223" s="16"/>
      <c r="C1223" s="18"/>
      <c r="D1223" s="18"/>
      <c r="E1223" s="18"/>
      <c r="F1223" s="18"/>
      <c r="G1223" s="18"/>
      <c r="H1223" s="1"/>
      <c r="I1223" s="14"/>
    </row>
    <row r="1224" spans="1:16" x14ac:dyDescent="0.3">
      <c r="B1224" s="1"/>
      <c r="C1224" s="18"/>
      <c r="D1224" s="18"/>
      <c r="E1224" s="18"/>
      <c r="F1224" s="18"/>
      <c r="G1224" s="18"/>
    </row>
    <row r="1225" spans="1:16" x14ac:dyDescent="0.3">
      <c r="B1225" s="1"/>
      <c r="C1225" s="1"/>
      <c r="D1225" s="1"/>
      <c r="E1225" s="1"/>
      <c r="F1225" s="1"/>
      <c r="G1225" s="1"/>
    </row>
    <row r="1226" spans="1:16" x14ac:dyDescent="0.3">
      <c r="B1226" s="1"/>
      <c r="C1226" s="18"/>
      <c r="D1226" s="18"/>
      <c r="E1226" s="18"/>
      <c r="F1226" s="18"/>
      <c r="G1226" s="18"/>
    </row>
    <row r="1227" spans="1:16" x14ac:dyDescent="0.3">
      <c r="B1227" s="1"/>
      <c r="C1227" s="18"/>
      <c r="D1227" s="18"/>
      <c r="E1227" s="18"/>
      <c r="F1227" s="18"/>
      <c r="G1227" s="18"/>
    </row>
    <row r="1230" spans="1:16" x14ac:dyDescent="0.3">
      <c r="A1230" s="348"/>
      <c r="B1230" s="348"/>
      <c r="C1230" s="348"/>
      <c r="D1230" s="348"/>
      <c r="E1230" s="348"/>
      <c r="F1230" s="348"/>
      <c r="G1230" s="348"/>
      <c r="H1230" s="348"/>
      <c r="I1230" s="348"/>
      <c r="J1230" s="348"/>
      <c r="K1230" s="348"/>
      <c r="L1230" s="348"/>
      <c r="M1230" s="348"/>
      <c r="N1230" s="348"/>
      <c r="O1230" s="348"/>
      <c r="P1230" s="348"/>
    </row>
    <row r="1231" spans="1:16" x14ac:dyDescent="0.3">
      <c r="I1231" s="1"/>
    </row>
    <row r="1232" spans="1:16" x14ac:dyDescent="0.3">
      <c r="B1232" s="1"/>
      <c r="C1232" s="13"/>
      <c r="D1232" s="13"/>
      <c r="E1232" s="13"/>
      <c r="F1232" s="13"/>
      <c r="G1232" s="13"/>
      <c r="H1232" s="1"/>
      <c r="I1232" s="1"/>
      <c r="J1232" s="1"/>
      <c r="N1232" s="1"/>
    </row>
    <row r="1233" spans="1:16" x14ac:dyDescent="0.3">
      <c r="B1233" s="13"/>
      <c r="C1233" s="26"/>
      <c r="D1233" s="3"/>
      <c r="E1233" s="3"/>
      <c r="F1233" s="3"/>
      <c r="G1233" s="4"/>
      <c r="H1233" s="1"/>
      <c r="I1233" s="10"/>
      <c r="J1233" s="11"/>
      <c r="N1233" s="10"/>
    </row>
    <row r="1234" spans="1:16" x14ac:dyDescent="0.3">
      <c r="B1234" s="13"/>
      <c r="C1234" s="5"/>
      <c r="D1234" s="27"/>
      <c r="E1234" s="1"/>
      <c r="F1234" s="1"/>
      <c r="G1234" s="6"/>
      <c r="H1234" s="1"/>
      <c r="I1234" s="10"/>
      <c r="J1234" s="11"/>
      <c r="N1234" s="10"/>
    </row>
    <row r="1235" spans="1:16" x14ac:dyDescent="0.3">
      <c r="B1235" s="13"/>
      <c r="C1235" s="5"/>
      <c r="D1235" s="1"/>
      <c r="E1235" s="27"/>
      <c r="F1235" s="1"/>
      <c r="G1235" s="6"/>
      <c r="H1235" s="1"/>
      <c r="I1235" s="10"/>
      <c r="J1235" s="11"/>
      <c r="N1235" s="10"/>
    </row>
    <row r="1236" spans="1:16" x14ac:dyDescent="0.3">
      <c r="B1236" s="13"/>
      <c r="C1236" s="5"/>
      <c r="D1236" s="1"/>
      <c r="E1236" s="1"/>
      <c r="F1236" s="27"/>
      <c r="G1236" s="6"/>
      <c r="H1236" s="1"/>
      <c r="I1236" s="10"/>
      <c r="J1236" s="11"/>
      <c r="N1236" s="10"/>
    </row>
    <row r="1237" spans="1:16" x14ac:dyDescent="0.3">
      <c r="B1237" s="13"/>
      <c r="C1237" s="7"/>
      <c r="D1237" s="8"/>
      <c r="E1237" s="8"/>
      <c r="F1237" s="8"/>
      <c r="G1237" s="28"/>
      <c r="H1237" s="1"/>
      <c r="I1237" s="10"/>
      <c r="J1237" s="11"/>
      <c r="N1237" s="10"/>
    </row>
    <row r="1238" spans="1:16" x14ac:dyDescent="0.3">
      <c r="B1238" s="1"/>
      <c r="C1238" s="1"/>
      <c r="D1238" s="1"/>
      <c r="E1238" s="1"/>
      <c r="F1238" s="1"/>
      <c r="G1238" s="1"/>
      <c r="H1238" s="1"/>
      <c r="I1238" s="13"/>
    </row>
    <row r="1239" spans="1:16" x14ac:dyDescent="0.3">
      <c r="A1239" s="1"/>
      <c r="B1239" s="1"/>
      <c r="C1239" s="10"/>
      <c r="D1239" s="10"/>
      <c r="E1239" s="10"/>
      <c r="F1239" s="10"/>
      <c r="G1239" s="10"/>
      <c r="H1239" s="10"/>
      <c r="I1239" s="14"/>
    </row>
    <row r="1240" spans="1:16" x14ac:dyDescent="0.3">
      <c r="B1240" s="1"/>
      <c r="C1240" s="11"/>
      <c r="D1240" s="11"/>
      <c r="E1240" s="11"/>
      <c r="F1240" s="11"/>
      <c r="G1240" s="11"/>
    </row>
    <row r="1241" spans="1:16" x14ac:dyDescent="0.3">
      <c r="C1241" s="2"/>
    </row>
    <row r="1242" spans="1:16" x14ac:dyDescent="0.3">
      <c r="B1242" s="15"/>
      <c r="N1242" s="12"/>
      <c r="O1242" s="1"/>
      <c r="P1242" s="1"/>
    </row>
    <row r="1243" spans="1:16" x14ac:dyDescent="0.3">
      <c r="B1243" s="1"/>
      <c r="C1243" s="13"/>
      <c r="D1243" s="13"/>
      <c r="E1243" s="13"/>
      <c r="F1243" s="13"/>
      <c r="G1243" s="13"/>
      <c r="H1243" s="1"/>
      <c r="I1243" s="1"/>
      <c r="J1243" s="15"/>
      <c r="K1243" s="1"/>
      <c r="L1243" s="1"/>
      <c r="O1243" s="1"/>
    </row>
    <row r="1244" spans="1:16" x14ac:dyDescent="0.3">
      <c r="B1244" s="13"/>
      <c r="C1244" s="29"/>
      <c r="D1244" s="31"/>
      <c r="E1244" s="31"/>
      <c r="F1244" s="31"/>
      <c r="G1244" s="32"/>
      <c r="H1244" s="17"/>
      <c r="I1244" s="17"/>
      <c r="J1244" s="17"/>
      <c r="K1244" s="18"/>
      <c r="L1244" s="1"/>
      <c r="N1244" s="1"/>
      <c r="O1244" s="17"/>
      <c r="P1244" s="52"/>
    </row>
    <row r="1245" spans="1:16" x14ac:dyDescent="0.3">
      <c r="B1245" s="13"/>
      <c r="C1245" s="33"/>
      <c r="D1245" s="34"/>
      <c r="E1245" s="19"/>
      <c r="F1245" s="18"/>
      <c r="G1245" s="20"/>
      <c r="H1245" s="17"/>
      <c r="I1245" s="17"/>
      <c r="J1245" s="17"/>
      <c r="K1245" s="18"/>
      <c r="L1245" s="1"/>
      <c r="N1245" s="1"/>
      <c r="O1245" s="17"/>
      <c r="P1245" s="52"/>
    </row>
    <row r="1246" spans="1:16" x14ac:dyDescent="0.3">
      <c r="B1246" s="13"/>
      <c r="C1246" s="33"/>
      <c r="D1246" s="19"/>
      <c r="E1246" s="34"/>
      <c r="F1246" s="19"/>
      <c r="G1246" s="20"/>
      <c r="H1246" s="17"/>
      <c r="I1246" s="17"/>
      <c r="J1246" s="17"/>
      <c r="K1246" s="18"/>
      <c r="L1246" s="1"/>
      <c r="N1246" s="1"/>
      <c r="O1246" s="17"/>
      <c r="P1246" s="52"/>
    </row>
    <row r="1247" spans="1:16" x14ac:dyDescent="0.3">
      <c r="B1247" s="13"/>
      <c r="C1247" s="33"/>
      <c r="D1247" s="19"/>
      <c r="E1247" s="19"/>
      <c r="F1247" s="34"/>
      <c r="G1247" s="20"/>
      <c r="H1247" s="17"/>
      <c r="I1247" s="17"/>
      <c r="J1247" s="17"/>
      <c r="K1247" s="18"/>
      <c r="L1247" s="1"/>
      <c r="N1247" s="1"/>
      <c r="O1247" s="17"/>
      <c r="P1247" s="52"/>
    </row>
    <row r="1248" spans="1:16" x14ac:dyDescent="0.3">
      <c r="B1248" s="13"/>
      <c r="C1248" s="35"/>
      <c r="D1248" s="36"/>
      <c r="E1248" s="21"/>
      <c r="F1248" s="21"/>
      <c r="G1248" s="37"/>
      <c r="H1248" s="17"/>
      <c r="I1248" s="17"/>
      <c r="J1248" s="17"/>
      <c r="K1248" s="18"/>
      <c r="L1248" s="1"/>
      <c r="N1248" s="1"/>
      <c r="O1248" s="17"/>
      <c r="P1248" s="52"/>
    </row>
    <row r="1249" spans="1:16" x14ac:dyDescent="0.3">
      <c r="C1249" s="17"/>
      <c r="D1249" s="17"/>
      <c r="E1249" s="17"/>
      <c r="F1249" s="17"/>
      <c r="G1249" s="17"/>
      <c r="H1249" s="1"/>
      <c r="I1249" s="13"/>
      <c r="J1249" s="12"/>
      <c r="N1249" s="1"/>
      <c r="O1249" s="17"/>
    </row>
    <row r="1250" spans="1:16" x14ac:dyDescent="0.3">
      <c r="B1250" s="16"/>
      <c r="C1250" s="18"/>
      <c r="D1250" s="18"/>
      <c r="E1250" s="18"/>
      <c r="F1250" s="18"/>
      <c r="G1250" s="18"/>
      <c r="H1250" s="1"/>
      <c r="I1250" s="14"/>
      <c r="J1250" s="53"/>
      <c r="M1250" s="1"/>
      <c r="N1250" s="9"/>
    </row>
    <row r="1251" spans="1:16" x14ac:dyDescent="0.3">
      <c r="B1251" s="1"/>
      <c r="C1251" s="17"/>
      <c r="D1251" s="17"/>
      <c r="E1251" s="17"/>
      <c r="F1251" s="17"/>
      <c r="G1251" s="17"/>
      <c r="H1251" s="1"/>
    </row>
    <row r="1252" spans="1:16" x14ac:dyDescent="0.3">
      <c r="B1252" s="16"/>
      <c r="C1252" s="18"/>
      <c r="D1252" s="18"/>
      <c r="E1252" s="18"/>
      <c r="F1252" s="18"/>
      <c r="G1252" s="18"/>
      <c r="H1252" s="1"/>
      <c r="I1252" s="14"/>
    </row>
    <row r="1253" spans="1:16" x14ac:dyDescent="0.3">
      <c r="B1253" s="1"/>
      <c r="C1253" s="18"/>
      <c r="D1253" s="18"/>
      <c r="E1253" s="18"/>
      <c r="F1253" s="18"/>
      <c r="G1253" s="18"/>
    </row>
    <row r="1254" spans="1:16" x14ac:dyDescent="0.3">
      <c r="B1254" s="1"/>
      <c r="C1254" s="1"/>
      <c r="D1254" s="1"/>
      <c r="E1254" s="1"/>
      <c r="F1254" s="1"/>
      <c r="G1254" s="1"/>
    </row>
    <row r="1255" spans="1:16" x14ac:dyDescent="0.3">
      <c r="B1255" s="1"/>
      <c r="C1255" s="18"/>
      <c r="D1255" s="18"/>
      <c r="E1255" s="18"/>
      <c r="F1255" s="18"/>
      <c r="G1255" s="18"/>
    </row>
    <row r="1256" spans="1:16" x14ac:dyDescent="0.3">
      <c r="B1256" s="1"/>
      <c r="C1256" s="18"/>
      <c r="D1256" s="18"/>
      <c r="E1256" s="18"/>
      <c r="F1256" s="18"/>
      <c r="G1256" s="18"/>
    </row>
    <row r="1259" spans="1:16" x14ac:dyDescent="0.3">
      <c r="A1259" s="348"/>
      <c r="B1259" s="348"/>
      <c r="C1259" s="348"/>
      <c r="D1259" s="348"/>
      <c r="E1259" s="348"/>
      <c r="F1259" s="348"/>
      <c r="G1259" s="348"/>
      <c r="H1259" s="348"/>
      <c r="I1259" s="348"/>
      <c r="J1259" s="348"/>
      <c r="K1259" s="348"/>
      <c r="L1259" s="348"/>
      <c r="M1259" s="348"/>
      <c r="N1259" s="348"/>
      <c r="O1259" s="348"/>
      <c r="P1259" s="348"/>
    </row>
    <row r="1260" spans="1:16" x14ac:dyDescent="0.3">
      <c r="I1260" s="1"/>
    </row>
    <row r="1261" spans="1:16" x14ac:dyDescent="0.3">
      <c r="B1261" s="1"/>
      <c r="C1261" s="13"/>
      <c r="D1261" s="13"/>
      <c r="E1261" s="13"/>
      <c r="F1261" s="13"/>
      <c r="G1261" s="13"/>
      <c r="H1261" s="1"/>
      <c r="I1261" s="1"/>
      <c r="J1261" s="1"/>
      <c r="N1261" s="1"/>
    </row>
    <row r="1262" spans="1:16" x14ac:dyDescent="0.3">
      <c r="B1262" s="13"/>
      <c r="C1262" s="26"/>
      <c r="D1262" s="3"/>
      <c r="E1262" s="3"/>
      <c r="F1262" s="3"/>
      <c r="G1262" s="4"/>
      <c r="H1262" s="1"/>
      <c r="I1262" s="10"/>
      <c r="J1262" s="11"/>
      <c r="N1262" s="10"/>
    </row>
    <row r="1263" spans="1:16" x14ac:dyDescent="0.3">
      <c r="B1263" s="13"/>
      <c r="C1263" s="5"/>
      <c r="D1263" s="27"/>
      <c r="E1263" s="1"/>
      <c r="F1263" s="1"/>
      <c r="G1263" s="6"/>
      <c r="H1263" s="1"/>
      <c r="I1263" s="10"/>
      <c r="J1263" s="11"/>
      <c r="N1263" s="10"/>
    </row>
    <row r="1264" spans="1:16" x14ac:dyDescent="0.3">
      <c r="B1264" s="13"/>
      <c r="C1264" s="5"/>
      <c r="D1264" s="1"/>
      <c r="E1264" s="27"/>
      <c r="F1264" s="1"/>
      <c r="G1264" s="6"/>
      <c r="H1264" s="1"/>
      <c r="I1264" s="10"/>
      <c r="J1264" s="11"/>
      <c r="N1264" s="10"/>
    </row>
    <row r="1265" spans="1:16" x14ac:dyDescent="0.3">
      <c r="B1265" s="13"/>
      <c r="C1265" s="5"/>
      <c r="D1265" s="1"/>
      <c r="E1265" s="1"/>
      <c r="F1265" s="27"/>
      <c r="G1265" s="6"/>
      <c r="H1265" s="1"/>
      <c r="I1265" s="10"/>
      <c r="J1265" s="11"/>
      <c r="N1265" s="10"/>
    </row>
    <row r="1266" spans="1:16" x14ac:dyDescent="0.3">
      <c r="B1266" s="13"/>
      <c r="C1266" s="7"/>
      <c r="D1266" s="8"/>
      <c r="E1266" s="8"/>
      <c r="F1266" s="8"/>
      <c r="G1266" s="28"/>
      <c r="H1266" s="1"/>
      <c r="I1266" s="10"/>
      <c r="J1266" s="11"/>
      <c r="N1266" s="10"/>
    </row>
    <row r="1267" spans="1:16" x14ac:dyDescent="0.3">
      <c r="B1267" s="1"/>
      <c r="C1267" s="1"/>
      <c r="D1267" s="1"/>
      <c r="E1267" s="1"/>
      <c r="F1267" s="1"/>
      <c r="G1267" s="1"/>
      <c r="H1267" s="1"/>
      <c r="I1267" s="13"/>
    </row>
    <row r="1268" spans="1:16" x14ac:dyDescent="0.3">
      <c r="A1268" s="1"/>
      <c r="B1268" s="1"/>
      <c r="C1268" s="10"/>
      <c r="D1268" s="10"/>
      <c r="E1268" s="10"/>
      <c r="F1268" s="10"/>
      <c r="G1268" s="10"/>
      <c r="H1268" s="10"/>
      <c r="I1268" s="14"/>
    </row>
    <row r="1269" spans="1:16" x14ac:dyDescent="0.3">
      <c r="B1269" s="1"/>
      <c r="C1269" s="11"/>
      <c r="D1269" s="11"/>
      <c r="E1269" s="11"/>
      <c r="F1269" s="11"/>
      <c r="G1269" s="11"/>
    </row>
    <row r="1270" spans="1:16" x14ac:dyDescent="0.3">
      <c r="C1270" s="2"/>
    </row>
    <row r="1271" spans="1:16" x14ac:dyDescent="0.3">
      <c r="B1271" s="15"/>
      <c r="N1271" s="12"/>
      <c r="O1271" s="1"/>
      <c r="P1271" s="1"/>
    </row>
    <row r="1272" spans="1:16" x14ac:dyDescent="0.3">
      <c r="B1272" s="1"/>
      <c r="C1272" s="13"/>
      <c r="D1272" s="13"/>
      <c r="E1272" s="13"/>
      <c r="F1272" s="13"/>
      <c r="G1272" s="13"/>
      <c r="H1272" s="1"/>
      <c r="I1272" s="1"/>
      <c r="J1272" s="15"/>
      <c r="K1272" s="1"/>
      <c r="L1272" s="1"/>
      <c r="O1272" s="1"/>
    </row>
    <row r="1273" spans="1:16" x14ac:dyDescent="0.3">
      <c r="B1273" s="13"/>
      <c r="C1273" s="29"/>
      <c r="D1273" s="31"/>
      <c r="E1273" s="31"/>
      <c r="F1273" s="31"/>
      <c r="G1273" s="32"/>
      <c r="H1273" s="17"/>
      <c r="I1273" s="17"/>
      <c r="J1273" s="17"/>
      <c r="K1273" s="18"/>
      <c r="L1273" s="1"/>
      <c r="N1273" s="1"/>
      <c r="O1273" s="17"/>
      <c r="P1273" s="52"/>
    </row>
    <row r="1274" spans="1:16" x14ac:dyDescent="0.3">
      <c r="B1274" s="13"/>
      <c r="C1274" s="33"/>
      <c r="D1274" s="34"/>
      <c r="E1274" s="19"/>
      <c r="F1274" s="18"/>
      <c r="G1274" s="20"/>
      <c r="H1274" s="17"/>
      <c r="I1274" s="17"/>
      <c r="J1274" s="17"/>
      <c r="K1274" s="18"/>
      <c r="L1274" s="1"/>
      <c r="N1274" s="1"/>
      <c r="O1274" s="17"/>
      <c r="P1274" s="52"/>
    </row>
    <row r="1275" spans="1:16" x14ac:dyDescent="0.3">
      <c r="B1275" s="13"/>
      <c r="C1275" s="33"/>
      <c r="D1275" s="19"/>
      <c r="E1275" s="34"/>
      <c r="F1275" s="19"/>
      <c r="G1275" s="20"/>
      <c r="H1275" s="17"/>
      <c r="I1275" s="17"/>
      <c r="J1275" s="17"/>
      <c r="K1275" s="18"/>
      <c r="L1275" s="1"/>
      <c r="N1275" s="1"/>
      <c r="O1275" s="17"/>
      <c r="P1275" s="52"/>
    </row>
    <row r="1276" spans="1:16" x14ac:dyDescent="0.3">
      <c r="B1276" s="13"/>
      <c r="C1276" s="33"/>
      <c r="D1276" s="19"/>
      <c r="E1276" s="19"/>
      <c r="F1276" s="34"/>
      <c r="G1276" s="20"/>
      <c r="H1276" s="17"/>
      <c r="I1276" s="17"/>
      <c r="J1276" s="17"/>
      <c r="K1276" s="18"/>
      <c r="L1276" s="1"/>
      <c r="N1276" s="1"/>
      <c r="O1276" s="17"/>
      <c r="P1276" s="52"/>
    </row>
    <row r="1277" spans="1:16" x14ac:dyDescent="0.3">
      <c r="B1277" s="13"/>
      <c r="C1277" s="35"/>
      <c r="D1277" s="36"/>
      <c r="E1277" s="21"/>
      <c r="F1277" s="21"/>
      <c r="G1277" s="37"/>
      <c r="H1277" s="17"/>
      <c r="I1277" s="17"/>
      <c r="J1277" s="17"/>
      <c r="K1277" s="18"/>
      <c r="L1277" s="1"/>
      <c r="N1277" s="1"/>
      <c r="O1277" s="17"/>
      <c r="P1277" s="52"/>
    </row>
    <row r="1278" spans="1:16" x14ac:dyDescent="0.3">
      <c r="C1278" s="17"/>
      <c r="D1278" s="17"/>
      <c r="E1278" s="17"/>
      <c r="F1278" s="17"/>
      <c r="G1278" s="17"/>
      <c r="H1278" s="18"/>
      <c r="I1278" s="13"/>
      <c r="J1278" s="12"/>
      <c r="N1278" s="1"/>
      <c r="O1278" s="17"/>
    </row>
    <row r="1279" spans="1:16" x14ac:dyDescent="0.3">
      <c r="B1279" s="16"/>
      <c r="C1279" s="18"/>
      <c r="D1279" s="18"/>
      <c r="E1279" s="18"/>
      <c r="F1279" s="18"/>
      <c r="G1279" s="18"/>
      <c r="H1279" s="1"/>
      <c r="I1279" s="56"/>
      <c r="J1279" s="53"/>
      <c r="M1279" s="1"/>
      <c r="N1279" s="9"/>
    </row>
    <row r="1280" spans="1:16" x14ac:dyDescent="0.3">
      <c r="B1280" s="1"/>
      <c r="C1280" s="17"/>
      <c r="D1280" s="17"/>
      <c r="E1280" s="17"/>
      <c r="F1280" s="17"/>
      <c r="G1280" s="17"/>
      <c r="H1280" s="1"/>
    </row>
    <row r="1281" spans="1:16" x14ac:dyDescent="0.3">
      <c r="B1281" s="16"/>
      <c r="C1281" s="18"/>
      <c r="D1281" s="18"/>
      <c r="E1281" s="18"/>
      <c r="F1281" s="18"/>
      <c r="G1281" s="18"/>
      <c r="H1281" s="1"/>
      <c r="I1281" s="14"/>
    </row>
    <row r="1282" spans="1:16" x14ac:dyDescent="0.3">
      <c r="B1282" s="1"/>
      <c r="C1282" s="18"/>
      <c r="D1282" s="18"/>
      <c r="E1282" s="18"/>
      <c r="F1282" s="18"/>
      <c r="G1282" s="18"/>
    </row>
    <row r="1283" spans="1:16" x14ac:dyDescent="0.3">
      <c r="B1283" s="1"/>
      <c r="C1283" s="1"/>
      <c r="D1283" s="1"/>
      <c r="E1283" s="1"/>
      <c r="F1283" s="1"/>
      <c r="G1283" s="1"/>
    </row>
    <row r="1284" spans="1:16" x14ac:dyDescent="0.3">
      <c r="B1284" s="1"/>
      <c r="C1284" s="18"/>
      <c r="D1284" s="18"/>
      <c r="E1284" s="18"/>
      <c r="F1284" s="18"/>
      <c r="G1284" s="18"/>
    </row>
    <row r="1285" spans="1:16" x14ac:dyDescent="0.3">
      <c r="B1285" s="1"/>
      <c r="C1285" s="18"/>
      <c r="D1285" s="18"/>
      <c r="E1285" s="18"/>
      <c r="F1285" s="18"/>
      <c r="G1285" s="18"/>
    </row>
    <row r="1288" spans="1:16" x14ac:dyDescent="0.3">
      <c r="A1288" s="348"/>
      <c r="B1288" s="348"/>
      <c r="C1288" s="348"/>
      <c r="D1288" s="348"/>
      <c r="E1288" s="348"/>
      <c r="F1288" s="348"/>
      <c r="G1288" s="348"/>
      <c r="H1288" s="348"/>
      <c r="I1288" s="348"/>
      <c r="J1288" s="348"/>
      <c r="K1288" s="348"/>
      <c r="L1288" s="348"/>
      <c r="M1288" s="348"/>
      <c r="N1288" s="348"/>
      <c r="O1288" s="348"/>
      <c r="P1288" s="348"/>
    </row>
    <row r="1289" spans="1:16" x14ac:dyDescent="0.3">
      <c r="I1289" s="1"/>
    </row>
    <row r="1290" spans="1:16" x14ac:dyDescent="0.3">
      <c r="B1290" s="1"/>
      <c r="C1290" s="13"/>
      <c r="D1290" s="13"/>
      <c r="E1290" s="13"/>
      <c r="F1290" s="13"/>
      <c r="G1290" s="13"/>
      <c r="H1290" s="1"/>
      <c r="I1290" s="1"/>
      <c r="J1290" s="1"/>
      <c r="N1290" s="1"/>
    </row>
    <row r="1291" spans="1:16" x14ac:dyDescent="0.3">
      <c r="B1291" s="13"/>
      <c r="C1291" s="26"/>
      <c r="D1291" s="3"/>
      <c r="E1291" s="3"/>
      <c r="F1291" s="3"/>
      <c r="G1291" s="4"/>
      <c r="H1291" s="1"/>
      <c r="I1291" s="10"/>
      <c r="J1291" s="11"/>
      <c r="N1291" s="10"/>
    </row>
    <row r="1292" spans="1:16" x14ac:dyDescent="0.3">
      <c r="B1292" s="13"/>
      <c r="C1292" s="5"/>
      <c r="D1292" s="27"/>
      <c r="E1292" s="1"/>
      <c r="F1292" s="1"/>
      <c r="G1292" s="6"/>
      <c r="H1292" s="1"/>
      <c r="I1292" s="10"/>
      <c r="J1292" s="11"/>
      <c r="N1292" s="10"/>
    </row>
    <row r="1293" spans="1:16" x14ac:dyDescent="0.3">
      <c r="B1293" s="13"/>
      <c r="C1293" s="5"/>
      <c r="D1293" s="1"/>
      <c r="E1293" s="27"/>
      <c r="F1293" s="1"/>
      <c r="G1293" s="6"/>
      <c r="H1293" s="1"/>
      <c r="I1293" s="10"/>
      <c r="J1293" s="11"/>
      <c r="N1293" s="10"/>
    </row>
    <row r="1294" spans="1:16" x14ac:dyDescent="0.3">
      <c r="B1294" s="13"/>
      <c r="C1294" s="5"/>
      <c r="D1294" s="1"/>
      <c r="E1294" s="1"/>
      <c r="F1294" s="27"/>
      <c r="G1294" s="6"/>
      <c r="H1294" s="1"/>
      <c r="I1294" s="10"/>
      <c r="J1294" s="11"/>
      <c r="N1294" s="10"/>
    </row>
    <row r="1295" spans="1:16" x14ac:dyDescent="0.3">
      <c r="B1295" s="13"/>
      <c r="C1295" s="7"/>
      <c r="D1295" s="8"/>
      <c r="E1295" s="8"/>
      <c r="F1295" s="8"/>
      <c r="G1295" s="28"/>
      <c r="H1295" s="1"/>
      <c r="I1295" s="10"/>
      <c r="J1295" s="11"/>
      <c r="N1295" s="10"/>
    </row>
    <row r="1296" spans="1:16" x14ac:dyDescent="0.3">
      <c r="B1296" s="1"/>
      <c r="C1296" s="1"/>
      <c r="D1296" s="1"/>
      <c r="E1296" s="1"/>
      <c r="F1296" s="1"/>
      <c r="G1296" s="1"/>
      <c r="H1296" s="1"/>
      <c r="I1296" s="13"/>
    </row>
    <row r="1297" spans="1:16" x14ac:dyDescent="0.3">
      <c r="A1297" s="1"/>
      <c r="B1297" s="1"/>
      <c r="C1297" s="10"/>
      <c r="D1297" s="10"/>
      <c r="E1297" s="10"/>
      <c r="F1297" s="10"/>
      <c r="G1297" s="10"/>
      <c r="H1297" s="10"/>
      <c r="I1297" s="14"/>
    </row>
    <row r="1298" spans="1:16" x14ac:dyDescent="0.3">
      <c r="B1298" s="1"/>
      <c r="C1298" s="11"/>
      <c r="D1298" s="11"/>
      <c r="E1298" s="11"/>
      <c r="F1298" s="11"/>
      <c r="G1298" s="11"/>
    </row>
    <row r="1299" spans="1:16" x14ac:dyDescent="0.3">
      <c r="C1299" s="2"/>
    </row>
    <row r="1300" spans="1:16" x14ac:dyDescent="0.3">
      <c r="B1300" s="15"/>
      <c r="N1300" s="12"/>
      <c r="O1300" s="1"/>
      <c r="P1300" s="1"/>
    </row>
    <row r="1301" spans="1:16" x14ac:dyDescent="0.3">
      <c r="B1301" s="1"/>
      <c r="C1301" s="13"/>
      <c r="D1301" s="13"/>
      <c r="E1301" s="13"/>
      <c r="F1301" s="13"/>
      <c r="G1301" s="13"/>
      <c r="H1301" s="1"/>
      <c r="I1301" s="1"/>
      <c r="J1301" s="15"/>
      <c r="K1301" s="1"/>
      <c r="L1301" s="1"/>
      <c r="O1301" s="1"/>
    </row>
    <row r="1302" spans="1:16" x14ac:dyDescent="0.3">
      <c r="B1302" s="13"/>
      <c r="C1302" s="29"/>
      <c r="D1302" s="31"/>
      <c r="E1302" s="31"/>
      <c r="F1302" s="31"/>
      <c r="G1302" s="32"/>
      <c r="H1302" s="17"/>
      <c r="I1302" s="17"/>
      <c r="J1302" s="17"/>
      <c r="K1302" s="18"/>
      <c r="L1302" s="1"/>
      <c r="N1302" s="1"/>
      <c r="O1302" s="17"/>
      <c r="P1302" s="52"/>
    </row>
    <row r="1303" spans="1:16" x14ac:dyDescent="0.3">
      <c r="B1303" s="13"/>
      <c r="C1303" s="33"/>
      <c r="D1303" s="34"/>
      <c r="E1303" s="19"/>
      <c r="F1303" s="18"/>
      <c r="G1303" s="20"/>
      <c r="H1303" s="17"/>
      <c r="I1303" s="17"/>
      <c r="J1303" s="17"/>
      <c r="K1303" s="18"/>
      <c r="L1303" s="1"/>
      <c r="N1303" s="1"/>
      <c r="O1303" s="17"/>
      <c r="P1303" s="52"/>
    </row>
    <row r="1304" spans="1:16" x14ac:dyDescent="0.3">
      <c r="B1304" s="13"/>
      <c r="C1304" s="33"/>
      <c r="D1304" s="19"/>
      <c r="E1304" s="34"/>
      <c r="F1304" s="19"/>
      <c r="G1304" s="20"/>
      <c r="H1304" s="17"/>
      <c r="I1304" s="17"/>
      <c r="J1304" s="17"/>
      <c r="K1304" s="18"/>
      <c r="L1304" s="1"/>
      <c r="N1304" s="1"/>
      <c r="O1304" s="17"/>
      <c r="P1304" s="52"/>
    </row>
    <row r="1305" spans="1:16" x14ac:dyDescent="0.3">
      <c r="B1305" s="13"/>
      <c r="C1305" s="33"/>
      <c r="D1305" s="19"/>
      <c r="E1305" s="19"/>
      <c r="F1305" s="34"/>
      <c r="G1305" s="20"/>
      <c r="H1305" s="17"/>
      <c r="I1305" s="17"/>
      <c r="J1305" s="17"/>
      <c r="K1305" s="18"/>
      <c r="L1305" s="1"/>
      <c r="N1305" s="1"/>
      <c r="O1305" s="17"/>
      <c r="P1305" s="52"/>
    </row>
    <row r="1306" spans="1:16" x14ac:dyDescent="0.3">
      <c r="B1306" s="13"/>
      <c r="C1306" s="35"/>
      <c r="D1306" s="36"/>
      <c r="E1306" s="21"/>
      <c r="F1306" s="21"/>
      <c r="G1306" s="37"/>
      <c r="H1306" s="17"/>
      <c r="I1306" s="17"/>
      <c r="J1306" s="17"/>
      <c r="K1306" s="18"/>
      <c r="L1306" s="1"/>
      <c r="N1306" s="1"/>
      <c r="O1306" s="17"/>
      <c r="P1306" s="52"/>
    </row>
    <row r="1307" spans="1:16" x14ac:dyDescent="0.3">
      <c r="C1307" s="17"/>
      <c r="D1307" s="17"/>
      <c r="E1307" s="17"/>
      <c r="F1307" s="17"/>
      <c r="G1307" s="17"/>
      <c r="H1307" s="18"/>
      <c r="I1307" s="13"/>
      <c r="J1307" s="12"/>
      <c r="N1307" s="1"/>
      <c r="O1307" s="17"/>
    </row>
    <row r="1308" spans="1:16" x14ac:dyDescent="0.3">
      <c r="B1308" s="16"/>
      <c r="C1308" s="18"/>
      <c r="D1308" s="18"/>
      <c r="E1308" s="18"/>
      <c r="F1308" s="18"/>
      <c r="G1308" s="18"/>
      <c r="H1308" s="1"/>
      <c r="I1308" s="56"/>
      <c r="J1308" s="53"/>
      <c r="M1308" s="1"/>
      <c r="N1308" s="9"/>
    </row>
    <row r="1309" spans="1:16" x14ac:dyDescent="0.3">
      <c r="B1309" s="1"/>
      <c r="C1309" s="17"/>
      <c r="D1309" s="17"/>
      <c r="E1309" s="17"/>
      <c r="F1309" s="17"/>
      <c r="G1309" s="17"/>
      <c r="H1309" s="1"/>
    </row>
    <row r="1310" spans="1:16" x14ac:dyDescent="0.3">
      <c r="B1310" s="16"/>
      <c r="C1310" s="18"/>
      <c r="D1310" s="18"/>
      <c r="E1310" s="18"/>
      <c r="F1310" s="18"/>
      <c r="G1310" s="18"/>
      <c r="H1310" s="1"/>
      <c r="I1310" s="14"/>
    </row>
    <row r="1311" spans="1:16" x14ac:dyDescent="0.3">
      <c r="B1311" s="1"/>
      <c r="C1311" s="18"/>
      <c r="D1311" s="18"/>
      <c r="E1311" s="18"/>
      <c r="F1311" s="18"/>
      <c r="G1311" s="18"/>
    </row>
    <row r="1312" spans="1:16" x14ac:dyDescent="0.3">
      <c r="B1312" s="1"/>
      <c r="C1312" s="1"/>
      <c r="D1312" s="1"/>
      <c r="E1312" s="1"/>
      <c r="F1312" s="1"/>
      <c r="G1312" s="1"/>
    </row>
    <row r="1313" spans="1:16" x14ac:dyDescent="0.3">
      <c r="B1313" s="1"/>
      <c r="C1313" s="18"/>
      <c r="D1313" s="18"/>
      <c r="E1313" s="18"/>
      <c r="F1313" s="18"/>
      <c r="G1313" s="18"/>
    </row>
    <row r="1314" spans="1:16" x14ac:dyDescent="0.3">
      <c r="B1314" s="1"/>
      <c r="C1314" s="18"/>
      <c r="D1314" s="18"/>
      <c r="E1314" s="18"/>
      <c r="F1314" s="18"/>
      <c r="G1314" s="18"/>
    </row>
    <row r="1317" spans="1:16" x14ac:dyDescent="0.3">
      <c r="A1317" s="348"/>
      <c r="B1317" s="348"/>
      <c r="C1317" s="348"/>
      <c r="D1317" s="348"/>
      <c r="E1317" s="348"/>
      <c r="F1317" s="348"/>
      <c r="G1317" s="348"/>
      <c r="H1317" s="348"/>
      <c r="I1317" s="348"/>
      <c r="J1317" s="348"/>
      <c r="K1317" s="348"/>
      <c r="L1317" s="348"/>
      <c r="M1317" s="348"/>
      <c r="N1317" s="348"/>
      <c r="O1317" s="348"/>
      <c r="P1317" s="348"/>
    </row>
    <row r="1318" spans="1:16" x14ac:dyDescent="0.3">
      <c r="I1318" s="1"/>
    </row>
    <row r="1319" spans="1:16" x14ac:dyDescent="0.3">
      <c r="B1319" s="1"/>
      <c r="C1319" s="13"/>
      <c r="D1319" s="13"/>
      <c r="E1319" s="13"/>
      <c r="F1319" s="13"/>
      <c r="G1319" s="13"/>
      <c r="H1319" s="1"/>
      <c r="I1319" s="1"/>
      <c r="J1319" s="1"/>
      <c r="N1319" s="1"/>
    </row>
    <row r="1320" spans="1:16" x14ac:dyDescent="0.3">
      <c r="B1320" s="13"/>
      <c r="C1320" s="26"/>
      <c r="D1320" s="3"/>
      <c r="E1320" s="3"/>
      <c r="F1320" s="3"/>
      <c r="G1320" s="4"/>
      <c r="H1320" s="1"/>
      <c r="I1320" s="10"/>
      <c r="J1320" s="11"/>
      <c r="N1320" s="10"/>
    </row>
    <row r="1321" spans="1:16" x14ac:dyDescent="0.3">
      <c r="B1321" s="13"/>
      <c r="C1321" s="5"/>
      <c r="D1321" s="27"/>
      <c r="E1321" s="1"/>
      <c r="F1321" s="1"/>
      <c r="G1321" s="6"/>
      <c r="H1321" s="1"/>
      <c r="I1321" s="10"/>
      <c r="J1321" s="11"/>
      <c r="N1321" s="10"/>
    </row>
    <row r="1322" spans="1:16" x14ac:dyDescent="0.3">
      <c r="B1322" s="13"/>
      <c r="C1322" s="5"/>
      <c r="D1322" s="1"/>
      <c r="E1322" s="27"/>
      <c r="F1322" s="1"/>
      <c r="G1322" s="6"/>
      <c r="H1322" s="1"/>
      <c r="I1322" s="10"/>
      <c r="J1322" s="11"/>
      <c r="N1322" s="10"/>
    </row>
    <row r="1323" spans="1:16" x14ac:dyDescent="0.3">
      <c r="B1323" s="13"/>
      <c r="C1323" s="5"/>
      <c r="D1323" s="1"/>
      <c r="E1323" s="1"/>
      <c r="F1323" s="27"/>
      <c r="G1323" s="6"/>
      <c r="H1323" s="1"/>
      <c r="I1323" s="10"/>
      <c r="J1323" s="11"/>
      <c r="N1323" s="10"/>
    </row>
    <row r="1324" spans="1:16" x14ac:dyDescent="0.3">
      <c r="B1324" s="13"/>
      <c r="C1324" s="7"/>
      <c r="D1324" s="8"/>
      <c r="E1324" s="8"/>
      <c r="F1324" s="8"/>
      <c r="G1324" s="28"/>
      <c r="H1324" s="1"/>
      <c r="I1324" s="10"/>
      <c r="J1324" s="11"/>
      <c r="N1324" s="10"/>
    </row>
    <row r="1325" spans="1:16" x14ac:dyDescent="0.3">
      <c r="B1325" s="1"/>
      <c r="C1325" s="1"/>
      <c r="D1325" s="1"/>
      <c r="E1325" s="1"/>
      <c r="F1325" s="1"/>
      <c r="G1325" s="1"/>
      <c r="H1325" s="1"/>
      <c r="I1325" s="13"/>
    </row>
    <row r="1326" spans="1:16" x14ac:dyDescent="0.3">
      <c r="A1326" s="1"/>
      <c r="B1326" s="1"/>
      <c r="C1326" s="10"/>
      <c r="D1326" s="10"/>
      <c r="E1326" s="10"/>
      <c r="F1326" s="10"/>
      <c r="G1326" s="10"/>
      <c r="H1326" s="10"/>
      <c r="I1326" s="14"/>
    </row>
    <row r="1327" spans="1:16" x14ac:dyDescent="0.3">
      <c r="B1327" s="1"/>
      <c r="C1327" s="11"/>
      <c r="D1327" s="11"/>
      <c r="E1327" s="11"/>
      <c r="F1327" s="11"/>
      <c r="G1327" s="11"/>
    </row>
    <row r="1328" spans="1:16" x14ac:dyDescent="0.3">
      <c r="C1328" s="2"/>
    </row>
    <row r="1329" spans="2:16" x14ac:dyDescent="0.3">
      <c r="B1329" s="15"/>
      <c r="N1329" s="12"/>
      <c r="O1329" s="1"/>
      <c r="P1329" s="1"/>
    </row>
    <row r="1330" spans="2:16" x14ac:dyDescent="0.3">
      <c r="B1330" s="1"/>
      <c r="C1330" s="13"/>
      <c r="D1330" s="13"/>
      <c r="E1330" s="13"/>
      <c r="F1330" s="13"/>
      <c r="G1330" s="13"/>
      <c r="H1330" s="1"/>
      <c r="I1330" s="1"/>
      <c r="J1330" s="15"/>
      <c r="K1330" s="1"/>
      <c r="L1330" s="1"/>
      <c r="O1330" s="1"/>
    </row>
    <row r="1331" spans="2:16" x14ac:dyDescent="0.3">
      <c r="B1331" s="13"/>
      <c r="C1331" s="29"/>
      <c r="D1331" s="31"/>
      <c r="E1331" s="31"/>
      <c r="F1331" s="31"/>
      <c r="G1331" s="32"/>
      <c r="H1331" s="17"/>
      <c r="I1331" s="17"/>
      <c r="J1331" s="17"/>
      <c r="K1331" s="18"/>
      <c r="L1331" s="1"/>
      <c r="N1331" s="1"/>
      <c r="O1331" s="17"/>
      <c r="P1331" s="52"/>
    </row>
    <row r="1332" spans="2:16" x14ac:dyDescent="0.3">
      <c r="B1332" s="13"/>
      <c r="C1332" s="33"/>
      <c r="D1332" s="34"/>
      <c r="E1332" s="19"/>
      <c r="F1332" s="18"/>
      <c r="G1332" s="20"/>
      <c r="H1332" s="17"/>
      <c r="I1332" s="17"/>
      <c r="J1332" s="17"/>
      <c r="K1332" s="18"/>
      <c r="L1332" s="1"/>
      <c r="N1332" s="1"/>
      <c r="O1332" s="17"/>
      <c r="P1332" s="52"/>
    </row>
    <row r="1333" spans="2:16" x14ac:dyDescent="0.3">
      <c r="B1333" s="13"/>
      <c r="C1333" s="33"/>
      <c r="D1333" s="19"/>
      <c r="E1333" s="34"/>
      <c r="F1333" s="19"/>
      <c r="G1333" s="20"/>
      <c r="H1333" s="17"/>
      <c r="I1333" s="17"/>
      <c r="J1333" s="17"/>
      <c r="K1333" s="18"/>
      <c r="L1333" s="1"/>
      <c r="N1333" s="1"/>
      <c r="O1333" s="17"/>
      <c r="P1333" s="52"/>
    </row>
    <row r="1334" spans="2:16" x14ac:dyDescent="0.3">
      <c r="B1334" s="13"/>
      <c r="C1334" s="33"/>
      <c r="D1334" s="19"/>
      <c r="E1334" s="19"/>
      <c r="F1334" s="34"/>
      <c r="G1334" s="20"/>
      <c r="H1334" s="17"/>
      <c r="I1334" s="17"/>
      <c r="J1334" s="17"/>
      <c r="K1334" s="18"/>
      <c r="L1334" s="1"/>
      <c r="N1334" s="1"/>
      <c r="O1334" s="17"/>
      <c r="P1334" s="52"/>
    </row>
    <row r="1335" spans="2:16" x14ac:dyDescent="0.3">
      <c r="B1335" s="13"/>
      <c r="C1335" s="35"/>
      <c r="D1335" s="36"/>
      <c r="E1335" s="21"/>
      <c r="F1335" s="21"/>
      <c r="G1335" s="37"/>
      <c r="H1335" s="17"/>
      <c r="I1335" s="17"/>
      <c r="J1335" s="17"/>
      <c r="K1335" s="18"/>
      <c r="L1335" s="1"/>
      <c r="N1335" s="1"/>
      <c r="O1335" s="17"/>
      <c r="P1335" s="52"/>
    </row>
    <row r="1336" spans="2:16" x14ac:dyDescent="0.3">
      <c r="C1336" s="17"/>
      <c r="D1336" s="17"/>
      <c r="E1336" s="17"/>
      <c r="F1336" s="17"/>
      <c r="G1336" s="17"/>
      <c r="H1336" s="18"/>
      <c r="I1336" s="13"/>
      <c r="J1336" s="12"/>
      <c r="N1336" s="1"/>
      <c r="O1336" s="17"/>
    </row>
    <row r="1337" spans="2:16" x14ac:dyDescent="0.3">
      <c r="B1337" s="16"/>
      <c r="C1337" s="18"/>
      <c r="D1337" s="18"/>
      <c r="E1337" s="18"/>
      <c r="F1337" s="18"/>
      <c r="G1337" s="18"/>
      <c r="H1337" s="1"/>
      <c r="I1337" s="14"/>
      <c r="J1337" s="53"/>
      <c r="M1337" s="1"/>
      <c r="N1337" s="9"/>
    </row>
    <row r="1338" spans="2:16" x14ac:dyDescent="0.3">
      <c r="B1338" s="1"/>
      <c r="C1338" s="17"/>
      <c r="D1338" s="17"/>
      <c r="E1338" s="17"/>
      <c r="F1338" s="17"/>
      <c r="G1338" s="17"/>
      <c r="H1338" s="1"/>
    </row>
    <row r="1339" spans="2:16" x14ac:dyDescent="0.3">
      <c r="B1339" s="16"/>
      <c r="C1339" s="18"/>
      <c r="D1339" s="18"/>
      <c r="E1339" s="18"/>
      <c r="F1339" s="18"/>
      <c r="G1339" s="18"/>
      <c r="H1339" s="1"/>
      <c r="I1339" s="14"/>
    </row>
    <row r="1340" spans="2:16" x14ac:dyDescent="0.3">
      <c r="B1340" s="1"/>
      <c r="C1340" s="18"/>
      <c r="D1340" s="18"/>
      <c r="E1340" s="18"/>
      <c r="F1340" s="18"/>
      <c r="G1340" s="18"/>
    </row>
    <row r="1341" spans="2:16" x14ac:dyDescent="0.3">
      <c r="B1341" s="1"/>
      <c r="C1341" s="1"/>
      <c r="D1341" s="1"/>
      <c r="E1341" s="1"/>
      <c r="F1341" s="1"/>
      <c r="G1341" s="1"/>
    </row>
    <row r="1342" spans="2:16" x14ac:dyDescent="0.3">
      <c r="B1342" s="1"/>
      <c r="C1342" s="18"/>
      <c r="D1342" s="18"/>
      <c r="E1342" s="18"/>
      <c r="F1342" s="18"/>
      <c r="G1342" s="18"/>
    </row>
    <row r="1343" spans="2:16" x14ac:dyDescent="0.3">
      <c r="B1343" s="1"/>
      <c r="C1343" s="18"/>
      <c r="D1343" s="18"/>
      <c r="E1343" s="18"/>
      <c r="F1343" s="18"/>
      <c r="G1343" s="18"/>
    </row>
    <row r="1346" spans="1:16" x14ac:dyDescent="0.3">
      <c r="A1346" s="348"/>
      <c r="B1346" s="348"/>
      <c r="C1346" s="348"/>
      <c r="D1346" s="348"/>
      <c r="E1346" s="348"/>
      <c r="F1346" s="348"/>
      <c r="G1346" s="348"/>
      <c r="H1346" s="348"/>
      <c r="I1346" s="348"/>
      <c r="J1346" s="348"/>
      <c r="K1346" s="348"/>
      <c r="L1346" s="348"/>
      <c r="M1346" s="348"/>
      <c r="N1346" s="348"/>
      <c r="O1346" s="348"/>
      <c r="P1346" s="348"/>
    </row>
    <row r="1347" spans="1:16" x14ac:dyDescent="0.3">
      <c r="I1347" s="1"/>
    </row>
    <row r="1348" spans="1:16" x14ac:dyDescent="0.3">
      <c r="B1348" s="1"/>
      <c r="C1348" s="13"/>
      <c r="D1348" s="13"/>
      <c r="E1348" s="13"/>
      <c r="F1348" s="13"/>
      <c r="G1348" s="13"/>
      <c r="H1348" s="1"/>
      <c r="I1348" s="1"/>
      <c r="J1348" s="1"/>
      <c r="N1348" s="1"/>
    </row>
    <row r="1349" spans="1:16" x14ac:dyDescent="0.3">
      <c r="B1349" s="13"/>
      <c r="C1349" s="26"/>
      <c r="D1349" s="3"/>
      <c r="E1349" s="3"/>
      <c r="F1349" s="3"/>
      <c r="G1349" s="4"/>
      <c r="H1349" s="1"/>
      <c r="I1349" s="10"/>
      <c r="J1349" s="11"/>
      <c r="N1349" s="10"/>
    </row>
    <row r="1350" spans="1:16" x14ac:dyDescent="0.3">
      <c r="B1350" s="13"/>
      <c r="C1350" s="5"/>
      <c r="D1350" s="27"/>
      <c r="E1350" s="1"/>
      <c r="F1350" s="1"/>
      <c r="G1350" s="6"/>
      <c r="H1350" s="1"/>
      <c r="I1350" s="10"/>
      <c r="J1350" s="11"/>
      <c r="N1350" s="10"/>
    </row>
    <row r="1351" spans="1:16" x14ac:dyDescent="0.3">
      <c r="B1351" s="13"/>
      <c r="C1351" s="5"/>
      <c r="D1351" s="1"/>
      <c r="E1351" s="27"/>
      <c r="F1351" s="1"/>
      <c r="G1351" s="6"/>
      <c r="H1351" s="1"/>
      <c r="I1351" s="10"/>
      <c r="J1351" s="11"/>
      <c r="N1351" s="10"/>
    </row>
    <row r="1352" spans="1:16" x14ac:dyDescent="0.3">
      <c r="B1352" s="13"/>
      <c r="C1352" s="5"/>
      <c r="D1352" s="1"/>
      <c r="E1352" s="1"/>
      <c r="F1352" s="27"/>
      <c r="G1352" s="6"/>
      <c r="H1352" s="1"/>
      <c r="I1352" s="10"/>
      <c r="J1352" s="11"/>
      <c r="N1352" s="10"/>
    </row>
    <row r="1353" spans="1:16" x14ac:dyDescent="0.3">
      <c r="B1353" s="13"/>
      <c r="C1353" s="7"/>
      <c r="D1353" s="8"/>
      <c r="E1353" s="8"/>
      <c r="F1353" s="8"/>
      <c r="G1353" s="28"/>
      <c r="H1353" s="1"/>
      <c r="I1353" s="10"/>
      <c r="J1353" s="11"/>
      <c r="N1353" s="10"/>
    </row>
    <row r="1354" spans="1:16" x14ac:dyDescent="0.3">
      <c r="B1354" s="1"/>
      <c r="C1354" s="1"/>
      <c r="D1354" s="1"/>
      <c r="E1354" s="1"/>
      <c r="F1354" s="1"/>
      <c r="G1354" s="1"/>
      <c r="H1354" s="1"/>
      <c r="I1354" s="13"/>
    </row>
    <row r="1355" spans="1:16" x14ac:dyDescent="0.3">
      <c r="A1355" s="1"/>
      <c r="B1355" s="1"/>
      <c r="C1355" s="10"/>
      <c r="D1355" s="10"/>
      <c r="E1355" s="10"/>
      <c r="F1355" s="10"/>
      <c r="G1355" s="10"/>
      <c r="H1355" s="10"/>
      <c r="I1355" s="14"/>
    </row>
    <row r="1356" spans="1:16" x14ac:dyDescent="0.3">
      <c r="B1356" s="1"/>
      <c r="C1356" s="11"/>
      <c r="D1356" s="11"/>
      <c r="E1356" s="11"/>
      <c r="F1356" s="11"/>
      <c r="G1356" s="11"/>
    </row>
    <row r="1357" spans="1:16" x14ac:dyDescent="0.3">
      <c r="C1357" s="2"/>
    </row>
    <row r="1358" spans="1:16" x14ac:dyDescent="0.3">
      <c r="B1358" s="15"/>
      <c r="N1358" s="12"/>
      <c r="O1358" s="1"/>
      <c r="P1358" s="1"/>
    </row>
    <row r="1359" spans="1:16" x14ac:dyDescent="0.3">
      <c r="B1359" s="1"/>
      <c r="C1359" s="13"/>
      <c r="D1359" s="13"/>
      <c r="E1359" s="13"/>
      <c r="F1359" s="13"/>
      <c r="G1359" s="13"/>
      <c r="H1359" s="1"/>
      <c r="I1359" s="1"/>
      <c r="J1359" s="15"/>
      <c r="K1359" s="1"/>
      <c r="L1359" s="1"/>
      <c r="O1359" s="1"/>
    </row>
    <row r="1360" spans="1:16" x14ac:dyDescent="0.3">
      <c r="B1360" s="13"/>
      <c r="C1360" s="29"/>
      <c r="D1360" s="31"/>
      <c r="E1360" s="31"/>
      <c r="F1360" s="31"/>
      <c r="G1360" s="32"/>
      <c r="H1360" s="17"/>
      <c r="I1360" s="17"/>
      <c r="J1360" s="17"/>
      <c r="K1360" s="18"/>
      <c r="L1360" s="1"/>
      <c r="N1360" s="1"/>
      <c r="O1360" s="17"/>
      <c r="P1360" s="52"/>
    </row>
    <row r="1361" spans="1:16" x14ac:dyDescent="0.3">
      <c r="B1361" s="13"/>
      <c r="C1361" s="33"/>
      <c r="D1361" s="34"/>
      <c r="E1361" s="19"/>
      <c r="F1361" s="18"/>
      <c r="G1361" s="20"/>
      <c r="H1361" s="17"/>
      <c r="I1361" s="17"/>
      <c r="J1361" s="17"/>
      <c r="K1361" s="18"/>
      <c r="L1361" s="1"/>
      <c r="N1361" s="1"/>
      <c r="O1361" s="17"/>
      <c r="P1361" s="52"/>
    </row>
    <row r="1362" spans="1:16" x14ac:dyDescent="0.3">
      <c r="B1362" s="13"/>
      <c r="C1362" s="33"/>
      <c r="D1362" s="19"/>
      <c r="E1362" s="34"/>
      <c r="F1362" s="19"/>
      <c r="G1362" s="20"/>
      <c r="H1362" s="17"/>
      <c r="I1362" s="17"/>
      <c r="J1362" s="17"/>
      <c r="K1362" s="18"/>
      <c r="L1362" s="1"/>
      <c r="N1362" s="1"/>
      <c r="O1362" s="17"/>
      <c r="P1362" s="52"/>
    </row>
    <row r="1363" spans="1:16" x14ac:dyDescent="0.3">
      <c r="B1363" s="13"/>
      <c r="C1363" s="33"/>
      <c r="D1363" s="19"/>
      <c r="E1363" s="19"/>
      <c r="F1363" s="34"/>
      <c r="G1363" s="20"/>
      <c r="H1363" s="17"/>
      <c r="I1363" s="17"/>
      <c r="J1363" s="17"/>
      <c r="K1363" s="18"/>
      <c r="L1363" s="1"/>
      <c r="N1363" s="1"/>
      <c r="O1363" s="17"/>
      <c r="P1363" s="52"/>
    </row>
    <row r="1364" spans="1:16" x14ac:dyDescent="0.3">
      <c r="B1364" s="13"/>
      <c r="C1364" s="35"/>
      <c r="D1364" s="36"/>
      <c r="E1364" s="21"/>
      <c r="F1364" s="21"/>
      <c r="G1364" s="37"/>
      <c r="H1364" s="17"/>
      <c r="I1364" s="17"/>
      <c r="J1364" s="17"/>
      <c r="K1364" s="18"/>
      <c r="L1364" s="1"/>
      <c r="N1364" s="1"/>
      <c r="O1364" s="17"/>
      <c r="P1364" s="52"/>
    </row>
    <row r="1365" spans="1:16" x14ac:dyDescent="0.3">
      <c r="C1365" s="17"/>
      <c r="D1365" s="17"/>
      <c r="E1365" s="17"/>
      <c r="F1365" s="17"/>
      <c r="G1365" s="17"/>
      <c r="H1365" s="18"/>
      <c r="I1365" s="13"/>
      <c r="J1365" s="12"/>
      <c r="N1365" s="1"/>
      <c r="O1365" s="17"/>
    </row>
    <row r="1366" spans="1:16" x14ac:dyDescent="0.3">
      <c r="B1366" s="16"/>
      <c r="C1366" s="18"/>
      <c r="D1366" s="18"/>
      <c r="E1366" s="18"/>
      <c r="F1366" s="18"/>
      <c r="G1366" s="18"/>
      <c r="H1366" s="1"/>
      <c r="I1366" s="14"/>
      <c r="J1366" s="53"/>
      <c r="M1366" s="1"/>
      <c r="N1366" s="9"/>
    </row>
    <row r="1367" spans="1:16" x14ac:dyDescent="0.3">
      <c r="B1367" s="1"/>
      <c r="C1367" s="17"/>
      <c r="D1367" s="17"/>
      <c r="E1367" s="17"/>
      <c r="F1367" s="17"/>
      <c r="G1367" s="17"/>
      <c r="H1367" s="1"/>
    </row>
    <row r="1368" spans="1:16" x14ac:dyDescent="0.3">
      <c r="B1368" s="16"/>
      <c r="C1368" s="18"/>
      <c r="D1368" s="18"/>
      <c r="E1368" s="18"/>
      <c r="F1368" s="18"/>
      <c r="G1368" s="18"/>
      <c r="H1368" s="1"/>
      <c r="I1368" s="14"/>
    </row>
    <row r="1369" spans="1:16" x14ac:dyDescent="0.3">
      <c r="B1369" s="1"/>
      <c r="C1369" s="18"/>
      <c r="D1369" s="18"/>
      <c r="E1369" s="18"/>
      <c r="F1369" s="18"/>
      <c r="G1369" s="18"/>
    </row>
    <row r="1370" spans="1:16" x14ac:dyDescent="0.3">
      <c r="B1370" s="1"/>
      <c r="C1370" s="1"/>
      <c r="D1370" s="1"/>
      <c r="E1370" s="1"/>
      <c r="F1370" s="1"/>
      <c r="G1370" s="1"/>
    </row>
    <row r="1371" spans="1:16" x14ac:dyDescent="0.3">
      <c r="B1371" s="1"/>
      <c r="C1371" s="18"/>
      <c r="D1371" s="18"/>
      <c r="E1371" s="18"/>
      <c r="F1371" s="18"/>
      <c r="G1371" s="18"/>
    </row>
    <row r="1372" spans="1:16" x14ac:dyDescent="0.3">
      <c r="B1372" s="1"/>
      <c r="C1372" s="18"/>
      <c r="D1372" s="18"/>
      <c r="E1372" s="18"/>
      <c r="F1372" s="18"/>
      <c r="G1372" s="18"/>
    </row>
    <row r="1375" spans="1:16" x14ac:dyDescent="0.3">
      <c r="A1375" s="348"/>
      <c r="B1375" s="348"/>
      <c r="C1375" s="348"/>
      <c r="D1375" s="348"/>
      <c r="E1375" s="348"/>
      <c r="F1375" s="348"/>
      <c r="G1375" s="348"/>
      <c r="H1375" s="348"/>
      <c r="I1375" s="348"/>
      <c r="J1375" s="348"/>
      <c r="K1375" s="348"/>
      <c r="L1375" s="348"/>
      <c r="M1375" s="348"/>
      <c r="N1375" s="348"/>
      <c r="O1375" s="348"/>
      <c r="P1375" s="348"/>
    </row>
    <row r="1376" spans="1:16" x14ac:dyDescent="0.3">
      <c r="I1376" s="1"/>
    </row>
    <row r="1377" spans="1:16" x14ac:dyDescent="0.3">
      <c r="B1377" s="1"/>
      <c r="C1377" s="13"/>
      <c r="D1377" s="13"/>
      <c r="E1377" s="13"/>
      <c r="F1377" s="13"/>
      <c r="G1377" s="13"/>
      <c r="H1377" s="1"/>
      <c r="I1377" s="1"/>
      <c r="J1377" s="1"/>
      <c r="N1377" s="1"/>
    </row>
    <row r="1378" spans="1:16" x14ac:dyDescent="0.3">
      <c r="B1378" s="13"/>
      <c r="C1378" s="26"/>
      <c r="D1378" s="3"/>
      <c r="E1378" s="3"/>
      <c r="F1378" s="3"/>
      <c r="G1378" s="4"/>
      <c r="H1378" s="1"/>
      <c r="I1378" s="10"/>
      <c r="J1378" s="11"/>
      <c r="N1378" s="10"/>
    </row>
    <row r="1379" spans="1:16" x14ac:dyDescent="0.3">
      <c r="B1379" s="13"/>
      <c r="C1379" s="5"/>
      <c r="D1379" s="27"/>
      <c r="E1379" s="1"/>
      <c r="F1379" s="1"/>
      <c r="G1379" s="6"/>
      <c r="H1379" s="1"/>
      <c r="I1379" s="10"/>
      <c r="J1379" s="11"/>
      <c r="N1379" s="10"/>
    </row>
    <row r="1380" spans="1:16" x14ac:dyDescent="0.3">
      <c r="B1380" s="13"/>
      <c r="C1380" s="5"/>
      <c r="D1380" s="1"/>
      <c r="E1380" s="27"/>
      <c r="F1380" s="1"/>
      <c r="G1380" s="6"/>
      <c r="H1380" s="1"/>
      <c r="I1380" s="10"/>
      <c r="J1380" s="11"/>
      <c r="N1380" s="10"/>
    </row>
    <row r="1381" spans="1:16" x14ac:dyDescent="0.3">
      <c r="B1381" s="13"/>
      <c r="C1381" s="5"/>
      <c r="D1381" s="1"/>
      <c r="E1381" s="1"/>
      <c r="F1381" s="27"/>
      <c r="G1381" s="6"/>
      <c r="H1381" s="1"/>
      <c r="I1381" s="10"/>
      <c r="J1381" s="11"/>
      <c r="N1381" s="10"/>
    </row>
    <row r="1382" spans="1:16" x14ac:dyDescent="0.3">
      <c r="B1382" s="13"/>
      <c r="C1382" s="7"/>
      <c r="D1382" s="8"/>
      <c r="E1382" s="8"/>
      <c r="F1382" s="8"/>
      <c r="G1382" s="28"/>
      <c r="H1382" s="1"/>
      <c r="I1382" s="10"/>
      <c r="J1382" s="11"/>
      <c r="N1382" s="10"/>
    </row>
    <row r="1383" spans="1:16" x14ac:dyDescent="0.3">
      <c r="B1383" s="1"/>
      <c r="C1383" s="1"/>
      <c r="D1383" s="1"/>
      <c r="E1383" s="1"/>
      <c r="F1383" s="1"/>
      <c r="G1383" s="1"/>
      <c r="H1383" s="1"/>
      <c r="I1383" s="13"/>
    </row>
    <row r="1384" spans="1:16" x14ac:dyDescent="0.3">
      <c r="A1384" s="1"/>
      <c r="B1384" s="1"/>
      <c r="C1384" s="10"/>
      <c r="D1384" s="10"/>
      <c r="E1384" s="10"/>
      <c r="F1384" s="10"/>
      <c r="G1384" s="10"/>
      <c r="H1384" s="10"/>
      <c r="I1384" s="14"/>
    </row>
    <row r="1385" spans="1:16" x14ac:dyDescent="0.3">
      <c r="B1385" s="1"/>
      <c r="C1385" s="11"/>
      <c r="D1385" s="11"/>
      <c r="E1385" s="11"/>
      <c r="F1385" s="11"/>
      <c r="G1385" s="11"/>
    </row>
    <row r="1386" spans="1:16" x14ac:dyDescent="0.3">
      <c r="C1386" s="2"/>
    </row>
    <row r="1387" spans="1:16" x14ac:dyDescent="0.3">
      <c r="B1387" s="15"/>
      <c r="N1387" s="12"/>
      <c r="O1387" s="1"/>
      <c r="P1387" s="1"/>
    </row>
    <row r="1388" spans="1:16" x14ac:dyDescent="0.3">
      <c r="B1388" s="1"/>
      <c r="C1388" s="13"/>
      <c r="D1388" s="13"/>
      <c r="E1388" s="13"/>
      <c r="F1388" s="13"/>
      <c r="G1388" s="13"/>
      <c r="H1388" s="1"/>
      <c r="I1388" s="1"/>
      <c r="J1388" s="15"/>
      <c r="K1388" s="1"/>
      <c r="L1388" s="1"/>
      <c r="O1388" s="1"/>
    </row>
    <row r="1389" spans="1:16" x14ac:dyDescent="0.3">
      <c r="B1389" s="13"/>
      <c r="C1389" s="29"/>
      <c r="D1389" s="31"/>
      <c r="E1389" s="31"/>
      <c r="F1389" s="31"/>
      <c r="G1389" s="32"/>
      <c r="H1389" s="17"/>
      <c r="I1389" s="17"/>
      <c r="J1389" s="17"/>
      <c r="K1389" s="18"/>
      <c r="L1389" s="1"/>
      <c r="N1389" s="1"/>
      <c r="O1389" s="17"/>
      <c r="P1389" s="52"/>
    </row>
    <row r="1390" spans="1:16" x14ac:dyDescent="0.3">
      <c r="B1390" s="13"/>
      <c r="C1390" s="33"/>
      <c r="D1390" s="34"/>
      <c r="E1390" s="19"/>
      <c r="F1390" s="18"/>
      <c r="G1390" s="20"/>
      <c r="H1390" s="17"/>
      <c r="I1390" s="17"/>
      <c r="J1390" s="17"/>
      <c r="K1390" s="18"/>
      <c r="L1390" s="1"/>
      <c r="N1390" s="1"/>
      <c r="O1390" s="17"/>
      <c r="P1390" s="52"/>
    </row>
    <row r="1391" spans="1:16" x14ac:dyDescent="0.3">
      <c r="B1391" s="13"/>
      <c r="C1391" s="33"/>
      <c r="D1391" s="19"/>
      <c r="E1391" s="34"/>
      <c r="F1391" s="19"/>
      <c r="G1391" s="20"/>
      <c r="H1391" s="17"/>
      <c r="I1391" s="17"/>
      <c r="J1391" s="17"/>
      <c r="K1391" s="18"/>
      <c r="L1391" s="1"/>
      <c r="N1391" s="1"/>
      <c r="O1391" s="17"/>
      <c r="P1391" s="52"/>
    </row>
    <row r="1392" spans="1:16" x14ac:dyDescent="0.3">
      <c r="B1392" s="13"/>
      <c r="C1392" s="33"/>
      <c r="D1392" s="19"/>
      <c r="E1392" s="19"/>
      <c r="F1392" s="34"/>
      <c r="G1392" s="20"/>
      <c r="H1392" s="17"/>
      <c r="I1392" s="17"/>
      <c r="J1392" s="17"/>
      <c r="K1392" s="18"/>
      <c r="L1392" s="1"/>
      <c r="N1392" s="1"/>
      <c r="O1392" s="17"/>
      <c r="P1392" s="52"/>
    </row>
    <row r="1393" spans="1:16" x14ac:dyDescent="0.3">
      <c r="B1393" s="13"/>
      <c r="C1393" s="35"/>
      <c r="D1393" s="36"/>
      <c r="E1393" s="21"/>
      <c r="F1393" s="21"/>
      <c r="G1393" s="37"/>
      <c r="H1393" s="17"/>
      <c r="I1393" s="17"/>
      <c r="J1393" s="17"/>
      <c r="K1393" s="18"/>
      <c r="L1393" s="1"/>
      <c r="N1393" s="1"/>
      <c r="O1393" s="17"/>
      <c r="P1393" s="52"/>
    </row>
    <row r="1394" spans="1:16" x14ac:dyDescent="0.3">
      <c r="C1394" s="17"/>
      <c r="D1394" s="17"/>
      <c r="E1394" s="17"/>
      <c r="F1394" s="17"/>
      <c r="G1394" s="17"/>
      <c r="H1394" s="1"/>
      <c r="I1394" s="13"/>
      <c r="J1394" s="12"/>
      <c r="N1394" s="1"/>
      <c r="O1394" s="17"/>
    </row>
    <row r="1395" spans="1:16" x14ac:dyDescent="0.3">
      <c r="B1395" s="16"/>
      <c r="C1395" s="18"/>
      <c r="D1395" s="18"/>
      <c r="E1395" s="18"/>
      <c r="F1395" s="18"/>
      <c r="G1395" s="18"/>
      <c r="H1395" s="1"/>
      <c r="I1395" s="14"/>
      <c r="J1395" s="53"/>
      <c r="M1395" s="1"/>
      <c r="N1395" s="9"/>
    </row>
    <row r="1396" spans="1:16" x14ac:dyDescent="0.3">
      <c r="B1396" s="1"/>
      <c r="C1396" s="17"/>
      <c r="D1396" s="17"/>
      <c r="E1396" s="17"/>
      <c r="F1396" s="17"/>
      <c r="G1396" s="17"/>
      <c r="H1396" s="1"/>
    </row>
    <row r="1397" spans="1:16" x14ac:dyDescent="0.3">
      <c r="B1397" s="16"/>
      <c r="C1397" s="18"/>
      <c r="D1397" s="18"/>
      <c r="E1397" s="18"/>
      <c r="F1397" s="18"/>
      <c r="G1397" s="18"/>
      <c r="H1397" s="1"/>
      <c r="I1397" s="14"/>
    </row>
    <row r="1398" spans="1:16" x14ac:dyDescent="0.3">
      <c r="B1398" s="1"/>
      <c r="C1398" s="18"/>
      <c r="D1398" s="18"/>
      <c r="E1398" s="18"/>
      <c r="F1398" s="18"/>
      <c r="G1398" s="18"/>
    </row>
    <row r="1399" spans="1:16" x14ac:dyDescent="0.3">
      <c r="B1399" s="1"/>
      <c r="C1399" s="1"/>
      <c r="D1399" s="1"/>
      <c r="E1399" s="1"/>
      <c r="F1399" s="1"/>
      <c r="G1399" s="1"/>
    </row>
    <row r="1400" spans="1:16" x14ac:dyDescent="0.3">
      <c r="B1400" s="1"/>
      <c r="C1400" s="18"/>
      <c r="D1400" s="18"/>
      <c r="E1400" s="18"/>
      <c r="F1400" s="18"/>
      <c r="G1400" s="18"/>
    </row>
    <row r="1401" spans="1:16" x14ac:dyDescent="0.3">
      <c r="B1401" s="1"/>
      <c r="C1401" s="18"/>
      <c r="D1401" s="18"/>
      <c r="E1401" s="18"/>
      <c r="F1401" s="18"/>
      <c r="G1401" s="18"/>
    </row>
    <row r="1404" spans="1:16" x14ac:dyDescent="0.3">
      <c r="A1404" s="348"/>
      <c r="B1404" s="348"/>
      <c r="C1404" s="348"/>
      <c r="D1404" s="348"/>
      <c r="E1404" s="348"/>
      <c r="F1404" s="348"/>
      <c r="G1404" s="348"/>
      <c r="H1404" s="348"/>
      <c r="I1404" s="348"/>
      <c r="J1404" s="348"/>
      <c r="K1404" s="348"/>
      <c r="L1404" s="348"/>
      <c r="M1404" s="348"/>
      <c r="N1404" s="348"/>
      <c r="O1404" s="348"/>
      <c r="P1404" s="348"/>
    </row>
    <row r="1405" spans="1:16" x14ac:dyDescent="0.3">
      <c r="I1405" s="1"/>
    </row>
    <row r="1406" spans="1:16" x14ac:dyDescent="0.3">
      <c r="B1406" s="1"/>
      <c r="C1406" s="13"/>
      <c r="D1406" s="13"/>
      <c r="E1406" s="13"/>
      <c r="F1406" s="13"/>
      <c r="G1406" s="13"/>
      <c r="H1406" s="1"/>
      <c r="I1406" s="1"/>
      <c r="J1406" s="1"/>
      <c r="N1406" s="1"/>
    </row>
    <row r="1407" spans="1:16" x14ac:dyDescent="0.3">
      <c r="B1407" s="13"/>
      <c r="C1407" s="26"/>
      <c r="D1407" s="3"/>
      <c r="E1407" s="3"/>
      <c r="F1407" s="3"/>
      <c r="G1407" s="4"/>
      <c r="H1407" s="1"/>
      <c r="I1407" s="10"/>
      <c r="J1407" s="11"/>
      <c r="N1407" s="10"/>
    </row>
    <row r="1408" spans="1:16" x14ac:dyDescent="0.3">
      <c r="B1408" s="13"/>
      <c r="C1408" s="5"/>
      <c r="D1408" s="27"/>
      <c r="E1408" s="1"/>
      <c r="F1408" s="1"/>
      <c r="G1408" s="6"/>
      <c r="H1408" s="1"/>
      <c r="I1408" s="10"/>
      <c r="J1408" s="11"/>
      <c r="N1408" s="10"/>
    </row>
    <row r="1409" spans="1:16" x14ac:dyDescent="0.3">
      <c r="B1409" s="13"/>
      <c r="C1409" s="5"/>
      <c r="D1409" s="1"/>
      <c r="E1409" s="27"/>
      <c r="F1409" s="1"/>
      <c r="G1409" s="6"/>
      <c r="H1409" s="1"/>
      <c r="I1409" s="10"/>
      <c r="J1409" s="11"/>
      <c r="N1409" s="10"/>
    </row>
    <row r="1410" spans="1:16" x14ac:dyDescent="0.3">
      <c r="B1410" s="13"/>
      <c r="C1410" s="5"/>
      <c r="D1410" s="1"/>
      <c r="E1410" s="1"/>
      <c r="F1410" s="27"/>
      <c r="G1410" s="6"/>
      <c r="H1410" s="1"/>
      <c r="I1410" s="10"/>
      <c r="J1410" s="11"/>
      <c r="N1410" s="10"/>
    </row>
    <row r="1411" spans="1:16" x14ac:dyDescent="0.3">
      <c r="B1411" s="13"/>
      <c r="C1411" s="7"/>
      <c r="D1411" s="8"/>
      <c r="E1411" s="8"/>
      <c r="F1411" s="8"/>
      <c r="G1411" s="28"/>
      <c r="H1411" s="1"/>
      <c r="I1411" s="10"/>
      <c r="J1411" s="11"/>
      <c r="N1411" s="10"/>
    </row>
    <row r="1412" spans="1:16" x14ac:dyDescent="0.3">
      <c r="B1412" s="1"/>
      <c r="C1412" s="1"/>
      <c r="D1412" s="1"/>
      <c r="E1412" s="1"/>
      <c r="F1412" s="1"/>
      <c r="G1412" s="1"/>
      <c r="H1412" s="1"/>
      <c r="I1412" s="13"/>
    </row>
    <row r="1413" spans="1:16" x14ac:dyDescent="0.3">
      <c r="A1413" s="1"/>
      <c r="B1413" s="1"/>
      <c r="C1413" s="10"/>
      <c r="D1413" s="10"/>
      <c r="E1413" s="10"/>
      <c r="F1413" s="10"/>
      <c r="G1413" s="10"/>
      <c r="H1413" s="10"/>
      <c r="I1413" s="14"/>
    </row>
    <row r="1414" spans="1:16" x14ac:dyDescent="0.3">
      <c r="B1414" s="1"/>
      <c r="C1414" s="11"/>
      <c r="D1414" s="11"/>
      <c r="E1414" s="11"/>
      <c r="F1414" s="11"/>
      <c r="G1414" s="11"/>
    </row>
    <row r="1415" spans="1:16" x14ac:dyDescent="0.3">
      <c r="C1415" s="2"/>
    </row>
    <row r="1416" spans="1:16" x14ac:dyDescent="0.3">
      <c r="B1416" s="15"/>
      <c r="N1416" s="12"/>
      <c r="O1416" s="1"/>
      <c r="P1416" s="1"/>
    </row>
    <row r="1417" spans="1:16" x14ac:dyDescent="0.3">
      <c r="B1417" s="1"/>
      <c r="C1417" s="13"/>
      <c r="D1417" s="13"/>
      <c r="E1417" s="13"/>
      <c r="F1417" s="13"/>
      <c r="G1417" s="13"/>
      <c r="H1417" s="1"/>
      <c r="I1417" s="1"/>
      <c r="J1417" s="15"/>
      <c r="K1417" s="1"/>
      <c r="L1417" s="1"/>
      <c r="O1417" s="1"/>
    </row>
    <row r="1418" spans="1:16" x14ac:dyDescent="0.3">
      <c r="B1418" s="13"/>
      <c r="C1418" s="29"/>
      <c r="D1418" s="31"/>
      <c r="E1418" s="31"/>
      <c r="F1418" s="31"/>
      <c r="G1418" s="32"/>
      <c r="H1418" s="17"/>
      <c r="I1418" s="17"/>
      <c r="J1418" s="17"/>
      <c r="K1418" s="18"/>
      <c r="L1418" s="1"/>
      <c r="N1418" s="1"/>
      <c r="O1418" s="17"/>
      <c r="P1418" s="52"/>
    </row>
    <row r="1419" spans="1:16" x14ac:dyDescent="0.3">
      <c r="B1419" s="13"/>
      <c r="C1419" s="33"/>
      <c r="D1419" s="34"/>
      <c r="E1419" s="19"/>
      <c r="F1419" s="18"/>
      <c r="G1419" s="20"/>
      <c r="H1419" s="17"/>
      <c r="I1419" s="17"/>
      <c r="J1419" s="17"/>
      <c r="K1419" s="18"/>
      <c r="L1419" s="1"/>
      <c r="N1419" s="1"/>
      <c r="O1419" s="17"/>
      <c r="P1419" s="52"/>
    </row>
    <row r="1420" spans="1:16" x14ac:dyDescent="0.3">
      <c r="B1420" s="13"/>
      <c r="C1420" s="33"/>
      <c r="D1420" s="19"/>
      <c r="E1420" s="34"/>
      <c r="F1420" s="19"/>
      <c r="G1420" s="20"/>
      <c r="H1420" s="17"/>
      <c r="I1420" s="17"/>
      <c r="J1420" s="17"/>
      <c r="K1420" s="18"/>
      <c r="L1420" s="1"/>
      <c r="N1420" s="1"/>
      <c r="O1420" s="17"/>
      <c r="P1420" s="52"/>
    </row>
    <row r="1421" spans="1:16" x14ac:dyDescent="0.3">
      <c r="B1421" s="13"/>
      <c r="C1421" s="33"/>
      <c r="D1421" s="19"/>
      <c r="E1421" s="19"/>
      <c r="F1421" s="34"/>
      <c r="G1421" s="20"/>
      <c r="H1421" s="17"/>
      <c r="I1421" s="17"/>
      <c r="J1421" s="17"/>
      <c r="K1421" s="18"/>
      <c r="L1421" s="1"/>
      <c r="N1421" s="1"/>
      <c r="O1421" s="17"/>
      <c r="P1421" s="52"/>
    </row>
    <row r="1422" spans="1:16" x14ac:dyDescent="0.3">
      <c r="B1422" s="13"/>
      <c r="C1422" s="35"/>
      <c r="D1422" s="36"/>
      <c r="E1422" s="21"/>
      <c r="F1422" s="21"/>
      <c r="G1422" s="37"/>
      <c r="H1422" s="17"/>
      <c r="I1422" s="17"/>
      <c r="J1422" s="17"/>
      <c r="K1422" s="18"/>
      <c r="L1422" s="1"/>
      <c r="N1422" s="1"/>
      <c r="O1422" s="17"/>
      <c r="P1422" s="52"/>
    </row>
    <row r="1423" spans="1:16" x14ac:dyDescent="0.3">
      <c r="C1423" s="17"/>
      <c r="D1423" s="17"/>
      <c r="E1423" s="17"/>
      <c r="F1423" s="17"/>
      <c r="G1423" s="17"/>
      <c r="H1423" s="1"/>
      <c r="I1423" s="13"/>
      <c r="J1423" s="12"/>
      <c r="N1423" s="1"/>
      <c r="O1423" s="17"/>
    </row>
    <row r="1424" spans="1:16" x14ac:dyDescent="0.3">
      <c r="B1424" s="16"/>
      <c r="C1424" s="18"/>
      <c r="D1424" s="18"/>
      <c r="E1424" s="18"/>
      <c r="F1424" s="18"/>
      <c r="G1424" s="18"/>
      <c r="H1424" s="1"/>
      <c r="I1424" s="56"/>
      <c r="J1424" s="53"/>
      <c r="M1424" s="1"/>
      <c r="N1424" s="9"/>
    </row>
    <row r="1425" spans="1:16" x14ac:dyDescent="0.3">
      <c r="B1425" s="1"/>
      <c r="C1425" s="17"/>
      <c r="D1425" s="17"/>
      <c r="E1425" s="17"/>
      <c r="F1425" s="17"/>
      <c r="G1425" s="17"/>
      <c r="H1425" s="1"/>
    </row>
    <row r="1426" spans="1:16" x14ac:dyDescent="0.3">
      <c r="B1426" s="16"/>
      <c r="C1426" s="18"/>
      <c r="D1426" s="18"/>
      <c r="E1426" s="18"/>
      <c r="F1426" s="18"/>
      <c r="G1426" s="18"/>
      <c r="H1426" s="1"/>
      <c r="I1426" s="14"/>
    </row>
    <row r="1427" spans="1:16" x14ac:dyDescent="0.3">
      <c r="B1427" s="1"/>
      <c r="C1427" s="18"/>
      <c r="D1427" s="18"/>
      <c r="E1427" s="18"/>
      <c r="F1427" s="18"/>
      <c r="G1427" s="18"/>
    </row>
    <row r="1428" spans="1:16" x14ac:dyDescent="0.3">
      <c r="B1428" s="1"/>
      <c r="C1428" s="1"/>
      <c r="D1428" s="1"/>
      <c r="E1428" s="1"/>
      <c r="F1428" s="1"/>
      <c r="G1428" s="1"/>
    </row>
    <row r="1429" spans="1:16" x14ac:dyDescent="0.3">
      <c r="B1429" s="1"/>
      <c r="C1429" s="18"/>
      <c r="D1429" s="18"/>
      <c r="E1429" s="18"/>
      <c r="F1429" s="18"/>
      <c r="G1429" s="18"/>
    </row>
    <row r="1430" spans="1:16" x14ac:dyDescent="0.3">
      <c r="B1430" s="1"/>
      <c r="C1430" s="18"/>
      <c r="D1430" s="18"/>
      <c r="E1430" s="18"/>
      <c r="F1430" s="18"/>
      <c r="G1430" s="18"/>
    </row>
    <row r="1433" spans="1:16" x14ac:dyDescent="0.3">
      <c r="A1433" s="348"/>
      <c r="B1433" s="348"/>
      <c r="C1433" s="348"/>
      <c r="D1433" s="348"/>
      <c r="E1433" s="348"/>
      <c r="F1433" s="348"/>
      <c r="G1433" s="348"/>
      <c r="H1433" s="348"/>
      <c r="I1433" s="348"/>
      <c r="J1433" s="348"/>
      <c r="K1433" s="348"/>
      <c r="L1433" s="348"/>
      <c r="M1433" s="348"/>
      <c r="N1433" s="348"/>
      <c r="O1433" s="348"/>
      <c r="P1433" s="348"/>
    </row>
    <row r="1434" spans="1:16" x14ac:dyDescent="0.3">
      <c r="I1434" s="1"/>
    </row>
    <row r="1435" spans="1:16" x14ac:dyDescent="0.3">
      <c r="B1435" s="1"/>
      <c r="C1435" s="13"/>
      <c r="D1435" s="13"/>
      <c r="E1435" s="13"/>
      <c r="F1435" s="13"/>
      <c r="G1435" s="13"/>
      <c r="H1435" s="1"/>
      <c r="I1435" s="1"/>
      <c r="J1435" s="1"/>
      <c r="N1435" s="1"/>
    </row>
    <row r="1436" spans="1:16" x14ac:dyDescent="0.3">
      <c r="B1436" s="13"/>
      <c r="C1436" s="26"/>
      <c r="D1436" s="3"/>
      <c r="E1436" s="3"/>
      <c r="F1436" s="3"/>
      <c r="G1436" s="4"/>
      <c r="H1436" s="1"/>
      <c r="I1436" s="10"/>
      <c r="J1436" s="11"/>
      <c r="N1436" s="10"/>
    </row>
    <row r="1437" spans="1:16" x14ac:dyDescent="0.3">
      <c r="B1437" s="13"/>
      <c r="C1437" s="5"/>
      <c r="D1437" s="27"/>
      <c r="E1437" s="1"/>
      <c r="F1437" s="1"/>
      <c r="G1437" s="6"/>
      <c r="H1437" s="1"/>
      <c r="I1437" s="10"/>
      <c r="J1437" s="11"/>
      <c r="N1437" s="10"/>
    </row>
    <row r="1438" spans="1:16" x14ac:dyDescent="0.3">
      <c r="B1438" s="13"/>
      <c r="C1438" s="5"/>
      <c r="D1438" s="1"/>
      <c r="E1438" s="27"/>
      <c r="F1438" s="1"/>
      <c r="G1438" s="6"/>
      <c r="H1438" s="1"/>
      <c r="I1438" s="10"/>
      <c r="J1438" s="11"/>
      <c r="N1438" s="10"/>
    </row>
    <row r="1439" spans="1:16" x14ac:dyDescent="0.3">
      <c r="B1439" s="13"/>
      <c r="C1439" s="5"/>
      <c r="D1439" s="1"/>
      <c r="E1439" s="1"/>
      <c r="F1439" s="27"/>
      <c r="G1439" s="6"/>
      <c r="H1439" s="1"/>
      <c r="I1439" s="10"/>
      <c r="J1439" s="11"/>
      <c r="N1439" s="10"/>
    </row>
    <row r="1440" spans="1:16" x14ac:dyDescent="0.3">
      <c r="B1440" s="13"/>
      <c r="C1440" s="7"/>
      <c r="D1440" s="8"/>
      <c r="E1440" s="8"/>
      <c r="F1440" s="8"/>
      <c r="G1440" s="28"/>
      <c r="H1440" s="1"/>
      <c r="I1440" s="10"/>
      <c r="J1440" s="11"/>
      <c r="N1440" s="10"/>
    </row>
    <row r="1441" spans="1:16" x14ac:dyDescent="0.3">
      <c r="B1441" s="1"/>
      <c r="C1441" s="1"/>
      <c r="D1441" s="1"/>
      <c r="E1441" s="1"/>
      <c r="F1441" s="1"/>
      <c r="G1441" s="1"/>
      <c r="H1441" s="1"/>
      <c r="I1441" s="13"/>
    </row>
    <row r="1442" spans="1:16" x14ac:dyDescent="0.3">
      <c r="A1442" s="1"/>
      <c r="B1442" s="1"/>
      <c r="C1442" s="10"/>
      <c r="D1442" s="10"/>
      <c r="E1442" s="10"/>
      <c r="F1442" s="10"/>
      <c r="G1442" s="10"/>
      <c r="H1442" s="10"/>
      <c r="I1442" s="14"/>
    </row>
    <row r="1443" spans="1:16" x14ac:dyDescent="0.3">
      <c r="B1443" s="1"/>
      <c r="C1443" s="11"/>
      <c r="D1443" s="11"/>
      <c r="E1443" s="11"/>
      <c r="F1443" s="11"/>
      <c r="G1443" s="11"/>
    </row>
    <row r="1444" spans="1:16" x14ac:dyDescent="0.3">
      <c r="C1444" s="2"/>
    </row>
    <row r="1445" spans="1:16" x14ac:dyDescent="0.3">
      <c r="B1445" s="15"/>
      <c r="N1445" s="12"/>
      <c r="O1445" s="1"/>
      <c r="P1445" s="1"/>
    </row>
    <row r="1446" spans="1:16" x14ac:dyDescent="0.3">
      <c r="B1446" s="1"/>
      <c r="C1446" s="13"/>
      <c r="D1446" s="13"/>
      <c r="E1446" s="13"/>
      <c r="F1446" s="13"/>
      <c r="G1446" s="13"/>
      <c r="H1446" s="1"/>
      <c r="I1446" s="1"/>
      <c r="J1446" s="15"/>
      <c r="K1446" s="1"/>
      <c r="L1446" s="1"/>
      <c r="O1446" s="1"/>
    </row>
    <row r="1447" spans="1:16" x14ac:dyDescent="0.3">
      <c r="B1447" s="13"/>
      <c r="C1447" s="29"/>
      <c r="D1447" s="31"/>
      <c r="E1447" s="31"/>
      <c r="F1447" s="31"/>
      <c r="G1447" s="32"/>
      <c r="H1447" s="17"/>
      <c r="I1447" s="17"/>
      <c r="J1447" s="17"/>
      <c r="K1447" s="18"/>
      <c r="L1447" s="1"/>
      <c r="N1447" s="1"/>
      <c r="O1447" s="17"/>
      <c r="P1447" s="52"/>
    </row>
    <row r="1448" spans="1:16" x14ac:dyDescent="0.3">
      <c r="B1448" s="13"/>
      <c r="C1448" s="33"/>
      <c r="D1448" s="34"/>
      <c r="E1448" s="19"/>
      <c r="F1448" s="18"/>
      <c r="G1448" s="20"/>
      <c r="H1448" s="17"/>
      <c r="I1448" s="17"/>
      <c r="J1448" s="17"/>
      <c r="K1448" s="18"/>
      <c r="L1448" s="1"/>
      <c r="N1448" s="1"/>
      <c r="O1448" s="17"/>
      <c r="P1448" s="52"/>
    </row>
    <row r="1449" spans="1:16" x14ac:dyDescent="0.3">
      <c r="B1449" s="13"/>
      <c r="C1449" s="33"/>
      <c r="D1449" s="19"/>
      <c r="E1449" s="34"/>
      <c r="F1449" s="19"/>
      <c r="G1449" s="20"/>
      <c r="H1449" s="17"/>
      <c r="I1449" s="17"/>
      <c r="J1449" s="17"/>
      <c r="K1449" s="18"/>
      <c r="L1449" s="1"/>
      <c r="N1449" s="1"/>
      <c r="O1449" s="17"/>
      <c r="P1449" s="52"/>
    </row>
    <row r="1450" spans="1:16" x14ac:dyDescent="0.3">
      <c r="B1450" s="13"/>
      <c r="C1450" s="33"/>
      <c r="D1450" s="19"/>
      <c r="E1450" s="19"/>
      <c r="F1450" s="34"/>
      <c r="G1450" s="20"/>
      <c r="H1450" s="17"/>
      <c r="I1450" s="17"/>
      <c r="J1450" s="17"/>
      <c r="K1450" s="18"/>
      <c r="L1450" s="1"/>
      <c r="N1450" s="1"/>
      <c r="O1450" s="17"/>
      <c r="P1450" s="52"/>
    </row>
    <row r="1451" spans="1:16" x14ac:dyDescent="0.3">
      <c r="B1451" s="13"/>
      <c r="C1451" s="35"/>
      <c r="D1451" s="36"/>
      <c r="E1451" s="21"/>
      <c r="F1451" s="21"/>
      <c r="G1451" s="37"/>
      <c r="H1451" s="17"/>
      <c r="I1451" s="17"/>
      <c r="J1451" s="17"/>
      <c r="K1451" s="18"/>
      <c r="L1451" s="1"/>
      <c r="N1451" s="1"/>
      <c r="O1451" s="17"/>
      <c r="P1451" s="52"/>
    </row>
    <row r="1452" spans="1:16" x14ac:dyDescent="0.3">
      <c r="C1452" s="17"/>
      <c r="D1452" s="17"/>
      <c r="E1452" s="17"/>
      <c r="F1452" s="17"/>
      <c r="G1452" s="17"/>
      <c r="H1452" s="1"/>
      <c r="I1452" s="13"/>
      <c r="J1452" s="12"/>
      <c r="N1452" s="1"/>
      <c r="O1452" s="17"/>
    </row>
    <row r="1453" spans="1:16" x14ac:dyDescent="0.3">
      <c r="B1453" s="16"/>
      <c r="C1453" s="18"/>
      <c r="D1453" s="18"/>
      <c r="E1453" s="18"/>
      <c r="F1453" s="18"/>
      <c r="G1453" s="18"/>
      <c r="H1453" s="1"/>
      <c r="I1453" s="56"/>
      <c r="J1453" s="53"/>
      <c r="M1453" s="1"/>
      <c r="N1453" s="9"/>
    </row>
    <row r="1454" spans="1:16" x14ac:dyDescent="0.3">
      <c r="B1454" s="1"/>
      <c r="C1454" s="17"/>
      <c r="D1454" s="17"/>
      <c r="E1454" s="17"/>
      <c r="F1454" s="17"/>
      <c r="G1454" s="17"/>
      <c r="H1454" s="1"/>
    </row>
    <row r="1455" spans="1:16" x14ac:dyDescent="0.3">
      <c r="B1455" s="16"/>
      <c r="C1455" s="18"/>
      <c r="D1455" s="18"/>
      <c r="E1455" s="18"/>
      <c r="F1455" s="18"/>
      <c r="G1455" s="18"/>
      <c r="H1455" s="1"/>
      <c r="I1455" s="14"/>
    </row>
    <row r="1456" spans="1:16" x14ac:dyDescent="0.3">
      <c r="B1456" s="1"/>
      <c r="C1456" s="18"/>
      <c r="D1456" s="18"/>
      <c r="E1456" s="18"/>
      <c r="F1456" s="18"/>
      <c r="G1456" s="18"/>
    </row>
    <row r="1457" spans="2:7" x14ac:dyDescent="0.3">
      <c r="B1457" s="1"/>
      <c r="C1457" s="1"/>
      <c r="D1457" s="1"/>
      <c r="E1457" s="1"/>
      <c r="F1457" s="1"/>
      <c r="G1457" s="1"/>
    </row>
    <row r="1458" spans="2:7" x14ac:dyDescent="0.3">
      <c r="B1458" s="1"/>
      <c r="C1458" s="18"/>
      <c r="D1458" s="18"/>
      <c r="E1458" s="18"/>
      <c r="F1458" s="18"/>
      <c r="G1458" s="18"/>
    </row>
    <row r="1459" spans="2:7" x14ac:dyDescent="0.3">
      <c r="B1459" s="1"/>
      <c r="C1459" s="18"/>
      <c r="D1459" s="18"/>
      <c r="E1459" s="18"/>
      <c r="F1459" s="18"/>
      <c r="G1459" s="18"/>
    </row>
  </sheetData>
  <mergeCells count="102">
    <mergeCell ref="A1375:K1375"/>
    <mergeCell ref="L1375:P1375"/>
    <mergeCell ref="A1404:K1404"/>
    <mergeCell ref="L1404:P1404"/>
    <mergeCell ref="A1433:K1433"/>
    <mergeCell ref="L1433:P1433"/>
    <mergeCell ref="A1288:K1288"/>
    <mergeCell ref="L1288:P1288"/>
    <mergeCell ref="A1317:K1317"/>
    <mergeCell ref="L1317:P1317"/>
    <mergeCell ref="A1346:K1346"/>
    <mergeCell ref="L1346:P1346"/>
    <mergeCell ref="A1201:K1201"/>
    <mergeCell ref="L1201:P1201"/>
    <mergeCell ref="A1230:K1230"/>
    <mergeCell ref="L1230:P1230"/>
    <mergeCell ref="A1259:K1259"/>
    <mergeCell ref="L1259:P1259"/>
    <mergeCell ref="A1114:K1114"/>
    <mergeCell ref="L1114:P1114"/>
    <mergeCell ref="A1143:K1143"/>
    <mergeCell ref="L1143:P1143"/>
    <mergeCell ref="A1172:K1172"/>
    <mergeCell ref="L1172:P1172"/>
    <mergeCell ref="A1027:K1027"/>
    <mergeCell ref="L1027:P1027"/>
    <mergeCell ref="A1056:K1056"/>
    <mergeCell ref="L1056:P1056"/>
    <mergeCell ref="A1085:K1085"/>
    <mergeCell ref="L1085:P1085"/>
    <mergeCell ref="A940:K940"/>
    <mergeCell ref="L940:P940"/>
    <mergeCell ref="A969:K969"/>
    <mergeCell ref="L969:P969"/>
    <mergeCell ref="A998:K998"/>
    <mergeCell ref="L998:P998"/>
    <mergeCell ref="A853:K853"/>
    <mergeCell ref="L853:P853"/>
    <mergeCell ref="A882:K882"/>
    <mergeCell ref="L882:P882"/>
    <mergeCell ref="A911:K911"/>
    <mergeCell ref="L911:P911"/>
    <mergeCell ref="A766:K766"/>
    <mergeCell ref="L766:P766"/>
    <mergeCell ref="A795:K795"/>
    <mergeCell ref="L795:P795"/>
    <mergeCell ref="A824:K824"/>
    <mergeCell ref="L824:P824"/>
    <mergeCell ref="A679:K679"/>
    <mergeCell ref="L679:P679"/>
    <mergeCell ref="A708:K708"/>
    <mergeCell ref="L708:P708"/>
    <mergeCell ref="A737:K737"/>
    <mergeCell ref="L737:P737"/>
    <mergeCell ref="A592:K592"/>
    <mergeCell ref="L592:P592"/>
    <mergeCell ref="A621:K621"/>
    <mergeCell ref="L621:P621"/>
    <mergeCell ref="A650:K650"/>
    <mergeCell ref="L650:P650"/>
    <mergeCell ref="A505:K505"/>
    <mergeCell ref="L505:P505"/>
    <mergeCell ref="A534:K534"/>
    <mergeCell ref="L534:P534"/>
    <mergeCell ref="A563:K563"/>
    <mergeCell ref="L563:P563"/>
    <mergeCell ref="A418:K418"/>
    <mergeCell ref="L418:P418"/>
    <mergeCell ref="A447:K447"/>
    <mergeCell ref="L447:P447"/>
    <mergeCell ref="A476:K476"/>
    <mergeCell ref="L476:P476"/>
    <mergeCell ref="A360:K360"/>
    <mergeCell ref="L360:P360"/>
    <mergeCell ref="A389:K389"/>
    <mergeCell ref="L389:P389"/>
    <mergeCell ref="A244:K244"/>
    <mergeCell ref="L244:P244"/>
    <mergeCell ref="A273:K273"/>
    <mergeCell ref="L273:P273"/>
    <mergeCell ref="A302:K302"/>
    <mergeCell ref="L302:P302"/>
    <mergeCell ref="A215:K215"/>
    <mergeCell ref="L215:P215"/>
    <mergeCell ref="AJ80:AT80"/>
    <mergeCell ref="AU80:AY80"/>
    <mergeCell ref="A99:K99"/>
    <mergeCell ref="L99:P99"/>
    <mergeCell ref="A128:K128"/>
    <mergeCell ref="L128:P128"/>
    <mergeCell ref="A331:K331"/>
    <mergeCell ref="L331:P331"/>
    <mergeCell ref="A12:K12"/>
    <mergeCell ref="L12:P12"/>
    <mergeCell ref="A41:K41"/>
    <mergeCell ref="L41:P41"/>
    <mergeCell ref="A70:K70"/>
    <mergeCell ref="L70:P70"/>
    <mergeCell ref="A157:K157"/>
    <mergeCell ref="L157:P157"/>
    <mergeCell ref="A186:K186"/>
    <mergeCell ref="L186:P18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58FF3-CC9D-46BD-9B20-A173A0D8F060}">
  <dimension ref="B1:L612"/>
  <sheetViews>
    <sheetView topLeftCell="A398" zoomScale="70" zoomScaleNormal="70" workbookViewId="0">
      <selection activeCell="F488" sqref="F488"/>
    </sheetView>
  </sheetViews>
  <sheetFormatPr baseColWidth="10" defaultRowHeight="14.4" x14ac:dyDescent="0.3"/>
  <cols>
    <col min="1" max="1" width="7.21875" bestFit="1" customWidth="1"/>
    <col min="2" max="2" width="15" bestFit="1" customWidth="1"/>
    <col min="10" max="10" width="12.6640625" bestFit="1" customWidth="1"/>
    <col min="11" max="11" width="13" customWidth="1"/>
  </cols>
  <sheetData>
    <row r="1" spans="2:12" x14ac:dyDescent="0.3">
      <c r="J1" s="130" t="s">
        <v>676</v>
      </c>
      <c r="K1" s="130">
        <v>110245</v>
      </c>
    </row>
    <row r="2" spans="2:12" x14ac:dyDescent="0.3">
      <c r="J2" s="130" t="s">
        <v>713</v>
      </c>
      <c r="K2" s="137">
        <f>6196*1.02</f>
        <v>6319.92</v>
      </c>
    </row>
    <row r="3" spans="2:12" x14ac:dyDescent="0.3">
      <c r="D3" t="s">
        <v>3</v>
      </c>
      <c r="E3" t="s">
        <v>4</v>
      </c>
      <c r="F3" t="s">
        <v>5</v>
      </c>
      <c r="G3" t="s">
        <v>6</v>
      </c>
      <c r="H3" t="s">
        <v>7</v>
      </c>
      <c r="J3" s="130" t="s">
        <v>636</v>
      </c>
      <c r="K3" s="130">
        <v>24755.95</v>
      </c>
    </row>
    <row r="4" spans="2:12" x14ac:dyDescent="0.3">
      <c r="D4" t="s">
        <v>391</v>
      </c>
      <c r="E4" t="s">
        <v>392</v>
      </c>
      <c r="F4" t="s">
        <v>393</v>
      </c>
      <c r="G4" t="s">
        <v>394</v>
      </c>
      <c r="H4" t="s">
        <v>395</v>
      </c>
      <c r="J4" s="130" t="s">
        <v>714</v>
      </c>
      <c r="K4" s="130">
        <v>1468.76</v>
      </c>
    </row>
    <row r="5" spans="2:12" x14ac:dyDescent="0.3">
      <c r="B5" s="118" t="s">
        <v>352</v>
      </c>
      <c r="C5" s="8">
        <v>20</v>
      </c>
      <c r="D5" s="90" t="s">
        <v>447</v>
      </c>
      <c r="E5" s="91" t="s">
        <v>446</v>
      </c>
      <c r="F5" s="92" t="s">
        <v>448</v>
      </c>
      <c r="G5" s="124" t="s">
        <v>449</v>
      </c>
      <c r="H5" s="123" t="s">
        <v>450</v>
      </c>
      <c r="I5" s="211" t="s">
        <v>451</v>
      </c>
    </row>
    <row r="6" spans="2:12" x14ac:dyDescent="0.3">
      <c r="B6" s="106" t="s">
        <v>637</v>
      </c>
      <c r="C6" s="107" t="s">
        <v>28</v>
      </c>
      <c r="D6" s="108">
        <f>'77_Seeds'!AL109</f>
        <v>0.25311920475331334</v>
      </c>
      <c r="E6" s="108">
        <f>'77_Seeds'!AM109</f>
        <v>0.51529975643671455</v>
      </c>
      <c r="F6" s="108">
        <f>'77_Seeds'!AN109</f>
        <v>41.176394559948548</v>
      </c>
      <c r="G6" s="108">
        <f>'77_Seeds'!AO109</f>
        <v>46.545271530595073</v>
      </c>
      <c r="H6" s="108">
        <f>'77_Seeds'!AP109</f>
        <v>11.50991494826634</v>
      </c>
      <c r="I6" s="111"/>
      <c r="J6" s="228" t="s">
        <v>72</v>
      </c>
      <c r="K6" s="229">
        <f>'77_Seeds'!AS109</f>
        <v>0.96148214544033306</v>
      </c>
      <c r="L6" s="119">
        <v>1977</v>
      </c>
    </row>
    <row r="7" spans="2:12" x14ac:dyDescent="0.3">
      <c r="B7" s="107"/>
      <c r="C7" s="109" t="s">
        <v>39</v>
      </c>
      <c r="D7" s="110">
        <f>'77_Seeds'!AL110</f>
        <v>2.2106691542278789E-3</v>
      </c>
      <c r="E7" s="110">
        <f>'77_Seeds'!AM110</f>
        <v>0</v>
      </c>
      <c r="F7" s="110">
        <f>'77_Seeds'!AN110</f>
        <v>0.33058436605058539</v>
      </c>
      <c r="G7" s="110">
        <f>'77_Seeds'!AO110</f>
        <v>0.76336475606491649</v>
      </c>
      <c r="H7" s="110">
        <f>'77_Seeds'!AP110</f>
        <v>0.70141599007828537</v>
      </c>
      <c r="I7" s="111"/>
      <c r="J7" s="228" t="s">
        <v>29</v>
      </c>
      <c r="K7" s="229">
        <f>'77_Seeds'!AS110</f>
        <v>7.6920773711745584E-3</v>
      </c>
      <c r="L7" s="119">
        <v>1988</v>
      </c>
    </row>
    <row r="8" spans="2:12" x14ac:dyDescent="0.3">
      <c r="B8" s="107"/>
      <c r="C8" s="107" t="s">
        <v>30</v>
      </c>
      <c r="D8" s="108">
        <f>'77_Seeds'!AL111</f>
        <v>100</v>
      </c>
      <c r="E8" s="108">
        <f>'77_Seeds'!AM111</f>
        <v>100</v>
      </c>
      <c r="F8" s="108">
        <f>'77_Seeds'!AN111</f>
        <v>98.85075688832292</v>
      </c>
      <c r="G8" s="108">
        <f>'77_Seeds'!AO111</f>
        <v>95.489219231114959</v>
      </c>
      <c r="H8" s="108">
        <f>'77_Seeds'!AP111</f>
        <v>88.887724830540648</v>
      </c>
      <c r="I8" s="111"/>
      <c r="J8" s="111"/>
      <c r="K8" s="111"/>
      <c r="L8" s="119" t="s">
        <v>369</v>
      </c>
    </row>
    <row r="9" spans="2:12" x14ac:dyDescent="0.3">
      <c r="B9" s="107"/>
      <c r="C9" s="109" t="s">
        <v>39</v>
      </c>
      <c r="D9" s="110">
        <f>'77_Seeds'!AL112</f>
        <v>0</v>
      </c>
      <c r="E9" s="110">
        <f>'77_Seeds'!AM112</f>
        <v>0</v>
      </c>
      <c r="F9" s="110">
        <f>'77_Seeds'!AN112</f>
        <v>0.79631186619877692</v>
      </c>
      <c r="G9" s="110">
        <f>'77_Seeds'!AO112</f>
        <v>0.91866069291988228</v>
      </c>
      <c r="H9" s="110">
        <f>'77_Seeds'!AP112</f>
        <v>5.7194625793975327</v>
      </c>
      <c r="I9" s="111"/>
      <c r="J9" s="111"/>
      <c r="K9" s="111"/>
      <c r="L9" s="119" t="s">
        <v>371</v>
      </c>
    </row>
    <row r="10" spans="2:12" x14ac:dyDescent="0.3">
      <c r="B10" s="107"/>
      <c r="C10" s="111" t="s">
        <v>31</v>
      </c>
      <c r="D10" s="112">
        <f>'77_Seeds'!AL113</f>
        <v>99.130434782608702</v>
      </c>
      <c r="E10" s="112">
        <f>'77_Seeds'!AM113</f>
        <v>100</v>
      </c>
      <c r="F10" s="112">
        <f>'77_Seeds'!AN113</f>
        <v>100</v>
      </c>
      <c r="G10" s="112">
        <f>'77_Seeds'!AO113</f>
        <v>96.527777777777786</v>
      </c>
      <c r="H10" s="112">
        <f>'77_Seeds'!AP113</f>
        <v>81.967213114754102</v>
      </c>
      <c r="I10" s="111"/>
      <c r="J10" s="111"/>
      <c r="K10" s="111"/>
      <c r="L10" s="119" t="s">
        <v>373</v>
      </c>
    </row>
    <row r="11" spans="2:12" x14ac:dyDescent="0.3">
      <c r="B11" s="107"/>
      <c r="C11" s="113" t="s">
        <v>39</v>
      </c>
      <c r="D11" s="114">
        <f>'77_Seeds'!AL114</f>
        <v>0.86956521739130099</v>
      </c>
      <c r="E11" s="114">
        <f>'77_Seeds'!AM114</f>
        <v>0</v>
      </c>
      <c r="F11" s="114">
        <f>'77_Seeds'!AN114</f>
        <v>0</v>
      </c>
      <c r="G11" s="114">
        <f>'77_Seeds'!AO114</f>
        <v>1.5309531175003726</v>
      </c>
      <c r="H11" s="114">
        <f>'77_Seeds'!AP114</f>
        <v>2.4663140269083059</v>
      </c>
      <c r="I11" s="107"/>
      <c r="J11" s="107"/>
      <c r="K11" s="107"/>
      <c r="L11" s="119" t="s">
        <v>378</v>
      </c>
    </row>
    <row r="12" spans="2:12" x14ac:dyDescent="0.3">
      <c r="B12" s="107"/>
      <c r="C12" s="109" t="s">
        <v>51</v>
      </c>
      <c r="D12" s="110">
        <f>'77_Seeds'!AL115</f>
        <v>99.563318777292579</v>
      </c>
      <c r="E12" s="110">
        <f>'77_Seeds'!AM115</f>
        <v>100</v>
      </c>
      <c r="F12" s="110">
        <f>'77_Seeds'!AN115</f>
        <v>98.888888888888886</v>
      </c>
      <c r="G12" s="110">
        <f>'77_Seeds'!AO115</f>
        <v>85.538461538461547</v>
      </c>
      <c r="H12" s="110">
        <f>'77_Seeds'!AP115</f>
        <v>89.285714285714278</v>
      </c>
      <c r="I12" s="107"/>
      <c r="J12" s="107"/>
      <c r="K12" s="107"/>
      <c r="L12" s="119" t="s">
        <v>380</v>
      </c>
    </row>
    <row r="13" spans="2:12" x14ac:dyDescent="0.3">
      <c r="B13" s="115" t="s">
        <v>375</v>
      </c>
      <c r="C13" s="107" t="s">
        <v>9</v>
      </c>
      <c r="D13" s="116">
        <f>'77_Seeds'!AL116</f>
        <v>159.15</v>
      </c>
      <c r="E13" s="116">
        <f>'77_Seeds'!AM116</f>
        <v>321.18</v>
      </c>
      <c r="F13" s="116">
        <f>'77_Seeds'!AN116</f>
        <v>25369.79</v>
      </c>
      <c r="G13" s="116">
        <f>'77_Seeds'!AO116</f>
        <v>28698.959999999999</v>
      </c>
      <c r="H13" s="116">
        <f>'77_Seeds'!AP116</f>
        <v>7779.69</v>
      </c>
      <c r="I13" s="143">
        <f>$K$1-K13</f>
        <v>47916.229999999996</v>
      </c>
      <c r="J13" s="115" t="s">
        <v>36</v>
      </c>
      <c r="K13" s="111">
        <f>SUM(D13:H13)</f>
        <v>62328.770000000004</v>
      </c>
      <c r="L13" s="119" t="s">
        <v>452</v>
      </c>
    </row>
    <row r="14" spans="2:12" x14ac:dyDescent="0.3">
      <c r="B14" s="115" t="s">
        <v>355</v>
      </c>
      <c r="C14" s="107" t="s">
        <v>390</v>
      </c>
      <c r="D14" s="108">
        <f>'77_Seeds'!AL117</f>
        <v>157.76608695652175</v>
      </c>
      <c r="E14" s="108">
        <f>'77_Seeds'!AM117</f>
        <v>321.18000000000006</v>
      </c>
      <c r="F14" s="108">
        <f>'77_Seeds'!AN117</f>
        <v>25664.740259562841</v>
      </c>
      <c r="G14" s="108">
        <f>'77_Seeds'!AO117</f>
        <v>29011.095238180085</v>
      </c>
      <c r="H14" s="108">
        <f>'77_Seeds'!AP117</f>
        <v>7173.9884153005469</v>
      </c>
      <c r="I14" s="143">
        <f>$K$1-K14</f>
        <v>47916.23</v>
      </c>
      <c r="J14" s="115" t="s">
        <v>36</v>
      </c>
      <c r="K14" s="111">
        <f>SUM(D14:H14)</f>
        <v>62328.77</v>
      </c>
      <c r="L14" s="119" t="s">
        <v>453</v>
      </c>
    </row>
    <row r="15" spans="2:12" x14ac:dyDescent="0.3">
      <c r="B15" s="115"/>
      <c r="C15" s="107" t="s">
        <v>455</v>
      </c>
      <c r="D15" s="146">
        <f t="shared" ref="D15:I15" si="0">D14/$K$1</f>
        <v>1.431049815923822E-3</v>
      </c>
      <c r="E15" s="146">
        <f t="shared" si="0"/>
        <v>2.9133294026940002E-3</v>
      </c>
      <c r="F15" s="146">
        <f t="shared" si="0"/>
        <v>0.23279731742539653</v>
      </c>
      <c r="G15" s="146">
        <f t="shared" si="0"/>
        <v>0.26315112012499509</v>
      </c>
      <c r="H15" s="146">
        <f t="shared" si="0"/>
        <v>6.5073140870792745E-2</v>
      </c>
      <c r="I15" s="146">
        <f t="shared" si="0"/>
        <v>0.43463404236019776</v>
      </c>
      <c r="J15" s="144">
        <f>SUM(D15:I15)</f>
        <v>1</v>
      </c>
      <c r="K15" s="117"/>
      <c r="L15" s="119" t="s">
        <v>454</v>
      </c>
    </row>
    <row r="16" spans="2:12" x14ac:dyDescent="0.3">
      <c r="B16" s="107"/>
      <c r="C16" s="107" t="s">
        <v>354</v>
      </c>
      <c r="D16" s="108">
        <f>'77_Seeds'!AL118</f>
        <v>1.3778828925996398</v>
      </c>
      <c r="E16" s="108">
        <f>'77_Seeds'!AM118</f>
        <v>0</v>
      </c>
      <c r="F16" s="108">
        <f>'77_Seeds'!AN118</f>
        <v>206.04916917162748</v>
      </c>
      <c r="G16" s="108">
        <f>'77_Seeds'!AO118</f>
        <v>475.79586306876291</v>
      </c>
      <c r="H16" s="108">
        <f>'77_Seeds'!AP118</f>
        <v>437.18395919911728</v>
      </c>
      <c r="I16" s="107"/>
      <c r="J16" s="107"/>
      <c r="K16" s="107"/>
      <c r="L16" s="119" t="s">
        <v>388</v>
      </c>
    </row>
    <row r="17" spans="2:11" x14ac:dyDescent="0.3">
      <c r="B17" s="107"/>
      <c r="C17" s="147" t="s">
        <v>458</v>
      </c>
      <c r="D17" s="108">
        <f>1.96*D16</f>
        <v>2.7006504694952942</v>
      </c>
      <c r="E17" s="108">
        <f>1.96*E16</f>
        <v>0</v>
      </c>
      <c r="F17" s="108">
        <f>1.96*F16</f>
        <v>403.85637157638985</v>
      </c>
      <c r="G17" s="108">
        <f>1.96*G16</f>
        <v>932.55989161477532</v>
      </c>
      <c r="H17" s="108">
        <f>1.96*H16</f>
        <v>856.88056003026986</v>
      </c>
      <c r="I17" s="107"/>
      <c r="J17" s="107"/>
      <c r="K17" s="107"/>
    </row>
    <row r="18" spans="2:11" x14ac:dyDescent="0.3">
      <c r="B18" s="107"/>
      <c r="C18" s="147" t="s">
        <v>457</v>
      </c>
      <c r="D18" s="148">
        <f>D16/$K$1</f>
        <v>1.2498370834048164E-5</v>
      </c>
      <c r="E18" s="148">
        <f>E16/$K$1</f>
        <v>0</v>
      </c>
      <c r="F18" s="148">
        <f>F16/$K$1</f>
        <v>1.8690114669293618E-3</v>
      </c>
      <c r="G18" s="148">
        <f>G16/$K$1</f>
        <v>4.3158044634111561E-3</v>
      </c>
      <c r="H18" s="148">
        <f>H16/$K$1</f>
        <v>3.9655672293447981E-3</v>
      </c>
      <c r="I18" s="146"/>
      <c r="J18" s="107"/>
      <c r="K18" s="107"/>
    </row>
    <row r="19" spans="2:11" x14ac:dyDescent="0.3">
      <c r="B19" s="107"/>
      <c r="C19" s="128" t="s">
        <v>459</v>
      </c>
      <c r="D19" s="149">
        <f>1.96*D18</f>
        <v>2.44968068347344E-5</v>
      </c>
      <c r="E19" s="149">
        <f>1.96*E18</f>
        <v>0</v>
      </c>
      <c r="F19" s="149">
        <f>1.96*F18</f>
        <v>3.6632624751815491E-3</v>
      </c>
      <c r="G19" s="149">
        <f>1.96*G18</f>
        <v>8.4589767482858656E-3</v>
      </c>
      <c r="H19" s="149">
        <f>1.96*H18</f>
        <v>7.7725117695158037E-3</v>
      </c>
      <c r="I19" s="107"/>
      <c r="J19" s="107"/>
      <c r="K19" s="107"/>
    </row>
    <row r="20" spans="2:11" x14ac:dyDescent="0.3">
      <c r="B20" s="115" t="s">
        <v>376</v>
      </c>
      <c r="C20" s="122" t="s">
        <v>9</v>
      </c>
      <c r="D20" s="135">
        <f>'77_Seeds'!AL119</f>
        <v>159.97800000000001</v>
      </c>
      <c r="E20" s="135">
        <f>'77_Seeds'!AM119</f>
        <v>331.03100000000006</v>
      </c>
      <c r="F20" s="135">
        <f>'77_Seeds'!AN119</f>
        <v>25344.011499999997</v>
      </c>
      <c r="G20" s="135">
        <f>'77_Seeds'!AO119</f>
        <v>28524.8305</v>
      </c>
      <c r="H20" s="135">
        <f>'77_Seeds'!AP119</f>
        <v>7968.9289999999992</v>
      </c>
      <c r="I20" s="107"/>
      <c r="J20" s="115" t="s">
        <v>36</v>
      </c>
      <c r="K20" s="136">
        <f>SUM(D20:H20)</f>
        <v>62328.779999999992</v>
      </c>
    </row>
    <row r="21" spans="2:11" x14ac:dyDescent="0.3">
      <c r="B21" s="107"/>
      <c r="C21" s="147" t="s">
        <v>368</v>
      </c>
      <c r="D21" s="108">
        <f>'77_Seeds'!AL120</f>
        <v>0.84713809226620185</v>
      </c>
      <c r="E21" s="108">
        <f>'77_Seeds'!AM120</f>
        <v>9.9418975976470776</v>
      </c>
      <c r="F21" s="108">
        <f>'77_Seeds'!AN120</f>
        <v>75.444175162395481</v>
      </c>
      <c r="G21" s="108">
        <f>'77_Seeds'!AO120</f>
        <v>88.153630404016312</v>
      </c>
      <c r="H21" s="108">
        <f>'77_Seeds'!AP120</f>
        <v>42.932841170833271</v>
      </c>
      <c r="I21" s="107"/>
      <c r="J21" s="107"/>
      <c r="K21" s="107"/>
    </row>
    <row r="22" spans="2:11" x14ac:dyDescent="0.3">
      <c r="B22" s="107"/>
      <c r="C22" s="147" t="s">
        <v>458</v>
      </c>
      <c r="D22" s="108">
        <f>1.96*D21</f>
        <v>1.6603906608417556</v>
      </c>
      <c r="E22" s="108">
        <f>1.96*E21</f>
        <v>19.48611929138827</v>
      </c>
      <c r="F22" s="108">
        <f>1.96*F21</f>
        <v>147.87058331829513</v>
      </c>
      <c r="G22" s="108">
        <f>1.96*G21</f>
        <v>172.78111559187198</v>
      </c>
      <c r="H22" s="108">
        <f>1.96*H21</f>
        <v>84.148368694833209</v>
      </c>
      <c r="I22" s="107"/>
      <c r="J22" s="107"/>
      <c r="K22" s="107"/>
    </row>
    <row r="23" spans="2:11" x14ac:dyDescent="0.3">
      <c r="B23" s="107"/>
      <c r="C23" s="147" t="s">
        <v>457</v>
      </c>
      <c r="D23" s="148">
        <f>D21/$K$1</f>
        <v>7.6841407072085067E-6</v>
      </c>
      <c r="E23" s="148">
        <f>E21/$K$1</f>
        <v>9.0180031726128879E-5</v>
      </c>
      <c r="F23" s="148">
        <f>F21/$K$1</f>
        <v>6.8433194396476469E-4</v>
      </c>
      <c r="G23" s="148">
        <f>G21/$K$1</f>
        <v>7.9961567784494819E-4</v>
      </c>
      <c r="H23" s="148">
        <f>H21/$K$1</f>
        <v>3.8943118663733751E-4</v>
      </c>
      <c r="I23" s="107"/>
      <c r="J23" s="107"/>
      <c r="K23" s="107"/>
    </row>
    <row r="24" spans="2:11" x14ac:dyDescent="0.3">
      <c r="B24" s="107"/>
      <c r="C24" s="128" t="s">
        <v>459</v>
      </c>
      <c r="D24" s="149">
        <f>1.96*D23</f>
        <v>1.5060915786128672E-5</v>
      </c>
      <c r="E24" s="149">
        <f>1.96*E23</f>
        <v>1.7675286218321259E-4</v>
      </c>
      <c r="F24" s="149">
        <f>1.96*F23</f>
        <v>1.3412906101709387E-3</v>
      </c>
      <c r="G24" s="149">
        <f>1.96*G23</f>
        <v>1.5672467285760983E-3</v>
      </c>
      <c r="H24" s="149">
        <f>1.96*H23</f>
        <v>7.6328512580918148E-4</v>
      </c>
      <c r="I24" s="107"/>
      <c r="J24" s="107"/>
      <c r="K24" s="107"/>
    </row>
    <row r="25" spans="2:11" x14ac:dyDescent="0.3">
      <c r="B25" s="119" t="s">
        <v>646</v>
      </c>
      <c r="C25" s="107"/>
      <c r="D25" s="116"/>
      <c r="E25" s="116"/>
      <c r="F25" s="116"/>
      <c r="G25" s="116"/>
      <c r="H25" s="116"/>
      <c r="I25" s="107"/>
      <c r="J25" s="107"/>
      <c r="K25" s="107"/>
    </row>
    <row r="26" spans="2:11" x14ac:dyDescent="0.3">
      <c r="B26" s="115" t="s">
        <v>375</v>
      </c>
      <c r="C26" s="122" t="s">
        <v>9</v>
      </c>
      <c r="D26" s="135" t="str">
        <f>'77_Seeds'!AL122</f>
        <v>-</v>
      </c>
      <c r="E26" s="135" t="str">
        <f>'77_Seeds'!AM122</f>
        <v>-</v>
      </c>
      <c r="F26" s="135" t="str">
        <f>'77_Seeds'!AN122</f>
        <v>-</v>
      </c>
      <c r="G26" s="135" t="str">
        <f>'77_Seeds'!AO122</f>
        <v>-</v>
      </c>
      <c r="H26" s="135" t="str">
        <f>'77_Seeds'!AP122</f>
        <v>-</v>
      </c>
      <c r="I26" s="108">
        <f>$K$2-K26</f>
        <v>6319.92</v>
      </c>
      <c r="J26" s="115" t="s">
        <v>36</v>
      </c>
      <c r="K26" s="136">
        <f t="shared" ref="K26:K28" si="1">SUM(D26:H26)</f>
        <v>0</v>
      </c>
    </row>
    <row r="27" spans="2:11" x14ac:dyDescent="0.3">
      <c r="B27" s="107"/>
      <c r="C27" s="107" t="s">
        <v>455</v>
      </c>
      <c r="D27" s="145" t="e">
        <f t="shared" ref="D27:I27" si="2">D26/$K$2</f>
        <v>#VALUE!</v>
      </c>
      <c r="E27" s="145" t="e">
        <f t="shared" si="2"/>
        <v>#VALUE!</v>
      </c>
      <c r="F27" s="145" t="e">
        <f t="shared" si="2"/>
        <v>#VALUE!</v>
      </c>
      <c r="G27" s="145" t="e">
        <f t="shared" si="2"/>
        <v>#VALUE!</v>
      </c>
      <c r="H27" s="145" t="e">
        <f t="shared" si="2"/>
        <v>#VALUE!</v>
      </c>
      <c r="I27" s="145">
        <f t="shared" si="2"/>
        <v>1</v>
      </c>
      <c r="J27" s="144" t="e">
        <f>SUM(D27:I27)</f>
        <v>#VALUE!</v>
      </c>
      <c r="K27" s="107"/>
    </row>
    <row r="28" spans="2:11" x14ac:dyDescent="0.3">
      <c r="B28" s="115" t="s">
        <v>376</v>
      </c>
      <c r="C28" s="122" t="s">
        <v>9</v>
      </c>
      <c r="D28" s="135" t="str">
        <f>'77_Seeds'!AL124</f>
        <v>-</v>
      </c>
      <c r="E28" s="135" t="str">
        <f>'77_Seeds'!AM124</f>
        <v>-</v>
      </c>
      <c r="F28" s="135" t="str">
        <f>'77_Seeds'!AN124</f>
        <v>-</v>
      </c>
      <c r="G28" s="135" t="str">
        <f>'77_Seeds'!AO124</f>
        <v>-</v>
      </c>
      <c r="H28" s="135" t="str">
        <f>'77_Seeds'!AP124</f>
        <v>-</v>
      </c>
      <c r="I28" s="108">
        <f>$K$2-K28</f>
        <v>6319.92</v>
      </c>
      <c r="J28" s="115" t="s">
        <v>36</v>
      </c>
      <c r="K28" s="136">
        <f t="shared" si="1"/>
        <v>0</v>
      </c>
    </row>
    <row r="29" spans="2:11" x14ac:dyDescent="0.3">
      <c r="B29" s="115"/>
      <c r="C29" s="140" t="s">
        <v>455</v>
      </c>
      <c r="D29" s="150" t="e">
        <f t="shared" ref="D29:I29" si="3">D28/$K$2</f>
        <v>#VALUE!</v>
      </c>
      <c r="E29" s="150" t="e">
        <f t="shared" si="3"/>
        <v>#VALUE!</v>
      </c>
      <c r="F29" s="150" t="e">
        <f t="shared" si="3"/>
        <v>#VALUE!</v>
      </c>
      <c r="G29" s="150" t="e">
        <f t="shared" si="3"/>
        <v>#VALUE!</v>
      </c>
      <c r="H29" s="150" t="e">
        <f t="shared" si="3"/>
        <v>#VALUE!</v>
      </c>
      <c r="I29" s="146">
        <f t="shared" si="3"/>
        <v>1</v>
      </c>
      <c r="J29" s="144" t="e">
        <f>SUM(D29:I29)</f>
        <v>#VALUE!</v>
      </c>
      <c r="K29" s="136"/>
    </row>
    <row r="30" spans="2:11" x14ac:dyDescent="0.3">
      <c r="B30" s="107"/>
      <c r="C30" s="147" t="s">
        <v>368</v>
      </c>
      <c r="D30" s="135" t="str">
        <f>'77_Seeds'!AL125</f>
        <v>-</v>
      </c>
      <c r="E30" s="135" t="str">
        <f>'77_Seeds'!AM125</f>
        <v>-</v>
      </c>
      <c r="F30" s="135" t="str">
        <f>'77_Seeds'!AN125</f>
        <v>-</v>
      </c>
      <c r="G30" s="135" t="str">
        <f>'77_Seeds'!AO125</f>
        <v>-</v>
      </c>
      <c r="H30" s="135" t="str">
        <f>'77_Seeds'!AP125</f>
        <v>-</v>
      </c>
      <c r="I30" s="107"/>
      <c r="J30" s="107"/>
      <c r="K30" s="107"/>
    </row>
    <row r="31" spans="2:11" x14ac:dyDescent="0.3">
      <c r="B31" s="107"/>
      <c r="C31" s="147" t="s">
        <v>458</v>
      </c>
      <c r="D31" s="108" t="e">
        <f>1.96*D30</f>
        <v>#VALUE!</v>
      </c>
      <c r="E31" s="108" t="e">
        <f>1.96*E30</f>
        <v>#VALUE!</v>
      </c>
      <c r="F31" s="108" t="e">
        <f>1.96*F30</f>
        <v>#VALUE!</v>
      </c>
      <c r="G31" s="108" t="e">
        <f>1.96*G30</f>
        <v>#VALUE!</v>
      </c>
      <c r="H31" s="108" t="e">
        <f>1.96*H30</f>
        <v>#VALUE!</v>
      </c>
      <c r="I31" s="107"/>
      <c r="J31" s="107"/>
      <c r="K31" s="107"/>
    </row>
    <row r="32" spans="2:11" x14ac:dyDescent="0.3">
      <c r="B32" s="107"/>
      <c r="C32" s="147" t="s">
        <v>457</v>
      </c>
      <c r="D32" s="148" t="e">
        <f>D30/$K$2</f>
        <v>#VALUE!</v>
      </c>
      <c r="E32" s="148" t="e">
        <f>E30/$K$2</f>
        <v>#VALUE!</v>
      </c>
      <c r="F32" s="148" t="e">
        <f>F30/$K$2</f>
        <v>#VALUE!</v>
      </c>
      <c r="G32" s="148" t="e">
        <f>G30/$K$2</f>
        <v>#VALUE!</v>
      </c>
      <c r="H32" s="148" t="e">
        <f>H30/$K$2</f>
        <v>#VALUE!</v>
      </c>
      <c r="I32" s="148"/>
      <c r="J32" s="107"/>
      <c r="K32" s="107"/>
    </row>
    <row r="33" spans="2:11" x14ac:dyDescent="0.3">
      <c r="B33" s="140"/>
      <c r="C33" s="128" t="s">
        <v>459</v>
      </c>
      <c r="D33" s="149" t="e">
        <f>1.96*D32</f>
        <v>#VALUE!</v>
      </c>
      <c r="E33" s="149" t="e">
        <f>1.96*E32</f>
        <v>#VALUE!</v>
      </c>
      <c r="F33" s="149" t="e">
        <f>1.96*F32</f>
        <v>#VALUE!</v>
      </c>
      <c r="G33" s="149" t="e">
        <f>1.96*G32</f>
        <v>#VALUE!</v>
      </c>
      <c r="H33" s="149" t="e">
        <f>1.96*H32</f>
        <v>#VALUE!</v>
      </c>
      <c r="I33" s="107"/>
      <c r="J33" s="107"/>
      <c r="K33" s="107"/>
    </row>
    <row r="34" spans="2:11" x14ac:dyDescent="0.3">
      <c r="B34" s="119" t="s">
        <v>638</v>
      </c>
      <c r="C34" s="107"/>
      <c r="D34" s="116"/>
      <c r="E34" s="116"/>
      <c r="F34" s="116"/>
      <c r="G34" s="116"/>
      <c r="H34" s="116"/>
      <c r="I34" s="107"/>
      <c r="J34" s="107"/>
      <c r="K34" s="107"/>
    </row>
    <row r="35" spans="2:11" x14ac:dyDescent="0.3">
      <c r="B35" s="115" t="s">
        <v>375</v>
      </c>
      <c r="C35" s="122" t="s">
        <v>9</v>
      </c>
      <c r="D35" s="135">
        <f>'77_Seeds'!AL127</f>
        <v>137.53</v>
      </c>
      <c r="E35" s="135">
        <f>'77_Seeds'!AM127</f>
        <v>47.78</v>
      </c>
      <c r="F35" s="135">
        <f>'77_Seeds'!AN127</f>
        <v>2197.4699999999998</v>
      </c>
      <c r="G35" s="135">
        <f>'77_Seeds'!AO127</f>
        <v>11950.63</v>
      </c>
      <c r="H35" s="135">
        <f>'77_Seeds'!AP127</f>
        <v>4637.07</v>
      </c>
      <c r="I35" s="108">
        <f>$K$3-K35</f>
        <v>5785.4700000000012</v>
      </c>
      <c r="J35" s="115" t="s">
        <v>36</v>
      </c>
      <c r="K35" s="136">
        <f t="shared" ref="K35" si="4">SUM(D35:H35)</f>
        <v>18970.48</v>
      </c>
    </row>
    <row r="36" spans="2:11" x14ac:dyDescent="0.3">
      <c r="B36" s="107"/>
      <c r="C36" s="107" t="s">
        <v>455</v>
      </c>
      <c r="D36" s="145">
        <f t="shared" ref="D36:I36" si="5">D35/$K$3</f>
        <v>5.5554321284378098E-3</v>
      </c>
      <c r="E36" s="145">
        <f t="shared" si="5"/>
        <v>1.9300410608358799E-3</v>
      </c>
      <c r="F36" s="145">
        <f t="shared" si="5"/>
        <v>8.876532712337841E-2</v>
      </c>
      <c r="G36" s="145">
        <f t="shared" si="5"/>
        <v>0.48273768528373984</v>
      </c>
      <c r="H36" s="145">
        <f t="shared" si="5"/>
        <v>0.18731133323504046</v>
      </c>
      <c r="I36" s="145">
        <f t="shared" si="5"/>
        <v>0.23370018116856758</v>
      </c>
      <c r="J36" s="144">
        <f>SUM(D36:I36)</f>
        <v>1</v>
      </c>
      <c r="K36" s="107"/>
    </row>
    <row r="37" spans="2:11" x14ac:dyDescent="0.3">
      <c r="B37" s="115" t="s">
        <v>376</v>
      </c>
      <c r="C37" s="122" t="s">
        <v>9</v>
      </c>
      <c r="D37" s="135">
        <f>'77_Seeds'!AL129</f>
        <v>136.83049999999997</v>
      </c>
      <c r="E37" s="135">
        <f>'77_Seeds'!AM129</f>
        <v>48.7515</v>
      </c>
      <c r="F37" s="135">
        <f>'77_Seeds'!AN129</f>
        <v>2197.4359999999997</v>
      </c>
      <c r="G37" s="135">
        <f>'77_Seeds'!AO129</f>
        <v>11863.668</v>
      </c>
      <c r="H37" s="135">
        <f>'77_Seeds'!AP129</f>
        <v>4723.7909999999993</v>
      </c>
      <c r="I37" s="108">
        <f>$K$3-K37</f>
        <v>5785.4730000000018</v>
      </c>
      <c r="J37" s="115" t="s">
        <v>36</v>
      </c>
      <c r="K37" s="136">
        <f t="shared" ref="K37" si="6">SUM(D37:H37)</f>
        <v>18970.476999999999</v>
      </c>
    </row>
    <row r="38" spans="2:11" x14ac:dyDescent="0.3">
      <c r="B38" s="115"/>
      <c r="C38" s="140" t="s">
        <v>455</v>
      </c>
      <c r="D38" s="150">
        <f t="shared" ref="D38:I38" si="7">D37/$K$3</f>
        <v>5.5271762949917081E-3</v>
      </c>
      <c r="E38" s="150">
        <f t="shared" si="7"/>
        <v>1.9692841518907573E-3</v>
      </c>
      <c r="F38" s="150">
        <f t="shared" si="7"/>
        <v>8.8763953716177305E-2</v>
      </c>
      <c r="G38" s="150">
        <f t="shared" si="7"/>
        <v>0.47922491360662789</v>
      </c>
      <c r="H38" s="150">
        <f t="shared" si="7"/>
        <v>0.19081436987875638</v>
      </c>
      <c r="I38" s="146">
        <f t="shared" si="7"/>
        <v>0.23370030235155595</v>
      </c>
      <c r="J38" s="144">
        <f>SUM(D38:I38)</f>
        <v>0.99999999999999989</v>
      </c>
      <c r="K38" s="136"/>
    </row>
    <row r="39" spans="2:11" x14ac:dyDescent="0.3">
      <c r="B39" s="107"/>
      <c r="C39" s="147" t="s">
        <v>368</v>
      </c>
      <c r="D39" s="108">
        <f>'77_Seeds'!AL130</f>
        <v>0.44664979511210406</v>
      </c>
      <c r="E39" s="108">
        <f>'77_Seeds'!AM130</f>
        <v>2.4792898256302545</v>
      </c>
      <c r="F39" s="108">
        <f>'77_Seeds'!AN130</f>
        <v>19.415542666962249</v>
      </c>
      <c r="G39" s="108">
        <f>'77_Seeds'!AO130</f>
        <v>26.448388375933479</v>
      </c>
      <c r="H39" s="108">
        <f>'77_Seeds'!AP130</f>
        <v>20.755278147979606</v>
      </c>
      <c r="I39" s="107"/>
      <c r="J39" s="107"/>
      <c r="K39" s="107"/>
    </row>
    <row r="40" spans="2:11" x14ac:dyDescent="0.3">
      <c r="B40" s="107"/>
      <c r="C40" s="147" t="s">
        <v>458</v>
      </c>
      <c r="D40" s="108">
        <f>1.96*D39</f>
        <v>0.8754335984197239</v>
      </c>
      <c r="E40" s="108">
        <f>1.96*E39</f>
        <v>4.8594080582352985</v>
      </c>
      <c r="F40" s="108">
        <f>1.96*F39</f>
        <v>38.054463627246008</v>
      </c>
      <c r="G40" s="108">
        <f>1.96*G39</f>
        <v>51.838841216829621</v>
      </c>
      <c r="H40" s="108">
        <f>1.96*H39</f>
        <v>40.680345170040027</v>
      </c>
      <c r="I40" s="107"/>
      <c r="J40" s="107"/>
      <c r="K40" s="107"/>
    </row>
    <row r="41" spans="2:11" x14ac:dyDescent="0.3">
      <c r="B41" s="107"/>
      <c r="C41" s="147" t="s">
        <v>457</v>
      </c>
      <c r="D41" s="148">
        <f>D39/$K$3</f>
        <v>1.8042118969868012E-5</v>
      </c>
      <c r="E41" s="148">
        <f>E39/$K$3</f>
        <v>1.0014925000374676E-4</v>
      </c>
      <c r="F41" s="148">
        <f>F39/$K$3</f>
        <v>7.8427782682394536E-4</v>
      </c>
      <c r="G41" s="148">
        <f>G39/$K$3</f>
        <v>1.0683649133211804E-3</v>
      </c>
      <c r="H41" s="148">
        <f>H39/$K$3</f>
        <v>8.3839554321201999E-4</v>
      </c>
      <c r="I41" s="148"/>
      <c r="J41" s="107"/>
      <c r="K41" s="107"/>
    </row>
    <row r="42" spans="2:11" x14ac:dyDescent="0.3">
      <c r="B42" s="140"/>
      <c r="C42" s="128" t="s">
        <v>459</v>
      </c>
      <c r="D42" s="149">
        <f>1.96*D41</f>
        <v>3.5362553180941305E-5</v>
      </c>
      <c r="E42" s="149">
        <f>1.96*E41</f>
        <v>1.9629253000734363E-4</v>
      </c>
      <c r="F42" s="149">
        <f>1.96*F41</f>
        <v>1.5371845405749329E-3</v>
      </c>
      <c r="G42" s="149">
        <f>1.96*G41</f>
        <v>2.0939952301095134E-3</v>
      </c>
      <c r="H42" s="149">
        <f>1.96*H41</f>
        <v>1.6432552646955592E-3</v>
      </c>
      <c r="I42" s="107"/>
      <c r="J42" s="107"/>
      <c r="K42" s="107"/>
    </row>
    <row r="43" spans="2:11" x14ac:dyDescent="0.3">
      <c r="B43" s="119" t="s">
        <v>647</v>
      </c>
      <c r="C43" s="107"/>
      <c r="D43" s="116"/>
      <c r="E43" s="116"/>
      <c r="F43" s="116"/>
      <c r="G43" s="116"/>
      <c r="H43" s="116"/>
      <c r="I43" s="107"/>
      <c r="J43" s="107"/>
      <c r="K43" s="107"/>
    </row>
    <row r="44" spans="2:11" x14ac:dyDescent="0.3">
      <c r="B44" s="115" t="s">
        <v>375</v>
      </c>
      <c r="C44" s="122" t="s">
        <v>9</v>
      </c>
      <c r="D44" s="135" t="str">
        <f>'77_Seeds'!AL132</f>
        <v>-</v>
      </c>
      <c r="E44" s="135" t="str">
        <f>'77_Seeds'!AM132</f>
        <v>-</v>
      </c>
      <c r="F44" s="135" t="str">
        <f>'77_Seeds'!AN132</f>
        <v>-</v>
      </c>
      <c r="G44" s="135" t="str">
        <f>'77_Seeds'!AO132</f>
        <v>-</v>
      </c>
      <c r="H44" s="135" t="str">
        <f>'77_Seeds'!AP132</f>
        <v>-</v>
      </c>
      <c r="I44" s="108">
        <f>$K$4-K44</f>
        <v>1468.76</v>
      </c>
      <c r="J44" s="115" t="s">
        <v>36</v>
      </c>
      <c r="K44" s="136">
        <f t="shared" ref="K44" si="8">SUM(D44:H44)</f>
        <v>0</v>
      </c>
    </row>
    <row r="45" spans="2:11" x14ac:dyDescent="0.3">
      <c r="B45" s="107"/>
      <c r="C45" s="140" t="s">
        <v>455</v>
      </c>
      <c r="D45" s="150" t="e">
        <f t="shared" ref="D45:I45" si="9">D44/$K$4</f>
        <v>#VALUE!</v>
      </c>
      <c r="E45" s="150" t="e">
        <f t="shared" si="9"/>
        <v>#VALUE!</v>
      </c>
      <c r="F45" s="150" t="e">
        <f t="shared" si="9"/>
        <v>#VALUE!</v>
      </c>
      <c r="G45" s="150" t="e">
        <f t="shared" si="9"/>
        <v>#VALUE!</v>
      </c>
      <c r="H45" s="150" t="e">
        <f t="shared" si="9"/>
        <v>#VALUE!</v>
      </c>
      <c r="I45" s="146">
        <f t="shared" si="9"/>
        <v>1</v>
      </c>
      <c r="J45" s="144" t="e">
        <f>SUM(D45:I45)</f>
        <v>#VALUE!</v>
      </c>
      <c r="K45" s="107"/>
    </row>
    <row r="46" spans="2:11" x14ac:dyDescent="0.3">
      <c r="B46" s="115" t="s">
        <v>376</v>
      </c>
      <c r="C46" s="122" t="s">
        <v>9</v>
      </c>
      <c r="D46" s="138" t="str">
        <f>'77_Seeds'!AL134</f>
        <v>-</v>
      </c>
      <c r="E46" s="138" t="str">
        <f>'77_Seeds'!AM134</f>
        <v>-</v>
      </c>
      <c r="F46" s="138" t="str">
        <f>'77_Seeds'!AN134</f>
        <v>-</v>
      </c>
      <c r="G46" s="138" t="str">
        <f>'77_Seeds'!AO134</f>
        <v>-</v>
      </c>
      <c r="H46" s="138" t="str">
        <f>'77_Seeds'!AP134</f>
        <v>-</v>
      </c>
      <c r="I46" s="108">
        <f>$K$4-K46</f>
        <v>1468.76</v>
      </c>
      <c r="J46" s="115" t="s">
        <v>36</v>
      </c>
      <c r="K46" s="136">
        <f t="shared" ref="K46" si="10">SUM(D46:H46)</f>
        <v>0</v>
      </c>
    </row>
    <row r="47" spans="2:11" x14ac:dyDescent="0.3">
      <c r="B47" s="115"/>
      <c r="C47" s="140" t="s">
        <v>455</v>
      </c>
      <c r="D47" s="150" t="e">
        <f t="shared" ref="D47:I47" si="11">D46/$K$4</f>
        <v>#VALUE!</v>
      </c>
      <c r="E47" s="150" t="e">
        <f t="shared" si="11"/>
        <v>#VALUE!</v>
      </c>
      <c r="F47" s="150" t="e">
        <f t="shared" si="11"/>
        <v>#VALUE!</v>
      </c>
      <c r="G47" s="150" t="e">
        <f t="shared" si="11"/>
        <v>#VALUE!</v>
      </c>
      <c r="H47" s="150" t="e">
        <f t="shared" si="11"/>
        <v>#VALUE!</v>
      </c>
      <c r="I47" s="146">
        <f t="shared" si="11"/>
        <v>1</v>
      </c>
      <c r="J47" s="144" t="e">
        <f>SUM(D47:I47)</f>
        <v>#VALUE!</v>
      </c>
      <c r="K47" s="136"/>
    </row>
    <row r="48" spans="2:11" x14ac:dyDescent="0.3">
      <c r="B48" s="107"/>
      <c r="C48" s="147" t="s">
        <v>368</v>
      </c>
      <c r="D48" s="108" t="str">
        <f>'77_Seeds'!AL135</f>
        <v>-</v>
      </c>
      <c r="E48" s="108" t="str">
        <f>'77_Seeds'!AM135</f>
        <v>-</v>
      </c>
      <c r="F48" s="108" t="str">
        <f>'77_Seeds'!AN135</f>
        <v>-</v>
      </c>
      <c r="G48" s="108" t="str">
        <f>'77_Seeds'!AO135</f>
        <v>-</v>
      </c>
      <c r="H48" s="108" t="str">
        <f>'77_Seeds'!AP135</f>
        <v>-</v>
      </c>
      <c r="I48" s="107"/>
      <c r="J48" s="107"/>
      <c r="K48" s="107"/>
    </row>
    <row r="49" spans="2:11" x14ac:dyDescent="0.3">
      <c r="B49" s="107"/>
      <c r="C49" s="147" t="s">
        <v>458</v>
      </c>
      <c r="D49" s="108" t="e">
        <f>1.96*D48</f>
        <v>#VALUE!</v>
      </c>
      <c r="E49" s="108" t="e">
        <f>1.96*E48</f>
        <v>#VALUE!</v>
      </c>
      <c r="F49" s="108" t="e">
        <f>1.96*F48</f>
        <v>#VALUE!</v>
      </c>
      <c r="G49" s="108" t="e">
        <f>1.96*G48</f>
        <v>#VALUE!</v>
      </c>
      <c r="H49" s="108" t="e">
        <f>1.96*H48</f>
        <v>#VALUE!</v>
      </c>
      <c r="I49" s="107"/>
      <c r="J49" s="107"/>
      <c r="K49" s="107"/>
    </row>
    <row r="50" spans="2:11" x14ac:dyDescent="0.3">
      <c r="B50" s="107"/>
      <c r="C50" s="147" t="s">
        <v>457</v>
      </c>
      <c r="D50" s="148" t="e">
        <f>D48/$K$4</f>
        <v>#VALUE!</v>
      </c>
      <c r="E50" s="148" t="e">
        <f>E48/$K$4</f>
        <v>#VALUE!</v>
      </c>
      <c r="F50" s="148" t="e">
        <f>F48/$K$4</f>
        <v>#VALUE!</v>
      </c>
      <c r="G50" s="148" t="e">
        <f>G48/$K$4</f>
        <v>#VALUE!</v>
      </c>
      <c r="H50" s="148" t="e">
        <f>H48/$K$4</f>
        <v>#VALUE!</v>
      </c>
      <c r="I50" s="148"/>
      <c r="J50" s="107"/>
      <c r="K50" s="107"/>
    </row>
    <row r="51" spans="2:11" x14ac:dyDescent="0.3">
      <c r="B51" s="107"/>
      <c r="C51" s="128" t="s">
        <v>459</v>
      </c>
      <c r="D51" s="149" t="e">
        <f>1.96*D50</f>
        <v>#VALUE!</v>
      </c>
      <c r="E51" s="149" t="e">
        <f>1.96*E50</f>
        <v>#VALUE!</v>
      </c>
      <c r="F51" s="149" t="e">
        <f>1.96*F50</f>
        <v>#VALUE!</v>
      </c>
      <c r="G51" s="149" t="e">
        <f>1.96*G50</f>
        <v>#VALUE!</v>
      </c>
      <c r="H51" s="149" t="e">
        <f>1.96*H50</f>
        <v>#VALUE!</v>
      </c>
      <c r="I51" s="107"/>
      <c r="J51" s="107"/>
      <c r="K51" s="107"/>
    </row>
    <row r="52" spans="2:11" x14ac:dyDescent="0.3">
      <c r="D52" t="s">
        <v>396</v>
      </c>
      <c r="E52" t="s">
        <v>397</v>
      </c>
      <c r="F52" t="s">
        <v>398</v>
      </c>
      <c r="G52" t="s">
        <v>399</v>
      </c>
      <c r="H52" t="s">
        <v>400</v>
      </c>
    </row>
    <row r="53" spans="2:11" x14ac:dyDescent="0.3">
      <c r="B53" s="118" t="s">
        <v>352</v>
      </c>
      <c r="C53" s="8">
        <v>20</v>
      </c>
      <c r="D53" s="90" t="s">
        <v>447</v>
      </c>
      <c r="E53" s="91" t="s">
        <v>446</v>
      </c>
      <c r="F53" s="92" t="s">
        <v>448</v>
      </c>
      <c r="G53" s="124" t="s">
        <v>449</v>
      </c>
      <c r="H53" s="123" t="s">
        <v>450</v>
      </c>
      <c r="I53" s="211" t="s">
        <v>451</v>
      </c>
    </row>
    <row r="54" spans="2:11" x14ac:dyDescent="0.3">
      <c r="B54" s="106" t="s">
        <v>658</v>
      </c>
      <c r="C54" s="107" t="s">
        <v>28</v>
      </c>
      <c r="D54" s="108">
        <f>'88_Seeds'!AL109</f>
        <v>1.1118722497531814</v>
      </c>
      <c r="E54" s="108">
        <f>'88_Seeds'!AM109</f>
        <v>0.3433634869354274</v>
      </c>
      <c r="F54" s="108">
        <f>'88_Seeds'!AN109</f>
        <v>59.352736059838129</v>
      </c>
      <c r="G54" s="108">
        <f>'88_Seeds'!AO109</f>
        <v>23.087483955961908</v>
      </c>
      <c r="H54" s="108">
        <f>'88_Seeds'!AP109</f>
        <v>16.104544247511349</v>
      </c>
      <c r="I54" s="111"/>
      <c r="J54" s="228" t="s">
        <v>72</v>
      </c>
      <c r="K54" s="229">
        <f>'88_Seeds'!AS109</f>
        <v>0.93584830015501419</v>
      </c>
    </row>
    <row r="55" spans="2:11" x14ac:dyDescent="0.3">
      <c r="B55" s="107"/>
      <c r="C55" s="109" t="s">
        <v>39</v>
      </c>
      <c r="D55" s="110">
        <f>'88_Seeds'!AL110</f>
        <v>0</v>
      </c>
      <c r="E55" s="110">
        <f>'88_Seeds'!AM110</f>
        <v>0.10858106840534193</v>
      </c>
      <c r="F55" s="110">
        <f>'88_Seeds'!AN110</f>
        <v>0.72540047367232352</v>
      </c>
      <c r="G55" s="110">
        <f>'88_Seeds'!AO110</f>
        <v>0.73748257814984064</v>
      </c>
      <c r="H55" s="110">
        <f>'88_Seeds'!AP110</f>
        <v>0.8884276982921161</v>
      </c>
      <c r="I55" s="111"/>
      <c r="J55" s="228" t="s">
        <v>29</v>
      </c>
      <c r="K55" s="230">
        <f>'88_Seeds'!AS110</f>
        <v>9.6198515449608512E-3</v>
      </c>
    </row>
    <row r="56" spans="2:11" x14ac:dyDescent="0.3">
      <c r="B56" s="107"/>
      <c r="C56" s="107" t="s">
        <v>30</v>
      </c>
      <c r="D56" s="108">
        <f>'88_Seeds'!AL111</f>
        <v>100</v>
      </c>
      <c r="E56" s="108">
        <f>'88_Seeds'!AM111</f>
        <v>100</v>
      </c>
      <c r="F56" s="108">
        <f>'88_Seeds'!AN111</f>
        <v>96.535242971760297</v>
      </c>
      <c r="G56" s="108">
        <f>'88_Seeds'!AO111</f>
        <v>94.406392232822043</v>
      </c>
      <c r="H56" s="108">
        <f>'88_Seeds'!AP111</f>
        <v>80.953707553194945</v>
      </c>
      <c r="I56" s="111"/>
      <c r="J56" s="111"/>
      <c r="K56" s="111"/>
    </row>
    <row r="57" spans="2:11" x14ac:dyDescent="0.3">
      <c r="B57" s="107"/>
      <c r="C57" s="109" t="s">
        <v>39</v>
      </c>
      <c r="D57" s="110">
        <f>'88_Seeds'!AL112</f>
        <v>0</v>
      </c>
      <c r="E57" s="110">
        <f>'88_Seeds'!AM112</f>
        <v>0</v>
      </c>
      <c r="F57" s="110">
        <f>'88_Seeds'!AN112</f>
        <v>0.79812800929093619</v>
      </c>
      <c r="G57" s="110">
        <f>'88_Seeds'!AO112</f>
        <v>2.0011076673482431</v>
      </c>
      <c r="H57" s="110">
        <f>'88_Seeds'!AP112</f>
        <v>5.6724398178334381</v>
      </c>
      <c r="I57" s="111"/>
      <c r="J57" s="111"/>
      <c r="K57" s="111"/>
    </row>
    <row r="58" spans="2:11" x14ac:dyDescent="0.3">
      <c r="B58" s="107"/>
      <c r="C58" s="111" t="s">
        <v>31</v>
      </c>
      <c r="D58" s="112">
        <f>'88_Seeds'!AL113</f>
        <v>100</v>
      </c>
      <c r="E58" s="112">
        <f>'88_Seeds'!AM113</f>
        <v>40</v>
      </c>
      <c r="F58" s="112">
        <f>'88_Seeds'!AN113</f>
        <v>98.591549295774641</v>
      </c>
      <c r="G58" s="112">
        <f>'88_Seeds'!AO113</f>
        <v>87.5</v>
      </c>
      <c r="H58" s="112">
        <f>'88_Seeds'!AP113</f>
        <v>86.885245901639351</v>
      </c>
      <c r="I58" s="111"/>
      <c r="J58" s="111"/>
      <c r="K58" s="111"/>
    </row>
    <row r="59" spans="2:11" x14ac:dyDescent="0.3">
      <c r="B59" s="107"/>
      <c r="C59" s="113" t="s">
        <v>39</v>
      </c>
      <c r="D59" s="114">
        <f>'88_Seeds'!AL114</f>
        <v>0</v>
      </c>
      <c r="E59" s="114">
        <f>'88_Seeds'!AM114</f>
        <v>13.093073414159543</v>
      </c>
      <c r="F59" s="114">
        <f>'88_Seeds'!AN114</f>
        <v>0.99238711073977215</v>
      </c>
      <c r="G59" s="114">
        <f>'88_Seeds'!AO114</f>
        <v>2.7656104929294361</v>
      </c>
      <c r="H59" s="114">
        <f>'88_Seeds'!AP114</f>
        <v>2.1654589556924106</v>
      </c>
      <c r="I59" s="107"/>
      <c r="J59" s="107"/>
      <c r="K59" s="107"/>
    </row>
    <row r="60" spans="2:11" x14ac:dyDescent="0.3">
      <c r="B60" s="107"/>
      <c r="C60" s="109" t="s">
        <v>51</v>
      </c>
      <c r="D60" s="110">
        <f>'88_Seeds'!AL115</f>
        <v>100</v>
      </c>
      <c r="E60" s="110">
        <f>'88_Seeds'!AM115</f>
        <v>57.142857142857153</v>
      </c>
      <c r="F60" s="110">
        <f>'88_Seeds'!AN115</f>
        <v>91.205211726384363</v>
      </c>
      <c r="G60" s="110">
        <f>'88_Seeds'!AO115</f>
        <v>86.597938144329888</v>
      </c>
      <c r="H60" s="110">
        <f>'88_Seeds'!AP115</f>
        <v>90.021231422505309</v>
      </c>
      <c r="I60" s="151"/>
      <c r="J60" s="107"/>
      <c r="K60" s="107"/>
    </row>
    <row r="61" spans="2:11" x14ac:dyDescent="0.3">
      <c r="B61" s="115" t="s">
        <v>375</v>
      </c>
      <c r="C61" s="107" t="s">
        <v>9</v>
      </c>
      <c r="D61" s="116">
        <f>'88_Seeds'!AL116</f>
        <v>1018.99</v>
      </c>
      <c r="E61" s="116">
        <f>'88_Seeds'!AM116</f>
        <v>786.7</v>
      </c>
      <c r="F61" s="116">
        <f>'88_Seeds'!AN116</f>
        <v>53260.1</v>
      </c>
      <c r="G61" s="116">
        <f>'88_Seeds'!AO116</f>
        <v>22828.9</v>
      </c>
      <c r="H61" s="116">
        <f>'88_Seeds'!AP116</f>
        <v>13751.63</v>
      </c>
      <c r="I61" s="143">
        <f>$K$1-K61</f>
        <v>18598.679999999993</v>
      </c>
      <c r="J61" s="115" t="s">
        <v>36</v>
      </c>
      <c r="K61" s="136">
        <f t="shared" ref="K61:K62" si="12">SUM(D61:H61)</f>
        <v>91646.32</v>
      </c>
    </row>
    <row r="62" spans="2:11" x14ac:dyDescent="0.3">
      <c r="B62" s="115" t="s">
        <v>355</v>
      </c>
      <c r="C62" s="107" t="s">
        <v>390</v>
      </c>
      <c r="D62" s="108">
        <f>'88_Seeds'!AL117</f>
        <v>1018.99</v>
      </c>
      <c r="E62" s="108">
        <f>'88_Seeds'!AM117</f>
        <v>314.68</v>
      </c>
      <c r="F62" s="108">
        <f>'88_Seeds'!AN117</f>
        <v>54394.598418154652</v>
      </c>
      <c r="G62" s="108">
        <f>'88_Seeds'!AO117</f>
        <v>21158.829426229513</v>
      </c>
      <c r="H62" s="108">
        <f>'88_Seeds'!AP117</f>
        <v>14759.222155615844</v>
      </c>
      <c r="I62" s="143">
        <f>$K$1-K62</f>
        <v>18598.679999999993</v>
      </c>
      <c r="J62" s="115" t="s">
        <v>36</v>
      </c>
      <c r="K62" s="136">
        <f t="shared" si="12"/>
        <v>91646.32</v>
      </c>
    </row>
    <row r="63" spans="2:11" x14ac:dyDescent="0.3">
      <c r="B63" s="115"/>
      <c r="C63" s="107" t="s">
        <v>455</v>
      </c>
      <c r="D63" s="146">
        <f t="shared" ref="D63:I63" si="13">D62/$K$1</f>
        <v>9.2429588643475891E-3</v>
      </c>
      <c r="E63" s="146">
        <f t="shared" si="13"/>
        <v>2.8543698126899178E-3</v>
      </c>
      <c r="F63" s="146">
        <f t="shared" si="13"/>
        <v>0.49339741864170394</v>
      </c>
      <c r="G63" s="146">
        <f t="shared" si="13"/>
        <v>0.19192552429796828</v>
      </c>
      <c r="H63" s="146">
        <f t="shared" si="13"/>
        <v>0.13387656724219552</v>
      </c>
      <c r="I63" s="146">
        <f t="shared" si="13"/>
        <v>0.16870316114109477</v>
      </c>
      <c r="J63" s="144">
        <f>SUM(D63:I63)</f>
        <v>1</v>
      </c>
      <c r="K63" s="136"/>
    </row>
    <row r="64" spans="2:11" x14ac:dyDescent="0.3">
      <c r="B64" s="107"/>
      <c r="C64" s="107" t="s">
        <v>354</v>
      </c>
      <c r="D64" s="108">
        <f>'88_Seeds'!AL118</f>
        <v>0</v>
      </c>
      <c r="E64" s="108">
        <f>'88_Seeds'!AM118</f>
        <v>99.510553410178559</v>
      </c>
      <c r="F64" s="108">
        <f>'88_Seeds'!AN118</f>
        <v>664.8028393832534</v>
      </c>
      <c r="G64" s="108">
        <f>'88_Seeds'!AO118</f>
        <v>675.87564351545313</v>
      </c>
      <c r="H64" s="108">
        <f>'88_Seeds'!AP118</f>
        <v>814.2112913454273</v>
      </c>
      <c r="I64" s="107"/>
      <c r="J64" s="107"/>
      <c r="K64" s="107"/>
    </row>
    <row r="65" spans="2:11" x14ac:dyDescent="0.3">
      <c r="B65" s="107"/>
      <c r="C65" s="147" t="s">
        <v>458</v>
      </c>
      <c r="D65" s="108">
        <f>1.96*D64</f>
        <v>0</v>
      </c>
      <c r="E65" s="108">
        <f>1.96*E64</f>
        <v>195.04068468394996</v>
      </c>
      <c r="F65" s="108">
        <f>1.96*F64</f>
        <v>1303.0135651911767</v>
      </c>
      <c r="G65" s="108">
        <f>1.96*G64</f>
        <v>1324.7162612902882</v>
      </c>
      <c r="H65" s="108">
        <f>1.96*H64</f>
        <v>1595.8541310370374</v>
      </c>
      <c r="I65" s="107"/>
      <c r="J65" s="107"/>
      <c r="K65" s="107"/>
    </row>
    <row r="66" spans="2:11" x14ac:dyDescent="0.3">
      <c r="B66" s="107"/>
      <c r="C66" s="147" t="s">
        <v>457</v>
      </c>
      <c r="D66" s="148">
        <f>D64/$K$1</f>
        <v>0</v>
      </c>
      <c r="E66" s="148">
        <f>E64/$K$1</f>
        <v>9.0263098925283283E-4</v>
      </c>
      <c r="F66" s="148">
        <f>F64/$K$1</f>
        <v>6.0302312067055507E-3</v>
      </c>
      <c r="G66" s="148">
        <f>G64/$K$1</f>
        <v>6.1306693592947806E-3</v>
      </c>
      <c r="H66" s="148">
        <f>H64/$K$1</f>
        <v>7.3854713714492926E-3</v>
      </c>
      <c r="I66" s="107"/>
      <c r="J66" s="107"/>
      <c r="K66" s="107"/>
    </row>
    <row r="67" spans="2:11" x14ac:dyDescent="0.3">
      <c r="B67" s="107"/>
      <c r="C67" s="128" t="s">
        <v>459</v>
      </c>
      <c r="D67" s="149">
        <f>1.96*D66</f>
        <v>0</v>
      </c>
      <c r="E67" s="149">
        <f>1.96*E66</f>
        <v>1.7691567389355523E-3</v>
      </c>
      <c r="F67" s="149">
        <f>1.96*F66</f>
        <v>1.1819253165142879E-2</v>
      </c>
      <c r="G67" s="149">
        <f>1.96*G66</f>
        <v>1.2016111944217769E-2</v>
      </c>
      <c r="H67" s="149">
        <f>1.96*H66</f>
        <v>1.4475523888040614E-2</v>
      </c>
      <c r="I67" s="107"/>
      <c r="J67" s="107"/>
      <c r="K67" s="107"/>
    </row>
    <row r="68" spans="2:11" x14ac:dyDescent="0.3">
      <c r="B68" s="115" t="s">
        <v>376</v>
      </c>
      <c r="C68" s="122" t="s">
        <v>9</v>
      </c>
      <c r="D68" s="135">
        <f>'88_Seeds'!AL119</f>
        <v>1019.4185000000001</v>
      </c>
      <c r="E68" s="135">
        <f>'88_Seeds'!AM119</f>
        <v>818.3304999999998</v>
      </c>
      <c r="F68" s="135">
        <f>'88_Seeds'!AN119</f>
        <v>53054.420000000006</v>
      </c>
      <c r="G68" s="135">
        <f>'88_Seeds'!AO119</f>
        <v>22797.716</v>
      </c>
      <c r="H68" s="135">
        <f>'88_Seeds'!AP119</f>
        <v>13956.434499999999</v>
      </c>
      <c r="I68" s="107"/>
      <c r="J68" s="115" t="s">
        <v>36</v>
      </c>
      <c r="K68" s="136">
        <f t="shared" ref="K68" si="14">SUM(D68:H68)</f>
        <v>91646.319500000012</v>
      </c>
    </row>
    <row r="69" spans="2:11" x14ac:dyDescent="0.3">
      <c r="B69" s="107"/>
      <c r="C69" s="147" t="s">
        <v>368</v>
      </c>
      <c r="D69" s="108">
        <f>'88_Seeds'!AL120</f>
        <v>13.170692510166978</v>
      </c>
      <c r="E69" s="108">
        <f>'88_Seeds'!AM120</f>
        <v>16.17566742257609</v>
      </c>
      <c r="F69" s="108">
        <f>'88_Seeds'!AN120</f>
        <v>53.965476698192532</v>
      </c>
      <c r="G69" s="108">
        <f>'88_Seeds'!AO120</f>
        <v>74.777360918930526</v>
      </c>
      <c r="H69" s="108">
        <f>'88_Seeds'!AP120</f>
        <v>62.586600144267457</v>
      </c>
      <c r="I69" s="107"/>
      <c r="J69" s="107"/>
      <c r="K69" s="107"/>
    </row>
    <row r="70" spans="2:11" x14ac:dyDescent="0.3">
      <c r="B70" s="107"/>
      <c r="C70" s="147" t="s">
        <v>458</v>
      </c>
      <c r="D70" s="108">
        <f>1.96*D69</f>
        <v>25.814557319927275</v>
      </c>
      <c r="E70" s="108">
        <f>1.96*E69</f>
        <v>31.704308148249137</v>
      </c>
      <c r="F70" s="108">
        <f>1.96*F69</f>
        <v>105.77233432845736</v>
      </c>
      <c r="G70" s="108">
        <f>1.96*G69</f>
        <v>146.56362740110382</v>
      </c>
      <c r="H70" s="108">
        <f>1.96*H69</f>
        <v>122.66973628276422</v>
      </c>
      <c r="I70" s="107"/>
      <c r="J70" s="107"/>
      <c r="K70" s="107"/>
    </row>
    <row r="71" spans="2:11" x14ac:dyDescent="0.3">
      <c r="B71" s="107"/>
      <c r="C71" s="147" t="s">
        <v>457</v>
      </c>
      <c r="D71" s="148">
        <f>D69/$K$1</f>
        <v>1.1946748161065788E-4</v>
      </c>
      <c r="E71" s="148">
        <f>E69/$K$1</f>
        <v>1.4672472604268757E-4</v>
      </c>
      <c r="F71" s="148">
        <f>F69/$K$1</f>
        <v>4.8950498161542499E-4</v>
      </c>
      <c r="G71" s="148">
        <f>G69/$K$1</f>
        <v>6.7828346790267614E-4</v>
      </c>
      <c r="H71" s="148">
        <f>H69/$K$1</f>
        <v>5.6770465911621802E-4</v>
      </c>
      <c r="I71" s="107"/>
      <c r="J71" s="107"/>
      <c r="K71" s="107"/>
    </row>
    <row r="72" spans="2:11" x14ac:dyDescent="0.3">
      <c r="B72" s="140"/>
      <c r="C72" s="128" t="s">
        <v>459</v>
      </c>
      <c r="D72" s="149">
        <f>1.96*D71</f>
        <v>2.3415626395688943E-4</v>
      </c>
      <c r="E72" s="149">
        <f>1.96*E71</f>
        <v>2.8758046304366765E-4</v>
      </c>
      <c r="F72" s="149">
        <f>1.96*F71</f>
        <v>9.5942976396623297E-4</v>
      </c>
      <c r="G72" s="149">
        <f>1.96*G71</f>
        <v>1.3294355970892451E-3</v>
      </c>
      <c r="H72" s="149">
        <f>1.96*H71</f>
        <v>1.1127011318677873E-3</v>
      </c>
      <c r="I72" s="107"/>
      <c r="J72" s="107"/>
      <c r="K72" s="107"/>
    </row>
    <row r="73" spans="2:11" x14ac:dyDescent="0.3">
      <c r="B73" s="119" t="s">
        <v>695</v>
      </c>
      <c r="C73" s="107"/>
      <c r="D73" s="116"/>
      <c r="E73" s="116"/>
      <c r="F73" s="116"/>
      <c r="G73" s="116"/>
      <c r="H73" s="116"/>
      <c r="I73" s="107"/>
      <c r="J73" s="107"/>
      <c r="K73" s="107"/>
    </row>
    <row r="74" spans="2:11" x14ac:dyDescent="0.3">
      <c r="B74" s="115" t="s">
        <v>375</v>
      </c>
      <c r="C74" s="122" t="s">
        <v>9</v>
      </c>
      <c r="D74" s="135">
        <f>'88_Seeds'!AL122</f>
        <v>5.04</v>
      </c>
      <c r="E74" s="135">
        <f>'88_Seeds'!AM122</f>
        <v>314.64999999999998</v>
      </c>
      <c r="F74" s="135">
        <f>'88_Seeds'!AN122</f>
        <v>5284.64</v>
      </c>
      <c r="G74" s="135">
        <f>'88_Seeds'!AO122</f>
        <v>455.06</v>
      </c>
      <c r="H74" s="135">
        <f>'88_Seeds'!AP122</f>
        <v>259.57</v>
      </c>
      <c r="I74" s="108">
        <f>$K$2-K74</f>
        <v>0.96000000000003638</v>
      </c>
      <c r="J74" s="115" t="s">
        <v>36</v>
      </c>
      <c r="K74" s="136">
        <f>SUM(D74:H74)</f>
        <v>6318.96</v>
      </c>
    </row>
    <row r="75" spans="2:11" x14ac:dyDescent="0.3">
      <c r="B75" s="107"/>
      <c r="C75" s="107" t="s">
        <v>455</v>
      </c>
      <c r="D75" s="145">
        <f t="shared" ref="D75:I75" si="15">D74/$K$2</f>
        <v>7.9747844909429236E-4</v>
      </c>
      <c r="E75" s="145">
        <f t="shared" si="15"/>
        <v>4.9787022620539495E-2</v>
      </c>
      <c r="F75" s="145">
        <f t="shared" si="15"/>
        <v>0.83618779984556768</v>
      </c>
      <c r="G75" s="145">
        <f t="shared" si="15"/>
        <v>7.2004076000962036E-2</v>
      </c>
      <c r="H75" s="145">
        <f t="shared" si="15"/>
        <v>4.1071722426866158E-2</v>
      </c>
      <c r="I75" s="145">
        <f t="shared" si="15"/>
        <v>1.5190065697034716E-4</v>
      </c>
      <c r="J75" s="144">
        <f>SUM(D75:I75)</f>
        <v>1</v>
      </c>
      <c r="K75" s="107"/>
    </row>
    <row r="76" spans="2:11" x14ac:dyDescent="0.3">
      <c r="B76" s="115" t="s">
        <v>376</v>
      </c>
      <c r="C76" s="122" t="s">
        <v>9</v>
      </c>
      <c r="D76" s="135">
        <f>'88_Seeds'!AL124</f>
        <v>4.6440000000000001</v>
      </c>
      <c r="E76" s="139">
        <f>'88_Seeds'!AM124</f>
        <v>316.666</v>
      </c>
      <c r="F76" s="135">
        <f>'88_Seeds'!AN124</f>
        <v>5275.6760000000004</v>
      </c>
      <c r="G76" s="135">
        <f>'88_Seeds'!AO124</f>
        <v>456.14000000000004</v>
      </c>
      <c r="H76" s="135">
        <f>'88_Seeds'!AP124</f>
        <v>265.83399999999995</v>
      </c>
      <c r="I76" s="108">
        <f>$K$2-K76</f>
        <v>0.95999999999912689</v>
      </c>
      <c r="J76" s="115" t="s">
        <v>36</v>
      </c>
      <c r="K76" s="136">
        <f t="shared" ref="K76" si="16">SUM(D76:H76)</f>
        <v>6318.9600000000009</v>
      </c>
    </row>
    <row r="77" spans="2:11" x14ac:dyDescent="0.3">
      <c r="B77" s="115"/>
      <c r="C77" s="140" t="s">
        <v>455</v>
      </c>
      <c r="D77" s="150">
        <f t="shared" ref="D77:I77" si="17">D76/$K$2</f>
        <v>7.3481942809402654E-4</v>
      </c>
      <c r="E77" s="150">
        <f t="shared" si="17"/>
        <v>5.0106014000177217E-2</v>
      </c>
      <c r="F77" s="150">
        <f t="shared" si="17"/>
        <v>0.83476942746110716</v>
      </c>
      <c r="G77" s="150">
        <f t="shared" si="17"/>
        <v>7.2174964240053679E-2</v>
      </c>
      <c r="H77" s="150">
        <f t="shared" si="17"/>
        <v>4.2062874213597633E-2</v>
      </c>
      <c r="I77" s="145">
        <f t="shared" si="17"/>
        <v>1.5190065697020323E-4</v>
      </c>
      <c r="J77" s="144">
        <f>SUM(D77:I77)</f>
        <v>1</v>
      </c>
      <c r="K77" s="136"/>
    </row>
    <row r="78" spans="2:11" x14ac:dyDescent="0.3">
      <c r="B78" s="107"/>
      <c r="C78" s="147" t="s">
        <v>368</v>
      </c>
      <c r="D78" s="108">
        <f>'88_Seeds'!AL125</f>
        <v>0.18633077549008453</v>
      </c>
      <c r="E78" s="108">
        <f>'88_Seeds'!AM125</f>
        <v>4.2501511056729075</v>
      </c>
      <c r="F78" s="108">
        <f>'88_Seeds'!AN125</f>
        <v>4.9795403719409048</v>
      </c>
      <c r="G78" s="108">
        <f>'88_Seeds'!AO125</f>
        <v>2.2649754268447437</v>
      </c>
      <c r="H78" s="108">
        <f>'88_Seeds'!AP125</f>
        <v>1.7940026403782716</v>
      </c>
      <c r="I78" s="107"/>
      <c r="J78" s="107"/>
      <c r="K78" s="107"/>
    </row>
    <row r="79" spans="2:11" x14ac:dyDescent="0.3">
      <c r="B79" s="107"/>
      <c r="C79" s="147" t="s">
        <v>458</v>
      </c>
      <c r="D79" s="108">
        <f>1.96*D78</f>
        <v>0.36520831996056569</v>
      </c>
      <c r="E79" s="108">
        <f>1.96*E78</f>
        <v>8.3302961671188989</v>
      </c>
      <c r="F79" s="108">
        <f>1.96*F78</f>
        <v>9.7598991290041734</v>
      </c>
      <c r="G79" s="108">
        <f>1.96*G78</f>
        <v>4.4393518366156979</v>
      </c>
      <c r="H79" s="108">
        <f>1.96*H78</f>
        <v>3.5162451751414121</v>
      </c>
      <c r="I79" s="107"/>
      <c r="J79" s="107"/>
      <c r="K79" s="107"/>
    </row>
    <row r="80" spans="2:11" x14ac:dyDescent="0.3">
      <c r="B80" s="107"/>
      <c r="C80" s="147" t="s">
        <v>457</v>
      </c>
      <c r="D80" s="148">
        <f>D78/$K$2</f>
        <v>2.9483090844517735E-5</v>
      </c>
      <c r="E80" s="148">
        <f>E78/$K$2</f>
        <v>6.7250077622389324E-4</v>
      </c>
      <c r="F80" s="148">
        <f>F78/$K$2</f>
        <v>7.8791193115433503E-4</v>
      </c>
      <c r="G80" s="148">
        <f>G78/$K$2</f>
        <v>3.5838672433270415E-4</v>
      </c>
      <c r="H80" s="148">
        <f>H78/$K$2</f>
        <v>2.8386477049998602E-4</v>
      </c>
      <c r="I80" s="107"/>
      <c r="J80" s="107"/>
      <c r="K80" s="107"/>
    </row>
    <row r="81" spans="2:11" x14ac:dyDescent="0.3">
      <c r="B81" s="140"/>
      <c r="C81" s="128" t="s">
        <v>459</v>
      </c>
      <c r="D81" s="149">
        <f>1.96*D80</f>
        <v>5.7786858055254764E-5</v>
      </c>
      <c r="E81" s="149">
        <f>1.96*E80</f>
        <v>1.3181015213988307E-3</v>
      </c>
      <c r="F81" s="149">
        <f>1.96*F80</f>
        <v>1.5443073850624966E-3</v>
      </c>
      <c r="G81" s="149">
        <f>1.96*G80</f>
        <v>7.0243797969210011E-4</v>
      </c>
      <c r="H81" s="149">
        <f>1.96*H80</f>
        <v>5.5637495017997257E-4</v>
      </c>
      <c r="I81" s="107"/>
      <c r="J81" s="107"/>
      <c r="K81" s="107"/>
    </row>
    <row r="82" spans="2:11" x14ac:dyDescent="0.3">
      <c r="B82" s="119" t="s">
        <v>659</v>
      </c>
      <c r="C82" s="107"/>
      <c r="D82" s="116"/>
      <c r="E82" s="116"/>
      <c r="F82" s="116"/>
      <c r="G82" s="116"/>
      <c r="H82" s="116"/>
      <c r="I82" s="107"/>
      <c r="J82" s="107"/>
      <c r="K82" s="107"/>
    </row>
    <row r="83" spans="2:11" x14ac:dyDescent="0.3">
      <c r="B83" s="115" t="s">
        <v>375</v>
      </c>
      <c r="C83" s="122" t="s">
        <v>9</v>
      </c>
      <c r="D83" s="135">
        <f>'88_Seeds'!AL127</f>
        <v>838.28</v>
      </c>
      <c r="E83" s="135">
        <f>'88_Seeds'!AM127</f>
        <v>111.72</v>
      </c>
      <c r="F83" s="135">
        <f>'88_Seeds'!AN127</f>
        <v>2783.46</v>
      </c>
      <c r="G83" s="135">
        <f>'88_Seeds'!AO127</f>
        <v>11073.03</v>
      </c>
      <c r="H83" s="135">
        <f>'88_Seeds'!AP127</f>
        <v>6786.42</v>
      </c>
      <c r="I83" s="108">
        <f>$K$3-K83</f>
        <v>3163.0399999999972</v>
      </c>
      <c r="J83" s="115" t="s">
        <v>36</v>
      </c>
      <c r="K83" s="136">
        <f>SUM(D83:H83)</f>
        <v>21592.910000000003</v>
      </c>
    </row>
    <row r="84" spans="2:11" x14ac:dyDescent="0.3">
      <c r="B84" s="107"/>
      <c r="C84" s="140" t="s">
        <v>455</v>
      </c>
      <c r="D84" s="145">
        <f t="shared" ref="D84:I84" si="18">D83/$K$3</f>
        <v>3.3861758486343686E-2</v>
      </c>
      <c r="E84" s="145">
        <f t="shared" si="18"/>
        <v>4.5128544854873267E-3</v>
      </c>
      <c r="F84" s="145">
        <f t="shared" si="18"/>
        <v>0.11243600023428711</v>
      </c>
      <c r="G84" s="145">
        <f t="shared" si="18"/>
        <v>0.44728762176365683</v>
      </c>
      <c r="H84" s="145">
        <f t="shared" si="18"/>
        <v>0.27413288522557205</v>
      </c>
      <c r="I84" s="145">
        <f t="shared" si="18"/>
        <v>0.1277688798046529</v>
      </c>
      <c r="J84" s="144">
        <f>SUM(D84:I84)</f>
        <v>0.99999999999999989</v>
      </c>
      <c r="K84" s="107"/>
    </row>
    <row r="85" spans="2:11" x14ac:dyDescent="0.3">
      <c r="B85" s="115" t="s">
        <v>376</v>
      </c>
      <c r="C85" s="122" t="s">
        <v>9</v>
      </c>
      <c r="D85" s="135">
        <f>'88_Seeds'!AL129</f>
        <v>833.77699999999982</v>
      </c>
      <c r="E85" s="135">
        <f>'88_Seeds'!AM129</f>
        <v>117.82400000000003</v>
      </c>
      <c r="F85" s="135">
        <f>'88_Seeds'!AN129</f>
        <v>2765.5274999999992</v>
      </c>
      <c r="G85" s="135">
        <f>'88_Seeds'!AO129</f>
        <v>11024.2065</v>
      </c>
      <c r="H85" s="135">
        <f>'88_Seeds'!AP129</f>
        <v>6851.5665000000008</v>
      </c>
      <c r="I85" s="108">
        <f>$K$3-K85</f>
        <v>3163.0485000000008</v>
      </c>
      <c r="J85" s="115" t="s">
        <v>36</v>
      </c>
      <c r="K85" s="136">
        <f t="shared" ref="K85" si="19">SUM(D85:H85)</f>
        <v>21592.9015</v>
      </c>
    </row>
    <row r="86" spans="2:11" x14ac:dyDescent="0.3">
      <c r="B86" s="115"/>
      <c r="C86" s="140" t="s">
        <v>455</v>
      </c>
      <c r="D86" s="150">
        <f t="shared" ref="D86:I86" si="20">D85/$K$3</f>
        <v>3.36798628208572E-2</v>
      </c>
      <c r="E86" s="150">
        <f t="shared" si="20"/>
        <v>4.7594214724137034E-3</v>
      </c>
      <c r="F86" s="150">
        <f t="shared" si="20"/>
        <v>0.11171162892153196</v>
      </c>
      <c r="G86" s="150">
        <f t="shared" si="20"/>
        <v>0.44531542922004608</v>
      </c>
      <c r="H86" s="150">
        <f t="shared" si="20"/>
        <v>0.27676443440869775</v>
      </c>
      <c r="I86" s="145">
        <f t="shared" si="20"/>
        <v>0.12776922315645334</v>
      </c>
      <c r="J86" s="144">
        <f>SUM(D86:I86)</f>
        <v>1</v>
      </c>
      <c r="K86" s="136"/>
    </row>
    <row r="87" spans="2:11" x14ac:dyDescent="0.3">
      <c r="B87" s="107"/>
      <c r="C87" s="147" t="s">
        <v>368</v>
      </c>
      <c r="D87" s="108">
        <f>'88_Seeds'!AL130</f>
        <v>9.1256648813286887</v>
      </c>
      <c r="E87" s="108">
        <f>'88_Seeds'!AM130</f>
        <v>1.6011864679865235</v>
      </c>
      <c r="F87" s="108">
        <f>'88_Seeds'!AN130</f>
        <v>11.183298493618448</v>
      </c>
      <c r="G87" s="108">
        <f>'88_Seeds'!AO130</f>
        <v>26.13280855125058</v>
      </c>
      <c r="H87" s="108">
        <f>'88_Seeds'!AP130</f>
        <v>27.478360713717233</v>
      </c>
      <c r="I87" s="107"/>
      <c r="J87" s="107"/>
      <c r="K87" s="107"/>
    </row>
    <row r="88" spans="2:11" x14ac:dyDescent="0.3">
      <c r="B88" s="107"/>
      <c r="C88" s="147" t="s">
        <v>458</v>
      </c>
      <c r="D88" s="108">
        <f>1.96*D87</f>
        <v>17.886303167404229</v>
      </c>
      <c r="E88" s="108">
        <f>1.96*E87</f>
        <v>3.138325477253586</v>
      </c>
      <c r="F88" s="108">
        <f>1.96*F87</f>
        <v>21.919265047492157</v>
      </c>
      <c r="G88" s="108">
        <f>1.96*G87</f>
        <v>51.220304760451135</v>
      </c>
      <c r="H88" s="108">
        <f>1.96*H87</f>
        <v>53.857586998885779</v>
      </c>
      <c r="I88" s="107"/>
      <c r="J88" s="107"/>
      <c r="K88" s="107"/>
    </row>
    <row r="89" spans="2:11" x14ac:dyDescent="0.3">
      <c r="B89" s="107"/>
      <c r="C89" s="147" t="s">
        <v>457</v>
      </c>
      <c r="D89" s="148">
        <f>D87/$K$3</f>
        <v>3.6862511361223011E-4</v>
      </c>
      <c r="E89" s="148">
        <f>E87/$K$3</f>
        <v>6.4678853689174656E-5</v>
      </c>
      <c r="F89" s="148">
        <f>F87/$K$3</f>
        <v>4.5174184362217762E-4</v>
      </c>
      <c r="G89" s="148">
        <f>G87/$K$3</f>
        <v>1.0556172779170494E-3</v>
      </c>
      <c r="H89" s="148">
        <f>H87/$K$3</f>
        <v>1.109969955251858E-3</v>
      </c>
      <c r="I89" s="107"/>
      <c r="J89" s="107"/>
      <c r="K89" s="107"/>
    </row>
    <row r="90" spans="2:11" x14ac:dyDescent="0.3">
      <c r="B90" s="140"/>
      <c r="C90" s="128" t="s">
        <v>459</v>
      </c>
      <c r="D90" s="149">
        <f>1.96*D89</f>
        <v>7.2250522267997106E-4</v>
      </c>
      <c r="E90" s="149">
        <f>1.96*E89</f>
        <v>1.2677055323078232E-4</v>
      </c>
      <c r="F90" s="149">
        <f>1.96*F89</f>
        <v>8.8541401349946809E-4</v>
      </c>
      <c r="G90" s="149">
        <f>1.96*G89</f>
        <v>2.0690098647174167E-3</v>
      </c>
      <c r="H90" s="149">
        <f>1.96*H89</f>
        <v>2.1755411122936419E-3</v>
      </c>
      <c r="I90" s="107"/>
      <c r="J90" s="107"/>
      <c r="K90" s="107"/>
    </row>
    <row r="91" spans="2:11" x14ac:dyDescent="0.3">
      <c r="B91" s="119" t="s">
        <v>696</v>
      </c>
      <c r="C91" s="107"/>
      <c r="D91" s="116"/>
      <c r="E91" s="116"/>
      <c r="F91" s="116"/>
      <c r="G91" s="116"/>
      <c r="H91" s="116"/>
      <c r="I91" s="107"/>
      <c r="J91" s="107"/>
      <c r="K91" s="107"/>
    </row>
    <row r="92" spans="2:11" x14ac:dyDescent="0.3">
      <c r="B92" s="115" t="s">
        <v>375</v>
      </c>
      <c r="C92" s="122" t="s">
        <v>9</v>
      </c>
      <c r="D92" s="135">
        <f>'88_Seeds'!AL132</f>
        <v>2.48</v>
      </c>
      <c r="E92" s="135">
        <f>'88_Seeds'!AM132</f>
        <v>4.3099999999999996</v>
      </c>
      <c r="F92" s="135">
        <f>'88_Seeds'!AN132</f>
        <v>1122.75</v>
      </c>
      <c r="G92" s="135">
        <f>'88_Seeds'!AO132</f>
        <v>246.02</v>
      </c>
      <c r="H92" s="135">
        <f>'88_Seeds'!AP132</f>
        <v>86.48</v>
      </c>
      <c r="I92" s="108">
        <f>$K$4-K92</f>
        <v>6.7200000000000273</v>
      </c>
      <c r="J92" s="115" t="s">
        <v>36</v>
      </c>
      <c r="K92" s="136">
        <f t="shared" ref="K92" si="21">SUM(D92:H92)</f>
        <v>1462.04</v>
      </c>
    </row>
    <row r="93" spans="2:11" x14ac:dyDescent="0.3">
      <c r="B93" s="107"/>
      <c r="C93" s="140" t="s">
        <v>455</v>
      </c>
      <c r="D93" s="150">
        <f t="shared" ref="D93:I93" si="22">D92/$K$4</f>
        <v>1.6884991421335003E-3</v>
      </c>
      <c r="E93" s="150">
        <f t="shared" si="22"/>
        <v>2.9344481058852364E-3</v>
      </c>
      <c r="F93" s="150">
        <f t="shared" si="22"/>
        <v>0.76442032735096277</v>
      </c>
      <c r="G93" s="150">
        <f t="shared" si="22"/>
        <v>0.16750183828535636</v>
      </c>
      <c r="H93" s="150">
        <f t="shared" si="22"/>
        <v>5.8879599117623034E-2</v>
      </c>
      <c r="I93" s="146">
        <f t="shared" si="22"/>
        <v>4.5752879980391807E-3</v>
      </c>
      <c r="J93" s="144">
        <f>SUM(D93:I93)</f>
        <v>1</v>
      </c>
      <c r="K93" s="107"/>
    </row>
    <row r="94" spans="2:11" x14ac:dyDescent="0.3">
      <c r="B94" s="115" t="s">
        <v>376</v>
      </c>
      <c r="C94" s="122" t="s">
        <v>9</v>
      </c>
      <c r="D94" s="135">
        <f>'88_Seeds'!AL134</f>
        <v>2.1435</v>
      </c>
      <c r="E94" s="135">
        <f>'88_Seeds'!AM134</f>
        <v>4.7725000000000009</v>
      </c>
      <c r="F94" s="135">
        <f>'88_Seeds'!AN134</f>
        <v>1118.3499999999999</v>
      </c>
      <c r="G94" s="135">
        <f>'88_Seeds'!AO134</f>
        <v>246.54349999999999</v>
      </c>
      <c r="H94" s="135">
        <f>'88_Seeds'!AP134</f>
        <v>90.231499999999997</v>
      </c>
      <c r="I94" s="108">
        <f>$K$4-K94</f>
        <v>6.7190000000000509</v>
      </c>
      <c r="J94" s="115" t="s">
        <v>36</v>
      </c>
      <c r="K94" s="136">
        <f t="shared" ref="K94" si="23">SUM(D94:H94)</f>
        <v>1462.0409999999999</v>
      </c>
    </row>
    <row r="95" spans="2:11" x14ac:dyDescent="0.3">
      <c r="B95" s="115"/>
      <c r="C95" s="140" t="s">
        <v>455</v>
      </c>
      <c r="D95" s="150">
        <f t="shared" ref="D95:I95" si="24">D94/$K$4</f>
        <v>1.4593943190174025E-3</v>
      </c>
      <c r="E95" s="150">
        <f t="shared" si="24"/>
        <v>3.2493395789645694E-3</v>
      </c>
      <c r="F95" s="150">
        <f t="shared" si="24"/>
        <v>0.76142460306653226</v>
      </c>
      <c r="G95" s="150">
        <f t="shared" si="24"/>
        <v>0.16785826139056073</v>
      </c>
      <c r="H95" s="150">
        <f t="shared" si="24"/>
        <v>6.1433794493314084E-2</v>
      </c>
      <c r="I95" s="146">
        <f t="shared" si="24"/>
        <v>4.574607151610917E-3</v>
      </c>
      <c r="J95" s="144">
        <f>SUM(D95:I95)</f>
        <v>1</v>
      </c>
      <c r="K95" s="136"/>
    </row>
    <row r="96" spans="2:11" x14ac:dyDescent="0.3">
      <c r="B96" s="107"/>
      <c r="C96" s="147" t="s">
        <v>368</v>
      </c>
      <c r="D96" s="108">
        <f>'88_Seeds'!AL135</f>
        <v>6.1191137129145506E-2</v>
      </c>
      <c r="E96" s="108">
        <f>'88_Seeds'!AM135</f>
        <v>0.1438472782977967</v>
      </c>
      <c r="F96" s="108">
        <f>'88_Seeds'!AN135</f>
        <v>0.86448372180345634</v>
      </c>
      <c r="G96" s="108">
        <f>'88_Seeds'!AO135</f>
        <v>0.67906215318977781</v>
      </c>
      <c r="H96" s="108">
        <f>'88_Seeds'!AP135</f>
        <v>0.80286010939836694</v>
      </c>
      <c r="I96" s="107"/>
      <c r="J96" s="107"/>
      <c r="K96" s="107"/>
    </row>
    <row r="97" spans="2:11" x14ac:dyDescent="0.3">
      <c r="B97" s="107"/>
      <c r="C97" s="147" t="s">
        <v>458</v>
      </c>
      <c r="D97" s="108">
        <f>1.96*D96</f>
        <v>0.11993462877312519</v>
      </c>
      <c r="E97" s="108">
        <f>1.96*E96</f>
        <v>0.28194066546368152</v>
      </c>
      <c r="F97" s="108">
        <f>1.96*F96</f>
        <v>1.6943880947347745</v>
      </c>
      <c r="G97" s="108">
        <f>1.96*G96</f>
        <v>1.3309618202519644</v>
      </c>
      <c r="H97" s="108">
        <f>1.96*H96</f>
        <v>1.5736058144207992</v>
      </c>
      <c r="I97" s="107"/>
      <c r="J97" s="107"/>
      <c r="K97" s="107"/>
    </row>
    <row r="98" spans="2:11" x14ac:dyDescent="0.3">
      <c r="B98" s="107"/>
      <c r="C98" s="147" t="s">
        <v>457</v>
      </c>
      <c r="D98" s="148">
        <f>D96/$K$4</f>
        <v>4.1661767156748215E-5</v>
      </c>
      <c r="E98" s="148">
        <f>E96/$K$4</f>
        <v>9.7937905646801863E-5</v>
      </c>
      <c r="F98" s="148">
        <f>F96/$K$4</f>
        <v>5.8858065429577078E-4</v>
      </c>
      <c r="G98" s="148">
        <f>G96/$K$4</f>
        <v>4.6233704157914009E-4</v>
      </c>
      <c r="H98" s="148">
        <f>H96/$K$4</f>
        <v>5.4662443789207699E-4</v>
      </c>
      <c r="I98" s="107"/>
      <c r="J98" s="107"/>
      <c r="K98" s="107"/>
    </row>
    <row r="99" spans="2:11" x14ac:dyDescent="0.3">
      <c r="B99" s="107"/>
      <c r="C99" s="128" t="s">
        <v>459</v>
      </c>
      <c r="D99" s="149">
        <f>1.96*D98</f>
        <v>8.1657063627226502E-5</v>
      </c>
      <c r="E99" s="149">
        <f>1.96*E98</f>
        <v>1.9195829506773164E-4</v>
      </c>
      <c r="F99" s="149">
        <f>1.96*F98</f>
        <v>1.1536180824197107E-3</v>
      </c>
      <c r="G99" s="149">
        <f>1.96*G98</f>
        <v>9.0618060149511459E-4</v>
      </c>
      <c r="H99" s="149">
        <f>1.96*H98</f>
        <v>1.0713838982684709E-3</v>
      </c>
      <c r="I99" s="107"/>
      <c r="J99" s="107"/>
      <c r="K99" s="107"/>
    </row>
    <row r="100" spans="2:11" x14ac:dyDescent="0.3">
      <c r="D100" t="s">
        <v>401</v>
      </c>
      <c r="E100" t="s">
        <v>402</v>
      </c>
      <c r="F100" t="s">
        <v>403</v>
      </c>
      <c r="G100" t="s">
        <v>404</v>
      </c>
      <c r="H100" t="s">
        <v>405</v>
      </c>
    </row>
    <row r="101" spans="2:11" x14ac:dyDescent="0.3">
      <c r="B101" s="118" t="s">
        <v>352</v>
      </c>
      <c r="C101" s="8">
        <v>20</v>
      </c>
      <c r="D101" s="90" t="s">
        <v>447</v>
      </c>
      <c r="E101" s="91" t="s">
        <v>446</v>
      </c>
      <c r="F101" s="92" t="s">
        <v>448</v>
      </c>
      <c r="G101" s="124" t="s">
        <v>449</v>
      </c>
      <c r="H101" s="123" t="s">
        <v>450</v>
      </c>
      <c r="I101" s="211" t="s">
        <v>451</v>
      </c>
    </row>
    <row r="102" spans="2:11" x14ac:dyDescent="0.3">
      <c r="B102" s="106" t="s">
        <v>656</v>
      </c>
      <c r="C102" s="107" t="s">
        <v>28</v>
      </c>
      <c r="D102" s="108">
        <f>'88T_Seeds'!AL109</f>
        <v>0.52826467611252192</v>
      </c>
      <c r="E102" s="108">
        <f>'88T_Seeds'!AM109</f>
        <v>2.5213454351918063</v>
      </c>
      <c r="F102" s="108">
        <f>'88T_Seeds'!AN109</f>
        <v>58.368135298517245</v>
      </c>
      <c r="G102" s="108">
        <f>'88T_Seeds'!AO109</f>
        <v>30.07321757103638</v>
      </c>
      <c r="H102" s="108">
        <f>'88T_Seeds'!AP109</f>
        <v>8.5090370191420419</v>
      </c>
      <c r="I102" s="111"/>
      <c r="J102" s="228" t="s">
        <v>72</v>
      </c>
      <c r="K102" s="229">
        <f>'88T_Seeds'!AS109</f>
        <v>0.96549516014643944</v>
      </c>
    </row>
    <row r="103" spans="2:11" x14ac:dyDescent="0.3">
      <c r="B103" s="107"/>
      <c r="C103" s="109" t="s">
        <v>39</v>
      </c>
      <c r="D103" s="110">
        <f>'88T_Seeds'!AL110</f>
        <v>0</v>
      </c>
      <c r="E103" s="110">
        <f>'88T_Seeds'!AM110</f>
        <v>0.1345313818066175</v>
      </c>
      <c r="F103" s="110">
        <f>'88T_Seeds'!AN110</f>
        <v>0.27411165742079507</v>
      </c>
      <c r="G103" s="110">
        <f>'88T_Seeds'!AO110</f>
        <v>0.38664604525607776</v>
      </c>
      <c r="H103" s="110">
        <f>'88T_Seeds'!AP110</f>
        <v>0.2782369239027887</v>
      </c>
      <c r="I103" s="111"/>
      <c r="J103" s="228" t="s">
        <v>29</v>
      </c>
      <c r="K103" s="230">
        <f>'88T_Seeds'!AS110</f>
        <v>3.9579295515094733E-3</v>
      </c>
    </row>
    <row r="104" spans="2:11" x14ac:dyDescent="0.3">
      <c r="B104" s="107"/>
      <c r="C104" s="107" t="s">
        <v>30</v>
      </c>
      <c r="D104" s="108">
        <f>'88T_Seeds'!AL111</f>
        <v>100</v>
      </c>
      <c r="E104" s="108">
        <f>'88T_Seeds'!AM111</f>
        <v>86.862366905392705</v>
      </c>
      <c r="F104" s="108">
        <f>'88T_Seeds'!AN111</f>
        <v>97.979806597933575</v>
      </c>
      <c r="G104" s="108">
        <f>'88T_Seeds'!AO111</f>
        <v>98.030132383145911</v>
      </c>
      <c r="H104" s="108">
        <f>'88T_Seeds'!AP111</f>
        <v>84.161696822879136</v>
      </c>
      <c r="I104" s="111"/>
      <c r="J104" s="111"/>
      <c r="K104" s="111"/>
    </row>
    <row r="105" spans="2:11" x14ac:dyDescent="0.3">
      <c r="B105" s="107"/>
      <c r="C105" s="109" t="s">
        <v>39</v>
      </c>
      <c r="D105" s="110">
        <f>'88T_Seeds'!AL112</f>
        <v>0</v>
      </c>
      <c r="E105" s="110">
        <f>'88T_Seeds'!AM112</f>
        <v>4.63870055752753</v>
      </c>
      <c r="F105" s="110">
        <f>'88T_Seeds'!AN112</f>
        <v>0.40381620908914762</v>
      </c>
      <c r="G105" s="110">
        <f>'88T_Seeds'!AO112</f>
        <v>0.46913011862175175</v>
      </c>
      <c r="H105" s="110">
        <f>'88T_Seeds'!AP112</f>
        <v>2.9303966484371626</v>
      </c>
      <c r="I105" s="111"/>
      <c r="J105" s="111"/>
      <c r="K105" s="111"/>
    </row>
    <row r="106" spans="2:11" x14ac:dyDescent="0.3">
      <c r="B106" s="107"/>
      <c r="C106" s="111" t="s">
        <v>31</v>
      </c>
      <c r="D106" s="112">
        <f>'88T_Seeds'!AL113</f>
        <v>100</v>
      </c>
      <c r="E106" s="112">
        <f>'88T_Seeds'!AM113</f>
        <v>100</v>
      </c>
      <c r="F106" s="112">
        <f>'88T_Seeds'!AN113</f>
        <v>99.592944369063773</v>
      </c>
      <c r="G106" s="112">
        <f>'88T_Seeds'!AO113</f>
        <v>91.75257731958763</v>
      </c>
      <c r="H106" s="112">
        <f>'88T_Seeds'!AP113</f>
        <v>92.666005946481661</v>
      </c>
      <c r="I106" s="111"/>
      <c r="J106" s="111"/>
      <c r="K106" s="111"/>
    </row>
    <row r="107" spans="2:11" x14ac:dyDescent="0.3">
      <c r="B107" s="107"/>
      <c r="C107" s="113" t="s">
        <v>39</v>
      </c>
      <c r="D107" s="114">
        <f>'88T_Seeds'!AL114</f>
        <v>0</v>
      </c>
      <c r="E107" s="114">
        <f>'88T_Seeds'!AM114</f>
        <v>0</v>
      </c>
      <c r="F107" s="114">
        <f>'88T_Seeds'!AN114</f>
        <v>0.2346941488143626</v>
      </c>
      <c r="G107" s="114">
        <f>'88T_Seeds'!AO114</f>
        <v>1.1412484385858428</v>
      </c>
      <c r="H107" s="114">
        <f>'88T_Seeds'!AP114</f>
        <v>0.82110790463033556</v>
      </c>
      <c r="I107" s="107"/>
      <c r="J107" s="107"/>
      <c r="K107" s="107"/>
    </row>
    <row r="108" spans="2:11" x14ac:dyDescent="0.3">
      <c r="B108" s="107"/>
      <c r="C108" s="109" t="s">
        <v>51</v>
      </c>
      <c r="D108" s="110">
        <f>'88T_Seeds'!AL115</f>
        <v>100</v>
      </c>
      <c r="E108" s="110">
        <f>'88T_Seeds'!AM115</f>
        <v>95</v>
      </c>
      <c r="F108" s="110">
        <f>'88T_Seeds'!AN115</f>
        <v>97.412076974120765</v>
      </c>
      <c r="G108" s="110">
        <f>'88T_Seeds'!AO115</f>
        <v>90.893617021276583</v>
      </c>
      <c r="H108" s="110">
        <f>'88T_Seeds'!AP115</f>
        <v>95.020325203252028</v>
      </c>
      <c r="I108" s="107"/>
      <c r="J108" s="107"/>
      <c r="K108" s="107"/>
    </row>
    <row r="109" spans="2:11" x14ac:dyDescent="0.3">
      <c r="B109" s="115" t="s">
        <v>375</v>
      </c>
      <c r="C109" s="107" t="s">
        <v>9</v>
      </c>
      <c r="D109" s="116">
        <f>'88T_Seeds'!AL116</f>
        <v>510.22</v>
      </c>
      <c r="E109" s="116">
        <f>'88T_Seeds'!AM116</f>
        <v>2115.29</v>
      </c>
      <c r="F109" s="116">
        <f>'88T_Seeds'!AN116</f>
        <v>55461.26</v>
      </c>
      <c r="G109" s="116">
        <f>'88T_Seeds'!AO116</f>
        <v>31033.24</v>
      </c>
      <c r="H109" s="116">
        <f>'88T_Seeds'!AP116</f>
        <v>7464.15</v>
      </c>
      <c r="I109" s="143">
        <f>$K$1-K109</f>
        <v>13660.839999999997</v>
      </c>
      <c r="J109" s="115" t="s">
        <v>36</v>
      </c>
      <c r="K109" s="111">
        <f>SUM(D109:H109)</f>
        <v>96584.16</v>
      </c>
    </row>
    <row r="110" spans="2:11" x14ac:dyDescent="0.3">
      <c r="B110" s="115" t="s">
        <v>355</v>
      </c>
      <c r="C110" s="107" t="s">
        <v>390</v>
      </c>
      <c r="D110" s="108">
        <f>'88T_Seeds'!AL117</f>
        <v>510.22</v>
      </c>
      <c r="E110" s="108">
        <f>'88T_Seeds'!AM117</f>
        <v>2435.2203092783507</v>
      </c>
      <c r="F110" s="108">
        <f>'88T_Seeds'!AN117</f>
        <v>56374.373185736382</v>
      </c>
      <c r="G110" s="108">
        <f>'88T_Seeds'!AO117</f>
        <v>29045.964575957893</v>
      </c>
      <c r="H110" s="108">
        <f>'88T_Seeds'!AP117</f>
        <v>8218.3819290273805</v>
      </c>
      <c r="I110" s="143">
        <f>$K$1-K110</f>
        <v>13660.839999999997</v>
      </c>
      <c r="J110" s="115" t="s">
        <v>36</v>
      </c>
      <c r="K110" s="111">
        <f>SUM(D110:H110)</f>
        <v>96584.16</v>
      </c>
    </row>
    <row r="111" spans="2:11" x14ac:dyDescent="0.3">
      <c r="B111" s="115"/>
      <c r="C111" s="107" t="s">
        <v>455</v>
      </c>
      <c r="D111" s="146">
        <f t="shared" ref="D111:H111" si="25">D110/$K$1</f>
        <v>4.6280556941357886E-3</v>
      </c>
      <c r="E111" s="146">
        <f t="shared" si="25"/>
        <v>2.2089167846871521E-2</v>
      </c>
      <c r="F111" s="146">
        <f t="shared" si="25"/>
        <v>0.51135537381048013</v>
      </c>
      <c r="G111" s="146">
        <f t="shared" si="25"/>
        <v>0.26346740964177867</v>
      </c>
      <c r="H111" s="146">
        <f t="shared" si="25"/>
        <v>7.4546527543447594E-2</v>
      </c>
      <c r="I111" s="146">
        <f t="shared" ref="I111" si="26">I110/$K$1</f>
        <v>0.12391346546328628</v>
      </c>
      <c r="J111" s="144">
        <f>SUM(D111:I111)</f>
        <v>1</v>
      </c>
      <c r="K111" s="117"/>
    </row>
    <row r="112" spans="2:11" x14ac:dyDescent="0.3">
      <c r="B112" s="107"/>
      <c r="C112" s="107" t="s">
        <v>354</v>
      </c>
      <c r="D112" s="108">
        <f>'88T_Seeds'!AL118</f>
        <v>0</v>
      </c>
      <c r="E112" s="108">
        <f>'88T_Seeds'!AM118</f>
        <v>129.93600505431434</v>
      </c>
      <c r="F112" s="108">
        <f>'88T_Seeds'!AN118</f>
        <v>264.74844178195258</v>
      </c>
      <c r="G112" s="108">
        <f>'88T_Seeds'!AO118</f>
        <v>373.43883498380256</v>
      </c>
      <c r="H112" s="108">
        <f>'88T_Seeds'!AP118</f>
        <v>268.73279576134769</v>
      </c>
      <c r="I112" s="107"/>
      <c r="J112" s="107"/>
      <c r="K112" s="107"/>
    </row>
    <row r="113" spans="2:11" x14ac:dyDescent="0.3">
      <c r="B113" s="107"/>
      <c r="C113" s="147" t="s">
        <v>458</v>
      </c>
      <c r="D113" s="108">
        <f>1.96*D112</f>
        <v>0</v>
      </c>
      <c r="E113" s="108">
        <f>1.96*E112</f>
        <v>254.6745699064561</v>
      </c>
      <c r="F113" s="108">
        <f>1.96*F112</f>
        <v>518.90694589262705</v>
      </c>
      <c r="G113" s="108">
        <f>1.96*G112</f>
        <v>731.94011656825296</v>
      </c>
      <c r="H113" s="108">
        <f>1.96*H112</f>
        <v>526.71627969224141</v>
      </c>
      <c r="I113" s="107"/>
      <c r="J113" s="107"/>
      <c r="K113" s="107"/>
    </row>
    <row r="114" spans="2:11" x14ac:dyDescent="0.3">
      <c r="B114" s="107"/>
      <c r="C114" s="147" t="s">
        <v>457</v>
      </c>
      <c r="D114" s="148">
        <f>D112/$K$1</f>
        <v>0</v>
      </c>
      <c r="E114" s="148">
        <f>E112/$K$1</f>
        <v>1.1786113207339502E-3</v>
      </c>
      <c r="F114" s="148">
        <f>F112/$K$1</f>
        <v>2.4014553202589919E-3</v>
      </c>
      <c r="G114" s="148">
        <f>G112/$K$1</f>
        <v>3.3873539388072256E-3</v>
      </c>
      <c r="H114" s="148">
        <f>H112/$K$1</f>
        <v>2.4375962244214946E-3</v>
      </c>
      <c r="I114" s="107"/>
      <c r="J114" s="107"/>
      <c r="K114" s="107"/>
    </row>
    <row r="115" spans="2:11" x14ac:dyDescent="0.3">
      <c r="B115" s="107"/>
      <c r="C115" s="128" t="s">
        <v>459</v>
      </c>
      <c r="D115" s="149">
        <f>1.96*D114</f>
        <v>0</v>
      </c>
      <c r="E115" s="149">
        <f>1.96*E114</f>
        <v>2.3100781886385424E-3</v>
      </c>
      <c r="F115" s="149">
        <f>1.96*F114</f>
        <v>4.7068524277076237E-3</v>
      </c>
      <c r="G115" s="149">
        <f>1.96*G114</f>
        <v>6.6392137200621624E-3</v>
      </c>
      <c r="H115" s="149">
        <f>1.96*H114</f>
        <v>4.7776885998661294E-3</v>
      </c>
      <c r="I115" s="107"/>
      <c r="J115" s="107"/>
      <c r="K115" s="107"/>
    </row>
    <row r="116" spans="2:11" x14ac:dyDescent="0.3">
      <c r="B116" s="115" t="s">
        <v>376</v>
      </c>
      <c r="C116" s="122" t="s">
        <v>9</v>
      </c>
      <c r="D116" s="135">
        <f>'88T_Seeds'!AL119</f>
        <v>518.38849999999991</v>
      </c>
      <c r="E116" s="135">
        <f>'88T_Seeds'!AM119</f>
        <v>2203.2530000000002</v>
      </c>
      <c r="F116" s="135">
        <f>'88T_Seeds'!AN119</f>
        <v>55087.030500000008</v>
      </c>
      <c r="G116" s="135">
        <f>'88T_Seeds'!AO119</f>
        <v>31037.160500000005</v>
      </c>
      <c r="H116" s="135">
        <f>'88T_Seeds'!AP119</f>
        <v>7738.3274999999994</v>
      </c>
      <c r="I116" s="107"/>
      <c r="J116" s="115" t="s">
        <v>36</v>
      </c>
      <c r="K116" s="136">
        <f>SUM(D116:H116)</f>
        <v>96584.160000000018</v>
      </c>
    </row>
    <row r="117" spans="2:11" x14ac:dyDescent="0.3">
      <c r="B117" s="107"/>
      <c r="C117" s="147" t="s">
        <v>368</v>
      </c>
      <c r="D117" s="108">
        <f>'88T_Seeds'!AL120</f>
        <v>17.340885612590618</v>
      </c>
      <c r="E117" s="108">
        <f>'88T_Seeds'!AM120</f>
        <v>39.098336019916708</v>
      </c>
      <c r="F117" s="108">
        <f>'88T_Seeds'!AN120</f>
        <v>89.593552674153599</v>
      </c>
      <c r="G117" s="108">
        <f>'88T_Seeds'!AO120</f>
        <v>79.936696139655908</v>
      </c>
      <c r="H117" s="108">
        <f>'88T_Seeds'!AP120</f>
        <v>58.564514097814886</v>
      </c>
      <c r="I117" s="107"/>
      <c r="J117" s="107"/>
      <c r="K117" s="107"/>
    </row>
    <row r="118" spans="2:11" x14ac:dyDescent="0.3">
      <c r="B118" s="107"/>
      <c r="C118" s="147" t="s">
        <v>458</v>
      </c>
      <c r="D118" s="108">
        <f>1.96*D117</f>
        <v>33.988135800677611</v>
      </c>
      <c r="E118" s="108">
        <f>1.96*E117</f>
        <v>76.632738599036742</v>
      </c>
      <c r="F118" s="108">
        <f>1.96*F117</f>
        <v>175.60336324134104</v>
      </c>
      <c r="G118" s="108">
        <f>1.96*G117</f>
        <v>156.67592443372558</v>
      </c>
      <c r="H118" s="108">
        <f>1.96*H117</f>
        <v>114.78644763171718</v>
      </c>
      <c r="I118" s="107"/>
      <c r="J118" s="107"/>
      <c r="K118" s="107"/>
    </row>
    <row r="119" spans="2:11" x14ac:dyDescent="0.3">
      <c r="B119" s="107"/>
      <c r="C119" s="147" t="s">
        <v>457</v>
      </c>
      <c r="D119" s="148">
        <f>D117/$K$1</f>
        <v>1.5729407785015754E-4</v>
      </c>
      <c r="E119" s="148">
        <f>E117/$K$1</f>
        <v>3.5464951716555589E-4</v>
      </c>
      <c r="F119" s="148">
        <f>F117/$K$1</f>
        <v>8.1267678964264687E-4</v>
      </c>
      <c r="G119" s="148">
        <f>G117/$K$1</f>
        <v>7.250822816423049E-4</v>
      </c>
      <c r="H119" s="148">
        <f>H117/$K$1</f>
        <v>5.3122149846083621E-4</v>
      </c>
      <c r="I119" s="107"/>
      <c r="J119" s="107"/>
      <c r="K119" s="107"/>
    </row>
    <row r="120" spans="2:11" x14ac:dyDescent="0.3">
      <c r="B120" s="140"/>
      <c r="C120" s="128" t="s">
        <v>459</v>
      </c>
      <c r="D120" s="149">
        <f>1.96*D119</f>
        <v>3.0829639258630879E-4</v>
      </c>
      <c r="E120" s="149">
        <f>1.96*E119</f>
        <v>6.9511305364448948E-4</v>
      </c>
      <c r="F120" s="149">
        <f>1.96*F119</f>
        <v>1.5928465076995879E-3</v>
      </c>
      <c r="G120" s="149">
        <f>1.96*G119</f>
        <v>1.4211612720189176E-3</v>
      </c>
      <c r="H120" s="149">
        <f>1.96*H119</f>
        <v>1.041194136983239E-3</v>
      </c>
      <c r="I120" s="107"/>
      <c r="J120" s="107"/>
      <c r="K120" s="107"/>
    </row>
    <row r="121" spans="2:11" x14ac:dyDescent="0.3">
      <c r="B121" s="119" t="s">
        <v>693</v>
      </c>
      <c r="C121" s="107"/>
      <c r="D121" s="116"/>
      <c r="E121" s="116"/>
      <c r="F121" s="116"/>
      <c r="G121" s="116"/>
      <c r="H121" s="116"/>
      <c r="I121" s="107"/>
      <c r="J121" s="107"/>
      <c r="K121" s="107"/>
    </row>
    <row r="122" spans="2:11" x14ac:dyDescent="0.3">
      <c r="B122" s="115" t="s">
        <v>375</v>
      </c>
      <c r="C122" s="122" t="s">
        <v>9</v>
      </c>
      <c r="D122" s="135">
        <f>'88T_Seeds'!AL122</f>
        <v>1.89</v>
      </c>
      <c r="E122" s="135">
        <f>'88T_Seeds'!AM122</f>
        <v>508.25</v>
      </c>
      <c r="F122" s="135">
        <f>'88T_Seeds'!AN122</f>
        <v>5013.63</v>
      </c>
      <c r="G122" s="135">
        <f>'88T_Seeds'!AO122</f>
        <v>562.79999999999995</v>
      </c>
      <c r="H122" s="135">
        <f>'88T_Seeds'!AP122</f>
        <v>137.71</v>
      </c>
      <c r="I122" s="108">
        <f>$K$2-K122</f>
        <v>95.639999999999418</v>
      </c>
      <c r="J122" s="115" t="s">
        <v>36</v>
      </c>
      <c r="K122" s="136">
        <f t="shared" ref="K122" si="27">SUM(D122:H122)</f>
        <v>6224.2800000000007</v>
      </c>
    </row>
    <row r="123" spans="2:11" x14ac:dyDescent="0.3">
      <c r="B123" s="107"/>
      <c r="C123" s="107" t="s">
        <v>455</v>
      </c>
      <c r="D123" s="150">
        <f t="shared" ref="D123:H123" si="28">D122/$K$2</f>
        <v>2.9905441841035962E-4</v>
      </c>
      <c r="E123" s="150">
        <f t="shared" si="28"/>
        <v>8.0420321776225018E-2</v>
      </c>
      <c r="F123" s="150">
        <f t="shared" si="28"/>
        <v>0.79330592792313825</v>
      </c>
      <c r="G123" s="150">
        <f t="shared" si="28"/>
        <v>8.9051760148862638E-2</v>
      </c>
      <c r="H123" s="150">
        <f t="shared" si="28"/>
        <v>2.1789832782693454E-2</v>
      </c>
      <c r="I123" s="146">
        <f t="shared" ref="I123" si="29">I122/$K$2</f>
        <v>1.513310295067017E-2</v>
      </c>
      <c r="J123" s="144">
        <f>SUM(D123:I123)</f>
        <v>0.99999999999999989</v>
      </c>
      <c r="K123" s="107"/>
    </row>
    <row r="124" spans="2:11" x14ac:dyDescent="0.3">
      <c r="B124" s="115" t="s">
        <v>376</v>
      </c>
      <c r="C124" s="122" t="s">
        <v>9</v>
      </c>
      <c r="D124" s="135">
        <f>'88T_Seeds'!AL124</f>
        <v>2.0564999999999993</v>
      </c>
      <c r="E124" s="135">
        <f>'88T_Seeds'!AM124</f>
        <v>510.32449999999989</v>
      </c>
      <c r="F124" s="135">
        <f>'88T_Seeds'!AN124</f>
        <v>4997.9709999999995</v>
      </c>
      <c r="G124" s="135">
        <f>'88T_Seeds'!AO124</f>
        <v>570.65499999999997</v>
      </c>
      <c r="H124" s="135">
        <f>'88T_Seeds'!AP124</f>
        <v>143.27200000000002</v>
      </c>
      <c r="I124" s="108">
        <f>$K$2-K124</f>
        <v>95.641000000001441</v>
      </c>
      <c r="J124" s="115" t="s">
        <v>36</v>
      </c>
      <c r="K124" s="136">
        <f t="shared" ref="K124" si="30">SUM(D124:H124)</f>
        <v>6224.2789999999986</v>
      </c>
    </row>
    <row r="125" spans="2:11" x14ac:dyDescent="0.3">
      <c r="B125" s="115"/>
      <c r="C125" s="140" t="s">
        <v>455</v>
      </c>
      <c r="D125" s="150">
        <f t="shared" ref="D125:H125" si="31">D124/$K$2</f>
        <v>3.2539968860365308E-4</v>
      </c>
      <c r="E125" s="150">
        <f t="shared" si="31"/>
        <v>8.0748569602146839E-2</v>
      </c>
      <c r="F125" s="150">
        <f t="shared" si="31"/>
        <v>0.7908282066861605</v>
      </c>
      <c r="G125" s="150">
        <f t="shared" si="31"/>
        <v>9.0294655628552253E-2</v>
      </c>
      <c r="H125" s="150">
        <f t="shared" si="31"/>
        <v>2.2669907214015371E-2</v>
      </c>
      <c r="I125" s="146">
        <f t="shared" ref="I125" si="32">I124/$K$2</f>
        <v>1.5133261180521501E-2</v>
      </c>
      <c r="J125" s="144">
        <f>SUM(D125:I125)</f>
        <v>1.0000000000000002</v>
      </c>
      <c r="K125" s="136"/>
    </row>
    <row r="126" spans="2:11" x14ac:dyDescent="0.3">
      <c r="B126" s="107"/>
      <c r="C126" s="147" t="s">
        <v>368</v>
      </c>
      <c r="D126" s="108">
        <f>'88T_Seeds'!AL125</f>
        <v>8.291807942021405E-2</v>
      </c>
      <c r="E126" s="108">
        <f>'88T_Seeds'!AM125</f>
        <v>6.497530481287729</v>
      </c>
      <c r="F126" s="108">
        <f>'88T_Seeds'!AN125</f>
        <v>7.1668467300920788</v>
      </c>
      <c r="G126" s="108">
        <f>'88T_Seeds'!AO125</f>
        <v>2.8843604143726562</v>
      </c>
      <c r="H126" s="108">
        <f>'88T_Seeds'!AP125</f>
        <v>2.1832296935358957</v>
      </c>
      <c r="I126" s="107"/>
      <c r="J126" s="107"/>
      <c r="K126" s="107"/>
    </row>
    <row r="127" spans="2:11" x14ac:dyDescent="0.3">
      <c r="B127" s="107"/>
      <c r="C127" s="147" t="s">
        <v>458</v>
      </c>
      <c r="D127" s="108">
        <f>1.96*D126</f>
        <v>0.16251943566361954</v>
      </c>
      <c r="E127" s="108">
        <f>1.96*E126</f>
        <v>12.735159743323949</v>
      </c>
      <c r="F127" s="108">
        <f>1.96*F126</f>
        <v>14.047019590980474</v>
      </c>
      <c r="G127" s="108">
        <f>1.96*G126</f>
        <v>5.6533464121704062</v>
      </c>
      <c r="H127" s="108">
        <f>1.96*H126</f>
        <v>4.2791301993303552</v>
      </c>
      <c r="I127" s="107"/>
      <c r="J127" s="107"/>
      <c r="K127" s="107"/>
    </row>
    <row r="128" spans="2:11" x14ac:dyDescent="0.3">
      <c r="B128" s="107"/>
      <c r="C128" s="147" t="s">
        <v>457</v>
      </c>
      <c r="D128" s="148">
        <f>D126/$K$2</f>
        <v>1.3120115352759854E-5</v>
      </c>
      <c r="E128" s="148">
        <f>E126/$K$2</f>
        <v>1.028103279992109E-3</v>
      </c>
      <c r="F128" s="148">
        <f>F126/$K$2</f>
        <v>1.1340090903195102E-3</v>
      </c>
      <c r="G128" s="148">
        <f>G126/$K$2</f>
        <v>4.5639191862755483E-4</v>
      </c>
      <c r="H128" s="148">
        <f>H126/$K$2</f>
        <v>3.454521091304788E-4</v>
      </c>
      <c r="I128" s="107"/>
      <c r="J128" s="107"/>
      <c r="K128" s="107"/>
    </row>
    <row r="129" spans="2:11" x14ac:dyDescent="0.3">
      <c r="B129" s="140"/>
      <c r="C129" s="128" t="s">
        <v>459</v>
      </c>
      <c r="D129" s="149">
        <f>1.96*D128</f>
        <v>2.5715426091409311E-5</v>
      </c>
      <c r="E129" s="149">
        <f>1.96*E128</f>
        <v>2.0150824287845336E-3</v>
      </c>
      <c r="F129" s="149">
        <f>1.96*F128</f>
        <v>2.2226578170262399E-3</v>
      </c>
      <c r="G129" s="149">
        <f>1.96*G128</f>
        <v>8.9452816051000742E-4</v>
      </c>
      <c r="H129" s="149">
        <f>1.96*H128</f>
        <v>6.7708613389573838E-4</v>
      </c>
      <c r="I129" s="107"/>
      <c r="J129" s="107"/>
      <c r="K129" s="107"/>
    </row>
    <row r="130" spans="2:11" x14ac:dyDescent="0.3">
      <c r="B130" s="119" t="s">
        <v>657</v>
      </c>
      <c r="C130" s="107"/>
      <c r="D130" s="116"/>
      <c r="E130" s="116"/>
      <c r="F130" s="116"/>
      <c r="G130" s="116"/>
      <c r="H130" s="116"/>
      <c r="I130" s="107"/>
      <c r="J130" s="107"/>
      <c r="K130" s="107"/>
    </row>
    <row r="131" spans="2:11" x14ac:dyDescent="0.3">
      <c r="B131" s="115" t="s">
        <v>375</v>
      </c>
      <c r="C131" s="122" t="s">
        <v>9</v>
      </c>
      <c r="D131" s="135">
        <f>'88T_Seeds'!AL127</f>
        <v>471.68</v>
      </c>
      <c r="E131" s="135">
        <f>'88T_Seeds'!AM127</f>
        <v>122.09</v>
      </c>
      <c r="F131" s="135">
        <f>'88T_Seeds'!AN127</f>
        <v>3775.53</v>
      </c>
      <c r="G131" s="135">
        <f>'88T_Seeds'!AO127</f>
        <v>15273.21</v>
      </c>
      <c r="H131" s="135">
        <f>'88T_Seeds'!AP127</f>
        <v>5004.7299999999996</v>
      </c>
      <c r="I131" s="108">
        <f>$K$3-K131</f>
        <v>108.71000000000276</v>
      </c>
      <c r="J131" s="115" t="s">
        <v>36</v>
      </c>
      <c r="K131" s="136">
        <f t="shared" ref="K131" si="33">SUM(D131:H131)</f>
        <v>24647.239999999998</v>
      </c>
    </row>
    <row r="132" spans="2:11" x14ac:dyDescent="0.3">
      <c r="B132" s="107"/>
      <c r="C132" s="107" t="s">
        <v>455</v>
      </c>
      <c r="D132" s="145">
        <f t="shared" ref="D132:H132" si="34">D131/$K$3</f>
        <v>1.9053197312161319E-2</v>
      </c>
      <c r="E132" s="145">
        <f t="shared" si="34"/>
        <v>4.9317436818219458E-3</v>
      </c>
      <c r="F132" s="145">
        <f t="shared" si="34"/>
        <v>0.15251000264582859</v>
      </c>
      <c r="G132" s="145">
        <f t="shared" si="34"/>
        <v>0.61695107640789382</v>
      </c>
      <c r="H132" s="145">
        <f t="shared" si="34"/>
        <v>0.20216271239843348</v>
      </c>
      <c r="I132" s="145">
        <f t="shared" ref="I132" si="35">I131/$K$3</f>
        <v>4.3912675538609006E-3</v>
      </c>
      <c r="J132" s="144">
        <f>SUM(D132:I132)</f>
        <v>1</v>
      </c>
      <c r="K132" s="107"/>
    </row>
    <row r="133" spans="2:11" x14ac:dyDescent="0.3">
      <c r="B133" s="115" t="s">
        <v>376</v>
      </c>
      <c r="C133" s="122" t="s">
        <v>9</v>
      </c>
      <c r="D133" s="135">
        <f>'88T_Seeds'!AL129</f>
        <v>474.03199999999998</v>
      </c>
      <c r="E133" s="135">
        <f>'88T_Seeds'!AM129</f>
        <v>134.15949999999998</v>
      </c>
      <c r="F133" s="135">
        <f>'88T_Seeds'!AN129</f>
        <v>3714.593499999999</v>
      </c>
      <c r="G133" s="135">
        <f>'88T_Seeds'!AO129</f>
        <v>15230.661499999997</v>
      </c>
      <c r="H133" s="135">
        <f>'88T_Seeds'!AP129</f>
        <v>5093.7974999999988</v>
      </c>
      <c r="I133" s="108">
        <f>$K$3-K133</f>
        <v>108.70600000000923</v>
      </c>
      <c r="J133" s="115" t="s">
        <v>36</v>
      </c>
      <c r="K133" s="136">
        <f t="shared" ref="K133" si="36">SUM(D133:H133)</f>
        <v>24647.243999999992</v>
      </c>
    </row>
    <row r="134" spans="2:11" x14ac:dyDescent="0.3">
      <c r="B134" s="115"/>
      <c r="C134" s="140" t="s">
        <v>455</v>
      </c>
      <c r="D134" s="150">
        <f t="shared" ref="D134:H134" si="37">D133/$K$3</f>
        <v>1.9148204775013684E-2</v>
      </c>
      <c r="E134" s="150">
        <f t="shared" si="37"/>
        <v>5.4192830410466969E-3</v>
      </c>
      <c r="F134" s="150">
        <f t="shared" si="37"/>
        <v>0.15004851358966223</v>
      </c>
      <c r="G134" s="150">
        <f t="shared" si="37"/>
        <v>0.61523235828154432</v>
      </c>
      <c r="H134" s="150">
        <f t="shared" si="37"/>
        <v>0.20576053433618982</v>
      </c>
      <c r="I134" s="145">
        <f t="shared" ref="I134" si="38">I133/$K$3</f>
        <v>4.3911059765433854E-3</v>
      </c>
      <c r="J134" s="144">
        <f>SUM(D134:I134)</f>
        <v>1.0000000000000002</v>
      </c>
      <c r="K134" s="136"/>
    </row>
    <row r="135" spans="2:11" x14ac:dyDescent="0.3">
      <c r="B135" s="107"/>
      <c r="C135" s="147" t="s">
        <v>368</v>
      </c>
      <c r="D135" s="108">
        <f>'88T_Seeds'!AL130</f>
        <v>17.69546329906122</v>
      </c>
      <c r="E135" s="108">
        <f>'88T_Seeds'!AM130</f>
        <v>4.8371438111761913</v>
      </c>
      <c r="F135" s="108">
        <f>'88T_Seeds'!AN130</f>
        <v>25.016627336686117</v>
      </c>
      <c r="G135" s="108">
        <f>'88T_Seeds'!AO130</f>
        <v>30.089134350030932</v>
      </c>
      <c r="H135" s="108">
        <f>'88T_Seeds'!AP130</f>
        <v>25.121979062953482</v>
      </c>
      <c r="I135" s="107"/>
      <c r="J135" s="107"/>
      <c r="K135" s="107"/>
    </row>
    <row r="136" spans="2:11" x14ac:dyDescent="0.3">
      <c r="B136" s="107"/>
      <c r="C136" s="147" t="s">
        <v>458</v>
      </c>
      <c r="D136" s="108">
        <f>1.96*D135</f>
        <v>34.683108066159988</v>
      </c>
      <c r="E136" s="108">
        <f>1.96*E135</f>
        <v>9.4808018699053349</v>
      </c>
      <c r="F136" s="108">
        <f>1.96*F135</f>
        <v>49.032589579904787</v>
      </c>
      <c r="G136" s="108">
        <f>1.96*G135</f>
        <v>58.974703326060627</v>
      </c>
      <c r="H136" s="108">
        <f>1.96*H135</f>
        <v>49.23907896338882</v>
      </c>
      <c r="I136" s="107"/>
      <c r="J136" s="107"/>
      <c r="K136" s="107"/>
    </row>
    <row r="137" spans="2:11" x14ac:dyDescent="0.3">
      <c r="B137" s="107"/>
      <c r="C137" s="147" t="s">
        <v>457</v>
      </c>
      <c r="D137" s="148">
        <f>D135/$K$3</f>
        <v>7.1479637416706774E-4</v>
      </c>
      <c r="E137" s="148">
        <f>E135/$K$3</f>
        <v>1.9539318067681471E-4</v>
      </c>
      <c r="F137" s="148">
        <f>F135/$K$3</f>
        <v>1.0105298862166921E-3</v>
      </c>
      <c r="G137" s="148">
        <f>G135/$K$3</f>
        <v>1.2154304056209086E-3</v>
      </c>
      <c r="H137" s="148">
        <f>H135/$K$3</f>
        <v>1.0147854985550334E-3</v>
      </c>
      <c r="I137" s="107"/>
      <c r="J137" s="107"/>
      <c r="K137" s="107"/>
    </row>
    <row r="138" spans="2:11" x14ac:dyDescent="0.3">
      <c r="B138" s="140"/>
      <c r="C138" s="128" t="s">
        <v>459</v>
      </c>
      <c r="D138" s="149">
        <f>1.96*D137</f>
        <v>1.4010008933674528E-3</v>
      </c>
      <c r="E138" s="149">
        <f>1.96*E137</f>
        <v>3.8297063412655682E-4</v>
      </c>
      <c r="F138" s="149">
        <f>1.96*F137</f>
        <v>1.9806385769847164E-3</v>
      </c>
      <c r="G138" s="149">
        <f>1.96*G137</f>
        <v>2.3822435950169806E-3</v>
      </c>
      <c r="H138" s="149">
        <f>1.96*H137</f>
        <v>1.9889795771678657E-3</v>
      </c>
      <c r="I138" s="107"/>
      <c r="J138" s="107"/>
      <c r="K138" s="107"/>
    </row>
    <row r="139" spans="2:11" x14ac:dyDescent="0.3">
      <c r="B139" s="119" t="s">
        <v>694</v>
      </c>
      <c r="C139" s="107"/>
      <c r="D139" s="116"/>
      <c r="E139" s="116"/>
      <c r="F139" s="116"/>
      <c r="G139" s="116"/>
      <c r="H139" s="116"/>
      <c r="I139" s="107"/>
      <c r="J139" s="107"/>
      <c r="K139" s="107"/>
    </row>
    <row r="140" spans="2:11" x14ac:dyDescent="0.3">
      <c r="B140" s="115" t="s">
        <v>375</v>
      </c>
      <c r="C140" s="122" t="s">
        <v>9</v>
      </c>
      <c r="D140" s="135">
        <f>'88T_Seeds'!AL132</f>
        <v>1.0900000000000001</v>
      </c>
      <c r="E140" s="135">
        <f>'88T_Seeds'!AM132</f>
        <v>12.51</v>
      </c>
      <c r="F140" s="135">
        <f>'88T_Seeds'!AN132</f>
        <v>1132.57</v>
      </c>
      <c r="G140" s="135">
        <f>'88T_Seeds'!AO132</f>
        <v>290.31</v>
      </c>
      <c r="H140" s="135">
        <f>'88T_Seeds'!AP132</f>
        <v>25.73</v>
      </c>
      <c r="I140" s="108">
        <f>$K$4-K140</f>
        <v>6.5500000000001819</v>
      </c>
      <c r="J140" s="115" t="s">
        <v>36</v>
      </c>
      <c r="K140" s="136">
        <f t="shared" ref="K140" si="39">SUM(D140:H140)</f>
        <v>1462.2099999999998</v>
      </c>
    </row>
    <row r="141" spans="2:11" x14ac:dyDescent="0.3">
      <c r="B141" s="107"/>
      <c r="C141" s="107" t="s">
        <v>455</v>
      </c>
      <c r="D141" s="150">
        <f t="shared" ref="D141:H141" si="40">D140/$K$4</f>
        <v>7.4212260682480461E-4</v>
      </c>
      <c r="E141" s="150">
        <f t="shared" si="40"/>
        <v>8.5173888177782625E-3</v>
      </c>
      <c r="F141" s="150">
        <f t="shared" si="40"/>
        <v>0.77110623927666877</v>
      </c>
      <c r="G141" s="150">
        <f t="shared" si="40"/>
        <v>0.19765652659386149</v>
      </c>
      <c r="H141" s="150">
        <f t="shared" si="40"/>
        <v>1.7518178599635066E-2</v>
      </c>
      <c r="I141" s="146">
        <f t="shared" ref="I141" si="41">I140/$K$4</f>
        <v>4.459544105231748E-3</v>
      </c>
      <c r="J141" s="144">
        <f>SUM(D141:I141)</f>
        <v>1</v>
      </c>
      <c r="K141" s="107"/>
    </row>
    <row r="142" spans="2:11" x14ac:dyDescent="0.3">
      <c r="B142" s="115" t="s">
        <v>376</v>
      </c>
      <c r="C142" s="122" t="s">
        <v>9</v>
      </c>
      <c r="D142" s="139">
        <f>'88T_Seeds'!AL134</f>
        <v>1.1990000000000001</v>
      </c>
      <c r="E142" s="135">
        <f>'88T_Seeds'!AM134</f>
        <v>13.677000000000001</v>
      </c>
      <c r="F142" s="135">
        <f>'88T_Seeds'!AN134</f>
        <v>1127.1315</v>
      </c>
      <c r="G142" s="135">
        <f>'88T_Seeds'!AO134</f>
        <v>293.03200000000004</v>
      </c>
      <c r="H142" s="135">
        <f>'88T_Seeds'!AP134</f>
        <v>27.174500000000002</v>
      </c>
      <c r="I142" s="108">
        <f>$K$4-K142</f>
        <v>6.5460000000000491</v>
      </c>
      <c r="J142" s="115" t="s">
        <v>36</v>
      </c>
      <c r="K142" s="136">
        <f t="shared" ref="K142" si="42">SUM(D142:H142)</f>
        <v>1462.2139999999999</v>
      </c>
    </row>
    <row r="143" spans="2:11" x14ac:dyDescent="0.3">
      <c r="B143" s="115"/>
      <c r="C143" s="140" t="s">
        <v>455</v>
      </c>
      <c r="D143" s="150">
        <f t="shared" ref="D143:H143" si="43">D142/$K$4</f>
        <v>8.1633486750728513E-4</v>
      </c>
      <c r="E143" s="150">
        <f t="shared" si="43"/>
        <v>9.3119365995806003E-3</v>
      </c>
      <c r="F143" s="150">
        <f t="shared" si="43"/>
        <v>0.76740345597646997</v>
      </c>
      <c r="G143" s="150">
        <f t="shared" si="43"/>
        <v>0.1995097905716387</v>
      </c>
      <c r="H143" s="150">
        <f t="shared" si="43"/>
        <v>1.8501661265285005E-2</v>
      </c>
      <c r="I143" s="146">
        <f t="shared" ref="I143" si="44">I142/$K$4</f>
        <v>4.4568207195185387E-3</v>
      </c>
      <c r="J143" s="144">
        <f>SUM(D143:I143)</f>
        <v>1</v>
      </c>
      <c r="K143" s="136"/>
    </row>
    <row r="144" spans="2:11" x14ac:dyDescent="0.3">
      <c r="B144" s="107"/>
      <c r="C144" s="147" t="s">
        <v>368</v>
      </c>
      <c r="D144" s="108">
        <f>'88T_Seeds'!AL135</f>
        <v>4.2282881941314659E-2</v>
      </c>
      <c r="E144" s="108">
        <f>'88T_Seeds'!AM135</f>
        <v>0.40884567928949039</v>
      </c>
      <c r="F144" s="108">
        <f>'88T_Seeds'!AN135</f>
        <v>1.1052168815500234</v>
      </c>
      <c r="G144" s="108">
        <f>'88T_Seeds'!AO135</f>
        <v>1.0202694690490752</v>
      </c>
      <c r="H144" s="108">
        <f>'88T_Seeds'!AP135</f>
        <v>0.43651639807626208</v>
      </c>
      <c r="I144" s="107"/>
      <c r="J144" s="107"/>
      <c r="K144" s="107"/>
    </row>
    <row r="145" spans="2:11" x14ac:dyDescent="0.3">
      <c r="B145" s="107"/>
      <c r="C145" s="147" t="s">
        <v>458</v>
      </c>
      <c r="D145" s="108">
        <f>1.96*D144</f>
        <v>8.2874448604976725E-2</v>
      </c>
      <c r="E145" s="108">
        <f>1.96*E144</f>
        <v>0.80133753140740116</v>
      </c>
      <c r="F145" s="108">
        <f>1.96*F144</f>
        <v>2.166225087838046</v>
      </c>
      <c r="G145" s="108">
        <f>1.96*G144</f>
        <v>1.9997281593361873</v>
      </c>
      <c r="H145" s="108">
        <f>1.96*H144</f>
        <v>0.8555721402294737</v>
      </c>
      <c r="I145" s="107"/>
      <c r="J145" s="107"/>
      <c r="K145" s="107"/>
    </row>
    <row r="146" spans="2:11" x14ac:dyDescent="0.3">
      <c r="B146" s="107"/>
      <c r="C146" s="147" t="s">
        <v>457</v>
      </c>
      <c r="D146" s="148">
        <f>D144/$K$4</f>
        <v>2.8788149147113662E-5</v>
      </c>
      <c r="E146" s="148">
        <f>E144/$K$4</f>
        <v>2.7836112046181161E-4</v>
      </c>
      <c r="F146" s="148">
        <f>F144/$K$4</f>
        <v>7.5248296627769236E-4</v>
      </c>
      <c r="G146" s="148">
        <f>G144/$K$4</f>
        <v>6.9464682388482477E-4</v>
      </c>
      <c r="H146" s="148">
        <f>H144/$K$4</f>
        <v>2.9720063051571534E-4</v>
      </c>
      <c r="I146" s="107"/>
      <c r="J146" s="107"/>
      <c r="K146" s="107"/>
    </row>
    <row r="147" spans="2:11" x14ac:dyDescent="0.3">
      <c r="B147" s="107"/>
      <c r="C147" s="128" t="s">
        <v>459</v>
      </c>
      <c r="D147" s="149">
        <f>1.96*D146</f>
        <v>5.6424772328342773E-5</v>
      </c>
      <c r="E147" s="149">
        <f>1.96*E146</f>
        <v>5.4558779610515071E-4</v>
      </c>
      <c r="F147" s="149">
        <f>1.96*F146</f>
        <v>1.474866613904277E-3</v>
      </c>
      <c r="G147" s="149">
        <f>1.96*G146</f>
        <v>1.3615077748142565E-3</v>
      </c>
      <c r="H147" s="149">
        <f>1.96*H146</f>
        <v>5.8251323581080209E-4</v>
      </c>
      <c r="I147" s="107"/>
      <c r="J147" s="107"/>
      <c r="K147" s="107"/>
    </row>
    <row r="148" spans="2:11" x14ac:dyDescent="0.3">
      <c r="D148" t="s">
        <v>406</v>
      </c>
      <c r="E148" t="s">
        <v>407</v>
      </c>
      <c r="F148" t="s">
        <v>408</v>
      </c>
      <c r="G148" t="s">
        <v>409</v>
      </c>
      <c r="H148" t="s">
        <v>410</v>
      </c>
    </row>
    <row r="149" spans="2:11" x14ac:dyDescent="0.3">
      <c r="B149" s="118" t="s">
        <v>352</v>
      </c>
      <c r="C149" s="8">
        <v>20</v>
      </c>
      <c r="D149" s="90" t="s">
        <v>447</v>
      </c>
      <c r="E149" s="91" t="s">
        <v>446</v>
      </c>
      <c r="F149" s="92" t="s">
        <v>448</v>
      </c>
      <c r="G149" s="124" t="s">
        <v>449</v>
      </c>
      <c r="H149" s="123" t="s">
        <v>450</v>
      </c>
      <c r="I149" s="211" t="s">
        <v>451</v>
      </c>
    </row>
    <row r="150" spans="2:11" x14ac:dyDescent="0.3">
      <c r="B150" s="106" t="s">
        <v>660</v>
      </c>
      <c r="C150" s="107" t="s">
        <v>28</v>
      </c>
      <c r="D150" s="108">
        <f>'91T_Seeds'!AL109</f>
        <v>0.24391540392793479</v>
      </c>
      <c r="E150" s="108">
        <f>'91T_Seeds'!AM109</f>
        <v>2.2757997663382721</v>
      </c>
      <c r="F150" s="108">
        <f>'91T_Seeds'!AN109</f>
        <v>57.128456234222405</v>
      </c>
      <c r="G150" s="108">
        <f>'91T_Seeds'!AO109</f>
        <v>30.830731107871362</v>
      </c>
      <c r="H150" s="108">
        <f>'91T_Seeds'!AP109</f>
        <v>9.5210974876400236</v>
      </c>
      <c r="I150" s="111"/>
      <c r="J150" s="228" t="s">
        <v>72</v>
      </c>
      <c r="K150" s="229">
        <f>'91T_Seeds'!AS109</f>
        <v>0.95088530936223714</v>
      </c>
    </row>
    <row r="151" spans="2:11" x14ac:dyDescent="0.3">
      <c r="B151" s="107"/>
      <c r="C151" s="109" t="s">
        <v>39</v>
      </c>
      <c r="D151" s="110">
        <f>'91T_Seeds'!AL110</f>
        <v>0</v>
      </c>
      <c r="E151" s="110">
        <f>'91T_Seeds'!AM110</f>
        <v>0.117161662664599</v>
      </c>
      <c r="F151" s="110">
        <f>'91T_Seeds'!AN110</f>
        <v>0.41890344787369943</v>
      </c>
      <c r="G151" s="110">
        <f>'91T_Seeds'!AO110</f>
        <v>0.40888853781418405</v>
      </c>
      <c r="H151" s="110">
        <f>'91T_Seeds'!AP110</f>
        <v>0.35930425362313367</v>
      </c>
      <c r="I151" s="111"/>
      <c r="J151" s="228" t="s">
        <v>29</v>
      </c>
      <c r="K151" s="230">
        <f>'91T_Seeds'!AS110</f>
        <v>4.9025303868474503E-3</v>
      </c>
    </row>
    <row r="152" spans="2:11" x14ac:dyDescent="0.3">
      <c r="B152" s="107"/>
      <c r="C152" s="107" t="s">
        <v>30</v>
      </c>
      <c r="D152" s="108">
        <f>'91T_Seeds'!AL111</f>
        <v>100</v>
      </c>
      <c r="E152" s="108">
        <f>'91T_Seeds'!AM111</f>
        <v>63.114883321545143</v>
      </c>
      <c r="F152" s="108">
        <f>'91T_Seeds'!AN111</f>
        <v>98.837452385037693</v>
      </c>
      <c r="G152" s="108">
        <f>'91T_Seeds'!AO111</f>
        <v>95.141137497865557</v>
      </c>
      <c r="H152" s="108">
        <f>'91T_Seeds'!AP111</f>
        <v>79.940659900565663</v>
      </c>
      <c r="I152" s="111"/>
      <c r="J152" s="111"/>
      <c r="K152" s="111"/>
    </row>
    <row r="153" spans="2:11" x14ac:dyDescent="0.3">
      <c r="B153" s="107"/>
      <c r="C153" s="109" t="s">
        <v>39</v>
      </c>
      <c r="D153" s="110">
        <f>'91T_Seeds'!AL112</f>
        <v>0</v>
      </c>
      <c r="E153" s="110">
        <f>'91T_Seeds'!AM112</f>
        <v>6.6894426134528588</v>
      </c>
      <c r="F153" s="110">
        <f>'91T_Seeds'!AN112</f>
        <v>0.30927443114784831</v>
      </c>
      <c r="G153" s="110">
        <f>'91T_Seeds'!AO112</f>
        <v>1.004030974787786</v>
      </c>
      <c r="H153" s="110">
        <f>'91T_Seeds'!AP112</f>
        <v>3.5781376817224078</v>
      </c>
      <c r="I153" s="111"/>
      <c r="J153" s="111"/>
      <c r="K153" s="111"/>
    </row>
    <row r="154" spans="2:11" x14ac:dyDescent="0.3">
      <c r="B154" s="107"/>
      <c r="C154" s="111" t="s">
        <v>31</v>
      </c>
      <c r="D154" s="112">
        <f>'91T_Seeds'!AL113</f>
        <v>100</v>
      </c>
      <c r="E154" s="112">
        <f>'91T_Seeds'!AM113</f>
        <v>96.491228070175424</v>
      </c>
      <c r="F154" s="112">
        <f>'91T_Seeds'!AN113</f>
        <v>96.743554952510181</v>
      </c>
      <c r="G154" s="112">
        <f>'91T_Seeds'!AO113</f>
        <v>94.673539518900341</v>
      </c>
      <c r="H154" s="112">
        <f>'91T_Seeds'!AP113</f>
        <v>85.332011892963337</v>
      </c>
      <c r="I154" s="111"/>
      <c r="J154" s="111"/>
      <c r="K154" s="111"/>
    </row>
    <row r="155" spans="2:11" x14ac:dyDescent="0.3">
      <c r="B155" s="107"/>
      <c r="C155" s="113" t="s">
        <v>39</v>
      </c>
      <c r="D155" s="114">
        <f>'91T_Seeds'!AL114</f>
        <v>0</v>
      </c>
      <c r="E155" s="114">
        <f>'91T_Seeds'!AM114</f>
        <v>2.4588241692166193</v>
      </c>
      <c r="F155" s="114">
        <f>'91T_Seeds'!AN114</f>
        <v>0.65425039084076997</v>
      </c>
      <c r="G155" s="114">
        <f>'91T_Seeds'!AO114</f>
        <v>0.93163457010175987</v>
      </c>
      <c r="H155" s="114">
        <f>'91T_Seeds'!AP114</f>
        <v>1.1143227601931236</v>
      </c>
      <c r="I155" s="107"/>
      <c r="J155" s="107"/>
      <c r="K155" s="107"/>
    </row>
    <row r="156" spans="2:11" x14ac:dyDescent="0.3">
      <c r="B156" s="107"/>
      <c r="C156" s="109" t="s">
        <v>51</v>
      </c>
      <c r="D156" s="110">
        <f>'91T_Seeds'!AL115</f>
        <v>100</v>
      </c>
      <c r="E156" s="110">
        <f>'91T_Seeds'!AM115</f>
        <v>55.276381909547737</v>
      </c>
      <c r="F156" s="110">
        <f>'91T_Seeds'!AN115</f>
        <v>96.940856560163141</v>
      </c>
      <c r="G156" s="110">
        <f>'91T_Seeds'!AO115</f>
        <v>91.909924937447883</v>
      </c>
      <c r="H156" s="110">
        <f>'91T_Seeds'!AP115</f>
        <v>90.583903208837455</v>
      </c>
      <c r="I156" s="144"/>
      <c r="J156" s="107"/>
      <c r="K156" s="107"/>
    </row>
    <row r="157" spans="2:11" x14ac:dyDescent="0.3">
      <c r="B157" s="115" t="s">
        <v>375</v>
      </c>
      <c r="C157" s="107" t="s">
        <v>9</v>
      </c>
      <c r="D157" s="116">
        <f>'91T_Seeds'!AL116</f>
        <v>202.36</v>
      </c>
      <c r="E157" s="116">
        <f>'91T_Seeds'!AM116</f>
        <v>1234.99</v>
      </c>
      <c r="F157" s="116">
        <f>'91T_Seeds'!AN116</f>
        <v>48421.41</v>
      </c>
      <c r="G157" s="116">
        <f>'91T_Seeds'!AO116</f>
        <v>25704.49</v>
      </c>
      <c r="H157" s="116">
        <f>'91T_Seeds'!AP116</f>
        <v>7399.94</v>
      </c>
      <c r="I157" s="107"/>
      <c r="J157" s="115" t="s">
        <v>36</v>
      </c>
      <c r="K157" s="111">
        <f>SUM(D157:H157)</f>
        <v>82963.19</v>
      </c>
    </row>
    <row r="158" spans="2:11" x14ac:dyDescent="0.3">
      <c r="B158" s="115" t="s">
        <v>355</v>
      </c>
      <c r="C158" s="107" t="s">
        <v>390</v>
      </c>
      <c r="D158" s="108">
        <f>'91T_Seeds'!AL117</f>
        <v>202.36</v>
      </c>
      <c r="E158" s="108">
        <f>'91T_Seeds'!AM117</f>
        <v>1888.0760841667768</v>
      </c>
      <c r="F158" s="108">
        <f>'91T_Seeds'!AN117</f>
        <v>47395.589689664776</v>
      </c>
      <c r="G158" s="108">
        <f>'91T_Seeds'!AO117</f>
        <v>25578.158027412424</v>
      </c>
      <c r="H158" s="108">
        <f>'91T_Seeds'!AP117</f>
        <v>7899.0061987560193</v>
      </c>
      <c r="I158" s="143">
        <f>$K$1-K158</f>
        <v>27281.809999999998</v>
      </c>
      <c r="J158" s="115" t="s">
        <v>36</v>
      </c>
      <c r="K158" s="111">
        <f>SUM(D158:H158)</f>
        <v>82963.19</v>
      </c>
    </row>
    <row r="159" spans="2:11" x14ac:dyDescent="0.3">
      <c r="B159" s="115"/>
      <c r="C159" s="107" t="s">
        <v>455</v>
      </c>
      <c r="D159" s="146">
        <f t="shared" ref="D159:H159" si="45">D158/$K$1</f>
        <v>1.8355480974193842E-3</v>
      </c>
      <c r="E159" s="146">
        <f t="shared" si="45"/>
        <v>1.7126183356766991E-2</v>
      </c>
      <c r="F159" s="146">
        <f t="shared" si="45"/>
        <v>0.42991146709297268</v>
      </c>
      <c r="G159" s="146">
        <f t="shared" si="45"/>
        <v>0.23201195543936165</v>
      </c>
      <c r="H159" s="146">
        <f t="shared" si="45"/>
        <v>7.1649564141285496E-2</v>
      </c>
      <c r="I159" s="146">
        <f t="shared" ref="I159" si="46">I158/$K$1</f>
        <v>0.24746528187219372</v>
      </c>
      <c r="J159" s="144">
        <f>SUM(D159:I159)</f>
        <v>1</v>
      </c>
      <c r="K159" s="117"/>
    </row>
    <row r="160" spans="2:11" x14ac:dyDescent="0.3">
      <c r="B160" s="107"/>
      <c r="C160" s="107" t="s">
        <v>354</v>
      </c>
      <c r="D160" s="108">
        <f>'91T_Seeds'!AL118</f>
        <v>0</v>
      </c>
      <c r="E160" s="108">
        <f>'91T_Seeds'!AM118</f>
        <v>97.201052803590343</v>
      </c>
      <c r="F160" s="108">
        <f>'91T_Seeds'!AN118</f>
        <v>347.53566337600824</v>
      </c>
      <c r="G160" s="108">
        <f>'91T_Seeds'!AO118</f>
        <v>339.22697451500341</v>
      </c>
      <c r="H160" s="108">
        <f>'91T_Seeds'!AP118</f>
        <v>298.09027061144229</v>
      </c>
      <c r="I160" s="107"/>
      <c r="J160" s="107"/>
      <c r="K160" s="107"/>
    </row>
    <row r="161" spans="2:11" x14ac:dyDescent="0.3">
      <c r="B161" s="107"/>
      <c r="C161" s="147" t="s">
        <v>458</v>
      </c>
      <c r="D161" s="108">
        <f>1.96*D160</f>
        <v>0</v>
      </c>
      <c r="E161" s="108">
        <f>1.96*E160</f>
        <v>190.51406349503708</v>
      </c>
      <c r="F161" s="108">
        <f>1.96*F160</f>
        <v>681.1699002169762</v>
      </c>
      <c r="G161" s="108">
        <f>1.96*G160</f>
        <v>664.88487004940669</v>
      </c>
      <c r="H161" s="108">
        <f>1.96*H160</f>
        <v>584.2569303984269</v>
      </c>
      <c r="I161" s="107"/>
      <c r="J161" s="107"/>
      <c r="K161" s="107"/>
    </row>
    <row r="162" spans="2:11" x14ac:dyDescent="0.3">
      <c r="B162" s="107"/>
      <c r="C162" s="147" t="s">
        <v>457</v>
      </c>
      <c r="D162" s="148">
        <f>D160/$K$1</f>
        <v>0</v>
      </c>
      <c r="E162" s="148">
        <f>E160/$K$1</f>
        <v>8.8168218788689144E-4</v>
      </c>
      <c r="F162" s="148">
        <f>F160/$K$1</f>
        <v>3.1523938806840061E-3</v>
      </c>
      <c r="G162" s="148">
        <f>G160/$K$1</f>
        <v>3.0770282054968789E-3</v>
      </c>
      <c r="H162" s="148">
        <f>H160/$K$1</f>
        <v>2.7038892522240673E-3</v>
      </c>
      <c r="I162" s="107"/>
      <c r="J162" s="107"/>
      <c r="K162" s="107"/>
    </row>
    <row r="163" spans="2:11" x14ac:dyDescent="0.3">
      <c r="B163" s="107"/>
      <c r="C163" s="128" t="s">
        <v>459</v>
      </c>
      <c r="D163" s="149">
        <f>1.96*D162</f>
        <v>0</v>
      </c>
      <c r="E163" s="149">
        <f>1.96*E162</f>
        <v>1.7280970882583072E-3</v>
      </c>
      <c r="F163" s="149">
        <f>1.96*F162</f>
        <v>6.1786920061406517E-3</v>
      </c>
      <c r="G163" s="149">
        <f>1.96*G162</f>
        <v>6.0309752827738825E-3</v>
      </c>
      <c r="H163" s="149">
        <f>1.96*H162</f>
        <v>5.299622934359172E-3</v>
      </c>
      <c r="I163" s="107"/>
      <c r="J163" s="107"/>
      <c r="K163" s="107"/>
    </row>
    <row r="164" spans="2:11" x14ac:dyDescent="0.3">
      <c r="B164" s="115" t="s">
        <v>376</v>
      </c>
      <c r="C164" s="122" t="s">
        <v>9</v>
      </c>
      <c r="D164" s="135">
        <f>'91T_Seeds'!AL119</f>
        <v>202.94</v>
      </c>
      <c r="E164" s="135">
        <f>'91T_Seeds'!AM119</f>
        <v>1281.578</v>
      </c>
      <c r="F164" s="139">
        <f>'91T_Seeds'!AN119</f>
        <v>48242.922999999995</v>
      </c>
      <c r="G164" s="135">
        <f>'91T_Seeds'!AO119</f>
        <v>25615.748</v>
      </c>
      <c r="H164" s="139">
        <f>'91T_Seeds'!AP119</f>
        <v>7619.9965000000011</v>
      </c>
      <c r="I164" s="107"/>
      <c r="J164" s="115" t="s">
        <v>36</v>
      </c>
      <c r="K164" s="136">
        <f>SUM(D164:H164)</f>
        <v>82963.185499999992</v>
      </c>
    </row>
    <row r="165" spans="2:11" x14ac:dyDescent="0.3">
      <c r="B165" s="107"/>
      <c r="C165" s="147" t="s">
        <v>368</v>
      </c>
      <c r="D165" s="108">
        <f>'91T_Seeds'!AL120</f>
        <v>1.9503762120219406</v>
      </c>
      <c r="E165" s="108">
        <f>'91T_Seeds'!AM120</f>
        <v>13.968795027715016</v>
      </c>
      <c r="F165" s="108">
        <f>'91T_Seeds'!AN120</f>
        <v>39.855670237152459</v>
      </c>
      <c r="G165" s="108">
        <f>'91T_Seeds'!AO120</f>
        <v>63.889639299259493</v>
      </c>
      <c r="H165" s="108">
        <f>'91T_Seeds'!AP120</f>
        <v>57.432068981651341</v>
      </c>
      <c r="I165" s="107"/>
      <c r="J165" s="107"/>
      <c r="K165" s="107"/>
    </row>
    <row r="166" spans="2:11" x14ac:dyDescent="0.3">
      <c r="B166" s="107"/>
      <c r="C166" s="147" t="s">
        <v>458</v>
      </c>
      <c r="D166" s="108">
        <f>1.96*D165</f>
        <v>3.8227373755630034</v>
      </c>
      <c r="E166" s="108">
        <f>1.96*E165</f>
        <v>27.37883825432143</v>
      </c>
      <c r="F166" s="108">
        <f>1.96*F165</f>
        <v>78.117113664818817</v>
      </c>
      <c r="G166" s="108">
        <f>1.96*G165</f>
        <v>125.2236930265486</v>
      </c>
      <c r="H166" s="108">
        <f>1.96*H165</f>
        <v>112.56685520403663</v>
      </c>
      <c r="I166" s="107"/>
      <c r="J166" s="107"/>
      <c r="K166" s="107"/>
    </row>
    <row r="167" spans="2:11" x14ac:dyDescent="0.3">
      <c r="B167" s="107"/>
      <c r="C167" s="147" t="s">
        <v>457</v>
      </c>
      <c r="D167" s="148">
        <f>D165/$K$1</f>
        <v>1.7691289509927347E-5</v>
      </c>
      <c r="E167" s="148">
        <f>E165/$K$1</f>
        <v>1.2670683502848215E-4</v>
      </c>
      <c r="F167" s="148">
        <f>F165/$K$1</f>
        <v>3.6151907331083004E-4</v>
      </c>
      <c r="G167" s="148">
        <f>G165/$K$1</f>
        <v>5.795241443989251E-4</v>
      </c>
      <c r="H167" s="148">
        <f>H165/$K$1</f>
        <v>5.2094942157604734E-4</v>
      </c>
      <c r="I167" s="107"/>
      <c r="J167" s="107"/>
      <c r="K167" s="107"/>
    </row>
    <row r="168" spans="2:11" x14ac:dyDescent="0.3">
      <c r="B168" s="140"/>
      <c r="C168" s="128" t="s">
        <v>459</v>
      </c>
      <c r="D168" s="149">
        <f>1.96*D167</f>
        <v>3.4674927439457603E-5</v>
      </c>
      <c r="E168" s="149">
        <f>1.96*E167</f>
        <v>2.4834539665582502E-4</v>
      </c>
      <c r="F168" s="149">
        <f>1.96*F167</f>
        <v>7.0857738368922682E-4</v>
      </c>
      <c r="G168" s="149">
        <f>1.96*G167</f>
        <v>1.1358673230218931E-3</v>
      </c>
      <c r="H168" s="149">
        <f>1.96*H167</f>
        <v>1.0210608662890527E-3</v>
      </c>
      <c r="I168" s="107"/>
      <c r="J168" s="107"/>
      <c r="K168" s="107"/>
    </row>
    <row r="169" spans="2:11" x14ac:dyDescent="0.3">
      <c r="B169" s="119" t="s">
        <v>697</v>
      </c>
      <c r="C169" s="107"/>
      <c r="D169" s="116"/>
      <c r="E169" s="116"/>
      <c r="F169" s="116"/>
      <c r="G169" s="116"/>
      <c r="H169" s="116"/>
      <c r="I169" s="107"/>
      <c r="J169" s="107"/>
      <c r="K169" s="107"/>
    </row>
    <row r="170" spans="2:11" x14ac:dyDescent="0.3">
      <c r="B170" s="115" t="s">
        <v>375</v>
      </c>
      <c r="C170" s="122" t="s">
        <v>9</v>
      </c>
      <c r="D170" s="135">
        <f>'91T_Seeds'!AL122</f>
        <v>0.9</v>
      </c>
      <c r="E170" s="135">
        <f>'91T_Seeds'!AM122</f>
        <v>516.9</v>
      </c>
      <c r="F170" s="135">
        <f>'91T_Seeds'!AN122</f>
        <v>3957.2</v>
      </c>
      <c r="G170" s="135">
        <f>'91T_Seeds'!AO122</f>
        <v>362.9</v>
      </c>
      <c r="H170" s="135">
        <f>'91T_Seeds'!AP122</f>
        <v>83.52</v>
      </c>
      <c r="I170" s="108">
        <f>$K$2-K170</f>
        <v>1398.5</v>
      </c>
      <c r="J170" s="115" t="s">
        <v>36</v>
      </c>
      <c r="K170" s="136">
        <f t="shared" ref="K170" si="47">SUM(D170:H170)</f>
        <v>4921.42</v>
      </c>
    </row>
    <row r="171" spans="2:11" x14ac:dyDescent="0.3">
      <c r="B171" s="107"/>
      <c r="C171" s="107" t="s">
        <v>455</v>
      </c>
      <c r="D171" s="150">
        <f t="shared" ref="D171:H171" si="48">D170/$K$2</f>
        <v>1.4240686590969505E-4</v>
      </c>
      <c r="E171" s="150">
        <f t="shared" si="48"/>
        <v>8.1789009987468186E-2</v>
      </c>
      <c r="F171" s="150">
        <f t="shared" si="48"/>
        <v>0.62614716641982804</v>
      </c>
      <c r="G171" s="150">
        <f t="shared" si="48"/>
        <v>5.7421612931809259E-2</v>
      </c>
      <c r="H171" s="150">
        <f t="shared" si="48"/>
        <v>1.3215357156419701E-2</v>
      </c>
      <c r="I171" s="146">
        <f t="shared" ref="I171" si="49">I170/$K$2</f>
        <v>0.22128444663856503</v>
      </c>
      <c r="J171" s="144">
        <f>SUM(D171:I171)</f>
        <v>1</v>
      </c>
      <c r="K171" s="107"/>
    </row>
    <row r="172" spans="2:11" x14ac:dyDescent="0.3">
      <c r="B172" s="115" t="s">
        <v>376</v>
      </c>
      <c r="C172" s="122" t="s">
        <v>9</v>
      </c>
      <c r="D172" s="135">
        <f>'91T_Seeds'!AL124</f>
        <v>0.96299999999999986</v>
      </c>
      <c r="E172" s="135">
        <f>'91T_Seeds'!AM124</f>
        <v>523.67600000000016</v>
      </c>
      <c r="F172" s="135">
        <f>'91T_Seeds'!AN124</f>
        <v>3947.3669999999997</v>
      </c>
      <c r="G172" s="135">
        <f>'91T_Seeds'!AO124</f>
        <v>361.68049999999999</v>
      </c>
      <c r="H172" s="135">
        <f>'91T_Seeds'!AP124</f>
        <v>87.734500000000011</v>
      </c>
      <c r="I172" s="108">
        <f>$K$2-K172</f>
        <v>1398.4990000000007</v>
      </c>
      <c r="J172" s="115" t="s">
        <v>36</v>
      </c>
      <c r="K172" s="136">
        <f t="shared" ref="K172" si="50">SUM(D172:H172)</f>
        <v>4921.4209999999994</v>
      </c>
    </row>
    <row r="173" spans="2:11" x14ac:dyDescent="0.3">
      <c r="B173" s="115"/>
      <c r="C173" s="140" t="s">
        <v>455</v>
      </c>
      <c r="D173" s="150">
        <f t="shared" ref="D173:H173" si="51">D172/$K$2</f>
        <v>1.5237534652337369E-4</v>
      </c>
      <c r="E173" s="150">
        <f t="shared" si="51"/>
        <v>8.2861175457917213E-2</v>
      </c>
      <c r="F173" s="150">
        <f t="shared" si="51"/>
        <v>0.62459129229483912</v>
      </c>
      <c r="G173" s="150">
        <f t="shared" si="51"/>
        <v>5.7228651628501624E-2</v>
      </c>
      <c r="H173" s="150">
        <f t="shared" si="51"/>
        <v>1.3882216863504602E-2</v>
      </c>
      <c r="I173" s="146">
        <f t="shared" ref="I173" si="52">I172/$K$2</f>
        <v>0.22128428840871414</v>
      </c>
      <c r="J173" s="144">
        <f>SUM(D173:I173)</f>
        <v>1</v>
      </c>
      <c r="K173" s="136"/>
    </row>
    <row r="174" spans="2:11" x14ac:dyDescent="0.3">
      <c r="B174" s="107"/>
      <c r="C174" s="147" t="s">
        <v>368</v>
      </c>
      <c r="D174" s="108">
        <f>'91T_Seeds'!AL125</f>
        <v>9.3735630477703918E-2</v>
      </c>
      <c r="E174" s="108">
        <f>'91T_Seeds'!AM125</f>
        <v>4.7507663869272587</v>
      </c>
      <c r="F174" s="108">
        <f>'91T_Seeds'!AN125</f>
        <v>5.0272972805841185</v>
      </c>
      <c r="G174" s="108">
        <f>'91T_Seeds'!AO125</f>
        <v>1.9016536398065442</v>
      </c>
      <c r="H174" s="108">
        <f>'91T_Seeds'!AP125</f>
        <v>1.5029223243926795</v>
      </c>
      <c r="I174" s="107"/>
      <c r="J174" s="107"/>
      <c r="K174" s="107"/>
    </row>
    <row r="175" spans="2:11" x14ac:dyDescent="0.3">
      <c r="B175" s="107"/>
      <c r="C175" s="147" t="s">
        <v>458</v>
      </c>
      <c r="D175" s="108">
        <f>1.96*D174</f>
        <v>0.18372183573629969</v>
      </c>
      <c r="E175" s="108">
        <f>1.96*E174</f>
        <v>9.3115021183774278</v>
      </c>
      <c r="F175" s="108">
        <f>1.96*F174</f>
        <v>9.8535026699448718</v>
      </c>
      <c r="G175" s="108">
        <f>1.96*G174</f>
        <v>3.7272411340208267</v>
      </c>
      <c r="H175" s="108">
        <f>1.96*H174</f>
        <v>2.9457277558096515</v>
      </c>
      <c r="I175" s="107"/>
      <c r="J175" s="107"/>
      <c r="K175" s="107"/>
    </row>
    <row r="176" spans="2:11" x14ac:dyDescent="0.3">
      <c r="B176" s="107"/>
      <c r="C176" s="147" t="s">
        <v>457</v>
      </c>
      <c r="D176" s="148">
        <f>D174/$K$2</f>
        <v>1.4831774844887897E-5</v>
      </c>
      <c r="E176" s="148">
        <f>E174/$K$2</f>
        <v>7.5171305759048511E-4</v>
      </c>
      <c r="F176" s="148">
        <f>F174/$K$2</f>
        <v>7.9546849969368576E-4</v>
      </c>
      <c r="G176" s="148">
        <f>G174/$K$2</f>
        <v>3.0089837210068232E-4</v>
      </c>
      <c r="H176" s="148">
        <f>H174/$K$2</f>
        <v>2.3780717546941724E-4</v>
      </c>
      <c r="I176" s="107"/>
      <c r="J176" s="107"/>
      <c r="K176" s="107"/>
    </row>
    <row r="177" spans="2:11" x14ac:dyDescent="0.3">
      <c r="B177" s="140"/>
      <c r="C177" s="128" t="s">
        <v>459</v>
      </c>
      <c r="D177" s="149">
        <f>1.96*D176</f>
        <v>2.9070278695980279E-5</v>
      </c>
      <c r="E177" s="149">
        <f>1.96*E176</f>
        <v>1.4733575928773507E-3</v>
      </c>
      <c r="F177" s="149">
        <f>1.96*F176</f>
        <v>1.5591182593996241E-3</v>
      </c>
      <c r="G177" s="149">
        <f>1.96*G176</f>
        <v>5.8976080931733737E-4</v>
      </c>
      <c r="H177" s="149">
        <f>1.96*H176</f>
        <v>4.6610206392005781E-4</v>
      </c>
      <c r="I177" s="107"/>
      <c r="J177" s="107"/>
      <c r="K177" s="107"/>
    </row>
    <row r="178" spans="2:11" x14ac:dyDescent="0.3">
      <c r="B178" s="119" t="s">
        <v>661</v>
      </c>
      <c r="C178" s="107"/>
      <c r="D178" s="116"/>
      <c r="E178" s="116"/>
      <c r="F178" s="116"/>
      <c r="G178" s="116"/>
      <c r="H178" s="116"/>
      <c r="I178" s="107"/>
      <c r="J178" s="107"/>
      <c r="K178" s="107"/>
    </row>
    <row r="179" spans="2:11" x14ac:dyDescent="0.3">
      <c r="B179" s="115" t="s">
        <v>375</v>
      </c>
      <c r="C179" s="122" t="s">
        <v>9</v>
      </c>
      <c r="D179" s="135">
        <f>'91T_Seeds'!AL127</f>
        <v>191.1</v>
      </c>
      <c r="E179" s="135">
        <f>'91T_Seeds'!AM127</f>
        <v>162.35</v>
      </c>
      <c r="F179" s="135">
        <f>'91T_Seeds'!AN127</f>
        <v>3521.34</v>
      </c>
      <c r="G179" s="135">
        <f>'91T_Seeds'!AO127</f>
        <v>12421.18</v>
      </c>
      <c r="H179" s="135">
        <f>'91T_Seeds'!AP127</f>
        <v>4929.2</v>
      </c>
      <c r="I179" s="108">
        <f>$K$3-K179</f>
        <v>3530.7799999999988</v>
      </c>
      <c r="J179" s="115" t="s">
        <v>36</v>
      </c>
      <c r="K179" s="136">
        <f t="shared" ref="K179" si="53">SUM(D179:H179)</f>
        <v>21225.170000000002</v>
      </c>
    </row>
    <row r="180" spans="2:11" x14ac:dyDescent="0.3">
      <c r="B180" s="107"/>
      <c r="C180" s="107" t="s">
        <v>456</v>
      </c>
      <c r="D180" s="145">
        <f t="shared" ref="D180:H180" si="54">D179/$K$3</f>
        <v>7.7193563567546381E-3</v>
      </c>
      <c r="E180" s="145">
        <f t="shared" si="54"/>
        <v>6.5580193852386994E-3</v>
      </c>
      <c r="F180" s="145">
        <f t="shared" si="54"/>
        <v>0.14224216804444992</v>
      </c>
      <c r="G180" s="145">
        <f t="shared" si="54"/>
        <v>0.50174523700362939</v>
      </c>
      <c r="H180" s="145">
        <f t="shared" si="54"/>
        <v>0.19911172869552571</v>
      </c>
      <c r="I180" s="145">
        <f t="shared" ref="I180" si="55">I179/$K$3</f>
        <v>0.14262349051440154</v>
      </c>
      <c r="J180" s="144">
        <f>SUM(D180:I180)</f>
        <v>1</v>
      </c>
      <c r="K180" s="107"/>
    </row>
    <row r="181" spans="2:11" x14ac:dyDescent="0.3">
      <c r="B181" s="115" t="s">
        <v>376</v>
      </c>
      <c r="C181" s="122" t="s">
        <v>9</v>
      </c>
      <c r="D181" s="139">
        <f>'91T_Seeds'!AL129</f>
        <v>190.85249999999999</v>
      </c>
      <c r="E181" s="135">
        <f>'91T_Seeds'!AM129</f>
        <v>172.22900000000001</v>
      </c>
      <c r="F181" s="139">
        <f>'91T_Seeds'!AN129</f>
        <v>3502.3874999999998</v>
      </c>
      <c r="G181" s="135">
        <f>'91T_Seeds'!AO129</f>
        <v>12312.357999999998</v>
      </c>
      <c r="H181" s="135">
        <f>'91T_Seeds'!AP129</f>
        <v>5047.3509999999997</v>
      </c>
      <c r="I181" s="108">
        <f>$K$3-K181</f>
        <v>3530.7720000000045</v>
      </c>
      <c r="J181" s="115" t="s">
        <v>36</v>
      </c>
      <c r="K181" s="136">
        <f t="shared" ref="K181" si="56">SUM(D181:H181)</f>
        <v>21225.177999999996</v>
      </c>
    </row>
    <row r="182" spans="2:11" x14ac:dyDescent="0.3">
      <c r="B182" s="115"/>
      <c r="C182" s="140" t="s">
        <v>455</v>
      </c>
      <c r="D182" s="150">
        <f t="shared" ref="D182:H182" si="57">D181/$K$3</f>
        <v>7.7093587602172402E-3</v>
      </c>
      <c r="E182" s="150">
        <f t="shared" si="57"/>
        <v>6.9570749658162991E-3</v>
      </c>
      <c r="F182" s="150">
        <f t="shared" si="57"/>
        <v>0.14147659451566189</v>
      </c>
      <c r="G182" s="150">
        <f t="shared" si="57"/>
        <v>0.49734944528487085</v>
      </c>
      <c r="H182" s="150">
        <f t="shared" si="57"/>
        <v>0.20388435911366759</v>
      </c>
      <c r="I182" s="145">
        <f t="shared" ref="I182" si="58">I181/$K$3</f>
        <v>0.14262316735976621</v>
      </c>
      <c r="J182" s="144">
        <f>SUM(D182:I182)</f>
        <v>1</v>
      </c>
      <c r="K182" s="136"/>
    </row>
    <row r="183" spans="2:11" x14ac:dyDescent="0.3">
      <c r="B183" s="107"/>
      <c r="C183" s="147" t="s">
        <v>368</v>
      </c>
      <c r="D183" s="108">
        <f>'91T_Seeds'!AL130</f>
        <v>1.5963029449654174</v>
      </c>
      <c r="E183" s="108">
        <f>'91T_Seeds'!AM130</f>
        <v>5.547248720620038</v>
      </c>
      <c r="F183" s="108">
        <f>'91T_Seeds'!AN130</f>
        <v>10.516913067080402</v>
      </c>
      <c r="G183" s="108">
        <f>'91T_Seeds'!AO130</f>
        <v>30.460128871068594</v>
      </c>
      <c r="H183" s="108">
        <f>'91T_Seeds'!AP130</f>
        <v>29.366615469915718</v>
      </c>
      <c r="I183" s="107"/>
      <c r="J183" s="107"/>
      <c r="K183" s="107"/>
    </row>
    <row r="184" spans="2:11" x14ac:dyDescent="0.3">
      <c r="B184" s="107"/>
      <c r="C184" s="147" t="s">
        <v>458</v>
      </c>
      <c r="D184" s="108">
        <f>1.96*D183</f>
        <v>3.1287537721322178</v>
      </c>
      <c r="E184" s="108">
        <f>1.96*E183</f>
        <v>10.872607492415275</v>
      </c>
      <c r="F184" s="108">
        <f>1.96*F183</f>
        <v>20.613149611477589</v>
      </c>
      <c r="G184" s="108">
        <f>1.96*G183</f>
        <v>59.701852587294447</v>
      </c>
      <c r="H184" s="108">
        <f>1.96*H183</f>
        <v>57.55856632103481</v>
      </c>
      <c r="I184" s="107"/>
      <c r="J184" s="107"/>
      <c r="K184" s="107"/>
    </row>
    <row r="185" spans="2:11" x14ac:dyDescent="0.3">
      <c r="B185" s="107"/>
      <c r="C185" s="147" t="s">
        <v>457</v>
      </c>
      <c r="D185" s="148">
        <f>D183/$K$3</f>
        <v>6.4481587051412576E-5</v>
      </c>
      <c r="E185" s="148">
        <f>E183/$K$3</f>
        <v>2.2407739232871443E-4</v>
      </c>
      <c r="F185" s="148">
        <f>F183/$K$3</f>
        <v>4.2482365116589758E-4</v>
      </c>
      <c r="G185" s="148">
        <f>G183/$K$3</f>
        <v>1.2304164805256349E-3</v>
      </c>
      <c r="H185" s="148">
        <f>H183/$K$3</f>
        <v>1.186244739948001E-3</v>
      </c>
      <c r="I185" s="107"/>
      <c r="J185" s="107"/>
      <c r="K185" s="107"/>
    </row>
    <row r="186" spans="2:11" x14ac:dyDescent="0.3">
      <c r="B186" s="140"/>
      <c r="C186" s="128" t="s">
        <v>459</v>
      </c>
      <c r="D186" s="149">
        <f>1.96*D185</f>
        <v>1.2638391062076864E-4</v>
      </c>
      <c r="E186" s="149">
        <f>1.96*E185</f>
        <v>4.3919168896428028E-4</v>
      </c>
      <c r="F186" s="149">
        <f>1.96*F185</f>
        <v>8.326543562851592E-4</v>
      </c>
      <c r="G186" s="149">
        <f>1.96*G185</f>
        <v>2.4116163018302445E-3</v>
      </c>
      <c r="H186" s="149">
        <f>1.96*H185</f>
        <v>2.3250396902980818E-3</v>
      </c>
      <c r="I186" s="107"/>
      <c r="J186" s="107"/>
      <c r="K186" s="107"/>
    </row>
    <row r="187" spans="2:11" x14ac:dyDescent="0.3">
      <c r="B187" s="119" t="s">
        <v>698</v>
      </c>
      <c r="C187" s="107"/>
      <c r="D187" s="116"/>
      <c r="E187" s="116"/>
      <c r="F187" s="116"/>
      <c r="G187" s="116"/>
      <c r="H187" s="116"/>
      <c r="I187" s="107"/>
      <c r="J187" s="107"/>
      <c r="K187" s="107"/>
    </row>
    <row r="188" spans="2:11" x14ac:dyDescent="0.3">
      <c r="B188" s="115" t="s">
        <v>375</v>
      </c>
      <c r="C188" s="122" t="s">
        <v>9</v>
      </c>
      <c r="D188" s="135">
        <f>'91T_Seeds'!AL132</f>
        <v>0.6</v>
      </c>
      <c r="E188" s="135">
        <f>'91T_Seeds'!AM132</f>
        <v>29.55</v>
      </c>
      <c r="F188" s="135">
        <f>'91T_Seeds'!AN132</f>
        <v>1028.96</v>
      </c>
      <c r="G188" s="135">
        <f>'91T_Seeds'!AO132</f>
        <v>67.13</v>
      </c>
      <c r="H188" s="135">
        <f>'91T_Seeds'!AP132</f>
        <v>25.35</v>
      </c>
      <c r="I188" s="108">
        <f>$K$4-K188</f>
        <v>317.16999999999985</v>
      </c>
      <c r="J188" s="115" t="s">
        <v>36</v>
      </c>
      <c r="K188" s="136">
        <f t="shared" ref="K188" si="59">SUM(D188:H188)</f>
        <v>1151.5900000000001</v>
      </c>
    </row>
    <row r="189" spans="2:11" x14ac:dyDescent="0.3">
      <c r="B189" s="107"/>
      <c r="C189" s="107" t="s">
        <v>367</v>
      </c>
      <c r="D189" s="150">
        <f t="shared" ref="D189:H189" si="60">D188/$K$4</f>
        <v>4.0850785696778234E-4</v>
      </c>
      <c r="E189" s="150">
        <f t="shared" si="60"/>
        <v>2.011901195566328E-2</v>
      </c>
      <c r="F189" s="150">
        <f t="shared" si="60"/>
        <v>0.70056374084261552</v>
      </c>
      <c r="G189" s="150">
        <f t="shared" si="60"/>
        <v>4.5705220730412048E-2</v>
      </c>
      <c r="H189" s="150">
        <f t="shared" si="60"/>
        <v>1.7259456956888804E-2</v>
      </c>
      <c r="I189" s="146">
        <f t="shared" ref="I189" si="61">I188/$K$4</f>
        <v>0.21594406165745245</v>
      </c>
      <c r="J189" s="144">
        <f>SUM(D189:I189)</f>
        <v>0.99999999999999978</v>
      </c>
      <c r="K189" s="107"/>
    </row>
    <row r="190" spans="2:11" x14ac:dyDescent="0.3">
      <c r="B190" s="115" t="s">
        <v>376</v>
      </c>
      <c r="C190" s="122" t="s">
        <v>9</v>
      </c>
      <c r="D190" s="139">
        <f>'91T_Seeds'!AL134</f>
        <v>0.58799999999999997</v>
      </c>
      <c r="E190" s="135">
        <f>'91T_Seeds'!AM134</f>
        <v>30.951000000000001</v>
      </c>
      <c r="F190" s="135">
        <f>'91T_Seeds'!AN134</f>
        <v>1027.056</v>
      </c>
      <c r="G190" s="135">
        <f>'91T_Seeds'!AO134</f>
        <v>66.977000000000004</v>
      </c>
      <c r="H190" s="135">
        <f>'91T_Seeds'!AP134</f>
        <v>26.0185</v>
      </c>
      <c r="I190" s="108">
        <f>$K$4-K190</f>
        <v>317.16949999999997</v>
      </c>
      <c r="J190" s="115" t="s">
        <v>36</v>
      </c>
      <c r="K190" s="136">
        <f t="shared" ref="K190" si="62">SUM(D190:H190)</f>
        <v>1151.5905</v>
      </c>
    </row>
    <row r="191" spans="2:11" x14ac:dyDescent="0.3">
      <c r="B191" s="115"/>
      <c r="C191" s="140" t="s">
        <v>455</v>
      </c>
      <c r="D191" s="150">
        <f t="shared" ref="D191:H191" si="63">D190/$K$4</f>
        <v>4.0033769982842667E-4</v>
      </c>
      <c r="E191" s="150">
        <f t="shared" si="63"/>
        <v>2.1072877801683054E-2</v>
      </c>
      <c r="F191" s="150">
        <f t="shared" si="63"/>
        <v>0.6992674092431711</v>
      </c>
      <c r="G191" s="150">
        <f t="shared" si="63"/>
        <v>4.5601051226885264E-2</v>
      </c>
      <c r="H191" s="150">
        <f t="shared" si="63"/>
        <v>1.7714602794193741E-2</v>
      </c>
      <c r="I191" s="146">
        <f t="shared" ref="I191" si="64">I190/$K$4</f>
        <v>0.21594372123423838</v>
      </c>
      <c r="J191" s="144">
        <f>SUM(D191:I191)</f>
        <v>1</v>
      </c>
      <c r="K191" s="136"/>
    </row>
    <row r="192" spans="2:11" x14ac:dyDescent="0.3">
      <c r="B192" s="107"/>
      <c r="C192" s="147" t="s">
        <v>368</v>
      </c>
      <c r="D192" s="108">
        <f>'91T_Seeds'!AL135</f>
        <v>4.700839790595096E-2</v>
      </c>
      <c r="E192" s="108">
        <f>'91T_Seeds'!AM135</f>
        <v>0.59601611599546167</v>
      </c>
      <c r="F192" s="108">
        <f>'91T_Seeds'!AN135</f>
        <v>0.68176373434914017</v>
      </c>
      <c r="G192" s="108">
        <f>'91T_Seeds'!AO135</f>
        <v>0.54630582335499478</v>
      </c>
      <c r="H192" s="108">
        <f>'91T_Seeds'!AP135</f>
        <v>0.334333803413988</v>
      </c>
      <c r="I192" s="107"/>
      <c r="J192" s="107"/>
      <c r="K192" s="107"/>
    </row>
    <row r="193" spans="2:11" x14ac:dyDescent="0.3">
      <c r="B193" s="107"/>
      <c r="C193" s="147" t="s">
        <v>458</v>
      </c>
      <c r="D193" s="108">
        <f>1.96*D192</f>
        <v>9.213645989566388E-2</v>
      </c>
      <c r="E193" s="108">
        <f>1.96*E192</f>
        <v>1.1681915873511048</v>
      </c>
      <c r="F193" s="108">
        <f>1.96*F192</f>
        <v>1.3362569193243148</v>
      </c>
      <c r="G193" s="108">
        <f>1.96*G192</f>
        <v>1.0707594137757896</v>
      </c>
      <c r="H193" s="108">
        <f>1.96*H192</f>
        <v>0.65529425469141644</v>
      </c>
      <c r="I193" s="107"/>
      <c r="J193" s="107"/>
      <c r="K193" s="107"/>
    </row>
    <row r="194" spans="2:11" x14ac:dyDescent="0.3">
      <c r="B194" s="107"/>
      <c r="C194" s="147" t="s">
        <v>457</v>
      </c>
      <c r="D194" s="148">
        <f>D192/$K$4</f>
        <v>3.2005499813414692E-5</v>
      </c>
      <c r="E194" s="148">
        <f>E192/$K$4</f>
        <v>4.0579544377261206E-4</v>
      </c>
      <c r="F194" s="148">
        <f>F192/$K$4</f>
        <v>4.6417640346219953E-4</v>
      </c>
      <c r="G194" s="148">
        <f>G192/$K$4</f>
        <v>3.7195036857961465E-4</v>
      </c>
      <c r="H194" s="148">
        <f>H192/$K$4</f>
        <v>2.2762997590756011E-4</v>
      </c>
      <c r="I194" s="107"/>
      <c r="J194" s="107"/>
      <c r="K194" s="107"/>
    </row>
    <row r="195" spans="2:11" x14ac:dyDescent="0.3">
      <c r="B195" s="107"/>
      <c r="C195" s="128" t="s">
        <v>459</v>
      </c>
      <c r="D195" s="149">
        <f>1.96*D194</f>
        <v>6.2730779634292798E-5</v>
      </c>
      <c r="E195" s="149">
        <f>1.96*E194</f>
        <v>7.9535906979431956E-4</v>
      </c>
      <c r="F195" s="149">
        <f>1.96*F194</f>
        <v>9.0978575078591107E-4</v>
      </c>
      <c r="G195" s="149">
        <f>1.96*G194</f>
        <v>7.290227224160447E-4</v>
      </c>
      <c r="H195" s="149">
        <f>1.96*H194</f>
        <v>4.4615475277881783E-4</v>
      </c>
      <c r="I195" s="107"/>
      <c r="J195" s="107"/>
      <c r="K195" s="107"/>
    </row>
    <row r="196" spans="2:11" x14ac:dyDescent="0.3">
      <c r="D196" t="s">
        <v>411</v>
      </c>
      <c r="E196" t="s">
        <v>412</v>
      </c>
      <c r="F196" t="s">
        <v>413</v>
      </c>
      <c r="G196" t="s">
        <v>414</v>
      </c>
      <c r="H196" t="s">
        <v>415</v>
      </c>
    </row>
    <row r="197" spans="2:11" x14ac:dyDescent="0.3">
      <c r="B197" s="118" t="s">
        <v>352</v>
      </c>
      <c r="C197" s="8">
        <v>20</v>
      </c>
      <c r="D197" s="90" t="s">
        <v>447</v>
      </c>
      <c r="E197" s="91" t="s">
        <v>446</v>
      </c>
      <c r="F197" s="92" t="s">
        <v>448</v>
      </c>
      <c r="G197" s="124" t="s">
        <v>449</v>
      </c>
      <c r="H197" s="123" t="s">
        <v>450</v>
      </c>
      <c r="I197" s="211" t="s">
        <v>451</v>
      </c>
    </row>
    <row r="198" spans="2:11" x14ac:dyDescent="0.3">
      <c r="B198" s="106" t="s">
        <v>662</v>
      </c>
      <c r="C198" s="107" t="s">
        <v>28</v>
      </c>
      <c r="D198" s="108">
        <f>'01T_Seeds'!AL109</f>
        <v>0.22256322722477551</v>
      </c>
      <c r="E198" s="108">
        <f>'01T_Seeds'!AM109</f>
        <v>0.49873681078850224</v>
      </c>
      <c r="F198" s="108">
        <f>'01T_Seeds'!AN109</f>
        <v>61.573138613368222</v>
      </c>
      <c r="G198" s="108">
        <f>'01T_Seeds'!AO109</f>
        <v>31.43255762335242</v>
      </c>
      <c r="H198" s="108">
        <f>'01T_Seeds'!AP109</f>
        <v>6.2730037252660829</v>
      </c>
      <c r="I198" s="111"/>
      <c r="J198" s="228" t="s">
        <v>72</v>
      </c>
      <c r="K198" s="229">
        <f>'01T_Seeds'!AS109</f>
        <v>0.98677249912620968</v>
      </c>
    </row>
    <row r="199" spans="2:11" x14ac:dyDescent="0.3">
      <c r="B199" s="107"/>
      <c r="C199" s="109" t="s">
        <v>39</v>
      </c>
      <c r="D199" s="110">
        <f>'01T_Seeds'!AL110</f>
        <v>0</v>
      </c>
      <c r="E199" s="110">
        <f>'01T_Seeds'!AM110</f>
        <v>1.8903508171296299E-2</v>
      </c>
      <c r="F199" s="110">
        <f>'01T_Seeds'!AN110</f>
        <v>0.14295822039592812</v>
      </c>
      <c r="G199" s="110">
        <f>'01T_Seeds'!AO110</f>
        <v>0.22812374160011015</v>
      </c>
      <c r="H199" s="110">
        <f>'01T_Seeds'!AP110</f>
        <v>0.18647315826467684</v>
      </c>
      <c r="I199" s="111"/>
      <c r="J199" s="228" t="s">
        <v>29</v>
      </c>
      <c r="K199" s="230">
        <f>'01T_Seeds'!AS110</f>
        <v>2.3158642505808082E-3</v>
      </c>
    </row>
    <row r="200" spans="2:11" x14ac:dyDescent="0.3">
      <c r="B200" s="107"/>
      <c r="C200" s="107" t="s">
        <v>30</v>
      </c>
      <c r="D200" s="108">
        <f>'01T_Seeds'!AL111</f>
        <v>100</v>
      </c>
      <c r="E200" s="108">
        <f>'01T_Seeds'!AM111</f>
        <v>98.79866685319314</v>
      </c>
      <c r="F200" s="108">
        <f>'01T_Seeds'!AN111</f>
        <v>99.241698575565096</v>
      </c>
      <c r="G200" s="108">
        <f>'01T_Seeds'!AO111</f>
        <v>99.221205550886538</v>
      </c>
      <c r="H200" s="108">
        <f>'01T_Seeds'!AP111</f>
        <v>90.354643132775649</v>
      </c>
      <c r="I200" s="111"/>
      <c r="J200" s="111"/>
      <c r="K200" s="111"/>
    </row>
    <row r="201" spans="2:11" x14ac:dyDescent="0.3">
      <c r="B201" s="107"/>
      <c r="C201" s="109" t="s">
        <v>39</v>
      </c>
      <c r="D201" s="110">
        <f>'01T_Seeds'!AL112</f>
        <v>0</v>
      </c>
      <c r="E201" s="110">
        <f>'01T_Seeds'!AM112</f>
        <v>1.2643538569128034</v>
      </c>
      <c r="F201" s="110">
        <f>'01T_Seeds'!AN112</f>
        <v>0.18810922406212408</v>
      </c>
      <c r="G201" s="110">
        <f>'01T_Seeds'!AO112</f>
        <v>0.2842764990664271</v>
      </c>
      <c r="H201" s="110">
        <f>'01T_Seeds'!AP112</f>
        <v>2.6995655729967534</v>
      </c>
      <c r="I201" s="111"/>
      <c r="J201" s="111"/>
      <c r="K201" s="111"/>
    </row>
    <row r="202" spans="2:11" x14ac:dyDescent="0.3">
      <c r="B202" s="107"/>
      <c r="C202" s="111" t="s">
        <v>31</v>
      </c>
      <c r="D202" s="112">
        <f>'01T_Seeds'!AL113</f>
        <v>100</v>
      </c>
      <c r="E202" s="112">
        <f>'01T_Seeds'!AM113</f>
        <v>92.982456140350877</v>
      </c>
      <c r="F202" s="112">
        <f>'01T_Seeds'!AN113</f>
        <v>99.864314789687924</v>
      </c>
      <c r="G202" s="112">
        <f>'01T_Seeds'!AO113</f>
        <v>97.422680412371136</v>
      </c>
      <c r="H202" s="112">
        <f>'01T_Seeds'!AP113</f>
        <v>93.756194251734399</v>
      </c>
      <c r="I202" s="111"/>
      <c r="J202" s="111"/>
      <c r="K202" s="111"/>
    </row>
    <row r="203" spans="2:11" x14ac:dyDescent="0.3">
      <c r="B203" s="107"/>
      <c r="C203" s="113" t="s">
        <v>39</v>
      </c>
      <c r="D203" s="114">
        <f>'01T_Seeds'!AL114</f>
        <v>0</v>
      </c>
      <c r="E203" s="114">
        <f>'01T_Seeds'!AM114</f>
        <v>3.4134933513474275</v>
      </c>
      <c r="F203" s="114">
        <f>'01T_Seeds'!AN114</f>
        <v>0.13568521031207589</v>
      </c>
      <c r="G203" s="114">
        <f>'01T_Seeds'!AO114</f>
        <v>0.65739456332296642</v>
      </c>
      <c r="H203" s="114">
        <f>'01T_Seeds'!AP114</f>
        <v>0.76206920214220453</v>
      </c>
      <c r="I203" s="107"/>
      <c r="J203" s="107"/>
      <c r="K203" s="107"/>
    </row>
    <row r="204" spans="2:11" x14ac:dyDescent="0.3">
      <c r="B204" s="107"/>
      <c r="C204" s="109" t="s">
        <v>51</v>
      </c>
      <c r="D204" s="110">
        <f>'01T_Seeds'!AL115</f>
        <v>100</v>
      </c>
      <c r="E204" s="110">
        <f>'01T_Seeds'!AM115</f>
        <v>95.495495495495504</v>
      </c>
      <c r="F204" s="110">
        <f>'01T_Seeds'!AN115</f>
        <v>97.097625329815301</v>
      </c>
      <c r="G204" s="110">
        <f>'01T_Seeds'!AO115</f>
        <v>96.346644010195419</v>
      </c>
      <c r="H204" s="110">
        <f>'01T_Seeds'!AP115</f>
        <v>96.236012207527978</v>
      </c>
      <c r="I204" s="144"/>
      <c r="J204" s="107"/>
      <c r="K204" s="107"/>
    </row>
    <row r="205" spans="2:11" x14ac:dyDescent="0.3">
      <c r="B205" s="115" t="s">
        <v>375</v>
      </c>
      <c r="C205" s="107" t="s">
        <v>9</v>
      </c>
      <c r="D205" s="116">
        <f>'01T_Seeds'!AL116</f>
        <v>214.96</v>
      </c>
      <c r="E205" s="116">
        <f>'01T_Seeds'!AM116</f>
        <v>511.83</v>
      </c>
      <c r="F205" s="116">
        <f>'01T_Seeds'!AN116</f>
        <v>59098.9</v>
      </c>
      <c r="G205" s="116">
        <f>'01T_Seeds'!AO116</f>
        <v>30919.21</v>
      </c>
      <c r="H205" s="116">
        <f>'01T_Seeds'!AP116</f>
        <v>5838.89</v>
      </c>
      <c r="I205" s="107"/>
      <c r="J205" s="115" t="s">
        <v>36</v>
      </c>
      <c r="K205" s="111">
        <f>SUM(D205:H205)</f>
        <v>96583.79</v>
      </c>
    </row>
    <row r="206" spans="2:11" x14ac:dyDescent="0.3">
      <c r="B206" s="115" t="s">
        <v>355</v>
      </c>
      <c r="C206" s="107" t="s">
        <v>390</v>
      </c>
      <c r="D206" s="108">
        <f>'01T_Seeds'!AL117</f>
        <v>214.96</v>
      </c>
      <c r="E206" s="108">
        <f>'01T_Seeds'!AM117</f>
        <v>481.69891398466433</v>
      </c>
      <c r="F206" s="108">
        <f>'01T_Seeds'!AN117</f>
        <v>59469.670894744471</v>
      </c>
      <c r="G206" s="108">
        <f>'01T_Seeds'!AO117</f>
        <v>30358.755446567688</v>
      </c>
      <c r="H206" s="108">
        <f>'01T_Seeds'!AP117</f>
        <v>6058.70474470317</v>
      </c>
      <c r="I206" s="143">
        <f>$K$1-K206</f>
        <v>13661.210000000021</v>
      </c>
      <c r="J206" s="115" t="s">
        <v>36</v>
      </c>
      <c r="K206" s="111">
        <f>SUM(D206:H206)</f>
        <v>96583.789999999979</v>
      </c>
    </row>
    <row r="207" spans="2:11" x14ac:dyDescent="0.3">
      <c r="B207" s="115"/>
      <c r="C207" s="107" t="s">
        <v>455</v>
      </c>
      <c r="D207" s="146">
        <f t="shared" ref="D207" si="65">D206/$K$1</f>
        <v>1.9498389949657582E-3</v>
      </c>
      <c r="E207" s="146">
        <f t="shared" ref="E207:I207" si="66">E206/$K$1</f>
        <v>4.3693493036841974E-3</v>
      </c>
      <c r="F207" s="146">
        <f t="shared" si="66"/>
        <v>0.5394319097895095</v>
      </c>
      <c r="G207" s="146">
        <f t="shared" si="66"/>
        <v>0.27537534987135642</v>
      </c>
      <c r="H207" s="146">
        <f t="shared" si="66"/>
        <v>5.4956730415920634E-2</v>
      </c>
      <c r="I207" s="146">
        <f t="shared" si="66"/>
        <v>0.12391682162456366</v>
      </c>
      <c r="J207" s="144">
        <f>SUM(D207:I207)</f>
        <v>1.0000000000000002</v>
      </c>
      <c r="K207" s="117"/>
    </row>
    <row r="208" spans="2:11" x14ac:dyDescent="0.3">
      <c r="B208" s="107"/>
      <c r="C208" s="107" t="s">
        <v>354</v>
      </c>
      <c r="D208" s="108">
        <f>'01T_Seeds'!AL118</f>
        <v>0</v>
      </c>
      <c r="E208" s="108">
        <f>'01T_Seeds'!AM118</f>
        <v>18.257724634797658</v>
      </c>
      <c r="F208" s="108">
        <f>'01T_Seeds'!AN118</f>
        <v>138.07446737494038</v>
      </c>
      <c r="G208" s="108">
        <f>'01T_Seeds'!AO118</f>
        <v>220.33055552719298</v>
      </c>
      <c r="H208" s="108">
        <f>'01T_Seeds'!AP118</f>
        <v>180.10284358472313</v>
      </c>
      <c r="I208" s="107"/>
      <c r="J208" s="107"/>
      <c r="K208" s="107"/>
    </row>
    <row r="209" spans="2:11" x14ac:dyDescent="0.3">
      <c r="B209" s="107"/>
      <c r="C209" s="147" t="s">
        <v>458</v>
      </c>
      <c r="D209" s="108">
        <f>1.96*D208</f>
        <v>0</v>
      </c>
      <c r="E209" s="108">
        <f>1.96*E208</f>
        <v>35.785140284203408</v>
      </c>
      <c r="F209" s="108">
        <f>1.96*F208</f>
        <v>270.62595605488315</v>
      </c>
      <c r="G209" s="108">
        <f>1.96*G208</f>
        <v>431.84788883329827</v>
      </c>
      <c r="H209" s="108">
        <f>1.96*H208</f>
        <v>353.00157342605735</v>
      </c>
      <c r="I209" s="107"/>
      <c r="J209" s="107"/>
      <c r="K209" s="107"/>
    </row>
    <row r="210" spans="2:11" x14ac:dyDescent="0.3">
      <c r="B210" s="107"/>
      <c r="C210" s="147" t="s">
        <v>457</v>
      </c>
      <c r="D210" s="148">
        <f>D208/$K$1</f>
        <v>0</v>
      </c>
      <c r="E210" s="148">
        <f>E208/$K$1</f>
        <v>1.6561045521155298E-4</v>
      </c>
      <c r="F210" s="148">
        <f>F208/$K$1</f>
        <v>1.2524329209936086E-3</v>
      </c>
      <c r="G210" s="148">
        <f>G208/$K$1</f>
        <v>1.9985537260392124E-3</v>
      </c>
      <c r="H210" s="148">
        <f>H208/$K$1</f>
        <v>1.633659971742239E-3</v>
      </c>
      <c r="I210" s="107"/>
      <c r="J210" s="107"/>
      <c r="K210" s="107"/>
    </row>
    <row r="211" spans="2:11" x14ac:dyDescent="0.3">
      <c r="B211" s="107"/>
      <c r="C211" s="128" t="s">
        <v>459</v>
      </c>
      <c r="D211" s="149">
        <f>1.96*D210</f>
        <v>0</v>
      </c>
      <c r="E211" s="149">
        <f>1.96*E210</f>
        <v>3.2459649221464385E-4</v>
      </c>
      <c r="F211" s="149">
        <f>1.96*F210</f>
        <v>2.4547685251474728E-3</v>
      </c>
      <c r="G211" s="149">
        <f>1.96*G210</f>
        <v>3.9171653030368563E-3</v>
      </c>
      <c r="H211" s="149">
        <f>1.96*H210</f>
        <v>3.2019735446147885E-3</v>
      </c>
      <c r="I211" s="107"/>
      <c r="J211" s="107"/>
      <c r="K211" s="107"/>
    </row>
    <row r="212" spans="2:11" x14ac:dyDescent="0.3">
      <c r="B212" s="115" t="s">
        <v>376</v>
      </c>
      <c r="C212" s="122" t="s">
        <v>9</v>
      </c>
      <c r="D212" s="135">
        <f>'01T_Seeds'!AL119</f>
        <v>212.82849999999999</v>
      </c>
      <c r="E212" s="139">
        <f>'01T_Seeds'!AM119</f>
        <v>614.98749999999995</v>
      </c>
      <c r="F212" s="135">
        <f>'01T_Seeds'!AN119</f>
        <v>58847.183500000021</v>
      </c>
      <c r="G212" s="135">
        <f>'01T_Seeds'!AO119</f>
        <v>30934.633000000009</v>
      </c>
      <c r="H212" s="135">
        <f>'01T_Seeds'!AP119</f>
        <v>5974.1679999999997</v>
      </c>
      <c r="I212" s="107"/>
      <c r="J212" s="115" t="s">
        <v>36</v>
      </c>
      <c r="K212" s="136">
        <f>SUM(D212:H212)</f>
        <v>96583.800500000041</v>
      </c>
    </row>
    <row r="213" spans="2:11" x14ac:dyDescent="0.3">
      <c r="B213" s="107"/>
      <c r="C213" s="147" t="s">
        <v>368</v>
      </c>
      <c r="D213" s="108">
        <f>'01T_Seeds'!AL120</f>
        <v>1.8437894723696227</v>
      </c>
      <c r="E213" s="108">
        <f>'01T_Seeds'!AM120</f>
        <v>15.594832694720377</v>
      </c>
      <c r="F213" s="108">
        <f>'01T_Seeds'!AN120</f>
        <v>64.255518097158216</v>
      </c>
      <c r="G213" s="108">
        <f>'01T_Seeds'!AO120</f>
        <v>57.906634049085774</v>
      </c>
      <c r="H213" s="108">
        <f>'01T_Seeds'!AP120</f>
        <v>36.48939939503699</v>
      </c>
      <c r="I213" s="107"/>
      <c r="J213" s="107"/>
      <c r="K213" s="107"/>
    </row>
    <row r="214" spans="2:11" x14ac:dyDescent="0.3">
      <c r="B214" s="107"/>
      <c r="C214" s="147" t="s">
        <v>458</v>
      </c>
      <c r="D214" s="108">
        <f>1.96*D213</f>
        <v>3.6138273658444602</v>
      </c>
      <c r="E214" s="108">
        <f>1.96*E213</f>
        <v>30.565872081651939</v>
      </c>
      <c r="F214" s="108">
        <f>1.96*F213</f>
        <v>125.9408154704301</v>
      </c>
      <c r="G214" s="108">
        <f>1.96*G213</f>
        <v>113.49700273620812</v>
      </c>
      <c r="H214" s="108">
        <f>1.96*H213</f>
        <v>71.519222814272496</v>
      </c>
      <c r="I214" s="107"/>
      <c r="J214" s="107"/>
      <c r="K214" s="107"/>
    </row>
    <row r="215" spans="2:11" x14ac:dyDescent="0.3">
      <c r="B215" s="107"/>
      <c r="C215" s="147" t="s">
        <v>457</v>
      </c>
      <c r="D215" s="148">
        <f>D213/$K$1</f>
        <v>1.6724472514577739E-5</v>
      </c>
      <c r="E215" s="148">
        <f>E213/$K$1</f>
        <v>1.4145614490199444E-4</v>
      </c>
      <c r="F215" s="148">
        <f>F213/$K$1</f>
        <v>5.8284292346281661E-4</v>
      </c>
      <c r="G215" s="148">
        <f>G213/$K$1</f>
        <v>5.2525406185392331E-4</v>
      </c>
      <c r="H215" s="148">
        <f>H213/$K$1</f>
        <v>3.3098461966562647E-4</v>
      </c>
      <c r="I215" s="107"/>
      <c r="J215" s="107"/>
      <c r="K215" s="107"/>
    </row>
    <row r="216" spans="2:11" x14ac:dyDescent="0.3">
      <c r="B216" s="140"/>
      <c r="C216" s="128" t="s">
        <v>459</v>
      </c>
      <c r="D216" s="149">
        <f>1.96*D215</f>
        <v>3.2779966128572366E-5</v>
      </c>
      <c r="E216" s="149">
        <f>1.96*E215</f>
        <v>2.7725404400790908E-4</v>
      </c>
      <c r="F216" s="149">
        <f>1.96*F215</f>
        <v>1.1423721299871205E-3</v>
      </c>
      <c r="G216" s="149">
        <f>1.96*G215</f>
        <v>1.0294979612336897E-3</v>
      </c>
      <c r="H216" s="149">
        <f>1.96*H215</f>
        <v>6.4872985454462789E-4</v>
      </c>
      <c r="I216" s="107"/>
      <c r="J216" s="107"/>
      <c r="K216" s="107"/>
    </row>
    <row r="217" spans="2:11" x14ac:dyDescent="0.3">
      <c r="B217" s="119" t="s">
        <v>699</v>
      </c>
      <c r="C217" s="107"/>
      <c r="D217" s="116"/>
      <c r="E217" s="116"/>
      <c r="F217" s="116"/>
      <c r="G217" s="116"/>
      <c r="H217" s="116"/>
      <c r="I217" s="107"/>
      <c r="J217" s="107"/>
      <c r="K217" s="107"/>
    </row>
    <row r="218" spans="2:11" x14ac:dyDescent="0.3">
      <c r="B218" s="115" t="s">
        <v>375</v>
      </c>
      <c r="C218" s="122" t="s">
        <v>9</v>
      </c>
      <c r="D218" s="135">
        <f>'01T_Seeds'!AL122</f>
        <v>1.62</v>
      </c>
      <c r="E218" s="135">
        <f>'01T_Seeds'!AM122</f>
        <v>329.41</v>
      </c>
      <c r="F218" s="135">
        <f>'01T_Seeds'!AN122</f>
        <v>5303.17</v>
      </c>
      <c r="G218" s="135">
        <f>'01T_Seeds'!AO122</f>
        <v>451.91</v>
      </c>
      <c r="H218" s="135">
        <f>'01T_Seeds'!AP122</f>
        <v>138.16</v>
      </c>
      <c r="I218" s="108">
        <f>$K$2-K218</f>
        <v>95.650000000000546</v>
      </c>
      <c r="J218" s="115" t="s">
        <v>36</v>
      </c>
      <c r="K218" s="136">
        <f t="shared" ref="K218" si="67">SUM(D218:H218)</f>
        <v>6224.2699999999995</v>
      </c>
    </row>
    <row r="219" spans="2:11" x14ac:dyDescent="0.3">
      <c r="B219" s="107"/>
      <c r="C219" s="107" t="s">
        <v>455</v>
      </c>
      <c r="D219" s="150">
        <f t="shared" ref="D219" si="68">D218/$K$2</f>
        <v>2.5633235863745113E-4</v>
      </c>
      <c r="E219" s="150">
        <f t="shared" ref="E219:I219" si="69">E218/$K$2</f>
        <v>5.2122495221458502E-2</v>
      </c>
      <c r="F219" s="150">
        <f t="shared" si="69"/>
        <v>0.83911979898479727</v>
      </c>
      <c r="G219" s="150">
        <f t="shared" si="69"/>
        <v>7.1505651970278111E-2</v>
      </c>
      <c r="H219" s="150">
        <f t="shared" si="69"/>
        <v>2.1861036215648298E-2</v>
      </c>
      <c r="I219" s="146">
        <f t="shared" si="69"/>
        <v>1.5134685249180456E-2</v>
      </c>
      <c r="J219" s="144">
        <f>SUM(D219:I219)</f>
        <v>1</v>
      </c>
      <c r="K219" s="107"/>
    </row>
    <row r="220" spans="2:11" x14ac:dyDescent="0.3">
      <c r="B220" s="115" t="s">
        <v>376</v>
      </c>
      <c r="C220" s="122" t="s">
        <v>9</v>
      </c>
      <c r="D220" s="135">
        <f>'01T_Seeds'!AL124</f>
        <v>1.7370000000000005</v>
      </c>
      <c r="E220" s="135">
        <f>'01T_Seeds'!AM124</f>
        <v>340.33199999999999</v>
      </c>
      <c r="F220" s="135">
        <f>'01T_Seeds'!AN124</f>
        <v>5289.7374999999993</v>
      </c>
      <c r="G220" s="135">
        <f>'01T_Seeds'!AO124</f>
        <v>453.72349999999994</v>
      </c>
      <c r="H220" s="135">
        <f>'01T_Seeds'!AP124</f>
        <v>138.745</v>
      </c>
      <c r="I220" s="108">
        <f>$K$2-K220</f>
        <v>95.645000000000437</v>
      </c>
      <c r="J220" s="115" t="s">
        <v>36</v>
      </c>
      <c r="K220" s="136">
        <f t="shared" ref="K220" si="70">SUM(D220:H220)</f>
        <v>6224.2749999999996</v>
      </c>
    </row>
    <row r="221" spans="2:11" x14ac:dyDescent="0.3">
      <c r="B221" s="115"/>
      <c r="C221" s="140" t="s">
        <v>455</v>
      </c>
      <c r="D221" s="150">
        <f t="shared" ref="D221" si="71">D220/$K$2</f>
        <v>2.7484525120571152E-4</v>
      </c>
      <c r="E221" s="150">
        <f t="shared" ref="E221:I221" si="72">E220/$K$2</f>
        <v>5.3850681654198151E-2</v>
      </c>
      <c r="F221" s="150">
        <f t="shared" si="72"/>
        <v>0.83699437651109498</v>
      </c>
      <c r="G221" s="150">
        <f t="shared" si="72"/>
        <v>7.1792601805086134E-2</v>
      </c>
      <c r="H221" s="150">
        <f t="shared" si="72"/>
        <v>2.1953600678489602E-2</v>
      </c>
      <c r="I221" s="146">
        <f t="shared" si="72"/>
        <v>1.5133894099925384E-2</v>
      </c>
      <c r="J221" s="144">
        <f>SUM(D221:I221)</f>
        <v>1</v>
      </c>
      <c r="K221" s="136"/>
    </row>
    <row r="222" spans="2:11" x14ac:dyDescent="0.3">
      <c r="B222" s="107"/>
      <c r="C222" s="147" t="s">
        <v>368</v>
      </c>
      <c r="D222" s="108">
        <f>'01T_Seeds'!AL125</f>
        <v>3.8127901097559272E-2</v>
      </c>
      <c r="E222" s="108">
        <f>'01T_Seeds'!AM125</f>
        <v>8.6243960459788003</v>
      </c>
      <c r="F222" s="108">
        <f>'01T_Seeds'!AN125</f>
        <v>8.5978425652203914</v>
      </c>
      <c r="G222" s="108">
        <f>'01T_Seeds'!AO125</f>
        <v>1.9360767811818766</v>
      </c>
      <c r="H222" s="108">
        <f>'01T_Seeds'!AP125</f>
        <v>1.1408981918692507</v>
      </c>
      <c r="I222" s="107"/>
      <c r="J222" s="107"/>
      <c r="K222" s="107"/>
    </row>
    <row r="223" spans="2:11" x14ac:dyDescent="0.3">
      <c r="B223" s="107"/>
      <c r="C223" s="147" t="s">
        <v>458</v>
      </c>
      <c r="D223" s="108">
        <f>1.96*D222</f>
        <v>7.4730686151216169E-2</v>
      </c>
      <c r="E223" s="108">
        <f>1.96*E222</f>
        <v>16.903816250118449</v>
      </c>
      <c r="F223" s="108">
        <f>1.96*F222</f>
        <v>16.851771427831967</v>
      </c>
      <c r="G223" s="108">
        <f>1.96*G222</f>
        <v>3.794710491116478</v>
      </c>
      <c r="H223" s="108">
        <f>1.96*H222</f>
        <v>2.2361604560637312</v>
      </c>
      <c r="I223" s="107"/>
      <c r="J223" s="107"/>
      <c r="K223" s="107"/>
    </row>
    <row r="224" spans="2:11" x14ac:dyDescent="0.3">
      <c r="B224" s="107"/>
      <c r="C224" s="147" t="s">
        <v>457</v>
      </c>
      <c r="D224" s="148">
        <f>D222/$K$2</f>
        <v>6.0329721100202648E-6</v>
      </c>
      <c r="E224" s="148">
        <f>E222/$K$2</f>
        <v>1.3646369014131191E-3</v>
      </c>
      <c r="F224" s="148">
        <f>F222/$K$2</f>
        <v>1.3604353481088988E-3</v>
      </c>
      <c r="G224" s="148">
        <f>G222/$K$2</f>
        <v>3.0634514063182392E-4</v>
      </c>
      <c r="H224" s="148">
        <f>H222/$K$2</f>
        <v>1.8052415091793103E-4</v>
      </c>
      <c r="I224" s="107"/>
      <c r="J224" s="107"/>
      <c r="K224" s="107"/>
    </row>
    <row r="225" spans="2:11" x14ac:dyDescent="0.3">
      <c r="B225" s="140"/>
      <c r="C225" s="128" t="s">
        <v>459</v>
      </c>
      <c r="D225" s="149">
        <f>1.96*D224</f>
        <v>1.1824625335639719E-5</v>
      </c>
      <c r="E225" s="149">
        <f>1.96*E224</f>
        <v>2.6746883267697134E-3</v>
      </c>
      <c r="F225" s="149">
        <f>1.96*F224</f>
        <v>2.6664532822934417E-3</v>
      </c>
      <c r="G225" s="149">
        <f>1.96*G224</f>
        <v>6.0043647563837491E-4</v>
      </c>
      <c r="H225" s="149">
        <f>1.96*H224</f>
        <v>3.5382733579914481E-4</v>
      </c>
      <c r="I225" s="107"/>
      <c r="J225" s="107"/>
      <c r="K225" s="107"/>
    </row>
    <row r="226" spans="2:11" x14ac:dyDescent="0.3">
      <c r="B226" s="119" t="s">
        <v>677</v>
      </c>
      <c r="C226" s="107"/>
      <c r="D226" s="116"/>
      <c r="E226" s="116"/>
      <c r="F226" s="116"/>
      <c r="G226" s="116"/>
      <c r="H226" s="116"/>
      <c r="I226" s="107"/>
      <c r="J226" s="107"/>
      <c r="K226" s="107"/>
    </row>
    <row r="227" spans="2:11" x14ac:dyDescent="0.3">
      <c r="B227" s="115" t="s">
        <v>375</v>
      </c>
      <c r="C227" s="122" t="s">
        <v>9</v>
      </c>
      <c r="D227" s="135">
        <f>'01T_Seeds'!AL127</f>
        <v>186.29</v>
      </c>
      <c r="E227" s="135">
        <f>'01T_Seeds'!AM127</f>
        <v>66.540000000000006</v>
      </c>
      <c r="F227" s="135">
        <f>'01T_Seeds'!AN127</f>
        <v>4648.66</v>
      </c>
      <c r="G227" s="135">
        <f>'01T_Seeds'!AO127</f>
        <v>15621.17</v>
      </c>
      <c r="H227" s="135">
        <f>'01T_Seeds'!AP127</f>
        <v>4124.59</v>
      </c>
      <c r="I227" s="108">
        <f>$K$3-K227</f>
        <v>108.70000000000073</v>
      </c>
      <c r="J227" s="115" t="s">
        <v>36</v>
      </c>
      <c r="K227" s="136">
        <f t="shared" ref="K227" si="73">SUM(D227:H227)</f>
        <v>24647.25</v>
      </c>
    </row>
    <row r="228" spans="2:11" x14ac:dyDescent="0.3">
      <c r="B228" s="107"/>
      <c r="C228" s="107" t="s">
        <v>456</v>
      </c>
      <c r="D228" s="145">
        <f t="shared" ref="D228" si="74">D227/$K$3</f>
        <v>7.5250596321288412E-3</v>
      </c>
      <c r="E228" s="145">
        <f t="shared" ref="E228:I228" si="75">E227/$K$3</f>
        <v>2.6878386812059325E-3</v>
      </c>
      <c r="F228" s="145">
        <f t="shared" si="75"/>
        <v>0.18777950351329678</v>
      </c>
      <c r="G228" s="145">
        <f t="shared" si="75"/>
        <v>0.63100668728123943</v>
      </c>
      <c r="H228" s="145">
        <f t="shared" si="75"/>
        <v>0.16661004728156262</v>
      </c>
      <c r="I228" s="145">
        <f t="shared" si="75"/>
        <v>4.3908636105663779E-3</v>
      </c>
      <c r="J228" s="144">
        <f>SUM(D228:I228)</f>
        <v>1</v>
      </c>
      <c r="K228" s="107"/>
    </row>
    <row r="229" spans="2:11" x14ac:dyDescent="0.3">
      <c r="B229" s="115" t="s">
        <v>376</v>
      </c>
      <c r="C229" s="122" t="s">
        <v>9</v>
      </c>
      <c r="D229" s="135">
        <f>'01T_Seeds'!AL129</f>
        <v>184.97449999999998</v>
      </c>
      <c r="E229" s="139">
        <f>'01T_Seeds'!AM129</f>
        <v>94.1</v>
      </c>
      <c r="F229" s="135">
        <f>'01T_Seeds'!AN129</f>
        <v>4605.4665000000005</v>
      </c>
      <c r="G229" s="135">
        <f>'01T_Seeds'!AO129</f>
        <v>15588.859000000002</v>
      </c>
      <c r="H229" s="135">
        <f>'01T_Seeds'!AP129</f>
        <v>4173.8449999999993</v>
      </c>
      <c r="I229" s="108">
        <f>$K$3-K229</f>
        <v>108.70499999999811</v>
      </c>
      <c r="J229" s="115" t="s">
        <v>36</v>
      </c>
      <c r="K229" s="136">
        <f t="shared" ref="K229" si="76">SUM(D229:H229)</f>
        <v>24647.245000000003</v>
      </c>
    </row>
    <row r="230" spans="2:11" x14ac:dyDescent="0.3">
      <c r="B230" s="115"/>
      <c r="C230" s="140" t="s">
        <v>455</v>
      </c>
      <c r="D230" s="150">
        <f t="shared" ref="D230" si="77">D229/$K$3</f>
        <v>7.4719208917452158E-3</v>
      </c>
      <c r="E230" s="150">
        <f t="shared" ref="E230:I230" si="78">E229/$K$3</f>
        <v>3.8011064006834719E-3</v>
      </c>
      <c r="F230" s="150">
        <f t="shared" si="78"/>
        <v>0.186034731044456</v>
      </c>
      <c r="G230" s="150">
        <f t="shared" si="78"/>
        <v>0.62970150610257336</v>
      </c>
      <c r="H230" s="150">
        <f t="shared" si="78"/>
        <v>0.1685996699783284</v>
      </c>
      <c r="I230" s="145">
        <f t="shared" si="78"/>
        <v>4.3910655822134922E-3</v>
      </c>
      <c r="J230" s="144">
        <f>SUM(D230:I230)</f>
        <v>0.99999999999999989</v>
      </c>
      <c r="K230" s="136"/>
    </row>
    <row r="231" spans="2:11" x14ac:dyDescent="0.3">
      <c r="B231" s="107"/>
      <c r="C231" s="147" t="s">
        <v>368</v>
      </c>
      <c r="D231" s="108">
        <f>'01T_Seeds'!AL130</f>
        <v>0.72683252070741455</v>
      </c>
      <c r="E231" s="108">
        <f>'01T_Seeds'!AM130</f>
        <v>5.310859827303215</v>
      </c>
      <c r="F231" s="108">
        <f>'01T_Seeds'!AN130</f>
        <v>16.487982645662967</v>
      </c>
      <c r="G231" s="108">
        <f>'01T_Seeds'!AO130</f>
        <v>18.142461373369645</v>
      </c>
      <c r="H231" s="108">
        <f>'01T_Seeds'!AP130</f>
        <v>18.792141057535606</v>
      </c>
      <c r="I231" s="107"/>
      <c r="J231" s="107"/>
      <c r="K231" s="107"/>
    </row>
    <row r="232" spans="2:11" x14ac:dyDescent="0.3">
      <c r="B232" s="107"/>
      <c r="C232" s="147" t="s">
        <v>458</v>
      </c>
      <c r="D232" s="108">
        <f>1.96*D231</f>
        <v>1.4245917405865325</v>
      </c>
      <c r="E232" s="108">
        <f>1.96*E231</f>
        <v>10.409285261514301</v>
      </c>
      <c r="F232" s="108">
        <f>1.96*F231</f>
        <v>32.316445985499413</v>
      </c>
      <c r="G232" s="108">
        <f>1.96*G231</f>
        <v>35.559224291804505</v>
      </c>
      <c r="H232" s="108">
        <f>1.96*H231</f>
        <v>36.832596472769787</v>
      </c>
      <c r="I232" s="107"/>
      <c r="J232" s="107"/>
      <c r="K232" s="107"/>
    </row>
    <row r="233" spans="2:11" x14ac:dyDescent="0.3">
      <c r="B233" s="107"/>
      <c r="C233" s="147" t="s">
        <v>457</v>
      </c>
      <c r="D233" s="148">
        <f>D231/$K$3</f>
        <v>2.9359912292091983E-5</v>
      </c>
      <c r="E233" s="148">
        <f>E231/$K$3</f>
        <v>2.1452862149516438E-4</v>
      </c>
      <c r="F233" s="148">
        <f>F231/$K$3</f>
        <v>6.6602100285640287E-4</v>
      </c>
      <c r="G233" s="148">
        <f>G231/$K$3</f>
        <v>7.3285256164153047E-4</v>
      </c>
      <c r="H233" s="148">
        <f>H231/$K$3</f>
        <v>7.5909593683682534E-4</v>
      </c>
      <c r="I233" s="107"/>
      <c r="J233" s="107"/>
      <c r="K233" s="107"/>
    </row>
    <row r="234" spans="2:11" x14ac:dyDescent="0.3">
      <c r="B234" s="140"/>
      <c r="C234" s="128" t="s">
        <v>459</v>
      </c>
      <c r="D234" s="149">
        <f>1.96*D233</f>
        <v>5.7545428092500283E-5</v>
      </c>
      <c r="E234" s="149">
        <f>1.96*E233</f>
        <v>4.2047609813052219E-4</v>
      </c>
      <c r="F234" s="149">
        <f>1.96*F233</f>
        <v>1.3054011655985495E-3</v>
      </c>
      <c r="G234" s="149">
        <f>1.96*G233</f>
        <v>1.4363910208173996E-3</v>
      </c>
      <c r="H234" s="149">
        <f>1.96*H233</f>
        <v>1.4878280362001777E-3</v>
      </c>
      <c r="I234" s="107"/>
      <c r="J234" s="107"/>
      <c r="K234" s="107"/>
    </row>
    <row r="235" spans="2:11" x14ac:dyDescent="0.3">
      <c r="B235" s="119" t="s">
        <v>715</v>
      </c>
      <c r="C235" s="107"/>
      <c r="D235" s="116"/>
      <c r="E235" s="116"/>
      <c r="F235" s="116"/>
      <c r="G235" s="116"/>
      <c r="H235" s="116"/>
      <c r="I235" s="107"/>
      <c r="J235" s="107"/>
      <c r="K235" s="107"/>
    </row>
    <row r="236" spans="2:11" x14ac:dyDescent="0.3">
      <c r="B236" s="115" t="s">
        <v>375</v>
      </c>
      <c r="C236" s="122" t="s">
        <v>9</v>
      </c>
      <c r="D236" s="135">
        <f>'01T_Seeds'!AL132</f>
        <v>0.89</v>
      </c>
      <c r="E236" s="135">
        <f>'01T_Seeds'!AM132</f>
        <v>21.09</v>
      </c>
      <c r="F236" s="135">
        <f>'01T_Seeds'!AN132</f>
        <v>1228.06</v>
      </c>
      <c r="G236" s="135">
        <f>'01T_Seeds'!AO132</f>
        <v>195.09</v>
      </c>
      <c r="H236" s="135">
        <f>'01T_Seeds'!AP132</f>
        <v>17.079999999999998</v>
      </c>
      <c r="I236" s="108">
        <f>$K$4-K236</f>
        <v>6.5500000000001819</v>
      </c>
      <c r="J236" s="115" t="s">
        <v>36</v>
      </c>
      <c r="K236" s="136">
        <f t="shared" ref="K236" si="79">SUM(D236:H236)</f>
        <v>1462.2099999999998</v>
      </c>
    </row>
    <row r="237" spans="2:11" x14ac:dyDescent="0.3">
      <c r="B237" s="107"/>
      <c r="C237" s="140" t="s">
        <v>455</v>
      </c>
      <c r="D237" s="150">
        <f t="shared" ref="D237" si="80">D236/$K$4</f>
        <v>6.059533211688772E-4</v>
      </c>
      <c r="E237" s="150">
        <f t="shared" ref="E237:I237" si="81">E236/$K$4</f>
        <v>1.435905117241755E-2</v>
      </c>
      <c r="F237" s="150">
        <f t="shared" si="81"/>
        <v>0.83612026471309131</v>
      </c>
      <c r="G237" s="150">
        <f t="shared" si="81"/>
        <v>0.13282632969307442</v>
      </c>
      <c r="H237" s="150">
        <f t="shared" si="81"/>
        <v>1.1628856995016203E-2</v>
      </c>
      <c r="I237" s="146">
        <f t="shared" si="81"/>
        <v>4.459544105231748E-3</v>
      </c>
      <c r="J237" s="144">
        <f>SUM(D237:I237)</f>
        <v>1</v>
      </c>
      <c r="K237" s="107"/>
    </row>
    <row r="238" spans="2:11" x14ac:dyDescent="0.3">
      <c r="B238" s="115" t="s">
        <v>376</v>
      </c>
      <c r="C238" s="122" t="s">
        <v>9</v>
      </c>
      <c r="D238" s="135">
        <f>'01T_Seeds'!AL134</f>
        <v>0.91500000000000026</v>
      </c>
      <c r="E238" s="139">
        <f>'01T_Seeds'!AM134</f>
        <v>23.364000000000001</v>
      </c>
      <c r="F238" s="135">
        <f>'01T_Seeds'!AN134</f>
        <v>1224.8064999999997</v>
      </c>
      <c r="G238" s="135">
        <f>'01T_Seeds'!AO134</f>
        <v>195.72299999999996</v>
      </c>
      <c r="H238" s="135">
        <f>'01T_Seeds'!AP134</f>
        <v>17.405500000000004</v>
      </c>
      <c r="I238" s="108">
        <f>$K$4-K238</f>
        <v>6.5460000000002765</v>
      </c>
      <c r="J238" s="115" t="s">
        <v>36</v>
      </c>
      <c r="K238" s="136">
        <f t="shared" ref="K238" si="82">SUM(D238:H238)</f>
        <v>1462.2139999999997</v>
      </c>
    </row>
    <row r="239" spans="2:11" x14ac:dyDescent="0.3">
      <c r="B239" s="115"/>
      <c r="C239" s="140" t="s">
        <v>455</v>
      </c>
      <c r="D239" s="150">
        <f t="shared" ref="D239" si="83">D238/$K$4</f>
        <v>6.229744818758683E-4</v>
      </c>
      <c r="E239" s="150">
        <f t="shared" ref="E239:I239" si="84">E238/$K$4</f>
        <v>1.5907295950325445E-2</v>
      </c>
      <c r="F239" s="150">
        <f t="shared" si="84"/>
        <v>0.83390513085868334</v>
      </c>
      <c r="G239" s="150">
        <f t="shared" si="84"/>
        <v>0.1332573054821754</v>
      </c>
      <c r="H239" s="150">
        <f t="shared" si="84"/>
        <v>1.1850472507421229E-2</v>
      </c>
      <c r="I239" s="146">
        <f t="shared" si="84"/>
        <v>4.456820719518694E-3</v>
      </c>
      <c r="J239" s="144">
        <f>SUM(D239:I239)</f>
        <v>1</v>
      </c>
      <c r="K239" s="136"/>
    </row>
    <row r="240" spans="2:11" x14ac:dyDescent="0.3">
      <c r="B240" s="107"/>
      <c r="C240" s="147" t="s">
        <v>368</v>
      </c>
      <c r="D240" s="108">
        <f>'01T_Seeds'!AL135</f>
        <v>1.7464249196572985E-2</v>
      </c>
      <c r="E240" s="108">
        <f>'01T_Seeds'!AM135</f>
        <v>0.90699312363202911</v>
      </c>
      <c r="F240" s="108">
        <f>'01T_Seeds'!AN135</f>
        <v>1.0443394474877132</v>
      </c>
      <c r="G240" s="108">
        <f>'01T_Seeds'!AO135</f>
        <v>0.94366812297321456</v>
      </c>
      <c r="H240" s="108">
        <f>'01T_Seeds'!AP135</f>
        <v>0.28395373511227234</v>
      </c>
      <c r="I240" s="107"/>
      <c r="J240" s="107"/>
      <c r="K240" s="107"/>
    </row>
    <row r="241" spans="2:11" x14ac:dyDescent="0.3">
      <c r="B241" s="107"/>
      <c r="C241" s="147" t="s">
        <v>458</v>
      </c>
      <c r="D241" s="108">
        <f>1.96*D240</f>
        <v>3.4229928425283052E-2</v>
      </c>
      <c r="E241" s="108">
        <f>1.96*E240</f>
        <v>1.7777065223187771</v>
      </c>
      <c r="F241" s="108">
        <f>1.96*F240</f>
        <v>2.0469053170759177</v>
      </c>
      <c r="G241" s="108">
        <f>1.96*G240</f>
        <v>1.8495895210275004</v>
      </c>
      <c r="H241" s="108">
        <f>1.96*H240</f>
        <v>0.55654932082005382</v>
      </c>
      <c r="I241" s="107"/>
      <c r="J241" s="107"/>
      <c r="K241" s="107"/>
    </row>
    <row r="242" spans="2:11" x14ac:dyDescent="0.3">
      <c r="B242" s="107"/>
      <c r="C242" s="147" t="s">
        <v>457</v>
      </c>
      <c r="D242" s="148">
        <f>D240/$K$4</f>
        <v>1.1890471688072241E-5</v>
      </c>
      <c r="E242" s="148">
        <f>E240/$K$4</f>
        <v>6.1752302869905846E-4</v>
      </c>
      <c r="F242" s="148">
        <f>F240/$K$4</f>
        <v>7.1103478273353937E-4</v>
      </c>
      <c r="G242" s="148">
        <f>G240/$K$4</f>
        <v>6.4249307100766259E-4</v>
      </c>
      <c r="H242" s="148">
        <f>H240/$K$4</f>
        <v>1.9332888634785285E-4</v>
      </c>
      <c r="I242" s="107"/>
      <c r="J242" s="107"/>
      <c r="K242" s="107"/>
    </row>
    <row r="243" spans="2:11" x14ac:dyDescent="0.3">
      <c r="B243" s="107"/>
      <c r="C243" s="128" t="s">
        <v>459</v>
      </c>
      <c r="D243" s="149">
        <f>1.96*D242</f>
        <v>2.3305324508621592E-5</v>
      </c>
      <c r="E243" s="149">
        <f>1.96*E242</f>
        <v>1.2103451362501546E-3</v>
      </c>
      <c r="F243" s="149">
        <f>1.96*F242</f>
        <v>1.3936281741577371E-3</v>
      </c>
      <c r="G243" s="149">
        <f>1.96*G242</f>
        <v>1.2592864191750186E-3</v>
      </c>
      <c r="H243" s="149">
        <f>1.96*H242</f>
        <v>3.7892461724179158E-4</v>
      </c>
      <c r="I243" s="107"/>
      <c r="J243" s="107"/>
      <c r="K243" s="107"/>
    </row>
    <row r="244" spans="2:11" x14ac:dyDescent="0.3">
      <c r="D244" t="s">
        <v>416</v>
      </c>
      <c r="E244" t="s">
        <v>417</v>
      </c>
      <c r="F244" t="s">
        <v>418</v>
      </c>
      <c r="G244" t="s">
        <v>419</v>
      </c>
      <c r="H244" t="s">
        <v>420</v>
      </c>
    </row>
    <row r="245" spans="2:11" x14ac:dyDescent="0.3">
      <c r="B245" s="118" t="s">
        <v>352</v>
      </c>
      <c r="C245" s="8">
        <v>20</v>
      </c>
      <c r="D245" s="90" t="s">
        <v>447</v>
      </c>
      <c r="E245" s="91" t="s">
        <v>446</v>
      </c>
      <c r="F245" s="92" t="s">
        <v>448</v>
      </c>
      <c r="G245" s="124" t="s">
        <v>449</v>
      </c>
      <c r="H245" s="123" t="s">
        <v>450</v>
      </c>
      <c r="I245" s="211" t="s">
        <v>451</v>
      </c>
    </row>
    <row r="246" spans="2:11" x14ac:dyDescent="0.3">
      <c r="B246" s="106" t="s">
        <v>664</v>
      </c>
      <c r="C246" s="107" t="s">
        <v>28</v>
      </c>
      <c r="D246" s="108">
        <f>'07E_Seeds'!AL109</f>
        <v>0.40905712796342186</v>
      </c>
      <c r="E246" s="108">
        <f>'07E_Seeds'!AM109</f>
        <v>0.74939500332699294</v>
      </c>
      <c r="F246" s="108">
        <f>'07E_Seeds'!AN109</f>
        <v>62.749436935118261</v>
      </c>
      <c r="G246" s="108">
        <f>'07E_Seeds'!AO109</f>
        <v>32.5940283707464</v>
      </c>
      <c r="H246" s="108">
        <f>'07E_Seeds'!AP109</f>
        <v>3.4980825628449206</v>
      </c>
      <c r="I246" s="111"/>
      <c r="J246" s="228" t="s">
        <v>72</v>
      </c>
      <c r="K246" s="229">
        <f>'07E_Seeds'!AS109</f>
        <v>0.97559403711546622</v>
      </c>
    </row>
    <row r="247" spans="2:11" x14ac:dyDescent="0.3">
      <c r="B247" s="107"/>
      <c r="C247" s="109" t="s">
        <v>39</v>
      </c>
      <c r="D247" s="110">
        <f>'07E_Seeds'!AL110</f>
        <v>0</v>
      </c>
      <c r="E247" s="110">
        <f>'07E_Seeds'!AM110</f>
        <v>6.9918722825798073E-3</v>
      </c>
      <c r="F247" s="110">
        <f>'07E_Seeds'!AN110</f>
        <v>0.31615242841685165</v>
      </c>
      <c r="G247" s="110">
        <f>'07E_Seeds'!AO110</f>
        <v>0.36040315561269831</v>
      </c>
      <c r="H247" s="110">
        <f>'07E_Seeds'!AP110</f>
        <v>0.19279320908489853</v>
      </c>
      <c r="I247" s="111"/>
      <c r="J247" s="228" t="s">
        <v>29</v>
      </c>
      <c r="K247" s="230">
        <f>'07E_Seeds'!AS110</f>
        <v>3.645998499089143E-3</v>
      </c>
    </row>
    <row r="248" spans="2:11" x14ac:dyDescent="0.3">
      <c r="B248" s="107"/>
      <c r="C248" s="107" t="s">
        <v>30</v>
      </c>
      <c r="D248" s="108">
        <f>'07E_Seeds'!AL111</f>
        <v>100</v>
      </c>
      <c r="E248" s="108">
        <f>'07E_Seeds'!AM111</f>
        <v>98.678872714950131</v>
      </c>
      <c r="F248" s="108">
        <f>'07E_Seeds'!AN111</f>
        <v>97.652499104338204</v>
      </c>
      <c r="G248" s="108">
        <f>'07E_Seeds'!AO111</f>
        <v>98.33232169578622</v>
      </c>
      <c r="H248" s="108">
        <f>'07E_Seeds'!AP111</f>
        <v>88.162409392304568</v>
      </c>
      <c r="I248" s="111"/>
      <c r="J248" s="111"/>
      <c r="K248" s="111"/>
    </row>
    <row r="249" spans="2:11" x14ac:dyDescent="0.3">
      <c r="B249" s="107"/>
      <c r="C249" s="109" t="s">
        <v>39</v>
      </c>
      <c r="D249" s="110">
        <f>'07E_Seeds'!AL112</f>
        <v>0</v>
      </c>
      <c r="E249" s="110">
        <f>'07E_Seeds'!AM112</f>
        <v>0.92125569640840632</v>
      </c>
      <c r="F249" s="110">
        <f>'07E_Seeds'!AN112</f>
        <v>0.39845690455752458</v>
      </c>
      <c r="G249" s="110">
        <f>'07E_Seeds'!AO112</f>
        <v>0.60295328303488727</v>
      </c>
      <c r="H249" s="110">
        <f>'07E_Seeds'!AP112</f>
        <v>5.0351383233538822</v>
      </c>
      <c r="I249" s="111"/>
      <c r="J249" s="111"/>
      <c r="K249" s="111"/>
    </row>
    <row r="250" spans="2:11" x14ac:dyDescent="0.3">
      <c r="B250" s="107"/>
      <c r="C250" s="111" t="s">
        <v>31</v>
      </c>
      <c r="D250" s="112">
        <f>'07E_Seeds'!AL113</f>
        <v>100</v>
      </c>
      <c r="E250" s="112">
        <f>'07E_Seeds'!AM113</f>
        <v>100</v>
      </c>
      <c r="F250" s="112">
        <f>'07E_Seeds'!AN113</f>
        <v>99.30362116991644</v>
      </c>
      <c r="G250" s="112">
        <f>'07E_Seeds'!AO113</f>
        <v>96.508728179551113</v>
      </c>
      <c r="H250" s="112">
        <f>'07E_Seeds'!AP113</f>
        <v>78.364779874213838</v>
      </c>
      <c r="I250" s="111"/>
      <c r="J250" s="111"/>
      <c r="K250" s="111"/>
    </row>
    <row r="251" spans="2:11" x14ac:dyDescent="0.3">
      <c r="B251" s="107"/>
      <c r="C251" s="113" t="s">
        <v>39</v>
      </c>
      <c r="D251" s="114">
        <f>'07E_Seeds'!AL114</f>
        <v>0</v>
      </c>
      <c r="E251" s="114">
        <f>'07E_Seeds'!AM114</f>
        <v>0</v>
      </c>
      <c r="F251" s="114">
        <f>'07E_Seeds'!AN114</f>
        <v>0.31056016230667621</v>
      </c>
      <c r="G251" s="114">
        <f>'07E_Seeds'!AO114</f>
        <v>0.91779382641286622</v>
      </c>
      <c r="H251" s="114">
        <f>'07E_Seeds'!AP114</f>
        <v>1.4612713412832194</v>
      </c>
      <c r="I251" s="107"/>
      <c r="J251" s="107"/>
      <c r="K251" s="107"/>
    </row>
    <row r="252" spans="2:11" x14ac:dyDescent="0.3">
      <c r="B252" s="107"/>
      <c r="C252" s="109" t="s">
        <v>51</v>
      </c>
      <c r="D252" s="110">
        <f>'07E_Seeds'!AL115</f>
        <v>100</v>
      </c>
      <c r="E252" s="110">
        <f>'07E_Seeds'!AM115</f>
        <v>97.959183673469383</v>
      </c>
      <c r="F252" s="110">
        <f>'07E_Seeds'!AN115</f>
        <v>89.85507246376811</v>
      </c>
      <c r="G252" s="110">
        <f>'07E_Seeds'!AO115</f>
        <v>94.852941176470594</v>
      </c>
      <c r="H252" s="110">
        <f>'07E_Seeds'!AP115</f>
        <v>87.561489810260014</v>
      </c>
      <c r="I252" s="144"/>
      <c r="J252" s="107"/>
      <c r="K252" s="107"/>
    </row>
    <row r="253" spans="2:11" x14ac:dyDescent="0.3">
      <c r="B253" s="115" t="s">
        <v>375</v>
      </c>
      <c r="C253" s="107" t="s">
        <v>9</v>
      </c>
      <c r="D253" s="116">
        <f>'07E_Seeds'!AL116</f>
        <v>334.76</v>
      </c>
      <c r="E253" s="116">
        <f>'07E_Seeds'!AM116</f>
        <v>605.17999999999995</v>
      </c>
      <c r="F253" s="116">
        <f>'07E_Seeds'!AN116</f>
        <v>50498.41</v>
      </c>
      <c r="G253" s="116">
        <f>'07E_Seeds'!AO116</f>
        <v>27177.99</v>
      </c>
      <c r="H253" s="116">
        <f>'07E_Seeds'!AP116</f>
        <v>3220.64</v>
      </c>
      <c r="I253" s="107"/>
      <c r="J253" s="115" t="s">
        <v>36</v>
      </c>
      <c r="K253" s="111">
        <f>SUM(D253:H253)</f>
        <v>81836.98000000001</v>
      </c>
    </row>
    <row r="254" spans="2:11" x14ac:dyDescent="0.3">
      <c r="B254" s="115" t="s">
        <v>355</v>
      </c>
      <c r="C254" s="107" t="s">
        <v>390</v>
      </c>
      <c r="D254" s="108">
        <f>'07E_Seeds'!AL117</f>
        <v>334.76</v>
      </c>
      <c r="E254" s="108">
        <f>'07E_Seeds'!AM117</f>
        <v>613.28223899371062</v>
      </c>
      <c r="F254" s="108">
        <f>'07E_Seeds'!AN117</f>
        <v>51352.244154705346</v>
      </c>
      <c r="G254" s="108">
        <f>'07E_Seeds'!AO117</f>
        <v>26673.968478962062</v>
      </c>
      <c r="H254" s="108">
        <f>'07E_Seeds'!AP117</f>
        <v>2862.7251273388852</v>
      </c>
      <c r="I254" s="143">
        <f>$K$1-K254</f>
        <v>28408.020000000004</v>
      </c>
      <c r="J254" s="115" t="s">
        <v>36</v>
      </c>
      <c r="K254" s="111">
        <f>SUM(D254:H254)</f>
        <v>81836.98</v>
      </c>
    </row>
    <row r="255" spans="2:11" x14ac:dyDescent="0.3">
      <c r="B255" s="115"/>
      <c r="C255" s="107" t="s">
        <v>455</v>
      </c>
      <c r="D255" s="146">
        <f t="shared" ref="D255" si="85">D254/$K$1</f>
        <v>3.0365095922717583E-3</v>
      </c>
      <c r="E255" s="146">
        <f t="shared" ref="E255:I255" si="86">E254/$K$1</f>
        <v>5.5629029796699222E-3</v>
      </c>
      <c r="F255" s="146">
        <f t="shared" si="86"/>
        <v>0.46580111710014371</v>
      </c>
      <c r="G255" s="146">
        <f t="shared" si="86"/>
        <v>0.24195173004637002</v>
      </c>
      <c r="H255" s="146">
        <f t="shared" si="86"/>
        <v>2.5966938431120551E-2</v>
      </c>
      <c r="I255" s="146">
        <f t="shared" si="86"/>
        <v>0.25768080185042408</v>
      </c>
      <c r="J255" s="144">
        <f>SUM(D255:I255)</f>
        <v>1</v>
      </c>
      <c r="K255" s="117"/>
    </row>
    <row r="256" spans="2:11" x14ac:dyDescent="0.3">
      <c r="B256" s="107"/>
      <c r="C256" s="107" t="s">
        <v>354</v>
      </c>
      <c r="D256" s="108">
        <f>'07E_Seeds'!AL118</f>
        <v>0</v>
      </c>
      <c r="E256" s="108">
        <f>'07E_Seeds'!AM118</f>
        <v>5.7219371215203809</v>
      </c>
      <c r="F256" s="108">
        <f>'07E_Seeds'!AN118</f>
        <v>258.72959961301325</v>
      </c>
      <c r="G256" s="108">
        <f>'07E_Seeds'!AO118</f>
        <v>294.94305837813283</v>
      </c>
      <c r="H256" s="108">
        <f>'07E_Seeds'!AP118</f>
        <v>157.7761399601666</v>
      </c>
      <c r="I256" s="107"/>
      <c r="J256" s="107"/>
      <c r="K256" s="107"/>
    </row>
    <row r="257" spans="2:11" x14ac:dyDescent="0.3">
      <c r="B257" s="107"/>
      <c r="C257" s="147" t="s">
        <v>458</v>
      </c>
      <c r="D257" s="108">
        <f>1.96*D256</f>
        <v>0</v>
      </c>
      <c r="E257" s="108">
        <f>1.96*E256</f>
        <v>11.214996758179947</v>
      </c>
      <c r="F257" s="108">
        <f>1.96*F256</f>
        <v>507.11001524150595</v>
      </c>
      <c r="G257" s="108">
        <f>1.96*G256</f>
        <v>578.08839442114038</v>
      </c>
      <c r="H257" s="108">
        <f>1.96*H256</f>
        <v>309.24123432192653</v>
      </c>
      <c r="I257" s="107"/>
      <c r="J257" s="107"/>
      <c r="K257" s="107"/>
    </row>
    <row r="258" spans="2:11" x14ac:dyDescent="0.3">
      <c r="B258" s="107"/>
      <c r="C258" s="147" t="s">
        <v>457</v>
      </c>
      <c r="D258" s="148">
        <f>D256/$K$1</f>
        <v>0</v>
      </c>
      <c r="E258" s="148">
        <f>E256/$K$1</f>
        <v>5.1902010263688884E-5</v>
      </c>
      <c r="F258" s="148">
        <f>F256/$K$1</f>
        <v>2.3468601715543858E-3</v>
      </c>
      <c r="G258" s="148">
        <f>G256/$K$1</f>
        <v>2.6753418148499509E-3</v>
      </c>
      <c r="H258" s="148">
        <f>H256/$K$1</f>
        <v>1.4311410037658543E-3</v>
      </c>
      <c r="I258" s="107"/>
      <c r="J258" s="107"/>
      <c r="K258" s="107"/>
    </row>
    <row r="259" spans="2:11" x14ac:dyDescent="0.3">
      <c r="B259" s="107"/>
      <c r="C259" s="128" t="s">
        <v>459</v>
      </c>
      <c r="D259" s="149">
        <f>1.96*D258</f>
        <v>0</v>
      </c>
      <c r="E259" s="149">
        <f>1.96*E258</f>
        <v>1.0172794011683021E-4</v>
      </c>
      <c r="F259" s="149">
        <f>1.96*F258</f>
        <v>4.5998459362465959E-3</v>
      </c>
      <c r="G259" s="149">
        <f>1.96*G258</f>
        <v>5.2436699571059035E-3</v>
      </c>
      <c r="H259" s="149">
        <f>1.96*H258</f>
        <v>2.8050363673810742E-3</v>
      </c>
      <c r="I259" s="107"/>
      <c r="J259" s="107"/>
      <c r="K259" s="107"/>
    </row>
    <row r="260" spans="2:11" x14ac:dyDescent="0.3">
      <c r="B260" s="115" t="s">
        <v>376</v>
      </c>
      <c r="C260" s="122" t="s">
        <v>9</v>
      </c>
      <c r="D260" s="135">
        <f>'07E_Seeds'!AL119</f>
        <v>339.03799999999995</v>
      </c>
      <c r="E260" s="135">
        <f>'07E_Seeds'!AM119</f>
        <v>664.53300000000002</v>
      </c>
      <c r="F260" s="135">
        <f>'07E_Seeds'!AN119</f>
        <v>50351.827000000005</v>
      </c>
      <c r="G260" s="135">
        <f>'07E_Seeds'!AO119</f>
        <v>27170.882000000001</v>
      </c>
      <c r="H260" s="135">
        <f>'07E_Seeds'!AP119</f>
        <v>3310.6880000000006</v>
      </c>
      <c r="I260" s="107"/>
      <c r="J260" s="115" t="s">
        <v>36</v>
      </c>
      <c r="K260" s="136">
        <f>SUM(D260:H260)</f>
        <v>81836.967999999993</v>
      </c>
    </row>
    <row r="261" spans="2:11" x14ac:dyDescent="0.3">
      <c r="B261" s="107"/>
      <c r="C261" s="147" t="s">
        <v>368</v>
      </c>
      <c r="D261" s="108">
        <f>'07E_Seeds'!AL120</f>
        <v>3.6126429747703956</v>
      </c>
      <c r="E261" s="108">
        <f>'07E_Seeds'!AM120</f>
        <v>14.147084748976972</v>
      </c>
      <c r="F261" s="108">
        <f>'07E_Seeds'!AN120</f>
        <v>55.963777524301328</v>
      </c>
      <c r="G261" s="108">
        <f>'07E_Seeds'!AO120</f>
        <v>43.844491339757845</v>
      </c>
      <c r="H261" s="108">
        <f>'07E_Seeds'!AP120</f>
        <v>27.059171279176113</v>
      </c>
      <c r="I261" s="107"/>
      <c r="J261" s="107"/>
      <c r="K261" s="107"/>
    </row>
    <row r="262" spans="2:11" x14ac:dyDescent="0.3">
      <c r="B262" s="107"/>
      <c r="C262" s="147" t="s">
        <v>458</v>
      </c>
      <c r="D262" s="108">
        <f>1.96*D261</f>
        <v>7.0807802305499754</v>
      </c>
      <c r="E262" s="108">
        <f>1.96*E261</f>
        <v>27.728286107994865</v>
      </c>
      <c r="F262" s="108">
        <f>1.96*F261</f>
        <v>109.6890039476306</v>
      </c>
      <c r="G262" s="108">
        <f>1.96*G261</f>
        <v>85.935203025925375</v>
      </c>
      <c r="H262" s="108">
        <f>1.96*H261</f>
        <v>53.03597570718518</v>
      </c>
      <c r="I262" s="107"/>
      <c r="J262" s="107"/>
      <c r="K262" s="107"/>
    </row>
    <row r="263" spans="2:11" x14ac:dyDescent="0.3">
      <c r="B263" s="107"/>
      <c r="C263" s="147" t="s">
        <v>457</v>
      </c>
      <c r="D263" s="148">
        <f>D261/$K$1</f>
        <v>3.2769222865167541E-5</v>
      </c>
      <c r="E263" s="148">
        <f>E261/$K$1</f>
        <v>1.2832404870041246E-4</v>
      </c>
      <c r="F263" s="148">
        <f>F261/$K$1</f>
        <v>5.0763098121730079E-4</v>
      </c>
      <c r="G263" s="148">
        <f>G261/$K$1</f>
        <v>3.97700497435329E-4</v>
      </c>
      <c r="H263" s="148">
        <f>H261/$K$1</f>
        <v>2.4544579145699229E-4</v>
      </c>
      <c r="I263" s="107"/>
      <c r="J263" s="107"/>
      <c r="K263" s="107"/>
    </row>
    <row r="264" spans="2:11" x14ac:dyDescent="0.3">
      <c r="B264" s="140"/>
      <c r="C264" s="128" t="s">
        <v>459</v>
      </c>
      <c r="D264" s="149">
        <f>1.96*D263</f>
        <v>6.4227676815728374E-5</v>
      </c>
      <c r="E264" s="149">
        <f>1.96*E263</f>
        <v>2.5151513545280843E-4</v>
      </c>
      <c r="F264" s="149">
        <f>1.96*F263</f>
        <v>9.9495672318590956E-4</v>
      </c>
      <c r="G264" s="149">
        <f>1.96*G263</f>
        <v>7.7949297497324484E-4</v>
      </c>
      <c r="H264" s="149">
        <f>1.96*H263</f>
        <v>4.8107375125570488E-4</v>
      </c>
      <c r="I264" s="107"/>
      <c r="J264" s="107"/>
      <c r="K264" s="107"/>
    </row>
    <row r="265" spans="2:11" x14ac:dyDescent="0.3">
      <c r="B265" s="119" t="s">
        <v>701</v>
      </c>
      <c r="C265" s="107"/>
      <c r="D265" s="116"/>
      <c r="E265" s="116"/>
      <c r="F265" s="116"/>
      <c r="G265" s="116"/>
      <c r="H265" s="116"/>
      <c r="I265" s="107"/>
      <c r="J265" s="107"/>
      <c r="K265" s="107"/>
    </row>
    <row r="266" spans="2:11" x14ac:dyDescent="0.3">
      <c r="B266" s="115" t="s">
        <v>375</v>
      </c>
      <c r="C266" s="122" t="s">
        <v>9</v>
      </c>
      <c r="D266" s="135">
        <f>'07E_Seeds'!AL122</f>
        <v>7.47</v>
      </c>
      <c r="E266" s="135">
        <f>'07E_Seeds'!AM122</f>
        <v>235.81</v>
      </c>
      <c r="F266" s="135">
        <f>'07E_Seeds'!AN122</f>
        <v>5126.05</v>
      </c>
      <c r="G266" s="135">
        <f>'07E_Seeds'!AO122</f>
        <v>659.28</v>
      </c>
      <c r="H266" s="135">
        <f>'07E_Seeds'!AP122</f>
        <v>129.07</v>
      </c>
      <c r="I266" s="108">
        <f>$K$2-K266</f>
        <v>162.24000000000069</v>
      </c>
      <c r="J266" s="115" t="s">
        <v>36</v>
      </c>
      <c r="K266" s="136">
        <f t="shared" ref="K266" si="87">SUM(D266:H266)</f>
        <v>6157.6799999999994</v>
      </c>
    </row>
    <row r="267" spans="2:11" x14ac:dyDescent="0.3">
      <c r="B267" s="107"/>
      <c r="C267" s="107" t="s">
        <v>455</v>
      </c>
      <c r="D267" s="150">
        <f t="shared" ref="D267" si="88">D266/$K$2</f>
        <v>1.1819769870504689E-3</v>
      </c>
      <c r="E267" s="150">
        <f t="shared" ref="E267:I267" si="89">E266/$K$2</f>
        <v>3.7312181166850214E-2</v>
      </c>
      <c r="F267" s="150">
        <f t="shared" si="89"/>
        <v>0.81109412777376932</v>
      </c>
      <c r="G267" s="150">
        <f t="shared" si="89"/>
        <v>0.10431777617438195</v>
      </c>
      <c r="H267" s="150">
        <f t="shared" si="89"/>
        <v>2.0422726869960377E-2</v>
      </c>
      <c r="I267" s="146">
        <f t="shared" si="89"/>
        <v>2.5671211027987806E-2</v>
      </c>
      <c r="J267" s="144">
        <f>SUM(D267:I267)</f>
        <v>1.0000000000000002</v>
      </c>
      <c r="K267" s="107"/>
    </row>
    <row r="268" spans="2:11" x14ac:dyDescent="0.3">
      <c r="B268" s="115" t="s">
        <v>376</v>
      </c>
      <c r="C268" s="122" t="s">
        <v>9</v>
      </c>
      <c r="D268" s="139">
        <f>'07E_Seeds'!AL124</f>
        <v>7.474499999999999</v>
      </c>
      <c r="E268" s="135">
        <f>'07E_Seeds'!AM124</f>
        <v>245.84949999999995</v>
      </c>
      <c r="F268" s="135">
        <f>'07E_Seeds'!AN124</f>
        <v>5110.1539999999995</v>
      </c>
      <c r="G268" s="135">
        <f>'07E_Seeds'!AO124</f>
        <v>660.04500000000007</v>
      </c>
      <c r="H268" s="135">
        <f>'07E_Seeds'!AP124</f>
        <v>134.155</v>
      </c>
      <c r="I268" s="108">
        <f>$K$2-K268</f>
        <v>162.2420000000011</v>
      </c>
      <c r="J268" s="115" t="s">
        <v>36</v>
      </c>
      <c r="K268" s="136">
        <f t="shared" ref="K268" si="90">SUM(D268:H268)</f>
        <v>6157.677999999999</v>
      </c>
    </row>
    <row r="269" spans="2:11" x14ac:dyDescent="0.3">
      <c r="B269" s="115"/>
      <c r="C269" s="140" t="s">
        <v>455</v>
      </c>
      <c r="D269" s="150">
        <f t="shared" ref="D269" si="91">D268/$K$2</f>
        <v>1.1826890213800173E-3</v>
      </c>
      <c r="E269" s="150">
        <f t="shared" ref="E269:I269" si="92">E268/$K$2</f>
        <v>3.8900729756072852E-2</v>
      </c>
      <c r="F269" s="150">
        <f t="shared" si="92"/>
        <v>0.80857890606210192</v>
      </c>
      <c r="G269" s="150">
        <f t="shared" si="92"/>
        <v>0.10443882201040521</v>
      </c>
      <c r="H269" s="150">
        <f t="shared" si="92"/>
        <v>2.1227325662350156E-2</v>
      </c>
      <c r="I269" s="146">
        <f t="shared" si="92"/>
        <v>2.5671527487689891E-2</v>
      </c>
      <c r="J269" s="144">
        <f>SUM(D269:I269)</f>
        <v>1.0000000000000002</v>
      </c>
      <c r="K269" s="136"/>
    </row>
    <row r="270" spans="2:11" x14ac:dyDescent="0.3">
      <c r="B270" s="107"/>
      <c r="C270" s="147" t="s">
        <v>368</v>
      </c>
      <c r="D270" s="108">
        <f>'07E_Seeds'!AL125</f>
        <v>0.12533423735209617</v>
      </c>
      <c r="E270" s="108">
        <f>'07E_Seeds'!AM125</f>
        <v>6.8928251970704242</v>
      </c>
      <c r="F270" s="108">
        <f>'07E_Seeds'!AN125</f>
        <v>7.5793991013036131</v>
      </c>
      <c r="G270" s="108">
        <f>'07E_Seeds'!AO125</f>
        <v>2.1882803269859399</v>
      </c>
      <c r="H270" s="108">
        <f>'07E_Seeds'!AP125</f>
        <v>1.8629473676775843</v>
      </c>
      <c r="I270" s="107"/>
      <c r="J270" s="107"/>
      <c r="K270" s="107"/>
    </row>
    <row r="271" spans="2:11" x14ac:dyDescent="0.3">
      <c r="B271" s="107"/>
      <c r="C271" s="147" t="s">
        <v>458</v>
      </c>
      <c r="D271" s="108">
        <f>1.96*D270</f>
        <v>0.2456551052101085</v>
      </c>
      <c r="E271" s="108">
        <f>1.96*E270</f>
        <v>13.509937386258031</v>
      </c>
      <c r="F271" s="108">
        <f>1.96*F270</f>
        <v>14.855622238555082</v>
      </c>
      <c r="G271" s="108">
        <f>1.96*G270</f>
        <v>4.2890294408924419</v>
      </c>
      <c r="H271" s="108">
        <f>1.96*H270</f>
        <v>3.6513768406480653</v>
      </c>
      <c r="I271" s="107"/>
      <c r="J271" s="107"/>
      <c r="K271" s="107"/>
    </row>
    <row r="272" spans="2:11" x14ac:dyDescent="0.3">
      <c r="B272" s="107"/>
      <c r="C272" s="147" t="s">
        <v>457</v>
      </c>
      <c r="D272" s="148">
        <f>D270/$K$2</f>
        <v>1.9831617702770949E-5</v>
      </c>
      <c r="E272" s="148">
        <f>E270/$K$2</f>
        <v>1.0906507039757504E-3</v>
      </c>
      <c r="F272" s="148">
        <f>F270/$K$2</f>
        <v>1.199287190550452E-3</v>
      </c>
      <c r="G272" s="148">
        <f>G270/$K$2</f>
        <v>3.4625127010878934E-4</v>
      </c>
      <c r="H272" s="148">
        <f>H270/$K$2</f>
        <v>2.947738844285346E-4</v>
      </c>
      <c r="I272" s="107"/>
      <c r="J272" s="107"/>
      <c r="K272" s="107"/>
    </row>
    <row r="273" spans="2:11" x14ac:dyDescent="0.3">
      <c r="B273" s="140"/>
      <c r="C273" s="128" t="s">
        <v>459</v>
      </c>
      <c r="D273" s="149">
        <f>1.96*D272</f>
        <v>3.8869970697431062E-5</v>
      </c>
      <c r="E273" s="149">
        <f>1.96*E272</f>
        <v>2.1376753797924708E-3</v>
      </c>
      <c r="F273" s="149">
        <f>1.96*F272</f>
        <v>2.3506028934788857E-3</v>
      </c>
      <c r="G273" s="149">
        <f>1.96*G272</f>
        <v>6.7865248941322714E-4</v>
      </c>
      <c r="H273" s="149">
        <f>1.96*H272</f>
        <v>5.7775681347992786E-4</v>
      </c>
      <c r="I273" s="107"/>
      <c r="J273" s="107"/>
      <c r="K273" s="107"/>
    </row>
    <row r="274" spans="2:11" x14ac:dyDescent="0.3">
      <c r="B274" s="119" t="s">
        <v>665</v>
      </c>
      <c r="C274" s="107"/>
      <c r="D274" s="116"/>
      <c r="E274" s="116"/>
      <c r="F274" s="116"/>
      <c r="G274" s="116"/>
      <c r="H274" s="116"/>
      <c r="I274" s="107"/>
      <c r="J274" s="107"/>
      <c r="K274" s="107"/>
    </row>
    <row r="275" spans="2:11" x14ac:dyDescent="0.3">
      <c r="B275" s="115" t="s">
        <v>375</v>
      </c>
      <c r="C275" s="122" t="s">
        <v>9</v>
      </c>
      <c r="D275" s="135">
        <f>'07E_Seeds'!AL127</f>
        <v>221.13</v>
      </c>
      <c r="E275" s="135">
        <f>'07E_Seeds'!AM127</f>
        <v>128.41</v>
      </c>
      <c r="F275" s="135">
        <f>'07E_Seeds'!AN127</f>
        <v>3914.98</v>
      </c>
      <c r="G275" s="135">
        <f>'07E_Seeds'!AO127</f>
        <v>13302.74</v>
      </c>
      <c r="H275" s="135">
        <f>'07E_Seeds'!AP127</f>
        <v>2352.77</v>
      </c>
      <c r="I275" s="108">
        <f>$K$3-K275</f>
        <v>4835.9199999999983</v>
      </c>
      <c r="J275" s="115" t="s">
        <v>36</v>
      </c>
      <c r="K275" s="136">
        <f t="shared" ref="K275" si="93">SUM(D275:H275)</f>
        <v>19920.030000000002</v>
      </c>
    </row>
    <row r="276" spans="2:11" x14ac:dyDescent="0.3">
      <c r="B276" s="107"/>
      <c r="C276" s="107" t="s">
        <v>456</v>
      </c>
      <c r="D276" s="145">
        <f t="shared" ref="D276" si="94">D275/$K$3</f>
        <v>8.9323980699589391E-3</v>
      </c>
      <c r="E276" s="145">
        <f t="shared" ref="E276:I276" si="95">E275/$K$3</f>
        <v>5.1870358439082319E-3</v>
      </c>
      <c r="F276" s="145">
        <f t="shared" si="95"/>
        <v>0.15814299188679892</v>
      </c>
      <c r="G276" s="145">
        <f t="shared" si="95"/>
        <v>0.53735526206831086</v>
      </c>
      <c r="H276" s="145">
        <f t="shared" si="95"/>
        <v>9.5038566486036688E-2</v>
      </c>
      <c r="I276" s="145">
        <f t="shared" si="95"/>
        <v>0.19534374564498627</v>
      </c>
      <c r="J276" s="144">
        <f>SUM(D276:I276)</f>
        <v>0.99999999999999989</v>
      </c>
      <c r="K276" s="107"/>
    </row>
    <row r="277" spans="2:11" x14ac:dyDescent="0.3">
      <c r="B277" s="115" t="s">
        <v>376</v>
      </c>
      <c r="C277" s="122" t="s">
        <v>9</v>
      </c>
      <c r="D277" s="135">
        <f>'07E_Seeds'!AL129</f>
        <v>222.73200000000003</v>
      </c>
      <c r="E277" s="135">
        <f>'07E_Seeds'!AM129</f>
        <v>151.23850000000002</v>
      </c>
      <c r="F277" s="135">
        <f>'07E_Seeds'!AN129</f>
        <v>3897.1965000000005</v>
      </c>
      <c r="G277" s="135">
        <f>'07E_Seeds'!AO129</f>
        <v>13265.886000000002</v>
      </c>
      <c r="H277" s="135">
        <f>'07E_Seeds'!AP129</f>
        <v>2382.9794999999999</v>
      </c>
      <c r="I277" s="108">
        <f>$K$3-K277</f>
        <v>4835.9174999999959</v>
      </c>
      <c r="J277" s="115" t="s">
        <v>36</v>
      </c>
      <c r="K277" s="136">
        <f t="shared" ref="K277" si="96">SUM(D277:H277)</f>
        <v>19920.032500000005</v>
      </c>
    </row>
    <row r="278" spans="2:11" x14ac:dyDescent="0.3">
      <c r="B278" s="115"/>
      <c r="C278" s="140" t="s">
        <v>455</v>
      </c>
      <c r="D278" s="150">
        <f t="shared" ref="D278" si="97">D277/$K$3</f>
        <v>8.9971097857282807E-3</v>
      </c>
      <c r="E278" s="150">
        <f t="shared" ref="E278:I278" si="98">E277/$K$3</f>
        <v>6.1091777936213322E-3</v>
      </c>
      <c r="F278" s="150">
        <f t="shared" si="98"/>
        <v>0.15742463932913098</v>
      </c>
      <c r="G278" s="150">
        <f t="shared" si="98"/>
        <v>0.53586656945098055</v>
      </c>
      <c r="H278" s="150">
        <f t="shared" si="98"/>
        <v>9.6258858981376191E-2</v>
      </c>
      <c r="I278" s="145">
        <f t="shared" si="98"/>
        <v>0.19534364465916257</v>
      </c>
      <c r="J278" s="144">
        <f>SUM(D278:I278)</f>
        <v>0.99999999999999989</v>
      </c>
      <c r="K278" s="136"/>
    </row>
    <row r="279" spans="2:11" x14ac:dyDescent="0.3">
      <c r="B279" s="107"/>
      <c r="C279" s="147" t="s">
        <v>368</v>
      </c>
      <c r="D279" s="108">
        <f>'07E_Seeds'!AL130</f>
        <v>1.6063214923676097</v>
      </c>
      <c r="E279" s="108">
        <f>'07E_Seeds'!AM130</f>
        <v>4.8395872091804204</v>
      </c>
      <c r="F279" s="108">
        <f>'07E_Seeds'!AN130</f>
        <v>16.46514468865734</v>
      </c>
      <c r="G279" s="108">
        <f>'07E_Seeds'!AO130</f>
        <v>14.421071870521173</v>
      </c>
      <c r="H279" s="108">
        <f>'07E_Seeds'!AP130</f>
        <v>13.568411136765997</v>
      </c>
      <c r="I279" s="107"/>
      <c r="J279" s="107"/>
      <c r="K279" s="107"/>
    </row>
    <row r="280" spans="2:11" x14ac:dyDescent="0.3">
      <c r="B280" s="107"/>
      <c r="C280" s="147" t="s">
        <v>458</v>
      </c>
      <c r="D280" s="108">
        <f>1.96*D279</f>
        <v>3.1483901250405149</v>
      </c>
      <c r="E280" s="108">
        <f>1.96*E279</f>
        <v>9.4855909299936236</v>
      </c>
      <c r="F280" s="108">
        <f>1.96*F279</f>
        <v>32.271683589768386</v>
      </c>
      <c r="G280" s="108">
        <f>1.96*G279</f>
        <v>28.265300866221498</v>
      </c>
      <c r="H280" s="108">
        <f>1.96*H279</f>
        <v>26.594085828061353</v>
      </c>
      <c r="I280" s="107"/>
      <c r="J280" s="107"/>
      <c r="K280" s="107"/>
    </row>
    <row r="281" spans="2:11" x14ac:dyDescent="0.3">
      <c r="B281" s="107"/>
      <c r="C281" s="147" t="s">
        <v>457</v>
      </c>
      <c r="D281" s="148">
        <f>D279/$K$3</f>
        <v>6.4886279555727392E-5</v>
      </c>
      <c r="E281" s="148">
        <f>E279/$K$3</f>
        <v>1.9549188010076045E-4</v>
      </c>
      <c r="F281" s="148">
        <f>F279/$K$3</f>
        <v>6.6509847889728894E-4</v>
      </c>
      <c r="G281" s="148">
        <f>G279/$K$3</f>
        <v>5.8252952807390441E-4</v>
      </c>
      <c r="H281" s="148">
        <f>H279/$K$3</f>
        <v>5.4808686949060716E-4</v>
      </c>
      <c r="I281" s="107"/>
      <c r="J281" s="107"/>
      <c r="K281" s="107"/>
    </row>
    <row r="282" spans="2:11" x14ac:dyDescent="0.3">
      <c r="B282" s="140"/>
      <c r="C282" s="128" t="s">
        <v>459</v>
      </c>
      <c r="D282" s="149">
        <f>1.96*D281</f>
        <v>1.2717710792922569E-4</v>
      </c>
      <c r="E282" s="149">
        <f>1.96*E281</f>
        <v>3.8316408499749046E-4</v>
      </c>
      <c r="F282" s="149">
        <f>1.96*F281</f>
        <v>1.3035930186386863E-3</v>
      </c>
      <c r="G282" s="149">
        <f>1.96*G281</f>
        <v>1.1417578750248527E-3</v>
      </c>
      <c r="H282" s="149">
        <f>1.96*H281</f>
        <v>1.07425026420159E-3</v>
      </c>
      <c r="I282" s="107"/>
      <c r="J282" s="107"/>
      <c r="K282" s="107"/>
    </row>
    <row r="283" spans="2:11" x14ac:dyDescent="0.3">
      <c r="B283" s="119" t="s">
        <v>702</v>
      </c>
      <c r="C283" s="107"/>
      <c r="D283" s="116"/>
      <c r="E283" s="116"/>
      <c r="F283" s="116"/>
      <c r="G283" s="116"/>
      <c r="H283" s="116"/>
      <c r="I283" s="107"/>
      <c r="J283" s="107"/>
      <c r="K283" s="107"/>
    </row>
    <row r="284" spans="2:11" x14ac:dyDescent="0.3">
      <c r="B284" s="115" t="s">
        <v>375</v>
      </c>
      <c r="C284" s="122" t="s">
        <v>9</v>
      </c>
      <c r="D284" s="135">
        <f>'07E_Seeds'!AL132</f>
        <v>1.58</v>
      </c>
      <c r="E284" s="135">
        <f>'07E_Seeds'!AM132</f>
        <v>14.47</v>
      </c>
      <c r="F284" s="135">
        <f>'07E_Seeds'!AN132</f>
        <v>1145.82</v>
      </c>
      <c r="G284" s="135">
        <f>'07E_Seeds'!AO132</f>
        <v>269.35000000000002</v>
      </c>
      <c r="H284" s="135">
        <f>'07E_Seeds'!AP132</f>
        <v>24.8</v>
      </c>
      <c r="I284" s="108">
        <f>$K$4-K284</f>
        <v>12.740000000000236</v>
      </c>
      <c r="J284" s="115" t="s">
        <v>36</v>
      </c>
      <c r="K284" s="136">
        <f t="shared" ref="K284" si="99">SUM(D284:H284)</f>
        <v>1456.0199999999998</v>
      </c>
    </row>
    <row r="285" spans="2:11" x14ac:dyDescent="0.3">
      <c r="B285" s="107"/>
      <c r="C285" s="140" t="s">
        <v>455</v>
      </c>
      <c r="D285" s="150">
        <f>D284/$K$4</f>
        <v>1.0757373566818269E-3</v>
      </c>
      <c r="E285" s="150">
        <f>E284/$K$4</f>
        <v>9.8518478172063516E-3</v>
      </c>
      <c r="F285" s="150">
        <f>F284/$K$4</f>
        <v>0.78012745445137388</v>
      </c>
      <c r="G285" s="150">
        <f>G284/$K$4</f>
        <v>0.18338598545712032</v>
      </c>
      <c r="H285" s="150">
        <f t="shared" ref="H285:I287" si="100">H284/$K$4</f>
        <v>1.6884991421335004E-2</v>
      </c>
      <c r="I285" s="146">
        <f t="shared" si="100"/>
        <v>8.6739834962827403E-3</v>
      </c>
      <c r="J285" s="144">
        <f>SUM(D285:I285)</f>
        <v>1</v>
      </c>
      <c r="K285" s="107"/>
    </row>
    <row r="286" spans="2:11" x14ac:dyDescent="0.3">
      <c r="B286" s="115" t="s">
        <v>376</v>
      </c>
      <c r="C286" s="122" t="s">
        <v>9</v>
      </c>
      <c r="D286" s="139">
        <f>'07E_Seeds'!AL134</f>
        <v>1.5664999999999996</v>
      </c>
      <c r="E286" s="135">
        <f>'07E_Seeds'!AM134</f>
        <v>16.178000000000001</v>
      </c>
      <c r="F286" s="135">
        <f>'07E_Seeds'!AN134</f>
        <v>1143.71</v>
      </c>
      <c r="G286" s="135">
        <f>'07E_Seeds'!AO134</f>
        <v>269.20099999999996</v>
      </c>
      <c r="H286" s="135">
        <f>'07E_Seeds'!AP134</f>
        <v>25.368000000000002</v>
      </c>
      <c r="I286" s="108">
        <f>$K$4-K286</f>
        <v>12.736499999999978</v>
      </c>
      <c r="J286" s="115" t="s">
        <v>36</v>
      </c>
      <c r="K286" s="136">
        <f t="shared" ref="K286" si="101">SUM(D286:H286)</f>
        <v>1456.0235</v>
      </c>
    </row>
    <row r="287" spans="2:11" x14ac:dyDescent="0.3">
      <c r="B287" s="115"/>
      <c r="C287" s="140" t="s">
        <v>455</v>
      </c>
      <c r="D287" s="150">
        <f>D286/$K$4</f>
        <v>1.0665459299000514E-3</v>
      </c>
      <c r="E287" s="150">
        <f>E286/$K$4</f>
        <v>1.1014733516707972E-2</v>
      </c>
      <c r="F287" s="150">
        <f>F286/$K$4</f>
        <v>0.77869086848770397</v>
      </c>
      <c r="G287" s="150">
        <f>G286/$K$4</f>
        <v>0.18328453933930661</v>
      </c>
      <c r="H287" s="150">
        <f>H286/$K$4</f>
        <v>1.7271712192597839E-2</v>
      </c>
      <c r="I287" s="146">
        <f t="shared" si="100"/>
        <v>8.6716005337835848E-3</v>
      </c>
      <c r="J287" s="144">
        <f>SUM(D287:I287)</f>
        <v>0.99999999999999989</v>
      </c>
      <c r="K287" s="136"/>
    </row>
    <row r="288" spans="2:11" x14ac:dyDescent="0.3">
      <c r="B288" s="107"/>
      <c r="C288" s="147" t="s">
        <v>368</v>
      </c>
      <c r="D288" s="108">
        <f>'07E_Seeds'!AL135</f>
        <v>1.35E-2</v>
      </c>
      <c r="E288" s="108">
        <f>'07E_Seeds'!AM135</f>
        <v>0.46249187759581167</v>
      </c>
      <c r="F288" s="108">
        <f>'07E_Seeds'!AN135</f>
        <v>0.76152513176899539</v>
      </c>
      <c r="G288" s="108">
        <f>'07E_Seeds'!AO135</f>
        <v>0.57018921143959367</v>
      </c>
      <c r="H288" s="108">
        <f>'07E_Seeds'!AP135</f>
        <v>0.34319520300904705</v>
      </c>
      <c r="I288" s="107"/>
      <c r="J288" s="107"/>
      <c r="K288" s="107"/>
    </row>
    <row r="289" spans="2:11" x14ac:dyDescent="0.3">
      <c r="B289" s="107"/>
      <c r="C289" s="147" t="s">
        <v>458</v>
      </c>
      <c r="D289" s="108">
        <f>1.96*D288</f>
        <v>2.6460000000000001E-2</v>
      </c>
      <c r="E289" s="108">
        <f>1.96*E288</f>
        <v>0.90648408008779091</v>
      </c>
      <c r="F289" s="108">
        <f>1.96*F288</f>
        <v>1.4925892582672309</v>
      </c>
      <c r="G289" s="108">
        <f>1.96*G288</f>
        <v>1.1175708544216036</v>
      </c>
      <c r="H289" s="108">
        <f>1.96*H288</f>
        <v>0.6726625978977322</v>
      </c>
      <c r="I289" s="107"/>
      <c r="J289" s="107"/>
      <c r="K289" s="107"/>
    </row>
    <row r="290" spans="2:11" x14ac:dyDescent="0.3">
      <c r="B290" s="107"/>
      <c r="C290" s="147" t="s">
        <v>457</v>
      </c>
      <c r="D290" s="148">
        <f>D288/$K$4</f>
        <v>9.1914267817751023E-6</v>
      </c>
      <c r="E290" s="148">
        <f>E288/$K$4</f>
        <v>3.1488594296945154E-4</v>
      </c>
      <c r="F290" s="148">
        <f>F288/$K$4</f>
        <v>5.1848166601010058E-4</v>
      </c>
      <c r="G290" s="148">
        <f>G288/$K$4</f>
        <v>3.8821128805223025E-4</v>
      </c>
      <c r="H290" s="148">
        <f>H288/$K$4</f>
        <v>2.3366322817141471E-4</v>
      </c>
      <c r="I290" s="107"/>
      <c r="J290" s="107"/>
      <c r="K290" s="107"/>
    </row>
    <row r="291" spans="2:11" x14ac:dyDescent="0.3">
      <c r="B291" s="107"/>
      <c r="C291" s="128" t="s">
        <v>459</v>
      </c>
      <c r="D291" s="149">
        <f>1.96*D290</f>
        <v>1.80151964922792E-5</v>
      </c>
      <c r="E291" s="149">
        <f>1.96*E290</f>
        <v>6.1717644822012496E-4</v>
      </c>
      <c r="F291" s="149">
        <f>1.96*F290</f>
        <v>1.0162240653797971E-3</v>
      </c>
      <c r="G291" s="149">
        <f>1.96*G290</f>
        <v>7.6089412458237124E-4</v>
      </c>
      <c r="H291" s="149">
        <f>1.96*H290</f>
        <v>4.579799272159728E-4</v>
      </c>
      <c r="I291" s="107"/>
      <c r="J291" s="107"/>
      <c r="K291" s="107"/>
    </row>
    <row r="292" spans="2:11" x14ac:dyDescent="0.3">
      <c r="D292" t="s">
        <v>421</v>
      </c>
      <c r="E292" t="s">
        <v>422</v>
      </c>
      <c r="F292" t="s">
        <v>423</v>
      </c>
      <c r="G292" t="s">
        <v>424</v>
      </c>
      <c r="H292" t="s">
        <v>425</v>
      </c>
    </row>
    <row r="293" spans="2:11" x14ac:dyDescent="0.3">
      <c r="B293" s="118" t="s">
        <v>352</v>
      </c>
      <c r="C293" s="8">
        <v>20</v>
      </c>
      <c r="D293" s="90" t="s">
        <v>447</v>
      </c>
      <c r="E293" s="91" t="s">
        <v>446</v>
      </c>
      <c r="F293" s="92" t="s">
        <v>448</v>
      </c>
      <c r="G293" s="124" t="s">
        <v>449</v>
      </c>
      <c r="H293" s="123" t="s">
        <v>450</v>
      </c>
      <c r="I293" s="211" t="s">
        <v>451</v>
      </c>
    </row>
    <row r="294" spans="2:11" x14ac:dyDescent="0.3">
      <c r="B294" s="106" t="s">
        <v>666</v>
      </c>
      <c r="C294" s="107" t="s">
        <v>28</v>
      </c>
      <c r="D294" s="108">
        <f>'11E_Seeds'!AL109</f>
        <v>0.22153539908202752</v>
      </c>
      <c r="E294" s="108">
        <f>'11E_Seeds'!AM109</f>
        <v>1.3642635683535898</v>
      </c>
      <c r="F294" s="108">
        <f>'11E_Seeds'!AN109</f>
        <v>60.442742674205043</v>
      </c>
      <c r="G294" s="108">
        <f>'11E_Seeds'!AO109</f>
        <v>32.146171460480353</v>
      </c>
      <c r="H294" s="108">
        <f>'11E_Seeds'!AP109</f>
        <v>5.8252868978789909</v>
      </c>
      <c r="I294" s="111"/>
      <c r="J294" s="228" t="s">
        <v>72</v>
      </c>
      <c r="K294" s="229">
        <f>'11E_Seeds'!AS109</f>
        <v>0.98814217878695343</v>
      </c>
    </row>
    <row r="295" spans="2:11" x14ac:dyDescent="0.3">
      <c r="B295" s="107"/>
      <c r="C295" s="109" t="s">
        <v>39</v>
      </c>
      <c r="D295" s="110">
        <f>'11E_Seeds'!AL110</f>
        <v>2.8828552626645066E-3</v>
      </c>
      <c r="E295" s="110">
        <f>'11E_Seeds'!AM110</f>
        <v>3.1123850195102873E-2</v>
      </c>
      <c r="F295" s="110">
        <f>'11E_Seeds'!AN110</f>
        <v>0.14106838429167434</v>
      </c>
      <c r="G295" s="110">
        <f>'11E_Seeds'!AO110</f>
        <v>0.21124021204054405</v>
      </c>
      <c r="H295" s="110">
        <f>'11E_Seeds'!AP110</f>
        <v>0.16326619214027499</v>
      </c>
      <c r="I295" s="111"/>
      <c r="J295" s="228" t="s">
        <v>29</v>
      </c>
      <c r="K295" s="230">
        <f>'11E_Seeds'!AS110</f>
        <v>2.1435795879908206E-3</v>
      </c>
    </row>
    <row r="296" spans="2:11" x14ac:dyDescent="0.3">
      <c r="B296" s="107"/>
      <c r="C296" s="107" t="s">
        <v>30</v>
      </c>
      <c r="D296" s="108">
        <f>'11E_Seeds'!AL111</f>
        <v>100</v>
      </c>
      <c r="E296" s="108">
        <f>'11E_Seeds'!AM111</f>
        <v>94.127731408382431</v>
      </c>
      <c r="F296" s="108">
        <f>'11E_Seeds'!AN111</f>
        <v>99.488763222465778</v>
      </c>
      <c r="G296" s="108">
        <f>'11E_Seeds'!AO111</f>
        <v>98.90995720008668</v>
      </c>
      <c r="H296" s="108">
        <f>'11E_Seeds'!AP111</f>
        <v>92.339324212818269</v>
      </c>
      <c r="I296" s="111"/>
      <c r="J296" s="111"/>
      <c r="K296" s="111"/>
    </row>
    <row r="297" spans="2:11" x14ac:dyDescent="0.3">
      <c r="B297" s="107"/>
      <c r="C297" s="109" t="s">
        <v>39</v>
      </c>
      <c r="D297" s="110">
        <f>'11E_Seeds'!AL112</f>
        <v>0</v>
      </c>
      <c r="E297" s="110">
        <f>'11E_Seeds'!AM112</f>
        <v>1.7687365199545697</v>
      </c>
      <c r="F297" s="110">
        <f>'11E_Seeds'!AN112</f>
        <v>0.18970017384731178</v>
      </c>
      <c r="G297" s="110">
        <f>'11E_Seeds'!AO112</f>
        <v>0.28380854209175477</v>
      </c>
      <c r="H297" s="110">
        <f>'11E_Seeds'!AP112</f>
        <v>2.5581030678838119</v>
      </c>
      <c r="I297" s="111"/>
      <c r="J297" s="111"/>
      <c r="K297" s="111"/>
    </row>
    <row r="298" spans="2:11" x14ac:dyDescent="0.3">
      <c r="B298" s="107"/>
      <c r="C298" s="111" t="s">
        <v>31</v>
      </c>
      <c r="D298" s="112">
        <f>'11E_Seeds'!AL113</f>
        <v>92.904656319290467</v>
      </c>
      <c r="E298" s="112">
        <f>'11E_Seeds'!AM113</f>
        <v>98.245614035087726</v>
      </c>
      <c r="F298" s="112">
        <f>'11E_Seeds'!AN113</f>
        <v>99.864314789687924</v>
      </c>
      <c r="G298" s="112">
        <f>'11E_Seeds'!AO113</f>
        <v>97.9381443298969</v>
      </c>
      <c r="H298" s="112">
        <f>'11E_Seeds'!AP113</f>
        <v>93.161546085232899</v>
      </c>
      <c r="I298" s="111"/>
      <c r="J298" s="111"/>
      <c r="K298" s="111"/>
    </row>
    <row r="299" spans="2:11" x14ac:dyDescent="0.3">
      <c r="B299" s="107"/>
      <c r="C299" s="113" t="s">
        <v>39</v>
      </c>
      <c r="D299" s="114">
        <f>'11E_Seeds'!AL114</f>
        <v>1.210317190862304</v>
      </c>
      <c r="E299" s="114">
        <f>'11E_Seeds'!AM114</f>
        <v>1.7543859649122773</v>
      </c>
      <c r="F299" s="114">
        <f>'11E_Seeds'!AN114</f>
        <v>0.13568521031207589</v>
      </c>
      <c r="G299" s="114">
        <f>'11E_Seeds'!AO114</f>
        <v>0.58954505375429189</v>
      </c>
      <c r="H299" s="114">
        <f>'11E_Seeds'!AP114</f>
        <v>0.79499983748395853</v>
      </c>
      <c r="I299" s="107"/>
      <c r="J299" s="107"/>
      <c r="K299" s="107"/>
    </row>
    <row r="300" spans="2:11" x14ac:dyDescent="0.3">
      <c r="B300" s="107"/>
      <c r="C300" s="109" t="s">
        <v>51</v>
      </c>
      <c r="D300" s="110">
        <f>'11E_Seeds'!AL115</f>
        <v>96.321839080459768</v>
      </c>
      <c r="E300" s="110">
        <f>'11E_Seeds'!AM115</f>
        <v>88.188976377952756</v>
      </c>
      <c r="F300" s="110">
        <f>'11E_Seeds'!AN115</f>
        <v>98.858294157152443</v>
      </c>
      <c r="G300" s="110">
        <f>'11E_Seeds'!AO115</f>
        <v>92.758340113913746</v>
      </c>
      <c r="H300" s="110">
        <f>'11E_Seeds'!AP115</f>
        <v>96.065406234031684</v>
      </c>
      <c r="I300" s="144"/>
      <c r="J300" s="107"/>
      <c r="K300" s="107"/>
    </row>
    <row r="301" spans="2:11" x14ac:dyDescent="0.3">
      <c r="B301" s="115" t="s">
        <v>375</v>
      </c>
      <c r="C301" s="107" t="s">
        <v>9</v>
      </c>
      <c r="D301" s="116">
        <f>'11E_Seeds'!AL116</f>
        <v>228.28</v>
      </c>
      <c r="E301" s="116">
        <f>'11E_Seeds'!AM116</f>
        <v>1251.31</v>
      </c>
      <c r="F301" s="116">
        <f>'11E_Seeds'!AN116</f>
        <v>57646.12</v>
      </c>
      <c r="G301" s="116">
        <f>'11E_Seeds'!AO116</f>
        <v>31079.9</v>
      </c>
      <c r="H301" s="116">
        <f>'11E_Seeds'!AP116</f>
        <v>5527.51</v>
      </c>
      <c r="I301" s="107"/>
      <c r="J301" s="115" t="s">
        <v>36</v>
      </c>
      <c r="K301" s="111">
        <f>SUM(D301:H301)</f>
        <v>95733.119999999995</v>
      </c>
    </row>
    <row r="302" spans="2:11" x14ac:dyDescent="0.3">
      <c r="B302" s="115" t="s">
        <v>355</v>
      </c>
      <c r="C302" s="107" t="s">
        <v>390</v>
      </c>
      <c r="D302" s="108">
        <f>'11E_Seeds'!AL117</f>
        <v>212.08274944567631</v>
      </c>
      <c r="E302" s="108">
        <f>'11E_Seeds'!AM117</f>
        <v>1306.0520790082242</v>
      </c>
      <c r="F302" s="108">
        <f>'11E_Seeds'!AN117</f>
        <v>57863.723375587921</v>
      </c>
      <c r="G302" s="108">
        <f>'11E_Seeds'!AO117</f>
        <v>30774.532899667407</v>
      </c>
      <c r="H302" s="108">
        <f>'11E_Seeds'!AP117</f>
        <v>5576.7288962907714</v>
      </c>
      <c r="I302" s="143">
        <f>$K$1-K302</f>
        <v>14511.87999999999</v>
      </c>
      <c r="J302" s="115" t="s">
        <v>36</v>
      </c>
      <c r="K302" s="111">
        <f>SUM(D302:H302)</f>
        <v>95733.12000000001</v>
      </c>
    </row>
    <row r="303" spans="2:11" x14ac:dyDescent="0.3">
      <c r="B303" s="115"/>
      <c r="C303" s="107" t="s">
        <v>455</v>
      </c>
      <c r="D303" s="146">
        <f t="shared" ref="D303" si="102">D302/$K$1</f>
        <v>1.9237403006546901E-3</v>
      </c>
      <c r="E303" s="146">
        <f t="shared" ref="E303:I303" si="103">E302/$K$1</f>
        <v>1.1846814631123626E-2</v>
      </c>
      <c r="F303" s="146">
        <f t="shared" si="103"/>
        <v>0.52486483174373366</v>
      </c>
      <c r="G303" s="146">
        <f t="shared" si="103"/>
        <v>0.2791467449740796</v>
      </c>
      <c r="H303" s="146">
        <f t="shared" si="103"/>
        <v>5.0584869121418401E-2</v>
      </c>
      <c r="I303" s="146">
        <f t="shared" si="103"/>
        <v>0.13163299922898988</v>
      </c>
      <c r="J303" s="144">
        <f>SUM(D303:I303)</f>
        <v>0.99999999999999989</v>
      </c>
      <c r="K303" s="117"/>
    </row>
    <row r="304" spans="2:11" x14ac:dyDescent="0.3">
      <c r="B304" s="107"/>
      <c r="C304" s="107" t="s">
        <v>354</v>
      </c>
      <c r="D304" s="108">
        <f>'11E_Seeds'!AL118</f>
        <v>2.7598472880329274</v>
      </c>
      <c r="E304" s="108">
        <f>'11E_Seeds'!AM118</f>
        <v>29.795832855898066</v>
      </c>
      <c r="F304" s="108">
        <f>'11E_Seeds'!AN118</f>
        <v>135.04916561600973</v>
      </c>
      <c r="G304" s="108">
        <f>'11E_Seeds'!AO118</f>
        <v>202.22684568102846</v>
      </c>
      <c r="H304" s="108">
        <f>'11E_Seeds'!AP118</f>
        <v>156.29981964108001</v>
      </c>
      <c r="I304" s="107"/>
      <c r="J304" s="107"/>
      <c r="K304" s="107"/>
    </row>
    <row r="305" spans="2:11" x14ac:dyDescent="0.3">
      <c r="B305" s="107"/>
      <c r="C305" s="147" t="s">
        <v>458</v>
      </c>
      <c r="D305" s="108">
        <f>1.96*D304</f>
        <v>5.4093006845445375</v>
      </c>
      <c r="E305" s="108">
        <f>1.96*E304</f>
        <v>58.39983239756021</v>
      </c>
      <c r="F305" s="108">
        <f>1.96*F304</f>
        <v>264.69636460737905</v>
      </c>
      <c r="G305" s="108">
        <f>1.96*G304</f>
        <v>396.36461753481581</v>
      </c>
      <c r="H305" s="108">
        <f>1.96*H304</f>
        <v>306.3476464965168</v>
      </c>
      <c r="I305" s="107"/>
      <c r="J305" s="107"/>
      <c r="K305" s="107"/>
    </row>
    <row r="306" spans="2:11" x14ac:dyDescent="0.3">
      <c r="B306" s="107"/>
      <c r="C306" s="147" t="s">
        <v>457</v>
      </c>
      <c r="D306" s="148">
        <f>D304/$K$1</f>
        <v>2.5033763780969002E-5</v>
      </c>
      <c r="E306" s="148">
        <f>E304/$K$1</f>
        <v>2.7026924446367696E-4</v>
      </c>
      <c r="F306" s="148">
        <f>F304/$K$1</f>
        <v>1.224991297709735E-3</v>
      </c>
      <c r="G306" s="148">
        <f>G304/$K$1</f>
        <v>1.8343402937187941E-3</v>
      </c>
      <c r="H306" s="148">
        <f>H304/$K$1</f>
        <v>1.4177497359615402E-3</v>
      </c>
      <c r="I306" s="107"/>
      <c r="J306" s="107"/>
      <c r="K306" s="107"/>
    </row>
    <row r="307" spans="2:11" x14ac:dyDescent="0.3">
      <c r="B307" s="107"/>
      <c r="C307" s="128" t="s">
        <v>459</v>
      </c>
      <c r="D307" s="149">
        <f>1.96*D306</f>
        <v>4.9066177010699244E-5</v>
      </c>
      <c r="E307" s="149">
        <f>1.96*E306</f>
        <v>5.2972771914880682E-4</v>
      </c>
      <c r="F307" s="149">
        <f>1.96*F306</f>
        <v>2.4009829435110808E-3</v>
      </c>
      <c r="G307" s="149">
        <f>1.96*G306</f>
        <v>3.5953069756888365E-3</v>
      </c>
      <c r="H307" s="149">
        <f>1.96*H306</f>
        <v>2.7787894824846189E-3</v>
      </c>
      <c r="I307" s="107"/>
      <c r="J307" s="107"/>
      <c r="K307" s="107"/>
    </row>
    <row r="308" spans="2:11" x14ac:dyDescent="0.3">
      <c r="B308" s="115" t="s">
        <v>376</v>
      </c>
      <c r="C308" s="122" t="s">
        <v>9</v>
      </c>
      <c r="D308" s="135">
        <f>'11E_Seeds'!AL119</f>
        <v>232.41549999999992</v>
      </c>
      <c r="E308" s="135">
        <f>'11E_Seeds'!AM119</f>
        <v>1252.0235</v>
      </c>
      <c r="F308" s="135">
        <f>'11E_Seeds'!AN119</f>
        <v>57554.224000000002</v>
      </c>
      <c r="G308" s="135">
        <f>'11E_Seeds'!AO119</f>
        <v>31069.973500000004</v>
      </c>
      <c r="H308" s="135">
        <f>'11E_Seeds'!AP119</f>
        <v>5624.4855000000007</v>
      </c>
      <c r="I308" s="107"/>
      <c r="J308" s="115" t="s">
        <v>36</v>
      </c>
      <c r="K308" s="136">
        <f>SUM(D308:H308)</f>
        <v>95733.122000000003</v>
      </c>
    </row>
    <row r="309" spans="2:11" x14ac:dyDescent="0.3">
      <c r="B309" s="107"/>
      <c r="C309" s="147" t="s">
        <v>368</v>
      </c>
      <c r="D309" s="108">
        <f>'11E_Seeds'!AL120</f>
        <v>2.9850085493133314</v>
      </c>
      <c r="E309" s="108">
        <f>'11E_Seeds'!AM120</f>
        <v>26.304494845788341</v>
      </c>
      <c r="F309" s="108">
        <f>'11E_Seeds'!AN120</f>
        <v>39.991369262300601</v>
      </c>
      <c r="G309" s="108">
        <f>'11E_Seeds'!AO120</f>
        <v>52.335904618626792</v>
      </c>
      <c r="H309" s="108">
        <f>'11E_Seeds'!AP120</f>
        <v>20.339544300580162</v>
      </c>
      <c r="I309" s="107"/>
      <c r="J309" s="107"/>
      <c r="K309" s="107"/>
    </row>
    <row r="310" spans="2:11" x14ac:dyDescent="0.3">
      <c r="B310" s="107"/>
      <c r="C310" s="147" t="s">
        <v>458</v>
      </c>
      <c r="D310" s="108">
        <f>1.96*D309</f>
        <v>5.8506167566541292</v>
      </c>
      <c r="E310" s="108">
        <f>1.96*E309</f>
        <v>51.556809897745147</v>
      </c>
      <c r="F310" s="108">
        <f>1.96*F309</f>
        <v>78.38308375410918</v>
      </c>
      <c r="G310" s="108">
        <f>1.96*G309</f>
        <v>102.57837305250851</v>
      </c>
      <c r="H310" s="108">
        <f>1.96*H309</f>
        <v>39.865506829137118</v>
      </c>
      <c r="I310" s="107"/>
      <c r="J310" s="107"/>
      <c r="K310" s="107"/>
    </row>
    <row r="311" spans="2:11" x14ac:dyDescent="0.3">
      <c r="B311" s="107"/>
      <c r="C311" s="147" t="s">
        <v>457</v>
      </c>
      <c r="D311" s="148">
        <f>D309/$K$2</f>
        <v>4.7231745802372993E-4</v>
      </c>
      <c r="E311" s="148">
        <f>E309/$K$2</f>
        <v>4.1621563003627167E-3</v>
      </c>
      <c r="F311" s="148">
        <f>F309/$K$2</f>
        <v>6.3278284000906028E-3</v>
      </c>
      <c r="G311" s="148">
        <f>G309/$K$2</f>
        <v>8.2811023903193066E-3</v>
      </c>
      <c r="H311" s="148">
        <f>H309/$K$2</f>
        <v>3.2183230643078016E-3</v>
      </c>
      <c r="I311" s="107"/>
      <c r="J311" s="107"/>
      <c r="K311" s="107"/>
    </row>
    <row r="312" spans="2:11" x14ac:dyDescent="0.3">
      <c r="B312" s="140"/>
      <c r="C312" s="128" t="s">
        <v>459</v>
      </c>
      <c r="D312" s="149">
        <f>1.96*D311</f>
        <v>9.2574221772651066E-4</v>
      </c>
      <c r="E312" s="149">
        <f>1.96*E311</f>
        <v>8.1578263487109247E-3</v>
      </c>
      <c r="F312" s="149">
        <f>1.96*F311</f>
        <v>1.2402543664177581E-2</v>
      </c>
      <c r="G312" s="149">
        <f>1.96*G311</f>
        <v>1.6230960685025841E-2</v>
      </c>
      <c r="H312" s="149">
        <f>1.96*H311</f>
        <v>6.307913206043291E-3</v>
      </c>
      <c r="I312" s="107"/>
      <c r="J312" s="107"/>
      <c r="K312" s="107"/>
    </row>
    <row r="313" spans="2:11" x14ac:dyDescent="0.3">
      <c r="B313" s="119" t="s">
        <v>703</v>
      </c>
      <c r="C313" s="107"/>
      <c r="D313" s="116"/>
      <c r="E313" s="116"/>
      <c r="F313" s="116"/>
      <c r="G313" s="116"/>
      <c r="H313" s="116"/>
      <c r="I313" s="107"/>
      <c r="J313" s="107"/>
      <c r="K313" s="107"/>
    </row>
    <row r="314" spans="2:11" x14ac:dyDescent="0.3">
      <c r="B314" s="115" t="s">
        <v>375</v>
      </c>
      <c r="C314" s="122" t="s">
        <v>9</v>
      </c>
      <c r="D314" s="135">
        <f>'11E_Seeds'!AL122</f>
        <v>1.35</v>
      </c>
      <c r="E314" s="135">
        <f>'11E_Seeds'!AM122</f>
        <v>199</v>
      </c>
      <c r="F314" s="135">
        <f>'11E_Seeds'!AN122</f>
        <v>5132.3500000000004</v>
      </c>
      <c r="G314" s="135">
        <f>'11E_Seeds'!AO122</f>
        <v>750.27</v>
      </c>
      <c r="H314" s="135">
        <f>'11E_Seeds'!AP122</f>
        <v>141.31</v>
      </c>
      <c r="I314" s="108">
        <f>$K$2-K314</f>
        <v>95.639999999998508</v>
      </c>
      <c r="J314" s="115" t="s">
        <v>36</v>
      </c>
      <c r="K314" s="136">
        <f t="shared" ref="K314" si="104">SUM(D314:H314)</f>
        <v>6224.2800000000016</v>
      </c>
    </row>
    <row r="315" spans="2:11" x14ac:dyDescent="0.3">
      <c r="B315" s="107"/>
      <c r="C315" s="107" t="s">
        <v>455</v>
      </c>
      <c r="D315" s="150">
        <f t="shared" ref="D315" si="105">D314/$K$2</f>
        <v>2.1361029886454261E-4</v>
      </c>
      <c r="E315" s="150">
        <f t="shared" ref="E315:I315" si="106">E314/$K$2</f>
        <v>3.1487740351143684E-2</v>
      </c>
      <c r="F315" s="150">
        <f t="shared" si="106"/>
        <v>0.81209097583513723</v>
      </c>
      <c r="G315" s="150">
        <f t="shared" si="106"/>
        <v>0.11871511031785212</v>
      </c>
      <c r="H315" s="150">
        <f t="shared" si="106"/>
        <v>2.2359460246332234E-2</v>
      </c>
      <c r="I315" s="146">
        <f t="shared" si="106"/>
        <v>1.5133102950670026E-2</v>
      </c>
      <c r="J315" s="144">
        <f>SUM(D315:I315)</f>
        <v>0.99999999999999989</v>
      </c>
      <c r="K315" s="107"/>
    </row>
    <row r="316" spans="2:11" x14ac:dyDescent="0.3">
      <c r="B316" s="115" t="s">
        <v>376</v>
      </c>
      <c r="C316" s="122" t="s">
        <v>9</v>
      </c>
      <c r="D316" s="139">
        <f>'11E_Seeds'!AL124</f>
        <v>1.4085000000000005</v>
      </c>
      <c r="E316" s="135">
        <f>'11E_Seeds'!AM124</f>
        <v>197.61400000000003</v>
      </c>
      <c r="F316" s="135">
        <f>'11E_Seeds'!AN124</f>
        <v>5124.4770000000008</v>
      </c>
      <c r="G316" s="135">
        <f>'11E_Seeds'!AO124</f>
        <v>756.30649999999991</v>
      </c>
      <c r="H316" s="135">
        <f>'11E_Seeds'!AP124</f>
        <v>144.47800000000001</v>
      </c>
      <c r="I316" s="108">
        <f>$K$2-K316</f>
        <v>95.635999999999513</v>
      </c>
      <c r="J316" s="115" t="s">
        <v>36</v>
      </c>
      <c r="K316" s="136">
        <f t="shared" ref="K316" si="107">SUM(D316:H316)</f>
        <v>6224.2840000000006</v>
      </c>
    </row>
    <row r="317" spans="2:11" x14ac:dyDescent="0.3">
      <c r="B317" s="115"/>
      <c r="C317" s="140" t="s">
        <v>455</v>
      </c>
      <c r="D317" s="150">
        <f t="shared" ref="D317" si="108">D316/$K$2</f>
        <v>2.2286674514867286E-4</v>
      </c>
      <c r="E317" s="150">
        <f t="shared" ref="E317:I317" si="109">E316/$K$2</f>
        <v>3.1268433777642761E-2</v>
      </c>
      <c r="F317" s="150">
        <f t="shared" si="109"/>
        <v>0.81084523221812943</v>
      </c>
      <c r="G317" s="150">
        <f t="shared" si="109"/>
        <v>0.11967026481347863</v>
      </c>
      <c r="H317" s="150">
        <f t="shared" si="109"/>
        <v>2.286073241433436E-2</v>
      </c>
      <c r="I317" s="146">
        <f t="shared" si="109"/>
        <v>1.5132470031266141E-2</v>
      </c>
      <c r="J317" s="144">
        <f>SUM(D317:I317)</f>
        <v>1</v>
      </c>
      <c r="K317" s="136"/>
    </row>
    <row r="318" spans="2:11" x14ac:dyDescent="0.3">
      <c r="B318" s="107"/>
      <c r="C318" s="147" t="s">
        <v>368</v>
      </c>
      <c r="D318" s="108">
        <f>'11E_Seeds'!AL125</f>
        <v>4.7207687821727101E-2</v>
      </c>
      <c r="E318" s="108">
        <f>'11E_Seeds'!AM125</f>
        <v>2.4565427567598888</v>
      </c>
      <c r="F318" s="108">
        <f>'11E_Seeds'!AN125</f>
        <v>3.9802123125069118</v>
      </c>
      <c r="G318" s="108">
        <f>'11E_Seeds'!AO125</f>
        <v>2.1327316650866233</v>
      </c>
      <c r="H318" s="108">
        <f>'11E_Seeds'!AP125</f>
        <v>1.0655467091937751</v>
      </c>
      <c r="I318" s="107"/>
      <c r="J318" s="107"/>
      <c r="K318" s="107"/>
    </row>
    <row r="319" spans="2:11" x14ac:dyDescent="0.3">
      <c r="B319" s="107"/>
      <c r="C319" s="147" t="s">
        <v>458</v>
      </c>
      <c r="D319" s="108">
        <f>1.96*D318</f>
        <v>9.2527068130585116E-2</v>
      </c>
      <c r="E319" s="108">
        <f>1.96*E318</f>
        <v>4.8148238032493822</v>
      </c>
      <c r="F319" s="108">
        <f>1.96*F318</f>
        <v>7.801216132513547</v>
      </c>
      <c r="G319" s="108">
        <f>1.96*G318</f>
        <v>4.1801540635697814</v>
      </c>
      <c r="H319" s="108">
        <f>1.96*H318</f>
        <v>2.0884715500197992</v>
      </c>
      <c r="I319" s="107"/>
      <c r="J319" s="107"/>
      <c r="K319" s="107"/>
    </row>
    <row r="320" spans="2:11" x14ac:dyDescent="0.3">
      <c r="B320" s="107"/>
      <c r="C320" s="147" t="s">
        <v>457</v>
      </c>
      <c r="D320" s="148">
        <f>D318/$K$2</f>
        <v>7.4696654105949283E-6</v>
      </c>
      <c r="E320" s="148">
        <f>E318/$K$2</f>
        <v>3.88698394403709E-4</v>
      </c>
      <c r="F320" s="148">
        <f>F318/$K$2</f>
        <v>6.2978840119921008E-4</v>
      </c>
      <c r="G320" s="148">
        <f>G318/$K$2</f>
        <v>3.3746181361261272E-4</v>
      </c>
      <c r="H320" s="148">
        <f>H318/$K$2</f>
        <v>1.6860129704074974E-4</v>
      </c>
      <c r="I320" s="107"/>
      <c r="J320" s="107"/>
      <c r="K320" s="107"/>
    </row>
    <row r="321" spans="2:11" x14ac:dyDescent="0.3">
      <c r="B321" s="107"/>
      <c r="C321" s="128" t="s">
        <v>459</v>
      </c>
      <c r="D321" s="149">
        <f>1.96*D320</f>
        <v>1.464054420476606E-5</v>
      </c>
      <c r="E321" s="149">
        <f>1.96*E320</f>
        <v>7.6184885303126962E-4</v>
      </c>
      <c r="F321" s="149">
        <f>1.96*F320</f>
        <v>1.2343852663504516E-3</v>
      </c>
      <c r="G321" s="149">
        <f>1.96*G320</f>
        <v>6.6142515468072091E-4</v>
      </c>
      <c r="H321" s="149">
        <f>1.96*H320</f>
        <v>3.3045854219986947E-4</v>
      </c>
      <c r="I321" s="107"/>
      <c r="J321" s="107"/>
      <c r="K321" s="107"/>
    </row>
    <row r="322" spans="2:11" x14ac:dyDescent="0.3">
      <c r="B322" s="119" t="s">
        <v>667</v>
      </c>
      <c r="C322" s="107"/>
      <c r="D322" s="116"/>
      <c r="E322" s="116"/>
      <c r="F322" s="116"/>
      <c r="G322" s="116"/>
      <c r="H322" s="116"/>
      <c r="I322" s="107"/>
      <c r="J322" s="107"/>
      <c r="K322" s="107"/>
    </row>
    <row r="323" spans="2:11" x14ac:dyDescent="0.3">
      <c r="B323" s="115" t="s">
        <v>375</v>
      </c>
      <c r="C323" s="122" t="s">
        <v>9</v>
      </c>
      <c r="D323" s="135">
        <f>'11E_Seeds'!AL127</f>
        <v>222.63</v>
      </c>
      <c r="E323" s="135">
        <f>'11E_Seeds'!AM127</f>
        <v>318.02</v>
      </c>
      <c r="F323" s="135">
        <f>'11E_Seeds'!AN127</f>
        <v>4304.01</v>
      </c>
      <c r="G323" s="135">
        <f>'11E_Seeds'!AO127</f>
        <v>15142.55</v>
      </c>
      <c r="H323" s="135">
        <f>'11E_Seeds'!AP127</f>
        <v>4340.32</v>
      </c>
      <c r="I323" s="108">
        <f>$K$3-K323</f>
        <v>428.42000000000189</v>
      </c>
      <c r="J323" s="115" t="s">
        <v>36</v>
      </c>
      <c r="K323" s="136">
        <f t="shared" ref="K323" si="110">SUM(D323:H323)</f>
        <v>24327.53</v>
      </c>
    </row>
    <row r="324" spans="2:11" x14ac:dyDescent="0.3">
      <c r="B324" s="107"/>
      <c r="C324" s="107" t="s">
        <v>456</v>
      </c>
      <c r="D324" s="145">
        <f t="shared" ref="D324" si="111">D323/$K$3</f>
        <v>8.9929895641249879E-3</v>
      </c>
      <c r="E324" s="145">
        <f t="shared" ref="E324:I324" si="112">E323/$K$3</f>
        <v>1.2846204649791261E-2</v>
      </c>
      <c r="F324" s="145">
        <f t="shared" si="112"/>
        <v>0.17385759787041097</v>
      </c>
      <c r="G324" s="145">
        <f t="shared" si="112"/>
        <v>0.61167315332273653</v>
      </c>
      <c r="H324" s="145">
        <f t="shared" si="112"/>
        <v>0.17532431597252376</v>
      </c>
      <c r="I324" s="145">
        <f t="shared" si="112"/>
        <v>1.7305738620412542E-2</v>
      </c>
      <c r="J324" s="144">
        <f>SUM(D324:I324)</f>
        <v>1</v>
      </c>
      <c r="K324" s="107"/>
    </row>
    <row r="325" spans="2:11" x14ac:dyDescent="0.3">
      <c r="B325" s="115" t="s">
        <v>376</v>
      </c>
      <c r="C325" s="122" t="s">
        <v>9</v>
      </c>
      <c r="D325" s="139">
        <f>'11E_Seeds'!AL129</f>
        <v>220.56550000000001</v>
      </c>
      <c r="E325" s="135">
        <f>'11E_Seeds'!AM129</f>
        <v>321.48999999999995</v>
      </c>
      <c r="F325" s="135">
        <f>'11E_Seeds'!AN129</f>
        <v>4301.7240000000002</v>
      </c>
      <c r="G325" s="135">
        <f>'11E_Seeds'!AO129</f>
        <v>15106.011000000002</v>
      </c>
      <c r="H325" s="135">
        <f>'11E_Seeds'!AP129</f>
        <v>4377.7379999999994</v>
      </c>
      <c r="I325" s="108">
        <f>$K$3-K325</f>
        <v>428.42150000000038</v>
      </c>
      <c r="J325" s="115" t="s">
        <v>36</v>
      </c>
      <c r="K325" s="136">
        <f t="shared" ref="K325" si="113">SUM(D325:H325)</f>
        <v>24327.5285</v>
      </c>
    </row>
    <row r="326" spans="2:11" x14ac:dyDescent="0.3">
      <c r="B326" s="115"/>
      <c r="C326" s="140" t="s">
        <v>455</v>
      </c>
      <c r="D326" s="150">
        <f t="shared" ref="D326" si="114">D325/$K$3</f>
        <v>8.9095954709877828E-3</v>
      </c>
      <c r="E326" s="150">
        <f t="shared" ref="E326:I326" si="115">E325/$K$3</f>
        <v>1.2986372972962052E-2</v>
      </c>
      <c r="F326" s="150">
        <f t="shared" si="115"/>
        <v>0.1737652564333019</v>
      </c>
      <c r="G326" s="150">
        <f t="shared" si="115"/>
        <v>0.61019718491918107</v>
      </c>
      <c r="H326" s="150">
        <f t="shared" si="115"/>
        <v>0.17683579099166055</v>
      </c>
      <c r="I326" s="145">
        <f t="shared" si="115"/>
        <v>1.7305799211906649E-2</v>
      </c>
      <c r="J326" s="144">
        <f>SUM(D326:I326)</f>
        <v>1</v>
      </c>
      <c r="K326" s="136"/>
    </row>
    <row r="327" spans="2:11" x14ac:dyDescent="0.3">
      <c r="B327" s="107"/>
      <c r="C327" s="147" t="s">
        <v>368</v>
      </c>
      <c r="D327" s="108">
        <f>'11E_Seeds'!AL130</f>
        <v>1.5979354237330909</v>
      </c>
      <c r="E327" s="108">
        <f>'11E_Seeds'!AM130</f>
        <v>6.7277652894162197</v>
      </c>
      <c r="F327" s="108">
        <f>'11E_Seeds'!AN130</f>
        <v>11.112945329422642</v>
      </c>
      <c r="G327" s="108">
        <f>'11E_Seeds'!AO130</f>
        <v>20.497571164203269</v>
      </c>
      <c r="H327" s="108">
        <f>'11E_Seeds'!AP130</f>
        <v>12.321745958819491</v>
      </c>
      <c r="I327" s="107"/>
      <c r="J327" s="107"/>
      <c r="K327" s="107"/>
    </row>
    <row r="328" spans="2:11" x14ac:dyDescent="0.3">
      <c r="B328" s="107"/>
      <c r="C328" s="147" t="s">
        <v>458</v>
      </c>
      <c r="D328" s="108">
        <f>1.96*D327</f>
        <v>3.1319534305168584</v>
      </c>
      <c r="E328" s="108">
        <f>1.96*E327</f>
        <v>13.186419967255791</v>
      </c>
      <c r="F328" s="108">
        <f>1.96*F327</f>
        <v>21.781372845668379</v>
      </c>
      <c r="G328" s="108">
        <f>1.96*G327</f>
        <v>40.175239481838403</v>
      </c>
      <c r="H328" s="108">
        <f>1.96*H327</f>
        <v>24.150622079286201</v>
      </c>
      <c r="I328" s="107"/>
      <c r="J328" s="107"/>
      <c r="K328" s="107"/>
    </row>
    <row r="329" spans="2:11" x14ac:dyDescent="0.3">
      <c r="B329" s="107"/>
      <c r="C329" s="147" t="s">
        <v>457</v>
      </c>
      <c r="D329" s="148">
        <f>D327/$K$3</f>
        <v>6.4547529936564375E-5</v>
      </c>
      <c r="E329" s="148">
        <f>E327/$K$3</f>
        <v>2.7176356752280643E-4</v>
      </c>
      <c r="F329" s="148">
        <f>F327/$K$3</f>
        <v>4.488999747302221E-4</v>
      </c>
      <c r="G329" s="148">
        <f>G327/$K$3</f>
        <v>8.2798564240933064E-4</v>
      </c>
      <c r="H329" s="148">
        <f>H327/$K$3</f>
        <v>4.9772866558623241E-4</v>
      </c>
      <c r="I329" s="107"/>
      <c r="J329" s="107"/>
      <c r="K329" s="107"/>
    </row>
    <row r="330" spans="2:11" x14ac:dyDescent="0.3">
      <c r="B330" s="140"/>
      <c r="C330" s="128" t="s">
        <v>459</v>
      </c>
      <c r="D330" s="149">
        <f>1.96*D329</f>
        <v>1.2651315867566617E-4</v>
      </c>
      <c r="E330" s="149">
        <f>1.96*E329</f>
        <v>5.3265659234470058E-4</v>
      </c>
      <c r="F330" s="149">
        <f>1.96*F329</f>
        <v>8.798439504712353E-4</v>
      </c>
      <c r="G330" s="149">
        <f>1.96*G329</f>
        <v>1.6228518591222881E-3</v>
      </c>
      <c r="H330" s="149">
        <f>1.96*H329</f>
        <v>9.7554818454901552E-4</v>
      </c>
      <c r="I330" s="107"/>
      <c r="J330" s="107"/>
      <c r="K330" s="107"/>
    </row>
    <row r="331" spans="2:11" x14ac:dyDescent="0.3">
      <c r="B331" s="119" t="s">
        <v>704</v>
      </c>
      <c r="C331" s="107"/>
      <c r="D331" s="116"/>
      <c r="E331" s="116"/>
      <c r="F331" s="116"/>
      <c r="G331" s="116"/>
      <c r="H331" s="116"/>
      <c r="I331" s="107"/>
      <c r="J331" s="107"/>
      <c r="K331" s="107"/>
    </row>
    <row r="332" spans="2:11" x14ac:dyDescent="0.3">
      <c r="B332" s="115" t="s">
        <v>375</v>
      </c>
      <c r="C332" s="122" t="s">
        <v>9</v>
      </c>
      <c r="D332" s="135">
        <f>'11E_Seeds'!AL132</f>
        <v>0.59</v>
      </c>
      <c r="E332" s="135">
        <f>'11E_Seeds'!AM132</f>
        <v>13.99</v>
      </c>
      <c r="F332" s="135">
        <f>'11E_Seeds'!AN132</f>
        <v>1172.1600000000001</v>
      </c>
      <c r="G332" s="135">
        <f>'11E_Seeds'!AO132</f>
        <v>261.06</v>
      </c>
      <c r="H332" s="135">
        <f>'11E_Seeds'!AP132</f>
        <v>14.41</v>
      </c>
      <c r="I332" s="108">
        <f>$K$4-K332</f>
        <v>6.5499999999999545</v>
      </c>
      <c r="J332" s="115" t="s">
        <v>36</v>
      </c>
      <c r="K332" s="136">
        <f t="shared" ref="K332" si="116">SUM(D332:H332)</f>
        <v>1462.21</v>
      </c>
    </row>
    <row r="333" spans="2:11" x14ac:dyDescent="0.3">
      <c r="B333" s="107"/>
      <c r="C333" s="140" t="s">
        <v>455</v>
      </c>
      <c r="D333" s="150">
        <f t="shared" ref="D333" si="117">D332/$K$4</f>
        <v>4.0169939268498597E-4</v>
      </c>
      <c r="E333" s="150">
        <f t="shared" ref="E333:I333" si="118">E332/$K$4</f>
        <v>9.5250415316321252E-3</v>
      </c>
      <c r="F333" s="150">
        <f t="shared" si="118"/>
        <v>0.79806094937225969</v>
      </c>
      <c r="G333" s="150">
        <f t="shared" si="118"/>
        <v>0.17774176856668211</v>
      </c>
      <c r="H333" s="150">
        <f t="shared" si="118"/>
        <v>9.8109970315095728E-3</v>
      </c>
      <c r="I333" s="146">
        <f t="shared" si="118"/>
        <v>4.4595441052315927E-3</v>
      </c>
      <c r="J333" s="144">
        <f>SUM(D333:I333)</f>
        <v>1</v>
      </c>
      <c r="K333" s="107"/>
    </row>
    <row r="334" spans="2:11" x14ac:dyDescent="0.3">
      <c r="B334" s="115" t="s">
        <v>376</v>
      </c>
      <c r="C334" s="122" t="s">
        <v>9</v>
      </c>
      <c r="D334" s="139">
        <f>'11E_Seeds'!AL134</f>
        <v>0.62349999999999994</v>
      </c>
      <c r="E334" s="135">
        <f>'11E_Seeds'!AM134</f>
        <v>14.9595</v>
      </c>
      <c r="F334" s="135">
        <f>'11E_Seeds'!AN134</f>
        <v>1168.3599999999999</v>
      </c>
      <c r="G334" s="135">
        <f>'11E_Seeds'!AO134</f>
        <v>263.334</v>
      </c>
      <c r="H334" s="135">
        <f>'11E_Seeds'!AP134</f>
        <v>14.940999999999999</v>
      </c>
      <c r="I334" s="108">
        <f>$K$4-K334</f>
        <v>6.5419999999999163</v>
      </c>
      <c r="J334" s="115" t="s">
        <v>36</v>
      </c>
      <c r="K334" s="136">
        <f t="shared" ref="K334" si="119">SUM(D334:H334)</f>
        <v>1462.2180000000001</v>
      </c>
    </row>
    <row r="335" spans="2:11" x14ac:dyDescent="0.3">
      <c r="B335" s="115"/>
      <c r="C335" s="140" t="s">
        <v>455</v>
      </c>
      <c r="D335" s="150">
        <f t="shared" ref="D335" si="120">D334/$K$4</f>
        <v>4.245077480323538E-4</v>
      </c>
      <c r="E335" s="150">
        <f t="shared" ref="E335:I335" si="121">E334/$K$4</f>
        <v>1.0185122143849234E-2</v>
      </c>
      <c r="F335" s="150">
        <f t="shared" si="121"/>
        <v>0.79547373294479695</v>
      </c>
      <c r="G335" s="150">
        <f t="shared" si="121"/>
        <v>0.17929001334458999</v>
      </c>
      <c r="H335" s="150">
        <f t="shared" si="121"/>
        <v>1.0172526484926059E-2</v>
      </c>
      <c r="I335" s="146">
        <f t="shared" si="121"/>
        <v>4.4540973338053303E-3</v>
      </c>
      <c r="J335" s="144">
        <f>SUM(D335:I335)</f>
        <v>1</v>
      </c>
      <c r="K335" s="136"/>
    </row>
    <row r="336" spans="2:11" x14ac:dyDescent="0.3">
      <c r="B336" s="107"/>
      <c r="C336" s="147" t="s">
        <v>368</v>
      </c>
      <c r="D336" s="108">
        <f>'11E_Seeds'!AL135</f>
        <v>3.3734840650049211E-2</v>
      </c>
      <c r="E336" s="108">
        <f>'11E_Seeds'!AM135</f>
        <v>0.41635035537519877</v>
      </c>
      <c r="F336" s="108">
        <f>'11E_Seeds'!AN135</f>
        <v>1.147400265130285</v>
      </c>
      <c r="G336" s="108">
        <f>'11E_Seeds'!AO135</f>
        <v>0.94394257184818553</v>
      </c>
      <c r="H336" s="108">
        <f>'11E_Seeds'!AP135</f>
        <v>0.12975462673020466</v>
      </c>
      <c r="I336" s="107"/>
      <c r="J336" s="107"/>
      <c r="K336" s="107"/>
    </row>
    <row r="337" spans="2:11" x14ac:dyDescent="0.3">
      <c r="B337" s="107"/>
      <c r="C337" s="147" t="s">
        <v>458</v>
      </c>
      <c r="D337" s="108">
        <f>1.96*D336</f>
        <v>6.6120287674096459E-2</v>
      </c>
      <c r="E337" s="108">
        <f>1.96*E336</f>
        <v>0.81604669653538953</v>
      </c>
      <c r="F337" s="108">
        <f>1.96*F336</f>
        <v>2.2489045196553588</v>
      </c>
      <c r="G337" s="108">
        <f>1.96*G336</f>
        <v>1.8501274408224435</v>
      </c>
      <c r="H337" s="108">
        <f>1.96*H336</f>
        <v>0.25431906839120111</v>
      </c>
      <c r="I337" s="107"/>
      <c r="J337" s="107"/>
      <c r="K337" s="107"/>
    </row>
    <row r="338" spans="2:11" x14ac:dyDescent="0.3">
      <c r="B338" s="107"/>
      <c r="C338" s="147" t="s">
        <v>457</v>
      </c>
      <c r="D338" s="148">
        <f>D336/$K$4</f>
        <v>2.2968245765168722E-5</v>
      </c>
      <c r="E338" s="148">
        <f>E336/$K$4</f>
        <v>2.8347065237016176E-4</v>
      </c>
      <c r="F338" s="148">
        <f>F336/$K$4</f>
        <v>7.8120337232106337E-4</v>
      </c>
      <c r="G338" s="148">
        <f>G336/$K$4</f>
        <v>6.4267992854393202E-4</v>
      </c>
      <c r="H338" s="148">
        <f>H336/$K$4</f>
        <v>8.8342974162017386E-5</v>
      </c>
      <c r="I338" s="107"/>
      <c r="J338" s="107"/>
      <c r="K338" s="107"/>
    </row>
    <row r="339" spans="2:11" x14ac:dyDescent="0.3">
      <c r="B339" s="107"/>
      <c r="C339" s="128" t="s">
        <v>459</v>
      </c>
      <c r="D339" s="149">
        <f>1.96*D338</f>
        <v>4.5017761699730693E-5</v>
      </c>
      <c r="E339" s="149">
        <f>1.96*E338</f>
        <v>5.5560247864551709E-4</v>
      </c>
      <c r="F339" s="149">
        <f>1.96*F338</f>
        <v>1.5311586097492842E-3</v>
      </c>
      <c r="G339" s="149">
        <f>1.96*G338</f>
        <v>1.2596526599461067E-3</v>
      </c>
      <c r="H339" s="149">
        <f>1.96*H338</f>
        <v>1.7315222935755407E-4</v>
      </c>
      <c r="I339" s="107"/>
      <c r="J339" s="107"/>
      <c r="K339" s="107"/>
    </row>
    <row r="340" spans="2:11" x14ac:dyDescent="0.3">
      <c r="D340" t="s">
        <v>426</v>
      </c>
      <c r="E340" t="s">
        <v>427</v>
      </c>
      <c r="F340" t="s">
        <v>428</v>
      </c>
      <c r="G340" t="s">
        <v>429</v>
      </c>
      <c r="H340" t="s">
        <v>430</v>
      </c>
    </row>
    <row r="341" spans="2:11" x14ac:dyDescent="0.3">
      <c r="B341" s="118" t="s">
        <v>352</v>
      </c>
      <c r="C341" s="8">
        <v>20</v>
      </c>
      <c r="D341" s="90" t="s">
        <v>447</v>
      </c>
      <c r="E341" s="91" t="s">
        <v>446</v>
      </c>
      <c r="F341" s="92" t="s">
        <v>448</v>
      </c>
      <c r="G341" s="124" t="s">
        <v>449</v>
      </c>
      <c r="H341" s="123" t="s">
        <v>450</v>
      </c>
      <c r="I341" s="211" t="s">
        <v>451</v>
      </c>
    </row>
    <row r="342" spans="2:11" x14ac:dyDescent="0.3">
      <c r="B342" s="106" t="s">
        <v>668</v>
      </c>
      <c r="C342" s="107" t="s">
        <v>28</v>
      </c>
      <c r="D342" s="108">
        <f>'15O_Seeds'!AL109</f>
        <v>0.16180428916773809</v>
      </c>
      <c r="E342" s="108">
        <f>'15O_Seeds'!AM109</f>
        <v>1.0446544197156771</v>
      </c>
      <c r="F342" s="108">
        <f>'15O_Seeds'!AN109</f>
        <v>62.187896415815104</v>
      </c>
      <c r="G342" s="108">
        <f>'15O_Seeds'!AO109</f>
        <v>30.843332920015353</v>
      </c>
      <c r="H342" s="108">
        <f>'15O_Seeds'!AP109</f>
        <v>5.7623119552861279</v>
      </c>
      <c r="I342" s="111"/>
      <c r="J342" s="228" t="s">
        <v>72</v>
      </c>
      <c r="K342" s="229">
        <f>'15O_Seeds'!AS109</f>
        <v>0.98832752168647631</v>
      </c>
    </row>
    <row r="343" spans="2:11" x14ac:dyDescent="0.3">
      <c r="B343" s="107"/>
      <c r="C343" s="109" t="s">
        <v>39</v>
      </c>
      <c r="D343" s="110">
        <f>'15O_Seeds'!AL110</f>
        <v>3.7513689762587767E-3</v>
      </c>
      <c r="E343" s="110">
        <f>'15O_Seeds'!AM110</f>
        <v>8.5476512703788976E-2</v>
      </c>
      <c r="F343" s="110">
        <f>'15O_Seeds'!AN110</f>
        <v>0.15689013735670215</v>
      </c>
      <c r="G343" s="110">
        <f>'15O_Seeds'!AO110</f>
        <v>0.23544692657563018</v>
      </c>
      <c r="H343" s="110">
        <f>'15O_Seeds'!AP110</f>
        <v>0.15693784182373038</v>
      </c>
      <c r="I343" s="111"/>
      <c r="J343" s="228" t="s">
        <v>29</v>
      </c>
      <c r="K343" s="230">
        <f>'15O_Seeds'!AS110</f>
        <v>2.3630099740343737E-3</v>
      </c>
    </row>
    <row r="344" spans="2:11" x14ac:dyDescent="0.3">
      <c r="B344" s="107"/>
      <c r="C344" s="107" t="s">
        <v>30</v>
      </c>
      <c r="D344" s="108">
        <f>'15O_Seeds'!AL111</f>
        <v>100</v>
      </c>
      <c r="E344" s="108">
        <f>'15O_Seeds'!AM111</f>
        <v>88.851367868735252</v>
      </c>
      <c r="F344" s="108">
        <f>'15O_Seeds'!AN111</f>
        <v>99.683049426169603</v>
      </c>
      <c r="G344" s="108">
        <f>'15O_Seeds'!AO111</f>
        <v>98.553814253377908</v>
      </c>
      <c r="H344" s="108">
        <f>'15O_Seeds'!AP111</f>
        <v>92.925992601530254</v>
      </c>
      <c r="I344" s="111"/>
      <c r="J344" s="111"/>
      <c r="K344" s="111"/>
    </row>
    <row r="345" spans="2:11" x14ac:dyDescent="0.3">
      <c r="B345" s="107"/>
      <c r="C345" s="109" t="s">
        <v>39</v>
      </c>
      <c r="D345" s="110">
        <f>'15O_Seeds'!AL112</f>
        <v>0</v>
      </c>
      <c r="E345" s="110">
        <f>'15O_Seeds'!AM112</f>
        <v>7.4391633015745233</v>
      </c>
      <c r="F345" s="110">
        <f>'15O_Seeds'!AN112</f>
        <v>0.16397476248663884</v>
      </c>
      <c r="G345" s="110">
        <f>'15O_Seeds'!AO112</f>
        <v>0.41095659350023561</v>
      </c>
      <c r="H345" s="110">
        <f>'15O_Seeds'!AP112</f>
        <v>2.5070381910901651</v>
      </c>
      <c r="I345" s="111"/>
      <c r="J345" s="111"/>
      <c r="K345" s="111"/>
    </row>
    <row r="346" spans="2:11" x14ac:dyDescent="0.3">
      <c r="B346" s="107"/>
      <c r="C346" s="111" t="s">
        <v>31</v>
      </c>
      <c r="D346" s="112">
        <f>'15O_Seeds'!AL113</f>
        <v>80.487804878048792</v>
      </c>
      <c r="E346" s="112">
        <f>'15O_Seeds'!AM113</f>
        <v>96.491228070175438</v>
      </c>
      <c r="F346" s="112">
        <f>'15O_Seeds'!AN113</f>
        <v>99.728629579375848</v>
      </c>
      <c r="G346" s="112">
        <f>'15O_Seeds'!AO113</f>
        <v>97.752808988764045</v>
      </c>
      <c r="H346" s="112">
        <f>'15O_Seeds'!AP113</f>
        <v>95.936570862239847</v>
      </c>
      <c r="I346" s="111"/>
      <c r="J346" s="111"/>
      <c r="K346" s="111"/>
    </row>
    <row r="347" spans="2:11" x14ac:dyDescent="0.3">
      <c r="B347" s="107"/>
      <c r="C347" s="113" t="s">
        <v>39</v>
      </c>
      <c r="D347" s="114">
        <f>'15O_Seeds'!AL114</f>
        <v>1.8681504541587082</v>
      </c>
      <c r="E347" s="114">
        <f>'15O_Seeds'!AM114</f>
        <v>2.4588241692166148</v>
      </c>
      <c r="F347" s="114">
        <f>'15O_Seeds'!AN114</f>
        <v>0.19175746172356631</v>
      </c>
      <c r="G347" s="114">
        <f>'15O_Seeds'!AO114</f>
        <v>0.64197928239881541</v>
      </c>
      <c r="H347" s="114">
        <f>'15O_Seeds'!AP114</f>
        <v>0.62188226937477109</v>
      </c>
      <c r="I347" s="107"/>
      <c r="J347" s="107"/>
      <c r="K347" s="107"/>
    </row>
    <row r="348" spans="2:11" x14ac:dyDescent="0.3">
      <c r="B348" s="107"/>
      <c r="C348" s="109" t="s">
        <v>51</v>
      </c>
      <c r="D348" s="110">
        <f>'15O_Seeds'!AL115</f>
        <v>89.189189189189193</v>
      </c>
      <c r="E348" s="110">
        <f>'15O_Seeds'!AM115</f>
        <v>96.491228070175438</v>
      </c>
      <c r="F348" s="110">
        <f>'15O_Seeds'!AN115</f>
        <v>99.526066350710906</v>
      </c>
      <c r="G348" s="110">
        <f>'15O_Seeds'!AO115</f>
        <v>87.952822240943547</v>
      </c>
      <c r="H348" s="110">
        <f>'15O_Seeds'!AP115</f>
        <v>97.58064516129032</v>
      </c>
      <c r="I348" s="144"/>
      <c r="J348" s="107"/>
      <c r="K348" s="107"/>
    </row>
    <row r="349" spans="2:11" x14ac:dyDescent="0.3">
      <c r="B349" s="115" t="s">
        <v>375</v>
      </c>
      <c r="C349" s="107" t="s">
        <v>9</v>
      </c>
      <c r="D349" s="116">
        <f>'15O_Seeds'!AL116</f>
        <v>181.74</v>
      </c>
      <c r="E349" s="116">
        <f>'15O_Seeds'!AM116</f>
        <v>869.64</v>
      </c>
      <c r="F349" s="116">
        <f>'15O_Seeds'!AN116</f>
        <v>56195.03</v>
      </c>
      <c r="G349" s="116">
        <f>'15O_Seeds'!AO116</f>
        <v>28112.28</v>
      </c>
      <c r="H349" s="116">
        <f>'15O_Seeds'!AP116</f>
        <v>5045.92</v>
      </c>
      <c r="I349" s="107"/>
      <c r="J349" s="115" t="s">
        <v>36</v>
      </c>
      <c r="K349" s="111">
        <f>SUM(D349:H349)</f>
        <v>90404.61</v>
      </c>
    </row>
    <row r="350" spans="2:11" x14ac:dyDescent="0.3">
      <c r="B350" s="115" t="s">
        <v>355</v>
      </c>
      <c r="C350" s="107" t="s">
        <v>390</v>
      </c>
      <c r="D350" s="108">
        <f>'15O_Seeds'!AL117</f>
        <v>146.27853658536588</v>
      </c>
      <c r="E350" s="108">
        <f>'15O_Seeds'!AM117</f>
        <v>944.41575399172098</v>
      </c>
      <c r="F350" s="108">
        <f>'15O_Seeds'!AN117</f>
        <v>56220.725221921624</v>
      </c>
      <c r="G350" s="108">
        <f>'15O_Seeds'!AO117</f>
        <v>27883.794837341491</v>
      </c>
      <c r="H350" s="108">
        <f>'15O_Seeds'!AP117</f>
        <v>5209.3956501597977</v>
      </c>
      <c r="I350" s="143">
        <f>$K$1-K350</f>
        <v>19840.39</v>
      </c>
      <c r="J350" s="115" t="s">
        <v>36</v>
      </c>
      <c r="K350" s="111">
        <f>SUM(D350:H350)</f>
        <v>90404.61</v>
      </c>
    </row>
    <row r="351" spans="2:11" x14ac:dyDescent="0.3">
      <c r="B351" s="115"/>
      <c r="C351" s="107" t="s">
        <v>455</v>
      </c>
      <c r="D351" s="146">
        <f t="shared" ref="D351" si="122">D350/$K$1</f>
        <v>1.3268496220723469E-3</v>
      </c>
      <c r="E351" s="146">
        <f t="shared" ref="E351:I351" si="123">E350/$K$1</f>
        <v>8.5665177921150255E-3</v>
      </c>
      <c r="F351" s="146">
        <f t="shared" si="123"/>
        <v>0.50996167827948324</v>
      </c>
      <c r="G351" s="146">
        <f t="shared" si="123"/>
        <v>0.25292570944116732</v>
      </c>
      <c r="H351" s="146">
        <f t="shared" si="123"/>
        <v>4.7252897184995216E-2</v>
      </c>
      <c r="I351" s="146">
        <f t="shared" si="123"/>
        <v>0.17996634768016689</v>
      </c>
      <c r="J351" s="144">
        <f>SUM(D351:I351)</f>
        <v>1</v>
      </c>
      <c r="K351" s="117"/>
    </row>
    <row r="352" spans="2:11" x14ac:dyDescent="0.3">
      <c r="B352" s="107"/>
      <c r="C352" s="107" t="s">
        <v>354</v>
      </c>
      <c r="D352" s="108">
        <f>'15O_Seeds'!AL118</f>
        <v>3.39141049264774</v>
      </c>
      <c r="E352" s="108">
        <f>'15O_Seeds'!AM118</f>
        <v>77.274707951460883</v>
      </c>
      <c r="F352" s="108">
        <f>'15O_Seeds'!AN118</f>
        <v>141.8359168057909</v>
      </c>
      <c r="G352" s="108">
        <f>'15O_Seeds'!AO118</f>
        <v>212.8548757276848</v>
      </c>
      <c r="H352" s="108">
        <f>'15O_Seeds'!AP118</f>
        <v>141.87904384316033</v>
      </c>
      <c r="I352" s="107"/>
      <c r="J352" s="107"/>
      <c r="K352" s="107"/>
    </row>
    <row r="353" spans="2:11" x14ac:dyDescent="0.3">
      <c r="B353" s="107"/>
      <c r="C353" s="147" t="s">
        <v>458</v>
      </c>
      <c r="D353" s="108">
        <f>1.96*D352</f>
        <v>6.6471645655895699</v>
      </c>
      <c r="E353" s="108">
        <f>1.96*E352</f>
        <v>151.45842758486333</v>
      </c>
      <c r="F353" s="108">
        <f>1.96*F352</f>
        <v>277.99839693935019</v>
      </c>
      <c r="G353" s="108">
        <f>1.96*G352</f>
        <v>417.19555642626221</v>
      </c>
      <c r="H353" s="108">
        <f>1.96*H352</f>
        <v>278.08292593259426</v>
      </c>
      <c r="I353" s="107"/>
      <c r="J353" s="107"/>
      <c r="K353" s="107"/>
    </row>
    <row r="354" spans="2:11" x14ac:dyDescent="0.3">
      <c r="B354" s="107"/>
      <c r="C354" s="147" t="s">
        <v>457</v>
      </c>
      <c r="D354" s="148">
        <f>D352/$K$1</f>
        <v>3.0762488028007981E-5</v>
      </c>
      <c r="E354" s="148">
        <f>E352/$K$1</f>
        <v>7.0093616900050693E-4</v>
      </c>
      <c r="F354" s="148">
        <f>F352/$K$1</f>
        <v>1.2865519234957676E-3</v>
      </c>
      <c r="G354" s="148">
        <f>G352/$K$1</f>
        <v>1.9307440312729357E-3</v>
      </c>
      <c r="H354" s="148">
        <f>H352/$K$1</f>
        <v>1.2869431161790588E-3</v>
      </c>
      <c r="I354" s="107"/>
      <c r="J354" s="107"/>
      <c r="K354" s="107"/>
    </row>
    <row r="355" spans="2:11" x14ac:dyDescent="0.3">
      <c r="B355" s="107"/>
      <c r="C355" s="128" t="s">
        <v>459</v>
      </c>
      <c r="D355" s="149">
        <f>1.96*D354</f>
        <v>6.0294476534895639E-5</v>
      </c>
      <c r="E355" s="149">
        <f>1.96*E354</f>
        <v>1.3738348912409935E-3</v>
      </c>
      <c r="F355" s="149">
        <f>1.96*F354</f>
        <v>2.5216417700517045E-3</v>
      </c>
      <c r="G355" s="149">
        <f>1.96*G354</f>
        <v>3.7842583012949538E-3</v>
      </c>
      <c r="H355" s="149">
        <f>1.96*H354</f>
        <v>2.5224085077109552E-3</v>
      </c>
      <c r="I355" s="107"/>
      <c r="J355" s="107"/>
      <c r="K355" s="107"/>
    </row>
    <row r="356" spans="2:11" x14ac:dyDescent="0.3">
      <c r="B356" s="115" t="s">
        <v>376</v>
      </c>
      <c r="C356" s="122" t="s">
        <v>9</v>
      </c>
      <c r="D356" s="135">
        <f>'15O_Seeds'!AL119</f>
        <v>179.10700000000003</v>
      </c>
      <c r="E356" s="135">
        <f>'15O_Seeds'!AM119</f>
        <v>922.53700000000003</v>
      </c>
      <c r="F356" s="135">
        <f>'15O_Seeds'!AN119</f>
        <v>56106.523000000008</v>
      </c>
      <c r="G356" s="139">
        <f>'15O_Seeds'!AO119</f>
        <v>28070.145</v>
      </c>
      <c r="H356" s="139">
        <f>'15O_Seeds'!AP119</f>
        <v>5126.2970000000005</v>
      </c>
      <c r="I356" s="107"/>
      <c r="J356" s="115" t="s">
        <v>36</v>
      </c>
      <c r="K356" s="136">
        <f>SUM(D356:H356)</f>
        <v>90404.609000000011</v>
      </c>
    </row>
    <row r="357" spans="2:11" x14ac:dyDescent="0.3">
      <c r="B357" s="107"/>
      <c r="C357" s="147" t="s">
        <v>368</v>
      </c>
      <c r="D357" s="108">
        <f>'15O_Seeds'!AL120</f>
        <v>2.8099834331783606</v>
      </c>
      <c r="E357" s="108">
        <f>'15O_Seeds'!AM120</f>
        <v>12.709069701760646</v>
      </c>
      <c r="F357" s="108">
        <f>'15O_Seeds'!AN120</f>
        <v>52.788375874060137</v>
      </c>
      <c r="G357" s="108">
        <f>'15O_Seeds'!AO120</f>
        <v>48.747849164428736</v>
      </c>
      <c r="H357" s="108">
        <f>'15O_Seeds'!AP120</f>
        <v>14.708807102155541</v>
      </c>
      <c r="I357" s="107"/>
      <c r="J357" s="107"/>
      <c r="K357" s="107"/>
    </row>
    <row r="358" spans="2:11" x14ac:dyDescent="0.3">
      <c r="B358" s="107"/>
      <c r="C358" s="147" t="s">
        <v>458</v>
      </c>
      <c r="D358" s="108">
        <f>1.96*D357</f>
        <v>5.5075675290295871</v>
      </c>
      <c r="E358" s="108">
        <f>1.96*E357</f>
        <v>24.909776615450866</v>
      </c>
      <c r="F358" s="108">
        <f>1.96*F357</f>
        <v>103.46521671315787</v>
      </c>
      <c r="G358" s="108">
        <f>1.96*G357</f>
        <v>95.545784362280315</v>
      </c>
      <c r="H358" s="108">
        <f>1.96*H357</f>
        <v>28.829261920224859</v>
      </c>
      <c r="I358" s="107"/>
      <c r="J358" s="107"/>
      <c r="K358" s="107"/>
    </row>
    <row r="359" spans="2:11" x14ac:dyDescent="0.3">
      <c r="B359" s="107"/>
      <c r="C359" s="147" t="s">
        <v>457</v>
      </c>
      <c r="D359" s="148">
        <f>D357/$K$1</f>
        <v>2.5488534021301291E-5</v>
      </c>
      <c r="E359" s="148">
        <f>E357/$K$1</f>
        <v>1.1528023676140092E-4</v>
      </c>
      <c r="F359" s="148">
        <f>F357/$K$1</f>
        <v>4.7882784592553072E-4</v>
      </c>
      <c r="G359" s="148">
        <f>G357/$K$1</f>
        <v>4.4217741543316013E-4</v>
      </c>
      <c r="H359" s="148">
        <f>H357/$K$1</f>
        <v>1.3341926710649501E-4</v>
      </c>
      <c r="I359" s="107"/>
      <c r="J359" s="107"/>
      <c r="K359" s="107"/>
    </row>
    <row r="360" spans="2:11" x14ac:dyDescent="0.3">
      <c r="B360" s="140"/>
      <c r="C360" s="128" t="s">
        <v>459</v>
      </c>
      <c r="D360" s="149">
        <f>1.96*D359</f>
        <v>4.9957526681750529E-5</v>
      </c>
      <c r="E360" s="149">
        <f>1.96*E359</f>
        <v>2.259492640523458E-4</v>
      </c>
      <c r="F360" s="149">
        <f>1.96*F359</f>
        <v>9.3850257801404019E-4</v>
      </c>
      <c r="G360" s="149">
        <f>1.96*G359</f>
        <v>8.6666773424899386E-4</v>
      </c>
      <c r="H360" s="149">
        <f>1.96*H359</f>
        <v>2.6150176352873023E-4</v>
      </c>
      <c r="I360" s="107"/>
      <c r="J360" s="107"/>
      <c r="K360" s="107"/>
    </row>
    <row r="361" spans="2:11" x14ac:dyDescent="0.3">
      <c r="B361" s="119" t="s">
        <v>705</v>
      </c>
      <c r="C361" s="107"/>
      <c r="D361" s="116"/>
      <c r="E361" s="116"/>
      <c r="F361" s="116"/>
      <c r="G361" s="116"/>
      <c r="H361" s="116"/>
      <c r="I361" s="107"/>
      <c r="J361" s="107"/>
      <c r="K361" s="107"/>
    </row>
    <row r="362" spans="2:11" x14ac:dyDescent="0.3">
      <c r="B362" s="115" t="s">
        <v>375</v>
      </c>
      <c r="C362" s="122" t="s">
        <v>9</v>
      </c>
      <c r="D362" s="135">
        <f>'15O_Seeds'!AL122</f>
        <v>1.08</v>
      </c>
      <c r="E362" s="135">
        <f>'15O_Seeds'!AM122</f>
        <v>366.68</v>
      </c>
      <c r="F362" s="135">
        <f>'15O_Seeds'!AN122</f>
        <v>4868.8999999999996</v>
      </c>
      <c r="G362" s="135">
        <f>'15O_Seeds'!AO122</f>
        <v>820.3</v>
      </c>
      <c r="H362" s="135">
        <f>'15O_Seeds'!AP122</f>
        <v>167.32</v>
      </c>
      <c r="I362" s="108">
        <f>$K$2-K362</f>
        <v>95.640000000000327</v>
      </c>
      <c r="J362" s="115" t="s">
        <v>36</v>
      </c>
      <c r="K362" s="136">
        <f t="shared" ref="K362" si="124">SUM(D362:H362)</f>
        <v>6224.28</v>
      </c>
    </row>
    <row r="363" spans="2:11" x14ac:dyDescent="0.3">
      <c r="B363" s="107"/>
      <c r="C363" s="107" t="s">
        <v>455</v>
      </c>
      <c r="D363" s="150">
        <f t="shared" ref="D363" si="125">D362/$K$2</f>
        <v>1.7088823909163409E-4</v>
      </c>
      <c r="E363" s="150">
        <f t="shared" ref="E363:I363" si="126">E362/$K$2</f>
        <v>5.8019721768629982E-2</v>
      </c>
      <c r="F363" s="150">
        <f t="shared" si="126"/>
        <v>0.77040532158634911</v>
      </c>
      <c r="G363" s="150">
        <f t="shared" si="126"/>
        <v>0.1297959467841365</v>
      </c>
      <c r="H363" s="150">
        <f t="shared" si="126"/>
        <v>2.6475018671122418E-2</v>
      </c>
      <c r="I363" s="146">
        <f t="shared" si="126"/>
        <v>1.5133102950670314E-2</v>
      </c>
      <c r="J363" s="144">
        <f>SUM(D363:I363)</f>
        <v>1</v>
      </c>
      <c r="K363" s="107"/>
    </row>
    <row r="364" spans="2:11" x14ac:dyDescent="0.3">
      <c r="B364" s="115" t="s">
        <v>376</v>
      </c>
      <c r="C364" s="122" t="s">
        <v>9</v>
      </c>
      <c r="D364" s="139">
        <f>'15O_Seeds'!AL124</f>
        <v>1.2375000000000003</v>
      </c>
      <c r="E364" s="135">
        <f>'15O_Seeds'!AM124</f>
        <v>379.22950000000003</v>
      </c>
      <c r="F364" s="135">
        <f>'15O_Seeds'!AN124</f>
        <v>4851.7535000000007</v>
      </c>
      <c r="G364" s="135">
        <f>'15O_Seeds'!AO124</f>
        <v>825.82150000000001</v>
      </c>
      <c r="H364" s="135">
        <f>'15O_Seeds'!AP124</f>
        <v>166.24</v>
      </c>
      <c r="I364" s="108">
        <f>$K$2-K364</f>
        <v>95.63799999999992</v>
      </c>
      <c r="J364" s="115" t="s">
        <v>36</v>
      </c>
      <c r="K364" s="136">
        <f t="shared" ref="K364" si="127">SUM(D364:H364)</f>
        <v>6224.2820000000002</v>
      </c>
    </row>
    <row r="365" spans="2:11" x14ac:dyDescent="0.3">
      <c r="B365" s="115"/>
      <c r="C365" s="107" t="s">
        <v>455</v>
      </c>
      <c r="D365" s="150">
        <f t="shared" ref="D365" si="128">D364/$K$2</f>
        <v>1.9580944062583074E-4</v>
      </c>
      <c r="E365" s="150">
        <f t="shared" ref="E365:I365" si="129">E364/$K$2</f>
        <v>6.0005427283889676E-2</v>
      </c>
      <c r="F365" s="150">
        <f t="shared" si="129"/>
        <v>0.76769223344599313</v>
      </c>
      <c r="G365" s="150">
        <f t="shared" si="129"/>
        <v>0.13066961290649248</v>
      </c>
      <c r="H365" s="150">
        <f t="shared" si="129"/>
        <v>2.6304130432030785E-2</v>
      </c>
      <c r="I365" s="146">
        <f t="shared" si="129"/>
        <v>1.5132786490968227E-2</v>
      </c>
      <c r="J365" s="144">
        <f>SUM(D365:I365)</f>
        <v>1.0000000000000002</v>
      </c>
      <c r="K365" s="136"/>
    </row>
    <row r="366" spans="2:11" x14ac:dyDescent="0.3">
      <c r="B366" s="107"/>
      <c r="C366" s="147" t="s">
        <v>368</v>
      </c>
      <c r="D366" s="108">
        <f>'15O_Seeds'!AL125</f>
        <v>6.426456418996615E-2</v>
      </c>
      <c r="E366" s="108">
        <f>'15O_Seeds'!AM125</f>
        <v>7.454360062018103</v>
      </c>
      <c r="F366" s="108">
        <f>'15O_Seeds'!AN125</f>
        <v>7.7707323801353558</v>
      </c>
      <c r="G366" s="108">
        <f>'15O_Seeds'!AO125</f>
        <v>2.6059237451985204</v>
      </c>
      <c r="H366" s="108">
        <f>'15O_Seeds'!AP125</f>
        <v>1.6326349384063976</v>
      </c>
      <c r="I366" s="107"/>
      <c r="J366" s="107"/>
      <c r="K366" s="107"/>
    </row>
    <row r="367" spans="2:11" x14ac:dyDescent="0.3">
      <c r="B367" s="107"/>
      <c r="C367" s="147" t="s">
        <v>458</v>
      </c>
      <c r="D367" s="108">
        <f>1.96*D366</f>
        <v>0.12595854581233365</v>
      </c>
      <c r="E367" s="108">
        <f>1.96*E366</f>
        <v>14.610545721555482</v>
      </c>
      <c r="F367" s="108">
        <f>1.96*F366</f>
        <v>15.230635465065298</v>
      </c>
      <c r="G367" s="108">
        <f>1.96*G366</f>
        <v>5.1076105405890999</v>
      </c>
      <c r="H367" s="108">
        <f>1.96*H366</f>
        <v>3.1999644792765394</v>
      </c>
      <c r="I367" s="107"/>
      <c r="J367" s="107"/>
      <c r="K367" s="107"/>
    </row>
    <row r="368" spans="2:11" x14ac:dyDescent="0.3">
      <c r="B368" s="107"/>
      <c r="C368" s="147" t="s">
        <v>457</v>
      </c>
      <c r="D368" s="148">
        <f>D366/$K$2</f>
        <v>1.0168572417050556E-5</v>
      </c>
      <c r="E368" s="148">
        <f>E366/$K$2</f>
        <v>1.1795022819937758E-3</v>
      </c>
      <c r="F368" s="148">
        <f>F366/$K$2</f>
        <v>1.2295618267534013E-3</v>
      </c>
      <c r="G368" s="148">
        <f>G366/$K$2</f>
        <v>4.123349259481956E-4</v>
      </c>
      <c r="H368" s="148">
        <f>H366/$K$2</f>
        <v>2.5833158305902569E-4</v>
      </c>
      <c r="I368" s="107"/>
      <c r="J368" s="107"/>
      <c r="K368" s="107"/>
    </row>
    <row r="369" spans="2:11" x14ac:dyDescent="0.3">
      <c r="B369" s="140"/>
      <c r="C369" s="128" t="s">
        <v>459</v>
      </c>
      <c r="D369" s="149">
        <f>1.96*D368</f>
        <v>1.9930401937419089E-5</v>
      </c>
      <c r="E369" s="149">
        <f>1.96*E368</f>
        <v>2.3118244727078005E-3</v>
      </c>
      <c r="F369" s="149">
        <f>1.96*F368</f>
        <v>2.4099411804366666E-3</v>
      </c>
      <c r="G369" s="149">
        <f>1.96*G368</f>
        <v>8.0817645485846336E-4</v>
      </c>
      <c r="H369" s="149">
        <f>1.96*H368</f>
        <v>5.0632990279569033E-4</v>
      </c>
      <c r="I369" s="107"/>
      <c r="J369" s="107"/>
      <c r="K369" s="107"/>
    </row>
    <row r="370" spans="2:11" x14ac:dyDescent="0.3">
      <c r="B370" s="119" t="s">
        <v>669</v>
      </c>
      <c r="C370" s="107"/>
      <c r="D370" s="116"/>
      <c r="E370" s="116"/>
      <c r="F370" s="116"/>
      <c r="G370" s="116"/>
      <c r="H370" s="116"/>
      <c r="I370" s="107"/>
      <c r="J370" s="107"/>
      <c r="K370" s="107"/>
    </row>
    <row r="371" spans="2:11" x14ac:dyDescent="0.3">
      <c r="B371" s="115" t="s">
        <v>375</v>
      </c>
      <c r="C371" s="122" t="s">
        <v>9</v>
      </c>
      <c r="D371" s="135">
        <f>'15O_Seeds'!AL127</f>
        <v>166.02</v>
      </c>
      <c r="E371" s="135">
        <f>'15O_Seeds'!AM127</f>
        <v>131.33000000000001</v>
      </c>
      <c r="F371" s="135">
        <f>'15O_Seeds'!AN127</f>
        <v>4314.8</v>
      </c>
      <c r="G371" s="135">
        <f>'15O_Seeds'!AO127</f>
        <v>12170.84</v>
      </c>
      <c r="H371" s="135">
        <f>'15O_Seeds'!AP127</f>
        <v>4196.13</v>
      </c>
      <c r="I371" s="108">
        <f>$K$3-K371</f>
        <v>3776.8299999999981</v>
      </c>
      <c r="J371" s="115" t="s">
        <v>36</v>
      </c>
      <c r="K371" s="136">
        <f t="shared" ref="K371" si="130">SUM(D371:H371)</f>
        <v>20979.120000000003</v>
      </c>
    </row>
    <row r="372" spans="2:11" x14ac:dyDescent="0.3">
      <c r="B372" s="107"/>
      <c r="C372" s="107" t="s">
        <v>456</v>
      </c>
      <c r="D372" s="145">
        <f t="shared" ref="D372" si="131">D371/$K$3</f>
        <v>6.7062665742983005E-3</v>
      </c>
      <c r="E372" s="145">
        <f t="shared" ref="E372:I372" si="132">E371/$K$3</f>
        <v>5.3049872858848077E-3</v>
      </c>
      <c r="F372" s="145">
        <f t="shared" si="132"/>
        <v>0.17429345268511207</v>
      </c>
      <c r="G372" s="145">
        <f t="shared" si="132"/>
        <v>0.49163292057061031</v>
      </c>
      <c r="H372" s="145">
        <f t="shared" si="132"/>
        <v>0.1694998576099887</v>
      </c>
      <c r="I372" s="145">
        <f t="shared" si="132"/>
        <v>0.15256251527410575</v>
      </c>
      <c r="J372" s="144">
        <f>SUM(D372:I372)</f>
        <v>0.99999999999999978</v>
      </c>
      <c r="K372" s="107"/>
    </row>
    <row r="373" spans="2:11" x14ac:dyDescent="0.3">
      <c r="B373" s="115" t="s">
        <v>376</v>
      </c>
      <c r="C373" s="122" t="s">
        <v>9</v>
      </c>
      <c r="D373" s="135">
        <f>'15O_Seeds'!AL129</f>
        <v>163.358</v>
      </c>
      <c r="E373" s="135">
        <f>'15O_Seeds'!AM129</f>
        <v>158.89400000000001</v>
      </c>
      <c r="F373" s="135">
        <f>'15O_Seeds'!AN129</f>
        <v>4304.6900000000005</v>
      </c>
      <c r="G373" s="135">
        <f>'15O_Seeds'!AO129</f>
        <v>12114.662999999997</v>
      </c>
      <c r="H373" s="139">
        <f>'15O_Seeds'!AP129</f>
        <v>4237.5264999999999</v>
      </c>
      <c r="I373" s="108">
        <f>$K$3-K373</f>
        <v>3776.8185000000049</v>
      </c>
      <c r="J373" s="115" t="s">
        <v>36</v>
      </c>
      <c r="K373" s="136">
        <f t="shared" ref="K373" si="133">SUM(D373:H373)</f>
        <v>20979.131499999996</v>
      </c>
    </row>
    <row r="374" spans="2:11" x14ac:dyDescent="0.3">
      <c r="B374" s="115"/>
      <c r="C374" s="140" t="s">
        <v>455</v>
      </c>
      <c r="D374" s="150">
        <f t="shared" ref="D374" si="134">D373/$K$3</f>
        <v>6.5987368693182849E-3</v>
      </c>
      <c r="E374" s="150">
        <f t="shared" ref="E374:I374" si="135">E373/$K$3</f>
        <v>6.4184165826801235E-3</v>
      </c>
      <c r="F374" s="150">
        <f t="shared" si="135"/>
        <v>0.1738850660144329</v>
      </c>
      <c r="G374" s="150">
        <f t="shared" si="135"/>
        <v>0.48936368832543276</v>
      </c>
      <c r="H374" s="150">
        <f t="shared" si="135"/>
        <v>0.17117204146881859</v>
      </c>
      <c r="I374" s="145">
        <f t="shared" si="135"/>
        <v>0.15256205073931742</v>
      </c>
      <c r="J374" s="144">
        <f>SUM(D374:I374)</f>
        <v>1</v>
      </c>
      <c r="K374" s="136"/>
    </row>
    <row r="375" spans="2:11" x14ac:dyDescent="0.3">
      <c r="B375" s="107"/>
      <c r="C375" s="147" t="s">
        <v>368</v>
      </c>
      <c r="D375" s="108">
        <f>'15O_Seeds'!AL130</f>
        <v>3.0654792361665777</v>
      </c>
      <c r="E375" s="108">
        <f>'15O_Seeds'!AM130</f>
        <v>5.5212246639195595</v>
      </c>
      <c r="F375" s="108">
        <f>'15O_Seeds'!AN130</f>
        <v>15.390695531631065</v>
      </c>
      <c r="G375" s="108">
        <f>'15O_Seeds'!AO130</f>
        <v>18.827839355313014</v>
      </c>
      <c r="H375" s="108">
        <f>'15O_Seeds'!AP130</f>
        <v>10.589162316528579</v>
      </c>
      <c r="I375" s="107"/>
      <c r="J375" s="107"/>
      <c r="K375" s="107"/>
    </row>
    <row r="376" spans="2:11" x14ac:dyDescent="0.3">
      <c r="B376" s="107"/>
      <c r="C376" s="147" t="s">
        <v>458</v>
      </c>
      <c r="D376" s="108">
        <f>1.96*D375</f>
        <v>6.0083393028864922</v>
      </c>
      <c r="E376" s="108">
        <f>1.96*E375</f>
        <v>10.821600341282336</v>
      </c>
      <c r="F376" s="108">
        <f>1.96*F375</f>
        <v>30.165763241996888</v>
      </c>
      <c r="G376" s="108">
        <f>1.96*G375</f>
        <v>36.902565136413507</v>
      </c>
      <c r="H376" s="108">
        <f>1.96*H375</f>
        <v>20.754758140396014</v>
      </c>
      <c r="I376" s="107"/>
      <c r="J376" s="107"/>
      <c r="K376" s="107"/>
    </row>
    <row r="377" spans="2:11" x14ac:dyDescent="0.3">
      <c r="B377" s="107"/>
      <c r="C377" s="147" t="s">
        <v>457</v>
      </c>
      <c r="D377" s="148">
        <f>D375/$K$3</f>
        <v>1.238279781695543E-4</v>
      </c>
      <c r="E377" s="148">
        <f>E375/$K$3</f>
        <v>2.230261680088851E-4</v>
      </c>
      <c r="F377" s="148">
        <f>F375/$K$3</f>
        <v>6.2169682567750643E-4</v>
      </c>
      <c r="G377" s="148">
        <f>G375/$K$3</f>
        <v>7.6053794563783706E-4</v>
      </c>
      <c r="H377" s="148">
        <f>H375/$K$3</f>
        <v>4.2774211115019132E-4</v>
      </c>
      <c r="I377" s="107"/>
      <c r="J377" s="107"/>
      <c r="K377" s="107"/>
    </row>
    <row r="378" spans="2:11" x14ac:dyDescent="0.3">
      <c r="B378" s="140"/>
      <c r="C378" s="128" t="s">
        <v>459</v>
      </c>
      <c r="D378" s="149">
        <f>1.96*D377</f>
        <v>2.4270283721232642E-4</v>
      </c>
      <c r="E378" s="149">
        <f>1.96*E377</f>
        <v>4.371312892974148E-4</v>
      </c>
      <c r="F378" s="149">
        <f>1.96*F377</f>
        <v>1.2185257783279126E-3</v>
      </c>
      <c r="G378" s="149">
        <f>1.96*G377</f>
        <v>1.4906543734501607E-3</v>
      </c>
      <c r="H378" s="149">
        <f>1.96*H377</f>
        <v>8.3837453785437499E-4</v>
      </c>
      <c r="I378" s="107"/>
      <c r="J378" s="107"/>
      <c r="K378" s="107"/>
    </row>
    <row r="379" spans="2:11" x14ac:dyDescent="0.3">
      <c r="B379" s="119" t="s">
        <v>706</v>
      </c>
      <c r="C379" s="107"/>
      <c r="D379" s="116"/>
      <c r="E379" s="116"/>
      <c r="F379" s="116"/>
      <c r="G379" s="116"/>
      <c r="H379" s="116"/>
      <c r="I379" s="107"/>
      <c r="J379" s="107"/>
      <c r="K379" s="107"/>
    </row>
    <row r="380" spans="2:11" x14ac:dyDescent="0.3">
      <c r="B380" s="115" t="s">
        <v>375</v>
      </c>
      <c r="C380" s="122" t="s">
        <v>9</v>
      </c>
      <c r="D380" s="135">
        <f>'15O_Seeds'!AL132</f>
        <v>0.79</v>
      </c>
      <c r="E380" s="135">
        <f>'15O_Seeds'!AM132</f>
        <v>41.41</v>
      </c>
      <c r="F380" s="135">
        <f>'15O_Seeds'!AN132</f>
        <v>1123.5899999999999</v>
      </c>
      <c r="G380" s="135">
        <f>'15O_Seeds'!AO132</f>
        <v>264.85000000000002</v>
      </c>
      <c r="H380" s="135">
        <f>'15O_Seeds'!AP132</f>
        <v>31.58</v>
      </c>
      <c r="I380" s="108">
        <f>$K$4-K380</f>
        <v>6.540000000000191</v>
      </c>
      <c r="J380" s="115" t="s">
        <v>36</v>
      </c>
      <c r="K380" s="136">
        <f t="shared" ref="K380" si="136">SUM(D380:H380)</f>
        <v>1462.2199999999998</v>
      </c>
    </row>
    <row r="381" spans="2:11" x14ac:dyDescent="0.3">
      <c r="B381" s="107"/>
      <c r="C381" s="140" t="s">
        <v>455</v>
      </c>
      <c r="D381" s="150">
        <f t="shared" ref="D381" si="137">D380/$K$4</f>
        <v>5.3786867834091344E-4</v>
      </c>
      <c r="E381" s="150">
        <f t="shared" ref="E381:I381" si="138">E380/$K$4</f>
        <v>2.8193850595059775E-2</v>
      </c>
      <c r="F381" s="150">
        <f t="shared" si="138"/>
        <v>0.76499223835071761</v>
      </c>
      <c r="G381" s="150">
        <f t="shared" si="138"/>
        <v>0.18032217652986193</v>
      </c>
      <c r="H381" s="150">
        <f t="shared" si="138"/>
        <v>2.1501130205070943E-2</v>
      </c>
      <c r="I381" s="146">
        <f t="shared" si="138"/>
        <v>4.4527356409489573E-3</v>
      </c>
      <c r="J381" s="144">
        <f>SUM(D381:I381)</f>
        <v>1.0000000000000002</v>
      </c>
      <c r="K381" s="107"/>
    </row>
    <row r="382" spans="2:11" x14ac:dyDescent="0.3">
      <c r="B382" s="115" t="s">
        <v>376</v>
      </c>
      <c r="C382" s="122" t="s">
        <v>9</v>
      </c>
      <c r="D382" s="139">
        <f>'15O_Seeds'!AL134</f>
        <v>0.93599999999999994</v>
      </c>
      <c r="E382" s="135">
        <f>'15O_Seeds'!AM134</f>
        <v>44.728999999999999</v>
      </c>
      <c r="F382" s="135">
        <f>'15O_Seeds'!AN134</f>
        <v>1117.7410000000004</v>
      </c>
      <c r="G382" s="135">
        <f>'15O_Seeds'!AO134</f>
        <v>267.3845</v>
      </c>
      <c r="H382" s="135">
        <f>'15O_Seeds'!AP134</f>
        <v>31.426499999999997</v>
      </c>
      <c r="I382" s="108">
        <f>$K$4-K382</f>
        <v>6.5429999999994379</v>
      </c>
      <c r="J382" s="115" t="s">
        <v>36</v>
      </c>
      <c r="K382" s="136">
        <f t="shared" ref="K382" si="139">SUM(D382:H382)</f>
        <v>1462.2170000000006</v>
      </c>
    </row>
    <row r="383" spans="2:11" x14ac:dyDescent="0.3">
      <c r="B383" s="115"/>
      <c r="C383" s="140" t="s">
        <v>455</v>
      </c>
      <c r="D383" s="150">
        <f t="shared" ref="D383" si="140">D382/$K$4</f>
        <v>6.3727225686974046E-4</v>
      </c>
      <c r="E383" s="150">
        <f t="shared" ref="E383:I383" si="141">E382/$K$4</f>
        <v>3.0453579890519895E-2</v>
      </c>
      <c r="F383" s="150">
        <f t="shared" si="141"/>
        <v>0.76100996759171036</v>
      </c>
      <c r="G383" s="150">
        <f t="shared" si="141"/>
        <v>0.18204778180233666</v>
      </c>
      <c r="H383" s="150">
        <f t="shared" si="141"/>
        <v>2.1396620278330017E-2</v>
      </c>
      <c r="I383" s="146">
        <f t="shared" si="141"/>
        <v>4.4547781802332835E-3</v>
      </c>
      <c r="J383" s="144">
        <f>SUM(D383:I383)</f>
        <v>1</v>
      </c>
      <c r="K383" s="136"/>
    </row>
    <row r="384" spans="2:11" x14ac:dyDescent="0.3">
      <c r="B384" s="107"/>
      <c r="C384" s="147" t="s">
        <v>368</v>
      </c>
      <c r="D384" s="108">
        <f>'15O_Seeds'!AL135</f>
        <v>5.7112078176898978E-2</v>
      </c>
      <c r="E384" s="108">
        <f>'15O_Seeds'!AM135</f>
        <v>1.1957010495939007</v>
      </c>
      <c r="F384" s="108">
        <f>'15O_Seeds'!AN135</f>
        <v>1.5765897407145373</v>
      </c>
      <c r="G384" s="108">
        <f>'15O_Seeds'!AO135</f>
        <v>0.80992607687368701</v>
      </c>
      <c r="H384" s="108">
        <f>'15O_Seeds'!AP135</f>
        <v>0.32722137605506235</v>
      </c>
      <c r="I384" s="107"/>
      <c r="J384" s="107"/>
      <c r="K384" s="107"/>
    </row>
    <row r="385" spans="2:11" x14ac:dyDescent="0.3">
      <c r="B385" s="107"/>
      <c r="C385" s="147" t="s">
        <v>458</v>
      </c>
      <c r="D385" s="108">
        <f>1.96*D384</f>
        <v>0.11193967322672199</v>
      </c>
      <c r="E385" s="108">
        <f>1.96*E384</f>
        <v>2.3435740572040453</v>
      </c>
      <c r="F385" s="108">
        <f>1.96*F384</f>
        <v>3.090115891800493</v>
      </c>
      <c r="G385" s="108">
        <f>1.96*G384</f>
        <v>1.5874551106724264</v>
      </c>
      <c r="H385" s="108">
        <f>1.96*H384</f>
        <v>0.64135389706792223</v>
      </c>
      <c r="I385" s="107"/>
      <c r="J385" s="107"/>
      <c r="K385" s="107"/>
    </row>
    <row r="386" spans="2:11" x14ac:dyDescent="0.3">
      <c r="B386" s="107"/>
      <c r="C386" s="147" t="s">
        <v>457</v>
      </c>
      <c r="D386" s="148">
        <f>D384/$K$4</f>
        <v>3.8884554438369086E-5</v>
      </c>
      <c r="E386" s="148">
        <f>E384/$K$4</f>
        <v>8.1408878890622065E-4</v>
      </c>
      <c r="F386" s="148">
        <f>F384/$K$4</f>
        <v>1.0734154938278121E-3</v>
      </c>
      <c r="G386" s="148">
        <f>G384/$K$4</f>
        <v>5.5143527660998868E-4</v>
      </c>
      <c r="H386" s="148">
        <f>H384/$K$4</f>
        <v>2.2278750514383722E-4</v>
      </c>
      <c r="I386" s="107"/>
      <c r="J386" s="107"/>
      <c r="K386" s="107"/>
    </row>
    <row r="387" spans="2:11" x14ac:dyDescent="0.3">
      <c r="B387" s="107"/>
      <c r="C387" s="128" t="s">
        <v>459</v>
      </c>
      <c r="D387" s="149">
        <f>1.96*D386</f>
        <v>7.62137266992034E-5</v>
      </c>
      <c r="E387" s="149">
        <f>1.96*E386</f>
        <v>1.5956140262561925E-3</v>
      </c>
      <c r="F387" s="149">
        <f>1.96*F386</f>
        <v>2.1038943679025117E-3</v>
      </c>
      <c r="G387" s="149">
        <f>1.96*G386</f>
        <v>1.0808131421555778E-3</v>
      </c>
      <c r="H387" s="149">
        <f>1.96*H386</f>
        <v>4.3666351008192093E-4</v>
      </c>
      <c r="I387" s="107"/>
      <c r="J387" s="107"/>
      <c r="K387" s="107"/>
    </row>
    <row r="388" spans="2:11" x14ac:dyDescent="0.3">
      <c r="D388" t="s">
        <v>431</v>
      </c>
      <c r="E388" t="s">
        <v>432</v>
      </c>
      <c r="F388" t="s">
        <v>433</v>
      </c>
      <c r="G388" t="s">
        <v>434</v>
      </c>
      <c r="H388" t="s">
        <v>435</v>
      </c>
    </row>
    <row r="389" spans="2:11" x14ac:dyDescent="0.3">
      <c r="B389" s="118" t="s">
        <v>352</v>
      </c>
      <c r="C389" s="8">
        <v>20</v>
      </c>
      <c r="D389" s="90" t="s">
        <v>447</v>
      </c>
      <c r="E389" s="91" t="s">
        <v>446</v>
      </c>
      <c r="F389" s="92" t="s">
        <v>448</v>
      </c>
      <c r="G389" s="124" t="s">
        <v>449</v>
      </c>
      <c r="H389" s="123" t="s">
        <v>450</v>
      </c>
      <c r="I389" s="211" t="s">
        <v>451</v>
      </c>
    </row>
    <row r="390" spans="2:11" x14ac:dyDescent="0.3">
      <c r="B390" s="106" t="s">
        <v>670</v>
      </c>
      <c r="C390" s="107" t="s">
        <v>28</v>
      </c>
      <c r="D390" s="108">
        <f>'19O_Seeds'!AL109</f>
        <v>0.137727475671163</v>
      </c>
      <c r="E390" s="108">
        <f>'19O_Seeds'!AM109</f>
        <v>1.0453145175825596</v>
      </c>
      <c r="F390" s="108">
        <f>'19O_Seeds'!AN109</f>
        <v>60.263498465433173</v>
      </c>
      <c r="G390" s="108">
        <f>'19O_Seeds'!AO109</f>
        <v>32.471018560829641</v>
      </c>
      <c r="H390" s="108">
        <f>'19O_Seeds'!AP109</f>
        <v>6.0824409804834412</v>
      </c>
      <c r="I390" s="111"/>
      <c r="J390" s="228" t="s">
        <v>72</v>
      </c>
      <c r="K390" s="229">
        <f>'19O_Seeds'!AS109</f>
        <v>0.98610688058640539</v>
      </c>
    </row>
    <row r="391" spans="2:11" x14ac:dyDescent="0.3">
      <c r="B391" s="107"/>
      <c r="C391" s="109" t="s">
        <v>39</v>
      </c>
      <c r="D391" s="110">
        <f>'19O_Seeds'!AL110</f>
        <v>7.9193211769753302E-2</v>
      </c>
      <c r="E391" s="110">
        <f>'19O_Seeds'!AM110</f>
        <v>9.9459804175339825E-2</v>
      </c>
      <c r="F391" s="110">
        <f>'19O_Seeds'!AN110</f>
        <v>0.13450527116672192</v>
      </c>
      <c r="G391" s="110">
        <f>'19O_Seeds'!AO110</f>
        <v>0.21065989246870204</v>
      </c>
      <c r="H391" s="110">
        <f>'19O_Seeds'!AP110</f>
        <v>0.10806469707802385</v>
      </c>
      <c r="I391" s="111"/>
      <c r="J391" s="228" t="s">
        <v>29</v>
      </c>
      <c r="K391" s="230">
        <f>'19O_Seeds'!AS110</f>
        <v>2.1211354251354105E-3</v>
      </c>
    </row>
    <row r="392" spans="2:11" x14ac:dyDescent="0.3">
      <c r="B392" s="107"/>
      <c r="C392" s="107" t="s">
        <v>30</v>
      </c>
      <c r="D392" s="108">
        <f>'19O_Seeds'!AL111</f>
        <v>18.637662454662976</v>
      </c>
      <c r="E392" s="108">
        <f>'19O_Seeds'!AM111</f>
        <v>83.321823538797602</v>
      </c>
      <c r="F392" s="108">
        <f>'19O_Seeds'!AN111</f>
        <v>99.242574535516596</v>
      </c>
      <c r="G392" s="108">
        <f>'19O_Seeds'!AO111</f>
        <v>98.526760953433183</v>
      </c>
      <c r="H392" s="108">
        <f>'19O_Seeds'!AP111</f>
        <v>97.236513416049533</v>
      </c>
      <c r="I392" s="111"/>
      <c r="J392" s="111"/>
      <c r="K392" s="111"/>
    </row>
    <row r="393" spans="2:11" x14ac:dyDescent="0.3">
      <c r="B393" s="107"/>
      <c r="C393" s="109" t="s">
        <v>39</v>
      </c>
      <c r="D393" s="110">
        <f>'19O_Seeds'!AL112</f>
        <v>226.30585798530535</v>
      </c>
      <c r="E393" s="110">
        <f>'19O_Seeds'!AM112</f>
        <v>8.5099752129247985</v>
      </c>
      <c r="F393" s="110">
        <f>'19O_Seeds'!AN112</f>
        <v>0.16419115828813854</v>
      </c>
      <c r="G393" s="110">
        <f>'19O_Seeds'!AO112</f>
        <v>0.32214844962137273</v>
      </c>
      <c r="H393" s="110">
        <f>'19O_Seeds'!AP112</f>
        <v>1.564061153625018</v>
      </c>
      <c r="I393" s="111"/>
      <c r="J393" s="111"/>
      <c r="K393" s="111"/>
    </row>
    <row r="394" spans="2:11" x14ac:dyDescent="0.3">
      <c r="B394" s="107"/>
      <c r="C394" s="111" t="s">
        <v>31</v>
      </c>
      <c r="D394" s="112">
        <f>'19O_Seeds'!AL113</f>
        <v>9.0909090909090917</v>
      </c>
      <c r="E394" s="112">
        <f>'19O_Seeds'!AM113</f>
        <v>96.491228070175438</v>
      </c>
      <c r="F394" s="112">
        <f>'19O_Seeds'!AN113</f>
        <v>99.848484848484858</v>
      </c>
      <c r="G394" s="112">
        <f>'19O_Seeds'!AO113</f>
        <v>98.109965635738845</v>
      </c>
      <c r="H394" s="112">
        <f>'19O_Seeds'!AP113</f>
        <v>93.756194251734399</v>
      </c>
      <c r="I394" s="111"/>
      <c r="J394" s="111"/>
      <c r="K394" s="111"/>
    </row>
    <row r="395" spans="2:11" x14ac:dyDescent="0.3">
      <c r="B395" s="107"/>
      <c r="C395" s="113" t="s">
        <v>39</v>
      </c>
      <c r="D395" s="114">
        <f>'19O_Seeds'!AL114</f>
        <v>1.3551927136362363</v>
      </c>
      <c r="E395" s="114">
        <f>'19O_Seeds'!AM114</f>
        <v>2.4588241692166148</v>
      </c>
      <c r="F395" s="114">
        <f>'19O_Seeds'!AN114</f>
        <v>0.15151515151514658</v>
      </c>
      <c r="G395" s="114">
        <f>'19O_Seeds'!AO114</f>
        <v>0.56494132717154499</v>
      </c>
      <c r="H395" s="114">
        <f>'19O_Seeds'!AP114</f>
        <v>0.76206920214220453</v>
      </c>
      <c r="I395" s="107"/>
      <c r="J395" s="107"/>
      <c r="K395" s="107"/>
    </row>
    <row r="396" spans="2:11" x14ac:dyDescent="0.3">
      <c r="B396" s="107"/>
      <c r="C396" s="109" t="s">
        <v>51</v>
      </c>
      <c r="D396" s="110">
        <f>'19O_Seeds'!AL115</f>
        <v>16.599190283400812</v>
      </c>
      <c r="E396" s="110">
        <f>'19O_Seeds'!AM115</f>
        <v>94.827586206896541</v>
      </c>
      <c r="F396" s="110">
        <f>'19O_Seeds'!AN115</f>
        <v>76.009227220299891</v>
      </c>
      <c r="G396" s="110">
        <f>'19O_Seeds'!AO115</f>
        <v>93.914473684210535</v>
      </c>
      <c r="H396" s="110">
        <f>'19O_Seeds'!AP115</f>
        <v>96.62921348314606</v>
      </c>
      <c r="I396" s="144"/>
      <c r="J396" s="107"/>
      <c r="K396" s="107"/>
    </row>
    <row r="397" spans="2:11" x14ac:dyDescent="0.3">
      <c r="B397" s="115" t="s">
        <v>375</v>
      </c>
      <c r="C397" s="107" t="s">
        <v>9</v>
      </c>
      <c r="D397" s="116">
        <f>'19O_Seeds'!AL116</f>
        <v>261.76</v>
      </c>
      <c r="E397" s="116">
        <f>'19O_Seeds'!AM116</f>
        <v>836.79</v>
      </c>
      <c r="F397" s="116">
        <f>'19O_Seeds'!AN116</f>
        <v>55527.67</v>
      </c>
      <c r="G397" s="116">
        <f>'19O_Seeds'!AO116</f>
        <v>30229.82</v>
      </c>
      <c r="H397" s="116">
        <f>'19O_Seeds'!AP116</f>
        <v>5847.98</v>
      </c>
      <c r="I397" s="107"/>
      <c r="J397" s="115" t="s">
        <v>36</v>
      </c>
      <c r="K397" s="111">
        <f>SUM(D397:H397)</f>
        <v>92704.02</v>
      </c>
    </row>
    <row r="398" spans="2:11" x14ac:dyDescent="0.3">
      <c r="B398" s="115" t="s">
        <v>355</v>
      </c>
      <c r="C398" s="107" t="s">
        <v>390</v>
      </c>
      <c r="D398" s="108">
        <f>'19O_Seeds'!AL117</f>
        <v>127.67890659169008</v>
      </c>
      <c r="E398" s="108">
        <f>'19O_Seeds'!AM117</f>
        <v>969.04857944263961</v>
      </c>
      <c r="F398" s="108">
        <f>'19O_Seeds'!AN117</f>
        <v>55866.685670094863</v>
      </c>
      <c r="G398" s="108">
        <f>'19O_Seeds'!AO117</f>
        <v>30101.939540835225</v>
      </c>
      <c r="H398" s="108">
        <f>'19O_Seeds'!AP117</f>
        <v>5638.6673030355651</v>
      </c>
      <c r="I398" s="143">
        <f>$K$1-K398</f>
        <v>17540.980000000025</v>
      </c>
      <c r="J398" s="115" t="s">
        <v>36</v>
      </c>
      <c r="K398" s="111">
        <f>SUM(D398:H398)</f>
        <v>92704.019999999975</v>
      </c>
    </row>
    <row r="399" spans="2:11" x14ac:dyDescent="0.3">
      <c r="B399" s="115"/>
      <c r="C399" s="107" t="s">
        <v>455</v>
      </c>
      <c r="D399" s="146">
        <f t="shared" ref="D399" si="142">D398/$K$1</f>
        <v>1.1581378438177703E-3</v>
      </c>
      <c r="E399" s="146">
        <f t="shared" ref="E399:I399" si="143">E398/$K$1</f>
        <v>8.7899549135347591E-3</v>
      </c>
      <c r="F399" s="146">
        <f t="shared" si="143"/>
        <v>0.50675028953780088</v>
      </c>
      <c r="G399" s="146">
        <f t="shared" si="143"/>
        <v>0.2730458482546621</v>
      </c>
      <c r="H399" s="146">
        <f t="shared" si="143"/>
        <v>5.1146694208676721E-2</v>
      </c>
      <c r="I399" s="146">
        <f t="shared" si="143"/>
        <v>0.15910907524150777</v>
      </c>
      <c r="J399" s="144">
        <f>SUM(D399:I399)</f>
        <v>0.99999999999999989</v>
      </c>
      <c r="K399" s="117"/>
    </row>
    <row r="400" spans="2:11" x14ac:dyDescent="0.3">
      <c r="B400" s="107"/>
      <c r="C400" s="107" t="s">
        <v>354</v>
      </c>
      <c r="D400" s="108">
        <f>'19O_Seeds'!AL118</f>
        <v>73.415290877674465</v>
      </c>
      <c r="E400" s="108">
        <f>'19O_Seeds'!AM118</f>
        <v>92.20323675466787</v>
      </c>
      <c r="F400" s="108">
        <f>'19O_Seeds'!AN118</f>
        <v>124.69179348345213</v>
      </c>
      <c r="G400" s="108">
        <f>'19O_Seeds'!AO118</f>
        <v>195.29018884616406</v>
      </c>
      <c r="H400" s="108">
        <f>'19O_Seeds'!AP118</f>
        <v>100.18031839215065</v>
      </c>
      <c r="I400" s="107"/>
      <c r="J400" s="107"/>
      <c r="K400" s="107"/>
    </row>
    <row r="401" spans="2:11" x14ac:dyDescent="0.3">
      <c r="B401" s="107"/>
      <c r="C401" s="147" t="s">
        <v>458</v>
      </c>
      <c r="D401" s="108">
        <f>1.96*D400</f>
        <v>143.89397012024196</v>
      </c>
      <c r="E401" s="108">
        <f>1.96*E400</f>
        <v>180.71834403914903</v>
      </c>
      <c r="F401" s="108">
        <f>1.96*F400</f>
        <v>244.39591522756618</v>
      </c>
      <c r="G401" s="108">
        <f>1.96*G400</f>
        <v>382.76877013848156</v>
      </c>
      <c r="H401" s="108">
        <f>1.96*H400</f>
        <v>196.35342404861527</v>
      </c>
      <c r="I401" s="107"/>
      <c r="J401" s="107"/>
      <c r="K401" s="107"/>
    </row>
    <row r="402" spans="2:11" x14ac:dyDescent="0.3">
      <c r="B402" s="107"/>
      <c r="C402" s="147" t="s">
        <v>457</v>
      </c>
      <c r="D402" s="148">
        <f>D400/$K$1</f>
        <v>6.6592853079662994E-4</v>
      </c>
      <c r="E402" s="148">
        <f>E400/$K$1</f>
        <v>8.3634846709300078E-4</v>
      </c>
      <c r="F402" s="148">
        <f>F400/$K$1</f>
        <v>1.131042618562766E-3</v>
      </c>
      <c r="G402" s="148">
        <f>G400/$K$1</f>
        <v>1.7714199178753146E-3</v>
      </c>
      <c r="H402" s="148">
        <f>H400/$K$1</f>
        <v>9.0870623059685835E-4</v>
      </c>
      <c r="I402" s="107"/>
      <c r="J402" s="107"/>
      <c r="K402" s="107"/>
    </row>
    <row r="403" spans="2:11" x14ac:dyDescent="0.3">
      <c r="B403" s="107"/>
      <c r="C403" s="128" t="s">
        <v>459</v>
      </c>
      <c r="D403" s="149">
        <f>1.96*D402</f>
        <v>1.3052199203613946E-3</v>
      </c>
      <c r="E403" s="149">
        <f>1.96*E402</f>
        <v>1.6392429955022815E-3</v>
      </c>
      <c r="F403" s="149">
        <f>1.96*F402</f>
        <v>2.2168435323830214E-3</v>
      </c>
      <c r="G403" s="149">
        <f>1.96*G402</f>
        <v>3.4719830390356164E-3</v>
      </c>
      <c r="H403" s="149">
        <f>1.96*H402</f>
        <v>1.7810642119698422E-3</v>
      </c>
      <c r="I403" s="107"/>
      <c r="J403" s="107"/>
      <c r="K403" s="107"/>
    </row>
    <row r="404" spans="2:11" x14ac:dyDescent="0.3">
      <c r="B404" s="115" t="s">
        <v>376</v>
      </c>
      <c r="C404" s="122" t="s">
        <v>9</v>
      </c>
      <c r="D404" s="139">
        <f>'19O_Seeds'!AL119</f>
        <v>256.56150000000002</v>
      </c>
      <c r="E404" s="135">
        <f>'19O_Seeds'!AM119</f>
        <v>906.97299999999973</v>
      </c>
      <c r="F404" s="135">
        <f>'19O_Seeds'!AN119</f>
        <v>55432.108000000007</v>
      </c>
      <c r="G404" s="139">
        <f>'19O_Seeds'!AO119</f>
        <v>30145.356500000002</v>
      </c>
      <c r="H404" s="135">
        <f>'19O_Seeds'!AP119</f>
        <v>5963.0259999999998</v>
      </c>
      <c r="I404" s="107"/>
      <c r="J404" s="115" t="s">
        <v>36</v>
      </c>
      <c r="K404" s="136">
        <f>SUM(D404:H404)</f>
        <v>92704.025000000009</v>
      </c>
    </row>
    <row r="405" spans="2:11" x14ac:dyDescent="0.3">
      <c r="B405" s="107"/>
      <c r="C405" s="147" t="s">
        <v>368</v>
      </c>
      <c r="D405" s="108">
        <f>'19O_Seeds'!AL120</f>
        <v>6.0882630517120493</v>
      </c>
      <c r="E405" s="108">
        <f>'19O_Seeds'!AM120</f>
        <v>11.748723762717022</v>
      </c>
      <c r="F405" s="108">
        <f>'19O_Seeds'!AN120</f>
        <v>48.740124935589293</v>
      </c>
      <c r="G405" s="108">
        <f>'19O_Seeds'!AO120</f>
        <v>44.256526430840445</v>
      </c>
      <c r="H405" s="108">
        <f>'19O_Seeds'!AP120</f>
        <v>20.608986241315645</v>
      </c>
      <c r="I405" s="107"/>
      <c r="J405" s="107"/>
      <c r="K405" s="107"/>
    </row>
    <row r="406" spans="2:11" x14ac:dyDescent="0.3">
      <c r="B406" s="107"/>
      <c r="C406" s="147" t="s">
        <v>458</v>
      </c>
      <c r="D406" s="108">
        <f>1.96*D405</f>
        <v>11.932995581355616</v>
      </c>
      <c r="E406" s="108">
        <f>1.96*E405</f>
        <v>23.027498574925364</v>
      </c>
      <c r="F406" s="108">
        <f>1.96*F405</f>
        <v>95.530644873755008</v>
      </c>
      <c r="G406" s="108">
        <f>1.96*G405</f>
        <v>86.742791804447265</v>
      </c>
      <c r="H406" s="108">
        <f>1.96*H405</f>
        <v>40.393613032978664</v>
      </c>
      <c r="I406" s="107"/>
      <c r="J406" s="107"/>
      <c r="K406" s="107"/>
    </row>
    <row r="407" spans="2:11" x14ac:dyDescent="0.3">
      <c r="B407" s="107"/>
      <c r="C407" s="147" t="s">
        <v>457</v>
      </c>
      <c r="D407" s="148">
        <f>D405/$K$1</f>
        <v>5.5224845133221908E-5</v>
      </c>
      <c r="E407" s="148">
        <f>E405/$K$1</f>
        <v>1.0656922094169369E-4</v>
      </c>
      <c r="F407" s="148">
        <f>F405/$K$1</f>
        <v>4.4210735122308763E-4</v>
      </c>
      <c r="G407" s="148">
        <f>G405/$K$1</f>
        <v>4.0143794667187125E-4</v>
      </c>
      <c r="H407" s="148">
        <f>H405/$K$1</f>
        <v>1.8693805833657439E-4</v>
      </c>
      <c r="I407" s="107"/>
      <c r="J407" s="107"/>
      <c r="K407" s="107"/>
    </row>
    <row r="408" spans="2:11" x14ac:dyDescent="0.3">
      <c r="B408" s="140"/>
      <c r="C408" s="128" t="s">
        <v>459</v>
      </c>
      <c r="D408" s="149">
        <f>1.96*D407</f>
        <v>1.0824069646111494E-4</v>
      </c>
      <c r="E408" s="149">
        <f>1.96*E407</f>
        <v>2.0887567304571963E-4</v>
      </c>
      <c r="F408" s="149">
        <f>1.96*F407</f>
        <v>8.6653040839725168E-4</v>
      </c>
      <c r="G408" s="149">
        <f>1.96*G407</f>
        <v>7.8681837547686759E-4</v>
      </c>
      <c r="H408" s="149">
        <f>1.96*H407</f>
        <v>3.6639859433968579E-4</v>
      </c>
      <c r="I408" s="107"/>
      <c r="J408" s="107"/>
      <c r="K408" s="107"/>
    </row>
    <row r="409" spans="2:11" x14ac:dyDescent="0.3">
      <c r="B409" s="119" t="s">
        <v>707</v>
      </c>
      <c r="C409" s="107"/>
      <c r="D409" s="116"/>
      <c r="E409" s="116"/>
      <c r="F409" s="116"/>
      <c r="G409" s="116"/>
      <c r="H409" s="116"/>
      <c r="I409" s="107"/>
      <c r="J409" s="107"/>
      <c r="K409" s="107"/>
    </row>
    <row r="410" spans="2:11" x14ac:dyDescent="0.3">
      <c r="B410" s="115" t="s">
        <v>375</v>
      </c>
      <c r="C410" s="122" t="s">
        <v>9</v>
      </c>
      <c r="D410" s="135">
        <f>'19O_Seeds'!AL122</f>
        <v>3.69</v>
      </c>
      <c r="E410" s="135">
        <f>'19O_Seeds'!AM122</f>
        <v>175.78</v>
      </c>
      <c r="F410" s="135">
        <f>'19O_Seeds'!AN122</f>
        <v>5130.1899999999996</v>
      </c>
      <c r="G410" s="135">
        <f>'19O_Seeds'!AO122</f>
        <v>619.86</v>
      </c>
      <c r="H410" s="135">
        <f>'19O_Seeds'!AP122</f>
        <v>280.99</v>
      </c>
      <c r="I410" s="108">
        <f>$K$2-K410</f>
        <v>109.41000000000076</v>
      </c>
      <c r="J410" s="115" t="s">
        <v>36</v>
      </c>
      <c r="K410" s="136">
        <f t="shared" ref="K410" si="144">SUM(D410:H410)</f>
        <v>6210.5099999999993</v>
      </c>
    </row>
    <row r="411" spans="2:11" x14ac:dyDescent="0.3">
      <c r="B411" s="107"/>
      <c r="C411" s="107" t="s">
        <v>455</v>
      </c>
      <c r="D411" s="150">
        <f t="shared" ref="D411" si="145">D410/$K$2</f>
        <v>5.8386815022974973E-4</v>
      </c>
      <c r="E411" s="150">
        <f t="shared" ref="E411:I411" si="146">E410/$K$2</f>
        <v>2.7813643210673554E-2</v>
      </c>
      <c r="F411" s="150">
        <f t="shared" si="146"/>
        <v>0.81174919935695378</v>
      </c>
      <c r="G411" s="150">
        <f t="shared" si="146"/>
        <v>9.8080355447537307E-2</v>
      </c>
      <c r="H411" s="150">
        <f t="shared" si="146"/>
        <v>4.4461005835516904E-2</v>
      </c>
      <c r="I411" s="146">
        <f t="shared" si="146"/>
        <v>1.7311927999088716E-2</v>
      </c>
      <c r="J411" s="144">
        <f>SUM(D411:I411)</f>
        <v>1</v>
      </c>
      <c r="K411" s="107"/>
    </row>
    <row r="412" spans="2:11" x14ac:dyDescent="0.3">
      <c r="B412" s="115" t="s">
        <v>376</v>
      </c>
      <c r="C412" s="122" t="s">
        <v>9</v>
      </c>
      <c r="D412" s="139">
        <f>'19O_Seeds'!AL124</f>
        <v>3.6719999999999997</v>
      </c>
      <c r="E412" s="135">
        <f>'19O_Seeds'!AM124</f>
        <v>180.244</v>
      </c>
      <c r="F412" s="135">
        <f>'19O_Seeds'!AN124</f>
        <v>5119.3874999999998</v>
      </c>
      <c r="G412" s="135">
        <f>'19O_Seeds'!AO124</f>
        <v>620.84550000000002</v>
      </c>
      <c r="H412" s="135">
        <f>'19O_Seeds'!AP124</f>
        <v>286.35399999999998</v>
      </c>
      <c r="I412" s="108">
        <f>$K$2-K412</f>
        <v>109.41699999999946</v>
      </c>
      <c r="J412" s="115" t="s">
        <v>36</v>
      </c>
      <c r="K412" s="136">
        <f t="shared" ref="K412" si="147">SUM(D412:H412)</f>
        <v>6210.5030000000006</v>
      </c>
    </row>
    <row r="413" spans="2:11" x14ac:dyDescent="0.3">
      <c r="B413" s="115"/>
      <c r="C413" s="107" t="s">
        <v>455</v>
      </c>
      <c r="D413" s="150">
        <f t="shared" ref="D413" si="148">D412/$K$2</f>
        <v>5.8102001291155574E-4</v>
      </c>
      <c r="E413" s="150">
        <f t="shared" ref="E413:I413" si="149">E412/$K$2</f>
        <v>2.851998126558564E-2</v>
      </c>
      <c r="F413" s="150">
        <f t="shared" si="149"/>
        <v>0.81003992139141001</v>
      </c>
      <c r="G413" s="150">
        <f t="shared" si="149"/>
        <v>9.8236290965708434E-2</v>
      </c>
      <c r="H413" s="150">
        <f t="shared" si="149"/>
        <v>4.5309750756338682E-2</v>
      </c>
      <c r="I413" s="146">
        <f t="shared" si="149"/>
        <v>1.7313035608045587E-2</v>
      </c>
      <c r="J413" s="144">
        <f>SUM(D413:I413)</f>
        <v>0.99999999999999989</v>
      </c>
      <c r="K413" s="136"/>
    </row>
    <row r="414" spans="2:11" x14ac:dyDescent="0.3">
      <c r="B414" s="107"/>
      <c r="C414" s="147" t="s">
        <v>368</v>
      </c>
      <c r="D414" s="108">
        <f>'19O_Seeds'!AL125</f>
        <v>0.10459093248410577</v>
      </c>
      <c r="E414" s="108">
        <f>'19O_Seeds'!AM125</f>
        <v>3.4796403625420234</v>
      </c>
      <c r="F414" s="108">
        <f>'19O_Seeds'!AN125</f>
        <v>4.4723986190739433</v>
      </c>
      <c r="G414" s="108">
        <f>'19O_Seeds'!AO125</f>
        <v>1.8813237885511429</v>
      </c>
      <c r="H414" s="108">
        <f>'19O_Seeds'!AP125</f>
        <v>3.0593409507002622</v>
      </c>
      <c r="I414" s="107"/>
      <c r="J414" s="107"/>
      <c r="K414" s="107"/>
    </row>
    <row r="415" spans="2:11" x14ac:dyDescent="0.3">
      <c r="B415" s="107"/>
      <c r="C415" s="147" t="s">
        <v>458</v>
      </c>
      <c r="D415" s="108">
        <f>1.96*D414</f>
        <v>0.20499822766884729</v>
      </c>
      <c r="E415" s="108">
        <f>1.96*E414</f>
        <v>6.8200951105823657</v>
      </c>
      <c r="F415" s="108">
        <f>1.96*F414</f>
        <v>8.7659012933849283</v>
      </c>
      <c r="G415" s="108">
        <f>1.96*G414</f>
        <v>3.6873946255602399</v>
      </c>
      <c r="H415" s="108">
        <f>1.96*H414</f>
        <v>5.996308263372514</v>
      </c>
      <c r="I415" s="107"/>
      <c r="J415" s="107"/>
      <c r="K415" s="107"/>
    </row>
    <row r="416" spans="2:11" x14ac:dyDescent="0.3">
      <c r="B416" s="107"/>
      <c r="C416" s="147" t="s">
        <v>457</v>
      </c>
      <c r="D416" s="148">
        <f>D414/$K$2</f>
        <v>1.6549407664037798E-5</v>
      </c>
      <c r="E416" s="148">
        <f>E414/$K$2</f>
        <v>5.5058297613609403E-4</v>
      </c>
      <c r="F416" s="148">
        <f>F414/$K$2</f>
        <v>7.0766696715685376E-4</v>
      </c>
      <c r="G416" s="148">
        <f>G414/$K$2</f>
        <v>2.9768158276546902E-4</v>
      </c>
      <c r="H416" s="148">
        <f>H414/$K$2</f>
        <v>4.8407906282045695E-4</v>
      </c>
      <c r="I416" s="107"/>
      <c r="J416" s="107"/>
      <c r="K416" s="107"/>
    </row>
    <row r="417" spans="2:11" x14ac:dyDescent="0.3">
      <c r="B417" s="140"/>
      <c r="C417" s="128" t="s">
        <v>459</v>
      </c>
      <c r="D417" s="149">
        <f>1.96*D416</f>
        <v>3.2436839021514082E-5</v>
      </c>
      <c r="E417" s="149">
        <f>1.96*E416</f>
        <v>1.0791426332267442E-3</v>
      </c>
      <c r="F417" s="149">
        <f>1.96*F416</f>
        <v>1.3870272556274334E-3</v>
      </c>
      <c r="G417" s="149">
        <f>1.96*G416</f>
        <v>5.8345590222031926E-4</v>
      </c>
      <c r="H417" s="149">
        <f>1.96*H416</f>
        <v>9.487949631280956E-4</v>
      </c>
      <c r="I417" s="107"/>
      <c r="J417" s="107"/>
      <c r="K417" s="107"/>
    </row>
    <row r="418" spans="2:11" x14ac:dyDescent="0.3">
      <c r="B418" s="119" t="s">
        <v>671</v>
      </c>
      <c r="C418" s="107"/>
      <c r="D418" s="116"/>
      <c r="E418" s="116"/>
      <c r="F418" s="116"/>
      <c r="G418" s="116"/>
      <c r="H418" s="116"/>
      <c r="I418" s="107"/>
      <c r="J418" s="107"/>
      <c r="K418" s="107"/>
    </row>
    <row r="419" spans="2:11" x14ac:dyDescent="0.3">
      <c r="B419" s="115" t="s">
        <v>375</v>
      </c>
      <c r="C419" s="122" t="s">
        <v>9</v>
      </c>
      <c r="D419" s="135">
        <f>'19O_Seeds'!AL127</f>
        <v>173.52</v>
      </c>
      <c r="E419" s="135">
        <f>'19O_Seeds'!AM127</f>
        <v>125.48</v>
      </c>
      <c r="F419" s="135">
        <f>'19O_Seeds'!AN127</f>
        <v>4670.72</v>
      </c>
      <c r="G419" s="135">
        <f>'19O_Seeds'!AO127</f>
        <v>15142.55</v>
      </c>
      <c r="H419" s="135">
        <f>'19O_Seeds'!AP127</f>
        <v>4237.1000000000004</v>
      </c>
      <c r="I419" s="108">
        <f>$K$3-K419</f>
        <v>406.57999999999811</v>
      </c>
      <c r="J419" s="115" t="s">
        <v>36</v>
      </c>
      <c r="K419" s="136">
        <f t="shared" ref="K419" si="150">SUM(D419:H419)</f>
        <v>24349.370000000003</v>
      </c>
    </row>
    <row r="420" spans="2:11" x14ac:dyDescent="0.3">
      <c r="B420" s="107"/>
      <c r="C420" s="107" t="s">
        <v>456</v>
      </c>
      <c r="D420" s="145">
        <f t="shared" ref="D420" si="151">D419/$K$3</f>
        <v>7.0092240451285447E-3</v>
      </c>
      <c r="E420" s="145">
        <f t="shared" ref="E420:I420" si="152">E419/$K$3</f>
        <v>5.0686804586372166E-3</v>
      </c>
      <c r="F420" s="145">
        <f t="shared" si="152"/>
        <v>0.18867060242083217</v>
      </c>
      <c r="G420" s="145">
        <f t="shared" si="152"/>
        <v>0.61167315332273653</v>
      </c>
      <c r="H420" s="145">
        <f t="shared" si="152"/>
        <v>0.17115481328731075</v>
      </c>
      <c r="I420" s="145">
        <f t="shared" si="152"/>
        <v>1.6423526465354717E-2</v>
      </c>
      <c r="J420" s="144">
        <f>SUM(D420:I420)</f>
        <v>0.99999999999999989</v>
      </c>
      <c r="K420" s="107"/>
    </row>
    <row r="421" spans="2:11" x14ac:dyDescent="0.3">
      <c r="B421" s="115" t="s">
        <v>376</v>
      </c>
      <c r="C421" s="122" t="s">
        <v>9</v>
      </c>
      <c r="D421" s="135">
        <f>'19O_Seeds'!AL129</f>
        <v>170.53200000000001</v>
      </c>
      <c r="E421" s="135">
        <f>'19O_Seeds'!AM129</f>
        <v>173.97300000000001</v>
      </c>
      <c r="F421" s="135">
        <f>'19O_Seeds'!AN129</f>
        <v>4656.7459999999992</v>
      </c>
      <c r="G421" s="135">
        <f>'19O_Seeds'!AO129</f>
        <v>15058.437</v>
      </c>
      <c r="H421" s="135">
        <f>'19O_Seeds'!AP129</f>
        <v>4289.6805000000004</v>
      </c>
      <c r="I421" s="108">
        <f>$K$3-K421</f>
        <v>406.58150000000387</v>
      </c>
      <c r="J421" s="115" t="s">
        <v>36</v>
      </c>
      <c r="K421" s="136">
        <f t="shared" ref="K421" si="153">SUM(D421:H421)</f>
        <v>24349.368499999997</v>
      </c>
    </row>
    <row r="422" spans="2:11" x14ac:dyDescent="0.3">
      <c r="B422" s="115"/>
      <c r="C422" s="140" t="s">
        <v>455</v>
      </c>
      <c r="D422" s="150">
        <f t="shared" ref="D422" si="154">D421/$K$3</f>
        <v>6.8885257887497759E-3</v>
      </c>
      <c r="E422" s="150">
        <f t="shared" ref="E422:I422" si="155">E421/$K$3</f>
        <v>7.0275226763666923E-3</v>
      </c>
      <c r="F422" s="150">
        <f t="shared" si="155"/>
        <v>0.18810613206118121</v>
      </c>
      <c r="G422" s="150">
        <f t="shared" si="155"/>
        <v>0.60827546509021058</v>
      </c>
      <c r="H422" s="150">
        <f t="shared" si="155"/>
        <v>0.17327876732664269</v>
      </c>
      <c r="I422" s="145">
        <f t="shared" si="155"/>
        <v>1.6423587056849116E-2</v>
      </c>
      <c r="J422" s="144">
        <f>SUM(D422:I422)</f>
        <v>1.0000000000000002</v>
      </c>
      <c r="K422" s="136"/>
    </row>
    <row r="423" spans="2:11" x14ac:dyDescent="0.3">
      <c r="B423" s="107"/>
      <c r="C423" s="147" t="s">
        <v>368</v>
      </c>
      <c r="D423" s="108">
        <f>'19O_Seeds'!AL130</f>
        <v>3.6842475915428747</v>
      </c>
      <c r="E423" s="108">
        <f>'19O_Seeds'!AM130</f>
        <v>8.2396670889570327</v>
      </c>
      <c r="F423" s="108">
        <f>'19O_Seeds'!AN130</f>
        <v>16.471346226897026</v>
      </c>
      <c r="G423" s="108">
        <f>'19O_Seeds'!AO130</f>
        <v>18.92377713632408</v>
      </c>
      <c r="H423" s="108">
        <f>'19O_Seeds'!AP130</f>
        <v>10.251556351033793</v>
      </c>
      <c r="I423" s="107"/>
      <c r="J423" s="107"/>
      <c r="K423" s="107"/>
    </row>
    <row r="424" spans="2:11" x14ac:dyDescent="0.3">
      <c r="B424" s="107"/>
      <c r="C424" s="147" t="s">
        <v>458</v>
      </c>
      <c r="D424" s="108">
        <f>1.96*D423</f>
        <v>7.2211252794240339</v>
      </c>
      <c r="E424" s="108">
        <f>1.96*E423</f>
        <v>16.149747494355783</v>
      </c>
      <c r="F424" s="108">
        <f>1.96*F423</f>
        <v>32.28383860471817</v>
      </c>
      <c r="G424" s="108">
        <f>1.96*G423</f>
        <v>37.0906031871952</v>
      </c>
      <c r="H424" s="108">
        <f>1.96*H423</f>
        <v>20.093050448026233</v>
      </c>
      <c r="I424" s="107"/>
      <c r="J424" s="107"/>
      <c r="K424" s="107"/>
    </row>
    <row r="425" spans="2:11" x14ac:dyDescent="0.3">
      <c r="B425" s="107"/>
      <c r="C425" s="147" t="s">
        <v>457</v>
      </c>
      <c r="D425" s="148">
        <f>D423/$K$3</f>
        <v>1.488227109661667E-4</v>
      </c>
      <c r="E425" s="148">
        <f>E423/$K$3</f>
        <v>3.3283582690048382E-4</v>
      </c>
      <c r="F425" s="148">
        <f>F423/$K$3</f>
        <v>6.6534898587600254E-4</v>
      </c>
      <c r="G425" s="148">
        <f>G423/$K$3</f>
        <v>7.6441328797012759E-4</v>
      </c>
      <c r="H425" s="148">
        <f>H423/$K$3</f>
        <v>4.1410474455772422E-4</v>
      </c>
      <c r="I425" s="107"/>
      <c r="J425" s="107"/>
      <c r="K425" s="107"/>
    </row>
    <row r="426" spans="2:11" x14ac:dyDescent="0.3">
      <c r="B426" s="140"/>
      <c r="C426" s="128" t="s">
        <v>459</v>
      </c>
      <c r="D426" s="149">
        <f>1.96*D425</f>
        <v>2.9169251349368672E-4</v>
      </c>
      <c r="E426" s="149">
        <f>1.96*E425</f>
        <v>6.5235822072494832E-4</v>
      </c>
      <c r="F426" s="149">
        <f>1.96*F425</f>
        <v>1.304084012316965E-3</v>
      </c>
      <c r="G426" s="149">
        <f>1.96*G425</f>
        <v>1.49825004442145E-3</v>
      </c>
      <c r="H426" s="149">
        <f>1.96*H425</f>
        <v>8.1164529933313949E-4</v>
      </c>
      <c r="I426" s="107"/>
      <c r="J426" s="107"/>
      <c r="K426" s="107"/>
    </row>
    <row r="427" spans="2:11" x14ac:dyDescent="0.3">
      <c r="B427" s="119" t="s">
        <v>708</v>
      </c>
      <c r="C427" s="107"/>
      <c r="D427" s="116"/>
      <c r="E427" s="116"/>
      <c r="F427" s="116"/>
      <c r="G427" s="116"/>
      <c r="H427" s="116"/>
      <c r="I427" s="107"/>
      <c r="J427" s="107"/>
      <c r="K427" s="107"/>
    </row>
    <row r="428" spans="2:11" x14ac:dyDescent="0.3">
      <c r="B428" s="115" t="s">
        <v>375</v>
      </c>
      <c r="C428" s="122" t="s">
        <v>9</v>
      </c>
      <c r="D428" s="135">
        <f>'19O_Seeds'!AL132</f>
        <v>2.06</v>
      </c>
      <c r="E428" s="135">
        <f>'19O_Seeds'!AM132</f>
        <v>14.72</v>
      </c>
      <c r="F428" s="135">
        <f>'19O_Seeds'!AN132</f>
        <v>1226.03</v>
      </c>
      <c r="G428" s="135">
        <f>'19O_Seeds'!AO132</f>
        <v>170.21</v>
      </c>
      <c r="H428" s="135">
        <f>'19O_Seeds'!AP132</f>
        <v>48.83</v>
      </c>
      <c r="I428" s="108">
        <f>$K$4-K428</f>
        <v>6.9100000000000819</v>
      </c>
      <c r="J428" s="115" t="s">
        <v>36</v>
      </c>
      <c r="K428" s="136">
        <f t="shared" ref="K428" si="156">SUM(D428:H428)</f>
        <v>1461.85</v>
      </c>
    </row>
    <row r="429" spans="2:11" x14ac:dyDescent="0.3">
      <c r="B429" s="107"/>
      <c r="C429" s="140" t="s">
        <v>455</v>
      </c>
      <c r="D429" s="150">
        <f t="shared" ref="D429" si="157">D428/$K$4</f>
        <v>1.4025436422560528E-3</v>
      </c>
      <c r="E429" s="150">
        <f t="shared" ref="E429:I429" si="158">E428/$K$4</f>
        <v>1.0022059424276262E-2</v>
      </c>
      <c r="F429" s="150">
        <f t="shared" si="158"/>
        <v>0.83473814646368361</v>
      </c>
      <c r="G429" s="150">
        <f t="shared" si="158"/>
        <v>0.11588687055747707</v>
      </c>
      <c r="H429" s="150">
        <f t="shared" si="158"/>
        <v>3.3245731092894686E-2</v>
      </c>
      <c r="I429" s="146">
        <f t="shared" si="158"/>
        <v>4.7046488194123492E-3</v>
      </c>
      <c r="J429" s="144">
        <f>SUM(D429:I429)</f>
        <v>1</v>
      </c>
      <c r="K429" s="107"/>
    </row>
    <row r="430" spans="2:11" x14ac:dyDescent="0.3">
      <c r="B430" s="115" t="s">
        <v>376</v>
      </c>
      <c r="C430" s="122" t="s">
        <v>9</v>
      </c>
      <c r="D430" s="139">
        <f>'19O_Seeds'!AL134</f>
        <v>2.0759999999999996</v>
      </c>
      <c r="E430" s="135">
        <f>'19O_Seeds'!AM134</f>
        <v>16.794500000000003</v>
      </c>
      <c r="F430" s="135">
        <f>'19O_Seeds'!AN134</f>
        <v>1221.3709999999999</v>
      </c>
      <c r="G430" s="135">
        <f>'19O_Seeds'!AO134</f>
        <v>171.69200000000001</v>
      </c>
      <c r="H430" s="135">
        <f>'19O_Seeds'!AP134</f>
        <v>49.922000000000011</v>
      </c>
      <c r="I430" s="108">
        <f>$K$4-K430</f>
        <v>6.9045000000000982</v>
      </c>
      <c r="J430" s="115" t="s">
        <v>36</v>
      </c>
      <c r="K430" s="136">
        <f t="shared" ref="K430" si="159">SUM(D430:H430)</f>
        <v>1461.8554999999999</v>
      </c>
    </row>
    <row r="431" spans="2:11" x14ac:dyDescent="0.3">
      <c r="B431" s="115"/>
      <c r="C431" s="140" t="s">
        <v>455</v>
      </c>
      <c r="D431" s="150">
        <f t="shared" ref="D431" si="160">D430/$K$4</f>
        <v>1.4134371851085266E-3</v>
      </c>
      <c r="E431" s="150">
        <f t="shared" ref="E431:I431" si="161">E430/$K$4</f>
        <v>1.1434475339742369E-2</v>
      </c>
      <c r="F431" s="150">
        <f t="shared" si="161"/>
        <v>0.83156608295432877</v>
      </c>
      <c r="G431" s="150">
        <f t="shared" si="161"/>
        <v>0.11689588496418749</v>
      </c>
      <c r="H431" s="150">
        <f t="shared" si="161"/>
        <v>3.3989215392576058E-2</v>
      </c>
      <c r="I431" s="146">
        <f t="shared" si="161"/>
        <v>4.7009041640568225E-3</v>
      </c>
      <c r="J431" s="144">
        <f>SUM(D431:I431)</f>
        <v>0.99999999999999989</v>
      </c>
      <c r="K431" s="136"/>
    </row>
    <row r="432" spans="2:11" x14ac:dyDescent="0.3">
      <c r="B432" s="107"/>
      <c r="C432" s="147" t="s">
        <v>368</v>
      </c>
      <c r="D432" s="108">
        <f>'19O_Seeds'!AL135</f>
        <v>6.435673603970464E-2</v>
      </c>
      <c r="E432" s="108">
        <f>'19O_Seeds'!AM135</f>
        <v>0.5388674649084304</v>
      </c>
      <c r="F432" s="108">
        <f>'19O_Seeds'!AN135</f>
        <v>1.1363012248889859</v>
      </c>
      <c r="G432" s="108">
        <f>'19O_Seeds'!AO135</f>
        <v>0.65325122111997402</v>
      </c>
      <c r="H432" s="108">
        <f>'19O_Seeds'!AP135</f>
        <v>0.69754215115043694</v>
      </c>
      <c r="I432" s="107"/>
      <c r="J432" s="107"/>
      <c r="K432" s="107"/>
    </row>
    <row r="433" spans="2:11" x14ac:dyDescent="0.3">
      <c r="B433" s="107"/>
      <c r="C433" s="147" t="s">
        <v>458</v>
      </c>
      <c r="D433" s="108">
        <f>1.96*D432</f>
        <v>0.12613920263782108</v>
      </c>
      <c r="E433" s="108">
        <f>1.96*E432</f>
        <v>1.0561802312205235</v>
      </c>
      <c r="F433" s="108">
        <f>1.96*F432</f>
        <v>2.2271504007824121</v>
      </c>
      <c r="G433" s="108">
        <f>1.96*G432</f>
        <v>1.280372393395149</v>
      </c>
      <c r="H433" s="108">
        <f>1.96*H432</f>
        <v>1.3671826162548564</v>
      </c>
      <c r="I433" s="107"/>
      <c r="J433" s="107"/>
      <c r="K433" s="107"/>
    </row>
    <row r="434" spans="2:11" x14ac:dyDescent="0.3">
      <c r="B434" s="107"/>
      <c r="C434" s="147" t="s">
        <v>457</v>
      </c>
      <c r="D434" s="148">
        <f>D432/$K$4</f>
        <v>4.3817053868368314E-5</v>
      </c>
      <c r="E434" s="148">
        <f>E432/$K$4</f>
        <v>3.6688598879900758E-4</v>
      </c>
      <c r="F434" s="148">
        <f>F432/$K$4</f>
        <v>7.7364663041544284E-4</v>
      </c>
      <c r="G434" s="148">
        <f>G432/$K$4</f>
        <v>4.4476376066884587E-4</v>
      </c>
      <c r="H434" s="148">
        <f>H432/$K$4</f>
        <v>4.7491908218526984E-4</v>
      </c>
      <c r="I434" s="107"/>
      <c r="J434" s="107"/>
      <c r="K434" s="107"/>
    </row>
    <row r="435" spans="2:11" x14ac:dyDescent="0.3">
      <c r="B435" s="107"/>
      <c r="C435" s="128" t="s">
        <v>459</v>
      </c>
      <c r="D435" s="149">
        <f>1.96*D434</f>
        <v>8.588142558200189E-5</v>
      </c>
      <c r="E435" s="149">
        <f>1.96*E434</f>
        <v>7.1909653804605488E-4</v>
      </c>
      <c r="F435" s="149">
        <f>1.96*F434</f>
        <v>1.516347395614268E-3</v>
      </c>
      <c r="G435" s="149">
        <f>1.96*G434</f>
        <v>8.7173697091093793E-4</v>
      </c>
      <c r="H435" s="149">
        <f>1.96*H434</f>
        <v>9.3084140108312891E-4</v>
      </c>
      <c r="I435" s="107"/>
      <c r="J435" s="107"/>
      <c r="K435" s="107"/>
    </row>
    <row r="436" spans="2:11" x14ac:dyDescent="0.3">
      <c r="D436" t="s">
        <v>436</v>
      </c>
      <c r="E436" t="s">
        <v>437</v>
      </c>
      <c r="F436" t="s">
        <v>438</v>
      </c>
      <c r="G436" t="s">
        <v>439</v>
      </c>
      <c r="H436" t="s">
        <v>440</v>
      </c>
    </row>
    <row r="437" spans="2:11" x14ac:dyDescent="0.3">
      <c r="B437" s="118" t="s">
        <v>352</v>
      </c>
      <c r="C437" s="8">
        <v>20</v>
      </c>
      <c r="D437" s="90" t="s">
        <v>447</v>
      </c>
      <c r="E437" s="91" t="s">
        <v>446</v>
      </c>
      <c r="F437" s="92" t="s">
        <v>448</v>
      </c>
      <c r="G437" s="124" t="s">
        <v>449</v>
      </c>
      <c r="H437" s="123" t="s">
        <v>450</v>
      </c>
      <c r="I437" s="211" t="s">
        <v>451</v>
      </c>
    </row>
    <row r="438" spans="2:11" x14ac:dyDescent="0.3">
      <c r="B438" s="106" t="s">
        <v>672</v>
      </c>
      <c r="C438" s="107" t="s">
        <v>28</v>
      </c>
      <c r="D438" s="108">
        <f>'19M_Seeds'!AL109</f>
        <v>9.5229187027366338E-2</v>
      </c>
      <c r="E438" s="108">
        <f>'19M_Seeds'!AM109</f>
        <v>0.79284503217918489</v>
      </c>
      <c r="F438" s="108">
        <f>'19M_Seeds'!AN109</f>
        <v>61.897258569680645</v>
      </c>
      <c r="G438" s="108">
        <f>'19M_Seeds'!AO109</f>
        <v>30.98716170059992</v>
      </c>
      <c r="H438" s="108">
        <f>'19M_Seeds'!AP109</f>
        <v>6.2275055105128994</v>
      </c>
      <c r="I438" s="111"/>
      <c r="J438" s="228" t="s">
        <v>72</v>
      </c>
      <c r="K438" s="229">
        <f>'19M_Seeds'!AS109</f>
        <v>0.94344334897525939</v>
      </c>
    </row>
    <row r="439" spans="2:11" x14ac:dyDescent="0.3">
      <c r="B439" s="107"/>
      <c r="C439" s="109" t="s">
        <v>39</v>
      </c>
      <c r="D439" s="110">
        <f>'19M_Seeds'!AL110</f>
        <v>4.6724522628917194E-3</v>
      </c>
      <c r="E439" s="110">
        <f>'19M_Seeds'!AM110</f>
        <v>3.3350259980170403E-2</v>
      </c>
      <c r="F439" s="110">
        <f>'19M_Seeds'!AN110</f>
        <v>0.51493077365657691</v>
      </c>
      <c r="G439" s="110">
        <f>'19M_Seeds'!AO110</f>
        <v>0.5196782369995413</v>
      </c>
      <c r="H439" s="110">
        <f>'19M_Seeds'!AP110</f>
        <v>0.22235970899434596</v>
      </c>
      <c r="I439" s="111"/>
      <c r="J439" s="228" t="s">
        <v>29</v>
      </c>
      <c r="K439" s="230">
        <f>'19M_Seeds'!AS110</f>
        <v>5.3876288838577389E-3</v>
      </c>
    </row>
    <row r="440" spans="2:11" x14ac:dyDescent="0.3">
      <c r="B440" s="107"/>
      <c r="C440" s="107" t="s">
        <v>30</v>
      </c>
      <c r="D440" s="108">
        <f>'19M_Seeds'!AL111</f>
        <v>100</v>
      </c>
      <c r="E440" s="108">
        <f>'19M_Seeds'!AM111</f>
        <v>88.155748523560035</v>
      </c>
      <c r="F440" s="108">
        <f>'19M_Seeds'!AN111</f>
        <v>94.78796383219894</v>
      </c>
      <c r="G440" s="108">
        <f>'19M_Seeds'!AO111</f>
        <v>94.967308963684715</v>
      </c>
      <c r="H440" s="108">
        <f>'19M_Seeds'!AP111</f>
        <v>87.536535633885691</v>
      </c>
      <c r="I440" s="111"/>
      <c r="J440" s="111"/>
      <c r="K440" s="111"/>
    </row>
    <row r="441" spans="2:11" x14ac:dyDescent="0.3">
      <c r="B441" s="107"/>
      <c r="C441" s="109" t="s">
        <v>39</v>
      </c>
      <c r="D441" s="110">
        <f>'19M_Seeds'!AL112</f>
        <v>0</v>
      </c>
      <c r="E441" s="110">
        <f>'19M_Seeds'!AM112</f>
        <v>4.9991847269285401</v>
      </c>
      <c r="F441" s="110">
        <f>'19M_Seeds'!AN112</f>
        <v>0.66097185068799191</v>
      </c>
      <c r="G441" s="110">
        <f>'19M_Seeds'!AO112</f>
        <v>1.1697443872659721</v>
      </c>
      <c r="H441" s="110">
        <f>'19M_Seeds'!AP112</f>
        <v>3.1915079009809917</v>
      </c>
      <c r="I441" s="111"/>
      <c r="J441" s="111"/>
      <c r="K441" s="111"/>
    </row>
    <row r="442" spans="2:11" x14ac:dyDescent="0.3">
      <c r="B442" s="107"/>
      <c r="C442" s="111" t="s">
        <v>31</v>
      </c>
      <c r="D442" s="112">
        <f>'19M_Seeds'!AL113</f>
        <v>48</v>
      </c>
      <c r="E442" s="112">
        <f>'19M_Seeds'!AM113</f>
        <v>87.5</v>
      </c>
      <c r="F442" s="112">
        <f>'19M_Seeds'!AN113</f>
        <v>97.593582887700549</v>
      </c>
      <c r="G442" s="112">
        <f>'19M_Seeds'!AO113</f>
        <v>88.996763754045304</v>
      </c>
      <c r="H442" s="112">
        <f>'19M_Seeds'!AP113</f>
        <v>93.682132280355361</v>
      </c>
      <c r="I442" s="111"/>
      <c r="J442" s="111"/>
      <c r="K442" s="111"/>
    </row>
    <row r="443" spans="2:11" x14ac:dyDescent="0.3">
      <c r="B443" s="107"/>
      <c r="C443" s="113" t="s">
        <v>39</v>
      </c>
      <c r="D443" s="114">
        <f>'19M_Seeds'!AL114</f>
        <v>2.3577574185109524</v>
      </c>
      <c r="E443" s="114">
        <f>'19M_Seeds'!AM114</f>
        <v>4.166666666666667</v>
      </c>
      <c r="F443" s="114">
        <f>'19M_Seeds'!AN114</f>
        <v>0.560706749365393</v>
      </c>
      <c r="G443" s="114">
        <f>'19M_Seeds'!AO114</f>
        <v>1.2598091084793046</v>
      </c>
      <c r="H443" s="114">
        <f>'19M_Seeds'!AP114</f>
        <v>0.76475687800248704</v>
      </c>
      <c r="I443" s="107"/>
      <c r="J443" s="107"/>
      <c r="K443" s="107"/>
    </row>
    <row r="444" spans="2:11" x14ac:dyDescent="0.3">
      <c r="B444" s="107"/>
      <c r="C444" s="109" t="s">
        <v>51</v>
      </c>
      <c r="D444" s="110">
        <f>'19M_Seeds'!AL115</f>
        <v>64.86486486486487</v>
      </c>
      <c r="E444" s="110">
        <f>'19M_Seeds'!AM115</f>
        <v>33.633633633633636</v>
      </c>
      <c r="F444" s="110">
        <f>'19M_Seeds'!AN115</f>
        <v>94.315245478036175</v>
      </c>
      <c r="G444" s="110">
        <f>'19M_Seeds'!AO115</f>
        <v>87.025316455696199</v>
      </c>
      <c r="H444" s="110">
        <f>'19M_Seeds'!AP115</f>
        <v>96.101265822784825</v>
      </c>
      <c r="I444" s="144"/>
      <c r="J444" s="107"/>
      <c r="K444" s="107"/>
    </row>
    <row r="445" spans="2:11" x14ac:dyDescent="0.3">
      <c r="B445" s="115" t="s">
        <v>375</v>
      </c>
      <c r="C445" s="107" t="s">
        <v>9</v>
      </c>
      <c r="D445" s="116">
        <f>'19M_Seeds'!AL116</f>
        <v>191.53</v>
      </c>
      <c r="E445" s="116">
        <f>'19M_Seeds'!AM116</f>
        <v>771.15</v>
      </c>
      <c r="F445" s="116">
        <f>'19M_Seeds'!AN116</f>
        <v>58037.85</v>
      </c>
      <c r="G445" s="116">
        <f>'19M_Seeds'!AO116</f>
        <v>31921.97</v>
      </c>
      <c r="H445" s="116">
        <f>'19M_Seeds'!AP116</f>
        <v>5617.65</v>
      </c>
      <c r="I445" s="107"/>
      <c r="J445" s="115" t="s">
        <v>36</v>
      </c>
      <c r="K445" s="111">
        <f>SUM(D445:H445)</f>
        <v>96540.15</v>
      </c>
    </row>
    <row r="446" spans="2:11" x14ac:dyDescent="0.3">
      <c r="B446" s="115" t="s">
        <v>355</v>
      </c>
      <c r="C446" s="107" t="s">
        <v>390</v>
      </c>
      <c r="D446" s="108">
        <f>'19M_Seeds'!AL117</f>
        <v>91.934400000000011</v>
      </c>
      <c r="E446" s="108">
        <f>'19M_Seeds'!AM117</f>
        <v>765.4137833333333</v>
      </c>
      <c r="F446" s="108">
        <f>'19M_Seeds'!AN117</f>
        <v>59755.70626905754</v>
      </c>
      <c r="G446" s="108">
        <f>'19M_Seeds'!AO117</f>
        <v>29915.052386501709</v>
      </c>
      <c r="H446" s="108">
        <f>'19M_Seeds'!AP117</f>
        <v>6012.0431611074182</v>
      </c>
      <c r="I446" s="143">
        <f>$K$1-K446</f>
        <v>13704.849999999991</v>
      </c>
      <c r="J446" s="115" t="s">
        <v>36</v>
      </c>
      <c r="K446" s="111">
        <f>SUM(D446:H446)</f>
        <v>96540.150000000009</v>
      </c>
    </row>
    <row r="447" spans="2:11" x14ac:dyDescent="0.3">
      <c r="B447" s="115"/>
      <c r="C447" s="107" t="s">
        <v>455</v>
      </c>
      <c r="D447" s="146">
        <f t="shared" ref="D447" si="162">D446/$K$1</f>
        <v>8.3390992788788618E-4</v>
      </c>
      <c r="E447" s="146">
        <f t="shared" ref="E447:I447" si="163">E446/$K$1</f>
        <v>6.942843515200991E-3</v>
      </c>
      <c r="F447" s="146">
        <f t="shared" si="163"/>
        <v>0.54202645261968829</v>
      </c>
      <c r="G447" s="146">
        <f t="shared" si="163"/>
        <v>0.27135064979365692</v>
      </c>
      <c r="H447" s="146">
        <f t="shared" si="163"/>
        <v>5.4533476902421135E-2</v>
      </c>
      <c r="I447" s="146">
        <f t="shared" si="163"/>
        <v>0.12431266724114465</v>
      </c>
      <c r="J447" s="144">
        <f>SUM(D447:I447)</f>
        <v>1</v>
      </c>
      <c r="K447" s="117"/>
    </row>
    <row r="448" spans="2:11" x14ac:dyDescent="0.3">
      <c r="B448" s="107"/>
      <c r="C448" s="107" t="s">
        <v>354</v>
      </c>
      <c r="D448" s="108">
        <f>'19M_Seeds'!AL118</f>
        <v>4.5107924232740597</v>
      </c>
      <c r="E448" s="108">
        <f>'19M_Seeds'!AM118</f>
        <v>32.196391010246472</v>
      </c>
      <c r="F448" s="108">
        <f>'19M_Seeds'!AN118</f>
        <v>497.11494128421981</v>
      </c>
      <c r="G448" s="108">
        <f>'19M_Seeds'!AO118</f>
        <v>501.69814951671265</v>
      </c>
      <c r="H448" s="108">
        <f>'19M_Seeds'!AP118</f>
        <v>214.66639660270505</v>
      </c>
      <c r="I448" s="107"/>
      <c r="J448" s="107"/>
      <c r="K448" s="107"/>
    </row>
    <row r="449" spans="2:11" x14ac:dyDescent="0.3">
      <c r="B449" s="107"/>
      <c r="C449" s="147" t="s">
        <v>458</v>
      </c>
      <c r="D449" s="108">
        <f>1.96*D448</f>
        <v>8.8411531496171563</v>
      </c>
      <c r="E449" s="108">
        <f>1.96*E448</f>
        <v>63.104926380083086</v>
      </c>
      <c r="F449" s="108">
        <f>1.96*F448</f>
        <v>974.34528491707079</v>
      </c>
      <c r="G449" s="108">
        <f>1.96*G448</f>
        <v>983.32837305275677</v>
      </c>
      <c r="H449" s="108">
        <f>1.96*H448</f>
        <v>420.7461373413019</v>
      </c>
      <c r="I449" s="107"/>
      <c r="J449" s="107"/>
      <c r="K449" s="107"/>
    </row>
    <row r="450" spans="2:11" x14ac:dyDescent="0.3">
      <c r="B450" s="107"/>
      <c r="C450" s="147" t="s">
        <v>457</v>
      </c>
      <c r="D450" s="148">
        <f>D448/$K$1</f>
        <v>4.0916072595347268E-5</v>
      </c>
      <c r="E450" s="148">
        <f>E448/$K$1</f>
        <v>2.9204400208849809E-4</v>
      </c>
      <c r="F450" s="148">
        <f>F448/$K$1</f>
        <v>4.5091835573878164E-3</v>
      </c>
      <c r="G450" s="148">
        <f>G448/$K$1</f>
        <v>4.5507564925095258E-3</v>
      </c>
      <c r="H450" s="148">
        <f>H448/$K$1</f>
        <v>1.9471758048229403E-3</v>
      </c>
      <c r="I450" s="107"/>
      <c r="J450" s="107"/>
      <c r="K450" s="107"/>
    </row>
    <row r="451" spans="2:11" x14ac:dyDescent="0.3">
      <c r="B451" s="107"/>
      <c r="C451" s="128" t="s">
        <v>459</v>
      </c>
      <c r="D451" s="149">
        <f>1.96*D450</f>
        <v>8.0195502286880641E-5</v>
      </c>
      <c r="E451" s="149">
        <f>1.96*E450</f>
        <v>5.7240624409345619E-4</v>
      </c>
      <c r="F451" s="149">
        <f>1.96*F450</f>
        <v>8.8379997724801207E-3</v>
      </c>
      <c r="G451" s="149">
        <f>1.96*G450</f>
        <v>8.9194827253186709E-3</v>
      </c>
      <c r="H451" s="149">
        <f>1.96*H450</f>
        <v>3.8164645774529629E-3</v>
      </c>
      <c r="I451" s="107"/>
      <c r="J451" s="107"/>
      <c r="K451" s="107"/>
    </row>
    <row r="452" spans="2:11" x14ac:dyDescent="0.3">
      <c r="B452" s="115" t="s">
        <v>376</v>
      </c>
      <c r="C452" s="122" t="s">
        <v>9</v>
      </c>
      <c r="D452" s="135">
        <f>'19M_Seeds'!AL119</f>
        <v>191.45150000000001</v>
      </c>
      <c r="E452" s="135">
        <f>'19M_Seeds'!AM119</f>
        <v>774.88200000000006</v>
      </c>
      <c r="F452" s="135">
        <f>'19M_Seeds'!AN119</f>
        <v>57887.061999999991</v>
      </c>
      <c r="G452" s="135">
        <f>'19M_Seeds'!AO119</f>
        <v>31938.059500000003</v>
      </c>
      <c r="H452" s="135">
        <f>'19M_Seeds'!AP119</f>
        <v>5748.6969999999992</v>
      </c>
      <c r="I452" s="107"/>
      <c r="J452" s="115" t="s">
        <v>36</v>
      </c>
      <c r="K452" s="136">
        <f>SUM(D452:H452)</f>
        <v>96540.151999999987</v>
      </c>
    </row>
    <row r="453" spans="2:11" x14ac:dyDescent="0.3">
      <c r="B453" s="107"/>
      <c r="C453" s="147" t="s">
        <v>368</v>
      </c>
      <c r="D453" s="108">
        <f>'19M_Seeds'!AL120</f>
        <v>3.4096215467563642</v>
      </c>
      <c r="E453" s="108">
        <f>'19M_Seeds'!AM120</f>
        <v>8.9804053536457644</v>
      </c>
      <c r="F453" s="108">
        <f>'19M_Seeds'!AN120</f>
        <v>32.17719777469101</v>
      </c>
      <c r="G453" s="108">
        <f>'19M_Seeds'!AO120</f>
        <v>36.173800525525714</v>
      </c>
      <c r="H453" s="108">
        <f>'19M_Seeds'!AP120</f>
        <v>28.788774823568069</v>
      </c>
      <c r="I453" s="107"/>
      <c r="J453" s="107"/>
      <c r="K453" s="107"/>
    </row>
    <row r="454" spans="2:11" x14ac:dyDescent="0.3">
      <c r="B454" s="107"/>
      <c r="C454" s="147" t="s">
        <v>458</v>
      </c>
      <c r="D454" s="108">
        <f>1.96*D453</f>
        <v>6.6828582316424736</v>
      </c>
      <c r="E454" s="108">
        <f>1.96*E453</f>
        <v>17.601594493145697</v>
      </c>
      <c r="F454" s="108">
        <f>1.96*F453</f>
        <v>63.067307638394375</v>
      </c>
      <c r="G454" s="108">
        <f>1.96*G453</f>
        <v>70.900649030030394</v>
      </c>
      <c r="H454" s="108">
        <f>1.96*H453</f>
        <v>56.425998654193414</v>
      </c>
      <c r="I454" s="107"/>
      <c r="J454" s="107"/>
      <c r="K454" s="107"/>
    </row>
    <row r="455" spans="2:11" x14ac:dyDescent="0.3">
      <c r="B455" s="107"/>
      <c r="C455" s="147" t="s">
        <v>457</v>
      </c>
      <c r="D455" s="148">
        <f>D453/$K$1</f>
        <v>3.0927675148590542E-5</v>
      </c>
      <c r="E455" s="148">
        <f>E453/$K$1</f>
        <v>8.1458618110987028E-5</v>
      </c>
      <c r="F455" s="148">
        <f>F453/$K$1</f>
        <v>2.9186990588862089E-4</v>
      </c>
      <c r="G455" s="148">
        <f>G453/$K$1</f>
        <v>3.2812191505760544E-4</v>
      </c>
      <c r="H455" s="148">
        <f>H453/$K$1</f>
        <v>2.6113451697190864E-4</v>
      </c>
      <c r="I455" s="107"/>
      <c r="J455" s="107"/>
      <c r="K455" s="107"/>
    </row>
    <row r="456" spans="2:11" x14ac:dyDescent="0.3">
      <c r="B456" s="140"/>
      <c r="C456" s="128" t="s">
        <v>459</v>
      </c>
      <c r="D456" s="149">
        <f>1.96*D455</f>
        <v>6.0618243291237459E-5</v>
      </c>
      <c r="E456" s="149">
        <f>1.96*E455</f>
        <v>1.5965889149753456E-4</v>
      </c>
      <c r="F456" s="149">
        <f>1.96*F455</f>
        <v>5.7206501554169691E-4</v>
      </c>
      <c r="G456" s="149">
        <f>1.96*G455</f>
        <v>6.4311895351290668E-4</v>
      </c>
      <c r="H456" s="149">
        <f>1.96*H455</f>
        <v>5.1182365326494096E-4</v>
      </c>
      <c r="I456" s="107"/>
      <c r="J456" s="107"/>
      <c r="K456" s="107"/>
    </row>
    <row r="457" spans="2:11" x14ac:dyDescent="0.3">
      <c r="B457" s="119" t="s">
        <v>709</v>
      </c>
      <c r="C457" s="107"/>
      <c r="D457" s="116"/>
      <c r="E457" s="116"/>
      <c r="F457" s="116"/>
      <c r="G457" s="116"/>
      <c r="H457" s="116"/>
      <c r="I457" s="107"/>
      <c r="J457" s="107"/>
      <c r="K457" s="107"/>
    </row>
    <row r="458" spans="2:11" x14ac:dyDescent="0.3">
      <c r="B458" s="115" t="s">
        <v>375</v>
      </c>
      <c r="C458" s="122" t="s">
        <v>9</v>
      </c>
      <c r="D458" s="135">
        <f>'19M_Seeds'!AL122</f>
        <v>1.59</v>
      </c>
      <c r="E458" s="135">
        <f>'19M_Seeds'!AM122</f>
        <v>158.12</v>
      </c>
      <c r="F458" s="135">
        <f>'19M_Seeds'!AN122</f>
        <v>5132.1000000000004</v>
      </c>
      <c r="G458" s="135">
        <f>'19M_Seeds'!AO122</f>
        <v>771.17</v>
      </c>
      <c r="H458" s="135">
        <f>'19M_Seeds'!AP122</f>
        <v>161.30000000000001</v>
      </c>
      <c r="I458" s="108">
        <f>$K$2-K458</f>
        <v>95.639999999999418</v>
      </c>
      <c r="J458" s="115" t="s">
        <v>36</v>
      </c>
      <c r="K458" s="136">
        <f t="shared" ref="K458" si="164">SUM(D458:H458)</f>
        <v>6224.2800000000007</v>
      </c>
    </row>
    <row r="459" spans="2:11" x14ac:dyDescent="0.3">
      <c r="B459" s="107"/>
      <c r="C459" s="107" t="s">
        <v>455</v>
      </c>
      <c r="D459" s="150">
        <f t="shared" ref="D459" si="165">D458/$K$2</f>
        <v>2.5158546310712797E-4</v>
      </c>
      <c r="E459" s="150">
        <f t="shared" ref="E459:I459" si="166">E458/$K$2</f>
        <v>2.5019304041823315E-2</v>
      </c>
      <c r="F459" s="150">
        <f t="shared" si="166"/>
        <v>0.81205141837238448</v>
      </c>
      <c r="G459" s="150">
        <f t="shared" si="166"/>
        <v>0.12202211420397725</v>
      </c>
      <c r="H459" s="150">
        <f t="shared" si="166"/>
        <v>2.552247496803757E-2</v>
      </c>
      <c r="I459" s="146">
        <f t="shared" si="166"/>
        <v>1.513310295067017E-2</v>
      </c>
      <c r="J459" s="144">
        <f>SUM(D459:I459)</f>
        <v>0.99999999999999989</v>
      </c>
      <c r="K459" s="107"/>
    </row>
    <row r="460" spans="2:11" x14ac:dyDescent="0.3">
      <c r="B460" s="115" t="s">
        <v>376</v>
      </c>
      <c r="C460" s="122" t="s">
        <v>9</v>
      </c>
      <c r="D460" s="135">
        <f>'19M_Seeds'!AL124</f>
        <v>1.5734999999999999</v>
      </c>
      <c r="E460" s="139">
        <f>'19M_Seeds'!AM124</f>
        <v>160.285</v>
      </c>
      <c r="F460" s="135">
        <f>'19M_Seeds'!AN124</f>
        <v>5109.5734999999995</v>
      </c>
      <c r="G460" s="135">
        <f>'19M_Seeds'!AO124</f>
        <v>784.70900000000006</v>
      </c>
      <c r="H460" s="135">
        <f>'19M_Seeds'!AP124</f>
        <v>168.1405</v>
      </c>
      <c r="I460" s="108">
        <f>$K$2-K460</f>
        <v>95.638500000000022</v>
      </c>
      <c r="J460" s="115" t="s">
        <v>36</v>
      </c>
      <c r="K460" s="136">
        <f t="shared" ref="K460" si="167">SUM(D460:H460)</f>
        <v>6224.2815000000001</v>
      </c>
    </row>
    <row r="461" spans="2:11" x14ac:dyDescent="0.3">
      <c r="B461" s="115"/>
      <c r="C461" s="107" t="s">
        <v>455</v>
      </c>
      <c r="D461" s="150">
        <f t="shared" ref="D461" si="168">D460/$K$2</f>
        <v>2.4897467056545018E-4</v>
      </c>
      <c r="E461" s="150">
        <f t="shared" ref="E461:I461" si="169">E460/$K$2</f>
        <v>2.5361871669261637E-2</v>
      </c>
      <c r="F461" s="150">
        <f t="shared" si="169"/>
        <v>0.80848705363359019</v>
      </c>
      <c r="G461" s="150">
        <f t="shared" si="169"/>
        <v>0.12416438815681212</v>
      </c>
      <c r="H461" s="150">
        <f t="shared" si="169"/>
        <v>2.6604846263876759E-2</v>
      </c>
      <c r="I461" s="146">
        <f t="shared" si="169"/>
        <v>1.5132865605893749E-2</v>
      </c>
      <c r="J461" s="144">
        <f>SUM(D461:I461)</f>
        <v>0.99999999999999989</v>
      </c>
      <c r="K461" s="136"/>
    </row>
    <row r="462" spans="2:11" x14ac:dyDescent="0.3">
      <c r="B462" s="107"/>
      <c r="C462" s="147" t="s">
        <v>368</v>
      </c>
      <c r="D462" s="108">
        <f>'19M_Seeds'!AL125</f>
        <v>2.3252334348008562E-2</v>
      </c>
      <c r="E462" s="108">
        <f>'19M_Seeds'!AM125</f>
        <v>1.4943055947584205</v>
      </c>
      <c r="F462" s="108">
        <f>'19M_Seeds'!AN125</f>
        <v>2.4340515579670963</v>
      </c>
      <c r="G462" s="108">
        <f>'19M_Seeds'!AO125</f>
        <v>2.6090400432665666</v>
      </c>
      <c r="H462" s="108">
        <f>'19M_Seeds'!AP125</f>
        <v>2.0470659973162619</v>
      </c>
      <c r="I462" s="107"/>
      <c r="J462" s="107"/>
      <c r="K462" s="107"/>
    </row>
    <row r="463" spans="2:11" x14ac:dyDescent="0.3">
      <c r="B463" s="107"/>
      <c r="C463" s="147" t="s">
        <v>458</v>
      </c>
      <c r="D463" s="108">
        <f>1.96*D462</f>
        <v>4.5574575322096779E-2</v>
      </c>
      <c r="E463" s="108">
        <f>1.96*E462</f>
        <v>2.9288389657265039</v>
      </c>
      <c r="F463" s="108">
        <f>1.96*F462</f>
        <v>4.7707410536155086</v>
      </c>
      <c r="G463" s="108">
        <f>1.96*G462</f>
        <v>5.1137184848024706</v>
      </c>
      <c r="H463" s="108">
        <f>1.96*H462</f>
        <v>4.0122493547398737</v>
      </c>
      <c r="I463" s="107"/>
      <c r="J463" s="107"/>
      <c r="K463" s="107"/>
    </row>
    <row r="464" spans="2:11" x14ac:dyDescent="0.3">
      <c r="B464" s="107"/>
      <c r="C464" s="147" t="s">
        <v>457</v>
      </c>
      <c r="D464" s="148">
        <f>D462/$K$2</f>
        <v>3.6792133995380576E-6</v>
      </c>
      <c r="E464" s="148">
        <f>E462/$K$2</f>
        <v>2.3644375162318836E-4</v>
      </c>
      <c r="F464" s="148">
        <f>F462/$K$2</f>
        <v>3.8513961536967183E-4</v>
      </c>
      <c r="G464" s="148">
        <f>G462/$K$2</f>
        <v>4.1282801732720771E-4</v>
      </c>
      <c r="H464" s="148">
        <f>H462/$K$2</f>
        <v>3.2390694776457011E-4</v>
      </c>
      <c r="I464" s="107"/>
      <c r="J464" s="107"/>
      <c r="K464" s="107"/>
    </row>
    <row r="465" spans="2:11" x14ac:dyDescent="0.3">
      <c r="B465" s="140"/>
      <c r="C465" s="128" t="s">
        <v>459</v>
      </c>
      <c r="D465" s="149">
        <f>1.96*D464</f>
        <v>7.211258263094593E-6</v>
      </c>
      <c r="E465" s="149">
        <f>1.96*E464</f>
        <v>4.6342975318144919E-4</v>
      </c>
      <c r="F465" s="149">
        <f>1.96*F464</f>
        <v>7.5487364612455672E-4</v>
      </c>
      <c r="G465" s="149">
        <f>1.96*G464</f>
        <v>8.0914291396132708E-4</v>
      </c>
      <c r="H465" s="149">
        <f>1.96*H464</f>
        <v>6.3485761761855738E-4</v>
      </c>
      <c r="I465" s="107"/>
      <c r="J465" s="107"/>
      <c r="K465" s="107"/>
    </row>
    <row r="466" spans="2:11" x14ac:dyDescent="0.3">
      <c r="B466" s="119" t="s">
        <v>673</v>
      </c>
      <c r="C466" s="107"/>
      <c r="D466" s="116"/>
      <c r="E466" s="116"/>
      <c r="F466" s="116"/>
      <c r="G466" s="116"/>
      <c r="H466" s="116"/>
      <c r="I466" s="107"/>
      <c r="J466" s="107"/>
      <c r="K466" s="107"/>
    </row>
    <row r="467" spans="2:11" x14ac:dyDescent="0.3">
      <c r="B467" s="115" t="s">
        <v>375</v>
      </c>
      <c r="C467" s="122" t="s">
        <v>9</v>
      </c>
      <c r="D467" s="135">
        <f>'19M_Seeds'!AL127</f>
        <v>185.14</v>
      </c>
      <c r="E467" s="135">
        <f>'19M_Seeds'!AM127</f>
        <v>124.18</v>
      </c>
      <c r="F467" s="135">
        <f>'19M_Seeds'!AN127</f>
        <v>4084.66</v>
      </c>
      <c r="G467" s="135">
        <f>'19M_Seeds'!AO127</f>
        <v>15998.6</v>
      </c>
      <c r="H467" s="135">
        <f>'19M_Seeds'!AP127</f>
        <v>4255.21</v>
      </c>
      <c r="I467" s="108">
        <f>$K$3-K467</f>
        <v>108.15999999999985</v>
      </c>
      <c r="J467" s="115" t="s">
        <v>36</v>
      </c>
      <c r="K467" s="136">
        <f t="shared" ref="K467" si="170">SUM(D467:H467)</f>
        <v>24647.79</v>
      </c>
    </row>
    <row r="468" spans="2:11" x14ac:dyDescent="0.3">
      <c r="B468" s="107"/>
      <c r="C468" s="107" t="s">
        <v>456</v>
      </c>
      <c r="D468" s="145">
        <f t="shared" ref="D468" si="171">D467/$K$3</f>
        <v>7.4786061532682033E-3</v>
      </c>
      <c r="E468" s="145">
        <f t="shared" ref="E468:I468" si="172">E467/$K$3</f>
        <v>5.0161678303599746E-3</v>
      </c>
      <c r="F468" s="145">
        <f t="shared" si="172"/>
        <v>0.16499710170686238</v>
      </c>
      <c r="G468" s="145">
        <f t="shared" si="172"/>
        <v>0.64625271904330073</v>
      </c>
      <c r="H468" s="145">
        <f t="shared" si="172"/>
        <v>0.17188635459354215</v>
      </c>
      <c r="I468" s="145">
        <f t="shared" si="172"/>
        <v>4.369050672666565E-3</v>
      </c>
      <c r="J468" s="144">
        <f>SUM(D468:I468)</f>
        <v>1</v>
      </c>
      <c r="K468" s="107"/>
    </row>
    <row r="469" spans="2:11" x14ac:dyDescent="0.3">
      <c r="B469" s="115" t="s">
        <v>376</v>
      </c>
      <c r="C469" s="122" t="s">
        <v>9</v>
      </c>
      <c r="D469" s="135">
        <f>'19M_Seeds'!AL129</f>
        <v>184.64399999999995</v>
      </c>
      <c r="E469" s="135">
        <f>'19M_Seeds'!AM129</f>
        <v>116.90649999999998</v>
      </c>
      <c r="F469" s="135">
        <f>'19M_Seeds'!AN129</f>
        <v>4083.0325000000003</v>
      </c>
      <c r="G469" s="135">
        <f>'19M_Seeds'!AO129</f>
        <v>15958.811999999996</v>
      </c>
      <c r="H469" s="135">
        <f>'19M_Seeds'!AP129</f>
        <v>4304.4009999999998</v>
      </c>
      <c r="I469" s="108">
        <f>$K$3-K469</f>
        <v>108.15400000000591</v>
      </c>
      <c r="J469" s="115" t="s">
        <v>36</v>
      </c>
      <c r="K469" s="136">
        <f t="shared" ref="K469" si="173">SUM(D469:H469)</f>
        <v>24647.795999999995</v>
      </c>
    </row>
    <row r="470" spans="2:11" x14ac:dyDescent="0.3">
      <c r="B470" s="115"/>
      <c r="C470" s="140" t="s">
        <v>455</v>
      </c>
      <c r="D470" s="150">
        <f t="shared" ref="D470" si="174">D469/$K$3</f>
        <v>7.4585705658639619E-3</v>
      </c>
      <c r="E470" s="150">
        <f t="shared" ref="E470:I470" si="175">E469/$K$3</f>
        <v>4.7223596751488021E-3</v>
      </c>
      <c r="F470" s="150">
        <f t="shared" si="175"/>
        <v>0.16493135993569225</v>
      </c>
      <c r="G470" s="150">
        <f t="shared" si="175"/>
        <v>0.64464550946338139</v>
      </c>
      <c r="H470" s="150">
        <f t="shared" si="175"/>
        <v>0.17387339205322355</v>
      </c>
      <c r="I470" s="145">
        <f t="shared" si="175"/>
        <v>4.3688083066901456E-3</v>
      </c>
      <c r="J470" s="144">
        <f>SUM(D470:I470)</f>
        <v>1.0000000000000002</v>
      </c>
      <c r="K470" s="136"/>
    </row>
    <row r="471" spans="2:11" x14ac:dyDescent="0.3">
      <c r="B471" s="107"/>
      <c r="C471" s="147" t="s">
        <v>368</v>
      </c>
      <c r="D471" s="108">
        <f>'19M_Seeds'!AL130</f>
        <v>3.3858340650110819</v>
      </c>
      <c r="E471" s="108">
        <f>'19M_Seeds'!AM130</f>
        <v>3.680568196624022</v>
      </c>
      <c r="F471" s="108">
        <f>'19M_Seeds'!AN130</f>
        <v>7.6566734866767572</v>
      </c>
      <c r="G471" s="108">
        <f>'19M_Seeds'!AO130</f>
        <v>14.893564463252341</v>
      </c>
      <c r="H471" s="108">
        <f>'19M_Seeds'!AP130</f>
        <v>16.995821156668899</v>
      </c>
      <c r="I471" s="107"/>
      <c r="J471" s="107"/>
      <c r="K471" s="107"/>
    </row>
    <row r="472" spans="2:11" x14ac:dyDescent="0.3">
      <c r="B472" s="107"/>
      <c r="C472" s="147" t="s">
        <v>458</v>
      </c>
      <c r="D472" s="108">
        <f>1.96*D471</f>
        <v>6.6362347674217199</v>
      </c>
      <c r="E472" s="108">
        <f>1.96*E471</f>
        <v>7.2139136653830827</v>
      </c>
      <c r="F472" s="108">
        <f>1.96*F471</f>
        <v>15.007080033886444</v>
      </c>
      <c r="G472" s="108">
        <f>1.96*G471</f>
        <v>29.191386347974589</v>
      </c>
      <c r="H472" s="108">
        <f>1.96*H471</f>
        <v>33.311809467071043</v>
      </c>
      <c r="I472" s="107"/>
      <c r="J472" s="107"/>
      <c r="K472" s="107"/>
    </row>
    <row r="473" spans="2:11" x14ac:dyDescent="0.3">
      <c r="B473" s="107"/>
      <c r="C473" s="147" t="s">
        <v>457</v>
      </c>
      <c r="D473" s="148">
        <f>D471/$K$3</f>
        <v>1.367684966648859E-4</v>
      </c>
      <c r="E473" s="148">
        <f>E471/$K$3</f>
        <v>1.4867408427565986E-4</v>
      </c>
      <c r="F473" s="148">
        <f>F471/$K$3</f>
        <v>3.0928619126621102E-4</v>
      </c>
      <c r="G473" s="148">
        <f>G471/$K$3</f>
        <v>6.0161554952455228E-4</v>
      </c>
      <c r="H473" s="148">
        <f>H471/$K$3</f>
        <v>6.8653479897434354E-4</v>
      </c>
      <c r="I473" s="107"/>
      <c r="J473" s="107"/>
      <c r="K473" s="107"/>
    </row>
    <row r="474" spans="2:11" x14ac:dyDescent="0.3">
      <c r="B474" s="140"/>
      <c r="C474" s="128" t="s">
        <v>459</v>
      </c>
      <c r="D474" s="149">
        <f>1.96*D473</f>
        <v>2.6806625346317636E-4</v>
      </c>
      <c r="E474" s="149">
        <f>1.96*E473</f>
        <v>2.9140120518029333E-4</v>
      </c>
      <c r="F474" s="149">
        <f>1.96*F473</f>
        <v>6.0620093488177355E-4</v>
      </c>
      <c r="G474" s="149">
        <f>1.96*G473</f>
        <v>1.1791664770681224E-3</v>
      </c>
      <c r="H474" s="149">
        <f>1.96*H473</f>
        <v>1.3456082059897132E-3</v>
      </c>
      <c r="I474" s="107"/>
      <c r="J474" s="107"/>
      <c r="K474" s="107"/>
    </row>
    <row r="475" spans="2:11" x14ac:dyDescent="0.3">
      <c r="B475" s="119" t="s">
        <v>710</v>
      </c>
      <c r="C475" s="107"/>
      <c r="D475" s="116"/>
      <c r="E475" s="116"/>
      <c r="F475" s="116"/>
      <c r="G475" s="116"/>
      <c r="H475" s="116"/>
      <c r="I475" s="107"/>
      <c r="J475" s="107"/>
      <c r="K475" s="107"/>
    </row>
    <row r="476" spans="2:11" x14ac:dyDescent="0.3">
      <c r="B476" s="115" t="s">
        <v>375</v>
      </c>
      <c r="C476" s="122" t="s">
        <v>9</v>
      </c>
      <c r="D476" s="135">
        <f>'19M_Seeds'!AL132</f>
        <v>0</v>
      </c>
      <c r="E476" s="135">
        <f>'19M_Seeds'!AM132</f>
        <v>12.41</v>
      </c>
      <c r="F476" s="135">
        <f>'19M_Seeds'!AN132</f>
        <v>1132.43</v>
      </c>
      <c r="G476" s="135">
        <f>'19M_Seeds'!AO132</f>
        <v>292.58</v>
      </c>
      <c r="H476" s="135">
        <f>'19M_Seeds'!AP132</f>
        <v>24.89</v>
      </c>
      <c r="I476" s="108">
        <f>$K$4-K476</f>
        <v>6.4499999999998181</v>
      </c>
      <c r="J476" s="115" t="s">
        <v>36</v>
      </c>
      <c r="K476" s="136">
        <f t="shared" ref="K476" si="176">SUM(D476:H476)</f>
        <v>1462.3100000000002</v>
      </c>
    </row>
    <row r="477" spans="2:11" x14ac:dyDescent="0.3">
      <c r="B477" s="107"/>
      <c r="C477" s="140" t="s">
        <v>455</v>
      </c>
      <c r="D477" s="150">
        <f t="shared" ref="D477" si="177">D476/$K$4</f>
        <v>0</v>
      </c>
      <c r="E477" s="150">
        <f t="shared" ref="E477:I477" si="178">E476/$K$4</f>
        <v>8.4493041749502985E-3</v>
      </c>
      <c r="F477" s="150">
        <f t="shared" si="178"/>
        <v>0.77101092077670963</v>
      </c>
      <c r="G477" s="150">
        <f t="shared" si="178"/>
        <v>0.19920204798605626</v>
      </c>
      <c r="H477" s="150">
        <f t="shared" si="178"/>
        <v>1.6946267599880171E-2</v>
      </c>
      <c r="I477" s="146">
        <f t="shared" si="178"/>
        <v>4.3914594624035368E-3</v>
      </c>
      <c r="J477" s="144">
        <f>SUM(D477:I477)</f>
        <v>0.99999999999999978</v>
      </c>
      <c r="K477" s="107"/>
    </row>
    <row r="478" spans="2:11" x14ac:dyDescent="0.3">
      <c r="B478" s="115" t="s">
        <v>376</v>
      </c>
      <c r="C478" s="122" t="s">
        <v>9</v>
      </c>
      <c r="D478" s="135">
        <f>'19M_Seeds'!AL134</f>
        <v>0</v>
      </c>
      <c r="E478" s="135">
        <f>'19M_Seeds'!AM134</f>
        <v>13.386499999999998</v>
      </c>
      <c r="F478" s="135">
        <f>'19M_Seeds'!AN134</f>
        <v>1126.1655000000001</v>
      </c>
      <c r="G478" s="139">
        <f>'19M_Seeds'!AO134</f>
        <v>296.73550000000006</v>
      </c>
      <c r="H478" s="135">
        <f>'19M_Seeds'!AP134</f>
        <v>26.028499999999998</v>
      </c>
      <c r="I478" s="108">
        <f>$K$4-K478</f>
        <v>6.44399999999996</v>
      </c>
      <c r="J478" s="115" t="s">
        <v>36</v>
      </c>
      <c r="K478" s="136">
        <f t="shared" ref="K478" si="179">SUM(D478:H478)</f>
        <v>1462.316</v>
      </c>
    </row>
    <row r="479" spans="2:11" x14ac:dyDescent="0.3">
      <c r="B479" s="115"/>
      <c r="C479" s="140" t="s">
        <v>455</v>
      </c>
      <c r="D479" s="150">
        <f t="shared" ref="D479" si="180">D478/$K$4</f>
        <v>0</v>
      </c>
      <c r="E479" s="150">
        <f t="shared" ref="E479:I479" si="181">E478/$K$4</f>
        <v>9.1141507121653628E-3</v>
      </c>
      <c r="F479" s="150">
        <f t="shared" si="181"/>
        <v>0.76674575832675185</v>
      </c>
      <c r="G479" s="150">
        <f t="shared" si="181"/>
        <v>0.20203130531877234</v>
      </c>
      <c r="H479" s="150">
        <f t="shared" si="181"/>
        <v>1.7721411258476535E-2</v>
      </c>
      <c r="I479" s="146">
        <f t="shared" si="181"/>
        <v>4.3873743838339554E-3</v>
      </c>
      <c r="J479" s="144">
        <f>SUM(D479:I479)</f>
        <v>1</v>
      </c>
      <c r="K479" s="136"/>
    </row>
    <row r="480" spans="2:11" x14ac:dyDescent="0.3">
      <c r="B480" s="107"/>
      <c r="C480" s="147" t="s">
        <v>368</v>
      </c>
      <c r="D480" s="108">
        <f>'19M_Seeds'!AL135</f>
        <v>0</v>
      </c>
      <c r="E480" s="108">
        <f>'19M_Seeds'!AM135</f>
        <v>0.19041405714362244</v>
      </c>
      <c r="F480" s="108">
        <f>'19M_Seeds'!AN135</f>
        <v>0.61144672057773275</v>
      </c>
      <c r="G480" s="108">
        <f>'19M_Seeds'!AO135</f>
        <v>0.60647925941887204</v>
      </c>
      <c r="H480" s="108">
        <f>'19M_Seeds'!AP135</f>
        <v>0.41015996558467405</v>
      </c>
      <c r="I480" s="107"/>
      <c r="J480" s="107"/>
      <c r="K480" s="107"/>
    </row>
    <row r="481" spans="2:11" x14ac:dyDescent="0.3">
      <c r="B481" s="107"/>
      <c r="C481" s="147" t="s">
        <v>458</v>
      </c>
      <c r="D481" s="108">
        <f>1.96*D480</f>
        <v>0</v>
      </c>
      <c r="E481" s="108">
        <f>1.96*E480</f>
        <v>0.37321155200149997</v>
      </c>
      <c r="F481" s="108">
        <f>1.96*F480</f>
        <v>1.1984355723323561</v>
      </c>
      <c r="G481" s="108">
        <f>1.96*G480</f>
        <v>1.1886993484609891</v>
      </c>
      <c r="H481" s="108">
        <f>1.96*H480</f>
        <v>0.8039135325459611</v>
      </c>
      <c r="I481" s="107"/>
      <c r="J481" s="107"/>
      <c r="K481" s="107"/>
    </row>
    <row r="482" spans="2:11" x14ac:dyDescent="0.3">
      <c r="B482" s="107"/>
      <c r="C482" s="147" t="s">
        <v>457</v>
      </c>
      <c r="D482" s="148">
        <f>D480/$K$4</f>
        <v>0</v>
      </c>
      <c r="E482" s="148">
        <f>E480/$K$4</f>
        <v>1.2964273070047009E-4</v>
      </c>
      <c r="F482" s="148">
        <f>F480/$K$4</f>
        <v>4.1630131578864669E-4</v>
      </c>
      <c r="G482" s="148">
        <f>G480/$K$4</f>
        <v>4.1291923760101859E-4</v>
      </c>
      <c r="H482" s="148">
        <f>H480/$K$4</f>
        <v>2.7925594759162426E-4</v>
      </c>
      <c r="I482" s="107"/>
      <c r="J482" s="107"/>
      <c r="K482" s="107"/>
    </row>
    <row r="483" spans="2:11" x14ac:dyDescent="0.3">
      <c r="B483" s="107"/>
      <c r="C483" s="128" t="s">
        <v>459</v>
      </c>
      <c r="D483" s="149">
        <f>1.96*D482</f>
        <v>0</v>
      </c>
      <c r="E483" s="149">
        <f>1.96*E482</f>
        <v>2.5409975217292137E-4</v>
      </c>
      <c r="F483" s="149">
        <f>1.96*F482</f>
        <v>8.1595057894574754E-4</v>
      </c>
      <c r="G483" s="149">
        <f>1.96*G482</f>
        <v>8.0932170569799646E-4</v>
      </c>
      <c r="H483" s="149">
        <f>1.96*H482</f>
        <v>5.4734165727958353E-4</v>
      </c>
      <c r="I483" s="107"/>
      <c r="J483" s="107"/>
      <c r="K483" s="107"/>
    </row>
    <row r="484" spans="2:11" x14ac:dyDescent="0.3">
      <c r="D484" t="s">
        <v>441</v>
      </c>
      <c r="E484" t="s">
        <v>442</v>
      </c>
      <c r="F484" t="s">
        <v>443</v>
      </c>
      <c r="G484" t="s">
        <v>444</v>
      </c>
      <c r="H484" t="s">
        <v>445</v>
      </c>
    </row>
    <row r="485" spans="2:11" x14ac:dyDescent="0.3">
      <c r="B485" s="118" t="s">
        <v>352</v>
      </c>
      <c r="C485" s="8">
        <v>20</v>
      </c>
      <c r="D485" s="90" t="s">
        <v>447</v>
      </c>
      <c r="E485" s="91" t="s">
        <v>446</v>
      </c>
      <c r="F485" s="92" t="s">
        <v>448</v>
      </c>
      <c r="G485" s="124" t="s">
        <v>449</v>
      </c>
      <c r="H485" s="123" t="s">
        <v>450</v>
      </c>
      <c r="I485" s="211" t="s">
        <v>451</v>
      </c>
    </row>
    <row r="486" spans="2:11" x14ac:dyDescent="0.3">
      <c r="B486" s="106" t="s">
        <v>674</v>
      </c>
      <c r="C486" s="107" t="s">
        <v>28</v>
      </c>
      <c r="D486" s="108">
        <f>'24M_Seeds'!AL109</f>
        <v>0.27416016373163615</v>
      </c>
      <c r="E486" s="108">
        <f>'24M_Seeds'!AM109</f>
        <v>0.86828976458257834</v>
      </c>
      <c r="F486" s="108">
        <f>'24M_Seeds'!AN109</f>
        <v>63.110319228203082</v>
      </c>
      <c r="G486" s="108">
        <f>'24M_Seeds'!AO109</f>
        <v>28.832280777977136</v>
      </c>
      <c r="H486" s="108">
        <f>'24M_Seeds'!AP109</f>
        <v>6.914950065505586</v>
      </c>
      <c r="I486" s="144"/>
      <c r="J486" s="228" t="s">
        <v>72</v>
      </c>
      <c r="K486" s="229">
        <f>'24M_Seeds'!AS109</f>
        <v>0.95946070090354252</v>
      </c>
    </row>
    <row r="487" spans="2:11" x14ac:dyDescent="0.3">
      <c r="B487" s="107"/>
      <c r="C487" s="109" t="s">
        <v>39</v>
      </c>
      <c r="D487" s="110">
        <f>'24M_Seeds'!AL110</f>
        <v>0</v>
      </c>
      <c r="E487" s="110">
        <f>'24M_Seeds'!AM110</f>
        <v>4.4050918585396032E-2</v>
      </c>
      <c r="F487" s="110">
        <f>'24M_Seeds'!AN110</f>
        <v>0.4312520514055595</v>
      </c>
      <c r="G487" s="110">
        <f>'24M_Seeds'!AO110</f>
        <v>0.4185329864983483</v>
      </c>
      <c r="H487" s="110">
        <f>'24M_Seeds'!AP110</f>
        <v>0.22029861445350662</v>
      </c>
      <c r="I487" s="144"/>
      <c r="J487" s="228" t="s">
        <v>29</v>
      </c>
      <c r="K487" s="230">
        <f>'24M_Seeds'!AS110</f>
        <v>4.5212920925374487E-3</v>
      </c>
    </row>
    <row r="488" spans="2:11" x14ac:dyDescent="0.3">
      <c r="B488" s="107"/>
      <c r="C488" s="107" t="s">
        <v>30</v>
      </c>
      <c r="D488" s="108">
        <f>'24M_Seeds'!AL111</f>
        <v>100</v>
      </c>
      <c r="E488" s="108">
        <f>'24M_Seeds'!AM111</f>
        <v>99.259886526930188</v>
      </c>
      <c r="F488" s="108">
        <f>'24M_Seeds'!AN111</f>
        <v>96.34502163171301</v>
      </c>
      <c r="G488" s="108">
        <f>'24M_Seeds'!AO111</f>
        <v>96.526158691542264</v>
      </c>
      <c r="H488" s="108">
        <f>'24M_Seeds'!AP111</f>
        <v>89.309432789444642</v>
      </c>
      <c r="I488" s="144"/>
      <c r="J488" s="111"/>
      <c r="K488" s="111"/>
    </row>
    <row r="489" spans="2:11" x14ac:dyDescent="0.3">
      <c r="B489" s="107"/>
      <c r="C489" s="109" t="s">
        <v>39</v>
      </c>
      <c r="D489" s="110">
        <f>'24M_Seeds'!AL112</f>
        <v>0</v>
      </c>
      <c r="E489" s="110">
        <f>'24M_Seeds'!AM112</f>
        <v>0.82454163313495754</v>
      </c>
      <c r="F489" s="110">
        <f>'24M_Seeds'!AN112</f>
        <v>0.50939438123577674</v>
      </c>
      <c r="G489" s="110">
        <f>'24M_Seeds'!AO112</f>
        <v>0.9298679744581192</v>
      </c>
      <c r="H489" s="110">
        <f>'24M_Seeds'!AP112</f>
        <v>2.8731306112532264</v>
      </c>
      <c r="I489" s="144"/>
      <c r="J489" s="111"/>
      <c r="K489" s="111"/>
    </row>
    <row r="490" spans="2:11" x14ac:dyDescent="0.3">
      <c r="B490" s="107"/>
      <c r="C490" s="111" t="s">
        <v>31</v>
      </c>
      <c r="D490" s="112">
        <f>'24M_Seeds'!AL113</f>
        <v>100</v>
      </c>
      <c r="E490" s="112">
        <f>'24M_Seeds'!AM113</f>
        <v>85.9375</v>
      </c>
      <c r="F490" s="112">
        <f>'24M_Seeds'!AN113</f>
        <v>98.262032085561501</v>
      </c>
      <c r="G490" s="112">
        <f>'24M_Seeds'!AO113</f>
        <v>91.747572815533985</v>
      </c>
      <c r="H490" s="112">
        <f>'24M_Seeds'!AP113</f>
        <v>94.866732477788744</v>
      </c>
      <c r="I490" s="144"/>
      <c r="J490" s="111"/>
      <c r="K490" s="111"/>
    </row>
    <row r="491" spans="2:11" x14ac:dyDescent="0.3">
      <c r="B491" s="107"/>
      <c r="C491" s="113" t="s">
        <v>39</v>
      </c>
      <c r="D491" s="114">
        <f>'24M_Seeds'!AL114</f>
        <v>0</v>
      </c>
      <c r="E491" s="114">
        <f>'24M_Seeds'!AM114</f>
        <v>4.3797805514170944</v>
      </c>
      <c r="F491" s="114">
        <f>'24M_Seeds'!AN114</f>
        <v>0.47813820512740118</v>
      </c>
      <c r="G491" s="114">
        <f>'24M_Seeds'!AO114</f>
        <v>1.1077596969605779</v>
      </c>
      <c r="H491" s="114">
        <f>'24M_Seeds'!AP114</f>
        <v>0.6936871730384524</v>
      </c>
      <c r="I491" s="144"/>
      <c r="J491" s="107"/>
      <c r="K491" s="107"/>
    </row>
    <row r="492" spans="2:11" x14ac:dyDescent="0.3">
      <c r="B492" s="107"/>
      <c r="C492" s="109" t="s">
        <v>51</v>
      </c>
      <c r="D492" s="110">
        <f>'24M_Seeds'!AL115</f>
        <v>100</v>
      </c>
      <c r="E492" s="110">
        <f>'24M_Seeds'!AM115</f>
        <v>91.666666666666657</v>
      </c>
      <c r="F492" s="110">
        <f>'24M_Seeds'!AN115</f>
        <v>95.145631067961162</v>
      </c>
      <c r="G492" s="110">
        <f>'24M_Seeds'!AO115</f>
        <v>91.896272285251229</v>
      </c>
      <c r="H492" s="110">
        <f>'24M_Seeds'!AP115</f>
        <v>96.728736789129329</v>
      </c>
      <c r="I492" s="144"/>
      <c r="J492" s="107"/>
      <c r="K492" s="107"/>
    </row>
    <row r="493" spans="2:11" x14ac:dyDescent="0.3">
      <c r="B493" s="115" t="s">
        <v>375</v>
      </c>
      <c r="C493" s="107" t="s">
        <v>9</v>
      </c>
      <c r="D493" s="116">
        <f>'24M_Seeds'!AL116</f>
        <v>264.67</v>
      </c>
      <c r="E493" s="116">
        <f>'24M_Seeds'!AM116</f>
        <v>968.18</v>
      </c>
      <c r="F493" s="116">
        <f>'24M_Seeds'!AN116</f>
        <v>59737.120000000003</v>
      </c>
      <c r="G493" s="116">
        <f>'24M_Seeds'!AO116</f>
        <v>29283.96</v>
      </c>
      <c r="H493" s="116">
        <f>'24M_Seeds'!AP116</f>
        <v>6284.53</v>
      </c>
      <c r="I493" s="107"/>
      <c r="J493" s="115" t="s">
        <v>36</v>
      </c>
      <c r="K493" s="111">
        <f>SUM(D493:H493)</f>
        <v>96538.459999999992</v>
      </c>
    </row>
    <row r="494" spans="2:11" x14ac:dyDescent="0.3">
      <c r="B494" s="115" t="s">
        <v>355</v>
      </c>
      <c r="C494" s="107" t="s">
        <v>390</v>
      </c>
      <c r="D494" s="108">
        <f>'24M_Seeds'!AL117</f>
        <v>264.67</v>
      </c>
      <c r="E494" s="108">
        <f>'24M_Seeds'!AM117</f>
        <v>838.23356706564653</v>
      </c>
      <c r="F494" s="108">
        <f>'24M_Seeds'!AN117</f>
        <v>60925.730283991135</v>
      </c>
      <c r="G494" s="108">
        <f>'24M_Seeds'!AO117</f>
        <v>27834.239845935143</v>
      </c>
      <c r="H494" s="108">
        <f>'24M_Seeds'!AP117</f>
        <v>6675.5863030080836</v>
      </c>
      <c r="I494" s="143">
        <f>$K$1-K494</f>
        <v>13706.539999999994</v>
      </c>
      <c r="J494" s="115" t="s">
        <v>36</v>
      </c>
      <c r="K494" s="111">
        <f>SUM(D494:H494)</f>
        <v>96538.46</v>
      </c>
    </row>
    <row r="495" spans="2:11" x14ac:dyDescent="0.3">
      <c r="B495" s="115"/>
      <c r="C495" s="107" t="s">
        <v>455</v>
      </c>
      <c r="D495" s="146">
        <f t="shared" ref="D495" si="182">D494/$K$1</f>
        <v>2.4007437979046671E-3</v>
      </c>
      <c r="E495" s="146">
        <f t="shared" ref="E495:I495" si="183">E494/$K$1</f>
        <v>7.6033703756691598E-3</v>
      </c>
      <c r="F495" s="146">
        <f t="shared" si="183"/>
        <v>0.55263939665282902</v>
      </c>
      <c r="G495" s="146">
        <f t="shared" si="183"/>
        <v>0.25247621067563286</v>
      </c>
      <c r="H495" s="146">
        <f t="shared" si="183"/>
        <v>6.0552281763418599E-2</v>
      </c>
      <c r="I495" s="146">
        <f t="shared" si="183"/>
        <v>0.12432799673454573</v>
      </c>
      <c r="J495" s="144">
        <f>SUM(D495:I495)</f>
        <v>1</v>
      </c>
      <c r="K495" s="117"/>
    </row>
    <row r="496" spans="2:11" x14ac:dyDescent="0.3">
      <c r="B496" s="107"/>
      <c r="C496" s="107" t="s">
        <v>354</v>
      </c>
      <c r="D496" s="108">
        <f>'24M_Seeds'!AL118</f>
        <v>0</v>
      </c>
      <c r="E496" s="108">
        <f>'24M_Seeds'!AM118</f>
        <v>42.526078418195112</v>
      </c>
      <c r="F496" s="108">
        <f>'24M_Seeds'!AN118</f>
        <v>416.32408914533545</v>
      </c>
      <c r="G496" s="108">
        <f>'24M_Seeds'!AO118</f>
        <v>404.04529975751336</v>
      </c>
      <c r="H496" s="108">
        <f>'24M_Seeds'!AP118</f>
        <v>212.67288979475271</v>
      </c>
      <c r="I496" s="107"/>
      <c r="J496" s="107"/>
      <c r="K496" s="107"/>
    </row>
    <row r="497" spans="2:11" x14ac:dyDescent="0.3">
      <c r="B497" s="107"/>
      <c r="C497" s="147" t="s">
        <v>458</v>
      </c>
      <c r="D497" s="108">
        <f>1.96*D496</f>
        <v>0</v>
      </c>
      <c r="E497" s="108">
        <f>1.96*E496</f>
        <v>83.35111369966242</v>
      </c>
      <c r="F497" s="108">
        <f>1.96*F496</f>
        <v>815.99521472485742</v>
      </c>
      <c r="G497" s="108">
        <f>1.96*G496</f>
        <v>791.9287875247262</v>
      </c>
      <c r="H497" s="108">
        <f>1.96*H496</f>
        <v>416.83886399771529</v>
      </c>
      <c r="I497" s="107"/>
      <c r="J497" s="107"/>
      <c r="K497" s="107"/>
    </row>
    <row r="498" spans="2:11" x14ac:dyDescent="0.3">
      <c r="B498" s="107"/>
      <c r="C498" s="147" t="s">
        <v>457</v>
      </c>
      <c r="D498" s="148">
        <f>D496/$K$1</f>
        <v>0</v>
      </c>
      <c r="E498" s="148">
        <f>E496/$K$1</f>
        <v>3.8574156123357171E-4</v>
      </c>
      <c r="F498" s="148">
        <f>F496/$K$1</f>
        <v>3.7763534776664291E-3</v>
      </c>
      <c r="G498" s="148">
        <f>G496/$K$1</f>
        <v>3.6649761871968196E-3</v>
      </c>
      <c r="H498" s="148">
        <f>H496/$K$1</f>
        <v>1.9290932903510609E-3</v>
      </c>
      <c r="I498" s="107"/>
      <c r="J498" s="107"/>
      <c r="K498" s="107"/>
    </row>
    <row r="499" spans="2:11" x14ac:dyDescent="0.3">
      <c r="B499" s="107"/>
      <c r="C499" s="128" t="s">
        <v>459</v>
      </c>
      <c r="D499" s="149">
        <f>1.96*D498</f>
        <v>0</v>
      </c>
      <c r="E499" s="149">
        <f>1.96*E498</f>
        <v>7.5605346001780056E-4</v>
      </c>
      <c r="F499" s="149">
        <f>1.96*F498</f>
        <v>7.4016528162262011E-3</v>
      </c>
      <c r="G499" s="149">
        <f>1.96*G498</f>
        <v>7.1833533269057663E-3</v>
      </c>
      <c r="H499" s="149">
        <f>1.96*H498</f>
        <v>3.7810228490880791E-3</v>
      </c>
      <c r="I499" s="107"/>
      <c r="J499" s="107"/>
      <c r="K499" s="107"/>
    </row>
    <row r="500" spans="2:11" x14ac:dyDescent="0.3">
      <c r="B500" s="115" t="s">
        <v>376</v>
      </c>
      <c r="C500" s="122" t="s">
        <v>9</v>
      </c>
      <c r="D500" s="135">
        <f>'24M_Seeds'!AL119</f>
        <v>263.69349999999997</v>
      </c>
      <c r="E500" s="135">
        <f>'24M_Seeds'!AM119</f>
        <v>980.35450000000003</v>
      </c>
      <c r="F500" s="135">
        <f>'24M_Seeds'!AN119</f>
        <v>59579.991000000002</v>
      </c>
      <c r="G500" s="135">
        <f>'24M_Seeds'!AO119</f>
        <v>29367.702000000001</v>
      </c>
      <c r="H500" s="135">
        <f>'24M_Seeds'!AP119</f>
        <v>6346.7100000000009</v>
      </c>
      <c r="I500" s="107"/>
      <c r="J500" s="115" t="s">
        <v>36</v>
      </c>
      <c r="K500" s="136">
        <f>SUM(D500:H500)</f>
        <v>96538.451000000015</v>
      </c>
    </row>
    <row r="501" spans="2:11" x14ac:dyDescent="0.3">
      <c r="B501" s="107"/>
      <c r="C501" s="147" t="s">
        <v>368</v>
      </c>
      <c r="D501" s="108">
        <f>'24M_Seeds'!AL120</f>
        <v>1.5859895259161678</v>
      </c>
      <c r="E501" s="108">
        <f>'24M_Seeds'!AM120</f>
        <v>9.6828452069952817</v>
      </c>
      <c r="F501" s="108">
        <f>'24M_Seeds'!AN120</f>
        <v>54.333245705504673</v>
      </c>
      <c r="G501" s="108">
        <f>'24M_Seeds'!AO120</f>
        <v>54.408238833354659</v>
      </c>
      <c r="H501" s="108">
        <f>'24M_Seeds'!AP120</f>
        <v>30.357667825270667</v>
      </c>
      <c r="I501" s="107"/>
      <c r="J501" s="107"/>
      <c r="K501" s="107"/>
    </row>
    <row r="502" spans="2:11" x14ac:dyDescent="0.3">
      <c r="B502" s="107"/>
      <c r="C502" s="147" t="s">
        <v>458</v>
      </c>
      <c r="D502" s="108">
        <f>1.96*D501</f>
        <v>3.108539470795689</v>
      </c>
      <c r="E502" s="108">
        <f>1.96*E501</f>
        <v>18.978376605710753</v>
      </c>
      <c r="F502" s="108">
        <f>1.96*F501</f>
        <v>106.49316158278916</v>
      </c>
      <c r="G502" s="108">
        <f>1.96*G501</f>
        <v>106.64014811337513</v>
      </c>
      <c r="H502" s="108">
        <f>1.96*H501</f>
        <v>59.501028937530506</v>
      </c>
      <c r="I502" s="107"/>
      <c r="J502" s="107"/>
      <c r="K502" s="107"/>
    </row>
    <row r="503" spans="2:11" x14ac:dyDescent="0.3">
      <c r="B503" s="107"/>
      <c r="C503" s="147" t="s">
        <v>457</v>
      </c>
      <c r="D503" s="148">
        <f>D501/$K$1</f>
        <v>1.4386044953659284E-5</v>
      </c>
      <c r="E503" s="148">
        <f>E501/$K$1</f>
        <v>8.7830243611912399E-5</v>
      </c>
      <c r="F503" s="148">
        <f>F501/$K$1</f>
        <v>4.9284090621347614E-4</v>
      </c>
      <c r="G503" s="148">
        <f>G501/$K$1</f>
        <v>4.9352114683980824E-4</v>
      </c>
      <c r="H503" s="148">
        <f>H501/$K$1</f>
        <v>2.7536548437816379E-4</v>
      </c>
      <c r="I503" s="107"/>
      <c r="J503" s="107"/>
      <c r="K503" s="107"/>
    </row>
    <row r="504" spans="2:11" x14ac:dyDescent="0.3">
      <c r="B504" s="140"/>
      <c r="C504" s="128" t="s">
        <v>459</v>
      </c>
      <c r="D504" s="149">
        <f>1.96*D503</f>
        <v>2.8196648109172194E-5</v>
      </c>
      <c r="E504" s="149">
        <f>1.96*E503</f>
        <v>1.721472774793483E-4</v>
      </c>
      <c r="F504" s="149">
        <f>1.96*F503</f>
        <v>9.6596817617841321E-4</v>
      </c>
      <c r="G504" s="149">
        <f>1.96*G503</f>
        <v>9.6730144780602409E-4</v>
      </c>
      <c r="H504" s="149">
        <f>1.96*H503</f>
        <v>5.3971634938120103E-4</v>
      </c>
      <c r="I504" s="107"/>
      <c r="J504" s="107"/>
      <c r="K504" s="107"/>
    </row>
    <row r="505" spans="2:11" x14ac:dyDescent="0.3">
      <c r="B505" s="119" t="s">
        <v>711</v>
      </c>
      <c r="C505" s="107"/>
      <c r="D505" s="116"/>
      <c r="E505" s="116"/>
      <c r="F505" s="116"/>
      <c r="G505" s="116"/>
      <c r="H505" s="116"/>
      <c r="I505" s="107"/>
      <c r="J505" s="107"/>
      <c r="K505" s="107"/>
    </row>
    <row r="506" spans="2:11" x14ac:dyDescent="0.3">
      <c r="B506" s="115" t="s">
        <v>375</v>
      </c>
      <c r="C506" s="122" t="s">
        <v>9</v>
      </c>
      <c r="D506" s="135">
        <f>'24M_Seeds'!AL122</f>
        <v>6.85</v>
      </c>
      <c r="E506" s="135">
        <f>'24M_Seeds'!AM122</f>
        <v>216.42</v>
      </c>
      <c r="F506" s="135">
        <f>'24M_Seeds'!AN122</f>
        <v>5188.83</v>
      </c>
      <c r="G506" s="135">
        <f>'24M_Seeds'!AO122</f>
        <v>582.41999999999996</v>
      </c>
      <c r="H506" s="135">
        <f>'24M_Seeds'!AP122</f>
        <v>229.73</v>
      </c>
      <c r="I506" s="108">
        <f>$K$2-K506</f>
        <v>95.670000000000073</v>
      </c>
      <c r="J506" s="115" t="s">
        <v>36</v>
      </c>
      <c r="K506" s="136">
        <f t="shared" ref="K506" si="184">SUM(D506:H506)</f>
        <v>6224.25</v>
      </c>
    </row>
    <row r="507" spans="2:11" x14ac:dyDescent="0.3">
      <c r="B507" s="107"/>
      <c r="C507" s="107" t="s">
        <v>455</v>
      </c>
      <c r="D507" s="150">
        <f t="shared" ref="D507" si="185">D506/$K$2</f>
        <v>1.08387447942379E-3</v>
      </c>
      <c r="E507" s="150">
        <f t="shared" ref="E507:I507" si="186">E506/$K$2</f>
        <v>3.4244104355751336E-2</v>
      </c>
      <c r="F507" s="150">
        <f t="shared" si="186"/>
        <v>0.8210277978202255</v>
      </c>
      <c r="G507" s="150">
        <f t="shared" si="186"/>
        <v>9.2156229825693992E-2</v>
      </c>
      <c r="H507" s="150">
        <f t="shared" si="186"/>
        <v>3.6350143672704713E-2</v>
      </c>
      <c r="I507" s="146">
        <f t="shared" si="186"/>
        <v>1.5137849846200596E-2</v>
      </c>
      <c r="J507" s="144">
        <f>SUM(D507:I507)</f>
        <v>0.99999999999999989</v>
      </c>
      <c r="K507" s="107"/>
    </row>
    <row r="508" spans="2:11" x14ac:dyDescent="0.3">
      <c r="B508" s="115" t="s">
        <v>376</v>
      </c>
      <c r="C508" s="122" t="s">
        <v>9</v>
      </c>
      <c r="D508" s="135">
        <f>'24M_Seeds'!AL124</f>
        <v>6.3804999999999996</v>
      </c>
      <c r="E508" s="135">
        <f>'24M_Seeds'!AM124</f>
        <v>216.95949999999999</v>
      </c>
      <c r="F508" s="135">
        <f>'24M_Seeds'!AN124</f>
        <v>5179.933500000001</v>
      </c>
      <c r="G508" s="135">
        <f>'24M_Seeds'!AO124</f>
        <v>589.63849999999991</v>
      </c>
      <c r="H508" s="135">
        <f>'24M_Seeds'!AP124</f>
        <v>231.33799999999991</v>
      </c>
      <c r="I508" s="108">
        <f>$K$2-K508</f>
        <v>95.669999999999163</v>
      </c>
      <c r="J508" s="115" t="s">
        <v>36</v>
      </c>
      <c r="K508" s="136">
        <f t="shared" ref="K508" si="187">SUM(D508:H508)</f>
        <v>6224.2500000000009</v>
      </c>
    </row>
    <row r="509" spans="2:11" x14ac:dyDescent="0.3">
      <c r="B509" s="115"/>
      <c r="C509" s="140" t="s">
        <v>455</v>
      </c>
      <c r="D509" s="150">
        <f t="shared" ref="D509" si="188">D508/$K$2</f>
        <v>1.0095855643742326E-3</v>
      </c>
      <c r="E509" s="150">
        <f t="shared" ref="E509:I509" si="189">E508/$K$2</f>
        <v>3.4329469360371651E-2</v>
      </c>
      <c r="F509" s="150">
        <f t="shared" si="189"/>
        <v>0.81962010595070833</v>
      </c>
      <c r="G509" s="150">
        <f t="shared" si="189"/>
        <v>9.3298412005215242E-2</v>
      </c>
      <c r="H509" s="150">
        <f t="shared" si="189"/>
        <v>3.6604577273130025E-2</v>
      </c>
      <c r="I509" s="146">
        <f t="shared" si="189"/>
        <v>1.5137849846200452E-2</v>
      </c>
      <c r="J509" s="144">
        <f>SUM(D509:I509)</f>
        <v>1</v>
      </c>
      <c r="K509" s="136"/>
    </row>
    <row r="510" spans="2:11" x14ac:dyDescent="0.3">
      <c r="B510" s="107"/>
      <c r="C510" s="147" t="s">
        <v>368</v>
      </c>
      <c r="D510" s="108">
        <f>'24M_Seeds'!AL125</f>
        <v>0.56748683035959469</v>
      </c>
      <c r="E510" s="108">
        <f>'24M_Seeds'!AM125</f>
        <v>2.2273904338343655</v>
      </c>
      <c r="F510" s="108">
        <f>'24M_Seeds'!AN125</f>
        <v>2.6273195541223671</v>
      </c>
      <c r="G510" s="108">
        <f>'24M_Seeds'!AO125</f>
        <v>2.1805524740545144</v>
      </c>
      <c r="H510" s="108">
        <f>'24M_Seeds'!AP125</f>
        <v>1.7446603650778809</v>
      </c>
      <c r="I510" s="107"/>
      <c r="J510" s="107"/>
      <c r="K510" s="107"/>
    </row>
    <row r="511" spans="2:11" x14ac:dyDescent="0.3">
      <c r="B511" s="107"/>
      <c r="C511" s="147" t="s">
        <v>458</v>
      </c>
      <c r="D511" s="108">
        <f>1.96*D510</f>
        <v>1.1122741875048057</v>
      </c>
      <c r="E511" s="108">
        <f>1.96*E510</f>
        <v>4.365685250315356</v>
      </c>
      <c r="F511" s="108">
        <f>1.96*F510</f>
        <v>5.1495463260798395</v>
      </c>
      <c r="G511" s="108">
        <f>1.96*G510</f>
        <v>4.2738828491468484</v>
      </c>
      <c r="H511" s="108">
        <f>1.96*H510</f>
        <v>3.4195343155526468</v>
      </c>
      <c r="I511" s="107"/>
      <c r="J511" s="107"/>
      <c r="K511" s="107"/>
    </row>
    <row r="512" spans="2:11" x14ac:dyDescent="0.3">
      <c r="B512" s="107"/>
      <c r="C512" s="147" t="s">
        <v>457</v>
      </c>
      <c r="D512" s="148">
        <f>D510/$K$2</f>
        <v>8.9793356618374072E-5</v>
      </c>
      <c r="E512" s="148">
        <f>E510/$K$2</f>
        <v>3.5243965648843113E-4</v>
      </c>
      <c r="F512" s="148">
        <f>F510/$K$2</f>
        <v>4.1572038160647083E-4</v>
      </c>
      <c r="G512" s="148">
        <f>G510/$K$2</f>
        <v>3.450284930908167E-4</v>
      </c>
      <c r="H512" s="148">
        <f>H510/$K$2</f>
        <v>2.7605734963067268E-4</v>
      </c>
      <c r="I512" s="107"/>
      <c r="J512" s="107"/>
      <c r="K512" s="107"/>
    </row>
    <row r="513" spans="2:11" x14ac:dyDescent="0.3">
      <c r="B513" s="140"/>
      <c r="C513" s="128" t="s">
        <v>459</v>
      </c>
      <c r="D513" s="149">
        <f>1.96*D512</f>
        <v>1.7599497897201316E-4</v>
      </c>
      <c r="E513" s="149">
        <f>1.96*E512</f>
        <v>6.90781726717325E-4</v>
      </c>
      <c r="F513" s="149">
        <f>1.96*F512</f>
        <v>8.148119479486828E-4</v>
      </c>
      <c r="G513" s="149">
        <f>1.96*G512</f>
        <v>6.7625584645800076E-4</v>
      </c>
      <c r="H513" s="149">
        <f>1.96*H512</f>
        <v>5.4107240527611841E-4</v>
      </c>
      <c r="I513" s="107"/>
      <c r="J513" s="107"/>
      <c r="K513" s="107"/>
    </row>
    <row r="514" spans="2:11" x14ac:dyDescent="0.3">
      <c r="B514" s="119" t="s">
        <v>675</v>
      </c>
      <c r="C514" s="107"/>
      <c r="D514" s="116"/>
      <c r="E514" s="116"/>
      <c r="F514" s="116"/>
      <c r="G514" s="116"/>
      <c r="H514" s="116"/>
      <c r="I514" s="107"/>
      <c r="J514" s="107"/>
      <c r="K514" s="107"/>
    </row>
    <row r="515" spans="2:11" x14ac:dyDescent="0.3">
      <c r="B515" s="115" t="s">
        <v>375</v>
      </c>
      <c r="C515" s="122" t="s">
        <v>9</v>
      </c>
      <c r="D515" s="135">
        <f>'24M_Seeds'!AL127</f>
        <v>226.16</v>
      </c>
      <c r="E515" s="135">
        <f>'24M_Seeds'!AM127</f>
        <v>137.78</v>
      </c>
      <c r="F515" s="135">
        <f>'24M_Seeds'!AN127</f>
        <v>4246.3</v>
      </c>
      <c r="G515" s="135">
        <f>'24M_Seeds'!AO127</f>
        <v>15462.81</v>
      </c>
      <c r="H515" s="135">
        <f>'24M_Seeds'!AP127</f>
        <v>4574.74</v>
      </c>
      <c r="I515" s="108">
        <f>$K$3-K515</f>
        <v>108.15999999999985</v>
      </c>
      <c r="J515" s="115" t="s">
        <v>36</v>
      </c>
      <c r="K515" s="136">
        <f t="shared" ref="K515" si="190">SUM(D515:H515)</f>
        <v>24647.79</v>
      </c>
    </row>
    <row r="516" spans="2:11" x14ac:dyDescent="0.3">
      <c r="B516" s="107"/>
      <c r="C516" s="107" t="s">
        <v>456</v>
      </c>
      <c r="D516" s="145">
        <f t="shared" ref="D516" si="191">D515/$K$3</f>
        <v>9.1355815470624234E-3</v>
      </c>
      <c r="E516" s="145">
        <f t="shared" ref="E516:I516" si="192">E515/$K$3</f>
        <v>5.5655307107988182E-3</v>
      </c>
      <c r="F516" s="145">
        <f t="shared" si="192"/>
        <v>0.17152644111819584</v>
      </c>
      <c r="G516" s="145">
        <f t="shared" si="192"/>
        <v>0.62460984127048236</v>
      </c>
      <c r="H516" s="145">
        <f t="shared" si="192"/>
        <v>0.18479355468079389</v>
      </c>
      <c r="I516" s="145">
        <f t="shared" si="192"/>
        <v>4.369050672666565E-3</v>
      </c>
      <c r="J516" s="144">
        <f>SUM(D516:I516)</f>
        <v>1</v>
      </c>
      <c r="K516" s="107"/>
    </row>
    <row r="517" spans="2:11" x14ac:dyDescent="0.3">
      <c r="B517" s="115" t="s">
        <v>376</v>
      </c>
      <c r="C517" s="122" t="s">
        <v>9</v>
      </c>
      <c r="D517" s="135">
        <f>'24M_Seeds'!AL129</f>
        <v>225.02000000000004</v>
      </c>
      <c r="E517" s="135">
        <f>'24M_Seeds'!AM129</f>
        <v>145.392</v>
      </c>
      <c r="F517" s="135">
        <f>'24M_Seeds'!AN129</f>
        <v>4247.0959999999995</v>
      </c>
      <c r="G517" s="135">
        <f>'24M_Seeds'!AO129</f>
        <v>15445.788500000001</v>
      </c>
      <c r="H517" s="135">
        <f>'24M_Seeds'!AP129</f>
        <v>4584.4985000000006</v>
      </c>
      <c r="I517" s="108">
        <f>$K$3-K517</f>
        <v>108.15499999999884</v>
      </c>
      <c r="J517" s="115" t="s">
        <v>36</v>
      </c>
      <c r="K517" s="136">
        <f t="shared" ref="K517" si="193">SUM(D517:H517)</f>
        <v>24647.795000000002</v>
      </c>
    </row>
    <row r="518" spans="2:11" x14ac:dyDescent="0.3">
      <c r="B518" s="115"/>
      <c r="C518" s="140" t="s">
        <v>455</v>
      </c>
      <c r="D518" s="150">
        <f t="shared" ref="D518" si="194">D517/$K$3</f>
        <v>9.0895320114962267E-3</v>
      </c>
      <c r="E518" s="150">
        <f t="shared" ref="E518:I518" si="195">E517/$K$3</f>
        <v>5.8730123465267946E-3</v>
      </c>
      <c r="F518" s="150">
        <f t="shared" si="195"/>
        <v>0.17155859500443327</v>
      </c>
      <c r="G518" s="150">
        <f t="shared" si="195"/>
        <v>0.6239222691918509</v>
      </c>
      <c r="H518" s="150">
        <f t="shared" si="195"/>
        <v>0.18518774274467353</v>
      </c>
      <c r="I518" s="145">
        <f t="shared" si="195"/>
        <v>4.3688487010193041E-3</v>
      </c>
      <c r="J518" s="144">
        <f>SUM(D518:I518)</f>
        <v>1</v>
      </c>
      <c r="K518" s="136"/>
    </row>
    <row r="519" spans="2:11" x14ac:dyDescent="0.3">
      <c r="B519" s="107"/>
      <c r="C519" s="147" t="s">
        <v>368</v>
      </c>
      <c r="D519" s="108">
        <f>'24M_Seeds'!AL130</f>
        <v>0.38222134672822311</v>
      </c>
      <c r="E519" s="108">
        <f>'24M_Seeds'!AM130</f>
        <v>3.4091888678749105</v>
      </c>
      <c r="F519" s="108">
        <f>'24M_Seeds'!AN130</f>
        <v>13.842032049636265</v>
      </c>
      <c r="G519" s="108">
        <f>'24M_Seeds'!AO130</f>
        <v>17.920324307964787</v>
      </c>
      <c r="H519" s="108">
        <f>'24M_Seeds'!AP130</f>
        <v>14.561576896877769</v>
      </c>
      <c r="I519" s="107"/>
      <c r="J519" s="107"/>
      <c r="K519" s="107"/>
    </row>
    <row r="520" spans="2:11" x14ac:dyDescent="0.3">
      <c r="B520" s="107"/>
      <c r="C520" s="147" t="s">
        <v>458</v>
      </c>
      <c r="D520" s="108">
        <f>1.96*D519</f>
        <v>0.74915383958731729</v>
      </c>
      <c r="E520" s="108">
        <f>1.96*E519</f>
        <v>6.6820101810348245</v>
      </c>
      <c r="F520" s="108">
        <f>1.96*F519</f>
        <v>27.130382817287078</v>
      </c>
      <c r="G520" s="108">
        <f>1.96*G519</f>
        <v>35.123835643610981</v>
      </c>
      <c r="H520" s="108">
        <f>1.96*H519</f>
        <v>28.540690717880427</v>
      </c>
      <c r="I520" s="107"/>
      <c r="J520" s="107"/>
      <c r="K520" s="107"/>
    </row>
    <row r="521" spans="2:11" x14ac:dyDescent="0.3">
      <c r="B521" s="107"/>
      <c r="C521" s="147" t="s">
        <v>457</v>
      </c>
      <c r="D521" s="148">
        <f>D519/$K$3</f>
        <v>1.5439575000281674E-5</v>
      </c>
      <c r="E521" s="148">
        <f>E519/$K$3</f>
        <v>1.3771189826586783E-4</v>
      </c>
      <c r="F521" s="148">
        <f>F519/$K$3</f>
        <v>5.5913960278786568E-4</v>
      </c>
      <c r="G521" s="148">
        <f>G519/$K$3</f>
        <v>7.238794838398359E-4</v>
      </c>
      <c r="H521" s="148">
        <f>H519/$K$3</f>
        <v>5.8820513439709519E-4</v>
      </c>
      <c r="I521" s="107"/>
      <c r="J521" s="107"/>
      <c r="K521" s="107"/>
    </row>
    <row r="522" spans="2:11" x14ac:dyDescent="0.3">
      <c r="B522" s="140"/>
      <c r="C522" s="128" t="s">
        <v>459</v>
      </c>
      <c r="D522" s="149">
        <f>1.96*D521</f>
        <v>3.0261567000552081E-5</v>
      </c>
      <c r="E522" s="149">
        <f>1.96*E521</f>
        <v>2.6991532060110092E-4</v>
      </c>
      <c r="F522" s="149">
        <f>1.96*F521</f>
        <v>1.0959136214642167E-3</v>
      </c>
      <c r="G522" s="149">
        <f>1.96*G521</f>
        <v>1.4188037883260784E-3</v>
      </c>
      <c r="H522" s="149">
        <f>1.96*H521</f>
        <v>1.1528820634183065E-3</v>
      </c>
      <c r="I522" s="107"/>
      <c r="J522" s="107"/>
      <c r="K522" s="107"/>
    </row>
    <row r="523" spans="2:11" x14ac:dyDescent="0.3">
      <c r="B523" s="119" t="s">
        <v>712</v>
      </c>
      <c r="C523" s="107"/>
      <c r="D523" s="116"/>
      <c r="E523" s="116"/>
      <c r="F523" s="116"/>
      <c r="G523" s="116"/>
      <c r="H523" s="116"/>
      <c r="I523" s="107"/>
      <c r="J523" s="107"/>
      <c r="K523" s="107"/>
    </row>
    <row r="524" spans="2:11" x14ac:dyDescent="0.3">
      <c r="B524" s="115" t="s">
        <v>375</v>
      </c>
      <c r="C524" s="122" t="s">
        <v>9</v>
      </c>
      <c r="D524" s="135">
        <f>'24M_Seeds'!AL132</f>
        <v>0.06</v>
      </c>
      <c r="E524" s="135">
        <f>'24M_Seeds'!AM132</f>
        <v>18.98</v>
      </c>
      <c r="F524" s="135">
        <f>'24M_Seeds'!AN132</f>
        <v>1179.93</v>
      </c>
      <c r="G524" s="135">
        <f>'24M_Seeds'!AO132</f>
        <v>230.11</v>
      </c>
      <c r="H524" s="135">
        <f>'24M_Seeds'!AP132</f>
        <v>33.24</v>
      </c>
      <c r="I524" s="108">
        <f>$K$4-K524</f>
        <v>6.4400000000000546</v>
      </c>
      <c r="J524" s="115" t="s">
        <v>36</v>
      </c>
      <c r="K524" s="136">
        <f t="shared" ref="K524" si="196">SUM(D524:H524)</f>
        <v>1462.32</v>
      </c>
    </row>
    <row r="525" spans="2:11" x14ac:dyDescent="0.3">
      <c r="B525" s="107"/>
      <c r="C525" s="140" t="s">
        <v>455</v>
      </c>
      <c r="D525" s="150">
        <f t="shared" ref="D525" si="197">D524/$K$4</f>
        <v>4.0850785696778231E-5</v>
      </c>
      <c r="E525" s="150">
        <f t="shared" ref="E525:I525" si="198">E524/$K$4</f>
        <v>1.2922465208747515E-2</v>
      </c>
      <c r="F525" s="150">
        <f t="shared" si="198"/>
        <v>0.80335112611999238</v>
      </c>
      <c r="G525" s="150">
        <f t="shared" si="198"/>
        <v>0.15666957161142733</v>
      </c>
      <c r="H525" s="150">
        <f t="shared" si="198"/>
        <v>2.2631335276015144E-2</v>
      </c>
      <c r="I525" s="146">
        <f t="shared" si="198"/>
        <v>4.3846509981209014E-3</v>
      </c>
      <c r="J525" s="144">
        <f>SUM(D525:I525)</f>
        <v>1</v>
      </c>
      <c r="K525" s="107"/>
    </row>
    <row r="526" spans="2:11" x14ac:dyDescent="0.3">
      <c r="B526" s="115" t="s">
        <v>376</v>
      </c>
      <c r="C526" s="122" t="s">
        <v>9</v>
      </c>
      <c r="D526" s="139">
        <f>'24M_Seeds'!AL134</f>
        <v>3.7500000000000012E-2</v>
      </c>
      <c r="E526" s="135">
        <f>'24M_Seeds'!AM134</f>
        <v>19.704999999999998</v>
      </c>
      <c r="F526" s="135">
        <f>'24M_Seeds'!AN134</f>
        <v>1176.607</v>
      </c>
      <c r="G526" s="135">
        <f>'24M_Seeds'!AO134</f>
        <v>232.40949999999998</v>
      </c>
      <c r="H526" s="135">
        <f>'24M_Seeds'!AP134</f>
        <v>33.556500000000007</v>
      </c>
      <c r="I526" s="108">
        <f>$K$4-K526</f>
        <v>6.4445000000000618</v>
      </c>
      <c r="J526" s="115" t="s">
        <v>36</v>
      </c>
      <c r="K526" s="136">
        <f t="shared" ref="K526" si="199">SUM(D526:H526)</f>
        <v>1462.3154999999999</v>
      </c>
    </row>
    <row r="527" spans="2:11" x14ac:dyDescent="0.3">
      <c r="B527" s="115"/>
      <c r="C527" s="140" t="s">
        <v>455</v>
      </c>
      <c r="D527" s="150">
        <f t="shared" ref="D527" si="200">D526/$K$4</f>
        <v>2.5531741060486406E-5</v>
      </c>
      <c r="E527" s="150">
        <f t="shared" ref="E527:I527" si="201">E526/$K$4</f>
        <v>1.3416078869250251E-2</v>
      </c>
      <c r="F527" s="150">
        <f t="shared" si="201"/>
        <v>0.80108867343881918</v>
      </c>
      <c r="G527" s="150">
        <f t="shared" si="201"/>
        <v>0.15823517797325634</v>
      </c>
      <c r="H527" s="150">
        <f t="shared" si="201"/>
        <v>2.2846823170565651E-2</v>
      </c>
      <c r="I527" s="146">
        <f t="shared" si="201"/>
        <v>4.3877148070481644E-3</v>
      </c>
      <c r="J527" s="144">
        <f>SUM(D527:I527)</f>
        <v>1</v>
      </c>
      <c r="K527" s="136"/>
    </row>
    <row r="528" spans="2:11" x14ac:dyDescent="0.3">
      <c r="B528" s="107"/>
      <c r="C528" s="147" t="s">
        <v>368</v>
      </c>
      <c r="D528" s="108">
        <f>'24M_Seeds'!AL135</f>
        <v>7.7417188353953916E-3</v>
      </c>
      <c r="E528" s="108">
        <f>'24M_Seeds'!AM135</f>
        <v>0.29747136085061326</v>
      </c>
      <c r="F528" s="108">
        <f>'24M_Seeds'!AN135</f>
        <v>0.79484295039301267</v>
      </c>
      <c r="G528" s="108">
        <f>'24M_Seeds'!AO135</f>
        <v>0.77971130791095311</v>
      </c>
      <c r="H528" s="108">
        <f>'24M_Seeds'!AP135</f>
        <v>0.37270015816301555</v>
      </c>
      <c r="I528" s="107"/>
      <c r="J528" s="107"/>
      <c r="K528" s="107"/>
    </row>
    <row r="529" spans="2:11" x14ac:dyDescent="0.3">
      <c r="B529" s="107"/>
      <c r="C529" s="147" t="s">
        <v>458</v>
      </c>
      <c r="D529" s="108">
        <f>1.96*D528</f>
        <v>1.5173768917374967E-2</v>
      </c>
      <c r="E529" s="108">
        <f>1.96*E528</f>
        <v>0.58304386726720203</v>
      </c>
      <c r="F529" s="108">
        <f>1.96*F528</f>
        <v>1.5578921827703047</v>
      </c>
      <c r="G529" s="108">
        <f>1.96*G528</f>
        <v>1.5282341635054681</v>
      </c>
      <c r="H529" s="108">
        <f>1.96*H528</f>
        <v>0.73049230999951043</v>
      </c>
      <c r="I529" s="107"/>
      <c r="J529" s="107"/>
      <c r="K529" s="107"/>
    </row>
    <row r="530" spans="2:11" x14ac:dyDescent="0.3">
      <c r="B530" s="107"/>
      <c r="C530" s="147" t="s">
        <v>457</v>
      </c>
      <c r="D530" s="148">
        <f>D528/$K$4</f>
        <v>5.270921617824145E-6</v>
      </c>
      <c r="E530" s="148">
        <f>E528/$K$4</f>
        <v>2.0253231355062316E-4</v>
      </c>
      <c r="F530" s="148">
        <f>F528/$K$4</f>
        <v>5.4116598381833152E-4</v>
      </c>
      <c r="G530" s="148">
        <f>G528/$K$4</f>
        <v>5.3086365908041689E-4</v>
      </c>
      <c r="H530" s="148">
        <f>H528/$K$4</f>
        <v>2.53751571504545E-4</v>
      </c>
      <c r="I530" s="107"/>
      <c r="J530" s="107"/>
      <c r="K530" s="107"/>
    </row>
    <row r="531" spans="2:11" x14ac:dyDescent="0.3">
      <c r="B531" s="107"/>
      <c r="C531" s="128" t="s">
        <v>459</v>
      </c>
      <c r="D531" s="149">
        <f>1.96*D530</f>
        <v>1.0331006370935324E-5</v>
      </c>
      <c r="E531" s="149">
        <f>1.96*E530</f>
        <v>3.9696333455922138E-4</v>
      </c>
      <c r="F531" s="149">
        <f>1.96*F530</f>
        <v>1.0606853282839298E-3</v>
      </c>
      <c r="G531" s="149">
        <f>1.96*G530</f>
        <v>1.040492771797617E-3</v>
      </c>
      <c r="H531" s="149">
        <f>1.96*H530</f>
        <v>4.973530801489082E-4</v>
      </c>
      <c r="I531" s="107"/>
      <c r="J531" s="107"/>
      <c r="K531" s="107"/>
    </row>
    <row r="535" spans="2:11" x14ac:dyDescent="0.3">
      <c r="B535" s="130" t="s">
        <v>462</v>
      </c>
      <c r="D535" s="153" t="s">
        <v>447</v>
      </c>
      <c r="E535" s="154" t="s">
        <v>446</v>
      </c>
      <c r="F535" s="155" t="s">
        <v>448</v>
      </c>
      <c r="G535" s="156" t="s">
        <v>449</v>
      </c>
      <c r="H535" s="157" t="s">
        <v>450</v>
      </c>
    </row>
    <row r="536" spans="2:11" x14ac:dyDescent="0.3">
      <c r="B536" s="131" t="s">
        <v>676</v>
      </c>
      <c r="C536" s="164" t="s">
        <v>76</v>
      </c>
      <c r="D536" s="159">
        <f>MIN(D18,D66,D114,D162,D210,D258,D306,D354,D402,D450,D498)</f>
        <v>0</v>
      </c>
      <c r="E536" s="159">
        <f>MIN(E18,E66,E114,E162,E210,E258,E306,E354,E402,E450,E498)</f>
        <v>0</v>
      </c>
      <c r="F536" s="159">
        <f>MIN(F18,F66,F114,F162,F210,F258,F306,F354,F402,F450,F498)</f>
        <v>1.131042618562766E-3</v>
      </c>
      <c r="G536" s="159">
        <f>MIN(G18,G66,G114,G162,G210,G258,G306,G354,G402,G450,G498)</f>
        <v>1.7714199178753146E-3</v>
      </c>
      <c r="H536" s="160">
        <f>MIN(H18,H66,H114,H162,H210,H258,H306,H354,H402,H450,H498)</f>
        <v>9.0870623059685835E-4</v>
      </c>
    </row>
    <row r="537" spans="2:11" x14ac:dyDescent="0.3">
      <c r="B537" s="107" t="s">
        <v>463</v>
      </c>
      <c r="C537" s="165" t="s">
        <v>460</v>
      </c>
      <c r="D537" s="158">
        <f>AVERAGE(D18,D66,D114,D162,D210,D258,D306,D354,D402,D450,D498)</f>
        <v>7.0467202366818399E-5</v>
      </c>
      <c r="E537" s="158">
        <f>AVERAGE(E18,E66,E114,E162,E210,E258,E306,E354,E402,E450,E498)</f>
        <v>5.1507058247528823E-4</v>
      </c>
      <c r="F537" s="158">
        <f>AVERAGE(F18,F66,F114,F162,F210,F258,F306,F354,F402,F450,F498)</f>
        <v>2.6345916219953107E-3</v>
      </c>
      <c r="G537" s="158">
        <f>AVERAGE(G18,G66,G114,G162,G210,G258,G306,G354,G402,G450,G498)</f>
        <v>3.2124534936793267E-3</v>
      </c>
      <c r="H537" s="161">
        <f>AVERAGE(H18,H66,H114,H162,H210,H258,H306,H354,H402,H450,H498)</f>
        <v>2.4588175664417458E-3</v>
      </c>
      <c r="J537" s="152"/>
    </row>
    <row r="538" spans="2:11" x14ac:dyDescent="0.3">
      <c r="B538" s="115" t="s">
        <v>355</v>
      </c>
      <c r="C538" s="165" t="s">
        <v>77</v>
      </c>
      <c r="D538" s="167">
        <f>MEDIAN(D18,D66,D114,D162,D210,D258,D306,D354,D402,D450,D498)</f>
        <v>0</v>
      </c>
      <c r="E538" s="167">
        <f>MEDIAN(E18,E66,E114,E162,E210,E258,E306,E354,E402,E450,E498)</f>
        <v>3.8574156123357171E-4</v>
      </c>
      <c r="F538" s="167">
        <f>MEDIAN(F18,F66,F114,F162,F210,F258,F306,F354,F402,F450,F498)</f>
        <v>2.3468601715543858E-3</v>
      </c>
      <c r="G538" s="167">
        <f>MEDIAN(G18,G66,G114,G162,G210,G258,G306,G354,G402,G450,G498)</f>
        <v>3.0770282054968789E-3</v>
      </c>
      <c r="H538" s="168">
        <f>MEDIAN(H18,H66,H114,H162,H210,H258,H306,H354,H402,H450,H498)</f>
        <v>1.9290932903510609E-3</v>
      </c>
      <c r="J538" s="152"/>
    </row>
    <row r="539" spans="2:11" x14ac:dyDescent="0.3">
      <c r="C539" s="165" t="s">
        <v>461</v>
      </c>
      <c r="D539" s="158">
        <f>MAX(D18,D66,D114,D162,D210,D258,D306,D354,D402,D450,D498)</f>
        <v>6.6592853079662994E-4</v>
      </c>
      <c r="E539" s="158">
        <f>MAX(E18,E66,E114,E162,E210,E258,E306,E354,E402,E450,E498)</f>
        <v>1.1786113207339502E-3</v>
      </c>
      <c r="F539" s="158">
        <f>MAX(F18,F66,F114,F162,F210,F258,F306,F354,F402,F450,F498)</f>
        <v>6.0302312067055507E-3</v>
      </c>
      <c r="G539" s="158">
        <f>MAX(G18,G66,G114,G162,G210,G258,G306,G354,G402,G450,G498)</f>
        <v>6.1306693592947806E-3</v>
      </c>
      <c r="H539" s="161">
        <f>MAX(H18,H66,H114,H162,H210,H258,H306,H354,H402,H450,H498)</f>
        <v>7.3854713714492926E-3</v>
      </c>
      <c r="J539" s="152"/>
    </row>
    <row r="540" spans="2:11" x14ac:dyDescent="0.3">
      <c r="B540" s="131" t="s">
        <v>676</v>
      </c>
      <c r="C540" s="164" t="s">
        <v>76</v>
      </c>
      <c r="D540" s="159">
        <f>MIN(D23,D71,D119,D167,D215,D263,D311,D359,D407,D455,D503)</f>
        <v>7.6841407072085067E-6</v>
      </c>
      <c r="E540" s="159">
        <f>MIN(E23,E71,E119,E167,E215,E263,E311,E359,E407,E455,E503)</f>
        <v>8.1458618110987028E-5</v>
      </c>
      <c r="F540" s="159">
        <f>MIN(F23,F71,F119,F167,F215,F263,F311,F359,F407,F455,F503)</f>
        <v>2.9186990588862089E-4</v>
      </c>
      <c r="G540" s="159">
        <f>MIN(G23,G71,G119,G167,G215,G263,G311,G359,G407,G455,G503)</f>
        <v>3.2812191505760544E-4</v>
      </c>
      <c r="H540" s="160">
        <f>MIN(H23,H71,H119,H167,H215,H263,H311,H359,H407,H455,H503)</f>
        <v>1.3341926710649501E-4</v>
      </c>
      <c r="I540" s="152"/>
      <c r="J540" s="152"/>
    </row>
    <row r="541" spans="2:11" x14ac:dyDescent="0.3">
      <c r="B541" s="115" t="s">
        <v>376</v>
      </c>
      <c r="C541" s="165" t="s">
        <v>460</v>
      </c>
      <c r="D541" s="158">
        <f>AVERAGE(D23,D71,D119,D167,D215,D263,D311,D359,D407,D455,D503)</f>
        <v>8.6361385667109057E-5</v>
      </c>
      <c r="E541" s="158">
        <f>AVERAGE(E23,E71,E119,E167,E215,E263,E311,E359,E407,E455,E503)</f>
        <v>5.0375781121399753E-4</v>
      </c>
      <c r="F541" s="158">
        <f>AVERAGE(F23,F71,F119,F167,F215,F263,F311,F359,F407,F455,F503)</f>
        <v>1.0429073729595546E-3</v>
      </c>
      <c r="G541" s="158">
        <f>AVERAGE(G23,G71,G119,G167,G215,G263,G311,G359,G407,G455,G503)</f>
        <v>1.2410746313999872E-3</v>
      </c>
      <c r="H541" s="161">
        <f>AVERAGE(H23,H71,H119,H167,H215,H263,H311,H359,H407,H455,H503)</f>
        <v>6.0553796072854551E-4</v>
      </c>
      <c r="J541" s="152"/>
    </row>
    <row r="542" spans="2:11" x14ac:dyDescent="0.3">
      <c r="C542" s="165" t="s">
        <v>77</v>
      </c>
      <c r="D542" s="167">
        <f>MEDIAN(D23,D71,D119,D167,D215,D263,D311,D359,D407,D455,D503)</f>
        <v>3.0927675148590542E-5</v>
      </c>
      <c r="E542" s="167">
        <f>MEDIAN(E23,E71,E119,E167,E215,E263,E311,E359,E407,E455,E503)</f>
        <v>1.2670683502848215E-4</v>
      </c>
      <c r="F542" s="167">
        <f>MEDIAN(F23,F71,F119,F167,F215,F263,F311,F359,F407,F455,F503)</f>
        <v>4.9284090621347614E-4</v>
      </c>
      <c r="G542" s="167">
        <f>MEDIAN(G23,G71,G119,G167,G215,G263,G311,G359,G407,G455,G503)</f>
        <v>5.2525406185392331E-4</v>
      </c>
      <c r="H542" s="168">
        <f>MEDIAN(H23,H71,H119,H167,H215,H263,H311,H359,H407,H455,H503)</f>
        <v>3.3098461966562647E-4</v>
      </c>
      <c r="J542" s="152"/>
    </row>
    <row r="543" spans="2:11" x14ac:dyDescent="0.3">
      <c r="C543" s="166" t="s">
        <v>461</v>
      </c>
      <c r="D543" s="162">
        <f>MAX(D23,D71,D119,D167,D215,D263,D311,D359,D407,D455,D503)</f>
        <v>4.7231745802372993E-4</v>
      </c>
      <c r="E543" s="162">
        <f>MAX(E23,E71,E119,E167,E215,E263,E311,E359,E407,E455,E503)</f>
        <v>4.1621563003627167E-3</v>
      </c>
      <c r="F543" s="162">
        <f>MAX(F23,F71,F119,F167,F215,F263,F311,F359,F407,F455,F503)</f>
        <v>6.3278284000906028E-3</v>
      </c>
      <c r="G543" s="162">
        <f>MAX(G23,G71,G119,G167,G215,G263,G311,G359,G407,G455,G503)</f>
        <v>8.2811023903193066E-3</v>
      </c>
      <c r="H543" s="163">
        <f>MAX(H23,H71,H119,H167,H215,H263,H311,H359,H407,H455,H503)</f>
        <v>3.2183230643078016E-3</v>
      </c>
      <c r="J543" s="152"/>
    </row>
    <row r="544" spans="2:11" x14ac:dyDescent="0.3">
      <c r="B544" s="131" t="s">
        <v>713</v>
      </c>
      <c r="C544" s="165" t="s">
        <v>76</v>
      </c>
      <c r="D544" s="158" t="e">
        <f>MIN(D32,D80,D128,D176,D224,D272,D320,D368,D416,D464,D512)</f>
        <v>#VALUE!</v>
      </c>
      <c r="E544" s="158" t="e">
        <f>MIN(E32,E80,E128,E176,E224,E272,E320,E368,E416,E464,E512)</f>
        <v>#VALUE!</v>
      </c>
      <c r="F544" s="158" t="e">
        <f>MIN(F32,F80,F128,F176,F224,F272,F320,F368,F416,F464,F512)</f>
        <v>#VALUE!</v>
      </c>
      <c r="G544" s="158" t="e">
        <f>MIN(G32,G80,G128,G176,G224,G272,G320,G368,G416,G464,G512)</f>
        <v>#VALUE!</v>
      </c>
      <c r="H544" s="161" t="e">
        <f>MIN(H32,H80,H128,H176,H224,H272,H320,H368,H416,H464,H512)</f>
        <v>#VALUE!</v>
      </c>
      <c r="J544" s="152"/>
    </row>
    <row r="545" spans="2:10" x14ac:dyDescent="0.3">
      <c r="B545" s="115" t="s">
        <v>376</v>
      </c>
      <c r="C545" s="165" t="s">
        <v>460</v>
      </c>
      <c r="D545" s="158" t="e">
        <f>AVERAGE(D32,D80,D128,D176,D224,D272,D320,D368,D416,D464,D512)</f>
        <v>#VALUE!</v>
      </c>
      <c r="E545" s="158" t="e">
        <f>AVERAGE(E32,E80,E128,E176,E224,E272,E320,E368,E416,E464,E512)</f>
        <v>#VALUE!</v>
      </c>
      <c r="F545" s="158" t="e">
        <f>AVERAGE(F32,F80,F128,F176,F224,F272,F320,F368,F416,F464,F512)</f>
        <v>#VALUE!</v>
      </c>
      <c r="G545" s="158" t="e">
        <f>AVERAGE(G32,G80,G128,G176,G224,G272,G320,G368,G416,G464,G512)</f>
        <v>#VALUE!</v>
      </c>
      <c r="H545" s="161" t="e">
        <f>AVERAGE(H32,H80,H128,H176,H224,H272,H320,H368,H416,H464,H512)</f>
        <v>#VALUE!</v>
      </c>
      <c r="J545" s="152"/>
    </row>
    <row r="546" spans="2:10" x14ac:dyDescent="0.3">
      <c r="C546" s="165" t="s">
        <v>77</v>
      </c>
      <c r="D546" s="167" t="e">
        <f>MEDIAN(D32,D80,D128,D176,D224,D272,D320,D368,D416,D464,D512)</f>
        <v>#VALUE!</v>
      </c>
      <c r="E546" s="167" t="e">
        <f>MEDIAN(E32,E80,E128,E176,E224,E272,E320,E368,E416,E464,E512)</f>
        <v>#VALUE!</v>
      </c>
      <c r="F546" s="167" t="e">
        <f>MEDIAN(F32,F80,F128,F176,F224,F272,F320,F368,F416,F464,F512)</f>
        <v>#VALUE!</v>
      </c>
      <c r="G546" s="167" t="e">
        <f>MEDIAN(G32,G80,G128,G176,G224,G272,G320,G368,G416,G464,G512)</f>
        <v>#VALUE!</v>
      </c>
      <c r="H546" s="168" t="e">
        <f>MEDIAN(H32,H80,H128,H176,H224,H272,H320,H368,H416,H464,H512)</f>
        <v>#VALUE!</v>
      </c>
      <c r="J546" s="152"/>
    </row>
    <row r="547" spans="2:10" x14ac:dyDescent="0.3">
      <c r="C547" s="165" t="s">
        <v>461</v>
      </c>
      <c r="D547" s="158" t="e">
        <f>MAX(D32,D80,D128,D176,D224,D272,D320,D368,D416,D464,D512)</f>
        <v>#VALUE!</v>
      </c>
      <c r="E547" s="158" t="e">
        <f>MAX(E32,E80,E128,E176,E224,E272,E320,E368,E416,E464,E512)</f>
        <v>#VALUE!</v>
      </c>
      <c r="F547" s="158" t="e">
        <f>MAX(F32,F80,F128,F176,F224,F272,F320,F368,F416,F464,F512)</f>
        <v>#VALUE!</v>
      </c>
      <c r="G547" s="158" t="e">
        <f>MAX(G32,G80,G128,G176,G224,G272,G320,G368,G416,G464,G512)</f>
        <v>#VALUE!</v>
      </c>
      <c r="H547" s="161" t="e">
        <f>MAX(H32,H80,H128,H176,H224,H272,H320,H368,H416,H464,H512)</f>
        <v>#VALUE!</v>
      </c>
      <c r="J547" s="152"/>
    </row>
    <row r="548" spans="2:10" x14ac:dyDescent="0.3">
      <c r="B548" s="131" t="s">
        <v>636</v>
      </c>
      <c r="C548" s="164" t="s">
        <v>76</v>
      </c>
      <c r="D548" s="159">
        <f>MIN(D41,D89,D137,D185,D233,D281,D329,D377,D425,D473,D521)</f>
        <v>1.5439575000281674E-5</v>
      </c>
      <c r="E548" s="159">
        <f>MIN(E41,E89,E137,E185,E233,E281,E329,E377,E425,E473,E521)</f>
        <v>6.4678853689174656E-5</v>
      </c>
      <c r="F548" s="159">
        <f>MIN(F41,F89,F137,F185,F233,F281,F329,F377,F425,F473,F521)</f>
        <v>3.0928619126621102E-4</v>
      </c>
      <c r="G548" s="159">
        <f>MIN(G41,G89,G137,G185,G233,G281,G329,G377,G425,G473,G521)</f>
        <v>5.8252952807390441E-4</v>
      </c>
      <c r="H548" s="160">
        <f>MIN(H41,H89,H137,H185,H233,H281,H329,H377,H425,H473,H521)</f>
        <v>4.1410474455772422E-4</v>
      </c>
      <c r="J548" s="152"/>
    </row>
    <row r="549" spans="2:10" x14ac:dyDescent="0.3">
      <c r="B549" s="115" t="s">
        <v>376</v>
      </c>
      <c r="C549" s="165" t="s">
        <v>460</v>
      </c>
      <c r="D549" s="158">
        <f>AVERAGE(D41,D89,D137,D185,D233,D281,D329,D377,D425,D473,D521)</f>
        <v>1.590543342168955E-4</v>
      </c>
      <c r="E549" s="158">
        <f>AVERAGE(E41,E89,E137,E185,E233,E281,E329,E377,E425,E473,E521)</f>
        <v>1.9166642938800714E-4</v>
      </c>
      <c r="F549" s="158">
        <f>AVERAGE(F41,F89,F137,F185,F233,F281,F329,F377,F425,F473,F521)</f>
        <v>6.0062402453820113E-4</v>
      </c>
      <c r="G549" s="158">
        <f>AVERAGE(G41,G89,G137,G185,G233,G281,G329,G377,G425,G473,G521)</f>
        <v>8.6942209786199001E-4</v>
      </c>
      <c r="H549" s="161">
        <f>AVERAGE(H41,H89,H137,H185,H233,H281,H329,H377,H425,H473,H521)</f>
        <v>7.3371763617817551E-4</v>
      </c>
      <c r="J549" s="152"/>
    </row>
    <row r="550" spans="2:10" x14ac:dyDescent="0.3">
      <c r="C550" s="165" t="s">
        <v>77</v>
      </c>
      <c r="D550" s="167">
        <f>MEDIAN(D41,D89,D137,D185,D233,D281,D329,D377,D425,D473,D521)</f>
        <v>6.4886279555727392E-5</v>
      </c>
      <c r="E550" s="167">
        <f>MEDIAN(E41,E89,E137,E185,E233,E281,E329,E377,E425,E473,E521)</f>
        <v>1.9549188010076045E-4</v>
      </c>
      <c r="F550" s="167">
        <f>MEDIAN(F41,F89,F137,F185,F233,F281,F329,F377,F425,F473,F521)</f>
        <v>6.2169682567750643E-4</v>
      </c>
      <c r="G550" s="167">
        <f>MEDIAN(G41,G89,G137,G185,G233,G281,G329,G377,G425,G473,G521)</f>
        <v>7.6441328797012759E-4</v>
      </c>
      <c r="H550" s="168">
        <f>MEDIAN(H41,H89,H137,H185,H233,H281,H329,H377,H425,H473,H521)</f>
        <v>6.8653479897434354E-4</v>
      </c>
      <c r="J550" s="152"/>
    </row>
    <row r="551" spans="2:10" x14ac:dyDescent="0.3">
      <c r="C551" s="166" t="s">
        <v>461</v>
      </c>
      <c r="D551" s="162">
        <f>MAX(D41,D89,D137,D185,D233,D281,D329,D377,D425,D473,D521)</f>
        <v>7.1479637416706774E-4</v>
      </c>
      <c r="E551" s="162">
        <f>MAX(E41,E89,E137,E185,E233,E281,E329,E377,E425,E473,E521)</f>
        <v>3.3283582690048382E-4</v>
      </c>
      <c r="F551" s="162">
        <f>MAX(F41,F89,F137,F185,F233,F281,F329,F377,F425,F473,F521)</f>
        <v>1.0105298862166921E-3</v>
      </c>
      <c r="G551" s="162">
        <f>MAX(G41,G89,G137,G185,G233,G281,G329,G377,G425,G473,G521)</f>
        <v>1.2304164805256349E-3</v>
      </c>
      <c r="H551" s="163">
        <f>MAX(H41,H89,H137,H185,H233,H281,H329,H377,H425,H473,H521)</f>
        <v>1.186244739948001E-3</v>
      </c>
      <c r="J551" s="152"/>
    </row>
    <row r="552" spans="2:10" x14ac:dyDescent="0.3">
      <c r="B552" s="131" t="s">
        <v>714</v>
      </c>
      <c r="C552" s="165" t="s">
        <v>76</v>
      </c>
      <c r="D552" s="158" t="e">
        <f>MIN(D50,D98,D146,D194,D242,D290,D338,D386,D434,D482,D530)</f>
        <v>#VALUE!</v>
      </c>
      <c r="E552" s="158" t="e">
        <f>MIN(E50,E98,E146,E194,E242,E290,E338,E386,E434,E482,E530)</f>
        <v>#VALUE!</v>
      </c>
      <c r="F552" s="158" t="e">
        <f>MIN(F50,F98,F146,F194,F242,F290,F338,F386,F434,F482,F530)</f>
        <v>#VALUE!</v>
      </c>
      <c r="G552" s="158" t="e">
        <f>MIN(G50,G98,G146,G194,G242,G290,G338,G386,G434,G482,G530)</f>
        <v>#VALUE!</v>
      </c>
      <c r="H552" s="161" t="e">
        <f>MIN(H50,H98,H146,H194,H242,H290,H338,H386,H434,H482,H530)</f>
        <v>#VALUE!</v>
      </c>
      <c r="J552" s="152"/>
    </row>
    <row r="553" spans="2:10" x14ac:dyDescent="0.3">
      <c r="B553" s="115" t="s">
        <v>376</v>
      </c>
      <c r="C553" s="165" t="s">
        <v>460</v>
      </c>
      <c r="D553" s="158" t="e">
        <f>AVERAGE(D50,D98,D146,D194,D242,D290,D338,D386,D434,D482,D530)</f>
        <v>#VALUE!</v>
      </c>
      <c r="E553" s="158" t="e">
        <f>AVERAGE(E50,E98,E146,E194,E242,E290,E338,E386,E434,E482,E530)</f>
        <v>#VALUE!</v>
      </c>
      <c r="F553" s="158" t="e">
        <f>AVERAGE(F50,F98,F146,F194,F242,F290,F338,F386,F434,F482,F530)</f>
        <v>#VALUE!</v>
      </c>
      <c r="G553" s="158" t="e">
        <f>AVERAGE(G50,G98,G146,G194,G242,G290,G338,G386,G434,G482,G530)</f>
        <v>#VALUE!</v>
      </c>
      <c r="H553" s="161" t="e">
        <f>AVERAGE(H50,H98,H146,H194,H242,H290,H338,H386,H434,H482,H530)</f>
        <v>#VALUE!</v>
      </c>
      <c r="J553" s="152"/>
    </row>
    <row r="554" spans="2:10" x14ac:dyDescent="0.3">
      <c r="C554" s="165" t="s">
        <v>77</v>
      </c>
      <c r="D554" s="167" t="e">
        <f>MEDIAN(D50,D98,D146,D194,D242,D290,D338,D386,D434,D482,D530)</f>
        <v>#VALUE!</v>
      </c>
      <c r="E554" s="167" t="e">
        <f>MEDIAN(E50,E98,E146,E194,E242,E290,E338,E386,E434,E482,E530)</f>
        <v>#VALUE!</v>
      </c>
      <c r="F554" s="167" t="e">
        <f>MEDIAN(F50,F98,F146,F194,F242,F290,F338,F386,F434,F482,F530)</f>
        <v>#VALUE!</v>
      </c>
      <c r="G554" s="167" t="e">
        <f>MEDIAN(G50,G98,G146,G194,G242,G290,G338,G386,G434,G482,G530)</f>
        <v>#VALUE!</v>
      </c>
      <c r="H554" s="168" t="e">
        <f>MEDIAN(H50,H98,H146,H194,H242,H290,H338,H386,H434,H482,H530)</f>
        <v>#VALUE!</v>
      </c>
      <c r="J554" s="152"/>
    </row>
    <row r="555" spans="2:10" x14ac:dyDescent="0.3">
      <c r="C555" s="166" t="s">
        <v>461</v>
      </c>
      <c r="D555" s="162" t="e">
        <f>MAX(D50,D98,D146,D194,D242,D290,D338,D386,D434,D482,D530)</f>
        <v>#VALUE!</v>
      </c>
      <c r="E555" s="162" t="e">
        <f>MAX(E50,E98,E146,E194,E242,E290,E338,E386,E434,E482,E530)</f>
        <v>#VALUE!</v>
      </c>
      <c r="F555" s="162" t="e">
        <f>MAX(F50,F98,F146,F194,F242,F290,F338,F386,F434,F482,F530)</f>
        <v>#VALUE!</v>
      </c>
      <c r="G555" s="162" t="e">
        <f>MAX(G50,G98,G146,G194,G242,G290,G338,G386,G434,G482,G530)</f>
        <v>#VALUE!</v>
      </c>
      <c r="H555" s="163" t="e">
        <f>MAX(H50,H98,H146,H194,H242,H290,H338,H386,H434,H482,H530)</f>
        <v>#VALUE!</v>
      </c>
      <c r="J555" s="152"/>
    </row>
    <row r="556" spans="2:10" x14ac:dyDescent="0.3">
      <c r="J556" s="152"/>
    </row>
    <row r="557" spans="2:10" x14ac:dyDescent="0.3">
      <c r="D557" s="153" t="s">
        <v>447</v>
      </c>
      <c r="E557" s="154" t="s">
        <v>446</v>
      </c>
      <c r="F557" s="155" t="s">
        <v>448</v>
      </c>
      <c r="G557" s="156" t="s">
        <v>449</v>
      </c>
      <c r="H557" s="157" t="s">
        <v>450</v>
      </c>
      <c r="J557" s="152"/>
    </row>
    <row r="558" spans="2:10" x14ac:dyDescent="0.3">
      <c r="B558" s="131" t="s">
        <v>676</v>
      </c>
      <c r="C558" s="169">
        <v>1977</v>
      </c>
      <c r="D558" s="159">
        <f>D18</f>
        <v>1.2498370834048164E-5</v>
      </c>
      <c r="E558" s="159">
        <f>E18</f>
        <v>0</v>
      </c>
      <c r="F558" s="159">
        <f>F18</f>
        <v>1.8690114669293618E-3</v>
      </c>
      <c r="G558" s="159">
        <f>G18</f>
        <v>4.3158044634111561E-3</v>
      </c>
      <c r="H558" s="160">
        <f>H18</f>
        <v>3.9655672293447981E-3</v>
      </c>
      <c r="J558" s="152"/>
    </row>
    <row r="559" spans="2:10" x14ac:dyDescent="0.3">
      <c r="B559" s="107" t="s">
        <v>463</v>
      </c>
      <c r="C559" s="170">
        <v>1988</v>
      </c>
      <c r="D559" s="158">
        <f>D66</f>
        <v>0</v>
      </c>
      <c r="E559" s="158">
        <f>E66</f>
        <v>9.0263098925283283E-4</v>
      </c>
      <c r="F559" s="158">
        <f>F66</f>
        <v>6.0302312067055507E-3</v>
      </c>
      <c r="G559" s="158">
        <f>G66</f>
        <v>6.1306693592947806E-3</v>
      </c>
      <c r="H559" s="161">
        <f>H66</f>
        <v>7.3854713714492926E-3</v>
      </c>
      <c r="J559" s="152"/>
    </row>
    <row r="560" spans="2:10" x14ac:dyDescent="0.3">
      <c r="B560" s="115" t="s">
        <v>678</v>
      </c>
      <c r="C560" s="170" t="s">
        <v>369</v>
      </c>
      <c r="D560" s="158">
        <f>D114</f>
        <v>0</v>
      </c>
      <c r="E560" s="158">
        <f>E114</f>
        <v>1.1786113207339502E-3</v>
      </c>
      <c r="F560" s="158">
        <f>F114</f>
        <v>2.4014553202589919E-3</v>
      </c>
      <c r="G560" s="158">
        <f>G114</f>
        <v>3.3873539388072256E-3</v>
      </c>
      <c r="H560" s="161">
        <f>H114</f>
        <v>2.4375962244214946E-3</v>
      </c>
      <c r="J560" s="152"/>
    </row>
    <row r="561" spans="2:8" x14ac:dyDescent="0.3">
      <c r="C561" s="170" t="s">
        <v>371</v>
      </c>
      <c r="D561" s="158">
        <f>D162</f>
        <v>0</v>
      </c>
      <c r="E561" s="158">
        <f>E162</f>
        <v>8.8168218788689144E-4</v>
      </c>
      <c r="F561" s="158">
        <f>F162</f>
        <v>3.1523938806840061E-3</v>
      </c>
      <c r="G561" s="158">
        <f>G162</f>
        <v>3.0770282054968789E-3</v>
      </c>
      <c r="H561" s="161">
        <f>H162</f>
        <v>2.7038892522240673E-3</v>
      </c>
    </row>
    <row r="562" spans="2:8" x14ac:dyDescent="0.3">
      <c r="C562" s="170" t="s">
        <v>373</v>
      </c>
      <c r="D562" s="158">
        <f>D210</f>
        <v>0</v>
      </c>
      <c r="E562" s="158">
        <f>E210</f>
        <v>1.6561045521155298E-4</v>
      </c>
      <c r="F562" s="158">
        <f>F210</f>
        <v>1.2524329209936086E-3</v>
      </c>
      <c r="G562" s="158">
        <f>G210</f>
        <v>1.9985537260392124E-3</v>
      </c>
      <c r="H562" s="161">
        <f>H210</f>
        <v>1.633659971742239E-3</v>
      </c>
    </row>
    <row r="563" spans="2:8" x14ac:dyDescent="0.3">
      <c r="C563" s="170" t="s">
        <v>378</v>
      </c>
      <c r="D563" s="158">
        <f>D258</f>
        <v>0</v>
      </c>
      <c r="E563" s="158">
        <f>E258</f>
        <v>5.1902010263688884E-5</v>
      </c>
      <c r="F563" s="158">
        <f>F258</f>
        <v>2.3468601715543858E-3</v>
      </c>
      <c r="G563" s="158">
        <f>G258</f>
        <v>2.6753418148499509E-3</v>
      </c>
      <c r="H563" s="161">
        <f>H258</f>
        <v>1.4311410037658543E-3</v>
      </c>
    </row>
    <row r="564" spans="2:8" x14ac:dyDescent="0.3">
      <c r="C564" s="170" t="s">
        <v>380</v>
      </c>
      <c r="D564" s="158">
        <f>D306</f>
        <v>2.5033763780969002E-5</v>
      </c>
      <c r="E564" s="158">
        <f>E306</f>
        <v>2.7026924446367696E-4</v>
      </c>
      <c r="F564" s="158">
        <f>F306</f>
        <v>1.224991297709735E-3</v>
      </c>
      <c r="G564" s="158">
        <f>G306</f>
        <v>1.8343402937187941E-3</v>
      </c>
      <c r="H564" s="161">
        <f>H306</f>
        <v>1.4177497359615402E-3</v>
      </c>
    </row>
    <row r="565" spans="2:8" x14ac:dyDescent="0.3">
      <c r="C565" s="170" t="s">
        <v>452</v>
      </c>
      <c r="D565" s="158">
        <f>D354</f>
        <v>3.0762488028007981E-5</v>
      </c>
      <c r="E565" s="158">
        <f>E354</f>
        <v>7.0093616900050693E-4</v>
      </c>
      <c r="F565" s="158">
        <f>F354</f>
        <v>1.2865519234957676E-3</v>
      </c>
      <c r="G565" s="158">
        <f>G354</f>
        <v>1.9307440312729357E-3</v>
      </c>
      <c r="H565" s="161">
        <f>H354</f>
        <v>1.2869431161790588E-3</v>
      </c>
    </row>
    <row r="566" spans="2:8" x14ac:dyDescent="0.3">
      <c r="C566" s="170" t="s">
        <v>453</v>
      </c>
      <c r="D566" s="158">
        <f>D402</f>
        <v>6.6592853079662994E-4</v>
      </c>
      <c r="E566" s="158">
        <f>E402</f>
        <v>8.3634846709300078E-4</v>
      </c>
      <c r="F566" s="158">
        <f>F402</f>
        <v>1.131042618562766E-3</v>
      </c>
      <c r="G566" s="158">
        <f>G402</f>
        <v>1.7714199178753146E-3</v>
      </c>
      <c r="H566" s="161">
        <f>H402</f>
        <v>9.0870623059685835E-4</v>
      </c>
    </row>
    <row r="567" spans="2:8" x14ac:dyDescent="0.3">
      <c r="C567" s="170" t="s">
        <v>454</v>
      </c>
      <c r="D567" s="158">
        <f>D450</f>
        <v>4.0916072595347268E-5</v>
      </c>
      <c r="E567" s="158">
        <f>E450</f>
        <v>2.9204400208849809E-4</v>
      </c>
      <c r="F567" s="158">
        <f>F450</f>
        <v>4.5091835573878164E-3</v>
      </c>
      <c r="G567" s="158">
        <f>G450</f>
        <v>4.5507564925095258E-3</v>
      </c>
      <c r="H567" s="161">
        <f>H450</f>
        <v>1.9471758048229403E-3</v>
      </c>
    </row>
    <row r="568" spans="2:8" x14ac:dyDescent="0.3">
      <c r="C568" s="171" t="s">
        <v>388</v>
      </c>
      <c r="D568" s="162">
        <f>D498</f>
        <v>0</v>
      </c>
      <c r="E568" s="162">
        <f>E498</f>
        <v>3.8574156123357171E-4</v>
      </c>
      <c r="F568" s="162">
        <f>F498</f>
        <v>3.7763534776664291E-3</v>
      </c>
      <c r="G568" s="162">
        <f>G498</f>
        <v>3.6649761871968196E-3</v>
      </c>
      <c r="H568" s="163">
        <f>H498</f>
        <v>1.9290932903510609E-3</v>
      </c>
    </row>
    <row r="569" spans="2:8" x14ac:dyDescent="0.3">
      <c r="B569" s="131" t="s">
        <v>676</v>
      </c>
      <c r="C569" s="169">
        <v>1977</v>
      </c>
      <c r="D569" s="159">
        <f>D23</f>
        <v>7.6841407072085067E-6</v>
      </c>
      <c r="E569" s="159">
        <f>E23</f>
        <v>9.0180031726128879E-5</v>
      </c>
      <c r="F569" s="159">
        <f>F23</f>
        <v>6.8433194396476469E-4</v>
      </c>
      <c r="G569" s="159">
        <f>G23</f>
        <v>7.9961567784494819E-4</v>
      </c>
      <c r="H569" s="160">
        <f>H23</f>
        <v>3.8943118663733751E-4</v>
      </c>
    </row>
    <row r="570" spans="2:8" x14ac:dyDescent="0.3">
      <c r="B570" s="115" t="s">
        <v>679</v>
      </c>
      <c r="C570" s="170">
        <v>1988</v>
      </c>
      <c r="D570" s="158">
        <f>D71</f>
        <v>1.1946748161065788E-4</v>
      </c>
      <c r="E570" s="158">
        <f>E71</f>
        <v>1.4672472604268757E-4</v>
      </c>
      <c r="F570" s="158">
        <f>F71</f>
        <v>4.8950498161542499E-4</v>
      </c>
      <c r="G570" s="158">
        <f>G71</f>
        <v>6.7828346790267614E-4</v>
      </c>
      <c r="H570" s="161">
        <f>H71</f>
        <v>5.6770465911621802E-4</v>
      </c>
    </row>
    <row r="571" spans="2:8" x14ac:dyDescent="0.3">
      <c r="C571" s="170" t="s">
        <v>369</v>
      </c>
      <c r="D571" s="158">
        <f>D119</f>
        <v>1.5729407785015754E-4</v>
      </c>
      <c r="E571" s="158">
        <f>E119</f>
        <v>3.5464951716555589E-4</v>
      </c>
      <c r="F571" s="158">
        <f>F119</f>
        <v>8.1267678964264687E-4</v>
      </c>
      <c r="G571" s="158">
        <f>G119</f>
        <v>7.250822816423049E-4</v>
      </c>
      <c r="H571" s="161">
        <f>H119</f>
        <v>5.3122149846083621E-4</v>
      </c>
    </row>
    <row r="572" spans="2:8" x14ac:dyDescent="0.3">
      <c r="C572" s="170" t="s">
        <v>371</v>
      </c>
      <c r="D572" s="158">
        <f>D167</f>
        <v>1.7691289509927347E-5</v>
      </c>
      <c r="E572" s="158">
        <f>E167</f>
        <v>1.2670683502848215E-4</v>
      </c>
      <c r="F572" s="158">
        <f>F167</f>
        <v>3.6151907331083004E-4</v>
      </c>
      <c r="G572" s="158">
        <f>G167</f>
        <v>5.795241443989251E-4</v>
      </c>
      <c r="H572" s="161">
        <f>H167</f>
        <v>5.2094942157604734E-4</v>
      </c>
    </row>
    <row r="573" spans="2:8" x14ac:dyDescent="0.3">
      <c r="C573" s="170" t="s">
        <v>373</v>
      </c>
      <c r="D573" s="158">
        <f>D215</f>
        <v>1.6724472514577739E-5</v>
      </c>
      <c r="E573" s="158">
        <f>E215</f>
        <v>1.4145614490199444E-4</v>
      </c>
      <c r="F573" s="158">
        <f>F215</f>
        <v>5.8284292346281661E-4</v>
      </c>
      <c r="G573" s="158">
        <f>G215</f>
        <v>5.2525406185392331E-4</v>
      </c>
      <c r="H573" s="161">
        <f>H215</f>
        <v>3.3098461966562647E-4</v>
      </c>
    </row>
    <row r="574" spans="2:8" x14ac:dyDescent="0.3">
      <c r="C574" s="170" t="s">
        <v>378</v>
      </c>
      <c r="D574" s="158">
        <f>D263</f>
        <v>3.2769222865167541E-5</v>
      </c>
      <c r="E574" s="158">
        <f>E263</f>
        <v>1.2832404870041246E-4</v>
      </c>
      <c r="F574" s="158">
        <f>F263</f>
        <v>5.0763098121730079E-4</v>
      </c>
      <c r="G574" s="158">
        <f>G263</f>
        <v>3.97700497435329E-4</v>
      </c>
      <c r="H574" s="161">
        <f>H263</f>
        <v>2.4544579145699229E-4</v>
      </c>
    </row>
    <row r="575" spans="2:8" x14ac:dyDescent="0.3">
      <c r="C575" s="170" t="s">
        <v>380</v>
      </c>
      <c r="D575" s="158">
        <f>D311</f>
        <v>4.7231745802372993E-4</v>
      </c>
      <c r="E575" s="158">
        <f>E311</f>
        <v>4.1621563003627167E-3</v>
      </c>
      <c r="F575" s="158">
        <f>F311</f>
        <v>6.3278284000906028E-3</v>
      </c>
      <c r="G575" s="158">
        <f>G311</f>
        <v>8.2811023903193066E-3</v>
      </c>
      <c r="H575" s="161">
        <f>H311</f>
        <v>3.2183230643078016E-3</v>
      </c>
    </row>
    <row r="576" spans="2:8" x14ac:dyDescent="0.3">
      <c r="C576" s="170" t="s">
        <v>452</v>
      </c>
      <c r="D576" s="158">
        <f>D359</f>
        <v>2.5488534021301291E-5</v>
      </c>
      <c r="E576" s="158">
        <f>E359</f>
        <v>1.1528023676140092E-4</v>
      </c>
      <c r="F576" s="158">
        <f>F359</f>
        <v>4.7882784592553072E-4</v>
      </c>
      <c r="G576" s="158">
        <f>G359</f>
        <v>4.4217741543316013E-4</v>
      </c>
      <c r="H576" s="161">
        <f>H359</f>
        <v>1.3341926710649501E-4</v>
      </c>
    </row>
    <row r="577" spans="2:8" x14ac:dyDescent="0.3">
      <c r="C577" s="170" t="s">
        <v>453</v>
      </c>
      <c r="D577" s="158">
        <f>D407</f>
        <v>5.5224845133221908E-5</v>
      </c>
      <c r="E577" s="158">
        <f>E407</f>
        <v>1.0656922094169369E-4</v>
      </c>
      <c r="F577" s="158">
        <f>F407</f>
        <v>4.4210735122308763E-4</v>
      </c>
      <c r="G577" s="158">
        <f>G407</f>
        <v>4.0143794667187125E-4</v>
      </c>
      <c r="H577" s="161">
        <f>H407</f>
        <v>1.8693805833657439E-4</v>
      </c>
    </row>
    <row r="578" spans="2:8" x14ac:dyDescent="0.3">
      <c r="C578" s="170" t="s">
        <v>454</v>
      </c>
      <c r="D578" s="158">
        <f>D455</f>
        <v>3.0927675148590542E-5</v>
      </c>
      <c r="E578" s="158">
        <f>E455</f>
        <v>8.1458618110987028E-5</v>
      </c>
      <c r="F578" s="158">
        <f>F455</f>
        <v>2.9186990588862089E-4</v>
      </c>
      <c r="G578" s="158">
        <f>G455</f>
        <v>3.2812191505760544E-4</v>
      </c>
      <c r="H578" s="161">
        <f>H455</f>
        <v>2.6113451697190864E-4</v>
      </c>
    </row>
    <row r="579" spans="2:8" x14ac:dyDescent="0.3">
      <c r="C579" s="171" t="s">
        <v>388</v>
      </c>
      <c r="D579" s="162">
        <f>D503</f>
        <v>1.4386044953659284E-5</v>
      </c>
      <c r="E579" s="162">
        <f>E503</f>
        <v>8.7830243611912399E-5</v>
      </c>
      <c r="F579" s="162">
        <f>F503</f>
        <v>4.9284090621347614E-4</v>
      </c>
      <c r="G579" s="162">
        <f>G503</f>
        <v>4.9352114683980824E-4</v>
      </c>
      <c r="H579" s="163">
        <f>H503</f>
        <v>2.7536548437816379E-4</v>
      </c>
    </row>
    <row r="580" spans="2:8" x14ac:dyDescent="0.3">
      <c r="B580" s="131" t="s">
        <v>713</v>
      </c>
      <c r="C580" s="169">
        <v>1977</v>
      </c>
      <c r="D580" s="159" t="e">
        <f>D32</f>
        <v>#VALUE!</v>
      </c>
      <c r="E580" s="159" t="e">
        <f>E32</f>
        <v>#VALUE!</v>
      </c>
      <c r="F580" s="159" t="e">
        <f>F32</f>
        <v>#VALUE!</v>
      </c>
      <c r="G580" s="159" t="e">
        <f>G32</f>
        <v>#VALUE!</v>
      </c>
      <c r="H580" s="160" t="e">
        <f>H32</f>
        <v>#VALUE!</v>
      </c>
    </row>
    <row r="581" spans="2:8" x14ac:dyDescent="0.3">
      <c r="B581" s="115" t="s">
        <v>716</v>
      </c>
      <c r="C581" s="170">
        <v>1988</v>
      </c>
      <c r="D581" s="158">
        <f>D80</f>
        <v>2.9483090844517735E-5</v>
      </c>
      <c r="E581" s="158">
        <f>E80</f>
        <v>6.7250077622389324E-4</v>
      </c>
      <c r="F581" s="158">
        <f>F80</f>
        <v>7.8791193115433503E-4</v>
      </c>
      <c r="G581" s="158">
        <f>G80</f>
        <v>3.5838672433270415E-4</v>
      </c>
      <c r="H581" s="161">
        <f>H80</f>
        <v>2.8386477049998602E-4</v>
      </c>
    </row>
    <row r="582" spans="2:8" x14ac:dyDescent="0.3">
      <c r="C582" s="170" t="s">
        <v>369</v>
      </c>
      <c r="D582" s="158">
        <f>D128</f>
        <v>1.3120115352759854E-5</v>
      </c>
      <c r="E582" s="158">
        <f>E128</f>
        <v>1.028103279992109E-3</v>
      </c>
      <c r="F582" s="158">
        <f>F128</f>
        <v>1.1340090903195102E-3</v>
      </c>
      <c r="G582" s="158">
        <f>G128</f>
        <v>4.5639191862755483E-4</v>
      </c>
      <c r="H582" s="161">
        <f>H128</f>
        <v>3.454521091304788E-4</v>
      </c>
    </row>
    <row r="583" spans="2:8" x14ac:dyDescent="0.3">
      <c r="C583" s="170" t="s">
        <v>371</v>
      </c>
      <c r="D583" s="158">
        <f>D176</f>
        <v>1.4831774844887897E-5</v>
      </c>
      <c r="E583" s="158">
        <f>E176</f>
        <v>7.5171305759048511E-4</v>
      </c>
      <c r="F583" s="158">
        <f>F176</f>
        <v>7.9546849969368576E-4</v>
      </c>
      <c r="G583" s="158">
        <f>G176</f>
        <v>3.0089837210068232E-4</v>
      </c>
      <c r="H583" s="161">
        <f>H176</f>
        <v>2.3780717546941724E-4</v>
      </c>
    </row>
    <row r="584" spans="2:8" x14ac:dyDescent="0.3">
      <c r="C584" s="170" t="s">
        <v>373</v>
      </c>
      <c r="D584" s="158">
        <f>D224</f>
        <v>6.0329721100202648E-6</v>
      </c>
      <c r="E584" s="158">
        <f>E224</f>
        <v>1.3646369014131191E-3</v>
      </c>
      <c r="F584" s="158">
        <f>F224</f>
        <v>1.3604353481088988E-3</v>
      </c>
      <c r="G584" s="158">
        <f>G224</f>
        <v>3.0634514063182392E-4</v>
      </c>
      <c r="H584" s="161">
        <f>H224</f>
        <v>1.8052415091793103E-4</v>
      </c>
    </row>
    <row r="585" spans="2:8" x14ac:dyDescent="0.3">
      <c r="C585" s="170" t="s">
        <v>378</v>
      </c>
      <c r="D585" s="158">
        <f>D272</f>
        <v>1.9831617702770949E-5</v>
      </c>
      <c r="E585" s="158">
        <f>E272</f>
        <v>1.0906507039757504E-3</v>
      </c>
      <c r="F585" s="158">
        <f>F272</f>
        <v>1.199287190550452E-3</v>
      </c>
      <c r="G585" s="158">
        <f>G272</f>
        <v>3.4625127010878934E-4</v>
      </c>
      <c r="H585" s="161">
        <f>H272</f>
        <v>2.947738844285346E-4</v>
      </c>
    </row>
    <row r="586" spans="2:8" x14ac:dyDescent="0.3">
      <c r="C586" s="170" t="s">
        <v>380</v>
      </c>
      <c r="D586" s="158">
        <f>D320</f>
        <v>7.4696654105949283E-6</v>
      </c>
      <c r="E586" s="158">
        <f>E320</f>
        <v>3.88698394403709E-4</v>
      </c>
      <c r="F586" s="158">
        <f>F320</f>
        <v>6.2978840119921008E-4</v>
      </c>
      <c r="G586" s="158">
        <f>G320</f>
        <v>3.3746181361261272E-4</v>
      </c>
      <c r="H586" s="161">
        <f>H320</f>
        <v>1.6860129704074974E-4</v>
      </c>
    </row>
    <row r="587" spans="2:8" x14ac:dyDescent="0.3">
      <c r="C587" s="170" t="s">
        <v>452</v>
      </c>
      <c r="D587" s="158">
        <f>D368</f>
        <v>1.0168572417050556E-5</v>
      </c>
      <c r="E587" s="158">
        <f>E368</f>
        <v>1.1795022819937758E-3</v>
      </c>
      <c r="F587" s="158">
        <f>F368</f>
        <v>1.2295618267534013E-3</v>
      </c>
      <c r="G587" s="158">
        <f>G368</f>
        <v>4.123349259481956E-4</v>
      </c>
      <c r="H587" s="161">
        <f>H368</f>
        <v>2.5833158305902569E-4</v>
      </c>
    </row>
    <row r="588" spans="2:8" x14ac:dyDescent="0.3">
      <c r="C588" s="170" t="s">
        <v>453</v>
      </c>
      <c r="D588" s="158">
        <f>D416</f>
        <v>1.6549407664037798E-5</v>
      </c>
      <c r="E588" s="158">
        <f>E416</f>
        <v>5.5058297613609403E-4</v>
      </c>
      <c r="F588" s="158">
        <f>F416</f>
        <v>7.0766696715685376E-4</v>
      </c>
      <c r="G588" s="158">
        <f>G416</f>
        <v>2.9768158276546902E-4</v>
      </c>
      <c r="H588" s="161">
        <f>H416</f>
        <v>4.8407906282045695E-4</v>
      </c>
    </row>
    <row r="589" spans="2:8" x14ac:dyDescent="0.3">
      <c r="C589" s="170" t="s">
        <v>454</v>
      </c>
      <c r="D589" s="158">
        <f>D464</f>
        <v>3.6792133995380576E-6</v>
      </c>
      <c r="E589" s="158">
        <f>E464</f>
        <v>2.3644375162318836E-4</v>
      </c>
      <c r="F589" s="158">
        <f>F464</f>
        <v>3.8513961536967183E-4</v>
      </c>
      <c r="G589" s="158">
        <f>G464</f>
        <v>4.1282801732720771E-4</v>
      </c>
      <c r="H589" s="161">
        <f>H464</f>
        <v>3.2390694776457011E-4</v>
      </c>
    </row>
    <row r="590" spans="2:8" x14ac:dyDescent="0.3">
      <c r="C590" s="171" t="s">
        <v>388</v>
      </c>
      <c r="D590" s="162">
        <f>D512</f>
        <v>8.9793356618374072E-5</v>
      </c>
      <c r="E590" s="162">
        <f>E512</f>
        <v>3.5243965648843113E-4</v>
      </c>
      <c r="F590" s="162">
        <f>F512</f>
        <v>4.1572038160647083E-4</v>
      </c>
      <c r="G590" s="162">
        <f>G512</f>
        <v>3.450284930908167E-4</v>
      </c>
      <c r="H590" s="163">
        <f>H512</f>
        <v>2.7605734963067268E-4</v>
      </c>
    </row>
    <row r="591" spans="2:8" x14ac:dyDescent="0.3">
      <c r="B591" s="131" t="s">
        <v>636</v>
      </c>
      <c r="C591" s="169">
        <v>1977</v>
      </c>
      <c r="D591" s="159">
        <f>D41</f>
        <v>1.8042118969868012E-5</v>
      </c>
      <c r="E591" s="159">
        <f>E41</f>
        <v>1.0014925000374676E-4</v>
      </c>
      <c r="F591" s="159">
        <f>F41</f>
        <v>7.8427782682394536E-4</v>
      </c>
      <c r="G591" s="159">
        <f>G41</f>
        <v>1.0683649133211804E-3</v>
      </c>
      <c r="H591" s="160">
        <f>H41</f>
        <v>8.3839554321201999E-4</v>
      </c>
    </row>
    <row r="592" spans="2:8" x14ac:dyDescent="0.3">
      <c r="B592" s="115" t="s">
        <v>680</v>
      </c>
      <c r="C592" s="170">
        <v>1988</v>
      </c>
      <c r="D592" s="158">
        <f>D89</f>
        <v>3.6862511361223011E-4</v>
      </c>
      <c r="E592" s="158">
        <f>E89</f>
        <v>6.4678853689174656E-5</v>
      </c>
      <c r="F592" s="158">
        <f>F89</f>
        <v>4.5174184362217762E-4</v>
      </c>
      <c r="G592" s="158">
        <f>G89</f>
        <v>1.0556172779170494E-3</v>
      </c>
      <c r="H592" s="161">
        <f>H89</f>
        <v>1.109969955251858E-3</v>
      </c>
    </row>
    <row r="593" spans="2:8" x14ac:dyDescent="0.3">
      <c r="C593" s="170" t="s">
        <v>369</v>
      </c>
      <c r="D593" s="158">
        <f>D137</f>
        <v>7.1479637416706774E-4</v>
      </c>
      <c r="E593" s="158">
        <f>E137</f>
        <v>1.9539318067681471E-4</v>
      </c>
      <c r="F593" s="158">
        <f>F137</f>
        <v>1.0105298862166921E-3</v>
      </c>
      <c r="G593" s="158">
        <f>G137</f>
        <v>1.2154304056209086E-3</v>
      </c>
      <c r="H593" s="161">
        <f>H137</f>
        <v>1.0147854985550334E-3</v>
      </c>
    </row>
    <row r="594" spans="2:8" x14ac:dyDescent="0.3">
      <c r="C594" s="170" t="s">
        <v>371</v>
      </c>
      <c r="D594" s="158">
        <f>D185</f>
        <v>6.4481587051412576E-5</v>
      </c>
      <c r="E594" s="158">
        <f>E185</f>
        <v>2.2407739232871443E-4</v>
      </c>
      <c r="F594" s="158">
        <f>F185</f>
        <v>4.2482365116589758E-4</v>
      </c>
      <c r="G594" s="158">
        <f>G185</f>
        <v>1.2304164805256349E-3</v>
      </c>
      <c r="H594" s="161">
        <f>H185</f>
        <v>1.186244739948001E-3</v>
      </c>
    </row>
    <row r="595" spans="2:8" x14ac:dyDescent="0.3">
      <c r="C595" s="170" t="s">
        <v>373</v>
      </c>
      <c r="D595" s="158">
        <f>D233</f>
        <v>2.9359912292091983E-5</v>
      </c>
      <c r="E595" s="158">
        <f>E233</f>
        <v>2.1452862149516438E-4</v>
      </c>
      <c r="F595" s="158">
        <f>F233</f>
        <v>6.6602100285640287E-4</v>
      </c>
      <c r="G595" s="158">
        <f>G233</f>
        <v>7.3285256164153047E-4</v>
      </c>
      <c r="H595" s="161">
        <f>H233</f>
        <v>7.5909593683682534E-4</v>
      </c>
    </row>
    <row r="596" spans="2:8" x14ac:dyDescent="0.3">
      <c r="C596" s="170" t="s">
        <v>378</v>
      </c>
      <c r="D596" s="158">
        <f>D281</f>
        <v>6.4886279555727392E-5</v>
      </c>
      <c r="E596" s="158">
        <f>E281</f>
        <v>1.9549188010076045E-4</v>
      </c>
      <c r="F596" s="158">
        <f>F281</f>
        <v>6.6509847889728894E-4</v>
      </c>
      <c r="G596" s="158">
        <f>G281</f>
        <v>5.8252952807390441E-4</v>
      </c>
      <c r="H596" s="161">
        <f>H281</f>
        <v>5.4808686949060716E-4</v>
      </c>
    </row>
    <row r="597" spans="2:8" x14ac:dyDescent="0.3">
      <c r="C597" s="170" t="s">
        <v>380</v>
      </c>
      <c r="D597" s="158">
        <f>D329</f>
        <v>6.4547529936564375E-5</v>
      </c>
      <c r="E597" s="158">
        <f>E329</f>
        <v>2.7176356752280643E-4</v>
      </c>
      <c r="F597" s="158">
        <f>F329</f>
        <v>4.488999747302221E-4</v>
      </c>
      <c r="G597" s="158">
        <f>G329</f>
        <v>8.2798564240933064E-4</v>
      </c>
      <c r="H597" s="161">
        <f>H329</f>
        <v>4.9772866558623241E-4</v>
      </c>
    </row>
    <row r="598" spans="2:8" x14ac:dyDescent="0.3">
      <c r="C598" s="170" t="s">
        <v>452</v>
      </c>
      <c r="D598" s="158">
        <f>D377</f>
        <v>1.238279781695543E-4</v>
      </c>
      <c r="E598" s="158">
        <f>E377</f>
        <v>2.230261680088851E-4</v>
      </c>
      <c r="F598" s="158">
        <f>F377</f>
        <v>6.2169682567750643E-4</v>
      </c>
      <c r="G598" s="158">
        <f>G377</f>
        <v>7.6053794563783706E-4</v>
      </c>
      <c r="H598" s="161">
        <f>H377</f>
        <v>4.2774211115019132E-4</v>
      </c>
    </row>
    <row r="599" spans="2:8" x14ac:dyDescent="0.3">
      <c r="C599" s="170" t="s">
        <v>453</v>
      </c>
      <c r="D599" s="158">
        <f>D425</f>
        <v>1.488227109661667E-4</v>
      </c>
      <c r="E599" s="158">
        <f>E425</f>
        <v>3.3283582690048382E-4</v>
      </c>
      <c r="F599" s="158">
        <f>F425</f>
        <v>6.6534898587600254E-4</v>
      </c>
      <c r="G599" s="158">
        <f>G425</f>
        <v>7.6441328797012759E-4</v>
      </c>
      <c r="H599" s="161">
        <f>H425</f>
        <v>4.1410474455772422E-4</v>
      </c>
    </row>
    <row r="600" spans="2:8" x14ac:dyDescent="0.3">
      <c r="C600" s="170" t="s">
        <v>454</v>
      </c>
      <c r="D600" s="158">
        <f>D473</f>
        <v>1.367684966648859E-4</v>
      </c>
      <c r="E600" s="158">
        <f>E473</f>
        <v>1.4867408427565986E-4</v>
      </c>
      <c r="F600" s="158">
        <f>F473</f>
        <v>3.0928619126621102E-4</v>
      </c>
      <c r="G600" s="158">
        <f>G473</f>
        <v>6.0161554952455228E-4</v>
      </c>
      <c r="H600" s="161">
        <f>H473</f>
        <v>6.8653479897434354E-4</v>
      </c>
    </row>
    <row r="601" spans="2:8" x14ac:dyDescent="0.3">
      <c r="C601" s="171" t="s">
        <v>388</v>
      </c>
      <c r="D601" s="162">
        <f>D521</f>
        <v>1.5439575000281674E-5</v>
      </c>
      <c r="E601" s="162">
        <f>E521</f>
        <v>1.3771189826586783E-4</v>
      </c>
      <c r="F601" s="162">
        <f>F521</f>
        <v>5.5913960278786568E-4</v>
      </c>
      <c r="G601" s="162">
        <f>G521</f>
        <v>7.238794838398359E-4</v>
      </c>
      <c r="H601" s="163">
        <f>H521</f>
        <v>5.8820513439709519E-4</v>
      </c>
    </row>
    <row r="602" spans="2:8" x14ac:dyDescent="0.3">
      <c r="B602" s="131" t="s">
        <v>714</v>
      </c>
      <c r="C602" s="169">
        <v>1977</v>
      </c>
      <c r="D602" s="159" t="e">
        <f>D50</f>
        <v>#VALUE!</v>
      </c>
      <c r="E602" s="159" t="e">
        <f>E50</f>
        <v>#VALUE!</v>
      </c>
      <c r="F602" s="159" t="e">
        <f>F50</f>
        <v>#VALUE!</v>
      </c>
      <c r="G602" s="159" t="e">
        <f>G50</f>
        <v>#VALUE!</v>
      </c>
      <c r="H602" s="160" t="e">
        <f>H50</f>
        <v>#VALUE!</v>
      </c>
    </row>
    <row r="603" spans="2:8" x14ac:dyDescent="0.3">
      <c r="B603" s="115" t="s">
        <v>717</v>
      </c>
      <c r="C603" s="170">
        <v>1988</v>
      </c>
      <c r="D603" s="158">
        <f>D98</f>
        <v>4.1661767156748215E-5</v>
      </c>
      <c r="E603" s="158">
        <f>E98</f>
        <v>9.7937905646801863E-5</v>
      </c>
      <c r="F603" s="158">
        <f>F98</f>
        <v>5.8858065429577078E-4</v>
      </c>
      <c r="G603" s="158">
        <f>G98</f>
        <v>4.6233704157914009E-4</v>
      </c>
      <c r="H603" s="161">
        <f>H98</f>
        <v>5.4662443789207699E-4</v>
      </c>
    </row>
    <row r="604" spans="2:8" x14ac:dyDescent="0.3">
      <c r="C604" s="170" t="s">
        <v>369</v>
      </c>
      <c r="D604" s="158">
        <f>D146</f>
        <v>2.8788149147113662E-5</v>
      </c>
      <c r="E604" s="158">
        <f>E146</f>
        <v>2.7836112046181161E-4</v>
      </c>
      <c r="F604" s="158">
        <f>F146</f>
        <v>7.5248296627769236E-4</v>
      </c>
      <c r="G604" s="158">
        <f>G146</f>
        <v>6.9464682388482477E-4</v>
      </c>
      <c r="H604" s="161">
        <f>H146</f>
        <v>2.9720063051571534E-4</v>
      </c>
    </row>
    <row r="605" spans="2:8" x14ac:dyDescent="0.3">
      <c r="C605" s="170" t="s">
        <v>371</v>
      </c>
      <c r="D605" s="158">
        <f>D194</f>
        <v>3.2005499813414692E-5</v>
      </c>
      <c r="E605" s="158">
        <f>E194</f>
        <v>4.0579544377261206E-4</v>
      </c>
      <c r="F605" s="158">
        <f>F194</f>
        <v>4.6417640346219953E-4</v>
      </c>
      <c r="G605" s="158">
        <f>G194</f>
        <v>3.7195036857961465E-4</v>
      </c>
      <c r="H605" s="161">
        <f>H194</f>
        <v>2.2762997590756011E-4</v>
      </c>
    </row>
    <row r="606" spans="2:8" x14ac:dyDescent="0.3">
      <c r="C606" s="170" t="s">
        <v>373</v>
      </c>
      <c r="D606" s="158">
        <f>D242</f>
        <v>1.1890471688072241E-5</v>
      </c>
      <c r="E606" s="158">
        <f>E242</f>
        <v>6.1752302869905846E-4</v>
      </c>
      <c r="F606" s="158">
        <f>F242</f>
        <v>7.1103478273353937E-4</v>
      </c>
      <c r="G606" s="158">
        <f>G242</f>
        <v>6.4249307100766259E-4</v>
      </c>
      <c r="H606" s="161">
        <f>H242</f>
        <v>1.9332888634785285E-4</v>
      </c>
    </row>
    <row r="607" spans="2:8" x14ac:dyDescent="0.3">
      <c r="C607" s="170" t="s">
        <v>378</v>
      </c>
      <c r="D607" s="158">
        <f>D290</f>
        <v>9.1914267817751023E-6</v>
      </c>
      <c r="E607" s="158">
        <f>E290</f>
        <v>3.1488594296945154E-4</v>
      </c>
      <c r="F607" s="158">
        <f>F290</f>
        <v>5.1848166601010058E-4</v>
      </c>
      <c r="G607" s="158">
        <f>G290</f>
        <v>3.8821128805223025E-4</v>
      </c>
      <c r="H607" s="161">
        <f>H290</f>
        <v>2.3366322817141471E-4</v>
      </c>
    </row>
    <row r="608" spans="2:8" x14ac:dyDescent="0.3">
      <c r="C608" s="170" t="s">
        <v>380</v>
      </c>
      <c r="D608" s="158">
        <f>D338</f>
        <v>2.2968245765168722E-5</v>
      </c>
      <c r="E608" s="158">
        <f>E338</f>
        <v>2.8347065237016176E-4</v>
      </c>
      <c r="F608" s="158">
        <f>F338</f>
        <v>7.8120337232106337E-4</v>
      </c>
      <c r="G608" s="158">
        <f>G338</f>
        <v>6.4267992854393202E-4</v>
      </c>
      <c r="H608" s="161">
        <f>H338</f>
        <v>8.8342974162017386E-5</v>
      </c>
    </row>
    <row r="609" spans="3:8" x14ac:dyDescent="0.3">
      <c r="C609" s="170" t="s">
        <v>452</v>
      </c>
      <c r="D609" s="158">
        <f>D386</f>
        <v>3.8884554438369086E-5</v>
      </c>
      <c r="E609" s="158">
        <f>E386</f>
        <v>8.1408878890622065E-4</v>
      </c>
      <c r="F609" s="158">
        <f>F386</f>
        <v>1.0734154938278121E-3</v>
      </c>
      <c r="G609" s="158">
        <f>G386</f>
        <v>5.5143527660998868E-4</v>
      </c>
      <c r="H609" s="161">
        <f>H386</f>
        <v>2.2278750514383722E-4</v>
      </c>
    </row>
    <row r="610" spans="3:8" x14ac:dyDescent="0.3">
      <c r="C610" s="170" t="s">
        <v>453</v>
      </c>
      <c r="D610" s="158">
        <f>D434</f>
        <v>4.3817053868368314E-5</v>
      </c>
      <c r="E610" s="158">
        <f>E434</f>
        <v>3.6688598879900758E-4</v>
      </c>
      <c r="F610" s="158">
        <f>F434</f>
        <v>7.7364663041544284E-4</v>
      </c>
      <c r="G610" s="158">
        <f>G434</f>
        <v>4.4476376066884587E-4</v>
      </c>
      <c r="H610" s="161">
        <f>H434</f>
        <v>4.7491908218526984E-4</v>
      </c>
    </row>
    <row r="611" spans="3:8" x14ac:dyDescent="0.3">
      <c r="C611" s="170" t="s">
        <v>454</v>
      </c>
      <c r="D611" s="158">
        <f>D482</f>
        <v>0</v>
      </c>
      <c r="E611" s="158">
        <f>E482</f>
        <v>1.2964273070047009E-4</v>
      </c>
      <c r="F611" s="158">
        <f>F482</f>
        <v>4.1630131578864669E-4</v>
      </c>
      <c r="G611" s="158">
        <f>G482</f>
        <v>4.1291923760101859E-4</v>
      </c>
      <c r="H611" s="161">
        <f>H482</f>
        <v>2.7925594759162426E-4</v>
      </c>
    </row>
    <row r="612" spans="3:8" x14ac:dyDescent="0.3">
      <c r="C612" s="171" t="s">
        <v>388</v>
      </c>
      <c r="D612" s="162">
        <f>D530</f>
        <v>5.270921617824145E-6</v>
      </c>
      <c r="E612" s="162">
        <f>E530</f>
        <v>2.0253231355062316E-4</v>
      </c>
      <c r="F612" s="162">
        <f>F530</f>
        <v>5.4116598381833152E-4</v>
      </c>
      <c r="G612" s="162">
        <f>G530</f>
        <v>5.3086365908041689E-4</v>
      </c>
      <c r="H612" s="163">
        <f>H530</f>
        <v>2.53751571504545E-4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F2BC9-AB4B-4388-87E0-AB4CF63402B2}">
  <dimension ref="B2:AY253"/>
  <sheetViews>
    <sheetView topLeftCell="A101" workbookViewId="0">
      <selection activeCell="AD79" sqref="AD79"/>
    </sheetView>
  </sheetViews>
  <sheetFormatPr baseColWidth="10" defaultRowHeight="14.4" x14ac:dyDescent="0.3"/>
  <cols>
    <col min="1" max="1" width="4.21875" customWidth="1"/>
    <col min="2" max="2" width="18.44140625" customWidth="1"/>
    <col min="6" max="6" width="9.77734375" customWidth="1"/>
    <col min="7" max="7" width="10.88671875" customWidth="1"/>
    <col min="8" max="17" width="7.109375" customWidth="1"/>
    <col min="18" max="18" width="3.6640625" customWidth="1"/>
    <col min="19" max="19" width="10.33203125" customWidth="1"/>
    <col min="20" max="29" width="7.33203125" customWidth="1"/>
    <col min="31" max="40" width="2" bestFit="1" customWidth="1"/>
  </cols>
  <sheetData>
    <row r="2" spans="2:51" x14ac:dyDescent="0.3">
      <c r="B2" s="106" t="s">
        <v>831</v>
      </c>
      <c r="C2" s="107"/>
      <c r="D2" s="107"/>
      <c r="E2" s="107"/>
      <c r="G2" s="106" t="s">
        <v>832</v>
      </c>
      <c r="H2" s="107" t="s">
        <v>833</v>
      </c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 t="s">
        <v>834</v>
      </c>
      <c r="T2" s="107"/>
      <c r="U2" s="107"/>
      <c r="V2" s="107"/>
      <c r="W2" s="107"/>
      <c r="X2" s="107"/>
      <c r="Y2" s="107"/>
      <c r="Z2" s="107"/>
      <c r="AA2" s="107"/>
      <c r="AB2" s="107"/>
      <c r="AC2" s="107"/>
    </row>
    <row r="3" spans="2:51" ht="15.6" x14ac:dyDescent="0.35">
      <c r="B3" s="119" t="s">
        <v>633</v>
      </c>
      <c r="C3" s="107"/>
      <c r="D3" s="329" t="s">
        <v>835</v>
      </c>
      <c r="E3" s="333">
        <v>209.108891795928</v>
      </c>
      <c r="G3" s="119" t="s">
        <v>633</v>
      </c>
      <c r="H3" s="107" t="s">
        <v>836</v>
      </c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 t="s">
        <v>837</v>
      </c>
      <c r="T3" s="107"/>
      <c r="U3" s="107"/>
      <c r="V3" s="107"/>
      <c r="W3" s="107"/>
      <c r="X3" s="107"/>
      <c r="Y3" s="107"/>
      <c r="Z3" s="107"/>
      <c r="AA3" s="107"/>
      <c r="AB3" s="107"/>
      <c r="AC3" s="107"/>
    </row>
    <row r="4" spans="2:51" x14ac:dyDescent="0.3">
      <c r="B4" s="90" t="s">
        <v>838</v>
      </c>
      <c r="C4" s="107"/>
      <c r="D4" s="107"/>
      <c r="E4" s="116"/>
      <c r="G4" s="90" t="s">
        <v>838</v>
      </c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 t="s">
        <v>839</v>
      </c>
      <c r="T4" s="107"/>
      <c r="U4" s="107"/>
      <c r="V4" s="107"/>
      <c r="W4" s="107"/>
      <c r="X4" s="107"/>
      <c r="Y4" s="107"/>
      <c r="Z4" s="107"/>
      <c r="AA4" s="107"/>
      <c r="AB4" s="107"/>
      <c r="AC4" s="107"/>
    </row>
    <row r="5" spans="2:51" ht="15.6" x14ac:dyDescent="0.35">
      <c r="B5" s="107"/>
      <c r="C5" s="107"/>
      <c r="D5" s="329" t="s">
        <v>330</v>
      </c>
      <c r="E5" s="334">
        <v>0.05</v>
      </c>
      <c r="G5" s="329" t="s">
        <v>334</v>
      </c>
      <c r="H5" s="228">
        <v>1988</v>
      </c>
      <c r="I5" s="228" t="s">
        <v>369</v>
      </c>
      <c r="J5" s="228" t="s">
        <v>371</v>
      </c>
      <c r="K5" s="228" t="s">
        <v>373</v>
      </c>
      <c r="L5" s="228" t="s">
        <v>378</v>
      </c>
      <c r="M5" s="228" t="s">
        <v>380</v>
      </c>
      <c r="N5" s="228" t="s">
        <v>382</v>
      </c>
      <c r="O5" s="228" t="s">
        <v>453</v>
      </c>
      <c r="P5" s="228" t="s">
        <v>454</v>
      </c>
      <c r="Q5" s="228" t="s">
        <v>388</v>
      </c>
      <c r="R5" s="107"/>
      <c r="S5" s="335" t="s">
        <v>840</v>
      </c>
      <c r="T5" s="228">
        <v>1988</v>
      </c>
      <c r="U5" s="228" t="s">
        <v>369</v>
      </c>
      <c r="V5" s="228" t="s">
        <v>371</v>
      </c>
      <c r="W5" s="228" t="s">
        <v>373</v>
      </c>
      <c r="X5" s="228" t="s">
        <v>378</v>
      </c>
      <c r="Y5" s="228" t="s">
        <v>380</v>
      </c>
      <c r="Z5" s="228" t="s">
        <v>382</v>
      </c>
      <c r="AA5" s="228" t="s">
        <v>453</v>
      </c>
      <c r="AB5" s="228" t="s">
        <v>454</v>
      </c>
      <c r="AC5" s="228" t="s">
        <v>388</v>
      </c>
    </row>
    <row r="6" spans="2:51" x14ac:dyDescent="0.3">
      <c r="B6" s="107"/>
      <c r="C6" s="107"/>
      <c r="D6" s="107"/>
      <c r="E6" s="107"/>
      <c r="G6" s="228">
        <v>1977</v>
      </c>
      <c r="H6" s="336">
        <v>4.4101830000000003E-21</v>
      </c>
      <c r="I6" s="336">
        <v>7.6338270000000002E-17</v>
      </c>
      <c r="J6" s="340">
        <v>0.2410862</v>
      </c>
      <c r="K6" s="334">
        <v>1.263821E-2</v>
      </c>
      <c r="L6" s="336">
        <v>2.3902839999999998E-13</v>
      </c>
      <c r="M6" s="334">
        <v>5.3999999999999998E-5</v>
      </c>
      <c r="N6" s="334">
        <v>1</v>
      </c>
      <c r="O6" s="334">
        <v>1.5985169999999999E-7</v>
      </c>
      <c r="P6" s="334">
        <v>1</v>
      </c>
      <c r="Q6" s="334">
        <v>2.584682E-9</v>
      </c>
      <c r="R6" s="107"/>
      <c r="S6" s="228">
        <v>1977</v>
      </c>
      <c r="T6" s="334" t="str">
        <f t="shared" ref="T6:AC6" si="0">IF(H6&gt;$E$5,"No","Yes")</f>
        <v>Yes</v>
      </c>
      <c r="U6" s="334" t="str">
        <f t="shared" si="0"/>
        <v>Yes</v>
      </c>
      <c r="V6" s="334" t="str">
        <f t="shared" si="0"/>
        <v>No</v>
      </c>
      <c r="W6" s="334" t="str">
        <f t="shared" si="0"/>
        <v>Yes</v>
      </c>
      <c r="X6" s="334" t="str">
        <f t="shared" si="0"/>
        <v>Yes</v>
      </c>
      <c r="Y6" s="334" t="str">
        <f t="shared" si="0"/>
        <v>Yes</v>
      </c>
      <c r="Z6" s="334" t="str">
        <f t="shared" si="0"/>
        <v>No</v>
      </c>
      <c r="AA6" s="334" t="str">
        <f t="shared" si="0"/>
        <v>Yes</v>
      </c>
      <c r="AB6" s="334" t="str">
        <f t="shared" si="0"/>
        <v>No</v>
      </c>
      <c r="AC6" s="334" t="str">
        <f t="shared" si="0"/>
        <v>Yes</v>
      </c>
      <c r="AE6" s="334">
        <f>IF(T6="Yes",1,0)</f>
        <v>1</v>
      </c>
      <c r="AF6" s="334">
        <f t="shared" ref="AF6:AL15" si="1">IF(U6="Yes",1,0)</f>
        <v>1</v>
      </c>
      <c r="AG6" s="334">
        <f t="shared" si="1"/>
        <v>0</v>
      </c>
      <c r="AH6" s="334">
        <f t="shared" si="1"/>
        <v>1</v>
      </c>
      <c r="AI6" s="334">
        <f t="shared" si="1"/>
        <v>1</v>
      </c>
      <c r="AJ6" s="334">
        <f t="shared" si="1"/>
        <v>1</v>
      </c>
      <c r="AK6" s="334">
        <f t="shared" si="1"/>
        <v>0</v>
      </c>
      <c r="AL6" s="334">
        <f>IF(AA6="Yes",1,0)</f>
        <v>1</v>
      </c>
      <c r="AM6" s="334">
        <f t="shared" ref="AM6:AN15" si="2">IF(AB6="Yes",1,0)</f>
        <v>0</v>
      </c>
      <c r="AN6" s="334">
        <f>IF(AC6="Yes",1,0)</f>
        <v>1</v>
      </c>
      <c r="AP6" s="346"/>
      <c r="AQ6" s="346"/>
      <c r="AR6" s="346"/>
      <c r="AS6" s="346"/>
      <c r="AT6" s="346"/>
      <c r="AV6" s="346"/>
      <c r="AW6" s="346"/>
      <c r="AX6" s="346"/>
      <c r="AY6" s="346"/>
    </row>
    <row r="7" spans="2:51" x14ac:dyDescent="0.3">
      <c r="B7" s="107"/>
      <c r="C7" s="107"/>
      <c r="D7" s="329" t="s">
        <v>334</v>
      </c>
      <c r="E7" s="337">
        <v>2.0254091281894901E-39</v>
      </c>
      <c r="G7" s="228">
        <v>1988</v>
      </c>
      <c r="H7" s="338"/>
      <c r="I7" s="334">
        <v>1</v>
      </c>
      <c r="J7" s="334">
        <v>1.566097E-10</v>
      </c>
      <c r="K7" s="334">
        <v>4.2501539999999998E-8</v>
      </c>
      <c r="L7" s="334">
        <v>1</v>
      </c>
      <c r="M7" s="334">
        <v>4.3000000000000002E-5</v>
      </c>
      <c r="N7" s="336">
        <v>1.7052609999999999E-16</v>
      </c>
      <c r="O7" s="334">
        <v>5.3472149999999998E-3</v>
      </c>
      <c r="P7" s="336">
        <v>2.230218E-13</v>
      </c>
      <c r="Q7" s="340">
        <v>6.2572150000000007E-2</v>
      </c>
      <c r="R7" s="107"/>
      <c r="S7" s="228">
        <v>1988</v>
      </c>
      <c r="T7" s="338"/>
      <c r="U7" s="334" t="str">
        <f t="shared" ref="U7:AC7" si="3">IF(I7&gt;$E$5,"No","Yes")</f>
        <v>No</v>
      </c>
      <c r="V7" s="334" t="str">
        <f t="shared" si="3"/>
        <v>Yes</v>
      </c>
      <c r="W7" s="334" t="str">
        <f t="shared" si="3"/>
        <v>Yes</v>
      </c>
      <c r="X7" s="334" t="str">
        <f t="shared" si="3"/>
        <v>No</v>
      </c>
      <c r="Y7" s="334" t="str">
        <f t="shared" si="3"/>
        <v>Yes</v>
      </c>
      <c r="Z7" s="334" t="str">
        <f t="shared" si="3"/>
        <v>Yes</v>
      </c>
      <c r="AA7" s="334" t="str">
        <f t="shared" si="3"/>
        <v>Yes</v>
      </c>
      <c r="AB7" s="334" t="str">
        <f t="shared" si="3"/>
        <v>Yes</v>
      </c>
      <c r="AC7" s="334" t="str">
        <f t="shared" si="3"/>
        <v>No</v>
      </c>
      <c r="AE7" s="338">
        <f t="shared" ref="AE7:AE15" si="4">IF(T7="Yes",1,0)</f>
        <v>0</v>
      </c>
      <c r="AF7" s="334">
        <f t="shared" si="1"/>
        <v>0</v>
      </c>
      <c r="AG7" s="334">
        <f t="shared" si="1"/>
        <v>1</v>
      </c>
      <c r="AH7" s="334">
        <f t="shared" si="1"/>
        <v>1</v>
      </c>
      <c r="AI7" s="334">
        <f t="shared" si="1"/>
        <v>0</v>
      </c>
      <c r="AJ7" s="334">
        <f t="shared" si="1"/>
        <v>1</v>
      </c>
      <c r="AK7" s="334">
        <f t="shared" si="1"/>
        <v>1</v>
      </c>
      <c r="AL7" s="334">
        <f t="shared" si="1"/>
        <v>1</v>
      </c>
      <c r="AM7" s="334">
        <f t="shared" si="2"/>
        <v>1</v>
      </c>
      <c r="AN7" s="334">
        <f t="shared" si="2"/>
        <v>0</v>
      </c>
      <c r="AQ7" s="346"/>
      <c r="AR7" s="346"/>
      <c r="AS7" s="346"/>
      <c r="AT7" s="346"/>
      <c r="AV7" s="346"/>
      <c r="AW7" s="346"/>
      <c r="AX7" s="346"/>
      <c r="AY7" s="346"/>
    </row>
    <row r="8" spans="2:51" x14ac:dyDescent="0.3">
      <c r="B8" s="107"/>
      <c r="C8" s="107"/>
      <c r="D8" s="107"/>
      <c r="E8" s="107"/>
      <c r="G8" s="228" t="s">
        <v>369</v>
      </c>
      <c r="H8" s="338"/>
      <c r="I8" s="338"/>
      <c r="J8" s="334">
        <v>1.48183E-7</v>
      </c>
      <c r="K8" s="334">
        <v>1.7293249999999999E-5</v>
      </c>
      <c r="L8" s="334">
        <v>1</v>
      </c>
      <c r="M8" s="334">
        <v>5.1850000000000004E-3</v>
      </c>
      <c r="N8" s="336">
        <v>9.3217560000000006E-13</v>
      </c>
      <c r="O8" s="334">
        <v>0.23183909999999999</v>
      </c>
      <c r="P8" s="336">
        <v>5.099241E-10</v>
      </c>
      <c r="Q8" s="334">
        <v>1</v>
      </c>
      <c r="R8" s="336"/>
      <c r="S8" s="228" t="s">
        <v>369</v>
      </c>
      <c r="T8" s="338"/>
      <c r="U8" s="338"/>
      <c r="V8" s="334" t="str">
        <f t="shared" ref="V8:AC8" si="5">IF(J8&gt;$E$5,"No","Yes")</f>
        <v>Yes</v>
      </c>
      <c r="W8" s="334" t="str">
        <f t="shared" si="5"/>
        <v>Yes</v>
      </c>
      <c r="X8" s="334" t="str">
        <f t="shared" si="5"/>
        <v>No</v>
      </c>
      <c r="Y8" s="334" t="str">
        <f t="shared" si="5"/>
        <v>Yes</v>
      </c>
      <c r="Z8" s="334" t="str">
        <f t="shared" si="5"/>
        <v>Yes</v>
      </c>
      <c r="AA8" s="334" t="str">
        <f t="shared" si="5"/>
        <v>No</v>
      </c>
      <c r="AB8" s="334" t="str">
        <f t="shared" si="5"/>
        <v>Yes</v>
      </c>
      <c r="AC8" s="334" t="str">
        <f t="shared" si="5"/>
        <v>No</v>
      </c>
      <c r="AE8" s="338">
        <f t="shared" si="4"/>
        <v>0</v>
      </c>
      <c r="AF8" s="338">
        <f t="shared" si="1"/>
        <v>0</v>
      </c>
      <c r="AG8" s="334">
        <f t="shared" si="1"/>
        <v>1</v>
      </c>
      <c r="AH8" s="334">
        <f t="shared" si="1"/>
        <v>1</v>
      </c>
      <c r="AI8" s="334">
        <f t="shared" si="1"/>
        <v>0</v>
      </c>
      <c r="AJ8" s="334">
        <f t="shared" si="1"/>
        <v>1</v>
      </c>
      <c r="AK8" s="334">
        <f t="shared" si="1"/>
        <v>1</v>
      </c>
      <c r="AL8" s="334">
        <f t="shared" si="1"/>
        <v>0</v>
      </c>
      <c r="AM8" s="334">
        <f t="shared" si="2"/>
        <v>1</v>
      </c>
      <c r="AN8" s="334">
        <f t="shared" si="2"/>
        <v>0</v>
      </c>
      <c r="AR8" s="346"/>
      <c r="AS8" s="346"/>
      <c r="AT8" s="346"/>
      <c r="AV8" s="346"/>
      <c r="AW8" s="346"/>
      <c r="AX8" s="346"/>
      <c r="AY8" s="346"/>
    </row>
    <row r="9" spans="2:51" ht="15.6" x14ac:dyDescent="0.35">
      <c r="B9" s="107"/>
      <c r="C9" s="107"/>
      <c r="D9" s="329" t="s">
        <v>840</v>
      </c>
      <c r="E9" s="337" t="str">
        <f>IF(E7&gt;E5,"No","Yes")</f>
        <v>Yes</v>
      </c>
      <c r="G9" s="228" t="s">
        <v>371</v>
      </c>
      <c r="H9" s="338"/>
      <c r="I9" s="338"/>
      <c r="J9" s="338"/>
      <c r="K9" s="334">
        <v>1</v>
      </c>
      <c r="L9" s="334">
        <v>3.2299799999999999E-5</v>
      </c>
      <c r="M9" s="334">
        <v>1</v>
      </c>
      <c r="N9" s="334">
        <v>1</v>
      </c>
      <c r="O9" s="334">
        <v>0.1109667</v>
      </c>
      <c r="P9" s="334">
        <v>1</v>
      </c>
      <c r="Q9" s="340">
        <v>1.048996E-2</v>
      </c>
      <c r="R9" s="107"/>
      <c r="S9" s="228" t="s">
        <v>371</v>
      </c>
      <c r="T9" s="338"/>
      <c r="U9" s="338"/>
      <c r="V9" s="338"/>
      <c r="W9" s="334" t="str">
        <f t="shared" ref="W9:AC9" si="6">IF(K9&gt;$E$5,"No","Yes")</f>
        <v>No</v>
      </c>
      <c r="X9" s="334" t="str">
        <f t="shared" si="6"/>
        <v>Yes</v>
      </c>
      <c r="Y9" s="334" t="str">
        <f t="shared" si="6"/>
        <v>No</v>
      </c>
      <c r="Z9" s="334" t="str">
        <f t="shared" si="6"/>
        <v>No</v>
      </c>
      <c r="AA9" s="334" t="str">
        <f t="shared" si="6"/>
        <v>No</v>
      </c>
      <c r="AB9" s="334" t="str">
        <f t="shared" si="6"/>
        <v>No</v>
      </c>
      <c r="AC9" s="334" t="str">
        <f t="shared" si="6"/>
        <v>Yes</v>
      </c>
      <c r="AE9" s="338">
        <f t="shared" si="4"/>
        <v>0</v>
      </c>
      <c r="AF9" s="338">
        <f t="shared" si="1"/>
        <v>0</v>
      </c>
      <c r="AG9" s="338">
        <f t="shared" si="1"/>
        <v>0</v>
      </c>
      <c r="AH9" s="334">
        <f t="shared" si="1"/>
        <v>0</v>
      </c>
      <c r="AI9" s="334">
        <f t="shared" si="1"/>
        <v>1</v>
      </c>
      <c r="AJ9" s="334">
        <f t="shared" si="1"/>
        <v>0</v>
      </c>
      <c r="AK9" s="334">
        <f t="shared" si="1"/>
        <v>0</v>
      </c>
      <c r="AL9" s="334">
        <f t="shared" si="1"/>
        <v>0</v>
      </c>
      <c r="AM9" s="334">
        <f t="shared" si="2"/>
        <v>0</v>
      </c>
      <c r="AN9" s="334">
        <f t="shared" si="2"/>
        <v>1</v>
      </c>
      <c r="AS9" s="346"/>
      <c r="AT9" s="346"/>
      <c r="AV9" s="346"/>
      <c r="AW9" s="346"/>
      <c r="AX9" s="346"/>
      <c r="AY9" s="346"/>
    </row>
    <row r="10" spans="2:51" x14ac:dyDescent="0.3">
      <c r="B10" s="107"/>
      <c r="C10" s="107"/>
      <c r="D10" s="107"/>
      <c r="E10" s="107"/>
      <c r="G10" s="228" t="s">
        <v>373</v>
      </c>
      <c r="H10" s="338"/>
      <c r="I10" s="338"/>
      <c r="J10" s="338"/>
      <c r="K10" s="338"/>
      <c r="L10" s="336">
        <v>1.744792E-3</v>
      </c>
      <c r="M10" s="334">
        <v>1</v>
      </c>
      <c r="N10" s="334">
        <v>0.58019330000000002</v>
      </c>
      <c r="O10" s="334">
        <v>1</v>
      </c>
      <c r="P10" s="334">
        <v>1</v>
      </c>
      <c r="Q10" s="340">
        <v>0.20763319999999999</v>
      </c>
      <c r="R10" s="107"/>
      <c r="S10" s="228" t="s">
        <v>373</v>
      </c>
      <c r="T10" s="338"/>
      <c r="U10" s="338"/>
      <c r="V10" s="338"/>
      <c r="W10" s="338"/>
      <c r="X10" s="334" t="str">
        <f t="shared" ref="X10:AC10" si="7">IF(L10&gt;$E$5,"No","Yes")</f>
        <v>Yes</v>
      </c>
      <c r="Y10" s="334" t="str">
        <f t="shared" si="7"/>
        <v>No</v>
      </c>
      <c r="Z10" s="334" t="str">
        <f t="shared" si="7"/>
        <v>No</v>
      </c>
      <c r="AA10" s="334" t="str">
        <f t="shared" si="7"/>
        <v>No</v>
      </c>
      <c r="AB10" s="334" t="str">
        <f t="shared" si="7"/>
        <v>No</v>
      </c>
      <c r="AC10" s="334" t="str">
        <f t="shared" si="7"/>
        <v>No</v>
      </c>
      <c r="AE10" s="338">
        <f t="shared" si="4"/>
        <v>0</v>
      </c>
      <c r="AF10" s="338">
        <f t="shared" si="1"/>
        <v>0</v>
      </c>
      <c r="AG10" s="338">
        <f t="shared" si="1"/>
        <v>0</v>
      </c>
      <c r="AH10" s="338">
        <f t="shared" si="1"/>
        <v>0</v>
      </c>
      <c r="AI10" s="334">
        <f t="shared" si="1"/>
        <v>1</v>
      </c>
      <c r="AJ10" s="334">
        <f t="shared" si="1"/>
        <v>0</v>
      </c>
      <c r="AK10" s="334">
        <f t="shared" si="1"/>
        <v>0</v>
      </c>
      <c r="AL10" s="334">
        <f t="shared" si="1"/>
        <v>0</v>
      </c>
      <c r="AM10" s="334">
        <f t="shared" si="2"/>
        <v>0</v>
      </c>
      <c r="AN10" s="334">
        <f t="shared" si="2"/>
        <v>0</v>
      </c>
      <c r="AT10" s="346"/>
      <c r="AV10" s="346"/>
      <c r="AW10" s="346"/>
      <c r="AX10" s="346"/>
      <c r="AY10" s="346"/>
    </row>
    <row r="11" spans="2:51" ht="15.6" x14ac:dyDescent="0.35">
      <c r="B11" s="107" t="s">
        <v>841</v>
      </c>
      <c r="C11" s="107"/>
      <c r="D11" s="107"/>
      <c r="E11" s="107"/>
      <c r="G11" s="228" t="s">
        <v>378</v>
      </c>
      <c r="H11" s="338"/>
      <c r="I11" s="338"/>
      <c r="J11" s="338"/>
      <c r="K11" s="338"/>
      <c r="L11" s="338"/>
      <c r="M11" s="334">
        <v>0.174204</v>
      </c>
      <c r="N11" s="336">
        <v>1.013137E-9</v>
      </c>
      <c r="O11" s="336">
        <v>1</v>
      </c>
      <c r="P11" s="336">
        <v>2.4923410000000001E-7</v>
      </c>
      <c r="Q11" s="334">
        <v>1</v>
      </c>
      <c r="R11" s="107"/>
      <c r="S11" s="228" t="s">
        <v>378</v>
      </c>
      <c r="T11" s="338"/>
      <c r="U11" s="338"/>
      <c r="V11" s="338"/>
      <c r="W11" s="338"/>
      <c r="X11" s="338"/>
      <c r="Y11" s="334" t="str">
        <f>IF(M11&gt;$E$5,"No","Yes")</f>
        <v>No</v>
      </c>
      <c r="Z11" s="334" t="str">
        <f>IF(N11&gt;$E$5,"No","Yes")</f>
        <v>Yes</v>
      </c>
      <c r="AA11" s="334" t="str">
        <f>IF(O11&gt;$E$5,"No","Yes")</f>
        <v>No</v>
      </c>
      <c r="AB11" s="334" t="str">
        <f>IF(P11&gt;$E$5,"No","Yes")</f>
        <v>Yes</v>
      </c>
      <c r="AC11" s="334" t="str">
        <f>IF(Q11&gt;$E$5,"No","Yes")</f>
        <v>No</v>
      </c>
      <c r="AE11" s="338">
        <f t="shared" si="4"/>
        <v>0</v>
      </c>
      <c r="AF11" s="338">
        <f t="shared" si="1"/>
        <v>0</v>
      </c>
      <c r="AG11" s="338">
        <f t="shared" si="1"/>
        <v>0</v>
      </c>
      <c r="AH11" s="338">
        <f t="shared" si="1"/>
        <v>0</v>
      </c>
      <c r="AI11" s="338">
        <f t="shared" si="1"/>
        <v>0</v>
      </c>
      <c r="AJ11" s="334">
        <f t="shared" si="1"/>
        <v>0</v>
      </c>
      <c r="AK11" s="334">
        <f t="shared" si="1"/>
        <v>1</v>
      </c>
      <c r="AL11" s="334">
        <f t="shared" si="1"/>
        <v>0</v>
      </c>
      <c r="AM11" s="334">
        <f t="shared" si="2"/>
        <v>1</v>
      </c>
      <c r="AN11" s="334">
        <f t="shared" si="2"/>
        <v>0</v>
      </c>
      <c r="AV11" s="346"/>
      <c r="AW11" s="346"/>
      <c r="AX11" s="346"/>
      <c r="AY11" s="346"/>
    </row>
    <row r="12" spans="2:51" x14ac:dyDescent="0.3">
      <c r="B12" s="107" t="s">
        <v>842</v>
      </c>
      <c r="C12" s="107"/>
      <c r="D12" s="107"/>
      <c r="E12" s="107"/>
      <c r="G12" s="228" t="s">
        <v>380</v>
      </c>
      <c r="H12" s="338"/>
      <c r="I12" s="338"/>
      <c r="J12" s="338"/>
      <c r="K12" s="338"/>
      <c r="L12" s="338"/>
      <c r="M12" s="338"/>
      <c r="N12" s="334">
        <v>9.0867480000000004E-3</v>
      </c>
      <c r="O12" s="334">
        <v>1</v>
      </c>
      <c r="P12" s="340">
        <v>0.1971955</v>
      </c>
      <c r="Q12" s="334">
        <v>1</v>
      </c>
      <c r="R12" s="107"/>
      <c r="S12" s="228" t="s">
        <v>380</v>
      </c>
      <c r="T12" s="338"/>
      <c r="U12" s="338"/>
      <c r="V12" s="338"/>
      <c r="W12" s="338"/>
      <c r="X12" s="338"/>
      <c r="Y12" s="338"/>
      <c r="Z12" s="334" t="str">
        <f>IF(N12&gt;$E$5,"No","Yes")</f>
        <v>Yes</v>
      </c>
      <c r="AA12" s="334" t="str">
        <f>IF(O12&gt;$E$5,"No","Yes")</f>
        <v>No</v>
      </c>
      <c r="AB12" s="334" t="str">
        <f>IF(P12&gt;$E$5,"No","Yes")</f>
        <v>No</v>
      </c>
      <c r="AC12" s="334" t="str">
        <f>IF(Q12&gt;$E$5,"No","Yes")</f>
        <v>No</v>
      </c>
      <c r="AE12" s="338">
        <f t="shared" si="4"/>
        <v>0</v>
      </c>
      <c r="AF12" s="338">
        <f t="shared" si="1"/>
        <v>0</v>
      </c>
      <c r="AG12" s="338">
        <f t="shared" si="1"/>
        <v>0</v>
      </c>
      <c r="AH12" s="338">
        <f t="shared" si="1"/>
        <v>0</v>
      </c>
      <c r="AI12" s="338">
        <f t="shared" si="1"/>
        <v>0</v>
      </c>
      <c r="AJ12" s="338">
        <f t="shared" si="1"/>
        <v>0</v>
      </c>
      <c r="AK12" s="334">
        <f t="shared" si="1"/>
        <v>1</v>
      </c>
      <c r="AL12" s="334">
        <f t="shared" si="1"/>
        <v>0</v>
      </c>
      <c r="AM12" s="334">
        <f t="shared" si="2"/>
        <v>0</v>
      </c>
      <c r="AN12" s="334">
        <f t="shared" si="2"/>
        <v>0</v>
      </c>
      <c r="AV12" s="346"/>
      <c r="AW12" s="346"/>
      <c r="AX12" s="346"/>
      <c r="AY12" s="346"/>
    </row>
    <row r="13" spans="2:51" x14ac:dyDescent="0.3">
      <c r="B13" s="107" t="s">
        <v>843</v>
      </c>
      <c r="C13" s="107"/>
      <c r="D13" s="107"/>
      <c r="E13" s="107"/>
      <c r="G13" s="228" t="s">
        <v>382</v>
      </c>
      <c r="H13" s="338"/>
      <c r="I13" s="338"/>
      <c r="J13" s="338"/>
      <c r="K13" s="338"/>
      <c r="L13" s="338"/>
      <c r="M13" s="338"/>
      <c r="N13" s="338"/>
      <c r="O13" s="334">
        <v>8.2887920000000004E-5</v>
      </c>
      <c r="P13" s="334">
        <v>1</v>
      </c>
      <c r="Q13" s="334">
        <v>2.713916E-6</v>
      </c>
      <c r="R13" s="107"/>
      <c r="S13" s="228" t="s">
        <v>382</v>
      </c>
      <c r="T13" s="338"/>
      <c r="U13" s="338"/>
      <c r="V13" s="338"/>
      <c r="W13" s="338"/>
      <c r="X13" s="338"/>
      <c r="Y13" s="338"/>
      <c r="Z13" s="338"/>
      <c r="AA13" s="334" t="str">
        <f>IF(O13&gt;$E$5,"No","Yes")</f>
        <v>Yes</v>
      </c>
      <c r="AB13" s="334" t="str">
        <f>IF(P13&gt;$E$5,"No","Yes")</f>
        <v>No</v>
      </c>
      <c r="AC13" s="334" t="str">
        <f>IF(Q13&gt;$E$5,"No","Yes")</f>
        <v>Yes</v>
      </c>
      <c r="AE13" s="338">
        <f t="shared" si="4"/>
        <v>0</v>
      </c>
      <c r="AF13" s="338">
        <f t="shared" si="1"/>
        <v>0</v>
      </c>
      <c r="AG13" s="338">
        <f t="shared" si="1"/>
        <v>0</v>
      </c>
      <c r="AH13" s="338">
        <f t="shared" si="1"/>
        <v>0</v>
      </c>
      <c r="AI13" s="338">
        <f t="shared" si="1"/>
        <v>0</v>
      </c>
      <c r="AJ13" s="338">
        <f t="shared" si="1"/>
        <v>0</v>
      </c>
      <c r="AK13" s="338">
        <f t="shared" si="1"/>
        <v>0</v>
      </c>
      <c r="AL13" s="334">
        <f t="shared" si="1"/>
        <v>1</v>
      </c>
      <c r="AM13" s="334">
        <f t="shared" si="2"/>
        <v>0</v>
      </c>
      <c r="AN13" s="334">
        <f t="shared" si="2"/>
        <v>1</v>
      </c>
      <c r="AW13" s="346"/>
      <c r="AX13" s="346"/>
      <c r="AY13" s="346"/>
    </row>
    <row r="14" spans="2:51" x14ac:dyDescent="0.3">
      <c r="B14" s="107" t="s">
        <v>837</v>
      </c>
      <c r="C14" s="107"/>
      <c r="D14" s="107"/>
      <c r="E14" s="107"/>
      <c r="G14" s="228" t="s">
        <v>453</v>
      </c>
      <c r="H14" s="338"/>
      <c r="I14" s="338"/>
      <c r="J14" s="338"/>
      <c r="K14" s="338"/>
      <c r="L14" s="338"/>
      <c r="M14" s="338"/>
      <c r="N14" s="338"/>
      <c r="O14" s="338"/>
      <c r="P14" s="336">
        <v>4.1954050000000001E-3</v>
      </c>
      <c r="Q14" s="334">
        <v>1</v>
      </c>
      <c r="R14" s="107"/>
      <c r="S14" s="228" t="s">
        <v>453</v>
      </c>
      <c r="T14" s="338"/>
      <c r="U14" s="338"/>
      <c r="V14" s="338"/>
      <c r="W14" s="338"/>
      <c r="X14" s="338"/>
      <c r="Y14" s="338"/>
      <c r="Z14" s="338"/>
      <c r="AA14" s="338"/>
      <c r="AB14" s="334" t="str">
        <f>IF(P14&gt;$E$5,"No","Yes")</f>
        <v>Yes</v>
      </c>
      <c r="AC14" s="334" t="str">
        <f>IF(Q14&gt;$E$5,"No","Yes")</f>
        <v>No</v>
      </c>
      <c r="AE14" s="338">
        <f t="shared" si="4"/>
        <v>0</v>
      </c>
      <c r="AF14" s="338">
        <f t="shared" si="1"/>
        <v>0</v>
      </c>
      <c r="AG14" s="338">
        <f t="shared" si="1"/>
        <v>0</v>
      </c>
      <c r="AH14" s="338">
        <f t="shared" si="1"/>
        <v>0</v>
      </c>
      <c r="AI14" s="338">
        <f t="shared" si="1"/>
        <v>0</v>
      </c>
      <c r="AJ14" s="338">
        <f t="shared" si="1"/>
        <v>0</v>
      </c>
      <c r="AK14" s="338">
        <f t="shared" si="1"/>
        <v>0</v>
      </c>
      <c r="AL14" s="338">
        <f t="shared" si="1"/>
        <v>0</v>
      </c>
      <c r="AM14" s="334">
        <f t="shared" si="2"/>
        <v>1</v>
      </c>
      <c r="AN14" s="334">
        <f t="shared" si="2"/>
        <v>0</v>
      </c>
      <c r="AX14" s="346"/>
      <c r="AY14" s="346"/>
    </row>
    <row r="15" spans="2:51" x14ac:dyDescent="0.3">
      <c r="B15" s="107" t="s">
        <v>844</v>
      </c>
      <c r="C15" s="107"/>
      <c r="D15" s="107"/>
      <c r="E15" s="107"/>
      <c r="G15" s="228" t="s">
        <v>454</v>
      </c>
      <c r="H15" s="338"/>
      <c r="I15" s="338"/>
      <c r="J15" s="338"/>
      <c r="K15" s="338"/>
      <c r="L15" s="338"/>
      <c r="M15" s="338"/>
      <c r="N15" s="338"/>
      <c r="O15" s="338"/>
      <c r="P15" s="338"/>
      <c r="Q15" s="334">
        <v>2.3331250000000001E-4</v>
      </c>
      <c r="R15" s="107"/>
      <c r="S15" s="228" t="s">
        <v>454</v>
      </c>
      <c r="T15" s="338"/>
      <c r="U15" s="338"/>
      <c r="V15" s="338"/>
      <c r="W15" s="338"/>
      <c r="X15" s="338"/>
      <c r="Y15" s="338"/>
      <c r="Z15" s="338"/>
      <c r="AA15" s="338"/>
      <c r="AB15" s="338"/>
      <c r="AC15" s="334" t="str">
        <f>IF(Q15&gt;$E$5,"No","Yes")</f>
        <v>Yes</v>
      </c>
      <c r="AE15" s="338">
        <f t="shared" si="4"/>
        <v>0</v>
      </c>
      <c r="AF15" s="338">
        <f t="shared" si="1"/>
        <v>0</v>
      </c>
      <c r="AG15" s="338">
        <f t="shared" si="1"/>
        <v>0</v>
      </c>
      <c r="AH15" s="338">
        <f t="shared" si="1"/>
        <v>0</v>
      </c>
      <c r="AI15" s="338">
        <f t="shared" si="1"/>
        <v>0</v>
      </c>
      <c r="AJ15" s="338">
        <f t="shared" si="1"/>
        <v>0</v>
      </c>
      <c r="AK15" s="338">
        <f t="shared" si="1"/>
        <v>0</v>
      </c>
      <c r="AL15" s="338">
        <f t="shared" si="1"/>
        <v>0</v>
      </c>
      <c r="AM15" s="338">
        <f t="shared" si="2"/>
        <v>0</v>
      </c>
      <c r="AN15" s="334">
        <f t="shared" si="2"/>
        <v>1</v>
      </c>
      <c r="AY15" s="346"/>
    </row>
    <row r="16" spans="2:51" x14ac:dyDescent="0.3">
      <c r="B16" s="107" t="s">
        <v>845</v>
      </c>
      <c r="C16" s="107"/>
      <c r="D16" s="107"/>
      <c r="E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</row>
    <row r="18" spans="2:29" x14ac:dyDescent="0.3">
      <c r="B18" s="106" t="s">
        <v>846</v>
      </c>
      <c r="C18" s="107"/>
      <c r="D18" s="107"/>
      <c r="E18" s="107"/>
      <c r="G18" s="106" t="s">
        <v>847</v>
      </c>
      <c r="H18" s="107" t="s">
        <v>833</v>
      </c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 t="s">
        <v>848</v>
      </c>
      <c r="T18" s="107"/>
      <c r="U18" s="107"/>
      <c r="V18" s="107"/>
      <c r="W18" s="107"/>
      <c r="X18" s="107"/>
      <c r="Y18" s="107"/>
      <c r="Z18" s="107"/>
      <c r="AA18" s="107"/>
      <c r="AB18" s="107"/>
      <c r="AC18" s="107"/>
    </row>
    <row r="19" spans="2:29" ht="15.6" x14ac:dyDescent="0.35">
      <c r="B19" s="119" t="s">
        <v>633</v>
      </c>
      <c r="C19" s="107"/>
      <c r="D19" s="329" t="s">
        <v>849</v>
      </c>
      <c r="E19" s="333">
        <v>1231.84681692104</v>
      </c>
      <c r="G19" s="119" t="s">
        <v>633</v>
      </c>
      <c r="H19" s="107" t="s">
        <v>850</v>
      </c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 t="s">
        <v>851</v>
      </c>
      <c r="T19" s="107"/>
      <c r="U19" s="107"/>
      <c r="V19" s="107"/>
      <c r="W19" s="107"/>
      <c r="X19" s="107"/>
      <c r="Y19" s="107"/>
      <c r="Z19" s="107"/>
      <c r="AA19" s="107"/>
      <c r="AB19" s="107"/>
      <c r="AC19" s="107"/>
    </row>
    <row r="20" spans="2:29" x14ac:dyDescent="0.3">
      <c r="B20" s="90" t="s">
        <v>838</v>
      </c>
      <c r="C20" s="107"/>
      <c r="D20" s="107"/>
      <c r="E20" s="116"/>
      <c r="G20" s="90" t="s">
        <v>838</v>
      </c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 t="s">
        <v>852</v>
      </c>
      <c r="T20" s="107"/>
      <c r="U20" s="107"/>
      <c r="V20" s="107"/>
      <c r="W20" s="107"/>
      <c r="X20" s="107"/>
      <c r="Y20" s="107"/>
      <c r="Z20" s="107"/>
      <c r="AA20" s="107"/>
      <c r="AB20" s="107"/>
      <c r="AC20" s="107"/>
    </row>
    <row r="21" spans="2:29" ht="15.6" x14ac:dyDescent="0.35">
      <c r="B21" s="107"/>
      <c r="C21" s="107"/>
      <c r="D21" s="329" t="s">
        <v>330</v>
      </c>
      <c r="E21" s="334">
        <v>0.05</v>
      </c>
      <c r="G21" s="329" t="s">
        <v>334</v>
      </c>
      <c r="H21" s="228">
        <v>1988</v>
      </c>
      <c r="I21" s="228" t="s">
        <v>369</v>
      </c>
      <c r="J21" s="228" t="s">
        <v>371</v>
      </c>
      <c r="K21" s="228" t="s">
        <v>373</v>
      </c>
      <c r="L21" s="228" t="s">
        <v>378</v>
      </c>
      <c r="M21" s="228" t="s">
        <v>380</v>
      </c>
      <c r="N21" s="228" t="s">
        <v>382</v>
      </c>
      <c r="O21" s="228" t="s">
        <v>453</v>
      </c>
      <c r="P21" s="228" t="s">
        <v>454</v>
      </c>
      <c r="Q21" s="228" t="s">
        <v>388</v>
      </c>
      <c r="R21" s="107"/>
      <c r="S21" s="335" t="s">
        <v>840</v>
      </c>
      <c r="T21" s="228">
        <v>1988</v>
      </c>
      <c r="U21" s="228" t="s">
        <v>369</v>
      </c>
      <c r="V21" s="228" t="s">
        <v>371</v>
      </c>
      <c r="W21" s="228" t="s">
        <v>373</v>
      </c>
      <c r="X21" s="228" t="s">
        <v>378</v>
      </c>
      <c r="Y21" s="228" t="s">
        <v>380</v>
      </c>
      <c r="Z21" s="228" t="s">
        <v>382</v>
      </c>
      <c r="AA21" s="228" t="s">
        <v>453</v>
      </c>
      <c r="AB21" s="228" t="s">
        <v>454</v>
      </c>
      <c r="AC21" s="228" t="s">
        <v>388</v>
      </c>
    </row>
    <row r="22" spans="2:29" x14ac:dyDescent="0.3">
      <c r="B22" s="107"/>
      <c r="C22" s="107"/>
      <c r="D22" s="107"/>
      <c r="E22" s="107"/>
      <c r="G22" s="228">
        <v>1977</v>
      </c>
      <c r="H22" s="345">
        <v>0</v>
      </c>
      <c r="I22" s="345">
        <v>0</v>
      </c>
      <c r="J22" s="334">
        <v>1.6000000000000001E-3</v>
      </c>
      <c r="K22" s="345">
        <v>0</v>
      </c>
      <c r="L22" s="345">
        <v>0</v>
      </c>
      <c r="M22" s="334">
        <v>1E-3</v>
      </c>
      <c r="N22" s="334">
        <v>0.72289999999999999</v>
      </c>
      <c r="O22" s="345">
        <v>0</v>
      </c>
      <c r="P22" s="334">
        <v>7.5300000000000006E-2</v>
      </c>
      <c r="Q22" s="345">
        <v>0</v>
      </c>
      <c r="R22" s="107"/>
      <c r="S22" s="228">
        <v>1977</v>
      </c>
      <c r="T22" s="334" t="str">
        <f t="shared" ref="T22:AC22" si="8">IF(H22&gt;$E$5,"No","Yes")</f>
        <v>Yes</v>
      </c>
      <c r="U22" s="334" t="str">
        <f t="shared" si="8"/>
        <v>Yes</v>
      </c>
      <c r="V22" s="334" t="str">
        <f t="shared" si="8"/>
        <v>Yes</v>
      </c>
      <c r="W22" s="334" t="str">
        <f t="shared" si="8"/>
        <v>Yes</v>
      </c>
      <c r="X22" s="334" t="str">
        <f t="shared" si="8"/>
        <v>Yes</v>
      </c>
      <c r="Y22" s="334" t="str">
        <f t="shared" si="8"/>
        <v>Yes</v>
      </c>
      <c r="Z22" s="334" t="str">
        <f t="shared" si="8"/>
        <v>No</v>
      </c>
      <c r="AA22" s="334" t="str">
        <f t="shared" si="8"/>
        <v>Yes</v>
      </c>
      <c r="AB22" s="334" t="str">
        <f t="shared" si="8"/>
        <v>No</v>
      </c>
      <c r="AC22" s="334" t="str">
        <f t="shared" si="8"/>
        <v>Yes</v>
      </c>
    </row>
    <row r="23" spans="2:29" x14ac:dyDescent="0.3">
      <c r="B23" s="107"/>
      <c r="C23" s="107"/>
      <c r="D23" s="329" t="s">
        <v>334</v>
      </c>
      <c r="E23" s="337">
        <v>8.6467569976687794E-180</v>
      </c>
      <c r="G23" s="228">
        <v>1988</v>
      </c>
      <c r="H23" s="338"/>
      <c r="I23" s="345">
        <v>0</v>
      </c>
      <c r="J23" s="345">
        <v>0</v>
      </c>
      <c r="K23" s="345">
        <v>0</v>
      </c>
      <c r="L23" s="345">
        <v>0</v>
      </c>
      <c r="M23" s="345">
        <v>0</v>
      </c>
      <c r="N23" s="345">
        <v>0</v>
      </c>
      <c r="O23" s="345">
        <v>0</v>
      </c>
      <c r="P23" s="345">
        <v>0</v>
      </c>
      <c r="Q23" s="345">
        <v>0</v>
      </c>
      <c r="R23" s="107"/>
      <c r="S23" s="228">
        <v>1988</v>
      </c>
      <c r="T23" s="338"/>
      <c r="U23" s="334" t="str">
        <f t="shared" ref="U23:AC23" si="9">IF(I23&gt;$E$5,"No","Yes")</f>
        <v>Yes</v>
      </c>
      <c r="V23" s="334" t="str">
        <f t="shared" si="9"/>
        <v>Yes</v>
      </c>
      <c r="W23" s="334" t="str">
        <f t="shared" si="9"/>
        <v>Yes</v>
      </c>
      <c r="X23" s="334" t="str">
        <f t="shared" si="9"/>
        <v>Yes</v>
      </c>
      <c r="Y23" s="334" t="str">
        <f t="shared" si="9"/>
        <v>Yes</v>
      </c>
      <c r="Z23" s="334" t="str">
        <f t="shared" si="9"/>
        <v>Yes</v>
      </c>
      <c r="AA23" s="334" t="str">
        <f t="shared" si="9"/>
        <v>Yes</v>
      </c>
      <c r="AB23" s="334" t="str">
        <f t="shared" si="9"/>
        <v>Yes</v>
      </c>
      <c r="AC23" s="334" t="str">
        <f t="shared" si="9"/>
        <v>Yes</v>
      </c>
    </row>
    <row r="24" spans="2:29" x14ac:dyDescent="0.3">
      <c r="B24" s="107"/>
      <c r="C24" s="107"/>
      <c r="D24" s="107"/>
      <c r="E24" s="107"/>
      <c r="G24" s="228" t="s">
        <v>369</v>
      </c>
      <c r="H24" s="338"/>
      <c r="I24" s="338"/>
      <c r="J24" s="345">
        <v>0</v>
      </c>
      <c r="K24" s="345">
        <v>0</v>
      </c>
      <c r="L24" s="345">
        <v>0</v>
      </c>
      <c r="M24" s="345">
        <v>0</v>
      </c>
      <c r="N24" s="345">
        <v>0</v>
      </c>
      <c r="O24" s="345">
        <v>0</v>
      </c>
      <c r="P24" s="345">
        <v>0</v>
      </c>
      <c r="Q24" s="345">
        <v>0</v>
      </c>
      <c r="R24" s="107"/>
      <c r="S24" s="228" t="s">
        <v>369</v>
      </c>
      <c r="T24" s="338"/>
      <c r="U24" s="338"/>
      <c r="V24" s="334" t="str">
        <f t="shared" ref="V24:AC24" si="10">IF(J24&gt;$E$5,"No","Yes")</f>
        <v>Yes</v>
      </c>
      <c r="W24" s="334" t="str">
        <f t="shared" si="10"/>
        <v>Yes</v>
      </c>
      <c r="X24" s="334" t="str">
        <f t="shared" si="10"/>
        <v>Yes</v>
      </c>
      <c r="Y24" s="334" t="str">
        <f t="shared" si="10"/>
        <v>Yes</v>
      </c>
      <c r="Z24" s="334" t="str">
        <f t="shared" si="10"/>
        <v>Yes</v>
      </c>
      <c r="AA24" s="334" t="str">
        <f t="shared" si="10"/>
        <v>Yes</v>
      </c>
      <c r="AB24" s="334" t="str">
        <f t="shared" si="10"/>
        <v>Yes</v>
      </c>
      <c r="AC24" s="334" t="str">
        <f t="shared" si="10"/>
        <v>Yes</v>
      </c>
    </row>
    <row r="25" spans="2:29" ht="15.6" x14ac:dyDescent="0.35">
      <c r="B25" s="107"/>
      <c r="C25" s="107"/>
      <c r="D25" s="329" t="s">
        <v>840</v>
      </c>
      <c r="E25" s="337" t="str">
        <f>IF(E23&gt;E21,"No","Yes")</f>
        <v>Yes</v>
      </c>
      <c r="G25" s="228" t="s">
        <v>371</v>
      </c>
      <c r="H25" s="338"/>
      <c r="I25" s="338"/>
      <c r="J25" s="338"/>
      <c r="K25" s="334">
        <v>0.99629999999999996</v>
      </c>
      <c r="L25" s="345">
        <v>0</v>
      </c>
      <c r="M25" s="334">
        <v>0.12609999999999999</v>
      </c>
      <c r="N25" s="334">
        <v>0.40079999999999999</v>
      </c>
      <c r="O25" s="345">
        <v>0</v>
      </c>
      <c r="P25" s="334">
        <v>0.98809999999999998</v>
      </c>
      <c r="Q25" s="345">
        <v>0</v>
      </c>
      <c r="R25" s="107"/>
      <c r="S25" s="228" t="s">
        <v>371</v>
      </c>
      <c r="T25" s="338"/>
      <c r="U25" s="338"/>
      <c r="V25" s="338"/>
      <c r="W25" s="334" t="str">
        <f t="shared" ref="W25:AC25" si="11">IF(K25&gt;$E$5,"No","Yes")</f>
        <v>No</v>
      </c>
      <c r="X25" s="334" t="str">
        <f t="shared" si="11"/>
        <v>Yes</v>
      </c>
      <c r="Y25" s="334" t="str">
        <f t="shared" si="11"/>
        <v>No</v>
      </c>
      <c r="Z25" s="334" t="str">
        <f t="shared" si="11"/>
        <v>No</v>
      </c>
      <c r="AA25" s="334" t="str">
        <f t="shared" si="11"/>
        <v>Yes</v>
      </c>
      <c r="AB25" s="334" t="str">
        <f t="shared" si="11"/>
        <v>No</v>
      </c>
      <c r="AC25" s="334" t="str">
        <f t="shared" si="11"/>
        <v>Yes</v>
      </c>
    </row>
    <row r="26" spans="2:29" x14ac:dyDescent="0.3">
      <c r="B26" s="107"/>
      <c r="C26" s="107"/>
      <c r="D26" s="107"/>
      <c r="E26" s="107"/>
      <c r="G26" s="228" t="s">
        <v>373</v>
      </c>
      <c r="H26" s="338"/>
      <c r="I26" s="338"/>
      <c r="J26" s="338"/>
      <c r="K26" s="338"/>
      <c r="L26" s="334">
        <v>0.69310000000000005</v>
      </c>
      <c r="M26" s="334">
        <v>3.9699999999999999E-2</v>
      </c>
      <c r="N26" s="334">
        <v>1.1999999999999999E-3</v>
      </c>
      <c r="O26" s="334">
        <v>0.56969999999999998</v>
      </c>
      <c r="P26" s="345">
        <v>0</v>
      </c>
      <c r="Q26" s="345">
        <v>0</v>
      </c>
      <c r="R26" s="107"/>
      <c r="S26" s="228" t="s">
        <v>373</v>
      </c>
      <c r="T26" s="338"/>
      <c r="U26" s="338"/>
      <c r="V26" s="338"/>
      <c r="W26" s="338"/>
      <c r="X26" s="334" t="str">
        <f t="shared" ref="X26:AC26" si="12">IF(L26&gt;$E$5,"No","Yes")</f>
        <v>No</v>
      </c>
      <c r="Y26" s="334" t="str">
        <f t="shared" si="12"/>
        <v>Yes</v>
      </c>
      <c r="Z26" s="334" t="str">
        <f t="shared" si="12"/>
        <v>Yes</v>
      </c>
      <c r="AA26" s="334" t="str">
        <f t="shared" si="12"/>
        <v>No</v>
      </c>
      <c r="AB26" s="334" t="str">
        <f t="shared" si="12"/>
        <v>Yes</v>
      </c>
      <c r="AC26" s="334" t="str">
        <f t="shared" si="12"/>
        <v>Yes</v>
      </c>
    </row>
    <row r="27" spans="2:29" ht="15.6" x14ac:dyDescent="0.35">
      <c r="B27" s="107" t="s">
        <v>853</v>
      </c>
      <c r="C27" s="107"/>
      <c r="D27" s="107"/>
      <c r="E27" s="107"/>
      <c r="G27" s="228" t="s">
        <v>378</v>
      </c>
      <c r="H27" s="338"/>
      <c r="I27" s="338"/>
      <c r="J27" s="338"/>
      <c r="K27" s="338"/>
      <c r="L27" s="338"/>
      <c r="M27" s="345">
        <v>0</v>
      </c>
      <c r="N27" s="345">
        <v>0</v>
      </c>
      <c r="O27" s="345">
        <v>0</v>
      </c>
      <c r="P27" s="345">
        <v>0</v>
      </c>
      <c r="Q27" s="345">
        <v>0</v>
      </c>
      <c r="R27" s="107"/>
      <c r="S27" s="228" t="s">
        <v>378</v>
      </c>
      <c r="T27" s="338"/>
      <c r="U27" s="338"/>
      <c r="V27" s="338"/>
      <c r="W27" s="338"/>
      <c r="X27" s="338"/>
      <c r="Y27" s="334" t="str">
        <f>IF(M27&gt;$E$5,"No","Yes")</f>
        <v>Yes</v>
      </c>
      <c r="Z27" s="334" t="str">
        <f>IF(N27&gt;$E$5,"No","Yes")</f>
        <v>Yes</v>
      </c>
      <c r="AA27" s="334" t="str">
        <f>IF(O27&gt;$E$5,"No","Yes")</f>
        <v>Yes</v>
      </c>
      <c r="AB27" s="334" t="str">
        <f>IF(P27&gt;$E$5,"No","Yes")</f>
        <v>Yes</v>
      </c>
      <c r="AC27" s="334" t="str">
        <f>IF(Q27&gt;$E$5,"No","Yes")</f>
        <v>Yes</v>
      </c>
    </row>
    <row r="28" spans="2:29" x14ac:dyDescent="0.3">
      <c r="B28" s="107" t="s">
        <v>842</v>
      </c>
      <c r="C28" s="107"/>
      <c r="D28" s="107"/>
      <c r="E28" s="107"/>
      <c r="G28" s="228" t="s">
        <v>380</v>
      </c>
      <c r="H28" s="338"/>
      <c r="I28" s="338"/>
      <c r="J28" s="338"/>
      <c r="K28" s="338"/>
      <c r="L28" s="338"/>
      <c r="M28" s="338"/>
      <c r="N28" s="345">
        <v>0</v>
      </c>
      <c r="O28" s="334">
        <v>0.38059999999999999</v>
      </c>
      <c r="P28" s="334">
        <v>3.5000000000000001E-3</v>
      </c>
      <c r="Q28" s="334">
        <v>7.9399999999999998E-2</v>
      </c>
      <c r="R28" s="107"/>
      <c r="S28" s="228" t="s">
        <v>380</v>
      </c>
      <c r="T28" s="338"/>
      <c r="U28" s="338"/>
      <c r="V28" s="338"/>
      <c r="W28" s="338"/>
      <c r="X28" s="338"/>
      <c r="Y28" s="338"/>
      <c r="Z28" s="334" t="str">
        <f>IF(N28&gt;$E$5,"No","Yes")</f>
        <v>Yes</v>
      </c>
      <c r="AA28" s="334" t="str">
        <f>IF(O28&gt;$E$5,"No","Yes")</f>
        <v>No</v>
      </c>
      <c r="AB28" s="334" t="str">
        <f>IF(P28&gt;$E$5,"No","Yes")</f>
        <v>Yes</v>
      </c>
      <c r="AC28" s="334" t="str">
        <f>IF(Q28&gt;$E$5,"No","Yes")</f>
        <v>No</v>
      </c>
    </row>
    <row r="29" spans="2:29" x14ac:dyDescent="0.3">
      <c r="B29" s="107" t="s">
        <v>843</v>
      </c>
      <c r="C29" s="107"/>
      <c r="D29" s="107"/>
      <c r="E29" s="107"/>
      <c r="G29" s="228" t="s">
        <v>382</v>
      </c>
      <c r="H29" s="338"/>
      <c r="I29" s="338"/>
      <c r="J29" s="338"/>
      <c r="K29" s="338"/>
      <c r="L29" s="338"/>
      <c r="M29" s="338"/>
      <c r="N29" s="338"/>
      <c r="O29" s="345">
        <v>0</v>
      </c>
      <c r="P29" s="334">
        <v>0.97960000000000003</v>
      </c>
      <c r="Q29" s="334">
        <v>1E-3</v>
      </c>
      <c r="R29" s="107"/>
      <c r="S29" s="228" t="s">
        <v>382</v>
      </c>
      <c r="T29" s="338"/>
      <c r="U29" s="338"/>
      <c r="V29" s="338"/>
      <c r="W29" s="338"/>
      <c r="X29" s="338"/>
      <c r="Y29" s="338"/>
      <c r="Z29" s="338"/>
      <c r="AA29" s="334" t="str">
        <f>IF(O29&gt;$E$5,"No","Yes")</f>
        <v>Yes</v>
      </c>
      <c r="AB29" s="334" t="str">
        <f>IF(P29&gt;$E$5,"No","Yes")</f>
        <v>No</v>
      </c>
      <c r="AC29" s="334" t="str">
        <f>IF(Q29&gt;$E$5,"No","Yes")</f>
        <v>Yes</v>
      </c>
    </row>
    <row r="30" spans="2:29" x14ac:dyDescent="0.3">
      <c r="B30" s="107" t="s">
        <v>854</v>
      </c>
      <c r="C30" s="107"/>
      <c r="D30" s="107"/>
      <c r="E30" s="107"/>
      <c r="G30" s="228" t="s">
        <v>453</v>
      </c>
      <c r="H30" s="338"/>
      <c r="I30" s="338"/>
      <c r="J30" s="338"/>
      <c r="K30" s="338"/>
      <c r="L30" s="338"/>
      <c r="M30" s="338"/>
      <c r="N30" s="338"/>
      <c r="O30" s="338"/>
      <c r="P30" s="345">
        <v>0</v>
      </c>
      <c r="Q30" s="334">
        <v>0.99980000000000002</v>
      </c>
      <c r="R30" s="107"/>
      <c r="S30" s="228" t="s">
        <v>453</v>
      </c>
      <c r="T30" s="338"/>
      <c r="U30" s="338"/>
      <c r="V30" s="338"/>
      <c r="W30" s="338"/>
      <c r="X30" s="338"/>
      <c r="Y30" s="338"/>
      <c r="Z30" s="338"/>
      <c r="AA30" s="338"/>
      <c r="AB30" s="334" t="str">
        <f>IF(P30&gt;$E$5,"No","Yes")</f>
        <v>Yes</v>
      </c>
      <c r="AC30" s="334" t="str">
        <f>IF(Q30&gt;$E$5,"No","Yes")</f>
        <v>No</v>
      </c>
    </row>
    <row r="31" spans="2:29" x14ac:dyDescent="0.3">
      <c r="B31" s="107" t="s">
        <v>855</v>
      </c>
      <c r="C31" s="107"/>
      <c r="D31" s="107"/>
      <c r="E31" s="107"/>
      <c r="G31" s="228" t="s">
        <v>454</v>
      </c>
      <c r="H31" s="338"/>
      <c r="I31" s="338"/>
      <c r="J31" s="338"/>
      <c r="K31" s="338"/>
      <c r="L31" s="338"/>
      <c r="M31" s="338"/>
      <c r="N31" s="338"/>
      <c r="O31" s="338"/>
      <c r="P31" s="338"/>
      <c r="Q31" s="345">
        <v>0</v>
      </c>
      <c r="R31" s="107"/>
      <c r="S31" s="228" t="s">
        <v>454</v>
      </c>
      <c r="T31" s="338"/>
      <c r="U31" s="338"/>
      <c r="V31" s="338"/>
      <c r="W31" s="338"/>
      <c r="X31" s="338"/>
      <c r="Y31" s="338"/>
      <c r="Z31" s="338"/>
      <c r="AA31" s="338"/>
      <c r="AB31" s="338"/>
      <c r="AC31" s="334" t="str">
        <f>IF(Q31&gt;$E$5,"No","Yes")</f>
        <v>Yes</v>
      </c>
    </row>
    <row r="32" spans="2:29" x14ac:dyDescent="0.3">
      <c r="B32" s="107"/>
      <c r="C32" s="107"/>
      <c r="D32" s="107"/>
      <c r="E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</row>
    <row r="33" spans="2:51" x14ac:dyDescent="0.3"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</row>
    <row r="35" spans="2:51" x14ac:dyDescent="0.3">
      <c r="B35" s="106" t="s">
        <v>831</v>
      </c>
      <c r="C35" s="107"/>
      <c r="D35" s="107"/>
      <c r="E35" s="107"/>
      <c r="G35" s="106" t="s">
        <v>832</v>
      </c>
      <c r="H35" s="107" t="s">
        <v>833</v>
      </c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 t="s">
        <v>834</v>
      </c>
      <c r="T35" s="107"/>
      <c r="U35" s="107"/>
      <c r="V35" s="107"/>
      <c r="W35" s="107"/>
      <c r="X35" s="107"/>
      <c r="Y35" s="107"/>
      <c r="Z35" s="107"/>
      <c r="AA35" s="107"/>
      <c r="AB35" s="107"/>
      <c r="AC35" s="107"/>
    </row>
    <row r="36" spans="2:51" ht="15.6" x14ac:dyDescent="0.35">
      <c r="B36" s="119" t="s">
        <v>633</v>
      </c>
      <c r="C36" s="107"/>
      <c r="D36" s="329" t="s">
        <v>835</v>
      </c>
      <c r="E36" s="333">
        <v>208.20559037973501</v>
      </c>
      <c r="G36" s="119" t="s">
        <v>633</v>
      </c>
      <c r="H36" s="107" t="s">
        <v>836</v>
      </c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 t="s">
        <v>837</v>
      </c>
      <c r="T36" s="107"/>
      <c r="U36" s="107"/>
      <c r="V36" s="107"/>
      <c r="W36" s="107"/>
      <c r="X36" s="107"/>
      <c r="Y36" s="107"/>
      <c r="Z36" s="107"/>
      <c r="AA36" s="107"/>
      <c r="AB36" s="107"/>
      <c r="AC36" s="107"/>
    </row>
    <row r="37" spans="2:51" x14ac:dyDescent="0.3">
      <c r="B37" s="91" t="s">
        <v>856</v>
      </c>
      <c r="C37" s="107"/>
      <c r="D37" s="107"/>
      <c r="E37" s="116"/>
      <c r="G37" s="91" t="s">
        <v>856</v>
      </c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 t="s">
        <v>839</v>
      </c>
      <c r="T37" s="107"/>
      <c r="U37" s="107"/>
      <c r="V37" s="107"/>
      <c r="W37" s="107"/>
      <c r="X37" s="107"/>
      <c r="Y37" s="107"/>
      <c r="Z37" s="107"/>
      <c r="AA37" s="107"/>
      <c r="AB37" s="107"/>
      <c r="AC37" s="107"/>
    </row>
    <row r="38" spans="2:51" ht="15.6" x14ac:dyDescent="0.35">
      <c r="B38" s="107"/>
      <c r="C38" s="107"/>
      <c r="D38" s="329" t="s">
        <v>330</v>
      </c>
      <c r="E38" s="334">
        <v>0.05</v>
      </c>
      <c r="G38" s="329" t="s">
        <v>334</v>
      </c>
      <c r="H38" s="228">
        <v>1988</v>
      </c>
      <c r="I38" s="228" t="s">
        <v>369</v>
      </c>
      <c r="J38" s="228" t="s">
        <v>371</v>
      </c>
      <c r="K38" s="228" t="s">
        <v>373</v>
      </c>
      <c r="L38" s="228" t="s">
        <v>378</v>
      </c>
      <c r="M38" s="228" t="s">
        <v>380</v>
      </c>
      <c r="N38" s="228" t="s">
        <v>382</v>
      </c>
      <c r="O38" s="228" t="s">
        <v>453</v>
      </c>
      <c r="P38" s="228" t="s">
        <v>454</v>
      </c>
      <c r="Q38" s="228" t="s">
        <v>388</v>
      </c>
      <c r="R38" s="107"/>
      <c r="S38" s="335" t="s">
        <v>840</v>
      </c>
      <c r="T38" s="228">
        <v>1988</v>
      </c>
      <c r="U38" s="228" t="s">
        <v>369</v>
      </c>
      <c r="V38" s="228" t="s">
        <v>371</v>
      </c>
      <c r="W38" s="228" t="s">
        <v>373</v>
      </c>
      <c r="X38" s="228" t="s">
        <v>378</v>
      </c>
      <c r="Y38" s="228" t="s">
        <v>380</v>
      </c>
      <c r="Z38" s="228" t="s">
        <v>382</v>
      </c>
      <c r="AA38" s="228" t="s">
        <v>453</v>
      </c>
      <c r="AB38" s="228" t="s">
        <v>454</v>
      </c>
      <c r="AC38" s="228" t="s">
        <v>388</v>
      </c>
    </row>
    <row r="39" spans="2:51" x14ac:dyDescent="0.3">
      <c r="B39" s="107"/>
      <c r="C39" s="107"/>
      <c r="D39" s="107"/>
      <c r="E39" s="107"/>
      <c r="G39" s="228">
        <v>1977</v>
      </c>
      <c r="H39" s="336">
        <v>5.9838089999999997E-3</v>
      </c>
      <c r="I39" s="336">
        <v>1.5957529999999999E-21</v>
      </c>
      <c r="J39" s="336">
        <v>7.7047470000000002E-16</v>
      </c>
      <c r="K39" s="334">
        <v>1</v>
      </c>
      <c r="L39" s="334">
        <v>1</v>
      </c>
      <c r="M39" s="334">
        <v>3.6378990000000004E-15</v>
      </c>
      <c r="N39" s="334">
        <v>9.9999999999999995E-7</v>
      </c>
      <c r="O39" s="334">
        <v>3.9999999999999998E-6</v>
      </c>
      <c r="P39" s="334">
        <v>8.467848E-2</v>
      </c>
      <c r="Q39" s="334">
        <v>2.5421679999999999E-9</v>
      </c>
      <c r="R39" s="107"/>
      <c r="S39" s="228">
        <v>1977</v>
      </c>
      <c r="T39" s="334" t="str">
        <f t="shared" ref="T39:AC39" si="13">IF(H39&gt;$E$5,"No","Yes")</f>
        <v>Yes</v>
      </c>
      <c r="U39" s="334" t="str">
        <f t="shared" si="13"/>
        <v>Yes</v>
      </c>
      <c r="V39" s="334" t="str">
        <f t="shared" si="13"/>
        <v>Yes</v>
      </c>
      <c r="W39" s="334" t="str">
        <f t="shared" si="13"/>
        <v>No</v>
      </c>
      <c r="X39" s="334" t="str">
        <f t="shared" si="13"/>
        <v>No</v>
      </c>
      <c r="Y39" s="334" t="str">
        <f t="shared" si="13"/>
        <v>Yes</v>
      </c>
      <c r="Z39" s="334" t="str">
        <f t="shared" si="13"/>
        <v>Yes</v>
      </c>
      <c r="AA39" s="334" t="str">
        <f t="shared" si="13"/>
        <v>Yes</v>
      </c>
      <c r="AB39" s="334" t="str">
        <f t="shared" si="13"/>
        <v>No</v>
      </c>
      <c r="AC39" s="334" t="str">
        <f t="shared" si="13"/>
        <v>Yes</v>
      </c>
      <c r="AE39" s="334">
        <f>IF(T39="Yes",1,0)</f>
        <v>1</v>
      </c>
      <c r="AF39" s="334">
        <f t="shared" ref="AF39:AL48" si="14">IF(U39="Yes",1,0)</f>
        <v>1</v>
      </c>
      <c r="AG39" s="334">
        <f t="shared" si="14"/>
        <v>1</v>
      </c>
      <c r="AH39" s="334">
        <f t="shared" si="14"/>
        <v>0</v>
      </c>
      <c r="AI39" s="334">
        <f t="shared" si="14"/>
        <v>0</v>
      </c>
      <c r="AJ39" s="334">
        <f t="shared" si="14"/>
        <v>1</v>
      </c>
      <c r="AK39" s="334">
        <f t="shared" si="14"/>
        <v>1</v>
      </c>
      <c r="AL39" s="334">
        <f>IF(AA39="Yes",1,0)</f>
        <v>1</v>
      </c>
      <c r="AM39" s="334">
        <f t="shared" ref="AM39:AN48" si="15">IF(AB39="Yes",1,0)</f>
        <v>0</v>
      </c>
      <c r="AN39" s="334">
        <f>IF(AC39="Yes",1,0)</f>
        <v>1</v>
      </c>
      <c r="AP39" s="346"/>
      <c r="AQ39" s="346"/>
      <c r="AR39" s="346"/>
      <c r="AU39" s="346"/>
      <c r="AX39" s="346"/>
      <c r="AY39" s="346"/>
    </row>
    <row r="40" spans="2:51" x14ac:dyDescent="0.3">
      <c r="B40" s="107"/>
      <c r="C40" s="107"/>
      <c r="D40" s="329" t="s">
        <v>334</v>
      </c>
      <c r="E40" s="337">
        <v>3.1276285492256802E-9</v>
      </c>
      <c r="G40" s="228">
        <v>1988</v>
      </c>
      <c r="H40" s="338"/>
      <c r="I40" s="334">
        <v>7.2146099999999995E-8</v>
      </c>
      <c r="J40" s="334">
        <v>1.6976409999999999E-4</v>
      </c>
      <c r="K40" s="334">
        <v>0.65456720000000002</v>
      </c>
      <c r="L40" s="334">
        <v>1</v>
      </c>
      <c r="M40" s="334">
        <v>4.035973E-4</v>
      </c>
      <c r="N40" s="339">
        <v>1</v>
      </c>
      <c r="O40" s="334">
        <v>1</v>
      </c>
      <c r="P40" s="339">
        <v>1</v>
      </c>
      <c r="Q40" s="336">
        <v>0.36723509999999998</v>
      </c>
      <c r="R40" s="107"/>
      <c r="S40" s="228">
        <v>1988</v>
      </c>
      <c r="T40" s="338"/>
      <c r="U40" s="334" t="str">
        <f t="shared" ref="U40:AC40" si="16">IF(I40&gt;$E$5,"No","Yes")</f>
        <v>Yes</v>
      </c>
      <c r="V40" s="334" t="str">
        <f t="shared" si="16"/>
        <v>Yes</v>
      </c>
      <c r="W40" s="334" t="str">
        <f t="shared" si="16"/>
        <v>No</v>
      </c>
      <c r="X40" s="334" t="str">
        <f t="shared" si="16"/>
        <v>No</v>
      </c>
      <c r="Y40" s="334" t="str">
        <f t="shared" si="16"/>
        <v>Yes</v>
      </c>
      <c r="Z40" s="334" t="str">
        <f t="shared" si="16"/>
        <v>No</v>
      </c>
      <c r="AA40" s="334" t="str">
        <f t="shared" si="16"/>
        <v>No</v>
      </c>
      <c r="AB40" s="334" t="str">
        <f t="shared" si="16"/>
        <v>No</v>
      </c>
      <c r="AC40" s="334" t="str">
        <f t="shared" si="16"/>
        <v>No</v>
      </c>
      <c r="AE40" s="338">
        <f t="shared" ref="AE40:AE48" si="17">IF(T40="Yes",1,0)</f>
        <v>0</v>
      </c>
      <c r="AF40" s="334">
        <f t="shared" si="14"/>
        <v>1</v>
      </c>
      <c r="AG40" s="334">
        <f t="shared" si="14"/>
        <v>1</v>
      </c>
      <c r="AH40" s="334">
        <f t="shared" si="14"/>
        <v>0</v>
      </c>
      <c r="AI40" s="334">
        <f t="shared" si="14"/>
        <v>0</v>
      </c>
      <c r="AJ40" s="334">
        <f t="shared" si="14"/>
        <v>1</v>
      </c>
      <c r="AK40" s="334">
        <f t="shared" si="14"/>
        <v>0</v>
      </c>
      <c r="AL40" s="334">
        <f t="shared" si="14"/>
        <v>0</v>
      </c>
      <c r="AM40" s="334">
        <f t="shared" si="15"/>
        <v>0</v>
      </c>
      <c r="AN40" s="334">
        <f t="shared" si="15"/>
        <v>0</v>
      </c>
      <c r="AQ40" s="346"/>
      <c r="AR40" s="346"/>
      <c r="AS40" s="346"/>
      <c r="AU40" s="346"/>
      <c r="AY40" s="346"/>
    </row>
    <row r="41" spans="2:51" x14ac:dyDescent="0.3">
      <c r="B41" s="107"/>
      <c r="C41" s="107"/>
      <c r="D41" s="107"/>
      <c r="E41" s="107"/>
      <c r="G41" s="228" t="s">
        <v>369</v>
      </c>
      <c r="H41" s="338"/>
      <c r="I41" s="338"/>
      <c r="J41" s="334">
        <v>1</v>
      </c>
      <c r="K41" s="334">
        <v>5.1723490000000003E-16</v>
      </c>
      <c r="L41" s="334">
        <v>2.9230039999999998E-14</v>
      </c>
      <c r="M41" s="334">
        <v>1</v>
      </c>
      <c r="N41" s="340">
        <v>8.7900000000000001E-4</v>
      </c>
      <c r="O41" s="334">
        <v>3.0800000000000001E-4</v>
      </c>
      <c r="P41" s="336">
        <v>7.1357930000000002E-10</v>
      </c>
      <c r="Q41" s="334">
        <v>4.3901830000000003E-2</v>
      </c>
      <c r="R41" s="336"/>
      <c r="S41" s="228" t="s">
        <v>369</v>
      </c>
      <c r="T41" s="338"/>
      <c r="U41" s="338"/>
      <c r="V41" s="334" t="str">
        <f t="shared" ref="V41:AC41" si="18">IF(J41&gt;$E$5,"No","Yes")</f>
        <v>No</v>
      </c>
      <c r="W41" s="334" t="str">
        <f t="shared" si="18"/>
        <v>Yes</v>
      </c>
      <c r="X41" s="334" t="str">
        <f t="shared" si="18"/>
        <v>Yes</v>
      </c>
      <c r="Y41" s="334" t="str">
        <f t="shared" si="18"/>
        <v>No</v>
      </c>
      <c r="Z41" s="334" t="str">
        <f t="shared" si="18"/>
        <v>Yes</v>
      </c>
      <c r="AA41" s="334" t="str">
        <f t="shared" si="18"/>
        <v>Yes</v>
      </c>
      <c r="AB41" s="334" t="str">
        <f t="shared" si="18"/>
        <v>Yes</v>
      </c>
      <c r="AC41" s="334" t="str">
        <f t="shared" si="18"/>
        <v>Yes</v>
      </c>
      <c r="AE41" s="338">
        <f t="shared" si="17"/>
        <v>0</v>
      </c>
      <c r="AF41" s="338">
        <f t="shared" si="14"/>
        <v>0</v>
      </c>
      <c r="AG41" s="334">
        <f t="shared" si="14"/>
        <v>0</v>
      </c>
      <c r="AH41" s="334">
        <f t="shared" si="14"/>
        <v>1</v>
      </c>
      <c r="AI41" s="334">
        <f t="shared" si="14"/>
        <v>1</v>
      </c>
      <c r="AJ41" s="334">
        <f t="shared" si="14"/>
        <v>0</v>
      </c>
      <c r="AK41" s="334">
        <f t="shared" si="14"/>
        <v>1</v>
      </c>
      <c r="AL41" s="334">
        <f t="shared" si="14"/>
        <v>1</v>
      </c>
      <c r="AM41" s="334">
        <f t="shared" si="15"/>
        <v>1</v>
      </c>
      <c r="AN41" s="334">
        <f t="shared" si="15"/>
        <v>1</v>
      </c>
      <c r="AS41" s="346"/>
      <c r="AT41" s="346"/>
      <c r="AX41" s="346"/>
      <c r="AY41" s="346"/>
    </row>
    <row r="42" spans="2:51" ht="15.6" x14ac:dyDescent="0.35">
      <c r="B42" s="107"/>
      <c r="C42" s="107"/>
      <c r="D42" s="329" t="s">
        <v>840</v>
      </c>
      <c r="E42" s="337" t="str">
        <f>IF(E40&gt;E38,"No","Yes")</f>
        <v>Yes</v>
      </c>
      <c r="G42" s="228" t="s">
        <v>371</v>
      </c>
      <c r="H42" s="338"/>
      <c r="I42" s="338"/>
      <c r="J42" s="338"/>
      <c r="K42" s="334">
        <v>3.8332930000000003E-11</v>
      </c>
      <c r="L42" s="334">
        <v>1.122241E-9</v>
      </c>
      <c r="M42" s="334">
        <v>1</v>
      </c>
      <c r="N42" s="334">
        <v>0.19641800000000001</v>
      </c>
      <c r="O42" s="339">
        <v>9.2989000000000002E-2</v>
      </c>
      <c r="P42" s="334">
        <v>4.3801410000000003E-6</v>
      </c>
      <c r="Q42" s="339">
        <v>1</v>
      </c>
      <c r="R42" s="107"/>
      <c r="S42" s="228" t="s">
        <v>371</v>
      </c>
      <c r="T42" s="338"/>
      <c r="U42" s="338"/>
      <c r="V42" s="338"/>
      <c r="W42" s="334" t="str">
        <f t="shared" ref="W42:AC42" si="19">IF(K42&gt;$E$5,"No","Yes")</f>
        <v>Yes</v>
      </c>
      <c r="X42" s="334" t="str">
        <f t="shared" si="19"/>
        <v>Yes</v>
      </c>
      <c r="Y42" s="334" t="str">
        <f t="shared" si="19"/>
        <v>No</v>
      </c>
      <c r="Z42" s="334" t="str">
        <f t="shared" si="19"/>
        <v>No</v>
      </c>
      <c r="AA42" s="334" t="str">
        <f t="shared" si="19"/>
        <v>No</v>
      </c>
      <c r="AB42" s="334" t="str">
        <f t="shared" si="19"/>
        <v>Yes</v>
      </c>
      <c r="AC42" s="334" t="str">
        <f t="shared" si="19"/>
        <v>No</v>
      </c>
      <c r="AE42" s="338">
        <f t="shared" si="17"/>
        <v>0</v>
      </c>
      <c r="AF42" s="338">
        <f t="shared" si="14"/>
        <v>0</v>
      </c>
      <c r="AG42" s="338">
        <f t="shared" si="14"/>
        <v>0</v>
      </c>
      <c r="AH42" s="334">
        <f t="shared" si="14"/>
        <v>1</v>
      </c>
      <c r="AI42" s="334">
        <f t="shared" si="14"/>
        <v>1</v>
      </c>
      <c r="AJ42" s="334">
        <f t="shared" si="14"/>
        <v>0</v>
      </c>
      <c r="AK42" s="334">
        <f t="shared" si="14"/>
        <v>0</v>
      </c>
      <c r="AL42" s="334">
        <f t="shared" si="14"/>
        <v>0</v>
      </c>
      <c r="AM42" s="334">
        <f t="shared" si="15"/>
        <v>1</v>
      </c>
      <c r="AN42" s="334">
        <f t="shared" si="15"/>
        <v>0</v>
      </c>
      <c r="AS42" s="346"/>
      <c r="AW42" s="346"/>
    </row>
    <row r="43" spans="2:51" x14ac:dyDescent="0.3">
      <c r="B43" s="107"/>
      <c r="C43" s="107"/>
      <c r="D43" s="107"/>
      <c r="E43" s="107"/>
      <c r="G43" s="228" t="s">
        <v>373</v>
      </c>
      <c r="H43" s="338"/>
      <c r="I43" s="338"/>
      <c r="J43" s="338"/>
      <c r="K43" s="338"/>
      <c r="L43" s="334">
        <v>1</v>
      </c>
      <c r="M43" s="334">
        <v>1.4209459999999999E-10</v>
      </c>
      <c r="N43" s="334">
        <v>1.093E-3</v>
      </c>
      <c r="O43" s="334">
        <v>2.9369999999999999E-3</v>
      </c>
      <c r="P43" s="334">
        <v>1</v>
      </c>
      <c r="Q43" s="334">
        <v>9.444939E-6</v>
      </c>
      <c r="R43" s="107"/>
      <c r="S43" s="228" t="s">
        <v>373</v>
      </c>
      <c r="T43" s="338"/>
      <c r="U43" s="338"/>
      <c r="V43" s="338"/>
      <c r="W43" s="338"/>
      <c r="X43" s="334" t="str">
        <f t="shared" ref="X43:AC43" si="20">IF(L43&gt;$E$5,"No","Yes")</f>
        <v>No</v>
      </c>
      <c r="Y43" s="334" t="str">
        <f t="shared" si="20"/>
        <v>Yes</v>
      </c>
      <c r="Z43" s="334" t="str">
        <f t="shared" si="20"/>
        <v>Yes</v>
      </c>
      <c r="AA43" s="334" t="str">
        <f t="shared" si="20"/>
        <v>Yes</v>
      </c>
      <c r="AB43" s="334" t="str">
        <f t="shared" si="20"/>
        <v>No</v>
      </c>
      <c r="AC43" s="334" t="str">
        <f t="shared" si="20"/>
        <v>Yes</v>
      </c>
      <c r="AE43" s="338">
        <f t="shared" si="17"/>
        <v>0</v>
      </c>
      <c r="AF43" s="338">
        <f t="shared" si="14"/>
        <v>0</v>
      </c>
      <c r="AG43" s="338">
        <f t="shared" si="14"/>
        <v>0</v>
      </c>
      <c r="AH43" s="338">
        <f t="shared" si="14"/>
        <v>0</v>
      </c>
      <c r="AI43" s="334">
        <f t="shared" si="14"/>
        <v>0</v>
      </c>
      <c r="AJ43" s="334">
        <f t="shared" si="14"/>
        <v>1</v>
      </c>
      <c r="AK43" s="334">
        <f t="shared" si="14"/>
        <v>1</v>
      </c>
      <c r="AL43" s="334">
        <f t="shared" si="14"/>
        <v>1</v>
      </c>
      <c r="AM43" s="334">
        <f t="shared" si="15"/>
        <v>0</v>
      </c>
      <c r="AN43" s="334">
        <f t="shared" si="15"/>
        <v>1</v>
      </c>
      <c r="AU43" s="346"/>
      <c r="AY43" s="346"/>
    </row>
    <row r="44" spans="2:51" ht="15.6" x14ac:dyDescent="0.35">
      <c r="B44" s="107" t="s">
        <v>841</v>
      </c>
      <c r="C44" s="107"/>
      <c r="D44" s="107"/>
      <c r="E44" s="107"/>
      <c r="G44" s="228" t="s">
        <v>378</v>
      </c>
      <c r="H44" s="338"/>
      <c r="I44" s="338"/>
      <c r="J44" s="338"/>
      <c r="K44" s="338"/>
      <c r="L44" s="338"/>
      <c r="M44" s="334">
        <v>3.8216080000000002E-9</v>
      </c>
      <c r="N44" s="336">
        <v>8.3070000000000001E-3</v>
      </c>
      <c r="O44" s="334">
        <v>2.0140999999999999E-2</v>
      </c>
      <c r="P44" s="334">
        <v>1</v>
      </c>
      <c r="Q44" s="336">
        <v>1.1150999999999999E-4</v>
      </c>
      <c r="R44" s="107"/>
      <c r="S44" s="228" t="s">
        <v>378</v>
      </c>
      <c r="T44" s="338"/>
      <c r="U44" s="338"/>
      <c r="V44" s="338"/>
      <c r="W44" s="338"/>
      <c r="X44" s="338"/>
      <c r="Y44" s="334" t="str">
        <f>IF(M44&gt;$E$5,"No","Yes")</f>
        <v>Yes</v>
      </c>
      <c r="Z44" s="334" t="str">
        <f>IF(N44&gt;$E$5,"No","Yes")</f>
        <v>Yes</v>
      </c>
      <c r="AA44" s="334" t="str">
        <f>IF(O44&gt;$E$5,"No","Yes")</f>
        <v>Yes</v>
      </c>
      <c r="AB44" s="334" t="str">
        <f>IF(P44&gt;$E$5,"No","Yes")</f>
        <v>No</v>
      </c>
      <c r="AC44" s="334" t="str">
        <f>IF(Q44&gt;$E$5,"No","Yes")</f>
        <v>Yes</v>
      </c>
      <c r="AE44" s="338">
        <f t="shared" si="17"/>
        <v>0</v>
      </c>
      <c r="AF44" s="338">
        <f t="shared" si="14"/>
        <v>0</v>
      </c>
      <c r="AG44" s="338">
        <f t="shared" si="14"/>
        <v>0</v>
      </c>
      <c r="AH44" s="338">
        <f t="shared" si="14"/>
        <v>0</v>
      </c>
      <c r="AI44" s="338">
        <f t="shared" si="14"/>
        <v>0</v>
      </c>
      <c r="AJ44" s="334">
        <f t="shared" si="14"/>
        <v>1</v>
      </c>
      <c r="AK44" s="334">
        <f t="shared" si="14"/>
        <v>1</v>
      </c>
      <c r="AL44" s="334">
        <f t="shared" si="14"/>
        <v>1</v>
      </c>
      <c r="AM44" s="334">
        <f t="shared" si="15"/>
        <v>0</v>
      </c>
      <c r="AN44" s="334">
        <f t="shared" si="15"/>
        <v>1</v>
      </c>
      <c r="AU44" s="346"/>
      <c r="AY44" s="346"/>
    </row>
    <row r="45" spans="2:51" x14ac:dyDescent="0.3">
      <c r="B45" s="107" t="s">
        <v>842</v>
      </c>
      <c r="C45" s="107"/>
      <c r="D45" s="107"/>
      <c r="E45" s="107"/>
      <c r="G45" s="228" t="s">
        <v>380</v>
      </c>
      <c r="H45" s="338"/>
      <c r="I45" s="338"/>
      <c r="J45" s="338"/>
      <c r="K45" s="338"/>
      <c r="L45" s="338"/>
      <c r="M45" s="338"/>
      <c r="N45" s="336">
        <v>0.3458</v>
      </c>
      <c r="O45" s="334">
        <v>0.17005200000000001</v>
      </c>
      <c r="P45" s="334">
        <v>1.1778479999999999E-5</v>
      </c>
      <c r="Q45" s="334">
        <v>1</v>
      </c>
      <c r="R45" s="107"/>
      <c r="S45" s="228" t="s">
        <v>380</v>
      </c>
      <c r="T45" s="338"/>
      <c r="U45" s="338"/>
      <c r="V45" s="338"/>
      <c r="W45" s="338"/>
      <c r="X45" s="338"/>
      <c r="Y45" s="338"/>
      <c r="Z45" s="334" t="str">
        <f>IF(N45&gt;$E$5,"No","Yes")</f>
        <v>No</v>
      </c>
      <c r="AA45" s="334" t="str">
        <f>IF(O45&gt;$E$5,"No","Yes")</f>
        <v>No</v>
      </c>
      <c r="AB45" s="334" t="str">
        <f>IF(P45&gt;$E$5,"No","Yes")</f>
        <v>Yes</v>
      </c>
      <c r="AC45" s="334" t="str">
        <f>IF(Q45&gt;$E$5,"No","Yes")</f>
        <v>No</v>
      </c>
      <c r="AE45" s="338">
        <f t="shared" si="17"/>
        <v>0</v>
      </c>
      <c r="AF45" s="338">
        <f t="shared" si="14"/>
        <v>0</v>
      </c>
      <c r="AG45" s="338">
        <f t="shared" si="14"/>
        <v>0</v>
      </c>
      <c r="AH45" s="338">
        <f t="shared" si="14"/>
        <v>0</v>
      </c>
      <c r="AI45" s="338">
        <f t="shared" si="14"/>
        <v>0</v>
      </c>
      <c r="AJ45" s="338">
        <f t="shared" si="14"/>
        <v>0</v>
      </c>
      <c r="AK45" s="334">
        <f t="shared" si="14"/>
        <v>0</v>
      </c>
      <c r="AL45" s="334">
        <f t="shared" si="14"/>
        <v>0</v>
      </c>
      <c r="AM45" s="334">
        <f t="shared" si="15"/>
        <v>1</v>
      </c>
      <c r="AN45" s="334">
        <f t="shared" si="15"/>
        <v>0</v>
      </c>
      <c r="AX45" s="346"/>
    </row>
    <row r="46" spans="2:51" x14ac:dyDescent="0.3">
      <c r="B46" s="107" t="s">
        <v>843</v>
      </c>
      <c r="C46" s="107"/>
      <c r="D46" s="107"/>
      <c r="E46" s="107"/>
      <c r="G46" s="228" t="s">
        <v>382</v>
      </c>
      <c r="H46" s="338"/>
      <c r="I46" s="338"/>
      <c r="J46" s="338"/>
      <c r="K46" s="338"/>
      <c r="L46" s="338"/>
      <c r="M46" s="338"/>
      <c r="N46" s="338"/>
      <c r="O46" s="334">
        <v>1</v>
      </c>
      <c r="P46" s="334">
        <v>0.7765881</v>
      </c>
      <c r="Q46" s="334">
        <v>1</v>
      </c>
      <c r="R46" s="107"/>
      <c r="S46" s="228" t="s">
        <v>382</v>
      </c>
      <c r="T46" s="338"/>
      <c r="U46" s="338"/>
      <c r="V46" s="338"/>
      <c r="W46" s="338"/>
      <c r="X46" s="338"/>
      <c r="Y46" s="338"/>
      <c r="Z46" s="338"/>
      <c r="AA46" s="334" t="str">
        <f>IF(O46&gt;$E$5,"No","Yes")</f>
        <v>No</v>
      </c>
      <c r="AB46" s="334" t="str">
        <f>IF(P46&gt;$E$5,"No","Yes")</f>
        <v>No</v>
      </c>
      <c r="AC46" s="334" t="str">
        <f>IF(Q46&gt;$E$5,"No","Yes")</f>
        <v>No</v>
      </c>
      <c r="AE46" s="338">
        <f t="shared" si="17"/>
        <v>0</v>
      </c>
      <c r="AF46" s="338">
        <f t="shared" si="14"/>
        <v>0</v>
      </c>
      <c r="AG46" s="338">
        <f t="shared" si="14"/>
        <v>0</v>
      </c>
      <c r="AH46" s="338">
        <f t="shared" si="14"/>
        <v>0</v>
      </c>
      <c r="AI46" s="338">
        <f t="shared" si="14"/>
        <v>0</v>
      </c>
      <c r="AJ46" s="338">
        <f t="shared" si="14"/>
        <v>0</v>
      </c>
      <c r="AK46" s="338">
        <f t="shared" si="14"/>
        <v>0</v>
      </c>
      <c r="AL46" s="334">
        <f t="shared" si="14"/>
        <v>0</v>
      </c>
      <c r="AM46" s="334">
        <f t="shared" si="15"/>
        <v>0</v>
      </c>
      <c r="AN46" s="334">
        <f t="shared" si="15"/>
        <v>0</v>
      </c>
      <c r="AX46" s="346"/>
    </row>
    <row r="47" spans="2:51" x14ac:dyDescent="0.3">
      <c r="B47" s="107" t="s">
        <v>837</v>
      </c>
      <c r="C47" s="107"/>
      <c r="D47" s="107"/>
      <c r="E47" s="107"/>
      <c r="G47" s="228" t="s">
        <v>453</v>
      </c>
      <c r="H47" s="338"/>
      <c r="I47" s="338"/>
      <c r="J47" s="338"/>
      <c r="K47" s="338"/>
      <c r="L47" s="338"/>
      <c r="M47" s="338"/>
      <c r="N47" s="338"/>
      <c r="O47" s="338"/>
      <c r="P47" s="334">
        <v>1</v>
      </c>
      <c r="Q47" s="334">
        <v>1</v>
      </c>
      <c r="R47" s="107"/>
      <c r="S47" s="228" t="s">
        <v>453</v>
      </c>
      <c r="T47" s="338"/>
      <c r="U47" s="338"/>
      <c r="V47" s="338"/>
      <c r="W47" s="338"/>
      <c r="X47" s="338"/>
      <c r="Y47" s="338"/>
      <c r="Z47" s="338"/>
      <c r="AA47" s="338"/>
      <c r="AB47" s="334" t="str">
        <f>IF(P47&gt;$E$5,"No","Yes")</f>
        <v>No</v>
      </c>
      <c r="AC47" s="334" t="str">
        <f>IF(Q47&gt;$E$5,"No","Yes")</f>
        <v>No</v>
      </c>
      <c r="AE47" s="338">
        <f t="shared" si="17"/>
        <v>0</v>
      </c>
      <c r="AF47" s="338">
        <f t="shared" si="14"/>
        <v>0</v>
      </c>
      <c r="AG47" s="338">
        <f t="shared" si="14"/>
        <v>0</v>
      </c>
      <c r="AH47" s="338">
        <f t="shared" si="14"/>
        <v>0</v>
      </c>
      <c r="AI47" s="338">
        <f t="shared" si="14"/>
        <v>0</v>
      </c>
      <c r="AJ47" s="338">
        <f t="shared" si="14"/>
        <v>0</v>
      </c>
      <c r="AK47" s="338">
        <f t="shared" si="14"/>
        <v>0</v>
      </c>
      <c r="AL47" s="338">
        <f t="shared" si="14"/>
        <v>0</v>
      </c>
      <c r="AM47" s="334">
        <f t="shared" si="15"/>
        <v>0</v>
      </c>
      <c r="AN47" s="334">
        <f t="shared" si="15"/>
        <v>0</v>
      </c>
    </row>
    <row r="48" spans="2:51" x14ac:dyDescent="0.3">
      <c r="B48" s="107" t="s">
        <v>844</v>
      </c>
      <c r="C48" s="107"/>
      <c r="D48" s="107"/>
      <c r="E48" s="107"/>
      <c r="G48" s="228" t="s">
        <v>454</v>
      </c>
      <c r="H48" s="338"/>
      <c r="I48" s="338"/>
      <c r="J48" s="338"/>
      <c r="K48" s="338"/>
      <c r="L48" s="338"/>
      <c r="M48" s="338"/>
      <c r="N48" s="338"/>
      <c r="O48" s="338"/>
      <c r="P48" s="338"/>
      <c r="Q48" s="334">
        <v>3.5014070000000001E-2</v>
      </c>
      <c r="R48" s="107"/>
      <c r="S48" s="228" t="s">
        <v>454</v>
      </c>
      <c r="T48" s="338"/>
      <c r="U48" s="338"/>
      <c r="V48" s="338"/>
      <c r="W48" s="338"/>
      <c r="X48" s="338"/>
      <c r="Y48" s="338"/>
      <c r="Z48" s="338"/>
      <c r="AA48" s="338"/>
      <c r="AB48" s="338"/>
      <c r="AC48" s="334" t="str">
        <f>IF(Q48&gt;$E$5,"No","Yes")</f>
        <v>Yes</v>
      </c>
      <c r="AE48" s="338">
        <f t="shared" si="17"/>
        <v>0</v>
      </c>
      <c r="AF48" s="338">
        <f t="shared" si="14"/>
        <v>0</v>
      </c>
      <c r="AG48" s="338">
        <f t="shared" si="14"/>
        <v>0</v>
      </c>
      <c r="AH48" s="338">
        <f t="shared" si="14"/>
        <v>0</v>
      </c>
      <c r="AI48" s="338">
        <f t="shared" si="14"/>
        <v>0</v>
      </c>
      <c r="AJ48" s="338">
        <f t="shared" si="14"/>
        <v>0</v>
      </c>
      <c r="AK48" s="338">
        <f t="shared" si="14"/>
        <v>0</v>
      </c>
      <c r="AL48" s="338">
        <f t="shared" si="14"/>
        <v>0</v>
      </c>
      <c r="AM48" s="338">
        <f t="shared" si="15"/>
        <v>0</v>
      </c>
      <c r="AN48" s="334">
        <f t="shared" si="15"/>
        <v>1</v>
      </c>
      <c r="AY48" s="346"/>
    </row>
    <row r="49" spans="2:29" x14ac:dyDescent="0.3">
      <c r="B49" s="107" t="s">
        <v>845</v>
      </c>
      <c r="C49" s="107"/>
      <c r="D49" s="107"/>
      <c r="E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</row>
    <row r="51" spans="2:29" x14ac:dyDescent="0.3">
      <c r="B51" s="106" t="s">
        <v>846</v>
      </c>
      <c r="C51" s="107"/>
      <c r="D51" s="107"/>
      <c r="E51" s="107"/>
      <c r="G51" s="106" t="s">
        <v>847</v>
      </c>
      <c r="H51" s="107" t="s">
        <v>833</v>
      </c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 t="s">
        <v>848</v>
      </c>
      <c r="T51" s="107"/>
      <c r="U51" s="107"/>
      <c r="V51" s="107"/>
      <c r="W51" s="107"/>
      <c r="X51" s="107"/>
      <c r="Y51" s="107"/>
      <c r="Z51" s="107"/>
      <c r="AA51" s="107"/>
      <c r="AB51" s="107"/>
      <c r="AC51" s="107"/>
    </row>
    <row r="52" spans="2:29" ht="15.6" x14ac:dyDescent="0.35">
      <c r="B52" s="119" t="s">
        <v>633</v>
      </c>
      <c r="C52" s="107"/>
      <c r="D52" s="329" t="s">
        <v>849</v>
      </c>
      <c r="E52" s="333">
        <v>712.37441308882899</v>
      </c>
      <c r="G52" s="119" t="s">
        <v>633</v>
      </c>
      <c r="H52" s="107" t="s">
        <v>850</v>
      </c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 t="s">
        <v>851</v>
      </c>
      <c r="T52" s="107"/>
      <c r="U52" s="107"/>
      <c r="V52" s="107"/>
      <c r="W52" s="107"/>
      <c r="X52" s="107"/>
      <c r="Y52" s="107"/>
      <c r="Z52" s="107"/>
      <c r="AA52" s="107"/>
      <c r="AB52" s="107"/>
      <c r="AC52" s="107"/>
    </row>
    <row r="53" spans="2:29" x14ac:dyDescent="0.3">
      <c r="B53" s="91" t="s">
        <v>856</v>
      </c>
      <c r="C53" s="107"/>
      <c r="D53" s="107"/>
      <c r="E53" s="116"/>
      <c r="G53" s="91" t="s">
        <v>856</v>
      </c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 t="s">
        <v>852</v>
      </c>
      <c r="T53" s="107"/>
      <c r="U53" s="107"/>
      <c r="V53" s="107"/>
      <c r="W53" s="107"/>
      <c r="X53" s="107"/>
      <c r="Y53" s="107"/>
      <c r="Z53" s="107"/>
      <c r="AA53" s="107"/>
      <c r="AB53" s="107"/>
      <c r="AC53" s="107"/>
    </row>
    <row r="54" spans="2:29" ht="15.6" x14ac:dyDescent="0.35">
      <c r="B54" s="107"/>
      <c r="C54" s="107"/>
      <c r="D54" s="329" t="s">
        <v>330</v>
      </c>
      <c r="E54" s="334">
        <v>0.05</v>
      </c>
      <c r="G54" s="329" t="s">
        <v>334</v>
      </c>
      <c r="H54" s="228">
        <v>1988</v>
      </c>
      <c r="I54" s="228" t="s">
        <v>369</v>
      </c>
      <c r="J54" s="228" t="s">
        <v>371</v>
      </c>
      <c r="K54" s="228" t="s">
        <v>373</v>
      </c>
      <c r="L54" s="228" t="s">
        <v>378</v>
      </c>
      <c r="M54" s="228" t="s">
        <v>380</v>
      </c>
      <c r="N54" s="228" t="s">
        <v>382</v>
      </c>
      <c r="O54" s="228" t="s">
        <v>453</v>
      </c>
      <c r="P54" s="228" t="s">
        <v>454</v>
      </c>
      <c r="Q54" s="228" t="s">
        <v>388</v>
      </c>
      <c r="R54" s="107"/>
      <c r="S54" s="335" t="s">
        <v>840</v>
      </c>
      <c r="T54" s="228">
        <v>1988</v>
      </c>
      <c r="U54" s="228" t="s">
        <v>369</v>
      </c>
      <c r="V54" s="228" t="s">
        <v>371</v>
      </c>
      <c r="W54" s="228" t="s">
        <v>373</v>
      </c>
      <c r="X54" s="228" t="s">
        <v>378</v>
      </c>
      <c r="Y54" s="228" t="s">
        <v>380</v>
      </c>
      <c r="Z54" s="228" t="s">
        <v>382</v>
      </c>
      <c r="AA54" s="228" t="s">
        <v>453</v>
      </c>
      <c r="AB54" s="228" t="s">
        <v>454</v>
      </c>
      <c r="AC54" s="228" t="s">
        <v>388</v>
      </c>
    </row>
    <row r="55" spans="2:29" x14ac:dyDescent="0.3">
      <c r="B55" s="107"/>
      <c r="C55" s="107"/>
      <c r="D55" s="107"/>
      <c r="E55" s="107"/>
      <c r="G55" s="228">
        <v>1977</v>
      </c>
      <c r="H55" s="345">
        <v>0</v>
      </c>
      <c r="I55" s="345">
        <v>0</v>
      </c>
      <c r="J55" s="345">
        <v>0</v>
      </c>
      <c r="K55" s="345">
        <v>0</v>
      </c>
      <c r="L55" s="345">
        <v>0</v>
      </c>
      <c r="M55" s="345">
        <v>0</v>
      </c>
      <c r="N55" s="345">
        <v>0</v>
      </c>
      <c r="O55" s="345">
        <v>0</v>
      </c>
      <c r="P55" s="345">
        <v>0</v>
      </c>
      <c r="Q55" s="345">
        <v>0</v>
      </c>
      <c r="R55" s="107"/>
      <c r="S55" s="228">
        <v>1977</v>
      </c>
      <c r="T55" s="334" t="str">
        <f t="shared" ref="T55:AC55" si="21">IF(H55&gt;$E$5,"No","Yes")</f>
        <v>Yes</v>
      </c>
      <c r="U55" s="334" t="str">
        <f t="shared" si="21"/>
        <v>Yes</v>
      </c>
      <c r="V55" s="334" t="str">
        <f t="shared" si="21"/>
        <v>Yes</v>
      </c>
      <c r="W55" s="334" t="str">
        <f t="shared" si="21"/>
        <v>Yes</v>
      </c>
      <c r="X55" s="334" t="str">
        <f t="shared" si="21"/>
        <v>Yes</v>
      </c>
      <c r="Y55" s="334" t="str">
        <f t="shared" si="21"/>
        <v>Yes</v>
      </c>
      <c r="Z55" s="334" t="str">
        <f t="shared" si="21"/>
        <v>Yes</v>
      </c>
      <c r="AA55" s="334" t="str">
        <f t="shared" si="21"/>
        <v>Yes</v>
      </c>
      <c r="AB55" s="334" t="str">
        <f t="shared" si="21"/>
        <v>Yes</v>
      </c>
      <c r="AC55" s="334" t="str">
        <f t="shared" si="21"/>
        <v>Yes</v>
      </c>
    </row>
    <row r="56" spans="2:29" x14ac:dyDescent="0.3">
      <c r="B56" s="107"/>
      <c r="C56" s="107"/>
      <c r="D56" s="329" t="s">
        <v>334</v>
      </c>
      <c r="E56" s="337">
        <v>1.66883649234011E-155</v>
      </c>
      <c r="G56" s="228">
        <v>1988</v>
      </c>
      <c r="H56" s="338"/>
      <c r="I56" s="345">
        <v>0</v>
      </c>
      <c r="J56" s="345">
        <v>0</v>
      </c>
      <c r="K56" s="345">
        <v>0</v>
      </c>
      <c r="L56" s="345">
        <v>0</v>
      </c>
      <c r="M56" s="345">
        <v>0</v>
      </c>
      <c r="N56" s="334">
        <v>3.8E-3</v>
      </c>
      <c r="O56" s="334">
        <v>3.0300000000000001E-2</v>
      </c>
      <c r="P56" s="334">
        <v>0.8458</v>
      </c>
      <c r="Q56" s="345">
        <v>0</v>
      </c>
      <c r="R56" s="107"/>
      <c r="S56" s="228">
        <v>1988</v>
      </c>
      <c r="T56" s="338"/>
      <c r="U56" s="334" t="str">
        <f t="shared" ref="U56:AC56" si="22">IF(I56&gt;$E$5,"No","Yes")</f>
        <v>Yes</v>
      </c>
      <c r="V56" s="334" t="str">
        <f t="shared" si="22"/>
        <v>Yes</v>
      </c>
      <c r="W56" s="334" t="str">
        <f t="shared" si="22"/>
        <v>Yes</v>
      </c>
      <c r="X56" s="334" t="str">
        <f t="shared" si="22"/>
        <v>Yes</v>
      </c>
      <c r="Y56" s="334" t="str">
        <f t="shared" si="22"/>
        <v>Yes</v>
      </c>
      <c r="Z56" s="334" t="str">
        <f t="shared" si="22"/>
        <v>Yes</v>
      </c>
      <c r="AA56" s="334" t="str">
        <f t="shared" si="22"/>
        <v>Yes</v>
      </c>
      <c r="AB56" s="334" t="str">
        <f t="shared" si="22"/>
        <v>No</v>
      </c>
      <c r="AC56" s="334" t="str">
        <f t="shared" si="22"/>
        <v>Yes</v>
      </c>
    </row>
    <row r="57" spans="2:29" x14ac:dyDescent="0.3">
      <c r="B57" s="107"/>
      <c r="C57" s="107"/>
      <c r="D57" s="107"/>
      <c r="E57" s="107"/>
      <c r="G57" s="228" t="s">
        <v>369</v>
      </c>
      <c r="H57" s="338"/>
      <c r="I57" s="338"/>
      <c r="J57" s="345">
        <v>0</v>
      </c>
      <c r="K57" s="345">
        <v>0</v>
      </c>
      <c r="L57" s="345">
        <v>0</v>
      </c>
      <c r="M57" s="345">
        <v>0</v>
      </c>
      <c r="N57" s="345">
        <v>0</v>
      </c>
      <c r="O57" s="345">
        <v>0</v>
      </c>
      <c r="P57" s="345">
        <v>0</v>
      </c>
      <c r="Q57" s="345">
        <v>0</v>
      </c>
      <c r="R57" s="107"/>
      <c r="S57" s="228" t="s">
        <v>369</v>
      </c>
      <c r="T57" s="338"/>
      <c r="U57" s="338"/>
      <c r="V57" s="334" t="str">
        <f t="shared" ref="V57:AC57" si="23">IF(J57&gt;$E$5,"No","Yes")</f>
        <v>Yes</v>
      </c>
      <c r="W57" s="334" t="str">
        <f t="shared" si="23"/>
        <v>Yes</v>
      </c>
      <c r="X57" s="334" t="str">
        <f t="shared" si="23"/>
        <v>Yes</v>
      </c>
      <c r="Y57" s="334" t="str">
        <f t="shared" si="23"/>
        <v>Yes</v>
      </c>
      <c r="Z57" s="334" t="str">
        <f t="shared" si="23"/>
        <v>Yes</v>
      </c>
      <c r="AA57" s="334" t="str">
        <f t="shared" si="23"/>
        <v>Yes</v>
      </c>
      <c r="AB57" s="334" t="str">
        <f t="shared" si="23"/>
        <v>Yes</v>
      </c>
      <c r="AC57" s="334" t="str">
        <f t="shared" si="23"/>
        <v>Yes</v>
      </c>
    </row>
    <row r="58" spans="2:29" ht="15.6" x14ac:dyDescent="0.35">
      <c r="B58" s="107"/>
      <c r="C58" s="107"/>
      <c r="D58" s="329" t="s">
        <v>840</v>
      </c>
      <c r="E58" s="337" t="str">
        <f>IF(E56&gt;E54,"No","Yes")</f>
        <v>Yes</v>
      </c>
      <c r="G58" s="228" t="s">
        <v>371</v>
      </c>
      <c r="H58" s="338"/>
      <c r="I58" s="338"/>
      <c r="J58" s="338"/>
      <c r="K58" s="345">
        <v>0</v>
      </c>
      <c r="L58" s="345">
        <v>0</v>
      </c>
      <c r="M58" s="334">
        <v>0.98760000000000003</v>
      </c>
      <c r="N58" s="345">
        <v>0</v>
      </c>
      <c r="O58" s="345">
        <v>0</v>
      </c>
      <c r="P58" s="345">
        <v>0</v>
      </c>
      <c r="Q58" s="345">
        <v>0</v>
      </c>
      <c r="R58" s="107"/>
      <c r="S58" s="228" t="s">
        <v>371</v>
      </c>
      <c r="T58" s="338"/>
      <c r="U58" s="338"/>
      <c r="V58" s="338"/>
      <c r="W58" s="334" t="str">
        <f t="shared" ref="W58:AC58" si="24">IF(K58&gt;$E$5,"No","Yes")</f>
        <v>Yes</v>
      </c>
      <c r="X58" s="334" t="str">
        <f t="shared" si="24"/>
        <v>Yes</v>
      </c>
      <c r="Y58" s="334" t="str">
        <f t="shared" si="24"/>
        <v>No</v>
      </c>
      <c r="Z58" s="334" t="str">
        <f t="shared" si="24"/>
        <v>Yes</v>
      </c>
      <c r="AA58" s="334" t="str">
        <f t="shared" si="24"/>
        <v>Yes</v>
      </c>
      <c r="AB58" s="334" t="str">
        <f t="shared" si="24"/>
        <v>Yes</v>
      </c>
      <c r="AC58" s="334" t="str">
        <f t="shared" si="24"/>
        <v>Yes</v>
      </c>
    </row>
    <row r="59" spans="2:29" x14ac:dyDescent="0.3">
      <c r="B59" s="107"/>
      <c r="C59" s="107"/>
      <c r="D59" s="107"/>
      <c r="E59" s="107"/>
      <c r="G59" s="228" t="s">
        <v>373</v>
      </c>
      <c r="H59" s="338"/>
      <c r="I59" s="338"/>
      <c r="J59" s="338"/>
      <c r="K59" s="338"/>
      <c r="L59" s="334">
        <v>0.70889999999999997</v>
      </c>
      <c r="M59" s="345">
        <v>0</v>
      </c>
      <c r="N59" s="345">
        <v>0</v>
      </c>
      <c r="O59" s="345">
        <v>0</v>
      </c>
      <c r="P59" s="345">
        <v>0</v>
      </c>
      <c r="Q59" s="345">
        <v>0</v>
      </c>
      <c r="R59" s="107"/>
      <c r="S59" s="228" t="s">
        <v>373</v>
      </c>
      <c r="T59" s="338"/>
      <c r="U59" s="338"/>
      <c r="V59" s="338"/>
      <c r="W59" s="338"/>
      <c r="X59" s="334" t="str">
        <f t="shared" ref="X59:AC59" si="25">IF(L59&gt;$E$5,"No","Yes")</f>
        <v>No</v>
      </c>
      <c r="Y59" s="334" t="str">
        <f t="shared" si="25"/>
        <v>Yes</v>
      </c>
      <c r="Z59" s="334" t="str">
        <f t="shared" si="25"/>
        <v>Yes</v>
      </c>
      <c r="AA59" s="334" t="str">
        <f t="shared" si="25"/>
        <v>Yes</v>
      </c>
      <c r="AB59" s="334" t="str">
        <f t="shared" si="25"/>
        <v>Yes</v>
      </c>
      <c r="AC59" s="334" t="str">
        <f t="shared" si="25"/>
        <v>Yes</v>
      </c>
    </row>
    <row r="60" spans="2:29" ht="15.6" x14ac:dyDescent="0.35">
      <c r="B60" s="107" t="s">
        <v>853</v>
      </c>
      <c r="C60" s="107"/>
      <c r="D60" s="107"/>
      <c r="E60" s="107"/>
      <c r="G60" s="228" t="s">
        <v>378</v>
      </c>
      <c r="H60" s="338"/>
      <c r="I60" s="338"/>
      <c r="J60" s="338"/>
      <c r="K60" s="338"/>
      <c r="L60" s="338"/>
      <c r="M60" s="345">
        <v>0</v>
      </c>
      <c r="N60" s="345">
        <v>0</v>
      </c>
      <c r="O60" s="345">
        <v>0</v>
      </c>
      <c r="P60" s="334">
        <v>1.5E-3</v>
      </c>
      <c r="Q60" s="345">
        <v>0</v>
      </c>
      <c r="R60" s="107"/>
      <c r="S60" s="228" t="s">
        <v>378</v>
      </c>
      <c r="T60" s="338"/>
      <c r="U60" s="338"/>
      <c r="V60" s="338"/>
      <c r="W60" s="338"/>
      <c r="X60" s="338"/>
      <c r="Y60" s="334" t="str">
        <f>IF(M60&gt;$E$5,"No","Yes")</f>
        <v>Yes</v>
      </c>
      <c r="Z60" s="334" t="str">
        <f>IF(N60&gt;$E$5,"No","Yes")</f>
        <v>Yes</v>
      </c>
      <c r="AA60" s="334" t="str">
        <f>IF(O60&gt;$E$5,"No","Yes")</f>
        <v>Yes</v>
      </c>
      <c r="AB60" s="334" t="str">
        <f>IF(P60&gt;$E$5,"No","Yes")</f>
        <v>Yes</v>
      </c>
      <c r="AC60" s="334" t="str">
        <f>IF(Q60&gt;$E$5,"No","Yes")</f>
        <v>Yes</v>
      </c>
    </row>
    <row r="61" spans="2:29" x14ac:dyDescent="0.3">
      <c r="B61" s="107" t="s">
        <v>842</v>
      </c>
      <c r="C61" s="107"/>
      <c r="D61" s="107"/>
      <c r="E61" s="107"/>
      <c r="G61" s="228" t="s">
        <v>380</v>
      </c>
      <c r="H61" s="338"/>
      <c r="I61" s="338"/>
      <c r="J61" s="338"/>
      <c r="K61" s="338"/>
      <c r="L61" s="338"/>
      <c r="M61" s="338"/>
      <c r="N61" s="345">
        <v>0</v>
      </c>
      <c r="O61" s="345">
        <v>0</v>
      </c>
      <c r="P61" s="345">
        <v>0</v>
      </c>
      <c r="Q61" s="345">
        <v>0</v>
      </c>
      <c r="R61" s="107"/>
      <c r="S61" s="228" t="s">
        <v>380</v>
      </c>
      <c r="T61" s="338"/>
      <c r="U61" s="338"/>
      <c r="V61" s="338"/>
      <c r="W61" s="338"/>
      <c r="X61" s="338"/>
      <c r="Y61" s="338"/>
      <c r="Z61" s="334" t="str">
        <f>IF(N61&gt;$E$5,"No","Yes")</f>
        <v>Yes</v>
      </c>
      <c r="AA61" s="334" t="str">
        <f>IF(O61&gt;$E$5,"No","Yes")</f>
        <v>Yes</v>
      </c>
      <c r="AB61" s="334" t="str">
        <f>IF(P61&gt;$E$5,"No","Yes")</f>
        <v>Yes</v>
      </c>
      <c r="AC61" s="334" t="str">
        <f>IF(Q61&gt;$E$5,"No","Yes")</f>
        <v>Yes</v>
      </c>
    </row>
    <row r="62" spans="2:29" x14ac:dyDescent="0.3">
      <c r="B62" s="107" t="s">
        <v>843</v>
      </c>
      <c r="C62" s="107"/>
      <c r="D62" s="107"/>
      <c r="E62" s="107"/>
      <c r="G62" s="228" t="s">
        <v>382</v>
      </c>
      <c r="H62" s="338"/>
      <c r="I62" s="338"/>
      <c r="J62" s="338"/>
      <c r="K62" s="338"/>
      <c r="L62" s="338"/>
      <c r="M62" s="338"/>
      <c r="N62" s="338"/>
      <c r="O62" s="334">
        <v>0.99990000000000001</v>
      </c>
      <c r="P62" s="345">
        <v>0</v>
      </c>
      <c r="Q62" s="334">
        <v>0.48559999999999998</v>
      </c>
      <c r="R62" s="107"/>
      <c r="S62" s="228" t="s">
        <v>382</v>
      </c>
      <c r="T62" s="338"/>
      <c r="U62" s="338"/>
      <c r="V62" s="338"/>
      <c r="W62" s="338"/>
      <c r="X62" s="338"/>
      <c r="Y62" s="338"/>
      <c r="Z62" s="338"/>
      <c r="AA62" s="334" t="str">
        <f>IF(O62&gt;$E$5,"No","Yes")</f>
        <v>No</v>
      </c>
      <c r="AB62" s="334" t="str">
        <f>IF(P62&gt;$E$5,"No","Yes")</f>
        <v>Yes</v>
      </c>
      <c r="AC62" s="334" t="str">
        <f>IF(Q62&gt;$E$5,"No","Yes")</f>
        <v>No</v>
      </c>
    </row>
    <row r="63" spans="2:29" x14ac:dyDescent="0.3">
      <c r="B63" s="107" t="s">
        <v>854</v>
      </c>
      <c r="C63" s="107"/>
      <c r="D63" s="107"/>
      <c r="E63" s="107"/>
      <c r="G63" s="228" t="s">
        <v>453</v>
      </c>
      <c r="H63" s="338"/>
      <c r="I63" s="338"/>
      <c r="J63" s="338"/>
      <c r="K63" s="338"/>
      <c r="L63" s="338"/>
      <c r="M63" s="338"/>
      <c r="N63" s="338"/>
      <c r="O63" s="338"/>
      <c r="P63" s="345">
        <v>0</v>
      </c>
      <c r="Q63" s="334">
        <v>0.1535</v>
      </c>
      <c r="R63" s="107"/>
      <c r="S63" s="228" t="s">
        <v>453</v>
      </c>
      <c r="T63" s="338"/>
      <c r="U63" s="338"/>
      <c r="V63" s="338"/>
      <c r="W63" s="338"/>
      <c r="X63" s="338"/>
      <c r="Y63" s="338"/>
      <c r="Z63" s="338"/>
      <c r="AA63" s="338"/>
      <c r="AB63" s="334" t="str">
        <f>IF(P63&gt;$E$5,"No","Yes")</f>
        <v>Yes</v>
      </c>
      <c r="AC63" s="334" t="str">
        <f>IF(Q63&gt;$E$5,"No","Yes")</f>
        <v>No</v>
      </c>
    </row>
    <row r="64" spans="2:29" x14ac:dyDescent="0.3">
      <c r="B64" s="107" t="s">
        <v>855</v>
      </c>
      <c r="C64" s="107"/>
      <c r="D64" s="107"/>
      <c r="E64" s="107"/>
      <c r="G64" s="228" t="s">
        <v>454</v>
      </c>
      <c r="H64" s="338"/>
      <c r="I64" s="338"/>
      <c r="J64" s="338"/>
      <c r="K64" s="338"/>
      <c r="L64" s="338"/>
      <c r="M64" s="338"/>
      <c r="N64" s="338"/>
      <c r="O64" s="338"/>
      <c r="P64" s="338"/>
      <c r="Q64" s="345">
        <v>0</v>
      </c>
      <c r="R64" s="107"/>
      <c r="S64" s="228" t="s">
        <v>454</v>
      </c>
      <c r="T64" s="338"/>
      <c r="U64" s="338"/>
      <c r="V64" s="338"/>
      <c r="W64" s="338"/>
      <c r="X64" s="338"/>
      <c r="Y64" s="338"/>
      <c r="Z64" s="338"/>
      <c r="AA64" s="338"/>
      <c r="AB64" s="338"/>
      <c r="AC64" s="334" t="str">
        <f>IF(Q64&gt;$E$5,"No","Yes")</f>
        <v>Yes</v>
      </c>
    </row>
    <row r="65" spans="2:40" x14ac:dyDescent="0.3">
      <c r="B65" s="107"/>
      <c r="C65" s="107"/>
      <c r="D65" s="107"/>
      <c r="E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</row>
    <row r="66" spans="2:40" x14ac:dyDescent="0.3"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</row>
    <row r="68" spans="2:40" x14ac:dyDescent="0.3">
      <c r="B68" s="106" t="s">
        <v>831</v>
      </c>
      <c r="C68" s="107"/>
      <c r="D68" s="107"/>
      <c r="E68" s="107"/>
      <c r="G68" s="106" t="s">
        <v>832</v>
      </c>
      <c r="H68" s="107" t="s">
        <v>833</v>
      </c>
      <c r="I68" s="107"/>
      <c r="J68" s="107"/>
      <c r="K68" s="107"/>
      <c r="L68" s="107"/>
      <c r="M68" s="107"/>
      <c r="N68" s="107"/>
      <c r="O68" s="107"/>
      <c r="P68" s="107"/>
      <c r="Q68" s="107"/>
      <c r="R68" s="107">
        <v>6</v>
      </c>
      <c r="S68" s="107" t="s">
        <v>834</v>
      </c>
      <c r="T68" s="107"/>
      <c r="U68" s="107"/>
      <c r="V68" s="107"/>
      <c r="W68" s="107"/>
      <c r="X68" s="107"/>
      <c r="Y68" s="107"/>
      <c r="Z68" s="107"/>
      <c r="AA68" s="107"/>
      <c r="AB68" s="107"/>
      <c r="AC68" s="107"/>
    </row>
    <row r="69" spans="2:40" ht="15.6" x14ac:dyDescent="0.35">
      <c r="B69" s="119" t="s">
        <v>633</v>
      </c>
      <c r="C69" s="107"/>
      <c r="D69" s="329" t="s">
        <v>835</v>
      </c>
      <c r="E69" s="333">
        <v>216.04516659810699</v>
      </c>
      <c r="G69" s="119" t="s">
        <v>633</v>
      </c>
      <c r="H69" s="107" t="s">
        <v>836</v>
      </c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 t="s">
        <v>837</v>
      </c>
      <c r="T69" s="107"/>
      <c r="U69" s="107"/>
      <c r="V69" s="107"/>
      <c r="W69" s="107"/>
      <c r="X69" s="107"/>
      <c r="Y69" s="107"/>
      <c r="Z69" s="107"/>
      <c r="AA69" s="107"/>
      <c r="AB69" s="107"/>
      <c r="AC69" s="107"/>
    </row>
    <row r="70" spans="2:40" x14ac:dyDescent="0.3">
      <c r="B70" s="92" t="s">
        <v>857</v>
      </c>
      <c r="C70" s="107"/>
      <c r="D70" s="107"/>
      <c r="E70" s="116"/>
      <c r="G70" s="92" t="s">
        <v>857</v>
      </c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 t="s">
        <v>839</v>
      </c>
      <c r="T70" s="107"/>
      <c r="U70" s="107"/>
      <c r="V70" s="107"/>
      <c r="W70" s="107"/>
      <c r="X70" s="107"/>
      <c r="Y70" s="107"/>
      <c r="Z70" s="107"/>
      <c r="AA70" s="107"/>
      <c r="AB70" s="107"/>
      <c r="AC70" s="107"/>
    </row>
    <row r="71" spans="2:40" ht="15.6" x14ac:dyDescent="0.35">
      <c r="B71" s="107"/>
      <c r="C71" s="107"/>
      <c r="D71" s="329" t="s">
        <v>330</v>
      </c>
      <c r="E71" s="334">
        <v>0.05</v>
      </c>
      <c r="G71" s="329" t="s">
        <v>334</v>
      </c>
      <c r="H71" s="228">
        <v>1988</v>
      </c>
      <c r="I71" s="228" t="s">
        <v>369</v>
      </c>
      <c r="J71" s="228" t="s">
        <v>371</v>
      </c>
      <c r="K71" s="228" t="s">
        <v>373</v>
      </c>
      <c r="L71" s="228" t="s">
        <v>378</v>
      </c>
      <c r="M71" s="228" t="s">
        <v>380</v>
      </c>
      <c r="N71" s="228" t="s">
        <v>382</v>
      </c>
      <c r="O71" s="228" t="s">
        <v>453</v>
      </c>
      <c r="P71" s="228" t="s">
        <v>454</v>
      </c>
      <c r="Q71" s="228" t="s">
        <v>388</v>
      </c>
      <c r="R71" s="107"/>
      <c r="S71" s="335" t="s">
        <v>840</v>
      </c>
      <c r="T71" s="228">
        <v>1988</v>
      </c>
      <c r="U71" s="228" t="s">
        <v>369</v>
      </c>
      <c r="V71" s="228" t="s">
        <v>371</v>
      </c>
      <c r="W71" s="228" t="s">
        <v>373</v>
      </c>
      <c r="X71" s="228" t="s">
        <v>378</v>
      </c>
      <c r="Y71" s="228" t="s">
        <v>380</v>
      </c>
      <c r="Z71" s="228" t="s">
        <v>382</v>
      </c>
      <c r="AA71" s="228" t="s">
        <v>453</v>
      </c>
      <c r="AB71" s="228" t="s">
        <v>454</v>
      </c>
      <c r="AC71" s="228" t="s">
        <v>388</v>
      </c>
    </row>
    <row r="72" spans="2:40" x14ac:dyDescent="0.3">
      <c r="B72" s="107"/>
      <c r="C72" s="107"/>
      <c r="D72" s="107"/>
      <c r="E72" s="107"/>
      <c r="G72" s="228">
        <v>1977</v>
      </c>
      <c r="H72" s="336">
        <v>0.15811749999999999</v>
      </c>
      <c r="I72" s="336">
        <v>1.3867479999999999E-3</v>
      </c>
      <c r="J72" s="339">
        <v>1</v>
      </c>
      <c r="K72" s="339">
        <v>1.7098280000000001E-17</v>
      </c>
      <c r="L72" s="339">
        <v>1</v>
      </c>
      <c r="M72" s="336">
        <v>1.288848E-10</v>
      </c>
      <c r="N72" s="336">
        <v>1.574662E-7</v>
      </c>
      <c r="O72" s="336">
        <v>1.11E-4</v>
      </c>
      <c r="P72" s="336">
        <v>1.6072619999999999E-13</v>
      </c>
      <c r="Q72" s="336">
        <v>2.046911E-21</v>
      </c>
      <c r="R72" s="107"/>
      <c r="S72" s="228">
        <v>1977</v>
      </c>
      <c r="T72" s="334" t="str">
        <f t="shared" ref="T72:AC72" si="26">IF(H72&gt;$E$5,"No","Yes")</f>
        <v>No</v>
      </c>
      <c r="U72" s="334" t="str">
        <f t="shared" si="26"/>
        <v>Yes</v>
      </c>
      <c r="V72" s="334" t="str">
        <f t="shared" si="26"/>
        <v>No</v>
      </c>
      <c r="W72" s="334" t="str">
        <f t="shared" si="26"/>
        <v>Yes</v>
      </c>
      <c r="X72" s="334" t="str">
        <f t="shared" si="26"/>
        <v>No</v>
      </c>
      <c r="Y72" s="334" t="str">
        <f t="shared" si="26"/>
        <v>Yes</v>
      </c>
      <c r="Z72" s="334" t="str">
        <f t="shared" si="26"/>
        <v>Yes</v>
      </c>
      <c r="AA72" s="334" t="str">
        <f t="shared" si="26"/>
        <v>Yes</v>
      </c>
      <c r="AB72" s="334" t="str">
        <f t="shared" si="26"/>
        <v>Yes</v>
      </c>
      <c r="AC72" s="334" t="str">
        <f t="shared" si="26"/>
        <v>Yes</v>
      </c>
      <c r="AE72" s="334">
        <f>IF(T72="Yes",1,0)</f>
        <v>0</v>
      </c>
      <c r="AF72" s="334">
        <f t="shared" ref="AF72:AL81" si="27">IF(U72="Yes",1,0)</f>
        <v>1</v>
      </c>
      <c r="AG72" s="334">
        <f t="shared" si="27"/>
        <v>0</v>
      </c>
      <c r="AH72" s="334">
        <f t="shared" si="27"/>
        <v>1</v>
      </c>
      <c r="AI72" s="334">
        <f t="shared" si="27"/>
        <v>0</v>
      </c>
      <c r="AJ72" s="334">
        <f t="shared" si="27"/>
        <v>1</v>
      </c>
      <c r="AK72" s="334">
        <f t="shared" si="27"/>
        <v>1</v>
      </c>
      <c r="AL72" s="334">
        <f>IF(AA72="Yes",1,0)</f>
        <v>1</v>
      </c>
      <c r="AM72" s="334">
        <f t="shared" ref="AM72:AN81" si="28">IF(AB72="Yes",1,0)</f>
        <v>1</v>
      </c>
      <c r="AN72" s="334">
        <f>IF(AC72="Yes",1,0)</f>
        <v>1</v>
      </c>
    </row>
    <row r="73" spans="2:40" x14ac:dyDescent="0.3">
      <c r="B73" s="107"/>
      <c r="C73" s="107"/>
      <c r="D73" s="329" t="s">
        <v>334</v>
      </c>
      <c r="E73" s="337">
        <v>7.1856269719088396E-41</v>
      </c>
      <c r="G73" s="228">
        <v>1988</v>
      </c>
      <c r="H73" s="338"/>
      <c r="I73" s="339">
        <v>1</v>
      </c>
      <c r="J73" s="339">
        <v>1</v>
      </c>
      <c r="K73" s="336">
        <v>1.1976440000000001E-7</v>
      </c>
      <c r="L73" s="339">
        <v>1</v>
      </c>
      <c r="M73" s="339">
        <v>3.0476069999999999E-3</v>
      </c>
      <c r="N73" s="339">
        <v>0.17005219999999999</v>
      </c>
      <c r="O73" s="339">
        <v>1</v>
      </c>
      <c r="P73" s="336">
        <v>4.9238350000000003E-5</v>
      </c>
      <c r="Q73" s="336">
        <v>2.308335E-10</v>
      </c>
      <c r="R73" s="107"/>
      <c r="S73" s="228">
        <v>1988</v>
      </c>
      <c r="T73" s="338"/>
      <c r="U73" s="334" t="str">
        <f t="shared" ref="U73:AC73" si="29">IF(I73&gt;$E$5,"No","Yes")</f>
        <v>No</v>
      </c>
      <c r="V73" s="334" t="str">
        <f t="shared" si="29"/>
        <v>No</v>
      </c>
      <c r="W73" s="334" t="str">
        <f t="shared" si="29"/>
        <v>Yes</v>
      </c>
      <c r="X73" s="334" t="str">
        <f t="shared" si="29"/>
        <v>No</v>
      </c>
      <c r="Y73" s="334" t="str">
        <f t="shared" si="29"/>
        <v>Yes</v>
      </c>
      <c r="Z73" s="334" t="str">
        <f t="shared" si="29"/>
        <v>No</v>
      </c>
      <c r="AA73" s="334" t="str">
        <f t="shared" si="29"/>
        <v>No</v>
      </c>
      <c r="AB73" s="334" t="str">
        <f t="shared" si="29"/>
        <v>Yes</v>
      </c>
      <c r="AC73" s="334" t="str">
        <f t="shared" si="29"/>
        <v>Yes</v>
      </c>
      <c r="AE73" s="338">
        <f t="shared" ref="AE73:AE81" si="30">IF(T73="Yes",1,0)</f>
        <v>0</v>
      </c>
      <c r="AF73" s="334">
        <f t="shared" si="27"/>
        <v>0</v>
      </c>
      <c r="AG73" s="334">
        <f t="shared" si="27"/>
        <v>0</v>
      </c>
      <c r="AH73" s="334">
        <f t="shared" si="27"/>
        <v>1</v>
      </c>
      <c r="AI73" s="334">
        <f t="shared" si="27"/>
        <v>0</v>
      </c>
      <c r="AJ73" s="334">
        <f t="shared" si="27"/>
        <v>1</v>
      </c>
      <c r="AK73" s="334">
        <f t="shared" si="27"/>
        <v>0</v>
      </c>
      <c r="AL73" s="334">
        <f t="shared" si="27"/>
        <v>0</v>
      </c>
      <c r="AM73" s="334">
        <f t="shared" si="28"/>
        <v>1</v>
      </c>
      <c r="AN73" s="334">
        <f t="shared" si="28"/>
        <v>1</v>
      </c>
    </row>
    <row r="74" spans="2:40" x14ac:dyDescent="0.3">
      <c r="B74" s="107"/>
      <c r="C74" s="107"/>
      <c r="D74" s="107"/>
      <c r="E74" s="107"/>
      <c r="G74" s="228" t="s">
        <v>369</v>
      </c>
      <c r="H74" s="338"/>
      <c r="I74" s="342"/>
      <c r="J74" s="336">
        <v>7.0683209999999996E-2</v>
      </c>
      <c r="K74" s="336">
        <v>1.108278E-4</v>
      </c>
      <c r="L74" s="339">
        <v>1</v>
      </c>
      <c r="M74" s="339">
        <v>0.28151910000000002</v>
      </c>
      <c r="N74" s="339">
        <v>1</v>
      </c>
      <c r="O74" s="339">
        <v>1</v>
      </c>
      <c r="P74" s="339">
        <v>1.2762570000000001E-2</v>
      </c>
      <c r="Q74" s="339">
        <v>6.6547969999999997E-7</v>
      </c>
      <c r="R74" s="107"/>
      <c r="S74" s="228" t="s">
        <v>369</v>
      </c>
      <c r="T74" s="338"/>
      <c r="U74" s="338"/>
      <c r="V74" s="334" t="str">
        <f t="shared" ref="V74:AC74" si="31">IF(J74&gt;$E$5,"No","Yes")</f>
        <v>No</v>
      </c>
      <c r="W74" s="334" t="str">
        <f t="shared" si="31"/>
        <v>Yes</v>
      </c>
      <c r="X74" s="334" t="str">
        <f t="shared" si="31"/>
        <v>No</v>
      </c>
      <c r="Y74" s="334" t="str">
        <f t="shared" si="31"/>
        <v>No</v>
      </c>
      <c r="Z74" s="334" t="str">
        <f t="shared" si="31"/>
        <v>No</v>
      </c>
      <c r="AA74" s="334" t="str">
        <f t="shared" si="31"/>
        <v>No</v>
      </c>
      <c r="AB74" s="334" t="str">
        <f t="shared" si="31"/>
        <v>Yes</v>
      </c>
      <c r="AC74" s="334" t="str">
        <f t="shared" si="31"/>
        <v>Yes</v>
      </c>
      <c r="AE74" s="338">
        <f t="shared" si="30"/>
        <v>0</v>
      </c>
      <c r="AF74" s="338">
        <f t="shared" si="27"/>
        <v>0</v>
      </c>
      <c r="AG74" s="334">
        <f t="shared" si="27"/>
        <v>0</v>
      </c>
      <c r="AH74" s="334">
        <f t="shared" si="27"/>
        <v>1</v>
      </c>
      <c r="AI74" s="334">
        <f t="shared" si="27"/>
        <v>0</v>
      </c>
      <c r="AJ74" s="334">
        <f t="shared" si="27"/>
        <v>0</v>
      </c>
      <c r="AK74" s="334">
        <f t="shared" si="27"/>
        <v>0</v>
      </c>
      <c r="AL74" s="334">
        <f t="shared" si="27"/>
        <v>0</v>
      </c>
      <c r="AM74" s="334">
        <f t="shared" si="28"/>
        <v>1</v>
      </c>
      <c r="AN74" s="334">
        <f t="shared" si="28"/>
        <v>1</v>
      </c>
    </row>
    <row r="75" spans="2:40" ht="15.6" x14ac:dyDescent="0.35">
      <c r="B75" s="107"/>
      <c r="C75" s="107"/>
      <c r="D75" s="329" t="s">
        <v>840</v>
      </c>
      <c r="E75" s="337" t="str">
        <f>IF(E73&gt;E71,"No","Yes")</f>
        <v>Yes</v>
      </c>
      <c r="G75" s="228" t="s">
        <v>371</v>
      </c>
      <c r="H75" s="338"/>
      <c r="I75" s="342"/>
      <c r="J75" s="342"/>
      <c r="K75" s="339">
        <v>8.6438299999999999E-14</v>
      </c>
      <c r="L75" s="339">
        <v>1</v>
      </c>
      <c r="M75" s="336">
        <v>9.6670850000000004E-8</v>
      </c>
      <c r="N75" s="336">
        <v>4.1737099999999997E-5</v>
      </c>
      <c r="O75" s="339">
        <v>9.4090000000000007E-3</v>
      </c>
      <c r="P75" s="336">
        <v>2.8485499999999999E-10</v>
      </c>
      <c r="Q75" s="336">
        <v>2.6209499999999999E-17</v>
      </c>
      <c r="R75" s="107"/>
      <c r="S75" s="228" t="s">
        <v>371</v>
      </c>
      <c r="T75" s="338"/>
      <c r="U75" s="338"/>
      <c r="V75" s="338"/>
      <c r="W75" s="334" t="str">
        <f t="shared" ref="W75:AC75" si="32">IF(K75&gt;$E$5,"No","Yes")</f>
        <v>Yes</v>
      </c>
      <c r="X75" s="334" t="str">
        <f t="shared" si="32"/>
        <v>No</v>
      </c>
      <c r="Y75" s="334" t="str">
        <f t="shared" si="32"/>
        <v>Yes</v>
      </c>
      <c r="Z75" s="334" t="str">
        <f t="shared" si="32"/>
        <v>Yes</v>
      </c>
      <c r="AA75" s="334" t="str">
        <f t="shared" si="32"/>
        <v>Yes</v>
      </c>
      <c r="AB75" s="334" t="str">
        <f t="shared" si="32"/>
        <v>Yes</v>
      </c>
      <c r="AC75" s="334" t="str">
        <f t="shared" si="32"/>
        <v>Yes</v>
      </c>
      <c r="AE75" s="338">
        <f t="shared" si="30"/>
        <v>0</v>
      </c>
      <c r="AF75" s="338">
        <f t="shared" si="27"/>
        <v>0</v>
      </c>
      <c r="AG75" s="338">
        <f t="shared" si="27"/>
        <v>0</v>
      </c>
      <c r="AH75" s="334">
        <f t="shared" si="27"/>
        <v>1</v>
      </c>
      <c r="AI75" s="334">
        <f t="shared" si="27"/>
        <v>0</v>
      </c>
      <c r="AJ75" s="334">
        <f t="shared" si="27"/>
        <v>1</v>
      </c>
      <c r="AK75" s="334">
        <f t="shared" si="27"/>
        <v>1</v>
      </c>
      <c r="AL75" s="334">
        <f t="shared" si="27"/>
        <v>1</v>
      </c>
      <c r="AM75" s="334">
        <f t="shared" si="28"/>
        <v>1</v>
      </c>
      <c r="AN75" s="334">
        <f t="shared" si="28"/>
        <v>1</v>
      </c>
    </row>
    <row r="76" spans="2:40" x14ac:dyDescent="0.3">
      <c r="B76" s="107"/>
      <c r="C76" s="107"/>
      <c r="D76" s="107"/>
      <c r="E76" s="107"/>
      <c r="G76" s="228" t="s">
        <v>373</v>
      </c>
      <c r="H76" s="338"/>
      <c r="I76" s="342"/>
      <c r="J76" s="342"/>
      <c r="K76" s="342"/>
      <c r="L76" s="339">
        <v>1.651681E-10</v>
      </c>
      <c r="M76" s="339">
        <v>1</v>
      </c>
      <c r="N76" s="336">
        <v>0.13651199999999999</v>
      </c>
      <c r="O76" s="339">
        <v>1.387E-3</v>
      </c>
      <c r="P76" s="339">
        <v>1</v>
      </c>
      <c r="Q76" s="339">
        <v>1</v>
      </c>
      <c r="R76" s="107"/>
      <c r="S76" s="228" t="s">
        <v>373</v>
      </c>
      <c r="T76" s="338"/>
      <c r="U76" s="338"/>
      <c r="V76" s="338"/>
      <c r="W76" s="338"/>
      <c r="X76" s="334" t="str">
        <f t="shared" ref="X76:AC76" si="33">IF(L76&gt;$E$5,"No","Yes")</f>
        <v>Yes</v>
      </c>
      <c r="Y76" s="334" t="str">
        <f t="shared" si="33"/>
        <v>No</v>
      </c>
      <c r="Z76" s="334" t="str">
        <f t="shared" si="33"/>
        <v>No</v>
      </c>
      <c r="AA76" s="334" t="str">
        <f t="shared" si="33"/>
        <v>Yes</v>
      </c>
      <c r="AB76" s="334" t="str">
        <f t="shared" si="33"/>
        <v>No</v>
      </c>
      <c r="AC76" s="334" t="str">
        <f t="shared" si="33"/>
        <v>No</v>
      </c>
      <c r="AE76" s="338">
        <f t="shared" si="30"/>
        <v>0</v>
      </c>
      <c r="AF76" s="338">
        <f t="shared" si="27"/>
        <v>0</v>
      </c>
      <c r="AG76" s="338">
        <f t="shared" si="27"/>
        <v>0</v>
      </c>
      <c r="AH76" s="338">
        <f t="shared" si="27"/>
        <v>0</v>
      </c>
      <c r="AI76" s="334">
        <f t="shared" si="27"/>
        <v>1</v>
      </c>
      <c r="AJ76" s="334">
        <f t="shared" si="27"/>
        <v>0</v>
      </c>
      <c r="AK76" s="334">
        <f t="shared" si="27"/>
        <v>0</v>
      </c>
      <c r="AL76" s="334">
        <f t="shared" si="27"/>
        <v>1</v>
      </c>
      <c r="AM76" s="334">
        <f t="shared" si="28"/>
        <v>0</v>
      </c>
      <c r="AN76" s="334">
        <f t="shared" si="28"/>
        <v>0</v>
      </c>
    </row>
    <row r="77" spans="2:40" ht="15.6" x14ac:dyDescent="0.35">
      <c r="B77" s="107" t="s">
        <v>841</v>
      </c>
      <c r="C77" s="107"/>
      <c r="D77" s="107"/>
      <c r="E77" s="107"/>
      <c r="G77" s="228" t="s">
        <v>378</v>
      </c>
      <c r="H77" s="338"/>
      <c r="I77" s="342"/>
      <c r="J77" s="342"/>
      <c r="K77" s="342"/>
      <c r="L77" s="342"/>
      <c r="M77" s="336">
        <v>2.7667150000000002E-5</v>
      </c>
      <c r="N77" s="336">
        <v>4.2615040000000002E-3</v>
      </c>
      <c r="O77" s="336">
        <v>0.31336199999999997</v>
      </c>
      <c r="P77" s="336">
        <v>1.9164769999999999E-7</v>
      </c>
      <c r="Q77" s="336">
        <v>1.265061E-13</v>
      </c>
      <c r="R77" s="107"/>
      <c r="S77" s="228" t="s">
        <v>378</v>
      </c>
      <c r="T77" s="338"/>
      <c r="U77" s="338"/>
      <c r="V77" s="338"/>
      <c r="W77" s="338"/>
      <c r="X77" s="338"/>
      <c r="Y77" s="334" t="str">
        <f>IF(M77&gt;$E$5,"No","Yes")</f>
        <v>Yes</v>
      </c>
      <c r="Z77" s="334" t="str">
        <f>IF(N77&gt;$E$5,"No","Yes")</f>
        <v>Yes</v>
      </c>
      <c r="AA77" s="334" t="str">
        <f>IF(O77&gt;$E$5,"No","Yes")</f>
        <v>No</v>
      </c>
      <c r="AB77" s="334" t="str">
        <f>IF(P77&gt;$E$5,"No","Yes")</f>
        <v>Yes</v>
      </c>
      <c r="AC77" s="334" t="str">
        <f>IF(Q77&gt;$E$5,"No","Yes")</f>
        <v>Yes</v>
      </c>
      <c r="AE77" s="338">
        <f t="shared" si="30"/>
        <v>0</v>
      </c>
      <c r="AF77" s="338">
        <f t="shared" si="27"/>
        <v>0</v>
      </c>
      <c r="AG77" s="338">
        <f t="shared" si="27"/>
        <v>0</v>
      </c>
      <c r="AH77" s="338">
        <f t="shared" si="27"/>
        <v>0</v>
      </c>
      <c r="AI77" s="338">
        <f t="shared" si="27"/>
        <v>0</v>
      </c>
      <c r="AJ77" s="334">
        <f t="shared" si="27"/>
        <v>1</v>
      </c>
      <c r="AK77" s="334">
        <f t="shared" si="27"/>
        <v>1</v>
      </c>
      <c r="AL77" s="334">
        <f t="shared" si="27"/>
        <v>0</v>
      </c>
      <c r="AM77" s="334">
        <f t="shared" si="28"/>
        <v>1</v>
      </c>
      <c r="AN77" s="334">
        <f t="shared" si="28"/>
        <v>1</v>
      </c>
    </row>
    <row r="78" spans="2:40" x14ac:dyDescent="0.3">
      <c r="B78" s="107" t="s">
        <v>842</v>
      </c>
      <c r="C78" s="107"/>
      <c r="D78" s="107"/>
      <c r="E78" s="107"/>
      <c r="G78" s="228" t="s">
        <v>380</v>
      </c>
      <c r="H78" s="338"/>
      <c r="I78" s="342"/>
      <c r="J78" s="342"/>
      <c r="K78" s="342"/>
      <c r="L78" s="342"/>
      <c r="M78" s="342"/>
      <c r="N78" s="339">
        <v>1</v>
      </c>
      <c r="O78" s="339">
        <v>1</v>
      </c>
      <c r="P78" s="339">
        <v>1</v>
      </c>
      <c r="Q78" s="340">
        <v>0.2060013</v>
      </c>
      <c r="R78" s="107"/>
      <c r="S78" s="228" t="s">
        <v>380</v>
      </c>
      <c r="T78" s="338"/>
      <c r="U78" s="338"/>
      <c r="V78" s="338"/>
      <c r="W78" s="338"/>
      <c r="X78" s="338"/>
      <c r="Y78" s="338"/>
      <c r="Z78" s="334" t="str">
        <f>IF(N78&gt;$E$5,"No","Yes")</f>
        <v>No</v>
      </c>
      <c r="AA78" s="334" t="str">
        <f>IF(O78&gt;$E$5,"No","Yes")</f>
        <v>No</v>
      </c>
      <c r="AB78" s="334" t="str">
        <f>IF(P78&gt;$E$5,"No","Yes")</f>
        <v>No</v>
      </c>
      <c r="AC78" s="334" t="str">
        <f>IF(Q78&gt;$E$5,"No","Yes")</f>
        <v>No</v>
      </c>
      <c r="AE78" s="338">
        <f t="shared" si="30"/>
        <v>0</v>
      </c>
      <c r="AF78" s="338">
        <f t="shared" si="27"/>
        <v>0</v>
      </c>
      <c r="AG78" s="338">
        <f t="shared" si="27"/>
        <v>0</v>
      </c>
      <c r="AH78" s="338">
        <f t="shared" si="27"/>
        <v>0</v>
      </c>
      <c r="AI78" s="338">
        <f t="shared" si="27"/>
        <v>0</v>
      </c>
      <c r="AJ78" s="338">
        <f t="shared" si="27"/>
        <v>0</v>
      </c>
      <c r="AK78" s="334">
        <f t="shared" si="27"/>
        <v>0</v>
      </c>
      <c r="AL78" s="334">
        <f t="shared" si="27"/>
        <v>0</v>
      </c>
      <c r="AM78" s="334">
        <f t="shared" si="28"/>
        <v>0</v>
      </c>
      <c r="AN78" s="334">
        <f t="shared" si="28"/>
        <v>0</v>
      </c>
    </row>
    <row r="79" spans="2:40" x14ac:dyDescent="0.3">
      <c r="B79" s="107" t="s">
        <v>843</v>
      </c>
      <c r="C79" s="107"/>
      <c r="D79" s="107"/>
      <c r="E79" s="107"/>
      <c r="G79" s="228" t="s">
        <v>382</v>
      </c>
      <c r="H79" s="338"/>
      <c r="I79" s="342"/>
      <c r="J79" s="342"/>
      <c r="K79" s="342"/>
      <c r="L79" s="342"/>
      <c r="M79" s="342"/>
      <c r="N79" s="342"/>
      <c r="O79" s="339">
        <v>1</v>
      </c>
      <c r="P79" s="339">
        <v>1</v>
      </c>
      <c r="Q79" s="341">
        <v>3.9210929999999996E-3</v>
      </c>
      <c r="R79" s="107"/>
      <c r="S79" s="228" t="s">
        <v>382</v>
      </c>
      <c r="T79" s="338"/>
      <c r="U79" s="338"/>
      <c r="V79" s="338"/>
      <c r="W79" s="338"/>
      <c r="X79" s="338"/>
      <c r="Y79" s="338"/>
      <c r="Z79" s="338"/>
      <c r="AA79" s="334" t="str">
        <f>IF(O79&gt;$E$5,"No","Yes")</f>
        <v>No</v>
      </c>
      <c r="AB79" s="334" t="str">
        <f>IF(P79&gt;$E$5,"No","Yes")</f>
        <v>No</v>
      </c>
      <c r="AC79" s="334" t="str">
        <f>IF(Q79&gt;$E$5,"No","Yes")</f>
        <v>Yes</v>
      </c>
      <c r="AE79" s="338">
        <f t="shared" si="30"/>
        <v>0</v>
      </c>
      <c r="AF79" s="338">
        <f t="shared" si="27"/>
        <v>0</v>
      </c>
      <c r="AG79" s="338">
        <f t="shared" si="27"/>
        <v>0</v>
      </c>
      <c r="AH79" s="338">
        <f t="shared" si="27"/>
        <v>0</v>
      </c>
      <c r="AI79" s="338">
        <f t="shared" si="27"/>
        <v>0</v>
      </c>
      <c r="AJ79" s="338">
        <f t="shared" si="27"/>
        <v>0</v>
      </c>
      <c r="AK79" s="338">
        <f t="shared" si="27"/>
        <v>0</v>
      </c>
      <c r="AL79" s="334">
        <f t="shared" si="27"/>
        <v>0</v>
      </c>
      <c r="AM79" s="334">
        <f t="shared" si="28"/>
        <v>0</v>
      </c>
      <c r="AN79" s="334">
        <f t="shared" si="28"/>
        <v>1</v>
      </c>
    </row>
    <row r="80" spans="2:40" x14ac:dyDescent="0.3">
      <c r="B80" s="107" t="s">
        <v>837</v>
      </c>
      <c r="C80" s="107"/>
      <c r="D80" s="107"/>
      <c r="E80" s="107"/>
      <c r="G80" s="228" t="s">
        <v>453</v>
      </c>
      <c r="H80" s="338"/>
      <c r="I80" s="342"/>
      <c r="J80" s="342"/>
      <c r="K80" s="342"/>
      <c r="L80" s="342"/>
      <c r="M80" s="342"/>
      <c r="N80" s="342"/>
      <c r="O80" s="342"/>
      <c r="P80" s="334">
        <v>1</v>
      </c>
      <c r="Q80" s="334">
        <v>1</v>
      </c>
      <c r="R80" s="107"/>
      <c r="S80" s="228" t="s">
        <v>453</v>
      </c>
      <c r="T80" s="338"/>
      <c r="U80" s="338"/>
      <c r="V80" s="338"/>
      <c r="W80" s="338"/>
      <c r="X80" s="338"/>
      <c r="Y80" s="338"/>
      <c r="Z80" s="338"/>
      <c r="AA80" s="338"/>
      <c r="AB80" s="334" t="str">
        <f>IF(P80&gt;$E$5,"No","Yes")</f>
        <v>No</v>
      </c>
      <c r="AC80" s="334" t="str">
        <f>IF(Q80&gt;$E$5,"No","Yes")</f>
        <v>No</v>
      </c>
      <c r="AE80" s="338">
        <f t="shared" si="30"/>
        <v>0</v>
      </c>
      <c r="AF80" s="338">
        <f t="shared" si="27"/>
        <v>0</v>
      </c>
      <c r="AG80" s="338">
        <f t="shared" si="27"/>
        <v>0</v>
      </c>
      <c r="AH80" s="338">
        <f t="shared" si="27"/>
        <v>0</v>
      </c>
      <c r="AI80" s="338">
        <f t="shared" si="27"/>
        <v>0</v>
      </c>
      <c r="AJ80" s="338">
        <f t="shared" si="27"/>
        <v>0</v>
      </c>
      <c r="AK80" s="338">
        <f t="shared" si="27"/>
        <v>0</v>
      </c>
      <c r="AL80" s="338">
        <f t="shared" si="27"/>
        <v>0</v>
      </c>
      <c r="AM80" s="334">
        <f t="shared" si="28"/>
        <v>0</v>
      </c>
      <c r="AN80" s="334">
        <f t="shared" si="28"/>
        <v>0</v>
      </c>
    </row>
    <row r="81" spans="2:40" x14ac:dyDescent="0.3">
      <c r="B81" s="107" t="s">
        <v>844</v>
      </c>
      <c r="C81" s="107"/>
      <c r="D81" s="107"/>
      <c r="E81" s="107"/>
      <c r="G81" s="228" t="s">
        <v>454</v>
      </c>
      <c r="H81" s="338"/>
      <c r="I81" s="338"/>
      <c r="J81" s="338"/>
      <c r="K81" s="338"/>
      <c r="L81" s="338"/>
      <c r="M81" s="338"/>
      <c r="N81" s="338"/>
      <c r="O81" s="338"/>
      <c r="P81" s="338"/>
      <c r="Q81" s="334">
        <v>1</v>
      </c>
      <c r="R81" s="107"/>
      <c r="S81" s="228" t="s">
        <v>454</v>
      </c>
      <c r="T81" s="338"/>
      <c r="U81" s="338"/>
      <c r="V81" s="338"/>
      <c r="W81" s="338"/>
      <c r="X81" s="338"/>
      <c r="Y81" s="338"/>
      <c r="Z81" s="338"/>
      <c r="AA81" s="338"/>
      <c r="AB81" s="338"/>
      <c r="AC81" s="334" t="str">
        <f>IF(Q81&gt;$E$5,"No","Yes")</f>
        <v>No</v>
      </c>
      <c r="AE81" s="338">
        <f t="shared" si="30"/>
        <v>0</v>
      </c>
      <c r="AF81" s="338">
        <f t="shared" si="27"/>
        <v>0</v>
      </c>
      <c r="AG81" s="338">
        <f t="shared" si="27"/>
        <v>0</v>
      </c>
      <c r="AH81" s="338">
        <f t="shared" si="27"/>
        <v>0</v>
      </c>
      <c r="AI81" s="338">
        <f t="shared" si="27"/>
        <v>0</v>
      </c>
      <c r="AJ81" s="338">
        <f t="shared" si="27"/>
        <v>0</v>
      </c>
      <c r="AK81" s="338">
        <f t="shared" si="27"/>
        <v>0</v>
      </c>
      <c r="AL81" s="338">
        <f t="shared" si="27"/>
        <v>0</v>
      </c>
      <c r="AM81" s="338">
        <f t="shared" si="28"/>
        <v>0</v>
      </c>
      <c r="AN81" s="334">
        <f t="shared" si="28"/>
        <v>0</v>
      </c>
    </row>
    <row r="82" spans="2:40" x14ac:dyDescent="0.3">
      <c r="B82" s="107" t="s">
        <v>845</v>
      </c>
      <c r="C82" s="107"/>
      <c r="D82" s="107"/>
      <c r="E82" s="107"/>
      <c r="G82" s="228" t="s">
        <v>388</v>
      </c>
      <c r="H82" s="338"/>
      <c r="I82" s="338"/>
      <c r="J82" s="338"/>
      <c r="K82" s="338"/>
      <c r="L82" s="338"/>
      <c r="M82" s="338"/>
      <c r="N82" s="338"/>
      <c r="O82" s="338"/>
      <c r="P82" s="338"/>
      <c r="Q82" s="338"/>
      <c r="R82" s="107"/>
      <c r="S82" s="228" t="s">
        <v>388</v>
      </c>
      <c r="T82" s="338"/>
      <c r="U82" s="338"/>
      <c r="V82" s="338"/>
      <c r="W82" s="338"/>
      <c r="X82" s="338"/>
      <c r="Y82" s="338"/>
      <c r="Z82" s="338"/>
      <c r="AA82" s="338"/>
      <c r="AB82" s="338"/>
      <c r="AC82" s="338"/>
    </row>
    <row r="84" spans="2:40" x14ac:dyDescent="0.3">
      <c r="B84" s="106" t="s">
        <v>846</v>
      </c>
      <c r="C84" s="107"/>
      <c r="D84" s="107"/>
      <c r="E84" s="107"/>
      <c r="G84" s="106" t="s">
        <v>847</v>
      </c>
      <c r="H84" s="107" t="s">
        <v>833</v>
      </c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 t="s">
        <v>848</v>
      </c>
      <c r="T84" s="107"/>
      <c r="U84" s="107"/>
      <c r="V84" s="107"/>
      <c r="W84" s="107"/>
      <c r="X84" s="107"/>
      <c r="Y84" s="107"/>
      <c r="Z84" s="107"/>
      <c r="AA84" s="107"/>
      <c r="AB84" s="107"/>
      <c r="AC84" s="107"/>
    </row>
    <row r="85" spans="2:40" ht="15.6" x14ac:dyDescent="0.35">
      <c r="B85" s="119" t="s">
        <v>633</v>
      </c>
      <c r="C85" s="107"/>
      <c r="D85" s="329" t="s">
        <v>849</v>
      </c>
      <c r="E85" s="333">
        <v>28351.230166337398</v>
      </c>
      <c r="G85" s="119" t="s">
        <v>633</v>
      </c>
      <c r="H85" s="107" t="s">
        <v>850</v>
      </c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 t="s">
        <v>851</v>
      </c>
      <c r="T85" s="107"/>
      <c r="U85" s="107"/>
      <c r="V85" s="107"/>
      <c r="W85" s="107"/>
      <c r="X85" s="107"/>
      <c r="Y85" s="107"/>
      <c r="Z85" s="107"/>
      <c r="AA85" s="107"/>
      <c r="AB85" s="107"/>
      <c r="AC85" s="107"/>
    </row>
    <row r="86" spans="2:40" x14ac:dyDescent="0.3">
      <c r="B86" s="92" t="s">
        <v>857</v>
      </c>
      <c r="C86" s="107"/>
      <c r="D86" s="107"/>
      <c r="E86" s="116"/>
      <c r="G86" s="92" t="s">
        <v>857</v>
      </c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 t="s">
        <v>852</v>
      </c>
      <c r="T86" s="107"/>
      <c r="U86" s="107"/>
      <c r="V86" s="107"/>
      <c r="W86" s="107"/>
      <c r="X86" s="107"/>
      <c r="Y86" s="107"/>
      <c r="Z86" s="107"/>
      <c r="AA86" s="107"/>
      <c r="AB86" s="107"/>
      <c r="AC86" s="107"/>
    </row>
    <row r="87" spans="2:40" ht="15.6" x14ac:dyDescent="0.35">
      <c r="B87" s="107"/>
      <c r="C87" s="107"/>
      <c r="D87" s="329" t="s">
        <v>330</v>
      </c>
      <c r="E87" s="334">
        <v>0.05</v>
      </c>
      <c r="G87" s="329" t="s">
        <v>334</v>
      </c>
      <c r="H87" s="228">
        <v>1988</v>
      </c>
      <c r="I87" s="228" t="s">
        <v>369</v>
      </c>
      <c r="J87" s="228" t="s">
        <v>371</v>
      </c>
      <c r="K87" s="228" t="s">
        <v>373</v>
      </c>
      <c r="L87" s="228" t="s">
        <v>378</v>
      </c>
      <c r="M87" s="228" t="s">
        <v>380</v>
      </c>
      <c r="N87" s="228" t="s">
        <v>382</v>
      </c>
      <c r="O87" s="228" t="s">
        <v>453</v>
      </c>
      <c r="P87" s="228" t="s">
        <v>454</v>
      </c>
      <c r="Q87" s="228" t="s">
        <v>388</v>
      </c>
      <c r="R87" s="107"/>
      <c r="S87" s="335" t="s">
        <v>840</v>
      </c>
      <c r="T87" s="228">
        <v>1988</v>
      </c>
      <c r="U87" s="228" t="s">
        <v>369</v>
      </c>
      <c r="V87" s="228" t="s">
        <v>371</v>
      </c>
      <c r="W87" s="228" t="s">
        <v>373</v>
      </c>
      <c r="X87" s="228" t="s">
        <v>378</v>
      </c>
      <c r="Y87" s="228" t="s">
        <v>380</v>
      </c>
      <c r="Z87" s="228" t="s">
        <v>382</v>
      </c>
      <c r="AA87" s="228" t="s">
        <v>453</v>
      </c>
      <c r="AB87" s="228" t="s">
        <v>454</v>
      </c>
      <c r="AC87" s="228" t="s">
        <v>388</v>
      </c>
    </row>
    <row r="88" spans="2:40" x14ac:dyDescent="0.3">
      <c r="B88" s="107"/>
      <c r="C88" s="107"/>
      <c r="D88" s="107"/>
      <c r="E88" s="107"/>
      <c r="G88" s="228">
        <v>1977</v>
      </c>
      <c r="H88" s="345">
        <v>0</v>
      </c>
      <c r="I88" s="345">
        <v>0</v>
      </c>
      <c r="J88" s="345">
        <v>0</v>
      </c>
      <c r="K88" s="345">
        <v>0</v>
      </c>
      <c r="L88" s="345">
        <v>0</v>
      </c>
      <c r="M88" s="345">
        <v>0</v>
      </c>
      <c r="N88" s="345">
        <v>0</v>
      </c>
      <c r="O88" s="345">
        <v>0</v>
      </c>
      <c r="P88" s="345">
        <v>0</v>
      </c>
      <c r="Q88" s="345">
        <v>0</v>
      </c>
      <c r="R88" s="107"/>
      <c r="S88" s="228">
        <v>1977</v>
      </c>
      <c r="T88" s="334" t="str">
        <f t="shared" ref="T88:AC88" si="34">IF(H88&gt;$E$5,"No","Yes")</f>
        <v>Yes</v>
      </c>
      <c r="U88" s="334" t="str">
        <f t="shared" si="34"/>
        <v>Yes</v>
      </c>
      <c r="V88" s="334" t="str">
        <f t="shared" si="34"/>
        <v>Yes</v>
      </c>
      <c r="W88" s="334" t="str">
        <f t="shared" si="34"/>
        <v>Yes</v>
      </c>
      <c r="X88" s="334" t="str">
        <f t="shared" si="34"/>
        <v>Yes</v>
      </c>
      <c r="Y88" s="334" t="str">
        <f t="shared" si="34"/>
        <v>Yes</v>
      </c>
      <c r="Z88" s="334" t="str">
        <f t="shared" si="34"/>
        <v>Yes</v>
      </c>
      <c r="AA88" s="334" t="str">
        <f t="shared" si="34"/>
        <v>Yes</v>
      </c>
      <c r="AB88" s="334" t="str">
        <f t="shared" si="34"/>
        <v>Yes</v>
      </c>
      <c r="AC88" s="334" t="str">
        <f t="shared" si="34"/>
        <v>Yes</v>
      </c>
    </row>
    <row r="89" spans="2:40" x14ac:dyDescent="0.3">
      <c r="B89" s="107"/>
      <c r="C89" s="107"/>
      <c r="D89" s="329" t="s">
        <v>334</v>
      </c>
      <c r="E89" s="337" t="s">
        <v>871</v>
      </c>
      <c r="G89" s="228">
        <v>1988</v>
      </c>
      <c r="H89" s="338"/>
      <c r="I89" s="345">
        <v>0</v>
      </c>
      <c r="J89" s="345">
        <v>0</v>
      </c>
      <c r="K89" s="345">
        <v>0</v>
      </c>
      <c r="L89" s="345">
        <v>0</v>
      </c>
      <c r="M89" s="345">
        <v>0</v>
      </c>
      <c r="N89" s="345">
        <v>0</v>
      </c>
      <c r="O89" s="345">
        <v>0</v>
      </c>
      <c r="P89" s="345">
        <v>0</v>
      </c>
      <c r="Q89" s="345">
        <v>0</v>
      </c>
      <c r="R89" s="107"/>
      <c r="S89" s="228">
        <v>1988</v>
      </c>
      <c r="T89" s="338"/>
      <c r="U89" s="334" t="str">
        <f t="shared" ref="U89:AC89" si="35">IF(I89&gt;$E$5,"No","Yes")</f>
        <v>Yes</v>
      </c>
      <c r="V89" s="334" t="str">
        <f t="shared" si="35"/>
        <v>Yes</v>
      </c>
      <c r="W89" s="334" t="str">
        <f t="shared" si="35"/>
        <v>Yes</v>
      </c>
      <c r="X89" s="334" t="str">
        <f t="shared" si="35"/>
        <v>Yes</v>
      </c>
      <c r="Y89" s="334" t="str">
        <f t="shared" si="35"/>
        <v>Yes</v>
      </c>
      <c r="Z89" s="334" t="str">
        <f t="shared" si="35"/>
        <v>Yes</v>
      </c>
      <c r="AA89" s="334" t="str">
        <f t="shared" si="35"/>
        <v>Yes</v>
      </c>
      <c r="AB89" s="334" t="str">
        <f t="shared" si="35"/>
        <v>Yes</v>
      </c>
      <c r="AC89" s="334" t="str">
        <f t="shared" si="35"/>
        <v>Yes</v>
      </c>
    </row>
    <row r="90" spans="2:40" x14ac:dyDescent="0.3">
      <c r="B90" s="107"/>
      <c r="C90" s="107"/>
      <c r="D90" s="107"/>
      <c r="E90" s="107"/>
      <c r="G90" s="228" t="s">
        <v>369</v>
      </c>
      <c r="H90" s="338"/>
      <c r="I90" s="338"/>
      <c r="J90" s="345">
        <v>0</v>
      </c>
      <c r="K90" s="345">
        <v>0</v>
      </c>
      <c r="L90" s="345">
        <v>0</v>
      </c>
      <c r="M90" s="345">
        <v>0</v>
      </c>
      <c r="N90" s="345">
        <v>0</v>
      </c>
      <c r="O90" s="340">
        <v>1.6000000000000001E-3</v>
      </c>
      <c r="P90" s="345">
        <v>0</v>
      </c>
      <c r="Q90" s="345">
        <v>0</v>
      </c>
      <c r="R90" s="107"/>
      <c r="S90" s="228" t="s">
        <v>369</v>
      </c>
      <c r="T90" s="338"/>
      <c r="U90" s="338"/>
      <c r="V90" s="334" t="str">
        <f t="shared" ref="V90:AC90" si="36">IF(J90&gt;$E$5,"No","Yes")</f>
        <v>Yes</v>
      </c>
      <c r="W90" s="334" t="str">
        <f t="shared" si="36"/>
        <v>Yes</v>
      </c>
      <c r="X90" s="334" t="str">
        <f t="shared" si="36"/>
        <v>Yes</v>
      </c>
      <c r="Y90" s="334" t="str">
        <f t="shared" si="36"/>
        <v>Yes</v>
      </c>
      <c r="Z90" s="334" t="str">
        <f t="shared" si="36"/>
        <v>Yes</v>
      </c>
      <c r="AA90" s="334" t="str">
        <f t="shared" si="36"/>
        <v>Yes</v>
      </c>
      <c r="AB90" s="334" t="str">
        <f t="shared" si="36"/>
        <v>Yes</v>
      </c>
      <c r="AC90" s="334" t="str">
        <f t="shared" si="36"/>
        <v>Yes</v>
      </c>
    </row>
    <row r="91" spans="2:40" ht="15.6" x14ac:dyDescent="0.35">
      <c r="B91" s="107"/>
      <c r="C91" s="107"/>
      <c r="D91" s="329" t="s">
        <v>840</v>
      </c>
      <c r="E91" s="337" t="str">
        <f>IF(E89&gt;E87,"No","Yes")</f>
        <v>No</v>
      </c>
      <c r="G91" s="228" t="s">
        <v>371</v>
      </c>
      <c r="H91" s="338"/>
      <c r="I91" s="338"/>
      <c r="J91" s="338"/>
      <c r="K91" s="345">
        <v>0</v>
      </c>
      <c r="L91" s="345">
        <v>0</v>
      </c>
      <c r="M91" s="345">
        <v>0</v>
      </c>
      <c r="N91" s="345">
        <v>0</v>
      </c>
      <c r="O91" s="345">
        <v>0</v>
      </c>
      <c r="P91" s="345">
        <v>0</v>
      </c>
      <c r="Q91" s="345">
        <v>0</v>
      </c>
      <c r="R91" s="107"/>
      <c r="S91" s="228" t="s">
        <v>371</v>
      </c>
      <c r="T91" s="338"/>
      <c r="U91" s="338"/>
      <c r="V91" s="338"/>
      <c r="W91" s="334" t="str">
        <f t="shared" ref="W91:AC91" si="37">IF(K91&gt;$E$5,"No","Yes")</f>
        <v>Yes</v>
      </c>
      <c r="X91" s="334" t="str">
        <f t="shared" si="37"/>
        <v>Yes</v>
      </c>
      <c r="Y91" s="334" t="str">
        <f t="shared" si="37"/>
        <v>Yes</v>
      </c>
      <c r="Z91" s="334" t="str">
        <f t="shared" si="37"/>
        <v>Yes</v>
      </c>
      <c r="AA91" s="334" t="str">
        <f t="shared" si="37"/>
        <v>Yes</v>
      </c>
      <c r="AB91" s="334" t="str">
        <f t="shared" si="37"/>
        <v>Yes</v>
      </c>
      <c r="AC91" s="334" t="str">
        <f t="shared" si="37"/>
        <v>Yes</v>
      </c>
    </row>
    <row r="92" spans="2:40" x14ac:dyDescent="0.3">
      <c r="B92" s="107"/>
      <c r="C92" s="107"/>
      <c r="D92" s="107"/>
      <c r="E92" s="107"/>
      <c r="G92" s="228" t="s">
        <v>373</v>
      </c>
      <c r="H92" s="338"/>
      <c r="I92" s="338"/>
      <c r="J92" s="338"/>
      <c r="K92" s="338"/>
      <c r="L92" s="345">
        <v>0</v>
      </c>
      <c r="M92" s="345">
        <v>0</v>
      </c>
      <c r="N92" s="345">
        <v>0</v>
      </c>
      <c r="O92" s="345">
        <v>0</v>
      </c>
      <c r="P92" s="345">
        <v>0</v>
      </c>
      <c r="Q92" s="345">
        <v>0</v>
      </c>
      <c r="R92" s="107"/>
      <c r="S92" s="228" t="s">
        <v>373</v>
      </c>
      <c r="T92" s="338"/>
      <c r="U92" s="338"/>
      <c r="V92" s="338"/>
      <c r="W92" s="338"/>
      <c r="X92" s="334" t="str">
        <f t="shared" ref="X92:AC92" si="38">IF(L92&gt;$E$5,"No","Yes")</f>
        <v>Yes</v>
      </c>
      <c r="Y92" s="334" t="str">
        <f t="shared" si="38"/>
        <v>Yes</v>
      </c>
      <c r="Z92" s="334" t="str">
        <f t="shared" si="38"/>
        <v>Yes</v>
      </c>
      <c r="AA92" s="334" t="str">
        <f t="shared" si="38"/>
        <v>Yes</v>
      </c>
      <c r="AB92" s="334" t="str">
        <f t="shared" si="38"/>
        <v>Yes</v>
      </c>
      <c r="AC92" s="334" t="str">
        <f t="shared" si="38"/>
        <v>Yes</v>
      </c>
    </row>
    <row r="93" spans="2:40" ht="15.6" x14ac:dyDescent="0.35">
      <c r="B93" s="107" t="s">
        <v>853</v>
      </c>
      <c r="C93" s="107"/>
      <c r="D93" s="107"/>
      <c r="E93" s="107"/>
      <c r="G93" s="228" t="s">
        <v>378</v>
      </c>
      <c r="H93" s="338"/>
      <c r="I93" s="338"/>
      <c r="J93" s="338"/>
      <c r="K93" s="338"/>
      <c r="L93" s="338"/>
      <c r="M93" s="345">
        <v>0</v>
      </c>
      <c r="N93" s="345">
        <v>0</v>
      </c>
      <c r="O93" s="345">
        <v>0</v>
      </c>
      <c r="P93" s="345">
        <v>0</v>
      </c>
      <c r="Q93" s="345">
        <v>0</v>
      </c>
      <c r="R93" s="107"/>
      <c r="S93" s="228" t="s">
        <v>378</v>
      </c>
      <c r="T93" s="338"/>
      <c r="U93" s="338"/>
      <c r="V93" s="338"/>
      <c r="W93" s="338"/>
      <c r="X93" s="338"/>
      <c r="Y93" s="334" t="str">
        <f>IF(M93&gt;$E$5,"No","Yes")</f>
        <v>Yes</v>
      </c>
      <c r="Z93" s="334" t="str">
        <f>IF(N93&gt;$E$5,"No","Yes")</f>
        <v>Yes</v>
      </c>
      <c r="AA93" s="334" t="str">
        <f>IF(O93&gt;$E$5,"No","Yes")</f>
        <v>Yes</v>
      </c>
      <c r="AB93" s="334" t="str">
        <f>IF(P93&gt;$E$5,"No","Yes")</f>
        <v>Yes</v>
      </c>
      <c r="AC93" s="334" t="str">
        <f>IF(Q93&gt;$E$5,"No","Yes")</f>
        <v>Yes</v>
      </c>
    </row>
    <row r="94" spans="2:40" x14ac:dyDescent="0.3">
      <c r="B94" s="107" t="s">
        <v>842</v>
      </c>
      <c r="C94" s="107"/>
      <c r="D94" s="107"/>
      <c r="E94" s="107"/>
      <c r="G94" s="228" t="s">
        <v>380</v>
      </c>
      <c r="H94" s="338"/>
      <c r="I94" s="338"/>
      <c r="J94" s="338"/>
      <c r="K94" s="338"/>
      <c r="L94" s="338"/>
      <c r="M94" s="338"/>
      <c r="N94" s="345">
        <v>0</v>
      </c>
      <c r="O94" s="345">
        <v>0</v>
      </c>
      <c r="P94" s="340">
        <v>2.8E-3</v>
      </c>
      <c r="Q94" s="345">
        <v>0</v>
      </c>
      <c r="R94" s="107"/>
      <c r="S94" s="228" t="s">
        <v>380</v>
      </c>
      <c r="T94" s="338"/>
      <c r="U94" s="338"/>
      <c r="V94" s="338"/>
      <c r="W94" s="338"/>
      <c r="X94" s="338"/>
      <c r="Y94" s="338"/>
      <c r="Z94" s="334" t="str">
        <f>IF(N94&gt;$E$5,"No","Yes")</f>
        <v>Yes</v>
      </c>
      <c r="AA94" s="334" t="str">
        <f>IF(O94&gt;$E$5,"No","Yes")</f>
        <v>Yes</v>
      </c>
      <c r="AB94" s="334" t="str">
        <f>IF(P94&gt;$E$5,"No","Yes")</f>
        <v>Yes</v>
      </c>
      <c r="AC94" s="334" t="str">
        <f>IF(Q94&gt;$E$5,"No","Yes")</f>
        <v>Yes</v>
      </c>
    </row>
    <row r="95" spans="2:40" x14ac:dyDescent="0.3">
      <c r="B95" s="107" t="s">
        <v>843</v>
      </c>
      <c r="C95" s="107"/>
      <c r="D95" s="107"/>
      <c r="E95" s="107"/>
      <c r="G95" s="228" t="s">
        <v>382</v>
      </c>
      <c r="H95" s="338"/>
      <c r="I95" s="338"/>
      <c r="J95" s="338"/>
      <c r="K95" s="338"/>
      <c r="L95" s="338"/>
      <c r="M95" s="338"/>
      <c r="N95" s="338"/>
      <c r="O95" s="345">
        <v>0</v>
      </c>
      <c r="P95" s="345">
        <v>0</v>
      </c>
      <c r="Q95" s="345">
        <v>0</v>
      </c>
      <c r="R95" s="107"/>
      <c r="S95" s="228" t="s">
        <v>382</v>
      </c>
      <c r="T95" s="338"/>
      <c r="U95" s="338"/>
      <c r="V95" s="338"/>
      <c r="W95" s="338"/>
      <c r="X95" s="338"/>
      <c r="Y95" s="338"/>
      <c r="Z95" s="338"/>
      <c r="AA95" s="334" t="str">
        <f>IF(O95&gt;$E$5,"No","Yes")</f>
        <v>Yes</v>
      </c>
      <c r="AB95" s="334" t="str">
        <f>IF(P95&gt;$E$5,"No","Yes")</f>
        <v>Yes</v>
      </c>
      <c r="AC95" s="334" t="str">
        <f>IF(Q95&gt;$E$5,"No","Yes")</f>
        <v>Yes</v>
      </c>
    </row>
    <row r="96" spans="2:40" x14ac:dyDescent="0.3">
      <c r="B96" s="107" t="s">
        <v>854</v>
      </c>
      <c r="C96" s="107"/>
      <c r="D96" s="107"/>
      <c r="E96" s="107"/>
      <c r="G96" s="228" t="s">
        <v>453</v>
      </c>
      <c r="H96" s="338"/>
      <c r="I96" s="338"/>
      <c r="J96" s="338"/>
      <c r="K96" s="338"/>
      <c r="L96" s="338"/>
      <c r="M96" s="338"/>
      <c r="N96" s="338"/>
      <c r="O96" s="338"/>
      <c r="P96" s="345">
        <v>0</v>
      </c>
      <c r="Q96" s="345">
        <v>0</v>
      </c>
      <c r="R96" s="107"/>
      <c r="S96" s="228" t="s">
        <v>453</v>
      </c>
      <c r="T96" s="338"/>
      <c r="U96" s="338"/>
      <c r="V96" s="338"/>
      <c r="W96" s="338"/>
      <c r="X96" s="338"/>
      <c r="Y96" s="338"/>
      <c r="Z96" s="338"/>
      <c r="AA96" s="338"/>
      <c r="AB96" s="334" t="str">
        <f>IF(P96&gt;$E$5,"No","Yes")</f>
        <v>Yes</v>
      </c>
      <c r="AC96" s="334" t="str">
        <f>IF(Q96&gt;$E$5,"No","Yes")</f>
        <v>Yes</v>
      </c>
    </row>
    <row r="97" spans="2:40" x14ac:dyDescent="0.3">
      <c r="B97" s="107" t="s">
        <v>855</v>
      </c>
      <c r="C97" s="107"/>
      <c r="D97" s="107"/>
      <c r="E97" s="107"/>
      <c r="G97" s="228" t="s">
        <v>454</v>
      </c>
      <c r="H97" s="338"/>
      <c r="I97" s="338"/>
      <c r="J97" s="338"/>
      <c r="K97" s="338"/>
      <c r="L97" s="338"/>
      <c r="M97" s="338"/>
      <c r="N97" s="338"/>
      <c r="O97" s="338"/>
      <c r="P97" s="338"/>
      <c r="Q97" s="345">
        <v>0</v>
      </c>
      <c r="R97" s="107"/>
      <c r="S97" s="228" t="s">
        <v>454</v>
      </c>
      <c r="T97" s="338"/>
      <c r="U97" s="338"/>
      <c r="V97" s="338"/>
      <c r="W97" s="338"/>
      <c r="X97" s="338"/>
      <c r="Y97" s="338"/>
      <c r="Z97" s="338"/>
      <c r="AA97" s="338"/>
      <c r="AB97" s="338"/>
      <c r="AC97" s="334" t="str">
        <f>IF(Q97&gt;$E$5,"No","Yes")</f>
        <v>Yes</v>
      </c>
    </row>
    <row r="98" spans="2:40" x14ac:dyDescent="0.3">
      <c r="B98" s="107"/>
      <c r="C98" s="107"/>
      <c r="D98" s="107"/>
      <c r="E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</row>
    <row r="99" spans="2:40" x14ac:dyDescent="0.3"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</row>
    <row r="101" spans="2:40" x14ac:dyDescent="0.3">
      <c r="B101" s="106" t="s">
        <v>831</v>
      </c>
      <c r="C101" s="107"/>
      <c r="D101" s="107"/>
      <c r="E101" s="107"/>
      <c r="G101" s="106" t="s">
        <v>832</v>
      </c>
      <c r="H101" s="107" t="s">
        <v>833</v>
      </c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 t="s">
        <v>834</v>
      </c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</row>
    <row r="102" spans="2:40" ht="15.6" x14ac:dyDescent="0.35">
      <c r="B102" s="119" t="s">
        <v>633</v>
      </c>
      <c r="C102" s="107"/>
      <c r="D102" s="329" t="s">
        <v>835</v>
      </c>
      <c r="E102" s="333">
        <v>212.822048539695</v>
      </c>
      <c r="G102" s="119" t="s">
        <v>633</v>
      </c>
      <c r="H102" s="107" t="s">
        <v>836</v>
      </c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 t="s">
        <v>837</v>
      </c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</row>
    <row r="103" spans="2:40" x14ac:dyDescent="0.3">
      <c r="B103" s="124" t="s">
        <v>858</v>
      </c>
      <c r="C103" s="107"/>
      <c r="D103" s="107"/>
      <c r="E103" s="116"/>
      <c r="G103" s="124" t="s">
        <v>858</v>
      </c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 t="s">
        <v>839</v>
      </c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</row>
    <row r="104" spans="2:40" ht="15.6" x14ac:dyDescent="0.35">
      <c r="B104" s="107"/>
      <c r="C104" s="107"/>
      <c r="D104" s="329" t="s">
        <v>330</v>
      </c>
      <c r="E104" s="334">
        <v>0.05</v>
      </c>
      <c r="G104" s="329" t="s">
        <v>334</v>
      </c>
      <c r="H104" s="228">
        <v>1988</v>
      </c>
      <c r="I104" s="228" t="s">
        <v>369</v>
      </c>
      <c r="J104" s="228" t="s">
        <v>371</v>
      </c>
      <c r="K104" s="228" t="s">
        <v>373</v>
      </c>
      <c r="L104" s="228" t="s">
        <v>378</v>
      </c>
      <c r="M104" s="228" t="s">
        <v>380</v>
      </c>
      <c r="N104" s="228" t="s">
        <v>382</v>
      </c>
      <c r="O104" s="228" t="s">
        <v>453</v>
      </c>
      <c r="P104" s="228" t="s">
        <v>454</v>
      </c>
      <c r="Q104" s="228" t="s">
        <v>388</v>
      </c>
      <c r="R104" s="107"/>
      <c r="S104" s="335" t="s">
        <v>840</v>
      </c>
      <c r="T104" s="228">
        <v>1988</v>
      </c>
      <c r="U104" s="228" t="s">
        <v>369</v>
      </c>
      <c r="V104" s="228" t="s">
        <v>371</v>
      </c>
      <c r="W104" s="228" t="s">
        <v>373</v>
      </c>
      <c r="X104" s="228" t="s">
        <v>378</v>
      </c>
      <c r="Y104" s="228" t="s">
        <v>380</v>
      </c>
      <c r="Z104" s="228" t="s">
        <v>382</v>
      </c>
      <c r="AA104" s="228" t="s">
        <v>453</v>
      </c>
      <c r="AB104" s="228" t="s">
        <v>454</v>
      </c>
      <c r="AC104" s="228" t="s">
        <v>388</v>
      </c>
    </row>
    <row r="105" spans="2:40" x14ac:dyDescent="0.3">
      <c r="B105" s="107"/>
      <c r="C105" s="107"/>
      <c r="D105" s="107"/>
      <c r="E105" s="107"/>
      <c r="G105" s="228">
        <v>1977</v>
      </c>
      <c r="H105" s="336">
        <v>7.254323E-3</v>
      </c>
      <c r="I105" s="336">
        <v>1.7448909999999999E-3</v>
      </c>
      <c r="J105" s="340">
        <v>0.25658579999999998</v>
      </c>
      <c r="K105" s="336">
        <v>6.0451000000000003E-3</v>
      </c>
      <c r="L105" s="339">
        <v>1</v>
      </c>
      <c r="M105" s="336">
        <v>7.4201240000000004E-4</v>
      </c>
      <c r="N105" s="339">
        <v>1</v>
      </c>
      <c r="O105" s="339">
        <v>1</v>
      </c>
      <c r="P105" s="336">
        <v>5.4570309999999998E-8</v>
      </c>
      <c r="Q105" s="339">
        <v>1</v>
      </c>
      <c r="R105" s="107"/>
      <c r="S105" s="228">
        <v>1977</v>
      </c>
      <c r="T105" s="334" t="str">
        <f t="shared" ref="T105:AC105" si="39">IF(H105&gt;$E$5,"No","Yes")</f>
        <v>Yes</v>
      </c>
      <c r="U105" s="334" t="str">
        <f t="shared" si="39"/>
        <v>Yes</v>
      </c>
      <c r="V105" s="334" t="str">
        <f t="shared" si="39"/>
        <v>No</v>
      </c>
      <c r="W105" s="334" t="str">
        <f t="shared" si="39"/>
        <v>Yes</v>
      </c>
      <c r="X105" s="334" t="str">
        <f t="shared" si="39"/>
        <v>No</v>
      </c>
      <c r="Y105" s="334" t="str">
        <f t="shared" si="39"/>
        <v>Yes</v>
      </c>
      <c r="Z105" s="334" t="str">
        <f t="shared" si="39"/>
        <v>No</v>
      </c>
      <c r="AA105" s="334" t="str">
        <f t="shared" si="39"/>
        <v>No</v>
      </c>
      <c r="AB105" s="334" t="str">
        <f t="shared" si="39"/>
        <v>Yes</v>
      </c>
      <c r="AC105" s="334" t="str">
        <f t="shared" si="39"/>
        <v>No</v>
      </c>
      <c r="AE105" s="334">
        <f>IF(T105="Yes",1,0)</f>
        <v>1</v>
      </c>
      <c r="AF105" s="334">
        <f t="shared" ref="AF105:AL114" si="40">IF(U105="Yes",1,0)</f>
        <v>1</v>
      </c>
      <c r="AG105" s="334">
        <f t="shared" si="40"/>
        <v>0</v>
      </c>
      <c r="AH105" s="334">
        <f t="shared" si="40"/>
        <v>1</v>
      </c>
      <c r="AI105" s="334">
        <f t="shared" si="40"/>
        <v>0</v>
      </c>
      <c r="AJ105" s="334">
        <f t="shared" si="40"/>
        <v>1</v>
      </c>
      <c r="AK105" s="334">
        <f t="shared" si="40"/>
        <v>0</v>
      </c>
      <c r="AL105" s="334">
        <f>IF(AA105="Yes",1,0)</f>
        <v>0</v>
      </c>
      <c r="AM105" s="334">
        <f t="shared" ref="AM105:AN114" si="41">IF(AB105="Yes",1,0)</f>
        <v>1</v>
      </c>
      <c r="AN105" s="334">
        <f>IF(AC105="Yes",1,0)</f>
        <v>0</v>
      </c>
    </row>
    <row r="106" spans="2:40" x14ac:dyDescent="0.3">
      <c r="B106" s="107"/>
      <c r="C106" s="107"/>
      <c r="D106" s="329" t="s">
        <v>334</v>
      </c>
      <c r="E106" s="337">
        <v>3.3922837221878599E-40</v>
      </c>
      <c r="G106" s="228">
        <v>1988</v>
      </c>
      <c r="H106" s="338"/>
      <c r="I106" s="336">
        <v>7.8166390000000003E-14</v>
      </c>
      <c r="J106" s="339">
        <v>1</v>
      </c>
      <c r="K106" s="336">
        <v>8.0613910000000002E-13</v>
      </c>
      <c r="L106" s="339">
        <v>1</v>
      </c>
      <c r="M106" s="336">
        <v>1.6289730000000001E-14</v>
      </c>
      <c r="N106" s="340">
        <v>9.2203450000000006E-2</v>
      </c>
      <c r="O106" s="336">
        <v>1.5046529999999999E-7</v>
      </c>
      <c r="P106" s="336">
        <v>1.63607E-21</v>
      </c>
      <c r="Q106" s="336">
        <v>3.6000000000000001E-5</v>
      </c>
      <c r="R106" s="107"/>
      <c r="S106" s="228">
        <v>1988</v>
      </c>
      <c r="T106" s="338"/>
      <c r="U106" s="334" t="str">
        <f t="shared" ref="U106:AC106" si="42">IF(I106&gt;$E$5,"No","Yes")</f>
        <v>Yes</v>
      </c>
      <c r="V106" s="334" t="str">
        <f t="shared" si="42"/>
        <v>No</v>
      </c>
      <c r="W106" s="334" t="str">
        <f t="shared" si="42"/>
        <v>Yes</v>
      </c>
      <c r="X106" s="334" t="str">
        <f t="shared" si="42"/>
        <v>No</v>
      </c>
      <c r="Y106" s="334" t="str">
        <f t="shared" si="42"/>
        <v>Yes</v>
      </c>
      <c r="Z106" s="334" t="str">
        <f t="shared" si="42"/>
        <v>No</v>
      </c>
      <c r="AA106" s="334" t="str">
        <f t="shared" si="42"/>
        <v>Yes</v>
      </c>
      <c r="AB106" s="334" t="str">
        <f t="shared" si="42"/>
        <v>Yes</v>
      </c>
      <c r="AC106" s="334" t="str">
        <f t="shared" si="42"/>
        <v>Yes</v>
      </c>
      <c r="AE106" s="338">
        <f t="shared" ref="AE106:AE114" si="43">IF(T106="Yes",1,0)</f>
        <v>0</v>
      </c>
      <c r="AF106" s="334">
        <f t="shared" si="40"/>
        <v>1</v>
      </c>
      <c r="AG106" s="334">
        <f t="shared" si="40"/>
        <v>0</v>
      </c>
      <c r="AH106" s="334">
        <f t="shared" si="40"/>
        <v>1</v>
      </c>
      <c r="AI106" s="334">
        <f t="shared" si="40"/>
        <v>0</v>
      </c>
      <c r="AJ106" s="334">
        <f t="shared" si="40"/>
        <v>1</v>
      </c>
      <c r="AK106" s="334">
        <f t="shared" si="40"/>
        <v>0</v>
      </c>
      <c r="AL106" s="334">
        <f t="shared" si="40"/>
        <v>1</v>
      </c>
      <c r="AM106" s="334">
        <f t="shared" si="41"/>
        <v>1</v>
      </c>
      <c r="AN106" s="334">
        <f t="shared" si="41"/>
        <v>1</v>
      </c>
    </row>
    <row r="107" spans="2:40" x14ac:dyDescent="0.3">
      <c r="B107" s="107"/>
      <c r="C107" s="107"/>
      <c r="D107" s="107"/>
      <c r="E107" s="107"/>
      <c r="G107" s="228" t="s">
        <v>369</v>
      </c>
      <c r="H107" s="338"/>
      <c r="I107" s="338"/>
      <c r="J107" s="336">
        <v>1.5118630000000001E-10</v>
      </c>
      <c r="K107" s="339">
        <v>1</v>
      </c>
      <c r="L107" s="336">
        <v>1.109586E-7</v>
      </c>
      <c r="M107" s="339">
        <v>1</v>
      </c>
      <c r="N107" s="336">
        <v>7.0933940000000005E-5</v>
      </c>
      <c r="O107" s="339">
        <v>1</v>
      </c>
      <c r="P107" s="339">
        <v>1</v>
      </c>
      <c r="Q107" s="340">
        <v>0.14339399999999999</v>
      </c>
      <c r="R107" s="107"/>
      <c r="S107" s="228" t="s">
        <v>369</v>
      </c>
      <c r="T107" s="338"/>
      <c r="U107" s="338"/>
      <c r="V107" s="334" t="str">
        <f t="shared" ref="V107:AC107" si="44">IF(J107&gt;$E$5,"No","Yes")</f>
        <v>Yes</v>
      </c>
      <c r="W107" s="334" t="str">
        <f t="shared" si="44"/>
        <v>No</v>
      </c>
      <c r="X107" s="334" t="str">
        <f t="shared" si="44"/>
        <v>Yes</v>
      </c>
      <c r="Y107" s="334" t="str">
        <f t="shared" si="44"/>
        <v>No</v>
      </c>
      <c r="Z107" s="334" t="str">
        <f t="shared" si="44"/>
        <v>Yes</v>
      </c>
      <c r="AA107" s="334" t="str">
        <f t="shared" si="44"/>
        <v>No</v>
      </c>
      <c r="AB107" s="334" t="str">
        <f t="shared" si="44"/>
        <v>No</v>
      </c>
      <c r="AC107" s="334" t="str">
        <f t="shared" si="44"/>
        <v>No</v>
      </c>
      <c r="AE107" s="338">
        <f t="shared" si="43"/>
        <v>0</v>
      </c>
      <c r="AF107" s="338">
        <f t="shared" si="40"/>
        <v>0</v>
      </c>
      <c r="AG107" s="334">
        <f t="shared" si="40"/>
        <v>1</v>
      </c>
      <c r="AH107" s="334">
        <f t="shared" si="40"/>
        <v>0</v>
      </c>
      <c r="AI107" s="334">
        <f t="shared" si="40"/>
        <v>1</v>
      </c>
      <c r="AJ107" s="334">
        <f t="shared" si="40"/>
        <v>0</v>
      </c>
      <c r="AK107" s="334">
        <f t="shared" si="40"/>
        <v>1</v>
      </c>
      <c r="AL107" s="334">
        <f t="shared" si="40"/>
        <v>0</v>
      </c>
      <c r="AM107" s="334">
        <f t="shared" si="41"/>
        <v>0</v>
      </c>
      <c r="AN107" s="334">
        <f t="shared" si="41"/>
        <v>0</v>
      </c>
    </row>
    <row r="108" spans="2:40" ht="15.6" x14ac:dyDescent="0.35">
      <c r="B108" s="107"/>
      <c r="C108" s="107"/>
      <c r="D108" s="329" t="s">
        <v>840</v>
      </c>
      <c r="E108" s="337" t="str">
        <f>IF(E106&gt;E104,"No","Yes")</f>
        <v>Yes</v>
      </c>
      <c r="G108" s="228" t="s">
        <v>371</v>
      </c>
      <c r="H108" s="338"/>
      <c r="I108" s="338"/>
      <c r="J108" s="338"/>
      <c r="K108" s="336">
        <v>1.1709750000000001E-9</v>
      </c>
      <c r="L108" s="339">
        <v>1</v>
      </c>
      <c r="M108" s="336">
        <v>3.7986799999999997E-11</v>
      </c>
      <c r="N108" s="339">
        <v>1</v>
      </c>
      <c r="O108" s="336">
        <v>4.0169380000000001E-5</v>
      </c>
      <c r="P108" s="336">
        <v>2.141443E-17</v>
      </c>
      <c r="Q108" s="336">
        <v>3.8E-3</v>
      </c>
      <c r="R108" s="107"/>
      <c r="S108" s="228" t="s">
        <v>371</v>
      </c>
      <c r="T108" s="338"/>
      <c r="U108" s="338"/>
      <c r="V108" s="338"/>
      <c r="W108" s="334" t="str">
        <f t="shared" ref="W108:AC108" si="45">IF(K108&gt;$E$5,"No","Yes")</f>
        <v>Yes</v>
      </c>
      <c r="X108" s="334" t="str">
        <f t="shared" si="45"/>
        <v>No</v>
      </c>
      <c r="Y108" s="334" t="str">
        <f t="shared" si="45"/>
        <v>Yes</v>
      </c>
      <c r="Z108" s="334" t="str">
        <f t="shared" si="45"/>
        <v>No</v>
      </c>
      <c r="AA108" s="334" t="str">
        <f t="shared" si="45"/>
        <v>Yes</v>
      </c>
      <c r="AB108" s="334" t="str">
        <f t="shared" si="45"/>
        <v>Yes</v>
      </c>
      <c r="AC108" s="334" t="str">
        <f t="shared" si="45"/>
        <v>Yes</v>
      </c>
      <c r="AE108" s="338">
        <f t="shared" si="43"/>
        <v>0</v>
      </c>
      <c r="AF108" s="338">
        <f t="shared" si="40"/>
        <v>0</v>
      </c>
      <c r="AG108" s="338">
        <f t="shared" si="40"/>
        <v>0</v>
      </c>
      <c r="AH108" s="334">
        <f t="shared" si="40"/>
        <v>1</v>
      </c>
      <c r="AI108" s="334">
        <f t="shared" si="40"/>
        <v>0</v>
      </c>
      <c r="AJ108" s="334">
        <f t="shared" si="40"/>
        <v>1</v>
      </c>
      <c r="AK108" s="334">
        <f t="shared" si="40"/>
        <v>0</v>
      </c>
      <c r="AL108" s="334">
        <f t="shared" si="40"/>
        <v>1</v>
      </c>
      <c r="AM108" s="334">
        <f t="shared" si="41"/>
        <v>1</v>
      </c>
      <c r="AN108" s="334">
        <f t="shared" si="41"/>
        <v>1</v>
      </c>
    </row>
    <row r="109" spans="2:40" x14ac:dyDescent="0.3">
      <c r="B109" s="107"/>
      <c r="C109" s="107"/>
      <c r="D109" s="107"/>
      <c r="E109" s="107"/>
      <c r="G109" s="228" t="s">
        <v>373</v>
      </c>
      <c r="H109" s="338"/>
      <c r="I109" s="338"/>
      <c r="J109" s="338"/>
      <c r="K109" s="338"/>
      <c r="L109" s="336">
        <v>6.4636339999999997E-7</v>
      </c>
      <c r="M109" s="339">
        <v>1</v>
      </c>
      <c r="N109" s="336">
        <v>2.9755809999999999E-4</v>
      </c>
      <c r="O109" s="334">
        <v>1</v>
      </c>
      <c r="P109" s="334">
        <v>1</v>
      </c>
      <c r="Q109" s="340">
        <v>0.36176799999999998</v>
      </c>
      <c r="R109" s="107"/>
      <c r="S109" s="228" t="s">
        <v>373</v>
      </c>
      <c r="T109" s="338"/>
      <c r="U109" s="338"/>
      <c r="V109" s="338"/>
      <c r="W109" s="338"/>
      <c r="X109" s="334" t="str">
        <f t="shared" ref="X109:AC109" si="46">IF(L109&gt;$E$5,"No","Yes")</f>
        <v>Yes</v>
      </c>
      <c r="Y109" s="334" t="str">
        <f t="shared" si="46"/>
        <v>No</v>
      </c>
      <c r="Z109" s="334" t="str">
        <f t="shared" si="46"/>
        <v>Yes</v>
      </c>
      <c r="AA109" s="334" t="str">
        <f t="shared" si="46"/>
        <v>No</v>
      </c>
      <c r="AB109" s="334" t="str">
        <f t="shared" si="46"/>
        <v>No</v>
      </c>
      <c r="AC109" s="334" t="str">
        <f t="shared" si="46"/>
        <v>No</v>
      </c>
      <c r="AE109" s="338">
        <f t="shared" si="43"/>
        <v>0</v>
      </c>
      <c r="AF109" s="338">
        <f t="shared" si="40"/>
        <v>0</v>
      </c>
      <c r="AG109" s="338">
        <f t="shared" si="40"/>
        <v>0</v>
      </c>
      <c r="AH109" s="338">
        <f t="shared" si="40"/>
        <v>0</v>
      </c>
      <c r="AI109" s="334">
        <f t="shared" si="40"/>
        <v>1</v>
      </c>
      <c r="AJ109" s="334">
        <f t="shared" si="40"/>
        <v>0</v>
      </c>
      <c r="AK109" s="334">
        <f t="shared" si="40"/>
        <v>1</v>
      </c>
      <c r="AL109" s="334">
        <f t="shared" si="40"/>
        <v>0</v>
      </c>
      <c r="AM109" s="334">
        <f t="shared" si="41"/>
        <v>0</v>
      </c>
      <c r="AN109" s="334">
        <f t="shared" si="41"/>
        <v>0</v>
      </c>
    </row>
    <row r="110" spans="2:40" ht="15.6" x14ac:dyDescent="0.35">
      <c r="B110" s="107" t="s">
        <v>841</v>
      </c>
      <c r="C110" s="107"/>
      <c r="D110" s="107"/>
      <c r="E110" s="107"/>
      <c r="G110" s="228" t="s">
        <v>378</v>
      </c>
      <c r="H110" s="338"/>
      <c r="I110" s="338"/>
      <c r="J110" s="338"/>
      <c r="K110" s="338"/>
      <c r="L110" s="338"/>
      <c r="M110" s="336">
        <v>3.3583800000000001E-8</v>
      </c>
      <c r="N110" s="339">
        <v>1</v>
      </c>
      <c r="O110" s="336">
        <v>4.1307000000000002E-3</v>
      </c>
      <c r="P110" s="336">
        <v>1.056526E-13</v>
      </c>
      <c r="Q110" s="340">
        <v>0.15557099999999999</v>
      </c>
      <c r="R110" s="107"/>
      <c r="S110" s="228" t="s">
        <v>378</v>
      </c>
      <c r="T110" s="338"/>
      <c r="U110" s="338"/>
      <c r="V110" s="338"/>
      <c r="W110" s="338"/>
      <c r="X110" s="338"/>
      <c r="Y110" s="334" t="str">
        <f>IF(M110&gt;$E$5,"No","Yes")</f>
        <v>Yes</v>
      </c>
      <c r="Z110" s="334" t="str">
        <f>IF(N110&gt;$E$5,"No","Yes")</f>
        <v>No</v>
      </c>
      <c r="AA110" s="334" t="str">
        <f>IF(O110&gt;$E$5,"No","Yes")</f>
        <v>Yes</v>
      </c>
      <c r="AB110" s="334" t="str">
        <f>IF(P110&gt;$E$5,"No","Yes")</f>
        <v>Yes</v>
      </c>
      <c r="AC110" s="334" t="str">
        <f>IF(Q110&gt;$E$5,"No","Yes")</f>
        <v>No</v>
      </c>
      <c r="AE110" s="338">
        <f t="shared" si="43"/>
        <v>0</v>
      </c>
      <c r="AF110" s="338">
        <f t="shared" si="40"/>
        <v>0</v>
      </c>
      <c r="AG110" s="338">
        <f t="shared" si="40"/>
        <v>0</v>
      </c>
      <c r="AH110" s="338">
        <f t="shared" si="40"/>
        <v>0</v>
      </c>
      <c r="AI110" s="338">
        <f t="shared" si="40"/>
        <v>0</v>
      </c>
      <c r="AJ110" s="334">
        <f t="shared" si="40"/>
        <v>1</v>
      </c>
      <c r="AK110" s="334">
        <f t="shared" si="40"/>
        <v>0</v>
      </c>
      <c r="AL110" s="334">
        <f t="shared" si="40"/>
        <v>1</v>
      </c>
      <c r="AM110" s="334">
        <f t="shared" si="41"/>
        <v>1</v>
      </c>
      <c r="AN110" s="334">
        <f t="shared" si="41"/>
        <v>0</v>
      </c>
    </row>
    <row r="111" spans="2:40" x14ac:dyDescent="0.3">
      <c r="B111" s="107" t="s">
        <v>842</v>
      </c>
      <c r="C111" s="107"/>
      <c r="D111" s="107"/>
      <c r="E111" s="107"/>
      <c r="G111" s="228" t="s">
        <v>380</v>
      </c>
      <c r="H111" s="338"/>
      <c r="I111" s="338"/>
      <c r="J111" s="338"/>
      <c r="K111" s="338"/>
      <c r="L111" s="338"/>
      <c r="M111" s="338"/>
      <c r="N111" s="336">
        <v>2.6612679999999999E-5</v>
      </c>
      <c r="O111" s="339">
        <v>1</v>
      </c>
      <c r="P111" s="334">
        <v>1</v>
      </c>
      <c r="Q111" s="340">
        <v>7.5092000000000006E-2</v>
      </c>
      <c r="R111" s="107"/>
      <c r="S111" s="228" t="s">
        <v>380</v>
      </c>
      <c r="T111" s="338"/>
      <c r="U111" s="338"/>
      <c r="V111" s="338"/>
      <c r="W111" s="338"/>
      <c r="X111" s="338"/>
      <c r="Y111" s="338"/>
      <c r="Z111" s="334" t="str">
        <f>IF(N111&gt;$E$5,"No","Yes")</f>
        <v>Yes</v>
      </c>
      <c r="AA111" s="334" t="str">
        <f>IF(O111&gt;$E$5,"No","Yes")</f>
        <v>No</v>
      </c>
      <c r="AB111" s="334" t="str">
        <f>IF(P111&gt;$E$5,"No","Yes")</f>
        <v>No</v>
      </c>
      <c r="AC111" s="334" t="str">
        <f>IF(Q111&gt;$E$5,"No","Yes")</f>
        <v>No</v>
      </c>
      <c r="AE111" s="338">
        <f t="shared" si="43"/>
        <v>0</v>
      </c>
      <c r="AF111" s="338">
        <f t="shared" si="40"/>
        <v>0</v>
      </c>
      <c r="AG111" s="338">
        <f t="shared" si="40"/>
        <v>0</v>
      </c>
      <c r="AH111" s="338">
        <f t="shared" si="40"/>
        <v>0</v>
      </c>
      <c r="AI111" s="338">
        <f t="shared" si="40"/>
        <v>0</v>
      </c>
      <c r="AJ111" s="338">
        <f t="shared" si="40"/>
        <v>0</v>
      </c>
      <c r="AK111" s="334">
        <f t="shared" si="40"/>
        <v>1</v>
      </c>
      <c r="AL111" s="334">
        <f t="shared" si="40"/>
        <v>0</v>
      </c>
      <c r="AM111" s="334">
        <f t="shared" si="41"/>
        <v>0</v>
      </c>
      <c r="AN111" s="334">
        <f t="shared" si="41"/>
        <v>0</v>
      </c>
    </row>
    <row r="112" spans="2:40" x14ac:dyDescent="0.3">
      <c r="B112" s="107" t="s">
        <v>843</v>
      </c>
      <c r="C112" s="107"/>
      <c r="D112" s="107"/>
      <c r="E112" s="107"/>
      <c r="G112" s="228" t="s">
        <v>382</v>
      </c>
      <c r="H112" s="338"/>
      <c r="I112" s="338"/>
      <c r="J112" s="338"/>
      <c r="K112" s="338"/>
      <c r="L112" s="338"/>
      <c r="M112" s="338"/>
      <c r="N112" s="338"/>
      <c r="O112" s="340">
        <v>0.2772172</v>
      </c>
      <c r="P112" s="336">
        <v>6.1128479999999996E-10</v>
      </c>
      <c r="Q112" s="334">
        <v>1</v>
      </c>
      <c r="R112" s="107"/>
      <c r="S112" s="228" t="s">
        <v>382</v>
      </c>
      <c r="T112" s="338"/>
      <c r="U112" s="338"/>
      <c r="V112" s="338"/>
      <c r="W112" s="338"/>
      <c r="X112" s="338"/>
      <c r="Y112" s="338"/>
      <c r="Z112" s="338"/>
      <c r="AA112" s="334" t="str">
        <f>IF(O112&gt;$E$5,"No","Yes")</f>
        <v>No</v>
      </c>
      <c r="AB112" s="334" t="str">
        <f>IF(P112&gt;$E$5,"No","Yes")</f>
        <v>Yes</v>
      </c>
      <c r="AC112" s="334" t="str">
        <f>IF(Q112&gt;$E$5,"No","Yes")</f>
        <v>No</v>
      </c>
      <c r="AE112" s="338">
        <f t="shared" si="43"/>
        <v>0</v>
      </c>
      <c r="AF112" s="338">
        <f t="shared" si="40"/>
        <v>0</v>
      </c>
      <c r="AG112" s="338">
        <f t="shared" si="40"/>
        <v>0</v>
      </c>
      <c r="AH112" s="338">
        <f t="shared" si="40"/>
        <v>0</v>
      </c>
      <c r="AI112" s="338">
        <f t="shared" si="40"/>
        <v>0</v>
      </c>
      <c r="AJ112" s="338">
        <f t="shared" si="40"/>
        <v>0</v>
      </c>
      <c r="AK112" s="338">
        <f t="shared" si="40"/>
        <v>0</v>
      </c>
      <c r="AL112" s="334">
        <f t="shared" si="40"/>
        <v>0</v>
      </c>
      <c r="AM112" s="334">
        <f t="shared" si="41"/>
        <v>1</v>
      </c>
      <c r="AN112" s="334">
        <f t="shared" si="41"/>
        <v>0</v>
      </c>
    </row>
    <row r="113" spans="2:40" x14ac:dyDescent="0.3">
      <c r="B113" s="107" t="s">
        <v>837</v>
      </c>
      <c r="C113" s="107"/>
      <c r="D113" s="107"/>
      <c r="E113" s="107"/>
      <c r="G113" s="228" t="s">
        <v>453</v>
      </c>
      <c r="H113" s="338"/>
      <c r="I113" s="338"/>
      <c r="J113" s="338"/>
      <c r="K113" s="338"/>
      <c r="L113" s="338"/>
      <c r="M113" s="338"/>
      <c r="N113" s="338"/>
      <c r="O113" s="338"/>
      <c r="P113" s="336">
        <v>3.6828410000000001E-3</v>
      </c>
      <c r="Q113" s="336">
        <v>3.8999999999999999E-5</v>
      </c>
      <c r="R113" s="107"/>
      <c r="S113" s="228" t="s">
        <v>453</v>
      </c>
      <c r="T113" s="338"/>
      <c r="U113" s="338"/>
      <c r="V113" s="338"/>
      <c r="W113" s="338"/>
      <c r="X113" s="338"/>
      <c r="Y113" s="338"/>
      <c r="Z113" s="338"/>
      <c r="AA113" s="338"/>
      <c r="AB113" s="334" t="str">
        <f>IF(P113&gt;$E$5,"No","Yes")</f>
        <v>Yes</v>
      </c>
      <c r="AC113" s="334" t="str">
        <f>IF(Q113&gt;$E$5,"No","Yes")</f>
        <v>Yes</v>
      </c>
      <c r="AE113" s="338">
        <f t="shared" si="43"/>
        <v>0</v>
      </c>
      <c r="AF113" s="338">
        <f t="shared" si="40"/>
        <v>0</v>
      </c>
      <c r="AG113" s="338">
        <f t="shared" si="40"/>
        <v>0</v>
      </c>
      <c r="AH113" s="338">
        <f t="shared" si="40"/>
        <v>0</v>
      </c>
      <c r="AI113" s="338">
        <f t="shared" si="40"/>
        <v>0</v>
      </c>
      <c r="AJ113" s="338">
        <f t="shared" si="40"/>
        <v>0</v>
      </c>
      <c r="AK113" s="338">
        <f t="shared" si="40"/>
        <v>0</v>
      </c>
      <c r="AL113" s="338">
        <f t="shared" si="40"/>
        <v>0</v>
      </c>
      <c r="AM113" s="334">
        <f t="shared" si="41"/>
        <v>1</v>
      </c>
      <c r="AN113" s="334">
        <f t="shared" si="41"/>
        <v>1</v>
      </c>
    </row>
    <row r="114" spans="2:40" x14ac:dyDescent="0.3">
      <c r="B114" s="107" t="s">
        <v>844</v>
      </c>
      <c r="C114" s="107"/>
      <c r="D114" s="107"/>
      <c r="E114" s="107"/>
      <c r="G114" s="228" t="s">
        <v>454</v>
      </c>
      <c r="H114" s="338"/>
      <c r="I114" s="338"/>
      <c r="J114" s="338"/>
      <c r="K114" s="338"/>
      <c r="L114" s="338"/>
      <c r="M114" s="338"/>
      <c r="N114" s="338"/>
      <c r="O114" s="338"/>
      <c r="P114" s="338"/>
      <c r="Q114" s="334">
        <v>1</v>
      </c>
      <c r="R114" s="107"/>
      <c r="S114" s="228" t="s">
        <v>454</v>
      </c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4" t="str">
        <f>IF(Q114&gt;$E$5,"No","Yes")</f>
        <v>No</v>
      </c>
      <c r="AE114" s="338">
        <f t="shared" si="43"/>
        <v>0</v>
      </c>
      <c r="AF114" s="338">
        <f t="shared" si="40"/>
        <v>0</v>
      </c>
      <c r="AG114" s="338">
        <f t="shared" si="40"/>
        <v>0</v>
      </c>
      <c r="AH114" s="338">
        <f t="shared" si="40"/>
        <v>0</v>
      </c>
      <c r="AI114" s="338">
        <f t="shared" si="40"/>
        <v>0</v>
      </c>
      <c r="AJ114" s="338">
        <f t="shared" si="40"/>
        <v>0</v>
      </c>
      <c r="AK114" s="338">
        <f t="shared" si="40"/>
        <v>0</v>
      </c>
      <c r="AL114" s="338">
        <f t="shared" si="40"/>
        <v>0</v>
      </c>
      <c r="AM114" s="338">
        <f t="shared" si="41"/>
        <v>0</v>
      </c>
      <c r="AN114" s="334">
        <f t="shared" si="41"/>
        <v>0</v>
      </c>
    </row>
    <row r="115" spans="2:40" x14ac:dyDescent="0.3">
      <c r="B115" s="107" t="s">
        <v>845</v>
      </c>
      <c r="C115" s="107"/>
      <c r="D115" s="107"/>
      <c r="E115" s="107"/>
      <c r="G115" s="228" t="s">
        <v>388</v>
      </c>
      <c r="H115" s="338"/>
      <c r="I115" s="338"/>
      <c r="J115" s="338"/>
      <c r="K115" s="338"/>
      <c r="L115" s="338"/>
      <c r="M115" s="338"/>
      <c r="N115" s="338"/>
      <c r="O115" s="338"/>
      <c r="P115" s="338"/>
      <c r="Q115" s="338"/>
      <c r="R115" s="107"/>
      <c r="S115" s="228" t="s">
        <v>388</v>
      </c>
      <c r="T115" s="338"/>
      <c r="U115" s="338"/>
      <c r="V115" s="338"/>
      <c r="W115" s="338"/>
      <c r="X115" s="338"/>
      <c r="Y115" s="338"/>
      <c r="Z115" s="338"/>
      <c r="AA115" s="338"/>
      <c r="AB115" s="338"/>
      <c r="AC115" s="338"/>
    </row>
    <row r="117" spans="2:40" x14ac:dyDescent="0.3">
      <c r="B117" s="106" t="s">
        <v>846</v>
      </c>
      <c r="C117" s="107"/>
      <c r="D117" s="107"/>
      <c r="E117" s="107"/>
      <c r="G117" s="106" t="s">
        <v>847</v>
      </c>
      <c r="H117" s="107" t="s">
        <v>833</v>
      </c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 t="s">
        <v>848</v>
      </c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</row>
    <row r="118" spans="2:40" ht="15.6" x14ac:dyDescent="0.35">
      <c r="B118" s="119" t="s">
        <v>633</v>
      </c>
      <c r="C118" s="107"/>
      <c r="D118" s="329" t="s">
        <v>849</v>
      </c>
      <c r="E118" s="333">
        <v>2069.91711853368</v>
      </c>
      <c r="G118" s="119" t="s">
        <v>633</v>
      </c>
      <c r="H118" s="107" t="s">
        <v>850</v>
      </c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 t="s">
        <v>851</v>
      </c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</row>
    <row r="119" spans="2:40" x14ac:dyDescent="0.3">
      <c r="B119" s="124" t="s">
        <v>858</v>
      </c>
      <c r="C119" s="107"/>
      <c r="D119" s="107"/>
      <c r="E119" s="116"/>
      <c r="G119" s="124" t="s">
        <v>858</v>
      </c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 t="s">
        <v>852</v>
      </c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</row>
    <row r="120" spans="2:40" ht="15.6" x14ac:dyDescent="0.35">
      <c r="B120" s="107"/>
      <c r="C120" s="107"/>
      <c r="D120" s="329" t="s">
        <v>330</v>
      </c>
      <c r="E120" s="334">
        <v>0.05</v>
      </c>
      <c r="G120" s="329" t="s">
        <v>334</v>
      </c>
      <c r="H120" s="228">
        <v>1988</v>
      </c>
      <c r="I120" s="228" t="s">
        <v>369</v>
      </c>
      <c r="J120" s="228" t="s">
        <v>371</v>
      </c>
      <c r="K120" s="228" t="s">
        <v>373</v>
      </c>
      <c r="L120" s="228" t="s">
        <v>378</v>
      </c>
      <c r="M120" s="228" t="s">
        <v>380</v>
      </c>
      <c r="N120" s="228" t="s">
        <v>382</v>
      </c>
      <c r="O120" s="228" t="s">
        <v>453</v>
      </c>
      <c r="P120" s="228" t="s">
        <v>454</v>
      </c>
      <c r="Q120" s="228" t="s">
        <v>388</v>
      </c>
      <c r="R120" s="107"/>
      <c r="S120" s="335" t="s">
        <v>840</v>
      </c>
      <c r="T120" s="228">
        <v>1988</v>
      </c>
      <c r="U120" s="228" t="s">
        <v>369</v>
      </c>
      <c r="V120" s="228" t="s">
        <v>371</v>
      </c>
      <c r="W120" s="228" t="s">
        <v>373</v>
      </c>
      <c r="X120" s="228" t="s">
        <v>378</v>
      </c>
      <c r="Y120" s="228" t="s">
        <v>380</v>
      </c>
      <c r="Z120" s="228" t="s">
        <v>382</v>
      </c>
      <c r="AA120" s="228" t="s">
        <v>453</v>
      </c>
      <c r="AB120" s="228" t="s">
        <v>454</v>
      </c>
      <c r="AC120" s="228" t="s">
        <v>388</v>
      </c>
    </row>
    <row r="121" spans="2:40" x14ac:dyDescent="0.3">
      <c r="B121" s="107"/>
      <c r="C121" s="107"/>
      <c r="D121" s="107"/>
      <c r="E121" s="107"/>
      <c r="G121" s="228">
        <v>1977</v>
      </c>
      <c r="H121" s="345">
        <v>0</v>
      </c>
      <c r="I121" s="345">
        <v>0</v>
      </c>
      <c r="J121" s="345">
        <v>0</v>
      </c>
      <c r="K121" s="345">
        <v>0</v>
      </c>
      <c r="L121" s="345">
        <v>0</v>
      </c>
      <c r="M121" s="345">
        <v>0</v>
      </c>
      <c r="N121" s="345">
        <v>0</v>
      </c>
      <c r="O121" s="345">
        <v>0</v>
      </c>
      <c r="P121" s="345">
        <v>0</v>
      </c>
      <c r="Q121" s="345">
        <v>0</v>
      </c>
      <c r="R121" s="107"/>
      <c r="S121" s="228">
        <v>1977</v>
      </c>
      <c r="T121" s="334" t="str">
        <f t="shared" ref="T121:AC121" si="47">IF(H121&gt;$E$5,"No","Yes")</f>
        <v>Yes</v>
      </c>
      <c r="U121" s="334" t="str">
        <f t="shared" si="47"/>
        <v>Yes</v>
      </c>
      <c r="V121" s="334" t="str">
        <f t="shared" si="47"/>
        <v>Yes</v>
      </c>
      <c r="W121" s="334" t="str">
        <f t="shared" si="47"/>
        <v>Yes</v>
      </c>
      <c r="X121" s="334" t="str">
        <f t="shared" si="47"/>
        <v>Yes</v>
      </c>
      <c r="Y121" s="334" t="str">
        <f t="shared" si="47"/>
        <v>Yes</v>
      </c>
      <c r="Z121" s="334" t="str">
        <f t="shared" si="47"/>
        <v>Yes</v>
      </c>
      <c r="AA121" s="334" t="str">
        <f t="shared" si="47"/>
        <v>Yes</v>
      </c>
      <c r="AB121" s="334" t="str">
        <f t="shared" si="47"/>
        <v>Yes</v>
      </c>
      <c r="AC121" s="334" t="str">
        <f t="shared" si="47"/>
        <v>Yes</v>
      </c>
    </row>
    <row r="122" spans="2:40" x14ac:dyDescent="0.3">
      <c r="B122" s="107"/>
      <c r="C122" s="107"/>
      <c r="D122" s="329" t="s">
        <v>334</v>
      </c>
      <c r="E122" s="337">
        <v>5.0373589972363001E-203</v>
      </c>
      <c r="G122" s="228">
        <v>1988</v>
      </c>
      <c r="H122" s="338"/>
      <c r="I122" s="345">
        <v>0</v>
      </c>
      <c r="J122" s="345">
        <v>0</v>
      </c>
      <c r="K122" s="345">
        <v>0</v>
      </c>
      <c r="L122" s="345">
        <v>0</v>
      </c>
      <c r="M122" s="345">
        <v>0</v>
      </c>
      <c r="N122" s="345">
        <v>0</v>
      </c>
      <c r="O122" s="345">
        <v>0</v>
      </c>
      <c r="P122" s="345">
        <v>0</v>
      </c>
      <c r="Q122" s="345">
        <v>0</v>
      </c>
      <c r="R122" s="107"/>
      <c r="S122" s="228">
        <v>1988</v>
      </c>
      <c r="T122" s="338"/>
      <c r="U122" s="334" t="str">
        <f t="shared" ref="U122:AC122" si="48">IF(I122&gt;$E$5,"No","Yes")</f>
        <v>Yes</v>
      </c>
      <c r="V122" s="334" t="str">
        <f t="shared" si="48"/>
        <v>Yes</v>
      </c>
      <c r="W122" s="334" t="str">
        <f t="shared" si="48"/>
        <v>Yes</v>
      </c>
      <c r="X122" s="334" t="str">
        <f t="shared" si="48"/>
        <v>Yes</v>
      </c>
      <c r="Y122" s="334" t="str">
        <f t="shared" si="48"/>
        <v>Yes</v>
      </c>
      <c r="Z122" s="334" t="str">
        <f t="shared" si="48"/>
        <v>Yes</v>
      </c>
      <c r="AA122" s="334" t="str">
        <f t="shared" si="48"/>
        <v>Yes</v>
      </c>
      <c r="AB122" s="334" t="str">
        <f t="shared" si="48"/>
        <v>Yes</v>
      </c>
      <c r="AC122" s="334" t="str">
        <f t="shared" si="48"/>
        <v>Yes</v>
      </c>
    </row>
    <row r="123" spans="2:40" x14ac:dyDescent="0.3">
      <c r="B123" s="107"/>
      <c r="C123" s="107"/>
      <c r="D123" s="107"/>
      <c r="E123" s="107"/>
      <c r="G123" s="228" t="s">
        <v>369</v>
      </c>
      <c r="H123" s="338"/>
      <c r="I123" s="338"/>
      <c r="J123" s="345">
        <v>0</v>
      </c>
      <c r="K123" s="340">
        <v>0.98240000000000005</v>
      </c>
      <c r="L123" s="345">
        <v>0</v>
      </c>
      <c r="M123" s="345">
        <v>0</v>
      </c>
      <c r="N123" s="345">
        <v>0</v>
      </c>
      <c r="O123" s="345">
        <v>0</v>
      </c>
      <c r="P123" s="345">
        <v>0</v>
      </c>
      <c r="Q123" s="345">
        <v>0</v>
      </c>
      <c r="R123" s="107"/>
      <c r="S123" s="228" t="s">
        <v>369</v>
      </c>
      <c r="T123" s="338"/>
      <c r="U123" s="338"/>
      <c r="V123" s="334" t="str">
        <f t="shared" ref="V123:AC123" si="49">IF(J123&gt;$E$5,"No","Yes")</f>
        <v>Yes</v>
      </c>
      <c r="W123" s="334" t="str">
        <f t="shared" si="49"/>
        <v>No</v>
      </c>
      <c r="X123" s="334" t="str">
        <f t="shared" si="49"/>
        <v>Yes</v>
      </c>
      <c r="Y123" s="334" t="str">
        <f t="shared" si="49"/>
        <v>Yes</v>
      </c>
      <c r="Z123" s="334" t="str">
        <f t="shared" si="49"/>
        <v>Yes</v>
      </c>
      <c r="AA123" s="334" t="str">
        <f t="shared" si="49"/>
        <v>Yes</v>
      </c>
      <c r="AB123" s="334" t="str">
        <f t="shared" si="49"/>
        <v>Yes</v>
      </c>
      <c r="AC123" s="334" t="str">
        <f t="shared" si="49"/>
        <v>Yes</v>
      </c>
    </row>
    <row r="124" spans="2:40" ht="15.6" x14ac:dyDescent="0.35">
      <c r="B124" s="107"/>
      <c r="C124" s="107"/>
      <c r="D124" s="329" t="s">
        <v>840</v>
      </c>
      <c r="E124" s="337" t="str">
        <f>IF(E122&gt;E120,"No","Yes")</f>
        <v>Yes</v>
      </c>
      <c r="G124" s="228" t="s">
        <v>371</v>
      </c>
      <c r="H124" s="338"/>
      <c r="I124" s="338"/>
      <c r="J124" s="338"/>
      <c r="K124" s="345">
        <v>0</v>
      </c>
      <c r="L124" s="345">
        <v>0</v>
      </c>
      <c r="M124" s="345">
        <v>0</v>
      </c>
      <c r="N124" s="345">
        <v>0</v>
      </c>
      <c r="O124" s="345">
        <v>0</v>
      </c>
      <c r="P124" s="345">
        <v>0</v>
      </c>
      <c r="Q124" s="345">
        <v>0</v>
      </c>
      <c r="R124" s="107"/>
      <c r="S124" s="228" t="s">
        <v>371</v>
      </c>
      <c r="T124" s="338"/>
      <c r="U124" s="338"/>
      <c r="V124" s="338"/>
      <c r="W124" s="334" t="str">
        <f t="shared" ref="W124:AC124" si="50">IF(K124&gt;$E$5,"No","Yes")</f>
        <v>Yes</v>
      </c>
      <c r="X124" s="334" t="str">
        <f t="shared" si="50"/>
        <v>Yes</v>
      </c>
      <c r="Y124" s="334" t="str">
        <f t="shared" si="50"/>
        <v>Yes</v>
      </c>
      <c r="Z124" s="334" t="str">
        <f t="shared" si="50"/>
        <v>Yes</v>
      </c>
      <c r="AA124" s="334" t="str">
        <f t="shared" si="50"/>
        <v>Yes</v>
      </c>
      <c r="AB124" s="334" t="str">
        <f t="shared" si="50"/>
        <v>Yes</v>
      </c>
      <c r="AC124" s="334" t="str">
        <f t="shared" si="50"/>
        <v>Yes</v>
      </c>
    </row>
    <row r="125" spans="2:40" x14ac:dyDescent="0.3">
      <c r="B125" s="107"/>
      <c r="C125" s="107"/>
      <c r="D125" s="107"/>
      <c r="E125" s="107"/>
      <c r="G125" s="228" t="s">
        <v>373</v>
      </c>
      <c r="H125" s="338"/>
      <c r="I125" s="338"/>
      <c r="J125" s="338"/>
      <c r="K125" s="338"/>
      <c r="L125" s="345">
        <v>0</v>
      </c>
      <c r="M125" s="340">
        <v>0.88980000000000004</v>
      </c>
      <c r="N125" s="345">
        <v>0</v>
      </c>
      <c r="O125" s="345">
        <v>0</v>
      </c>
      <c r="P125" s="345">
        <v>0</v>
      </c>
      <c r="Q125" s="345">
        <v>0</v>
      </c>
      <c r="R125" s="107"/>
      <c r="S125" s="228" t="s">
        <v>373</v>
      </c>
      <c r="T125" s="338"/>
      <c r="U125" s="338"/>
      <c r="V125" s="338"/>
      <c r="W125" s="338"/>
      <c r="X125" s="334" t="str">
        <f t="shared" ref="X125:AC125" si="51">IF(L125&gt;$E$5,"No","Yes")</f>
        <v>Yes</v>
      </c>
      <c r="Y125" s="334" t="str">
        <f t="shared" si="51"/>
        <v>No</v>
      </c>
      <c r="Z125" s="334" t="str">
        <f t="shared" si="51"/>
        <v>Yes</v>
      </c>
      <c r="AA125" s="334" t="str">
        <f t="shared" si="51"/>
        <v>Yes</v>
      </c>
      <c r="AB125" s="334" t="str">
        <f t="shared" si="51"/>
        <v>Yes</v>
      </c>
      <c r="AC125" s="334" t="str">
        <f t="shared" si="51"/>
        <v>Yes</v>
      </c>
    </row>
    <row r="126" spans="2:40" ht="15.6" x14ac:dyDescent="0.35">
      <c r="B126" s="107" t="s">
        <v>853</v>
      </c>
      <c r="C126" s="107"/>
      <c r="D126" s="107"/>
      <c r="E126" s="107"/>
      <c r="G126" s="228" t="s">
        <v>378</v>
      </c>
      <c r="H126" s="338"/>
      <c r="I126" s="338"/>
      <c r="J126" s="338"/>
      <c r="K126" s="338"/>
      <c r="L126" s="338"/>
      <c r="M126" s="345">
        <v>0</v>
      </c>
      <c r="N126" s="345">
        <v>0</v>
      </c>
      <c r="O126" s="345">
        <v>0</v>
      </c>
      <c r="P126" s="345">
        <v>0</v>
      </c>
      <c r="Q126" s="345">
        <v>0</v>
      </c>
      <c r="R126" s="107"/>
      <c r="S126" s="228" t="s">
        <v>378</v>
      </c>
      <c r="T126" s="338"/>
      <c r="U126" s="338"/>
      <c r="V126" s="338"/>
      <c r="W126" s="338"/>
      <c r="X126" s="338"/>
      <c r="Y126" s="334" t="str">
        <f>IF(M126&gt;$E$5,"No","Yes")</f>
        <v>Yes</v>
      </c>
      <c r="Z126" s="334" t="str">
        <f>IF(N126&gt;$E$5,"No","Yes")</f>
        <v>Yes</v>
      </c>
      <c r="AA126" s="334" t="str">
        <f>IF(O126&gt;$E$5,"No","Yes")</f>
        <v>Yes</v>
      </c>
      <c r="AB126" s="334" t="str">
        <f>IF(P126&gt;$E$5,"No","Yes")</f>
        <v>Yes</v>
      </c>
      <c r="AC126" s="334" t="str">
        <f>IF(Q126&gt;$E$5,"No","Yes")</f>
        <v>Yes</v>
      </c>
    </row>
    <row r="127" spans="2:40" x14ac:dyDescent="0.3">
      <c r="B127" s="107" t="s">
        <v>842</v>
      </c>
      <c r="C127" s="107"/>
      <c r="D127" s="107"/>
      <c r="E127" s="107"/>
      <c r="G127" s="228" t="s">
        <v>380</v>
      </c>
      <c r="H127" s="338"/>
      <c r="I127" s="338"/>
      <c r="J127" s="338"/>
      <c r="K127" s="338"/>
      <c r="L127" s="338"/>
      <c r="M127" s="338"/>
      <c r="N127" s="345">
        <v>0</v>
      </c>
      <c r="O127" s="345">
        <v>0</v>
      </c>
      <c r="P127" s="345">
        <v>0</v>
      </c>
      <c r="Q127" s="345">
        <v>0</v>
      </c>
      <c r="R127" s="107"/>
      <c r="S127" s="228" t="s">
        <v>380</v>
      </c>
      <c r="T127" s="338"/>
      <c r="U127" s="338"/>
      <c r="V127" s="338"/>
      <c r="W127" s="338"/>
      <c r="X127" s="338"/>
      <c r="Y127" s="338"/>
      <c r="Z127" s="334" t="str">
        <f>IF(N127&gt;$E$5,"No","Yes")</f>
        <v>Yes</v>
      </c>
      <c r="AA127" s="334" t="str">
        <f>IF(O127&gt;$E$5,"No","Yes")</f>
        <v>Yes</v>
      </c>
      <c r="AB127" s="334" t="str">
        <f>IF(P127&gt;$E$5,"No","Yes")</f>
        <v>Yes</v>
      </c>
      <c r="AC127" s="334" t="str">
        <f>IF(Q127&gt;$E$5,"No","Yes")</f>
        <v>Yes</v>
      </c>
    </row>
    <row r="128" spans="2:40" x14ac:dyDescent="0.3">
      <c r="B128" s="107" t="s">
        <v>843</v>
      </c>
      <c r="C128" s="107"/>
      <c r="D128" s="107"/>
      <c r="E128" s="107"/>
      <c r="G128" s="228" t="s">
        <v>382</v>
      </c>
      <c r="H128" s="338"/>
      <c r="I128" s="338"/>
      <c r="J128" s="338"/>
      <c r="K128" s="338"/>
      <c r="L128" s="338"/>
      <c r="M128" s="338"/>
      <c r="N128" s="338"/>
      <c r="O128" s="345">
        <v>0</v>
      </c>
      <c r="P128" s="345">
        <v>0</v>
      </c>
      <c r="Q128" s="345">
        <v>0</v>
      </c>
      <c r="R128" s="107"/>
      <c r="S128" s="228" t="s">
        <v>382</v>
      </c>
      <c r="T128" s="338"/>
      <c r="U128" s="338"/>
      <c r="V128" s="338"/>
      <c r="W128" s="338"/>
      <c r="X128" s="338"/>
      <c r="Y128" s="338"/>
      <c r="Z128" s="338"/>
      <c r="AA128" s="334" t="str">
        <f>IF(O128&gt;$E$5,"No","Yes")</f>
        <v>Yes</v>
      </c>
      <c r="AB128" s="334" t="str">
        <f>IF(P128&gt;$E$5,"No","Yes")</f>
        <v>Yes</v>
      </c>
      <c r="AC128" s="334" t="str">
        <f>IF(Q128&gt;$E$5,"No","Yes")</f>
        <v>Yes</v>
      </c>
    </row>
    <row r="129" spans="2:40" x14ac:dyDescent="0.3">
      <c r="B129" s="107" t="s">
        <v>854</v>
      </c>
      <c r="C129" s="107"/>
      <c r="D129" s="107"/>
      <c r="E129" s="107"/>
      <c r="G129" s="228" t="s">
        <v>453</v>
      </c>
      <c r="H129" s="338"/>
      <c r="I129" s="338"/>
      <c r="J129" s="338"/>
      <c r="K129" s="338"/>
      <c r="L129" s="338"/>
      <c r="M129" s="338"/>
      <c r="N129" s="338"/>
      <c r="O129" s="338"/>
      <c r="P129" s="345">
        <v>0</v>
      </c>
      <c r="Q129" s="345">
        <v>0</v>
      </c>
      <c r="R129" s="107"/>
      <c r="S129" s="228" t="s">
        <v>453</v>
      </c>
      <c r="T129" s="338"/>
      <c r="U129" s="338"/>
      <c r="V129" s="338"/>
      <c r="W129" s="338"/>
      <c r="X129" s="338"/>
      <c r="Y129" s="338"/>
      <c r="Z129" s="338"/>
      <c r="AA129" s="338"/>
      <c r="AB129" s="334" t="str">
        <f>IF(P129&gt;$E$5,"No","Yes")</f>
        <v>Yes</v>
      </c>
      <c r="AC129" s="334" t="str">
        <f>IF(Q129&gt;$E$5,"No","Yes")</f>
        <v>Yes</v>
      </c>
    </row>
    <row r="130" spans="2:40" x14ac:dyDescent="0.3">
      <c r="B130" s="107" t="s">
        <v>855</v>
      </c>
      <c r="C130" s="107"/>
      <c r="D130" s="107"/>
      <c r="E130" s="107"/>
      <c r="G130" s="228" t="s">
        <v>454</v>
      </c>
      <c r="H130" s="338"/>
      <c r="I130" s="338"/>
      <c r="J130" s="338"/>
      <c r="K130" s="338"/>
      <c r="L130" s="338"/>
      <c r="M130" s="338"/>
      <c r="N130" s="338"/>
      <c r="O130" s="338"/>
      <c r="P130" s="338"/>
      <c r="Q130" s="345">
        <v>0</v>
      </c>
      <c r="R130" s="107"/>
      <c r="S130" s="228" t="s">
        <v>454</v>
      </c>
      <c r="T130" s="338"/>
      <c r="U130" s="338"/>
      <c r="V130" s="338"/>
      <c r="W130" s="338"/>
      <c r="X130" s="338"/>
      <c r="Y130" s="338"/>
      <c r="Z130" s="338"/>
      <c r="AA130" s="338"/>
      <c r="AB130" s="338"/>
      <c r="AC130" s="334" t="str">
        <f>IF(Q130&gt;$E$5,"No","Yes")</f>
        <v>Yes</v>
      </c>
    </row>
    <row r="131" spans="2:40" x14ac:dyDescent="0.3">
      <c r="B131" s="107"/>
      <c r="C131" s="107"/>
      <c r="D131" s="107"/>
      <c r="E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</row>
    <row r="132" spans="2:40" x14ac:dyDescent="0.3"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</row>
    <row r="134" spans="2:40" x14ac:dyDescent="0.3">
      <c r="B134" s="106" t="s">
        <v>831</v>
      </c>
      <c r="C134" s="107"/>
      <c r="D134" s="107"/>
      <c r="E134" s="107"/>
      <c r="G134" s="106" t="s">
        <v>832</v>
      </c>
      <c r="H134" s="107" t="s">
        <v>833</v>
      </c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 t="s">
        <v>834</v>
      </c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</row>
    <row r="135" spans="2:40" ht="15.6" x14ac:dyDescent="0.35">
      <c r="B135" s="119" t="s">
        <v>633</v>
      </c>
      <c r="C135" s="107"/>
      <c r="D135" s="329" t="s">
        <v>835</v>
      </c>
      <c r="E135" s="333">
        <v>210.945561497326</v>
      </c>
      <c r="G135" s="119" t="s">
        <v>633</v>
      </c>
      <c r="H135" s="107" t="s">
        <v>836</v>
      </c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 t="s">
        <v>837</v>
      </c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</row>
    <row r="136" spans="2:40" x14ac:dyDescent="0.3">
      <c r="B136" s="123" t="s">
        <v>859</v>
      </c>
      <c r="C136" s="107"/>
      <c r="D136" s="107"/>
      <c r="E136" s="116"/>
      <c r="G136" s="123" t="s">
        <v>859</v>
      </c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 t="s">
        <v>839</v>
      </c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</row>
    <row r="137" spans="2:40" ht="15.6" x14ac:dyDescent="0.35">
      <c r="B137" s="107"/>
      <c r="C137" s="107"/>
      <c r="D137" s="329" t="s">
        <v>330</v>
      </c>
      <c r="E137" s="334">
        <v>0.05</v>
      </c>
      <c r="G137" s="329" t="s">
        <v>334</v>
      </c>
      <c r="H137" s="228">
        <v>1988</v>
      </c>
      <c r="I137" s="228" t="s">
        <v>369</v>
      </c>
      <c r="J137" s="228" t="s">
        <v>371</v>
      </c>
      <c r="K137" s="228" t="s">
        <v>373</v>
      </c>
      <c r="L137" s="228" t="s">
        <v>378</v>
      </c>
      <c r="M137" s="228" t="s">
        <v>380</v>
      </c>
      <c r="N137" s="228" t="s">
        <v>382</v>
      </c>
      <c r="O137" s="228" t="s">
        <v>453</v>
      </c>
      <c r="P137" s="228" t="s">
        <v>454</v>
      </c>
      <c r="Q137" s="228" t="s">
        <v>388</v>
      </c>
      <c r="R137" s="107"/>
      <c r="S137" s="335" t="s">
        <v>840</v>
      </c>
      <c r="T137" s="228">
        <v>1988</v>
      </c>
      <c r="U137" s="228" t="s">
        <v>369</v>
      </c>
      <c r="V137" s="228" t="s">
        <v>371</v>
      </c>
      <c r="W137" s="228" t="s">
        <v>373</v>
      </c>
      <c r="X137" s="228" t="s">
        <v>378</v>
      </c>
      <c r="Y137" s="228" t="s">
        <v>380</v>
      </c>
      <c r="Z137" s="228" t="s">
        <v>382</v>
      </c>
      <c r="AA137" s="228" t="s">
        <v>453</v>
      </c>
      <c r="AB137" s="228" t="s">
        <v>454</v>
      </c>
      <c r="AC137" s="228" t="s">
        <v>388</v>
      </c>
    </row>
    <row r="138" spans="2:40" x14ac:dyDescent="0.3">
      <c r="B138" s="107"/>
      <c r="C138" s="107"/>
      <c r="D138" s="107"/>
      <c r="E138" s="107"/>
      <c r="G138" s="228">
        <v>1977</v>
      </c>
      <c r="H138" s="339">
        <v>1</v>
      </c>
      <c r="I138" s="339">
        <v>1</v>
      </c>
      <c r="J138" s="339">
        <v>1</v>
      </c>
      <c r="K138" s="336">
        <v>1.387E-3</v>
      </c>
      <c r="L138" s="336">
        <v>6.6280809999999996E-16</v>
      </c>
      <c r="M138" s="336">
        <v>1.4449549999999999E-8</v>
      </c>
      <c r="N138" s="336">
        <v>2.236754E-12</v>
      </c>
      <c r="O138" s="336">
        <v>1.387E-3</v>
      </c>
      <c r="P138" s="336">
        <v>1.6698760000000001E-6</v>
      </c>
      <c r="Q138" s="334">
        <v>0.50423969999999996</v>
      </c>
      <c r="R138" s="107"/>
      <c r="S138" s="228">
        <v>1977</v>
      </c>
      <c r="T138" s="334" t="str">
        <f t="shared" ref="T138:AC138" si="52">IF(H138&gt;$E$5,"No","Yes")</f>
        <v>No</v>
      </c>
      <c r="U138" s="334" t="str">
        <f t="shared" si="52"/>
        <v>No</v>
      </c>
      <c r="V138" s="334" t="str">
        <f t="shared" si="52"/>
        <v>No</v>
      </c>
      <c r="W138" s="334" t="str">
        <f t="shared" si="52"/>
        <v>Yes</v>
      </c>
      <c r="X138" s="334" t="str">
        <f t="shared" si="52"/>
        <v>Yes</v>
      </c>
      <c r="Y138" s="334" t="str">
        <f t="shared" si="52"/>
        <v>Yes</v>
      </c>
      <c r="Z138" s="334" t="str">
        <f t="shared" si="52"/>
        <v>Yes</v>
      </c>
      <c r="AA138" s="334" t="str">
        <f t="shared" si="52"/>
        <v>Yes</v>
      </c>
      <c r="AB138" s="334" t="str">
        <f t="shared" si="52"/>
        <v>Yes</v>
      </c>
      <c r="AC138" s="334" t="str">
        <f t="shared" si="52"/>
        <v>No</v>
      </c>
      <c r="AE138" s="334">
        <f>IF(T138="Yes",1,0)</f>
        <v>0</v>
      </c>
      <c r="AF138" s="334">
        <f t="shared" ref="AF138:AL147" si="53">IF(U138="Yes",1,0)</f>
        <v>0</v>
      </c>
      <c r="AG138" s="334">
        <f t="shared" si="53"/>
        <v>0</v>
      </c>
      <c r="AH138" s="334">
        <f t="shared" si="53"/>
        <v>1</v>
      </c>
      <c r="AI138" s="334">
        <f t="shared" si="53"/>
        <v>1</v>
      </c>
      <c r="AJ138" s="334">
        <f t="shared" si="53"/>
        <v>1</v>
      </c>
      <c r="AK138" s="334">
        <f t="shared" si="53"/>
        <v>1</v>
      </c>
      <c r="AL138" s="334">
        <f>IF(AA138="Yes",1,0)</f>
        <v>1</v>
      </c>
      <c r="AM138" s="334">
        <f t="shared" ref="AM138:AN147" si="54">IF(AB138="Yes",1,0)</f>
        <v>1</v>
      </c>
      <c r="AN138" s="334">
        <f>IF(AC138="Yes",1,0)</f>
        <v>0</v>
      </c>
    </row>
    <row r="139" spans="2:40" x14ac:dyDescent="0.3">
      <c r="B139" s="107"/>
      <c r="C139" s="107"/>
      <c r="D139" s="329" t="s">
        <v>334</v>
      </c>
      <c r="E139" s="337">
        <v>8.3700717084824799E-40</v>
      </c>
      <c r="G139" s="228">
        <v>1988</v>
      </c>
      <c r="H139" s="338"/>
      <c r="I139" s="334">
        <v>1</v>
      </c>
      <c r="J139" s="334">
        <v>0.75017080000000003</v>
      </c>
      <c r="K139" s="336">
        <v>9.9999999999999995E-7</v>
      </c>
      <c r="L139" s="336">
        <v>1.5957980000000001E-21</v>
      </c>
      <c r="M139" s="336">
        <v>7.3150179999999999E-13</v>
      </c>
      <c r="N139" s="336">
        <v>2.093838E-17</v>
      </c>
      <c r="O139" s="336">
        <v>9.9999999999999995E-7</v>
      </c>
      <c r="P139" s="336">
        <v>2.4331310000000002E-10</v>
      </c>
      <c r="Q139" s="336">
        <v>3.6444899999999998E-3</v>
      </c>
      <c r="R139" s="107"/>
      <c r="S139" s="228">
        <v>1988</v>
      </c>
      <c r="T139" s="338"/>
      <c r="U139" s="334" t="str">
        <f t="shared" ref="U139:AC139" si="55">IF(I139&gt;$E$5,"No","Yes")</f>
        <v>No</v>
      </c>
      <c r="V139" s="334" t="str">
        <f t="shared" si="55"/>
        <v>No</v>
      </c>
      <c r="W139" s="334" t="str">
        <f t="shared" si="55"/>
        <v>Yes</v>
      </c>
      <c r="X139" s="334" t="str">
        <f t="shared" si="55"/>
        <v>Yes</v>
      </c>
      <c r="Y139" s="334" t="str">
        <f t="shared" si="55"/>
        <v>Yes</v>
      </c>
      <c r="Z139" s="334" t="str">
        <f t="shared" si="55"/>
        <v>Yes</v>
      </c>
      <c r="AA139" s="334" t="str">
        <f t="shared" si="55"/>
        <v>Yes</v>
      </c>
      <c r="AB139" s="334" t="str">
        <f t="shared" si="55"/>
        <v>Yes</v>
      </c>
      <c r="AC139" s="334" t="str">
        <f t="shared" si="55"/>
        <v>Yes</v>
      </c>
      <c r="AE139" s="338">
        <f t="shared" ref="AE139:AE147" si="56">IF(T139="Yes",1,0)</f>
        <v>0</v>
      </c>
      <c r="AF139" s="334">
        <f t="shared" si="53"/>
        <v>0</v>
      </c>
      <c r="AG139" s="334">
        <f t="shared" si="53"/>
        <v>0</v>
      </c>
      <c r="AH139" s="334">
        <f t="shared" si="53"/>
        <v>1</v>
      </c>
      <c r="AI139" s="334">
        <f t="shared" si="53"/>
        <v>1</v>
      </c>
      <c r="AJ139" s="334">
        <f t="shared" si="53"/>
        <v>1</v>
      </c>
      <c r="AK139" s="334">
        <f t="shared" si="53"/>
        <v>1</v>
      </c>
      <c r="AL139" s="334">
        <f t="shared" si="53"/>
        <v>1</v>
      </c>
      <c r="AM139" s="334">
        <f t="shared" si="54"/>
        <v>1</v>
      </c>
      <c r="AN139" s="334">
        <f t="shared" si="54"/>
        <v>1</v>
      </c>
    </row>
    <row r="140" spans="2:40" x14ac:dyDescent="0.3">
      <c r="B140" s="107"/>
      <c r="C140" s="107"/>
      <c r="D140" s="107"/>
      <c r="E140" s="107"/>
      <c r="G140" s="228" t="s">
        <v>369</v>
      </c>
      <c r="H140" s="338"/>
      <c r="I140" s="338"/>
      <c r="J140" s="334">
        <v>1</v>
      </c>
      <c r="K140" s="334">
        <v>2.7061000000000002E-2</v>
      </c>
      <c r="L140" s="336">
        <v>2.8003799999999999E-13</v>
      </c>
      <c r="M140" s="336">
        <v>1.2381109999999999E-6</v>
      </c>
      <c r="N140" s="336">
        <v>4.6370680000000001E-10</v>
      </c>
      <c r="O140" s="340">
        <v>2.7061000000000002E-2</v>
      </c>
      <c r="P140" s="336">
        <v>8.2380540000000005E-5</v>
      </c>
      <c r="Q140" s="334">
        <v>1</v>
      </c>
      <c r="R140" s="107"/>
      <c r="S140" s="228" t="s">
        <v>369</v>
      </c>
      <c r="T140" s="338"/>
      <c r="U140" s="338"/>
      <c r="V140" s="334" t="str">
        <f t="shared" ref="V140:AC140" si="57">IF(J140&gt;$E$5,"No","Yes")</f>
        <v>No</v>
      </c>
      <c r="W140" s="334" t="str">
        <f t="shared" si="57"/>
        <v>Yes</v>
      </c>
      <c r="X140" s="334" t="str">
        <f t="shared" si="57"/>
        <v>Yes</v>
      </c>
      <c r="Y140" s="334" t="str">
        <f t="shared" si="57"/>
        <v>Yes</v>
      </c>
      <c r="Z140" s="334" t="str">
        <f t="shared" si="57"/>
        <v>Yes</v>
      </c>
      <c r="AA140" s="334" t="str">
        <f t="shared" si="57"/>
        <v>Yes</v>
      </c>
      <c r="AB140" s="334" t="str">
        <f t="shared" si="57"/>
        <v>Yes</v>
      </c>
      <c r="AC140" s="334" t="str">
        <f t="shared" si="57"/>
        <v>No</v>
      </c>
      <c r="AE140" s="338">
        <f t="shared" si="56"/>
        <v>0</v>
      </c>
      <c r="AF140" s="338">
        <f t="shared" si="53"/>
        <v>0</v>
      </c>
      <c r="AG140" s="334">
        <f t="shared" si="53"/>
        <v>0</v>
      </c>
      <c r="AH140" s="334">
        <f t="shared" si="53"/>
        <v>1</v>
      </c>
      <c r="AI140" s="334">
        <f t="shared" si="53"/>
        <v>1</v>
      </c>
      <c r="AJ140" s="334">
        <f t="shared" si="53"/>
        <v>1</v>
      </c>
      <c r="AK140" s="334">
        <f t="shared" si="53"/>
        <v>1</v>
      </c>
      <c r="AL140" s="334">
        <f t="shared" si="53"/>
        <v>1</v>
      </c>
      <c r="AM140" s="334">
        <f t="shared" si="54"/>
        <v>1</v>
      </c>
      <c r="AN140" s="334">
        <f t="shared" si="54"/>
        <v>0</v>
      </c>
    </row>
    <row r="141" spans="2:40" ht="15.6" x14ac:dyDescent="0.35">
      <c r="B141" s="107"/>
      <c r="C141" s="107"/>
      <c r="D141" s="329" t="s">
        <v>840</v>
      </c>
      <c r="E141" s="337" t="str">
        <f>IF(E139&gt;E137,"No","Yes")</f>
        <v>Yes</v>
      </c>
      <c r="G141" s="228" t="s">
        <v>371</v>
      </c>
      <c r="H141" s="338"/>
      <c r="I141" s="338"/>
      <c r="J141" s="338"/>
      <c r="K141" s="334">
        <v>9.6192E-2</v>
      </c>
      <c r="L141" s="336">
        <v>4.4303729999999999E-12</v>
      </c>
      <c r="M141" s="336">
        <v>9.0109670000000004E-6</v>
      </c>
      <c r="N141" s="336">
        <v>5.1867129999999999E-9</v>
      </c>
      <c r="O141" s="334">
        <v>9.6192E-2</v>
      </c>
      <c r="P141" s="336">
        <v>4.585991E-4</v>
      </c>
      <c r="Q141" s="334">
        <v>1</v>
      </c>
      <c r="R141" s="107"/>
      <c r="S141" s="228" t="s">
        <v>371</v>
      </c>
      <c r="T141" s="338"/>
      <c r="U141" s="338"/>
      <c r="V141" s="338"/>
      <c r="W141" s="334" t="str">
        <f t="shared" ref="W141:AC141" si="58">IF(K141&gt;$E$5,"No","Yes")</f>
        <v>No</v>
      </c>
      <c r="X141" s="334" t="str">
        <f t="shared" si="58"/>
        <v>Yes</v>
      </c>
      <c r="Y141" s="334" t="str">
        <f t="shared" si="58"/>
        <v>Yes</v>
      </c>
      <c r="Z141" s="334" t="str">
        <f t="shared" si="58"/>
        <v>Yes</v>
      </c>
      <c r="AA141" s="334" t="str">
        <f t="shared" si="58"/>
        <v>No</v>
      </c>
      <c r="AB141" s="334" t="str">
        <f t="shared" si="58"/>
        <v>Yes</v>
      </c>
      <c r="AC141" s="334" t="str">
        <f t="shared" si="58"/>
        <v>No</v>
      </c>
      <c r="AE141" s="338">
        <f t="shared" si="56"/>
        <v>0</v>
      </c>
      <c r="AF141" s="338">
        <f t="shared" si="53"/>
        <v>0</v>
      </c>
      <c r="AG141" s="338">
        <f t="shared" si="53"/>
        <v>0</v>
      </c>
      <c r="AH141" s="334">
        <f t="shared" si="53"/>
        <v>0</v>
      </c>
      <c r="AI141" s="334">
        <f t="shared" si="53"/>
        <v>1</v>
      </c>
      <c r="AJ141" s="334">
        <f t="shared" si="53"/>
        <v>1</v>
      </c>
      <c r="AK141" s="334">
        <f t="shared" si="53"/>
        <v>1</v>
      </c>
      <c r="AL141" s="334">
        <f t="shared" si="53"/>
        <v>0</v>
      </c>
      <c r="AM141" s="334">
        <f t="shared" si="54"/>
        <v>1</v>
      </c>
      <c r="AN141" s="334">
        <f t="shared" si="54"/>
        <v>0</v>
      </c>
    </row>
    <row r="142" spans="2:40" x14ac:dyDescent="0.3">
      <c r="B142" s="107"/>
      <c r="C142" s="107"/>
      <c r="D142" s="107"/>
      <c r="E142" s="107"/>
      <c r="G142" s="228" t="s">
        <v>373</v>
      </c>
      <c r="H142" s="338"/>
      <c r="I142" s="338"/>
      <c r="J142" s="338"/>
      <c r="K142" s="338"/>
      <c r="L142" s="336">
        <v>7.8521280000000003E-4</v>
      </c>
      <c r="M142" s="336">
        <v>1</v>
      </c>
      <c r="N142" s="340">
        <v>4.5099019999999997E-2</v>
      </c>
      <c r="O142" s="334">
        <v>1</v>
      </c>
      <c r="P142" s="334">
        <v>1</v>
      </c>
      <c r="Q142" s="334">
        <v>1</v>
      </c>
      <c r="R142" s="107"/>
      <c r="S142" s="228" t="s">
        <v>373</v>
      </c>
      <c r="T142" s="338"/>
      <c r="U142" s="338"/>
      <c r="V142" s="338"/>
      <c r="W142" s="338"/>
      <c r="X142" s="334" t="str">
        <f t="shared" ref="X142:AC142" si="59">IF(L142&gt;$E$5,"No","Yes")</f>
        <v>Yes</v>
      </c>
      <c r="Y142" s="334" t="str">
        <f t="shared" si="59"/>
        <v>No</v>
      </c>
      <c r="Z142" s="334" t="str">
        <f t="shared" si="59"/>
        <v>Yes</v>
      </c>
      <c r="AA142" s="334" t="str">
        <f t="shared" si="59"/>
        <v>No</v>
      </c>
      <c r="AB142" s="334" t="str">
        <f t="shared" si="59"/>
        <v>No</v>
      </c>
      <c r="AC142" s="334" t="str">
        <f t="shared" si="59"/>
        <v>No</v>
      </c>
      <c r="AE142" s="338">
        <f t="shared" si="56"/>
        <v>0</v>
      </c>
      <c r="AF142" s="338">
        <f t="shared" si="53"/>
        <v>0</v>
      </c>
      <c r="AG142" s="338">
        <f t="shared" si="53"/>
        <v>0</v>
      </c>
      <c r="AH142" s="338">
        <f t="shared" si="53"/>
        <v>0</v>
      </c>
      <c r="AI142" s="334">
        <f t="shared" si="53"/>
        <v>1</v>
      </c>
      <c r="AJ142" s="334">
        <f t="shared" si="53"/>
        <v>0</v>
      </c>
      <c r="AK142" s="334">
        <f t="shared" si="53"/>
        <v>1</v>
      </c>
      <c r="AL142" s="334">
        <f t="shared" si="53"/>
        <v>0</v>
      </c>
      <c r="AM142" s="334">
        <f t="shared" si="54"/>
        <v>0</v>
      </c>
      <c r="AN142" s="334">
        <f t="shared" si="54"/>
        <v>0</v>
      </c>
    </row>
    <row r="143" spans="2:40" ht="15.6" x14ac:dyDescent="0.35">
      <c r="B143" s="107" t="s">
        <v>841</v>
      </c>
      <c r="C143" s="107"/>
      <c r="D143" s="107"/>
      <c r="E143" s="107"/>
      <c r="G143" s="228" t="s">
        <v>378</v>
      </c>
      <c r="H143" s="338"/>
      <c r="I143" s="338"/>
      <c r="J143" s="338"/>
      <c r="K143" s="338"/>
      <c r="L143" s="338"/>
      <c r="M143" s="334">
        <v>1</v>
      </c>
      <c r="N143" s="334">
        <v>1</v>
      </c>
      <c r="O143" s="336">
        <v>7.85E-4</v>
      </c>
      <c r="P143" s="339">
        <v>0.1422252</v>
      </c>
      <c r="Q143" s="336">
        <v>1.5046529999999999E-7</v>
      </c>
      <c r="R143" s="107"/>
      <c r="S143" s="228" t="s">
        <v>378</v>
      </c>
      <c r="T143" s="338"/>
      <c r="U143" s="338"/>
      <c r="V143" s="338"/>
      <c r="W143" s="338"/>
      <c r="X143" s="338"/>
      <c r="Y143" s="334" t="str">
        <f>IF(M143&gt;$E$5,"No","Yes")</f>
        <v>No</v>
      </c>
      <c r="Z143" s="334" t="str">
        <f>IF(N143&gt;$E$5,"No","Yes")</f>
        <v>No</v>
      </c>
      <c r="AA143" s="334" t="str">
        <f>IF(O143&gt;$E$5,"No","Yes")</f>
        <v>Yes</v>
      </c>
      <c r="AB143" s="334" t="str">
        <f>IF(P143&gt;$E$5,"No","Yes")</f>
        <v>No</v>
      </c>
      <c r="AC143" s="334" t="str">
        <f>IF(Q143&gt;$E$5,"No","Yes")</f>
        <v>Yes</v>
      </c>
      <c r="AE143" s="338">
        <f t="shared" si="56"/>
        <v>0</v>
      </c>
      <c r="AF143" s="338">
        <f t="shared" si="53"/>
        <v>0</v>
      </c>
      <c r="AG143" s="338">
        <f t="shared" si="53"/>
        <v>0</v>
      </c>
      <c r="AH143" s="338">
        <f t="shared" si="53"/>
        <v>0</v>
      </c>
      <c r="AI143" s="338">
        <f t="shared" si="53"/>
        <v>0</v>
      </c>
      <c r="AJ143" s="334">
        <f t="shared" si="53"/>
        <v>0</v>
      </c>
      <c r="AK143" s="334">
        <f t="shared" si="53"/>
        <v>0</v>
      </c>
      <c r="AL143" s="334">
        <f t="shared" si="53"/>
        <v>1</v>
      </c>
      <c r="AM143" s="334">
        <f t="shared" si="54"/>
        <v>0</v>
      </c>
      <c r="AN143" s="334">
        <f t="shared" si="54"/>
        <v>1</v>
      </c>
    </row>
    <row r="144" spans="2:40" x14ac:dyDescent="0.3">
      <c r="B144" s="107" t="s">
        <v>842</v>
      </c>
      <c r="C144" s="107"/>
      <c r="D144" s="107"/>
      <c r="E144" s="107"/>
      <c r="G144" s="228" t="s">
        <v>380</v>
      </c>
      <c r="H144" s="338"/>
      <c r="I144" s="338"/>
      <c r="J144" s="338"/>
      <c r="K144" s="338"/>
      <c r="L144" s="338"/>
      <c r="M144" s="338"/>
      <c r="N144" s="334">
        <v>1</v>
      </c>
      <c r="O144" s="339">
        <v>1</v>
      </c>
      <c r="P144" s="339">
        <v>1</v>
      </c>
      <c r="Q144" s="339">
        <v>1.123854E-2</v>
      </c>
      <c r="R144" s="107"/>
      <c r="S144" s="228" t="s">
        <v>380</v>
      </c>
      <c r="T144" s="338"/>
      <c r="U144" s="338"/>
      <c r="V144" s="338"/>
      <c r="W144" s="338"/>
      <c r="X144" s="338"/>
      <c r="Y144" s="338"/>
      <c r="Z144" s="334" t="str">
        <f>IF(N144&gt;$E$5,"No","Yes")</f>
        <v>No</v>
      </c>
      <c r="AA144" s="334" t="str">
        <f>IF(O144&gt;$E$5,"No","Yes")</f>
        <v>No</v>
      </c>
      <c r="AB144" s="334" t="str">
        <f>IF(P144&gt;$E$5,"No","Yes")</f>
        <v>No</v>
      </c>
      <c r="AC144" s="334" t="str">
        <f>IF(Q144&gt;$E$5,"No","Yes")</f>
        <v>Yes</v>
      </c>
      <c r="AE144" s="338">
        <f t="shared" si="56"/>
        <v>0</v>
      </c>
      <c r="AF144" s="338">
        <f t="shared" si="53"/>
        <v>0</v>
      </c>
      <c r="AG144" s="338">
        <f t="shared" si="53"/>
        <v>0</v>
      </c>
      <c r="AH144" s="338">
        <f t="shared" si="53"/>
        <v>0</v>
      </c>
      <c r="AI144" s="338">
        <f t="shared" si="53"/>
        <v>0</v>
      </c>
      <c r="AJ144" s="338">
        <f t="shared" si="53"/>
        <v>0</v>
      </c>
      <c r="AK144" s="334">
        <f t="shared" si="53"/>
        <v>0</v>
      </c>
      <c r="AL144" s="334">
        <f t="shared" si="53"/>
        <v>0</v>
      </c>
      <c r="AM144" s="334">
        <f t="shared" si="54"/>
        <v>0</v>
      </c>
      <c r="AN144" s="334">
        <f t="shared" si="54"/>
        <v>1</v>
      </c>
    </row>
    <row r="145" spans="2:40" x14ac:dyDescent="0.3">
      <c r="B145" s="107" t="s">
        <v>843</v>
      </c>
      <c r="C145" s="107"/>
      <c r="D145" s="107"/>
      <c r="E145" s="107"/>
      <c r="G145" s="228" t="s">
        <v>382</v>
      </c>
      <c r="H145" s="338"/>
      <c r="I145" s="338"/>
      <c r="J145" s="338"/>
      <c r="K145" s="338"/>
      <c r="L145" s="338"/>
      <c r="M145" s="338"/>
      <c r="N145" s="338"/>
      <c r="O145" s="334">
        <v>4.5099E-2</v>
      </c>
      <c r="P145" s="339">
        <v>1</v>
      </c>
      <c r="Q145" s="336">
        <v>4.0169380000000001E-5</v>
      </c>
      <c r="R145" s="107"/>
      <c r="S145" s="228" t="s">
        <v>382</v>
      </c>
      <c r="T145" s="338"/>
      <c r="U145" s="338"/>
      <c r="V145" s="338"/>
      <c r="W145" s="338"/>
      <c r="X145" s="338"/>
      <c r="Y145" s="338"/>
      <c r="Z145" s="338"/>
      <c r="AA145" s="334" t="str">
        <f>IF(O145&gt;$E$5,"No","Yes")</f>
        <v>Yes</v>
      </c>
      <c r="AB145" s="334" t="str">
        <f>IF(P145&gt;$E$5,"No","Yes")</f>
        <v>No</v>
      </c>
      <c r="AC145" s="334" t="str">
        <f>IF(Q145&gt;$E$5,"No","Yes")</f>
        <v>Yes</v>
      </c>
      <c r="AE145" s="338">
        <f t="shared" si="56"/>
        <v>0</v>
      </c>
      <c r="AF145" s="338">
        <f t="shared" si="53"/>
        <v>0</v>
      </c>
      <c r="AG145" s="338">
        <f t="shared" si="53"/>
        <v>0</v>
      </c>
      <c r="AH145" s="338">
        <f t="shared" si="53"/>
        <v>0</v>
      </c>
      <c r="AI145" s="338">
        <f t="shared" si="53"/>
        <v>0</v>
      </c>
      <c r="AJ145" s="338">
        <f t="shared" si="53"/>
        <v>0</v>
      </c>
      <c r="AK145" s="338">
        <f t="shared" si="53"/>
        <v>0</v>
      </c>
      <c r="AL145" s="334">
        <f t="shared" si="53"/>
        <v>1</v>
      </c>
      <c r="AM145" s="334">
        <f t="shared" si="54"/>
        <v>0</v>
      </c>
      <c r="AN145" s="334">
        <f t="shared" si="54"/>
        <v>1</v>
      </c>
    </row>
    <row r="146" spans="2:40" x14ac:dyDescent="0.3">
      <c r="B146" s="107" t="s">
        <v>837</v>
      </c>
      <c r="C146" s="107"/>
      <c r="D146" s="107"/>
      <c r="E146" s="107"/>
      <c r="G146" s="228" t="s">
        <v>453</v>
      </c>
      <c r="H146" s="338"/>
      <c r="I146" s="338"/>
      <c r="J146" s="338"/>
      <c r="K146" s="338"/>
      <c r="L146" s="338"/>
      <c r="M146" s="338"/>
      <c r="N146" s="338"/>
      <c r="O146" s="338"/>
      <c r="P146" s="334">
        <v>1</v>
      </c>
      <c r="Q146" s="334">
        <v>1</v>
      </c>
      <c r="R146" s="107"/>
      <c r="S146" s="228" t="s">
        <v>453</v>
      </c>
      <c r="T146" s="338"/>
      <c r="U146" s="338"/>
      <c r="V146" s="338"/>
      <c r="W146" s="338"/>
      <c r="X146" s="338"/>
      <c r="Y146" s="338"/>
      <c r="Z146" s="338"/>
      <c r="AA146" s="338"/>
      <c r="AB146" s="334" t="str">
        <f>IF(P146&gt;$E$5,"No","Yes")</f>
        <v>No</v>
      </c>
      <c r="AC146" s="334" t="str">
        <f>IF(Q146&gt;$E$5,"No","Yes")</f>
        <v>No</v>
      </c>
      <c r="AE146" s="338">
        <f t="shared" si="56"/>
        <v>0</v>
      </c>
      <c r="AF146" s="338">
        <f t="shared" si="53"/>
        <v>0</v>
      </c>
      <c r="AG146" s="338">
        <f t="shared" si="53"/>
        <v>0</v>
      </c>
      <c r="AH146" s="338">
        <f t="shared" si="53"/>
        <v>0</v>
      </c>
      <c r="AI146" s="338">
        <f t="shared" si="53"/>
        <v>0</v>
      </c>
      <c r="AJ146" s="338">
        <f t="shared" si="53"/>
        <v>0</v>
      </c>
      <c r="AK146" s="338">
        <f t="shared" si="53"/>
        <v>0</v>
      </c>
      <c r="AL146" s="338">
        <f t="shared" si="53"/>
        <v>0</v>
      </c>
      <c r="AM146" s="334">
        <f t="shared" si="54"/>
        <v>0</v>
      </c>
      <c r="AN146" s="334">
        <f t="shared" si="54"/>
        <v>0</v>
      </c>
    </row>
    <row r="147" spans="2:40" x14ac:dyDescent="0.3">
      <c r="B147" s="107" t="s">
        <v>844</v>
      </c>
      <c r="C147" s="107"/>
      <c r="D147" s="107"/>
      <c r="E147" s="107"/>
      <c r="G147" s="228" t="s">
        <v>454</v>
      </c>
      <c r="H147" s="338"/>
      <c r="I147" s="338"/>
      <c r="J147" s="338"/>
      <c r="K147" s="338"/>
      <c r="L147" s="338"/>
      <c r="M147" s="338"/>
      <c r="N147" s="338"/>
      <c r="O147" s="338"/>
      <c r="P147" s="338"/>
      <c r="Q147" s="340">
        <v>0.18427199999999999</v>
      </c>
      <c r="R147" s="107"/>
      <c r="S147" s="228" t="s">
        <v>454</v>
      </c>
      <c r="T147" s="338"/>
      <c r="U147" s="338"/>
      <c r="V147" s="338"/>
      <c r="W147" s="338"/>
      <c r="X147" s="338"/>
      <c r="Y147" s="338"/>
      <c r="Z147" s="338"/>
      <c r="AA147" s="338"/>
      <c r="AB147" s="338"/>
      <c r="AC147" s="334" t="str">
        <f>IF(Q147&gt;$E$5,"No","Yes")</f>
        <v>No</v>
      </c>
      <c r="AE147" s="338">
        <f t="shared" si="56"/>
        <v>0</v>
      </c>
      <c r="AF147" s="338">
        <f t="shared" si="53"/>
        <v>0</v>
      </c>
      <c r="AG147" s="338">
        <f t="shared" si="53"/>
        <v>0</v>
      </c>
      <c r="AH147" s="338">
        <f t="shared" si="53"/>
        <v>0</v>
      </c>
      <c r="AI147" s="338">
        <f t="shared" si="53"/>
        <v>0</v>
      </c>
      <c r="AJ147" s="338">
        <f t="shared" si="53"/>
        <v>0</v>
      </c>
      <c r="AK147" s="338">
        <f t="shared" si="53"/>
        <v>0</v>
      </c>
      <c r="AL147" s="338">
        <f t="shared" si="53"/>
        <v>0</v>
      </c>
      <c r="AM147" s="338">
        <f t="shared" si="54"/>
        <v>0</v>
      </c>
      <c r="AN147" s="334">
        <f t="shared" si="54"/>
        <v>0</v>
      </c>
    </row>
    <row r="148" spans="2:40" x14ac:dyDescent="0.3">
      <c r="B148" s="107" t="s">
        <v>845</v>
      </c>
      <c r="C148" s="107"/>
      <c r="D148" s="107"/>
      <c r="E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</row>
    <row r="150" spans="2:40" x14ac:dyDescent="0.3">
      <c r="B150" s="106" t="s">
        <v>846</v>
      </c>
      <c r="C150" s="107"/>
      <c r="D150" s="107"/>
      <c r="E150" s="107"/>
      <c r="G150" s="106" t="s">
        <v>847</v>
      </c>
      <c r="H150" s="107" t="s">
        <v>833</v>
      </c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 t="s">
        <v>848</v>
      </c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</row>
    <row r="151" spans="2:40" ht="15.6" x14ac:dyDescent="0.35">
      <c r="B151" s="119" t="s">
        <v>633</v>
      </c>
      <c r="C151" s="107"/>
      <c r="D151" s="329" t="s">
        <v>849</v>
      </c>
      <c r="E151" s="333">
        <v>4636.1013336646402</v>
      </c>
      <c r="G151" s="119" t="s">
        <v>633</v>
      </c>
      <c r="H151" s="107" t="s">
        <v>850</v>
      </c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 t="s">
        <v>851</v>
      </c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</row>
    <row r="152" spans="2:40" x14ac:dyDescent="0.3">
      <c r="B152" s="123" t="s">
        <v>859</v>
      </c>
      <c r="C152" s="107"/>
      <c r="D152" s="107"/>
      <c r="E152" s="116"/>
      <c r="G152" s="123" t="s">
        <v>859</v>
      </c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 t="s">
        <v>852</v>
      </c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</row>
    <row r="153" spans="2:40" ht="15.6" x14ac:dyDescent="0.35">
      <c r="B153" s="107"/>
      <c r="C153" s="107"/>
      <c r="D153" s="329" t="s">
        <v>330</v>
      </c>
      <c r="E153" s="334">
        <v>0.05</v>
      </c>
      <c r="G153" s="329" t="s">
        <v>334</v>
      </c>
      <c r="H153" s="228">
        <v>1988</v>
      </c>
      <c r="I153" s="228" t="s">
        <v>369</v>
      </c>
      <c r="J153" s="228" t="s">
        <v>371</v>
      </c>
      <c r="K153" s="228" t="s">
        <v>373</v>
      </c>
      <c r="L153" s="228" t="s">
        <v>378</v>
      </c>
      <c r="M153" s="228" t="s">
        <v>380</v>
      </c>
      <c r="N153" s="228" t="s">
        <v>382</v>
      </c>
      <c r="O153" s="228" t="s">
        <v>453</v>
      </c>
      <c r="P153" s="228" t="s">
        <v>454</v>
      </c>
      <c r="Q153" s="228" t="s">
        <v>388</v>
      </c>
      <c r="R153" s="107"/>
      <c r="S153" s="335" t="s">
        <v>840</v>
      </c>
      <c r="T153" s="228">
        <v>1988</v>
      </c>
      <c r="U153" s="228" t="s">
        <v>369</v>
      </c>
      <c r="V153" s="228" t="s">
        <v>371</v>
      </c>
      <c r="W153" s="228" t="s">
        <v>373</v>
      </c>
      <c r="X153" s="228" t="s">
        <v>378</v>
      </c>
      <c r="Y153" s="228" t="s">
        <v>380</v>
      </c>
      <c r="Z153" s="228" t="s">
        <v>382</v>
      </c>
      <c r="AA153" s="228" t="s">
        <v>453</v>
      </c>
      <c r="AB153" s="228" t="s">
        <v>454</v>
      </c>
      <c r="AC153" s="228" t="s">
        <v>388</v>
      </c>
    </row>
    <row r="154" spans="2:40" x14ac:dyDescent="0.3">
      <c r="B154" s="107"/>
      <c r="C154" s="107"/>
      <c r="D154" s="107"/>
      <c r="E154" s="107"/>
      <c r="G154" s="228">
        <v>1977</v>
      </c>
      <c r="H154" s="345">
        <v>0</v>
      </c>
      <c r="I154" s="340">
        <v>2.8E-3</v>
      </c>
      <c r="J154" s="345">
        <v>0</v>
      </c>
      <c r="K154" s="345">
        <v>0</v>
      </c>
      <c r="L154" s="345">
        <v>0</v>
      </c>
      <c r="M154" s="345">
        <v>0</v>
      </c>
      <c r="N154" s="345">
        <v>0</v>
      </c>
      <c r="O154" s="345">
        <v>0</v>
      </c>
      <c r="P154" s="345">
        <v>0</v>
      </c>
      <c r="Q154" s="345">
        <v>0</v>
      </c>
      <c r="R154" s="107"/>
      <c r="S154" s="228">
        <v>1977</v>
      </c>
      <c r="T154" s="334" t="str">
        <f t="shared" ref="T154:AC154" si="60">IF(H154&gt;$E$5,"No","Yes")</f>
        <v>Yes</v>
      </c>
      <c r="U154" s="334" t="str">
        <f t="shared" si="60"/>
        <v>Yes</v>
      </c>
      <c r="V154" s="334" t="str">
        <f t="shared" si="60"/>
        <v>Yes</v>
      </c>
      <c r="W154" s="334" t="str">
        <f t="shared" si="60"/>
        <v>Yes</v>
      </c>
      <c r="X154" s="334" t="str">
        <f t="shared" si="60"/>
        <v>Yes</v>
      </c>
      <c r="Y154" s="334" t="str">
        <f t="shared" si="60"/>
        <v>Yes</v>
      </c>
      <c r="Z154" s="334" t="str">
        <f t="shared" si="60"/>
        <v>Yes</v>
      </c>
      <c r="AA154" s="334" t="str">
        <f t="shared" si="60"/>
        <v>Yes</v>
      </c>
      <c r="AB154" s="334" t="str">
        <f t="shared" si="60"/>
        <v>Yes</v>
      </c>
      <c r="AC154" s="334" t="str">
        <f t="shared" si="60"/>
        <v>Yes</v>
      </c>
    </row>
    <row r="155" spans="2:40" x14ac:dyDescent="0.3">
      <c r="B155" s="107"/>
      <c r="C155" s="107"/>
      <c r="D155" s="329" t="s">
        <v>334</v>
      </c>
      <c r="E155" s="337">
        <v>2.33164017979025E-239</v>
      </c>
      <c r="G155" s="228">
        <v>1988</v>
      </c>
      <c r="H155" s="338"/>
      <c r="I155" s="345">
        <v>0</v>
      </c>
      <c r="J155" s="345">
        <v>0</v>
      </c>
      <c r="K155" s="345">
        <v>0</v>
      </c>
      <c r="L155" s="345">
        <v>0</v>
      </c>
      <c r="M155" s="345">
        <v>0</v>
      </c>
      <c r="N155" s="345">
        <v>0</v>
      </c>
      <c r="O155" s="345">
        <v>0</v>
      </c>
      <c r="P155" s="345">
        <v>0</v>
      </c>
      <c r="Q155" s="345">
        <v>0</v>
      </c>
      <c r="R155" s="107"/>
      <c r="S155" s="228">
        <v>1988</v>
      </c>
      <c r="T155" s="338"/>
      <c r="U155" s="334" t="str">
        <f t="shared" ref="U155:AC155" si="61">IF(I155&gt;$E$5,"No","Yes")</f>
        <v>Yes</v>
      </c>
      <c r="V155" s="334" t="str">
        <f t="shared" si="61"/>
        <v>Yes</v>
      </c>
      <c r="W155" s="334" t="str">
        <f t="shared" si="61"/>
        <v>Yes</v>
      </c>
      <c r="X155" s="334" t="str">
        <f t="shared" si="61"/>
        <v>Yes</v>
      </c>
      <c r="Y155" s="334" t="str">
        <f t="shared" si="61"/>
        <v>Yes</v>
      </c>
      <c r="Z155" s="334" t="str">
        <f t="shared" si="61"/>
        <v>Yes</v>
      </c>
      <c r="AA155" s="334" t="str">
        <f t="shared" si="61"/>
        <v>Yes</v>
      </c>
      <c r="AB155" s="334" t="str">
        <f t="shared" si="61"/>
        <v>Yes</v>
      </c>
      <c r="AC155" s="334" t="str">
        <f t="shared" si="61"/>
        <v>Yes</v>
      </c>
    </row>
    <row r="156" spans="2:40" x14ac:dyDescent="0.3">
      <c r="B156" s="107"/>
      <c r="C156" s="107"/>
      <c r="D156" s="107"/>
      <c r="E156" s="107"/>
      <c r="G156" s="228" t="s">
        <v>369</v>
      </c>
      <c r="H156" s="338"/>
      <c r="I156" s="338"/>
      <c r="J156" s="340">
        <v>0.57410000000000005</v>
      </c>
      <c r="K156" s="345">
        <v>0</v>
      </c>
      <c r="L156" s="345">
        <v>0</v>
      </c>
      <c r="M156" s="345">
        <v>0</v>
      </c>
      <c r="N156" s="345">
        <v>0</v>
      </c>
      <c r="O156" s="345">
        <v>0</v>
      </c>
      <c r="P156" s="345">
        <v>0</v>
      </c>
      <c r="Q156" s="345">
        <v>0</v>
      </c>
      <c r="R156" s="107"/>
      <c r="S156" s="228" t="s">
        <v>369</v>
      </c>
      <c r="T156" s="338"/>
      <c r="U156" s="338"/>
      <c r="V156" s="334" t="str">
        <f t="shared" ref="V156:AC156" si="62">IF(J156&gt;$E$5,"No","Yes")</f>
        <v>No</v>
      </c>
      <c r="W156" s="334" t="str">
        <f t="shared" si="62"/>
        <v>Yes</v>
      </c>
      <c r="X156" s="334" t="str">
        <f t="shared" si="62"/>
        <v>Yes</v>
      </c>
      <c r="Y156" s="334" t="str">
        <f t="shared" si="62"/>
        <v>Yes</v>
      </c>
      <c r="Z156" s="334" t="str">
        <f t="shared" si="62"/>
        <v>Yes</v>
      </c>
      <c r="AA156" s="334" t="str">
        <f t="shared" si="62"/>
        <v>Yes</v>
      </c>
      <c r="AB156" s="334" t="str">
        <f t="shared" si="62"/>
        <v>Yes</v>
      </c>
      <c r="AC156" s="334" t="str">
        <f t="shared" si="62"/>
        <v>Yes</v>
      </c>
    </row>
    <row r="157" spans="2:40" ht="15.6" x14ac:dyDescent="0.35">
      <c r="B157" s="107"/>
      <c r="C157" s="107"/>
      <c r="D157" s="329" t="s">
        <v>840</v>
      </c>
      <c r="E157" s="337" t="str">
        <f>IF(E155&gt;E153,"No","Yes")</f>
        <v>Yes</v>
      </c>
      <c r="G157" s="228" t="s">
        <v>371</v>
      </c>
      <c r="H157" s="338"/>
      <c r="I157" s="338"/>
      <c r="J157" s="338"/>
      <c r="K157" s="345">
        <v>0</v>
      </c>
      <c r="L157" s="345">
        <v>0</v>
      </c>
      <c r="M157" s="345">
        <v>0</v>
      </c>
      <c r="N157" s="345">
        <v>0</v>
      </c>
      <c r="O157" s="345">
        <v>0</v>
      </c>
      <c r="P157" s="345">
        <v>0</v>
      </c>
      <c r="Q157" s="345">
        <v>0</v>
      </c>
      <c r="R157" s="107"/>
      <c r="S157" s="228" t="s">
        <v>371</v>
      </c>
      <c r="T157" s="338"/>
      <c r="U157" s="338"/>
      <c r="V157" s="338"/>
      <c r="W157" s="334" t="str">
        <f t="shared" ref="W157:AC157" si="63">IF(K157&gt;$E$5,"No","Yes")</f>
        <v>Yes</v>
      </c>
      <c r="X157" s="334" t="str">
        <f t="shared" si="63"/>
        <v>Yes</v>
      </c>
      <c r="Y157" s="334" t="str">
        <f t="shared" si="63"/>
        <v>Yes</v>
      </c>
      <c r="Z157" s="334" t="str">
        <f t="shared" si="63"/>
        <v>Yes</v>
      </c>
      <c r="AA157" s="334" t="str">
        <f t="shared" si="63"/>
        <v>Yes</v>
      </c>
      <c r="AB157" s="334" t="str">
        <f t="shared" si="63"/>
        <v>Yes</v>
      </c>
      <c r="AC157" s="334" t="str">
        <f t="shared" si="63"/>
        <v>Yes</v>
      </c>
    </row>
    <row r="158" spans="2:40" x14ac:dyDescent="0.3">
      <c r="B158" s="107"/>
      <c r="C158" s="107"/>
      <c r="D158" s="107"/>
      <c r="E158" s="107"/>
      <c r="G158" s="228" t="s">
        <v>373</v>
      </c>
      <c r="H158" s="338"/>
      <c r="I158" s="338"/>
      <c r="J158" s="338"/>
      <c r="K158" s="338"/>
      <c r="L158" s="345">
        <v>0</v>
      </c>
      <c r="M158" s="345">
        <v>0</v>
      </c>
      <c r="N158" s="345">
        <v>0</v>
      </c>
      <c r="O158" s="345">
        <v>1</v>
      </c>
      <c r="P158" s="340">
        <v>3.8999999999999998E-3</v>
      </c>
      <c r="Q158" s="345">
        <v>0</v>
      </c>
      <c r="R158" s="107"/>
      <c r="S158" s="228" t="s">
        <v>373</v>
      </c>
      <c r="T158" s="338"/>
      <c r="U158" s="338"/>
      <c r="V158" s="338"/>
      <c r="W158" s="338"/>
      <c r="X158" s="334" t="str">
        <f t="shared" ref="X158:AC158" si="64">IF(L158&gt;$E$5,"No","Yes")</f>
        <v>Yes</v>
      </c>
      <c r="Y158" s="334" t="str">
        <f t="shared" si="64"/>
        <v>Yes</v>
      </c>
      <c r="Z158" s="334" t="str">
        <f t="shared" si="64"/>
        <v>Yes</v>
      </c>
      <c r="AA158" s="334" t="str">
        <f t="shared" si="64"/>
        <v>No</v>
      </c>
      <c r="AB158" s="334" t="str">
        <f t="shared" si="64"/>
        <v>Yes</v>
      </c>
      <c r="AC158" s="334" t="str">
        <f t="shared" si="64"/>
        <v>Yes</v>
      </c>
    </row>
    <row r="159" spans="2:40" ht="15.6" x14ac:dyDescent="0.35">
      <c r="B159" s="107" t="s">
        <v>853</v>
      </c>
      <c r="C159" s="107"/>
      <c r="D159" s="107"/>
      <c r="E159" s="107"/>
      <c r="G159" s="228" t="s">
        <v>378</v>
      </c>
      <c r="H159" s="338"/>
      <c r="I159" s="338"/>
      <c r="J159" s="338"/>
      <c r="K159" s="338"/>
      <c r="L159" s="338"/>
      <c r="M159" s="345">
        <v>0</v>
      </c>
      <c r="N159" s="345">
        <v>0</v>
      </c>
      <c r="O159" s="345">
        <v>0</v>
      </c>
      <c r="P159" s="345">
        <v>0</v>
      </c>
      <c r="Q159" s="345">
        <v>0</v>
      </c>
      <c r="R159" s="107"/>
      <c r="S159" s="228" t="s">
        <v>378</v>
      </c>
      <c r="T159" s="338"/>
      <c r="U159" s="338"/>
      <c r="V159" s="338"/>
      <c r="W159" s="338"/>
      <c r="X159" s="338"/>
      <c r="Y159" s="334" t="str">
        <f>IF(M159&gt;$E$5,"No","Yes")</f>
        <v>Yes</v>
      </c>
      <c r="Z159" s="334" t="str">
        <f>IF(N159&gt;$E$5,"No","Yes")</f>
        <v>Yes</v>
      </c>
      <c r="AA159" s="334" t="str">
        <f>IF(O159&gt;$E$5,"No","Yes")</f>
        <v>Yes</v>
      </c>
      <c r="AB159" s="334" t="str">
        <f>IF(P159&gt;$E$5,"No","Yes")</f>
        <v>Yes</v>
      </c>
      <c r="AC159" s="334" t="str">
        <f>IF(Q159&gt;$E$5,"No","Yes")</f>
        <v>Yes</v>
      </c>
    </row>
    <row r="160" spans="2:40" x14ac:dyDescent="0.3">
      <c r="B160" s="107" t="s">
        <v>842</v>
      </c>
      <c r="C160" s="107"/>
      <c r="D160" s="107"/>
      <c r="E160" s="107"/>
      <c r="G160" s="228" t="s">
        <v>380</v>
      </c>
      <c r="H160" s="338"/>
      <c r="I160" s="338"/>
      <c r="J160" s="338"/>
      <c r="K160" s="338"/>
      <c r="L160" s="338"/>
      <c r="M160" s="338"/>
      <c r="N160" s="345">
        <v>0</v>
      </c>
      <c r="O160" s="345">
        <v>0</v>
      </c>
      <c r="P160" s="340">
        <v>0.49969999999999998</v>
      </c>
      <c r="Q160" s="345">
        <v>0</v>
      </c>
      <c r="R160" s="107"/>
      <c r="S160" s="228" t="s">
        <v>380</v>
      </c>
      <c r="T160" s="338"/>
      <c r="U160" s="338"/>
      <c r="V160" s="338"/>
      <c r="W160" s="338"/>
      <c r="X160" s="338"/>
      <c r="Y160" s="338"/>
      <c r="Z160" s="334" t="str">
        <f>IF(N160&gt;$E$5,"No","Yes")</f>
        <v>Yes</v>
      </c>
      <c r="AA160" s="334" t="str">
        <f>IF(O160&gt;$E$5,"No","Yes")</f>
        <v>Yes</v>
      </c>
      <c r="AB160" s="334" t="str">
        <f>IF(P160&gt;$E$5,"No","Yes")</f>
        <v>No</v>
      </c>
      <c r="AC160" s="334" t="str">
        <f>IF(Q160&gt;$E$5,"No","Yes")</f>
        <v>Yes</v>
      </c>
    </row>
    <row r="161" spans="2:40" x14ac:dyDescent="0.3">
      <c r="B161" s="107" t="s">
        <v>843</v>
      </c>
      <c r="C161" s="107"/>
      <c r="D161" s="107"/>
      <c r="E161" s="107"/>
      <c r="G161" s="228" t="s">
        <v>382</v>
      </c>
      <c r="H161" s="338"/>
      <c r="I161" s="338"/>
      <c r="J161" s="338"/>
      <c r="K161" s="338"/>
      <c r="L161" s="338"/>
      <c r="M161" s="338"/>
      <c r="N161" s="338"/>
      <c r="O161" s="345">
        <v>0</v>
      </c>
      <c r="P161" s="345">
        <v>0</v>
      </c>
      <c r="Q161" s="345">
        <v>0</v>
      </c>
      <c r="R161" s="107"/>
      <c r="S161" s="228" t="s">
        <v>382</v>
      </c>
      <c r="T161" s="338"/>
      <c r="U161" s="338"/>
      <c r="V161" s="338"/>
      <c r="W161" s="338"/>
      <c r="X161" s="338"/>
      <c r="Y161" s="338"/>
      <c r="Z161" s="338"/>
      <c r="AA161" s="334" t="str">
        <f>IF(O161&gt;$E$5,"No","Yes")</f>
        <v>Yes</v>
      </c>
      <c r="AB161" s="334" t="str">
        <f>IF(P161&gt;$E$5,"No","Yes")</f>
        <v>Yes</v>
      </c>
      <c r="AC161" s="334" t="str">
        <f>IF(Q161&gt;$E$5,"No","Yes")</f>
        <v>Yes</v>
      </c>
    </row>
    <row r="162" spans="2:40" x14ac:dyDescent="0.3">
      <c r="B162" s="107" t="s">
        <v>854</v>
      </c>
      <c r="C162" s="107"/>
      <c r="D162" s="107"/>
      <c r="E162" s="107"/>
      <c r="G162" s="228" t="s">
        <v>453</v>
      </c>
      <c r="H162" s="338"/>
      <c r="I162" s="338"/>
      <c r="J162" s="338"/>
      <c r="K162" s="338"/>
      <c r="L162" s="338"/>
      <c r="M162" s="338"/>
      <c r="N162" s="338"/>
      <c r="O162" s="338"/>
      <c r="P162" s="340">
        <v>8.0999999999999996E-3</v>
      </c>
      <c r="Q162" s="345">
        <v>0</v>
      </c>
      <c r="R162" s="107"/>
      <c r="S162" s="228" t="s">
        <v>453</v>
      </c>
      <c r="T162" s="338"/>
      <c r="U162" s="338"/>
      <c r="V162" s="338"/>
      <c r="W162" s="338"/>
      <c r="X162" s="338"/>
      <c r="Y162" s="338"/>
      <c r="Z162" s="338"/>
      <c r="AA162" s="338"/>
      <c r="AB162" s="334" t="str">
        <f>IF(P162&gt;$E$5,"No","Yes")</f>
        <v>Yes</v>
      </c>
      <c r="AC162" s="334" t="str">
        <f>IF(Q162&gt;$E$5,"No","Yes")</f>
        <v>Yes</v>
      </c>
    </row>
    <row r="163" spans="2:40" x14ac:dyDescent="0.3">
      <c r="B163" s="107" t="s">
        <v>855</v>
      </c>
      <c r="C163" s="107"/>
      <c r="D163" s="107"/>
      <c r="E163" s="107"/>
      <c r="G163" s="228" t="s">
        <v>454</v>
      </c>
      <c r="H163" s="338"/>
      <c r="I163" s="338"/>
      <c r="J163" s="338"/>
      <c r="K163" s="338"/>
      <c r="L163" s="338"/>
      <c r="M163" s="338"/>
      <c r="N163" s="338"/>
      <c r="O163" s="338"/>
      <c r="P163" s="338"/>
      <c r="Q163" s="345">
        <v>0</v>
      </c>
      <c r="R163" s="107"/>
      <c r="S163" s="228" t="s">
        <v>454</v>
      </c>
      <c r="T163" s="338"/>
      <c r="U163" s="338"/>
      <c r="V163" s="338"/>
      <c r="W163" s="338"/>
      <c r="X163" s="338"/>
      <c r="Y163" s="338"/>
      <c r="Z163" s="338"/>
      <c r="AA163" s="338"/>
      <c r="AB163" s="338"/>
      <c r="AC163" s="334" t="str">
        <f>IF(Q163&gt;$E$5,"No","Yes")</f>
        <v>Yes</v>
      </c>
    </row>
    <row r="164" spans="2:40" x14ac:dyDescent="0.3">
      <c r="B164" s="107"/>
      <c r="C164" s="107"/>
      <c r="D164" s="107"/>
      <c r="E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</row>
    <row r="165" spans="2:40" ht="15" thickBot="1" x14ac:dyDescent="0.35"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</row>
    <row r="166" spans="2:40" ht="15" thickTop="1" x14ac:dyDescent="0.3"/>
    <row r="167" spans="2:40" x14ac:dyDescent="0.3">
      <c r="G167" s="106" t="s">
        <v>832</v>
      </c>
      <c r="H167" s="107" t="s">
        <v>833</v>
      </c>
      <c r="I167" s="107"/>
      <c r="J167" s="107"/>
      <c r="K167" s="107"/>
      <c r="L167" s="107"/>
      <c r="M167" s="107"/>
      <c r="N167" s="107"/>
      <c r="O167" s="107"/>
      <c r="P167" s="107"/>
      <c r="Q167" s="107"/>
      <c r="R167" s="107">
        <v>1</v>
      </c>
      <c r="S167" s="107" t="s">
        <v>860</v>
      </c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</row>
    <row r="168" spans="2:40" ht="15.6" x14ac:dyDescent="0.35">
      <c r="G168" s="119" t="s">
        <v>633</v>
      </c>
      <c r="H168" s="107" t="s">
        <v>836</v>
      </c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 t="s">
        <v>861</v>
      </c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</row>
    <row r="169" spans="2:40" x14ac:dyDescent="0.3">
      <c r="G169" s="343" t="s">
        <v>862</v>
      </c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</row>
    <row r="170" spans="2:40" ht="15.6" x14ac:dyDescent="0.35">
      <c r="R170" s="107"/>
      <c r="S170" s="335" t="s">
        <v>840</v>
      </c>
      <c r="T170" s="228">
        <v>1988</v>
      </c>
      <c r="U170" s="228" t="s">
        <v>369</v>
      </c>
      <c r="V170" s="228" t="s">
        <v>371</v>
      </c>
      <c r="W170" s="228" t="s">
        <v>373</v>
      </c>
      <c r="X170" s="228" t="s">
        <v>378</v>
      </c>
      <c r="Y170" s="228" t="s">
        <v>380</v>
      </c>
      <c r="Z170" s="228" t="s">
        <v>382</v>
      </c>
      <c r="AA170" s="228" t="s">
        <v>453</v>
      </c>
      <c r="AB170" s="228" t="s">
        <v>454</v>
      </c>
      <c r="AC170" s="228" t="s">
        <v>388</v>
      </c>
    </row>
    <row r="171" spans="2:40" x14ac:dyDescent="0.3">
      <c r="R171" s="107"/>
      <c r="S171" s="228">
        <v>1977</v>
      </c>
      <c r="T171" s="334" t="str">
        <f>IF(AE171&gt;1,"Yes","No")</f>
        <v>Yes</v>
      </c>
      <c r="U171" s="334" t="str">
        <f t="shared" ref="U171:AC180" si="65">IF(AF171&gt;1,"Yes","No")</f>
        <v>Yes</v>
      </c>
      <c r="V171" s="334" t="str">
        <f t="shared" si="65"/>
        <v>No</v>
      </c>
      <c r="W171" s="334" t="str">
        <f t="shared" si="65"/>
        <v>Yes</v>
      </c>
      <c r="X171" s="334" t="str">
        <f t="shared" si="65"/>
        <v>Yes</v>
      </c>
      <c r="Y171" s="334" t="str">
        <f t="shared" si="65"/>
        <v>Yes</v>
      </c>
      <c r="Z171" s="334" t="str">
        <f t="shared" si="65"/>
        <v>Yes</v>
      </c>
      <c r="AA171" s="334" t="str">
        <f t="shared" si="65"/>
        <v>Yes</v>
      </c>
      <c r="AB171" s="334" t="str">
        <f t="shared" si="65"/>
        <v>Yes</v>
      </c>
      <c r="AC171" s="334" t="str">
        <f t="shared" si="65"/>
        <v>Yes</v>
      </c>
      <c r="AE171" s="334">
        <f>SUM(AE6,AE39,AE72,AE105,AE138)</f>
        <v>3</v>
      </c>
      <c r="AF171" s="334">
        <f t="shared" ref="AF171:AN180" si="66">SUM(AF6,AF39,AF72,AF105,AF138)</f>
        <v>4</v>
      </c>
      <c r="AG171" s="334">
        <f t="shared" si="66"/>
        <v>1</v>
      </c>
      <c r="AH171" s="334">
        <f t="shared" si="66"/>
        <v>4</v>
      </c>
      <c r="AI171" s="334">
        <f t="shared" si="66"/>
        <v>2</v>
      </c>
      <c r="AJ171" s="334">
        <f t="shared" si="66"/>
        <v>5</v>
      </c>
      <c r="AK171" s="334">
        <f t="shared" si="66"/>
        <v>3</v>
      </c>
      <c r="AL171" s="334">
        <f t="shared" si="66"/>
        <v>4</v>
      </c>
      <c r="AM171" s="334">
        <f t="shared" si="66"/>
        <v>3</v>
      </c>
      <c r="AN171" s="334">
        <f t="shared" si="66"/>
        <v>3</v>
      </c>
    </row>
    <row r="172" spans="2:40" x14ac:dyDescent="0.3">
      <c r="R172" s="107"/>
      <c r="S172" s="228">
        <v>1988</v>
      </c>
      <c r="T172" s="338"/>
      <c r="U172" s="334" t="str">
        <f t="shared" si="65"/>
        <v>Yes</v>
      </c>
      <c r="V172" s="334" t="str">
        <f t="shared" si="65"/>
        <v>Yes</v>
      </c>
      <c r="W172" s="334" t="str">
        <f t="shared" si="65"/>
        <v>Yes</v>
      </c>
      <c r="X172" s="334" t="str">
        <f t="shared" si="65"/>
        <v>No</v>
      </c>
      <c r="Y172" s="334" t="str">
        <f t="shared" si="65"/>
        <v>Yes</v>
      </c>
      <c r="Z172" s="334" t="str">
        <f t="shared" si="65"/>
        <v>Yes</v>
      </c>
      <c r="AA172" s="334" t="str">
        <f t="shared" si="65"/>
        <v>Yes</v>
      </c>
      <c r="AB172" s="334" t="str">
        <f t="shared" si="65"/>
        <v>Yes</v>
      </c>
      <c r="AC172" s="334" t="str">
        <f t="shared" si="65"/>
        <v>Yes</v>
      </c>
      <c r="AE172" s="338">
        <f t="shared" ref="AE172:AM180" si="67">IF(T172="Yes",1,0)</f>
        <v>0</v>
      </c>
      <c r="AF172" s="334">
        <f t="shared" si="66"/>
        <v>2</v>
      </c>
      <c r="AG172" s="334">
        <f t="shared" si="66"/>
        <v>2</v>
      </c>
      <c r="AH172" s="334">
        <f t="shared" si="66"/>
        <v>4</v>
      </c>
      <c r="AI172" s="334">
        <f t="shared" si="66"/>
        <v>1</v>
      </c>
      <c r="AJ172" s="334">
        <f t="shared" si="66"/>
        <v>5</v>
      </c>
      <c r="AK172" s="334">
        <f t="shared" si="66"/>
        <v>2</v>
      </c>
      <c r="AL172" s="334">
        <f t="shared" si="66"/>
        <v>3</v>
      </c>
      <c r="AM172" s="334">
        <f t="shared" si="66"/>
        <v>4</v>
      </c>
      <c r="AN172" s="334">
        <f t="shared" si="66"/>
        <v>3</v>
      </c>
    </row>
    <row r="173" spans="2:40" x14ac:dyDescent="0.3">
      <c r="R173" s="107"/>
      <c r="S173" s="228" t="s">
        <v>369</v>
      </c>
      <c r="T173" s="338"/>
      <c r="U173" s="338"/>
      <c r="V173" s="334" t="str">
        <f t="shared" si="65"/>
        <v>Yes</v>
      </c>
      <c r="W173" s="334" t="str">
        <f t="shared" si="65"/>
        <v>Yes</v>
      </c>
      <c r="X173" s="334" t="str">
        <f t="shared" si="65"/>
        <v>Yes</v>
      </c>
      <c r="Y173" s="334" t="str">
        <f t="shared" si="65"/>
        <v>Yes</v>
      </c>
      <c r="Z173" s="334" t="str">
        <f t="shared" si="65"/>
        <v>Yes</v>
      </c>
      <c r="AA173" s="334" t="str">
        <f t="shared" si="65"/>
        <v>Yes</v>
      </c>
      <c r="AB173" s="334" t="str">
        <f t="shared" si="65"/>
        <v>Yes</v>
      </c>
      <c r="AC173" s="334" t="str">
        <f t="shared" si="65"/>
        <v>Yes</v>
      </c>
      <c r="AE173" s="338">
        <f t="shared" si="67"/>
        <v>0</v>
      </c>
      <c r="AF173" s="338">
        <f t="shared" si="67"/>
        <v>0</v>
      </c>
      <c r="AG173" s="334">
        <f t="shared" si="66"/>
        <v>2</v>
      </c>
      <c r="AH173" s="334">
        <f t="shared" si="66"/>
        <v>4</v>
      </c>
      <c r="AI173" s="334">
        <f t="shared" si="66"/>
        <v>3</v>
      </c>
      <c r="AJ173" s="334">
        <f t="shared" si="66"/>
        <v>2</v>
      </c>
      <c r="AK173" s="334">
        <f t="shared" si="66"/>
        <v>4</v>
      </c>
      <c r="AL173" s="334">
        <f t="shared" si="66"/>
        <v>2</v>
      </c>
      <c r="AM173" s="334">
        <f t="shared" si="66"/>
        <v>4</v>
      </c>
      <c r="AN173" s="334">
        <f t="shared" si="66"/>
        <v>2</v>
      </c>
    </row>
    <row r="174" spans="2:40" x14ac:dyDescent="0.3">
      <c r="R174" s="107"/>
      <c r="S174" s="228" t="s">
        <v>371</v>
      </c>
      <c r="T174" s="338"/>
      <c r="U174" s="338"/>
      <c r="V174" s="338"/>
      <c r="W174" s="334" t="str">
        <f t="shared" si="65"/>
        <v>Yes</v>
      </c>
      <c r="X174" s="334" t="str">
        <f t="shared" si="65"/>
        <v>Yes</v>
      </c>
      <c r="Y174" s="334" t="str">
        <f t="shared" si="65"/>
        <v>Yes</v>
      </c>
      <c r="Z174" s="334" t="str">
        <f t="shared" si="65"/>
        <v>Yes</v>
      </c>
      <c r="AA174" s="334" t="str">
        <f t="shared" si="65"/>
        <v>Yes</v>
      </c>
      <c r="AB174" s="334" t="str">
        <f t="shared" si="65"/>
        <v>Yes</v>
      </c>
      <c r="AC174" s="334" t="str">
        <f t="shared" si="65"/>
        <v>Yes</v>
      </c>
      <c r="AE174" s="338">
        <f t="shared" si="67"/>
        <v>0</v>
      </c>
      <c r="AF174" s="338">
        <f t="shared" si="67"/>
        <v>0</v>
      </c>
      <c r="AG174" s="338">
        <f t="shared" si="67"/>
        <v>0</v>
      </c>
      <c r="AH174" s="334">
        <f t="shared" si="66"/>
        <v>3</v>
      </c>
      <c r="AI174" s="334">
        <f t="shared" si="66"/>
        <v>3</v>
      </c>
      <c r="AJ174" s="334">
        <f t="shared" si="66"/>
        <v>3</v>
      </c>
      <c r="AK174" s="334">
        <f t="shared" si="66"/>
        <v>2</v>
      </c>
      <c r="AL174" s="334">
        <f t="shared" si="66"/>
        <v>2</v>
      </c>
      <c r="AM174" s="334">
        <f t="shared" si="66"/>
        <v>4</v>
      </c>
      <c r="AN174" s="334">
        <f t="shared" si="66"/>
        <v>3</v>
      </c>
    </row>
    <row r="175" spans="2:40" x14ac:dyDescent="0.3">
      <c r="R175" s="107"/>
      <c r="S175" s="228" t="s">
        <v>373</v>
      </c>
      <c r="T175" s="338"/>
      <c r="U175" s="338"/>
      <c r="V175" s="338"/>
      <c r="W175" s="338"/>
      <c r="X175" s="334" t="str">
        <f t="shared" si="65"/>
        <v>Yes</v>
      </c>
      <c r="Y175" s="334" t="str">
        <f t="shared" si="65"/>
        <v>No</v>
      </c>
      <c r="Z175" s="334" t="str">
        <f t="shared" si="65"/>
        <v>Yes</v>
      </c>
      <c r="AA175" s="334" t="str">
        <f t="shared" si="65"/>
        <v>Yes</v>
      </c>
      <c r="AB175" s="334" t="str">
        <f t="shared" si="65"/>
        <v>No</v>
      </c>
      <c r="AC175" s="334" t="str">
        <f t="shared" si="65"/>
        <v>No</v>
      </c>
      <c r="AE175" s="338">
        <f t="shared" si="67"/>
        <v>0</v>
      </c>
      <c r="AF175" s="338">
        <f t="shared" si="67"/>
        <v>0</v>
      </c>
      <c r="AG175" s="338">
        <f t="shared" si="67"/>
        <v>0</v>
      </c>
      <c r="AH175" s="338">
        <f t="shared" si="67"/>
        <v>0</v>
      </c>
      <c r="AI175" s="334">
        <f t="shared" si="66"/>
        <v>4</v>
      </c>
      <c r="AJ175" s="334">
        <f t="shared" si="66"/>
        <v>1</v>
      </c>
      <c r="AK175" s="334">
        <f t="shared" si="66"/>
        <v>3</v>
      </c>
      <c r="AL175" s="334">
        <f t="shared" si="66"/>
        <v>2</v>
      </c>
      <c r="AM175" s="334">
        <f t="shared" si="66"/>
        <v>0</v>
      </c>
      <c r="AN175" s="334">
        <f t="shared" si="66"/>
        <v>1</v>
      </c>
    </row>
    <row r="176" spans="2:40" x14ac:dyDescent="0.3">
      <c r="R176" s="107"/>
      <c r="S176" s="228" t="s">
        <v>378</v>
      </c>
      <c r="T176" s="338"/>
      <c r="U176" s="338"/>
      <c r="V176" s="338"/>
      <c r="W176" s="338"/>
      <c r="X176" s="338"/>
      <c r="Y176" s="334" t="str">
        <f t="shared" si="65"/>
        <v>Yes</v>
      </c>
      <c r="Z176" s="334" t="str">
        <f t="shared" si="65"/>
        <v>Yes</v>
      </c>
      <c r="AA176" s="334" t="str">
        <f t="shared" si="65"/>
        <v>Yes</v>
      </c>
      <c r="AB176" s="334" t="str">
        <f t="shared" si="65"/>
        <v>Yes</v>
      </c>
      <c r="AC176" s="334" t="str">
        <f t="shared" si="65"/>
        <v>Yes</v>
      </c>
      <c r="AE176" s="338">
        <f t="shared" si="67"/>
        <v>0</v>
      </c>
      <c r="AF176" s="338">
        <f t="shared" si="67"/>
        <v>0</v>
      </c>
      <c r="AG176" s="338">
        <f t="shared" si="67"/>
        <v>0</v>
      </c>
      <c r="AH176" s="338">
        <f t="shared" si="67"/>
        <v>0</v>
      </c>
      <c r="AI176" s="338">
        <f t="shared" si="67"/>
        <v>0</v>
      </c>
      <c r="AJ176" s="334">
        <f t="shared" si="66"/>
        <v>3</v>
      </c>
      <c r="AK176" s="334">
        <f t="shared" si="66"/>
        <v>3</v>
      </c>
      <c r="AL176" s="334">
        <f t="shared" si="66"/>
        <v>3</v>
      </c>
      <c r="AM176" s="334">
        <f t="shared" si="66"/>
        <v>3</v>
      </c>
      <c r="AN176" s="334">
        <f t="shared" si="66"/>
        <v>3</v>
      </c>
    </row>
    <row r="177" spans="7:40" x14ac:dyDescent="0.3">
      <c r="R177" s="107"/>
      <c r="S177" s="228" t="s">
        <v>380</v>
      </c>
      <c r="T177" s="338"/>
      <c r="U177" s="338"/>
      <c r="V177" s="338"/>
      <c r="W177" s="338"/>
      <c r="X177" s="338"/>
      <c r="Y177" s="338"/>
      <c r="Z177" s="334" t="str">
        <f t="shared" si="65"/>
        <v>Yes</v>
      </c>
      <c r="AA177" s="334" t="str">
        <f t="shared" si="65"/>
        <v>No</v>
      </c>
      <c r="AB177" s="334" t="str">
        <f t="shared" si="65"/>
        <v>No</v>
      </c>
      <c r="AC177" s="334" t="str">
        <f t="shared" si="65"/>
        <v>No</v>
      </c>
      <c r="AE177" s="338">
        <f t="shared" si="67"/>
        <v>0</v>
      </c>
      <c r="AF177" s="338">
        <f t="shared" si="67"/>
        <v>0</v>
      </c>
      <c r="AG177" s="338">
        <f t="shared" si="67"/>
        <v>0</v>
      </c>
      <c r="AH177" s="338">
        <f t="shared" si="67"/>
        <v>0</v>
      </c>
      <c r="AI177" s="338">
        <f t="shared" si="67"/>
        <v>0</v>
      </c>
      <c r="AJ177" s="338">
        <f t="shared" si="67"/>
        <v>0</v>
      </c>
      <c r="AK177" s="334">
        <f t="shared" si="66"/>
        <v>2</v>
      </c>
      <c r="AL177" s="334">
        <f t="shared" si="66"/>
        <v>0</v>
      </c>
      <c r="AM177" s="334">
        <f t="shared" si="66"/>
        <v>1</v>
      </c>
      <c r="AN177" s="334">
        <f t="shared" si="66"/>
        <v>1</v>
      </c>
    </row>
    <row r="178" spans="7:40" x14ac:dyDescent="0.3">
      <c r="R178" s="107"/>
      <c r="S178" s="228" t="s">
        <v>382</v>
      </c>
      <c r="T178" s="338"/>
      <c r="U178" s="338"/>
      <c r="V178" s="338"/>
      <c r="W178" s="338"/>
      <c r="X178" s="338"/>
      <c r="Y178" s="338"/>
      <c r="Z178" s="338"/>
      <c r="AA178" s="334" t="str">
        <f t="shared" si="65"/>
        <v>Yes</v>
      </c>
      <c r="AB178" s="334" t="str">
        <f t="shared" si="65"/>
        <v>No</v>
      </c>
      <c r="AC178" s="334" t="str">
        <f t="shared" si="65"/>
        <v>Yes</v>
      </c>
      <c r="AE178" s="338">
        <f t="shared" si="67"/>
        <v>0</v>
      </c>
      <c r="AF178" s="338">
        <f t="shared" si="67"/>
        <v>0</v>
      </c>
      <c r="AG178" s="338">
        <f t="shared" si="67"/>
        <v>0</v>
      </c>
      <c r="AH178" s="338">
        <f t="shared" si="67"/>
        <v>0</v>
      </c>
      <c r="AI178" s="338">
        <f t="shared" si="67"/>
        <v>0</v>
      </c>
      <c r="AJ178" s="338">
        <f t="shared" si="67"/>
        <v>0</v>
      </c>
      <c r="AK178" s="338">
        <f t="shared" si="67"/>
        <v>0</v>
      </c>
      <c r="AL178" s="334">
        <f t="shared" si="66"/>
        <v>2</v>
      </c>
      <c r="AM178" s="334">
        <f t="shared" si="66"/>
        <v>1</v>
      </c>
      <c r="AN178" s="334">
        <f t="shared" si="66"/>
        <v>3</v>
      </c>
    </row>
    <row r="179" spans="7:40" x14ac:dyDescent="0.3">
      <c r="R179" s="107"/>
      <c r="S179" s="228" t="s">
        <v>453</v>
      </c>
      <c r="T179" s="338"/>
      <c r="U179" s="338"/>
      <c r="V179" s="338"/>
      <c r="W179" s="338"/>
      <c r="X179" s="338"/>
      <c r="Y179" s="338"/>
      <c r="Z179" s="338"/>
      <c r="AA179" s="338"/>
      <c r="AB179" s="334" t="str">
        <f t="shared" si="65"/>
        <v>Yes</v>
      </c>
      <c r="AC179" s="334" t="str">
        <f t="shared" si="65"/>
        <v>No</v>
      </c>
      <c r="AE179" s="338">
        <f t="shared" si="67"/>
        <v>0</v>
      </c>
      <c r="AF179" s="338">
        <f t="shared" si="67"/>
        <v>0</v>
      </c>
      <c r="AG179" s="338">
        <f t="shared" si="67"/>
        <v>0</v>
      </c>
      <c r="AH179" s="338">
        <f t="shared" si="67"/>
        <v>0</v>
      </c>
      <c r="AI179" s="338">
        <f t="shared" si="67"/>
        <v>0</v>
      </c>
      <c r="AJ179" s="338">
        <f t="shared" si="67"/>
        <v>0</v>
      </c>
      <c r="AK179" s="338">
        <f t="shared" si="67"/>
        <v>0</v>
      </c>
      <c r="AL179" s="338">
        <f t="shared" si="67"/>
        <v>0</v>
      </c>
      <c r="AM179" s="334">
        <f t="shared" si="66"/>
        <v>2</v>
      </c>
      <c r="AN179" s="334">
        <f t="shared" si="66"/>
        <v>1</v>
      </c>
    </row>
    <row r="180" spans="7:40" x14ac:dyDescent="0.3">
      <c r="R180" s="107"/>
      <c r="S180" s="228" t="s">
        <v>454</v>
      </c>
      <c r="T180" s="338"/>
      <c r="U180" s="338"/>
      <c r="V180" s="338"/>
      <c r="W180" s="338"/>
      <c r="X180" s="338"/>
      <c r="Y180" s="338"/>
      <c r="Z180" s="338"/>
      <c r="AA180" s="338"/>
      <c r="AB180" s="338"/>
      <c r="AC180" s="334" t="str">
        <f t="shared" si="65"/>
        <v>Yes</v>
      </c>
      <c r="AE180" s="338">
        <f t="shared" si="67"/>
        <v>0</v>
      </c>
      <c r="AF180" s="338">
        <f t="shared" si="67"/>
        <v>0</v>
      </c>
      <c r="AG180" s="338">
        <f t="shared" si="67"/>
        <v>0</v>
      </c>
      <c r="AH180" s="338">
        <f t="shared" si="67"/>
        <v>0</v>
      </c>
      <c r="AI180" s="338">
        <f t="shared" si="67"/>
        <v>0</v>
      </c>
      <c r="AJ180" s="338">
        <f t="shared" si="67"/>
        <v>0</v>
      </c>
      <c r="AK180" s="338">
        <f t="shared" si="67"/>
        <v>0</v>
      </c>
      <c r="AL180" s="338">
        <f t="shared" si="67"/>
        <v>0</v>
      </c>
      <c r="AM180" s="338">
        <f t="shared" si="67"/>
        <v>0</v>
      </c>
      <c r="AN180" s="334">
        <f t="shared" si="66"/>
        <v>2</v>
      </c>
    </row>
    <row r="181" spans="7:40" x14ac:dyDescent="0.3"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</row>
    <row r="183" spans="7:40" x14ac:dyDescent="0.3">
      <c r="G183" s="106" t="s">
        <v>832</v>
      </c>
      <c r="H183" s="107" t="s">
        <v>833</v>
      </c>
      <c r="I183" s="107"/>
      <c r="J183" s="107"/>
      <c r="K183" s="107"/>
      <c r="L183" s="107"/>
      <c r="M183" s="107"/>
      <c r="N183" s="107"/>
      <c r="O183" s="107"/>
      <c r="P183" s="107"/>
      <c r="Q183" s="107"/>
      <c r="R183" s="107">
        <v>2</v>
      </c>
      <c r="S183" s="107" t="s">
        <v>863</v>
      </c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</row>
    <row r="184" spans="7:40" ht="15.6" x14ac:dyDescent="0.35">
      <c r="G184" s="119" t="s">
        <v>633</v>
      </c>
      <c r="H184" s="107" t="s">
        <v>836</v>
      </c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 t="s">
        <v>864</v>
      </c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</row>
    <row r="185" spans="7:40" x14ac:dyDescent="0.3">
      <c r="G185" s="343" t="s">
        <v>862</v>
      </c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</row>
    <row r="186" spans="7:40" ht="15.6" x14ac:dyDescent="0.35">
      <c r="R186" s="107"/>
      <c r="S186" s="335" t="s">
        <v>840</v>
      </c>
      <c r="T186" s="228">
        <v>1988</v>
      </c>
      <c r="U186" s="228" t="s">
        <v>369</v>
      </c>
      <c r="V186" s="228" t="s">
        <v>371</v>
      </c>
      <c r="W186" s="228" t="s">
        <v>373</v>
      </c>
      <c r="X186" s="228" t="s">
        <v>378</v>
      </c>
      <c r="Y186" s="228" t="s">
        <v>380</v>
      </c>
      <c r="Z186" s="228" t="s">
        <v>382</v>
      </c>
      <c r="AA186" s="228" t="s">
        <v>453</v>
      </c>
      <c r="AB186" s="228" t="s">
        <v>454</v>
      </c>
      <c r="AC186" s="228" t="s">
        <v>388</v>
      </c>
    </row>
    <row r="187" spans="7:40" x14ac:dyDescent="0.3">
      <c r="R187" s="107"/>
      <c r="S187" s="228">
        <v>1977</v>
      </c>
      <c r="T187" s="334" t="str">
        <f>IF(AE187&lt;3,"No","Yes")</f>
        <v>Yes</v>
      </c>
      <c r="U187" s="334" t="str">
        <f t="shared" ref="U187:AC196" si="68">IF(AF187&lt;3,"No","Yes")</f>
        <v>Yes</v>
      </c>
      <c r="V187" s="334" t="str">
        <f t="shared" si="68"/>
        <v>No</v>
      </c>
      <c r="W187" s="334" t="str">
        <f t="shared" si="68"/>
        <v>Yes</v>
      </c>
      <c r="X187" s="334" t="str">
        <f t="shared" si="68"/>
        <v>No</v>
      </c>
      <c r="Y187" s="334" t="str">
        <f t="shared" si="68"/>
        <v>Yes</v>
      </c>
      <c r="Z187" s="334" t="str">
        <f t="shared" si="68"/>
        <v>Yes</v>
      </c>
      <c r="AA187" s="334" t="str">
        <f t="shared" si="68"/>
        <v>Yes</v>
      </c>
      <c r="AB187" s="334" t="str">
        <f t="shared" si="68"/>
        <v>Yes</v>
      </c>
      <c r="AC187" s="334" t="str">
        <f t="shared" si="68"/>
        <v>Yes</v>
      </c>
      <c r="AE187" s="334">
        <f>SUM(AE6,AE39,AE72,AE105,AE138)</f>
        <v>3</v>
      </c>
      <c r="AF187" s="334">
        <f t="shared" ref="AF187:AN191" si="69">SUM(AF6,AF39,AF72,AF105,AF138)</f>
        <v>4</v>
      </c>
      <c r="AG187" s="334">
        <f t="shared" si="69"/>
        <v>1</v>
      </c>
      <c r="AH187" s="334">
        <f t="shared" si="69"/>
        <v>4</v>
      </c>
      <c r="AI187" s="334">
        <f t="shared" si="69"/>
        <v>2</v>
      </c>
      <c r="AJ187" s="334">
        <f t="shared" si="69"/>
        <v>5</v>
      </c>
      <c r="AK187" s="334">
        <f t="shared" si="69"/>
        <v>3</v>
      </c>
      <c r="AL187" s="334">
        <f t="shared" si="69"/>
        <v>4</v>
      </c>
      <c r="AM187" s="334">
        <f t="shared" si="69"/>
        <v>3</v>
      </c>
      <c r="AN187" s="334">
        <f t="shared" si="69"/>
        <v>3</v>
      </c>
    </row>
    <row r="188" spans="7:40" x14ac:dyDescent="0.3">
      <c r="R188" s="107"/>
      <c r="S188" s="228">
        <v>1988</v>
      </c>
      <c r="T188" s="338"/>
      <c r="U188" s="334" t="str">
        <f t="shared" si="68"/>
        <v>No</v>
      </c>
      <c r="V188" s="334" t="str">
        <f t="shared" si="68"/>
        <v>No</v>
      </c>
      <c r="W188" s="334" t="str">
        <f t="shared" si="68"/>
        <v>Yes</v>
      </c>
      <c r="X188" s="334" t="str">
        <f t="shared" si="68"/>
        <v>No</v>
      </c>
      <c r="Y188" s="334" t="str">
        <f t="shared" si="68"/>
        <v>Yes</v>
      </c>
      <c r="Z188" s="334" t="str">
        <f t="shared" si="68"/>
        <v>No</v>
      </c>
      <c r="AA188" s="334" t="str">
        <f t="shared" si="68"/>
        <v>Yes</v>
      </c>
      <c r="AB188" s="334" t="str">
        <f t="shared" si="68"/>
        <v>Yes</v>
      </c>
      <c r="AC188" s="334" t="str">
        <f t="shared" si="68"/>
        <v>Yes</v>
      </c>
      <c r="AE188" s="338">
        <f t="shared" ref="AE188:AM196" si="70">IF(T188="Yes",1,0)</f>
        <v>0</v>
      </c>
      <c r="AF188" s="334">
        <f t="shared" si="69"/>
        <v>2</v>
      </c>
      <c r="AG188" s="334">
        <f t="shared" si="69"/>
        <v>2</v>
      </c>
      <c r="AH188" s="334">
        <f t="shared" si="69"/>
        <v>4</v>
      </c>
      <c r="AI188" s="334">
        <f t="shared" si="69"/>
        <v>1</v>
      </c>
      <c r="AJ188" s="334">
        <f t="shared" si="69"/>
        <v>5</v>
      </c>
      <c r="AK188" s="334">
        <f t="shared" si="69"/>
        <v>2</v>
      </c>
      <c r="AL188" s="334">
        <f t="shared" si="69"/>
        <v>3</v>
      </c>
      <c r="AM188" s="334">
        <f t="shared" si="69"/>
        <v>4</v>
      </c>
      <c r="AN188" s="334">
        <f t="shared" si="69"/>
        <v>3</v>
      </c>
    </row>
    <row r="189" spans="7:40" x14ac:dyDescent="0.3">
      <c r="R189" s="107"/>
      <c r="S189" s="228" t="s">
        <v>369</v>
      </c>
      <c r="T189" s="338"/>
      <c r="U189" s="338"/>
      <c r="V189" s="334" t="str">
        <f t="shared" si="68"/>
        <v>No</v>
      </c>
      <c r="W189" s="334" t="str">
        <f t="shared" si="68"/>
        <v>Yes</v>
      </c>
      <c r="X189" s="334" t="str">
        <f t="shared" si="68"/>
        <v>Yes</v>
      </c>
      <c r="Y189" s="334" t="str">
        <f t="shared" si="68"/>
        <v>No</v>
      </c>
      <c r="Z189" s="334" t="str">
        <f t="shared" si="68"/>
        <v>Yes</v>
      </c>
      <c r="AA189" s="334" t="str">
        <f t="shared" si="68"/>
        <v>No</v>
      </c>
      <c r="AB189" s="334" t="str">
        <f t="shared" si="68"/>
        <v>Yes</v>
      </c>
      <c r="AC189" s="334" t="str">
        <f t="shared" si="68"/>
        <v>No</v>
      </c>
      <c r="AE189" s="338">
        <f t="shared" si="70"/>
        <v>0</v>
      </c>
      <c r="AF189" s="338">
        <f t="shared" si="70"/>
        <v>0</v>
      </c>
      <c r="AG189" s="334">
        <f t="shared" si="69"/>
        <v>2</v>
      </c>
      <c r="AH189" s="334">
        <f t="shared" si="69"/>
        <v>4</v>
      </c>
      <c r="AI189" s="334">
        <f t="shared" si="69"/>
        <v>3</v>
      </c>
      <c r="AJ189" s="334">
        <f t="shared" si="69"/>
        <v>2</v>
      </c>
      <c r="AK189" s="334">
        <f t="shared" si="69"/>
        <v>4</v>
      </c>
      <c r="AL189" s="334">
        <f t="shared" si="69"/>
        <v>2</v>
      </c>
      <c r="AM189" s="334">
        <f t="shared" si="69"/>
        <v>4</v>
      </c>
      <c r="AN189" s="334">
        <f t="shared" si="69"/>
        <v>2</v>
      </c>
    </row>
    <row r="190" spans="7:40" x14ac:dyDescent="0.3">
      <c r="R190" s="107"/>
      <c r="S190" s="228" t="s">
        <v>371</v>
      </c>
      <c r="T190" s="338"/>
      <c r="U190" s="338"/>
      <c r="V190" s="338"/>
      <c r="W190" s="334" t="str">
        <f t="shared" si="68"/>
        <v>Yes</v>
      </c>
      <c r="X190" s="334" t="str">
        <f t="shared" si="68"/>
        <v>Yes</v>
      </c>
      <c r="Y190" s="334" t="str">
        <f t="shared" si="68"/>
        <v>Yes</v>
      </c>
      <c r="Z190" s="334" t="str">
        <f t="shared" si="68"/>
        <v>No</v>
      </c>
      <c r="AA190" s="334" t="str">
        <f t="shared" si="68"/>
        <v>No</v>
      </c>
      <c r="AB190" s="334" t="str">
        <f t="shared" si="68"/>
        <v>Yes</v>
      </c>
      <c r="AC190" s="334" t="str">
        <f t="shared" si="68"/>
        <v>Yes</v>
      </c>
      <c r="AE190" s="338">
        <f t="shared" si="70"/>
        <v>0</v>
      </c>
      <c r="AF190" s="338">
        <f t="shared" si="70"/>
        <v>0</v>
      </c>
      <c r="AG190" s="338">
        <f t="shared" si="70"/>
        <v>0</v>
      </c>
      <c r="AH190" s="334">
        <f t="shared" si="69"/>
        <v>3</v>
      </c>
      <c r="AI190" s="334">
        <f t="shared" si="69"/>
        <v>3</v>
      </c>
      <c r="AJ190" s="334">
        <f t="shared" si="69"/>
        <v>3</v>
      </c>
      <c r="AK190" s="334">
        <f t="shared" si="69"/>
        <v>2</v>
      </c>
      <c r="AL190" s="334">
        <f t="shared" si="69"/>
        <v>2</v>
      </c>
      <c r="AM190" s="334">
        <f t="shared" si="69"/>
        <v>4</v>
      </c>
      <c r="AN190" s="334">
        <f t="shared" si="69"/>
        <v>3</v>
      </c>
    </row>
    <row r="191" spans="7:40" x14ac:dyDescent="0.3">
      <c r="R191" s="107"/>
      <c r="S191" s="228" t="s">
        <v>373</v>
      </c>
      <c r="T191" s="338"/>
      <c r="U191" s="338"/>
      <c r="V191" s="338"/>
      <c r="W191" s="338"/>
      <c r="X191" s="334" t="str">
        <f t="shared" si="68"/>
        <v>Yes</v>
      </c>
      <c r="Y191" s="334" t="str">
        <f t="shared" si="68"/>
        <v>No</v>
      </c>
      <c r="Z191" s="334" t="str">
        <f t="shared" si="68"/>
        <v>Yes</v>
      </c>
      <c r="AA191" s="334" t="str">
        <f t="shared" si="68"/>
        <v>No</v>
      </c>
      <c r="AB191" s="334" t="str">
        <f t="shared" si="68"/>
        <v>No</v>
      </c>
      <c r="AC191" s="334" t="str">
        <f t="shared" si="68"/>
        <v>No</v>
      </c>
      <c r="AE191" s="338">
        <f t="shared" si="70"/>
        <v>0</v>
      </c>
      <c r="AF191" s="338">
        <f t="shared" si="70"/>
        <v>0</v>
      </c>
      <c r="AG191" s="338">
        <f t="shared" si="70"/>
        <v>0</v>
      </c>
      <c r="AH191" s="338">
        <f t="shared" si="70"/>
        <v>0</v>
      </c>
      <c r="AI191" s="334">
        <f t="shared" si="69"/>
        <v>4</v>
      </c>
      <c r="AJ191" s="334">
        <f t="shared" si="69"/>
        <v>1</v>
      </c>
      <c r="AK191" s="334">
        <f t="shared" si="69"/>
        <v>3</v>
      </c>
      <c r="AL191" s="334">
        <f t="shared" si="69"/>
        <v>2</v>
      </c>
      <c r="AM191" s="334">
        <f t="shared" si="69"/>
        <v>0</v>
      </c>
      <c r="AN191" s="334">
        <f t="shared" si="69"/>
        <v>1</v>
      </c>
    </row>
    <row r="192" spans="7:40" x14ac:dyDescent="0.3">
      <c r="R192" s="107"/>
      <c r="S192" s="228" t="s">
        <v>378</v>
      </c>
      <c r="T192" s="338"/>
      <c r="U192" s="338"/>
      <c r="V192" s="338"/>
      <c r="W192" s="338"/>
      <c r="X192" s="338"/>
      <c r="Y192" s="334" t="str">
        <f t="shared" si="68"/>
        <v>Yes</v>
      </c>
      <c r="Z192" s="334" t="str">
        <f t="shared" si="68"/>
        <v>Yes</v>
      </c>
      <c r="AA192" s="334" t="str">
        <f t="shared" si="68"/>
        <v>Yes</v>
      </c>
      <c r="AB192" s="334" t="str">
        <f t="shared" si="68"/>
        <v>Yes</v>
      </c>
      <c r="AC192" s="334" t="str">
        <f t="shared" si="68"/>
        <v>Yes</v>
      </c>
      <c r="AE192" s="338">
        <f t="shared" si="70"/>
        <v>0</v>
      </c>
      <c r="AF192" s="338">
        <f t="shared" si="70"/>
        <v>0</v>
      </c>
      <c r="AG192" s="338">
        <f t="shared" si="70"/>
        <v>0</v>
      </c>
      <c r="AH192" s="338">
        <f t="shared" si="70"/>
        <v>0</v>
      </c>
      <c r="AI192" s="338">
        <f t="shared" si="70"/>
        <v>0</v>
      </c>
      <c r="AJ192" s="334">
        <f>SUM(AJ11,AJ44,AJ77,AJ110,AJ143)</f>
        <v>3</v>
      </c>
      <c r="AK192" s="334">
        <f>SUM(AK11,AK44,AK77,AK110,AK143)</f>
        <v>3</v>
      </c>
      <c r="AL192" s="334">
        <f>SUM(AL11,AL44,AL77,AL110,AL143)</f>
        <v>3</v>
      </c>
      <c r="AM192" s="334">
        <f>SUM(AM11,AM44,AM77,AM110,AM143)</f>
        <v>3</v>
      </c>
      <c r="AN192" s="334">
        <f>SUM(AN11,AN44,AN77,AN110,AN143)</f>
        <v>3</v>
      </c>
    </row>
    <row r="193" spans="7:40" x14ac:dyDescent="0.3">
      <c r="R193" s="107"/>
      <c r="S193" s="228" t="s">
        <v>380</v>
      </c>
      <c r="T193" s="338"/>
      <c r="U193" s="338"/>
      <c r="V193" s="338"/>
      <c r="W193" s="338"/>
      <c r="X193" s="338"/>
      <c r="Y193" s="338"/>
      <c r="Z193" s="334" t="str">
        <f t="shared" si="68"/>
        <v>No</v>
      </c>
      <c r="AA193" s="334" t="str">
        <f t="shared" si="68"/>
        <v>No</v>
      </c>
      <c r="AB193" s="334" t="str">
        <f t="shared" si="68"/>
        <v>No</v>
      </c>
      <c r="AC193" s="334" t="str">
        <f t="shared" si="68"/>
        <v>No</v>
      </c>
      <c r="AE193" s="338">
        <f t="shared" si="70"/>
        <v>0</v>
      </c>
      <c r="AF193" s="338">
        <f t="shared" si="70"/>
        <v>0</v>
      </c>
      <c r="AG193" s="338">
        <f t="shared" si="70"/>
        <v>0</v>
      </c>
      <c r="AH193" s="338">
        <f t="shared" si="70"/>
        <v>0</v>
      </c>
      <c r="AI193" s="338">
        <f t="shared" si="70"/>
        <v>0</v>
      </c>
      <c r="AJ193" s="338">
        <f t="shared" si="70"/>
        <v>0</v>
      </c>
      <c r="AK193" s="334">
        <f>SUM(AK12,AK45,AK78,AK111,AK144)</f>
        <v>2</v>
      </c>
      <c r="AL193" s="334">
        <f>SUM(AL12,AL45,AL78,AL111,AL144)</f>
        <v>0</v>
      </c>
      <c r="AM193" s="334">
        <f>SUM(AM12,AM45,AM78,AM111,AM144)</f>
        <v>1</v>
      </c>
      <c r="AN193" s="334">
        <f>SUM(AN12,AN45,AN78,AN111,AN144)</f>
        <v>1</v>
      </c>
    </row>
    <row r="194" spans="7:40" x14ac:dyDescent="0.3">
      <c r="R194" s="107"/>
      <c r="S194" s="228" t="s">
        <v>382</v>
      </c>
      <c r="T194" s="338"/>
      <c r="U194" s="338"/>
      <c r="V194" s="338"/>
      <c r="W194" s="338"/>
      <c r="X194" s="338"/>
      <c r="Y194" s="338"/>
      <c r="Z194" s="338"/>
      <c r="AA194" s="334" t="str">
        <f t="shared" si="68"/>
        <v>No</v>
      </c>
      <c r="AB194" s="334" t="str">
        <f t="shared" si="68"/>
        <v>No</v>
      </c>
      <c r="AC194" s="334" t="str">
        <f t="shared" si="68"/>
        <v>Yes</v>
      </c>
      <c r="AE194" s="338">
        <f t="shared" si="70"/>
        <v>0</v>
      </c>
      <c r="AF194" s="338">
        <f t="shared" si="70"/>
        <v>0</v>
      </c>
      <c r="AG194" s="338">
        <f t="shared" si="70"/>
        <v>0</v>
      </c>
      <c r="AH194" s="338">
        <f t="shared" si="70"/>
        <v>0</v>
      </c>
      <c r="AI194" s="338">
        <f t="shared" si="70"/>
        <v>0</v>
      </c>
      <c r="AJ194" s="338">
        <f t="shared" si="70"/>
        <v>0</v>
      </c>
      <c r="AK194" s="338">
        <f t="shared" si="70"/>
        <v>0</v>
      </c>
      <c r="AL194" s="334">
        <f>SUM(AL13,AL46,AL79,AL112,AL145)</f>
        <v>2</v>
      </c>
      <c r="AM194" s="334">
        <f>SUM(AM13,AM46,AM79,AM112,AM145)</f>
        <v>1</v>
      </c>
      <c r="AN194" s="334">
        <f>SUM(AN13,AN46,AN79,AN112,AN145)</f>
        <v>3</v>
      </c>
    </row>
    <row r="195" spans="7:40" x14ac:dyDescent="0.3">
      <c r="R195" s="107"/>
      <c r="S195" s="228" t="s">
        <v>453</v>
      </c>
      <c r="T195" s="338"/>
      <c r="U195" s="338"/>
      <c r="V195" s="338"/>
      <c r="W195" s="338"/>
      <c r="X195" s="338"/>
      <c r="Y195" s="338"/>
      <c r="Z195" s="338"/>
      <c r="AA195" s="338"/>
      <c r="AB195" s="334" t="str">
        <f t="shared" si="68"/>
        <v>No</v>
      </c>
      <c r="AC195" s="334" t="str">
        <f t="shared" si="68"/>
        <v>No</v>
      </c>
      <c r="AE195" s="338">
        <f t="shared" si="70"/>
        <v>0</v>
      </c>
      <c r="AF195" s="338">
        <f t="shared" si="70"/>
        <v>0</v>
      </c>
      <c r="AG195" s="338">
        <f t="shared" si="70"/>
        <v>0</v>
      </c>
      <c r="AH195" s="338">
        <f t="shared" si="70"/>
        <v>0</v>
      </c>
      <c r="AI195" s="338">
        <f t="shared" si="70"/>
        <v>0</v>
      </c>
      <c r="AJ195" s="338">
        <f t="shared" si="70"/>
        <v>0</v>
      </c>
      <c r="AK195" s="338">
        <f t="shared" si="70"/>
        <v>0</v>
      </c>
      <c r="AL195" s="338">
        <f t="shared" si="70"/>
        <v>0</v>
      </c>
      <c r="AM195" s="334">
        <f>SUM(AM14,AM47,AM80,AM113,AM146)</f>
        <v>2</v>
      </c>
      <c r="AN195" s="334">
        <f>SUM(AN14,AN47,AN80,AN113,AN146)</f>
        <v>1</v>
      </c>
    </row>
    <row r="196" spans="7:40" x14ac:dyDescent="0.3">
      <c r="R196" s="107"/>
      <c r="S196" s="228" t="s">
        <v>454</v>
      </c>
      <c r="T196" s="338"/>
      <c r="U196" s="338"/>
      <c r="V196" s="338"/>
      <c r="W196" s="338"/>
      <c r="X196" s="338"/>
      <c r="Y196" s="338"/>
      <c r="Z196" s="338"/>
      <c r="AA196" s="338"/>
      <c r="AB196" s="338"/>
      <c r="AC196" s="334" t="str">
        <f t="shared" si="68"/>
        <v>No</v>
      </c>
      <c r="AE196" s="338">
        <f t="shared" si="70"/>
        <v>0</v>
      </c>
      <c r="AF196" s="338">
        <f t="shared" si="70"/>
        <v>0</v>
      </c>
      <c r="AG196" s="338">
        <f t="shared" si="70"/>
        <v>0</v>
      </c>
      <c r="AH196" s="338">
        <f t="shared" si="70"/>
        <v>0</v>
      </c>
      <c r="AI196" s="338">
        <f t="shared" si="70"/>
        <v>0</v>
      </c>
      <c r="AJ196" s="338">
        <f t="shared" si="70"/>
        <v>0</v>
      </c>
      <c r="AK196" s="338">
        <f t="shared" si="70"/>
        <v>0</v>
      </c>
      <c r="AL196" s="338">
        <f t="shared" si="70"/>
        <v>0</v>
      </c>
      <c r="AM196" s="338">
        <f t="shared" si="70"/>
        <v>0</v>
      </c>
      <c r="AN196" s="334">
        <f>SUM(AN15,AN48,AN81,AN114,AN147)</f>
        <v>2</v>
      </c>
    </row>
    <row r="197" spans="7:40" x14ac:dyDescent="0.3"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</row>
    <row r="199" spans="7:40" x14ac:dyDescent="0.3">
      <c r="G199" s="106" t="s">
        <v>832</v>
      </c>
      <c r="H199" s="107" t="s">
        <v>833</v>
      </c>
      <c r="I199" s="107"/>
      <c r="J199" s="107"/>
      <c r="K199" s="107"/>
      <c r="L199" s="107"/>
      <c r="M199" s="107"/>
      <c r="N199" s="107"/>
      <c r="O199" s="107"/>
      <c r="P199" s="107"/>
      <c r="Q199" s="107"/>
      <c r="R199" s="107">
        <v>3</v>
      </c>
      <c r="S199" s="107" t="s">
        <v>865</v>
      </c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</row>
    <row r="200" spans="7:40" ht="15.6" x14ac:dyDescent="0.35">
      <c r="G200" s="119" t="s">
        <v>633</v>
      </c>
      <c r="H200" s="107" t="s">
        <v>850</v>
      </c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 t="s">
        <v>866</v>
      </c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</row>
    <row r="201" spans="7:40" x14ac:dyDescent="0.3">
      <c r="G201" s="343" t="s">
        <v>862</v>
      </c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</row>
    <row r="202" spans="7:40" ht="15.6" x14ac:dyDescent="0.35">
      <c r="R202" s="107"/>
      <c r="S202" s="335" t="s">
        <v>840</v>
      </c>
      <c r="T202" s="228">
        <v>1988</v>
      </c>
      <c r="U202" s="228" t="s">
        <v>369</v>
      </c>
      <c r="V202" s="228" t="s">
        <v>371</v>
      </c>
      <c r="W202" s="228" t="s">
        <v>373</v>
      </c>
      <c r="X202" s="228" t="s">
        <v>378</v>
      </c>
      <c r="Y202" s="228" t="s">
        <v>380</v>
      </c>
      <c r="Z202" s="228" t="s">
        <v>382</v>
      </c>
      <c r="AA202" s="228" t="s">
        <v>453</v>
      </c>
      <c r="AB202" s="228" t="s">
        <v>454</v>
      </c>
      <c r="AC202" s="228" t="s">
        <v>388</v>
      </c>
    </row>
    <row r="203" spans="7:40" x14ac:dyDescent="0.3">
      <c r="R203" s="107"/>
      <c r="S203" s="228">
        <v>1977</v>
      </c>
      <c r="T203" s="334" t="str">
        <f>IF(AE203&gt;2,"Yes","No")</f>
        <v>Yes</v>
      </c>
      <c r="U203" s="334" t="str">
        <f>IF(AF203&gt;2,"Yes","No")</f>
        <v>Yes</v>
      </c>
      <c r="V203" s="334" t="str">
        <f t="shared" ref="V203:AC212" si="71">IF(AG203&gt;2,"Yes","No")</f>
        <v>No</v>
      </c>
      <c r="W203" s="334" t="str">
        <f t="shared" si="71"/>
        <v>Yes</v>
      </c>
      <c r="X203" s="334" t="str">
        <f t="shared" si="71"/>
        <v>No</v>
      </c>
      <c r="Y203" s="334" t="str">
        <f t="shared" si="71"/>
        <v>Yes</v>
      </c>
      <c r="Z203" s="334" t="str">
        <f t="shared" si="71"/>
        <v>No</v>
      </c>
      <c r="AA203" s="334" t="str">
        <f t="shared" si="71"/>
        <v>Yes</v>
      </c>
      <c r="AB203" s="334" t="str">
        <f t="shared" si="71"/>
        <v>No</v>
      </c>
      <c r="AC203" s="334" t="str">
        <f t="shared" si="71"/>
        <v>No</v>
      </c>
      <c r="AE203" s="334">
        <f>SUM(AE6,AE39,AE105,AE138)</f>
        <v>3</v>
      </c>
      <c r="AF203" s="334">
        <f t="shared" ref="AF203:AN212" si="72">SUM(AF6,AF39,AF105,AF138)</f>
        <v>3</v>
      </c>
      <c r="AG203" s="334">
        <f t="shared" si="72"/>
        <v>1</v>
      </c>
      <c r="AH203" s="334">
        <f t="shared" si="72"/>
        <v>3</v>
      </c>
      <c r="AI203" s="334">
        <f t="shared" si="72"/>
        <v>2</v>
      </c>
      <c r="AJ203" s="334">
        <f t="shared" si="72"/>
        <v>4</v>
      </c>
      <c r="AK203" s="334">
        <f t="shared" si="72"/>
        <v>2</v>
      </c>
      <c r="AL203" s="334">
        <f t="shared" si="72"/>
        <v>3</v>
      </c>
      <c r="AM203" s="334">
        <f t="shared" si="72"/>
        <v>2</v>
      </c>
      <c r="AN203" s="334">
        <f t="shared" si="72"/>
        <v>2</v>
      </c>
    </row>
    <row r="204" spans="7:40" x14ac:dyDescent="0.3">
      <c r="R204" s="107"/>
      <c r="S204" s="228">
        <v>1988</v>
      </c>
      <c r="T204" s="338"/>
      <c r="U204" s="334" t="str">
        <f t="shared" ref="U204" si="73">IF(AF204&gt;2,"Yes","No")</f>
        <v>No</v>
      </c>
      <c r="V204" s="334" t="str">
        <f t="shared" si="71"/>
        <v>No</v>
      </c>
      <c r="W204" s="334" t="str">
        <f t="shared" si="71"/>
        <v>Yes</v>
      </c>
      <c r="X204" s="334" t="str">
        <f t="shared" si="71"/>
        <v>No</v>
      </c>
      <c r="Y204" s="334" t="str">
        <f t="shared" si="71"/>
        <v>Yes</v>
      </c>
      <c r="Z204" s="334" t="str">
        <f t="shared" si="71"/>
        <v>No</v>
      </c>
      <c r="AA204" s="334" t="str">
        <f t="shared" si="71"/>
        <v>Yes</v>
      </c>
      <c r="AB204" s="334" t="str">
        <f t="shared" si="71"/>
        <v>Yes</v>
      </c>
      <c r="AC204" s="334" t="str">
        <f t="shared" si="71"/>
        <v>No</v>
      </c>
      <c r="AE204" s="338">
        <f t="shared" ref="AE204:AM212" si="74">IF(T204="Yes",1,0)</f>
        <v>0</v>
      </c>
      <c r="AF204" s="334">
        <f t="shared" si="72"/>
        <v>2</v>
      </c>
      <c r="AG204" s="334">
        <f t="shared" si="72"/>
        <v>2</v>
      </c>
      <c r="AH204" s="334">
        <f t="shared" si="72"/>
        <v>3</v>
      </c>
      <c r="AI204" s="334">
        <f t="shared" si="72"/>
        <v>1</v>
      </c>
      <c r="AJ204" s="334">
        <f t="shared" si="72"/>
        <v>4</v>
      </c>
      <c r="AK204" s="334">
        <f t="shared" si="72"/>
        <v>2</v>
      </c>
      <c r="AL204" s="334">
        <f t="shared" si="72"/>
        <v>3</v>
      </c>
      <c r="AM204" s="334">
        <f t="shared" si="72"/>
        <v>3</v>
      </c>
      <c r="AN204" s="334">
        <f t="shared" si="72"/>
        <v>2</v>
      </c>
    </row>
    <row r="205" spans="7:40" x14ac:dyDescent="0.3">
      <c r="R205" s="107"/>
      <c r="S205" s="228" t="s">
        <v>369</v>
      </c>
      <c r="T205" s="338"/>
      <c r="U205" s="338"/>
      <c r="V205" s="334" t="str">
        <f t="shared" si="71"/>
        <v>No</v>
      </c>
      <c r="W205" s="334" t="str">
        <f t="shared" si="71"/>
        <v>Yes</v>
      </c>
      <c r="X205" s="334" t="str">
        <f t="shared" si="71"/>
        <v>Yes</v>
      </c>
      <c r="Y205" s="334" t="str">
        <f t="shared" si="71"/>
        <v>No</v>
      </c>
      <c r="Z205" s="334" t="str">
        <f t="shared" si="71"/>
        <v>Yes</v>
      </c>
      <c r="AA205" s="334" t="str">
        <f t="shared" si="71"/>
        <v>No</v>
      </c>
      <c r="AB205" s="334" t="str">
        <f t="shared" si="71"/>
        <v>Yes</v>
      </c>
      <c r="AC205" s="334" t="str">
        <f t="shared" si="71"/>
        <v>No</v>
      </c>
      <c r="AE205" s="338">
        <f t="shared" si="74"/>
        <v>0</v>
      </c>
      <c r="AF205" s="338">
        <f t="shared" si="74"/>
        <v>0</v>
      </c>
      <c r="AG205" s="334">
        <f t="shared" si="72"/>
        <v>2</v>
      </c>
      <c r="AH205" s="334">
        <f t="shared" si="72"/>
        <v>3</v>
      </c>
      <c r="AI205" s="334">
        <f t="shared" si="72"/>
        <v>3</v>
      </c>
      <c r="AJ205" s="334">
        <f t="shared" si="72"/>
        <v>2</v>
      </c>
      <c r="AK205" s="334">
        <f t="shared" si="72"/>
        <v>4</v>
      </c>
      <c r="AL205" s="334">
        <f t="shared" si="72"/>
        <v>2</v>
      </c>
      <c r="AM205" s="334">
        <f t="shared" si="72"/>
        <v>3</v>
      </c>
      <c r="AN205" s="334">
        <f t="shared" si="72"/>
        <v>1</v>
      </c>
    </row>
    <row r="206" spans="7:40" x14ac:dyDescent="0.3">
      <c r="R206" s="107"/>
      <c r="S206" s="228" t="s">
        <v>371</v>
      </c>
      <c r="T206" s="338"/>
      <c r="U206" s="338"/>
      <c r="V206" s="338"/>
      <c r="W206" s="334" t="str">
        <f t="shared" si="71"/>
        <v>No</v>
      </c>
      <c r="X206" s="334" t="str">
        <f t="shared" si="71"/>
        <v>Yes</v>
      </c>
      <c r="Y206" s="334" t="str">
        <f t="shared" si="71"/>
        <v>No</v>
      </c>
      <c r="Z206" s="334" t="str">
        <f t="shared" si="71"/>
        <v>No</v>
      </c>
      <c r="AA206" s="334" t="str">
        <f t="shared" si="71"/>
        <v>No</v>
      </c>
      <c r="AB206" s="334" t="str">
        <f t="shared" si="71"/>
        <v>Yes</v>
      </c>
      <c r="AC206" s="334" t="str">
        <f t="shared" si="71"/>
        <v>No</v>
      </c>
      <c r="AE206" s="338">
        <f t="shared" si="74"/>
        <v>0</v>
      </c>
      <c r="AF206" s="338">
        <f t="shared" si="74"/>
        <v>0</v>
      </c>
      <c r="AG206" s="338">
        <f t="shared" si="74"/>
        <v>0</v>
      </c>
      <c r="AH206" s="334">
        <f t="shared" si="72"/>
        <v>2</v>
      </c>
      <c r="AI206" s="334">
        <f t="shared" si="72"/>
        <v>3</v>
      </c>
      <c r="AJ206" s="334">
        <f t="shared" si="72"/>
        <v>2</v>
      </c>
      <c r="AK206" s="334">
        <f t="shared" si="72"/>
        <v>1</v>
      </c>
      <c r="AL206" s="334">
        <f t="shared" si="72"/>
        <v>1</v>
      </c>
      <c r="AM206" s="334">
        <f t="shared" si="72"/>
        <v>3</v>
      </c>
      <c r="AN206" s="334">
        <f t="shared" si="72"/>
        <v>2</v>
      </c>
    </row>
    <row r="207" spans="7:40" x14ac:dyDescent="0.3">
      <c r="R207" s="107"/>
      <c r="S207" s="228" t="s">
        <v>373</v>
      </c>
      <c r="T207" s="338"/>
      <c r="U207" s="338"/>
      <c r="V207" s="338"/>
      <c r="W207" s="338"/>
      <c r="X207" s="334" t="str">
        <f t="shared" si="71"/>
        <v>Yes</v>
      </c>
      <c r="Y207" s="334" t="str">
        <f t="shared" si="71"/>
        <v>No</v>
      </c>
      <c r="Z207" s="334" t="str">
        <f t="shared" si="71"/>
        <v>Yes</v>
      </c>
      <c r="AA207" s="334" t="str">
        <f t="shared" si="71"/>
        <v>No</v>
      </c>
      <c r="AB207" s="334" t="str">
        <f t="shared" si="71"/>
        <v>No</v>
      </c>
      <c r="AC207" s="334" t="str">
        <f t="shared" si="71"/>
        <v>No</v>
      </c>
      <c r="AE207" s="338">
        <f t="shared" si="74"/>
        <v>0</v>
      </c>
      <c r="AF207" s="338">
        <f t="shared" si="74"/>
        <v>0</v>
      </c>
      <c r="AG207" s="338">
        <f t="shared" si="74"/>
        <v>0</v>
      </c>
      <c r="AH207" s="338">
        <f t="shared" si="74"/>
        <v>0</v>
      </c>
      <c r="AI207" s="334">
        <f t="shared" si="72"/>
        <v>3</v>
      </c>
      <c r="AJ207" s="334">
        <f t="shared" si="72"/>
        <v>1</v>
      </c>
      <c r="AK207" s="334">
        <f t="shared" si="72"/>
        <v>3</v>
      </c>
      <c r="AL207" s="334">
        <f t="shared" si="72"/>
        <v>1</v>
      </c>
      <c r="AM207" s="334">
        <f t="shared" si="72"/>
        <v>0</v>
      </c>
      <c r="AN207" s="334">
        <f t="shared" si="72"/>
        <v>1</v>
      </c>
    </row>
    <row r="208" spans="7:40" x14ac:dyDescent="0.3">
      <c r="R208" s="107"/>
      <c r="S208" s="228" t="s">
        <v>378</v>
      </c>
      <c r="T208" s="338"/>
      <c r="U208" s="338"/>
      <c r="V208" s="338"/>
      <c r="W208" s="338"/>
      <c r="X208" s="338"/>
      <c r="Y208" s="334" t="str">
        <f t="shared" si="71"/>
        <v>No</v>
      </c>
      <c r="Z208" s="334" t="str">
        <f t="shared" si="71"/>
        <v>No</v>
      </c>
      <c r="AA208" s="334" t="str">
        <f t="shared" si="71"/>
        <v>Yes</v>
      </c>
      <c r="AB208" s="334" t="str">
        <f t="shared" si="71"/>
        <v>No</v>
      </c>
      <c r="AC208" s="334" t="str">
        <f t="shared" si="71"/>
        <v>No</v>
      </c>
      <c r="AE208" s="338">
        <f t="shared" si="74"/>
        <v>0</v>
      </c>
      <c r="AF208" s="338">
        <f t="shared" si="74"/>
        <v>0</v>
      </c>
      <c r="AG208" s="338">
        <f t="shared" si="74"/>
        <v>0</v>
      </c>
      <c r="AH208" s="338">
        <f t="shared" si="74"/>
        <v>0</v>
      </c>
      <c r="AI208" s="338">
        <f t="shared" si="74"/>
        <v>0</v>
      </c>
      <c r="AJ208" s="334">
        <f t="shared" si="72"/>
        <v>2</v>
      </c>
      <c r="AK208" s="334">
        <f t="shared" si="72"/>
        <v>2</v>
      </c>
      <c r="AL208" s="334">
        <f t="shared" si="72"/>
        <v>3</v>
      </c>
      <c r="AM208" s="334">
        <f t="shared" si="72"/>
        <v>2</v>
      </c>
      <c r="AN208" s="334">
        <f t="shared" si="72"/>
        <v>2</v>
      </c>
    </row>
    <row r="209" spans="7:40" x14ac:dyDescent="0.3">
      <c r="R209" s="107"/>
      <c r="S209" s="228" t="s">
        <v>380</v>
      </c>
      <c r="T209" s="338"/>
      <c r="U209" s="338"/>
      <c r="V209" s="338"/>
      <c r="W209" s="338"/>
      <c r="X209" s="338"/>
      <c r="Y209" s="338"/>
      <c r="Z209" s="334" t="str">
        <f t="shared" si="71"/>
        <v>No</v>
      </c>
      <c r="AA209" s="334" t="str">
        <f t="shared" si="71"/>
        <v>No</v>
      </c>
      <c r="AB209" s="334" t="str">
        <f t="shared" si="71"/>
        <v>No</v>
      </c>
      <c r="AC209" s="334" t="str">
        <f t="shared" si="71"/>
        <v>No</v>
      </c>
      <c r="AE209" s="338">
        <f t="shared" si="74"/>
        <v>0</v>
      </c>
      <c r="AF209" s="338">
        <f t="shared" si="74"/>
        <v>0</v>
      </c>
      <c r="AG209" s="338">
        <f t="shared" si="74"/>
        <v>0</v>
      </c>
      <c r="AH209" s="338">
        <f t="shared" si="74"/>
        <v>0</v>
      </c>
      <c r="AI209" s="338">
        <f t="shared" si="74"/>
        <v>0</v>
      </c>
      <c r="AJ209" s="338">
        <f t="shared" si="74"/>
        <v>0</v>
      </c>
      <c r="AK209" s="334">
        <f t="shared" si="72"/>
        <v>2</v>
      </c>
      <c r="AL209" s="334">
        <f t="shared" si="72"/>
        <v>0</v>
      </c>
      <c r="AM209" s="334">
        <f t="shared" si="72"/>
        <v>1</v>
      </c>
      <c r="AN209" s="334">
        <f t="shared" si="72"/>
        <v>1</v>
      </c>
    </row>
    <row r="210" spans="7:40" x14ac:dyDescent="0.3">
      <c r="R210" s="107"/>
      <c r="S210" s="228" t="s">
        <v>382</v>
      </c>
      <c r="T210" s="338"/>
      <c r="U210" s="338"/>
      <c r="V210" s="338"/>
      <c r="W210" s="338"/>
      <c r="X210" s="338"/>
      <c r="Y210" s="338"/>
      <c r="Z210" s="338"/>
      <c r="AA210" s="334" t="str">
        <f t="shared" si="71"/>
        <v>No</v>
      </c>
      <c r="AB210" s="334" t="str">
        <f t="shared" si="71"/>
        <v>No</v>
      </c>
      <c r="AC210" s="334" t="str">
        <f t="shared" si="71"/>
        <v>No</v>
      </c>
      <c r="AE210" s="338">
        <f t="shared" si="74"/>
        <v>0</v>
      </c>
      <c r="AF210" s="338">
        <f t="shared" si="74"/>
        <v>0</v>
      </c>
      <c r="AG210" s="338">
        <f t="shared" si="74"/>
        <v>0</v>
      </c>
      <c r="AH210" s="338">
        <f t="shared" si="74"/>
        <v>0</v>
      </c>
      <c r="AI210" s="338">
        <f t="shared" si="74"/>
        <v>0</v>
      </c>
      <c r="AJ210" s="338">
        <f t="shared" si="74"/>
        <v>0</v>
      </c>
      <c r="AK210" s="338">
        <f t="shared" si="74"/>
        <v>0</v>
      </c>
      <c r="AL210" s="334">
        <f t="shared" si="72"/>
        <v>2</v>
      </c>
      <c r="AM210" s="334">
        <f t="shared" si="72"/>
        <v>1</v>
      </c>
      <c r="AN210" s="334">
        <f t="shared" si="72"/>
        <v>2</v>
      </c>
    </row>
    <row r="211" spans="7:40" x14ac:dyDescent="0.3">
      <c r="R211" s="107"/>
      <c r="S211" s="228" t="s">
        <v>453</v>
      </c>
      <c r="T211" s="338"/>
      <c r="U211" s="338"/>
      <c r="V211" s="338"/>
      <c r="W211" s="338"/>
      <c r="X211" s="338"/>
      <c r="Y211" s="338"/>
      <c r="Z211" s="338"/>
      <c r="AA211" s="338"/>
      <c r="AB211" s="334" t="str">
        <f t="shared" si="71"/>
        <v>No</v>
      </c>
      <c r="AC211" s="334" t="str">
        <f t="shared" si="71"/>
        <v>No</v>
      </c>
      <c r="AE211" s="338">
        <f t="shared" si="74"/>
        <v>0</v>
      </c>
      <c r="AF211" s="338">
        <f t="shared" si="74"/>
        <v>0</v>
      </c>
      <c r="AG211" s="338">
        <f t="shared" si="74"/>
        <v>0</v>
      </c>
      <c r="AH211" s="338">
        <f t="shared" si="74"/>
        <v>0</v>
      </c>
      <c r="AI211" s="338">
        <f t="shared" si="74"/>
        <v>0</v>
      </c>
      <c r="AJ211" s="338">
        <f t="shared" si="74"/>
        <v>0</v>
      </c>
      <c r="AK211" s="338">
        <f t="shared" si="74"/>
        <v>0</v>
      </c>
      <c r="AL211" s="338">
        <f t="shared" si="74"/>
        <v>0</v>
      </c>
      <c r="AM211" s="334">
        <f t="shared" si="72"/>
        <v>2</v>
      </c>
      <c r="AN211" s="334">
        <f t="shared" si="72"/>
        <v>1</v>
      </c>
    </row>
    <row r="212" spans="7:40" x14ac:dyDescent="0.3">
      <c r="R212" s="107"/>
      <c r="S212" s="228" t="s">
        <v>454</v>
      </c>
      <c r="T212" s="338"/>
      <c r="U212" s="338"/>
      <c r="V212" s="338"/>
      <c r="W212" s="338"/>
      <c r="X212" s="338"/>
      <c r="Y212" s="338"/>
      <c r="Z212" s="338"/>
      <c r="AA212" s="338"/>
      <c r="AB212" s="338"/>
      <c r="AC212" s="334" t="str">
        <f t="shared" si="71"/>
        <v>No</v>
      </c>
      <c r="AE212" s="338">
        <f t="shared" si="74"/>
        <v>0</v>
      </c>
      <c r="AF212" s="338">
        <f t="shared" si="74"/>
        <v>0</v>
      </c>
      <c r="AG212" s="338">
        <f t="shared" si="74"/>
        <v>0</v>
      </c>
      <c r="AH212" s="338">
        <f t="shared" si="74"/>
        <v>0</v>
      </c>
      <c r="AI212" s="338">
        <f t="shared" si="74"/>
        <v>0</v>
      </c>
      <c r="AJ212" s="338">
        <f t="shared" si="74"/>
        <v>0</v>
      </c>
      <c r="AK212" s="338">
        <f t="shared" si="74"/>
        <v>0</v>
      </c>
      <c r="AL212" s="338">
        <f t="shared" si="74"/>
        <v>0</v>
      </c>
      <c r="AM212" s="338">
        <f t="shared" si="74"/>
        <v>0</v>
      </c>
      <c r="AN212" s="334">
        <f t="shared" si="72"/>
        <v>2</v>
      </c>
    </row>
    <row r="213" spans="7:40" x14ac:dyDescent="0.3"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</row>
    <row r="215" spans="7:40" x14ac:dyDescent="0.3">
      <c r="G215" s="106" t="s">
        <v>832</v>
      </c>
      <c r="H215" s="107" t="s">
        <v>833</v>
      </c>
      <c r="I215" s="107"/>
      <c r="J215" s="107"/>
      <c r="K215" s="107"/>
      <c r="L215" s="107"/>
      <c r="M215" s="107"/>
      <c r="N215" s="107"/>
      <c r="O215" s="107"/>
      <c r="P215" s="107"/>
      <c r="Q215" s="107"/>
      <c r="R215" s="107">
        <v>4</v>
      </c>
      <c r="S215" s="107" t="s">
        <v>867</v>
      </c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</row>
    <row r="216" spans="7:40" ht="15.6" x14ac:dyDescent="0.35">
      <c r="G216" s="119" t="s">
        <v>633</v>
      </c>
      <c r="H216" s="107" t="s">
        <v>836</v>
      </c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 t="s">
        <v>868</v>
      </c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</row>
    <row r="217" spans="7:40" x14ac:dyDescent="0.3">
      <c r="G217" s="343" t="s">
        <v>862</v>
      </c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</row>
    <row r="218" spans="7:40" ht="15.6" x14ac:dyDescent="0.35">
      <c r="R218" s="107"/>
      <c r="S218" s="335" t="s">
        <v>840</v>
      </c>
      <c r="T218" s="228">
        <v>1988</v>
      </c>
      <c r="U218" s="228" t="s">
        <v>369</v>
      </c>
      <c r="V218" s="228" t="s">
        <v>371</v>
      </c>
      <c r="W218" s="228" t="s">
        <v>373</v>
      </c>
      <c r="X218" s="228" t="s">
        <v>378</v>
      </c>
      <c r="Y218" s="228" t="s">
        <v>380</v>
      </c>
      <c r="Z218" s="228" t="s">
        <v>382</v>
      </c>
      <c r="AA218" s="228" t="s">
        <v>453</v>
      </c>
      <c r="AB218" s="228" t="s">
        <v>454</v>
      </c>
      <c r="AC218" s="228" t="s">
        <v>388</v>
      </c>
    </row>
    <row r="219" spans="7:40" x14ac:dyDescent="0.3">
      <c r="R219" s="107"/>
      <c r="S219" s="228">
        <v>1977</v>
      </c>
      <c r="T219" s="334" t="str">
        <f>IF(AE219&lt;2,"No","Yes")</f>
        <v>No</v>
      </c>
      <c r="U219" s="334" t="str">
        <f t="shared" ref="U219:AC228" si="75">IF(AF219&lt;2,"No","Yes")</f>
        <v>Yes</v>
      </c>
      <c r="V219" s="334" t="str">
        <f t="shared" si="75"/>
        <v>No</v>
      </c>
      <c r="W219" s="334" t="str">
        <f t="shared" si="75"/>
        <v>Yes</v>
      </c>
      <c r="X219" s="334" t="str">
        <f t="shared" si="75"/>
        <v>No</v>
      </c>
      <c r="Y219" s="334" t="str">
        <f t="shared" si="75"/>
        <v>Yes</v>
      </c>
      <c r="Z219" s="334" t="str">
        <f t="shared" si="75"/>
        <v>Yes</v>
      </c>
      <c r="AA219" s="334" t="str">
        <f t="shared" si="75"/>
        <v>Yes</v>
      </c>
      <c r="AB219" s="334" t="str">
        <f t="shared" si="75"/>
        <v>Yes</v>
      </c>
      <c r="AC219" s="334" t="str">
        <f t="shared" si="75"/>
        <v>No</v>
      </c>
      <c r="AE219" s="334">
        <f>SUM(AE72,AE105,AE138)</f>
        <v>1</v>
      </c>
      <c r="AF219" s="334">
        <f t="shared" ref="AF219:AN228" si="76">SUM(AF72,AF105,AF138)</f>
        <v>2</v>
      </c>
      <c r="AG219" s="334">
        <f t="shared" si="76"/>
        <v>0</v>
      </c>
      <c r="AH219" s="334">
        <f t="shared" si="76"/>
        <v>3</v>
      </c>
      <c r="AI219" s="334">
        <f t="shared" si="76"/>
        <v>1</v>
      </c>
      <c r="AJ219" s="334">
        <f t="shared" si="76"/>
        <v>3</v>
      </c>
      <c r="AK219" s="334">
        <f t="shared" si="76"/>
        <v>2</v>
      </c>
      <c r="AL219" s="334">
        <f t="shared" si="76"/>
        <v>2</v>
      </c>
      <c r="AM219" s="334">
        <f t="shared" si="76"/>
        <v>3</v>
      </c>
      <c r="AN219" s="334">
        <f t="shared" si="76"/>
        <v>1</v>
      </c>
    </row>
    <row r="220" spans="7:40" x14ac:dyDescent="0.3">
      <c r="R220" s="107"/>
      <c r="S220" s="228">
        <v>1988</v>
      </c>
      <c r="T220" s="338"/>
      <c r="U220" s="334" t="str">
        <f t="shared" si="75"/>
        <v>No</v>
      </c>
      <c r="V220" s="334" t="str">
        <f t="shared" si="75"/>
        <v>No</v>
      </c>
      <c r="W220" s="334" t="str">
        <f t="shared" si="75"/>
        <v>Yes</v>
      </c>
      <c r="X220" s="334" t="str">
        <f t="shared" si="75"/>
        <v>No</v>
      </c>
      <c r="Y220" s="334" t="str">
        <f t="shared" si="75"/>
        <v>Yes</v>
      </c>
      <c r="Z220" s="334" t="str">
        <f t="shared" si="75"/>
        <v>No</v>
      </c>
      <c r="AA220" s="334" t="str">
        <f t="shared" si="75"/>
        <v>Yes</v>
      </c>
      <c r="AB220" s="334" t="str">
        <f t="shared" si="75"/>
        <v>Yes</v>
      </c>
      <c r="AC220" s="334" t="str">
        <f t="shared" si="75"/>
        <v>Yes</v>
      </c>
      <c r="AE220" s="338">
        <f t="shared" ref="AE220:AM228" si="77">IF(T220="Yes",1,0)</f>
        <v>0</v>
      </c>
      <c r="AF220" s="334">
        <f t="shared" si="76"/>
        <v>1</v>
      </c>
      <c r="AG220" s="334">
        <f t="shared" si="76"/>
        <v>0</v>
      </c>
      <c r="AH220" s="334">
        <f t="shared" si="76"/>
        <v>3</v>
      </c>
      <c r="AI220" s="334">
        <f t="shared" si="76"/>
        <v>1</v>
      </c>
      <c r="AJ220" s="334">
        <f t="shared" si="76"/>
        <v>3</v>
      </c>
      <c r="AK220" s="334">
        <f t="shared" si="76"/>
        <v>1</v>
      </c>
      <c r="AL220" s="334">
        <f t="shared" si="76"/>
        <v>2</v>
      </c>
      <c r="AM220" s="334">
        <f t="shared" si="76"/>
        <v>3</v>
      </c>
      <c r="AN220" s="334">
        <f t="shared" si="76"/>
        <v>3</v>
      </c>
    </row>
    <row r="221" spans="7:40" x14ac:dyDescent="0.3">
      <c r="R221" s="107"/>
      <c r="S221" s="228" t="s">
        <v>369</v>
      </c>
      <c r="T221" s="338"/>
      <c r="U221" s="338"/>
      <c r="V221" s="334" t="str">
        <f t="shared" si="75"/>
        <v>No</v>
      </c>
      <c r="W221" s="334" t="str">
        <f t="shared" si="75"/>
        <v>Yes</v>
      </c>
      <c r="X221" s="334" t="str">
        <f t="shared" si="75"/>
        <v>Yes</v>
      </c>
      <c r="Y221" s="334" t="str">
        <f t="shared" si="75"/>
        <v>No</v>
      </c>
      <c r="Z221" s="334" t="str">
        <f t="shared" si="75"/>
        <v>Yes</v>
      </c>
      <c r="AA221" s="334" t="str">
        <f t="shared" si="75"/>
        <v>No</v>
      </c>
      <c r="AB221" s="334" t="str">
        <f t="shared" si="75"/>
        <v>Yes</v>
      </c>
      <c r="AC221" s="334" t="str">
        <f t="shared" si="75"/>
        <v>No</v>
      </c>
      <c r="AE221" s="338">
        <f t="shared" si="77"/>
        <v>0</v>
      </c>
      <c r="AF221" s="338">
        <f t="shared" si="77"/>
        <v>0</v>
      </c>
      <c r="AG221" s="334">
        <f t="shared" si="76"/>
        <v>1</v>
      </c>
      <c r="AH221" s="334">
        <f t="shared" si="76"/>
        <v>2</v>
      </c>
      <c r="AI221" s="334">
        <f t="shared" si="76"/>
        <v>2</v>
      </c>
      <c r="AJ221" s="334">
        <f t="shared" si="76"/>
        <v>1</v>
      </c>
      <c r="AK221" s="334">
        <f t="shared" si="76"/>
        <v>2</v>
      </c>
      <c r="AL221" s="334">
        <f t="shared" si="76"/>
        <v>1</v>
      </c>
      <c r="AM221" s="334">
        <f t="shared" si="76"/>
        <v>2</v>
      </c>
      <c r="AN221" s="334">
        <f t="shared" si="76"/>
        <v>1</v>
      </c>
    </row>
    <row r="222" spans="7:40" x14ac:dyDescent="0.3">
      <c r="R222" s="107"/>
      <c r="S222" s="228" t="s">
        <v>371</v>
      </c>
      <c r="T222" s="338"/>
      <c r="U222" s="338"/>
      <c r="V222" s="338"/>
      <c r="W222" s="334" t="str">
        <f t="shared" si="75"/>
        <v>Yes</v>
      </c>
      <c r="X222" s="334" t="str">
        <f t="shared" si="75"/>
        <v>No</v>
      </c>
      <c r="Y222" s="334" t="str">
        <f t="shared" si="75"/>
        <v>Yes</v>
      </c>
      <c r="Z222" s="334" t="str">
        <f t="shared" si="75"/>
        <v>Yes</v>
      </c>
      <c r="AA222" s="334" t="str">
        <f t="shared" si="75"/>
        <v>Yes</v>
      </c>
      <c r="AB222" s="334" t="str">
        <f t="shared" si="75"/>
        <v>Yes</v>
      </c>
      <c r="AC222" s="334" t="str">
        <f t="shared" si="75"/>
        <v>Yes</v>
      </c>
      <c r="AE222" s="338">
        <f t="shared" si="77"/>
        <v>0</v>
      </c>
      <c r="AF222" s="338">
        <f t="shared" si="77"/>
        <v>0</v>
      </c>
      <c r="AG222" s="338">
        <f t="shared" si="77"/>
        <v>0</v>
      </c>
      <c r="AH222" s="334">
        <f t="shared" si="76"/>
        <v>2</v>
      </c>
      <c r="AI222" s="334">
        <f t="shared" si="76"/>
        <v>1</v>
      </c>
      <c r="AJ222" s="334">
        <f t="shared" si="76"/>
        <v>3</v>
      </c>
      <c r="AK222" s="334">
        <f t="shared" si="76"/>
        <v>2</v>
      </c>
      <c r="AL222" s="334">
        <f t="shared" si="76"/>
        <v>2</v>
      </c>
      <c r="AM222" s="334">
        <f t="shared" si="76"/>
        <v>3</v>
      </c>
      <c r="AN222" s="334">
        <f t="shared" si="76"/>
        <v>2</v>
      </c>
    </row>
    <row r="223" spans="7:40" x14ac:dyDescent="0.3">
      <c r="R223" s="107"/>
      <c r="S223" s="228" t="s">
        <v>373</v>
      </c>
      <c r="T223" s="338"/>
      <c r="U223" s="338"/>
      <c r="V223" s="338"/>
      <c r="W223" s="338"/>
      <c r="X223" s="334" t="str">
        <f t="shared" si="75"/>
        <v>Yes</v>
      </c>
      <c r="Y223" s="334" t="str">
        <f t="shared" si="75"/>
        <v>No</v>
      </c>
      <c r="Z223" s="334" t="str">
        <f t="shared" si="75"/>
        <v>Yes</v>
      </c>
      <c r="AA223" s="334" t="str">
        <f t="shared" si="75"/>
        <v>No</v>
      </c>
      <c r="AB223" s="334" t="str">
        <f t="shared" si="75"/>
        <v>No</v>
      </c>
      <c r="AC223" s="334" t="str">
        <f t="shared" si="75"/>
        <v>No</v>
      </c>
      <c r="AE223" s="338">
        <f t="shared" si="77"/>
        <v>0</v>
      </c>
      <c r="AF223" s="338">
        <f t="shared" si="77"/>
        <v>0</v>
      </c>
      <c r="AG223" s="338">
        <f t="shared" si="77"/>
        <v>0</v>
      </c>
      <c r="AH223" s="338">
        <f t="shared" si="77"/>
        <v>0</v>
      </c>
      <c r="AI223" s="334">
        <f t="shared" si="76"/>
        <v>3</v>
      </c>
      <c r="AJ223" s="334">
        <f t="shared" si="76"/>
        <v>0</v>
      </c>
      <c r="AK223" s="334">
        <f t="shared" si="76"/>
        <v>2</v>
      </c>
      <c r="AL223" s="334">
        <f t="shared" si="76"/>
        <v>1</v>
      </c>
      <c r="AM223" s="334">
        <f t="shared" si="76"/>
        <v>0</v>
      </c>
      <c r="AN223" s="334">
        <f t="shared" si="76"/>
        <v>0</v>
      </c>
    </row>
    <row r="224" spans="7:40" x14ac:dyDescent="0.3">
      <c r="R224" s="107"/>
      <c r="S224" s="228" t="s">
        <v>378</v>
      </c>
      <c r="T224" s="338"/>
      <c r="U224" s="338"/>
      <c r="V224" s="338"/>
      <c r="W224" s="338"/>
      <c r="X224" s="338"/>
      <c r="Y224" s="334" t="str">
        <f t="shared" si="75"/>
        <v>Yes</v>
      </c>
      <c r="Z224" s="334" t="str">
        <f t="shared" si="75"/>
        <v>No</v>
      </c>
      <c r="AA224" s="334" t="str">
        <f t="shared" si="75"/>
        <v>Yes</v>
      </c>
      <c r="AB224" s="334" t="str">
        <f t="shared" si="75"/>
        <v>Yes</v>
      </c>
      <c r="AC224" s="334" t="str">
        <f t="shared" si="75"/>
        <v>Yes</v>
      </c>
      <c r="AE224" s="338">
        <f t="shared" si="77"/>
        <v>0</v>
      </c>
      <c r="AF224" s="338">
        <f t="shared" si="77"/>
        <v>0</v>
      </c>
      <c r="AG224" s="338">
        <f t="shared" si="77"/>
        <v>0</v>
      </c>
      <c r="AH224" s="338">
        <f t="shared" si="77"/>
        <v>0</v>
      </c>
      <c r="AI224" s="338">
        <f t="shared" si="77"/>
        <v>0</v>
      </c>
      <c r="AJ224" s="334">
        <f t="shared" si="76"/>
        <v>2</v>
      </c>
      <c r="AK224" s="334">
        <f t="shared" si="76"/>
        <v>1</v>
      </c>
      <c r="AL224" s="334">
        <f t="shared" si="76"/>
        <v>2</v>
      </c>
      <c r="AM224" s="334">
        <f t="shared" si="76"/>
        <v>2</v>
      </c>
      <c r="AN224" s="334">
        <f t="shared" si="76"/>
        <v>2</v>
      </c>
    </row>
    <row r="225" spans="7:40" x14ac:dyDescent="0.3">
      <c r="R225" s="107"/>
      <c r="S225" s="228" t="s">
        <v>380</v>
      </c>
      <c r="T225" s="338"/>
      <c r="U225" s="338"/>
      <c r="V225" s="338"/>
      <c r="W225" s="338"/>
      <c r="X225" s="338"/>
      <c r="Y225" s="338"/>
      <c r="Z225" s="334" t="str">
        <f t="shared" si="75"/>
        <v>No</v>
      </c>
      <c r="AA225" s="334" t="str">
        <f t="shared" si="75"/>
        <v>No</v>
      </c>
      <c r="AB225" s="334" t="str">
        <f t="shared" si="75"/>
        <v>No</v>
      </c>
      <c r="AC225" s="334" t="str">
        <f t="shared" si="75"/>
        <v>No</v>
      </c>
      <c r="AE225" s="338">
        <f t="shared" si="77"/>
        <v>0</v>
      </c>
      <c r="AF225" s="338">
        <f t="shared" si="77"/>
        <v>0</v>
      </c>
      <c r="AG225" s="338">
        <f t="shared" si="77"/>
        <v>0</v>
      </c>
      <c r="AH225" s="338">
        <f t="shared" si="77"/>
        <v>0</v>
      </c>
      <c r="AI225" s="338">
        <f t="shared" si="77"/>
        <v>0</v>
      </c>
      <c r="AJ225" s="338">
        <f t="shared" si="77"/>
        <v>0</v>
      </c>
      <c r="AK225" s="334">
        <f t="shared" si="76"/>
        <v>1</v>
      </c>
      <c r="AL225" s="334">
        <f t="shared" si="76"/>
        <v>0</v>
      </c>
      <c r="AM225" s="334">
        <f t="shared" si="76"/>
        <v>0</v>
      </c>
      <c r="AN225" s="334">
        <f t="shared" si="76"/>
        <v>1</v>
      </c>
    </row>
    <row r="226" spans="7:40" x14ac:dyDescent="0.3">
      <c r="R226" s="107"/>
      <c r="S226" s="228" t="s">
        <v>382</v>
      </c>
      <c r="T226" s="338"/>
      <c r="U226" s="338"/>
      <c r="V226" s="338"/>
      <c r="W226" s="338"/>
      <c r="X226" s="338"/>
      <c r="Y226" s="338"/>
      <c r="Z226" s="338"/>
      <c r="AA226" s="334" t="str">
        <f t="shared" si="75"/>
        <v>No</v>
      </c>
      <c r="AB226" s="334" t="str">
        <f t="shared" si="75"/>
        <v>No</v>
      </c>
      <c r="AC226" s="334" t="str">
        <f t="shared" si="75"/>
        <v>Yes</v>
      </c>
      <c r="AE226" s="338">
        <f t="shared" si="77"/>
        <v>0</v>
      </c>
      <c r="AF226" s="338">
        <f t="shared" si="77"/>
        <v>0</v>
      </c>
      <c r="AG226" s="338">
        <f t="shared" si="77"/>
        <v>0</v>
      </c>
      <c r="AH226" s="338">
        <f t="shared" si="77"/>
        <v>0</v>
      </c>
      <c r="AI226" s="338">
        <f t="shared" si="77"/>
        <v>0</v>
      </c>
      <c r="AJ226" s="338">
        <f t="shared" si="77"/>
        <v>0</v>
      </c>
      <c r="AK226" s="338">
        <f t="shared" si="77"/>
        <v>0</v>
      </c>
      <c r="AL226" s="334">
        <f t="shared" si="76"/>
        <v>1</v>
      </c>
      <c r="AM226" s="334">
        <f t="shared" si="76"/>
        <v>1</v>
      </c>
      <c r="AN226" s="334">
        <f t="shared" si="76"/>
        <v>2</v>
      </c>
    </row>
    <row r="227" spans="7:40" x14ac:dyDescent="0.3">
      <c r="R227" s="107"/>
      <c r="S227" s="228" t="s">
        <v>453</v>
      </c>
      <c r="T227" s="338"/>
      <c r="U227" s="338"/>
      <c r="V227" s="338"/>
      <c r="W227" s="338"/>
      <c r="X227" s="338"/>
      <c r="Y227" s="338"/>
      <c r="Z227" s="338"/>
      <c r="AA227" s="338"/>
      <c r="AB227" s="334" t="str">
        <f t="shared" si="75"/>
        <v>No</v>
      </c>
      <c r="AC227" s="334" t="str">
        <f t="shared" si="75"/>
        <v>No</v>
      </c>
      <c r="AE227" s="338">
        <f t="shared" si="77"/>
        <v>0</v>
      </c>
      <c r="AF227" s="338">
        <f t="shared" si="77"/>
        <v>0</v>
      </c>
      <c r="AG227" s="338">
        <f t="shared" si="77"/>
        <v>0</v>
      </c>
      <c r="AH227" s="338">
        <f t="shared" si="77"/>
        <v>0</v>
      </c>
      <c r="AI227" s="338">
        <f t="shared" si="77"/>
        <v>0</v>
      </c>
      <c r="AJ227" s="338">
        <f t="shared" si="77"/>
        <v>0</v>
      </c>
      <c r="AK227" s="338">
        <f t="shared" si="77"/>
        <v>0</v>
      </c>
      <c r="AL227" s="338">
        <f t="shared" si="77"/>
        <v>0</v>
      </c>
      <c r="AM227" s="334">
        <f t="shared" si="76"/>
        <v>1</v>
      </c>
      <c r="AN227" s="334">
        <f t="shared" si="76"/>
        <v>1</v>
      </c>
    </row>
    <row r="228" spans="7:40" x14ac:dyDescent="0.3">
      <c r="R228" s="107"/>
      <c r="S228" s="228" t="s">
        <v>454</v>
      </c>
      <c r="T228" s="338"/>
      <c r="U228" s="338"/>
      <c r="V228" s="338"/>
      <c r="W228" s="338"/>
      <c r="X228" s="338"/>
      <c r="Y228" s="338"/>
      <c r="Z228" s="338"/>
      <c r="AA228" s="338"/>
      <c r="AB228" s="338"/>
      <c r="AC228" s="334" t="str">
        <f t="shared" si="75"/>
        <v>No</v>
      </c>
      <c r="AE228" s="338">
        <f t="shared" si="77"/>
        <v>0</v>
      </c>
      <c r="AF228" s="338">
        <f t="shared" si="77"/>
        <v>0</v>
      </c>
      <c r="AG228" s="338">
        <f t="shared" si="77"/>
        <v>0</v>
      </c>
      <c r="AH228" s="338">
        <f t="shared" si="77"/>
        <v>0</v>
      </c>
      <c r="AI228" s="338">
        <f t="shared" si="77"/>
        <v>0</v>
      </c>
      <c r="AJ228" s="338">
        <f t="shared" si="77"/>
        <v>0</v>
      </c>
      <c r="AK228" s="338">
        <f t="shared" si="77"/>
        <v>0</v>
      </c>
      <c r="AL228" s="338">
        <f t="shared" si="77"/>
        <v>0</v>
      </c>
      <c r="AM228" s="338">
        <f t="shared" si="77"/>
        <v>0</v>
      </c>
      <c r="AN228" s="334">
        <f t="shared" si="76"/>
        <v>0</v>
      </c>
    </row>
    <row r="229" spans="7:40" x14ac:dyDescent="0.3"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</row>
    <row r="231" spans="7:40" x14ac:dyDescent="0.3">
      <c r="G231" s="106" t="s">
        <v>832</v>
      </c>
      <c r="H231" s="107" t="s">
        <v>833</v>
      </c>
      <c r="I231" s="107"/>
      <c r="J231" s="107"/>
      <c r="K231" s="107"/>
      <c r="L231" s="107"/>
      <c r="M231" s="107"/>
      <c r="N231" s="107"/>
      <c r="O231" s="107"/>
      <c r="P231" s="107"/>
      <c r="Q231" s="107"/>
      <c r="R231" s="107">
        <v>5</v>
      </c>
      <c r="S231" s="107" t="s">
        <v>869</v>
      </c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</row>
    <row r="232" spans="7:40" ht="15.6" x14ac:dyDescent="0.35">
      <c r="G232" s="119" t="s">
        <v>633</v>
      </c>
      <c r="H232" s="107" t="s">
        <v>836</v>
      </c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 t="s">
        <v>870</v>
      </c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</row>
    <row r="233" spans="7:40" x14ac:dyDescent="0.3">
      <c r="G233" s="343" t="s">
        <v>862</v>
      </c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</row>
    <row r="234" spans="7:40" ht="15.6" x14ac:dyDescent="0.35">
      <c r="R234" s="107"/>
      <c r="S234" s="335" t="s">
        <v>840</v>
      </c>
      <c r="T234" s="228">
        <v>1988</v>
      </c>
      <c r="U234" s="228" t="s">
        <v>369</v>
      </c>
      <c r="V234" s="228" t="s">
        <v>371</v>
      </c>
      <c r="W234" s="228" t="s">
        <v>373</v>
      </c>
      <c r="X234" s="228" t="s">
        <v>378</v>
      </c>
      <c r="Y234" s="228" t="s">
        <v>380</v>
      </c>
      <c r="Z234" s="228" t="s">
        <v>382</v>
      </c>
      <c r="AA234" s="228" t="s">
        <v>453</v>
      </c>
      <c r="AB234" s="228" t="s">
        <v>454</v>
      </c>
      <c r="AC234" s="228" t="s">
        <v>388</v>
      </c>
    </row>
    <row r="235" spans="7:40" x14ac:dyDescent="0.3">
      <c r="R235" s="107"/>
      <c r="S235" s="228">
        <v>1977</v>
      </c>
      <c r="T235" s="334" t="str">
        <f>IF(AE235&lt;2,"No","Yes")</f>
        <v>No</v>
      </c>
      <c r="U235" s="334" t="str">
        <f t="shared" ref="U235:AC244" si="78">IF(AF235&lt;2,"No","Yes")</f>
        <v>Yes</v>
      </c>
      <c r="V235" s="334" t="str">
        <f t="shared" si="78"/>
        <v>No</v>
      </c>
      <c r="W235" s="334" t="str">
        <f t="shared" si="78"/>
        <v>Yes</v>
      </c>
      <c r="X235" s="334" t="str">
        <f t="shared" si="78"/>
        <v>No</v>
      </c>
      <c r="Y235" s="334" t="str">
        <f t="shared" si="78"/>
        <v>Yes</v>
      </c>
      <c r="Z235" s="334" t="str">
        <f t="shared" si="78"/>
        <v>Yes</v>
      </c>
      <c r="AA235" s="334" t="str">
        <f t="shared" si="78"/>
        <v>Yes</v>
      </c>
      <c r="AB235" s="334" t="str">
        <f t="shared" si="78"/>
        <v>Yes</v>
      </c>
      <c r="AC235" s="334" t="str">
        <f t="shared" si="78"/>
        <v>No</v>
      </c>
      <c r="AE235" s="334">
        <f>SUM(AE72,AE105,AE138)</f>
        <v>1</v>
      </c>
      <c r="AF235" s="334">
        <f t="shared" ref="AF235:AN244" si="79">SUM(AF72,AF105,AF138)</f>
        <v>2</v>
      </c>
      <c r="AG235" s="334">
        <f t="shared" si="79"/>
        <v>0</v>
      </c>
      <c r="AH235" s="334">
        <f t="shared" si="79"/>
        <v>3</v>
      </c>
      <c r="AI235" s="334">
        <f t="shared" si="79"/>
        <v>1</v>
      </c>
      <c r="AJ235" s="334">
        <f t="shared" si="79"/>
        <v>3</v>
      </c>
      <c r="AK235" s="334">
        <f t="shared" si="79"/>
        <v>2</v>
      </c>
      <c r="AL235" s="334">
        <f t="shared" si="79"/>
        <v>2</v>
      </c>
      <c r="AM235" s="334">
        <f t="shared" si="79"/>
        <v>3</v>
      </c>
      <c r="AN235" s="334">
        <f t="shared" si="79"/>
        <v>1</v>
      </c>
    </row>
    <row r="236" spans="7:40" x14ac:dyDescent="0.3">
      <c r="R236" s="107"/>
      <c r="S236" s="228">
        <v>1988</v>
      </c>
      <c r="T236" s="338"/>
      <c r="U236" s="334" t="str">
        <f t="shared" si="78"/>
        <v>No</v>
      </c>
      <c r="V236" s="334" t="str">
        <f t="shared" si="78"/>
        <v>No</v>
      </c>
      <c r="W236" s="334" t="str">
        <f t="shared" si="78"/>
        <v>Yes</v>
      </c>
      <c r="X236" s="334" t="str">
        <f t="shared" si="78"/>
        <v>No</v>
      </c>
      <c r="Y236" s="334" t="str">
        <f t="shared" si="78"/>
        <v>Yes</v>
      </c>
      <c r="Z236" s="334" t="str">
        <f t="shared" si="78"/>
        <v>No</v>
      </c>
      <c r="AA236" s="334" t="str">
        <f t="shared" si="78"/>
        <v>Yes</v>
      </c>
      <c r="AB236" s="334" t="str">
        <f t="shared" si="78"/>
        <v>Yes</v>
      </c>
      <c r="AC236" s="334" t="str">
        <f t="shared" si="78"/>
        <v>Yes</v>
      </c>
      <c r="AE236" s="338">
        <f t="shared" ref="AE236:AM244" si="80">IF(T236="Yes",1,0)</f>
        <v>0</v>
      </c>
      <c r="AF236" s="334">
        <f t="shared" si="79"/>
        <v>1</v>
      </c>
      <c r="AG236" s="334">
        <f t="shared" si="79"/>
        <v>0</v>
      </c>
      <c r="AH236" s="334">
        <f t="shared" si="79"/>
        <v>3</v>
      </c>
      <c r="AI236" s="334">
        <f t="shared" si="79"/>
        <v>1</v>
      </c>
      <c r="AJ236" s="334">
        <f t="shared" si="79"/>
        <v>3</v>
      </c>
      <c r="AK236" s="334">
        <f t="shared" si="79"/>
        <v>1</v>
      </c>
      <c r="AL236" s="334">
        <f t="shared" si="79"/>
        <v>2</v>
      </c>
      <c r="AM236" s="334">
        <f t="shared" si="79"/>
        <v>3</v>
      </c>
      <c r="AN236" s="334">
        <f t="shared" si="79"/>
        <v>3</v>
      </c>
    </row>
    <row r="237" spans="7:40" x14ac:dyDescent="0.3">
      <c r="R237" s="107"/>
      <c r="S237" s="228" t="s">
        <v>369</v>
      </c>
      <c r="T237" s="338"/>
      <c r="U237" s="338"/>
      <c r="V237" s="334" t="str">
        <f t="shared" si="78"/>
        <v>No</v>
      </c>
      <c r="W237" s="334" t="str">
        <f t="shared" si="78"/>
        <v>Yes</v>
      </c>
      <c r="X237" s="334" t="str">
        <f t="shared" si="78"/>
        <v>Yes</v>
      </c>
      <c r="Y237" s="334" t="str">
        <f t="shared" si="78"/>
        <v>No</v>
      </c>
      <c r="Z237" s="334" t="str">
        <f t="shared" si="78"/>
        <v>Yes</v>
      </c>
      <c r="AA237" s="334" t="str">
        <f t="shared" si="78"/>
        <v>No</v>
      </c>
      <c r="AB237" s="334" t="str">
        <f t="shared" si="78"/>
        <v>Yes</v>
      </c>
      <c r="AC237" s="334" t="str">
        <f t="shared" si="78"/>
        <v>No</v>
      </c>
      <c r="AE237" s="338">
        <f t="shared" si="80"/>
        <v>0</v>
      </c>
      <c r="AF237" s="338">
        <f t="shared" si="80"/>
        <v>0</v>
      </c>
      <c r="AG237" s="334">
        <f t="shared" si="79"/>
        <v>1</v>
      </c>
      <c r="AH237" s="334">
        <f t="shared" si="79"/>
        <v>2</v>
      </c>
      <c r="AI237" s="334">
        <f t="shared" si="79"/>
        <v>2</v>
      </c>
      <c r="AJ237" s="334">
        <f t="shared" si="79"/>
        <v>1</v>
      </c>
      <c r="AK237" s="334">
        <f t="shared" si="79"/>
        <v>2</v>
      </c>
      <c r="AL237" s="334">
        <f t="shared" si="79"/>
        <v>1</v>
      </c>
      <c r="AM237" s="334">
        <f t="shared" si="79"/>
        <v>2</v>
      </c>
      <c r="AN237" s="334">
        <f t="shared" si="79"/>
        <v>1</v>
      </c>
    </row>
    <row r="238" spans="7:40" x14ac:dyDescent="0.3">
      <c r="R238" s="107"/>
      <c r="S238" s="228" t="s">
        <v>371</v>
      </c>
      <c r="T238" s="338"/>
      <c r="U238" s="338"/>
      <c r="V238" s="338"/>
      <c r="W238" s="334" t="str">
        <f t="shared" si="78"/>
        <v>Yes</v>
      </c>
      <c r="X238" s="334" t="str">
        <f t="shared" si="78"/>
        <v>No</v>
      </c>
      <c r="Y238" s="334" t="str">
        <f t="shared" si="78"/>
        <v>Yes</v>
      </c>
      <c r="Z238" s="334" t="str">
        <f t="shared" si="78"/>
        <v>Yes</v>
      </c>
      <c r="AA238" s="334" t="str">
        <f t="shared" si="78"/>
        <v>Yes</v>
      </c>
      <c r="AB238" s="334" t="str">
        <f t="shared" si="78"/>
        <v>Yes</v>
      </c>
      <c r="AC238" s="334" t="str">
        <f t="shared" si="78"/>
        <v>Yes</v>
      </c>
      <c r="AE238" s="338">
        <f t="shared" si="80"/>
        <v>0</v>
      </c>
      <c r="AF238" s="338">
        <f t="shared" si="80"/>
        <v>0</v>
      </c>
      <c r="AG238" s="338">
        <f t="shared" si="80"/>
        <v>0</v>
      </c>
      <c r="AH238" s="334">
        <f t="shared" si="79"/>
        <v>2</v>
      </c>
      <c r="AI238" s="334">
        <f t="shared" si="79"/>
        <v>1</v>
      </c>
      <c r="AJ238" s="334">
        <f t="shared" si="79"/>
        <v>3</v>
      </c>
      <c r="AK238" s="334">
        <f t="shared" si="79"/>
        <v>2</v>
      </c>
      <c r="AL238" s="334">
        <f t="shared" si="79"/>
        <v>2</v>
      </c>
      <c r="AM238" s="334">
        <f t="shared" si="79"/>
        <v>3</v>
      </c>
      <c r="AN238" s="334">
        <f t="shared" si="79"/>
        <v>2</v>
      </c>
    </row>
    <row r="239" spans="7:40" x14ac:dyDescent="0.3">
      <c r="R239" s="107"/>
      <c r="S239" s="228" t="s">
        <v>373</v>
      </c>
      <c r="T239" s="338"/>
      <c r="U239" s="338"/>
      <c r="V239" s="338"/>
      <c r="W239" s="338"/>
      <c r="X239" s="334" t="str">
        <f t="shared" si="78"/>
        <v>Yes</v>
      </c>
      <c r="Y239" s="334" t="str">
        <f t="shared" si="78"/>
        <v>No</v>
      </c>
      <c r="Z239" s="334" t="str">
        <f t="shared" si="78"/>
        <v>Yes</v>
      </c>
      <c r="AA239" s="334" t="str">
        <f t="shared" si="78"/>
        <v>No</v>
      </c>
      <c r="AB239" s="334" t="str">
        <f t="shared" si="78"/>
        <v>No</v>
      </c>
      <c r="AC239" s="334" t="str">
        <f t="shared" si="78"/>
        <v>No</v>
      </c>
      <c r="AE239" s="338">
        <f t="shared" si="80"/>
        <v>0</v>
      </c>
      <c r="AF239" s="338">
        <f t="shared" si="80"/>
        <v>0</v>
      </c>
      <c r="AG239" s="338">
        <f t="shared" si="80"/>
        <v>0</v>
      </c>
      <c r="AH239" s="338">
        <f t="shared" si="80"/>
        <v>0</v>
      </c>
      <c r="AI239" s="334">
        <f t="shared" si="79"/>
        <v>3</v>
      </c>
      <c r="AJ239" s="334">
        <f t="shared" si="79"/>
        <v>0</v>
      </c>
      <c r="AK239" s="334">
        <f t="shared" si="79"/>
        <v>2</v>
      </c>
      <c r="AL239" s="334">
        <f t="shared" si="79"/>
        <v>1</v>
      </c>
      <c r="AM239" s="334">
        <f t="shared" si="79"/>
        <v>0</v>
      </c>
      <c r="AN239" s="334">
        <f t="shared" si="79"/>
        <v>0</v>
      </c>
    </row>
    <row r="240" spans="7:40" x14ac:dyDescent="0.3">
      <c r="R240" s="107"/>
      <c r="S240" s="228" t="s">
        <v>378</v>
      </c>
      <c r="T240" s="338"/>
      <c r="U240" s="338"/>
      <c r="V240" s="338"/>
      <c r="W240" s="338"/>
      <c r="X240" s="338"/>
      <c r="Y240" s="334" t="str">
        <f t="shared" si="78"/>
        <v>Yes</v>
      </c>
      <c r="Z240" s="334" t="str">
        <f t="shared" si="78"/>
        <v>No</v>
      </c>
      <c r="AA240" s="334" t="str">
        <f t="shared" si="78"/>
        <v>Yes</v>
      </c>
      <c r="AB240" s="334" t="str">
        <f t="shared" si="78"/>
        <v>Yes</v>
      </c>
      <c r="AC240" s="334" t="str">
        <f t="shared" si="78"/>
        <v>Yes</v>
      </c>
      <c r="AE240" s="338">
        <f t="shared" si="80"/>
        <v>0</v>
      </c>
      <c r="AF240" s="338">
        <f t="shared" si="80"/>
        <v>0</v>
      </c>
      <c r="AG240" s="338">
        <f t="shared" si="80"/>
        <v>0</v>
      </c>
      <c r="AH240" s="338">
        <f t="shared" si="80"/>
        <v>0</v>
      </c>
      <c r="AI240" s="338">
        <f t="shared" si="80"/>
        <v>0</v>
      </c>
      <c r="AJ240" s="334">
        <f t="shared" si="79"/>
        <v>2</v>
      </c>
      <c r="AK240" s="334">
        <f t="shared" si="79"/>
        <v>1</v>
      </c>
      <c r="AL240" s="334">
        <f t="shared" si="79"/>
        <v>2</v>
      </c>
      <c r="AM240" s="334">
        <f t="shared" si="79"/>
        <v>2</v>
      </c>
      <c r="AN240" s="334">
        <f t="shared" si="79"/>
        <v>2</v>
      </c>
    </row>
    <row r="241" spans="13:40" x14ac:dyDescent="0.3">
      <c r="R241" s="107"/>
      <c r="S241" s="228" t="s">
        <v>380</v>
      </c>
      <c r="T241" s="338"/>
      <c r="U241" s="338"/>
      <c r="V241" s="338"/>
      <c r="W241" s="338"/>
      <c r="X241" s="338"/>
      <c r="Y241" s="338"/>
      <c r="Z241" s="334" t="str">
        <f t="shared" si="78"/>
        <v>No</v>
      </c>
      <c r="AA241" s="334" t="str">
        <f t="shared" si="78"/>
        <v>No</v>
      </c>
      <c r="AB241" s="334" t="str">
        <f t="shared" si="78"/>
        <v>No</v>
      </c>
      <c r="AC241" s="334" t="str">
        <f t="shared" si="78"/>
        <v>No</v>
      </c>
      <c r="AE241" s="338">
        <f t="shared" si="80"/>
        <v>0</v>
      </c>
      <c r="AF241" s="338">
        <f t="shared" si="80"/>
        <v>0</v>
      </c>
      <c r="AG241" s="338">
        <f t="shared" si="80"/>
        <v>0</v>
      </c>
      <c r="AH241" s="338">
        <f t="shared" si="80"/>
        <v>0</v>
      </c>
      <c r="AI241" s="338">
        <f t="shared" si="80"/>
        <v>0</v>
      </c>
      <c r="AJ241" s="338">
        <f t="shared" si="80"/>
        <v>0</v>
      </c>
      <c r="AK241" s="334">
        <f t="shared" si="79"/>
        <v>1</v>
      </c>
      <c r="AL241" s="334">
        <f t="shared" si="79"/>
        <v>0</v>
      </c>
      <c r="AM241" s="334">
        <f t="shared" si="79"/>
        <v>0</v>
      </c>
      <c r="AN241" s="334">
        <f t="shared" si="79"/>
        <v>1</v>
      </c>
    </row>
    <row r="242" spans="13:40" x14ac:dyDescent="0.3">
      <c r="R242" s="107"/>
      <c r="S242" s="228" t="s">
        <v>382</v>
      </c>
      <c r="T242" s="338"/>
      <c r="U242" s="338"/>
      <c r="V242" s="338"/>
      <c r="W242" s="338"/>
      <c r="X242" s="338"/>
      <c r="Y242" s="338"/>
      <c r="Z242" s="338"/>
      <c r="AA242" s="334" t="str">
        <f t="shared" si="78"/>
        <v>No</v>
      </c>
      <c r="AB242" s="334" t="str">
        <f t="shared" si="78"/>
        <v>No</v>
      </c>
      <c r="AC242" s="334" t="str">
        <f t="shared" si="78"/>
        <v>Yes</v>
      </c>
      <c r="AE242" s="338">
        <f t="shared" si="80"/>
        <v>0</v>
      </c>
      <c r="AF242" s="338">
        <f t="shared" si="80"/>
        <v>0</v>
      </c>
      <c r="AG242" s="338">
        <f t="shared" si="80"/>
        <v>0</v>
      </c>
      <c r="AH242" s="338">
        <f t="shared" si="80"/>
        <v>0</v>
      </c>
      <c r="AI242" s="338">
        <f t="shared" si="80"/>
        <v>0</v>
      </c>
      <c r="AJ242" s="338">
        <f t="shared" si="80"/>
        <v>0</v>
      </c>
      <c r="AK242" s="338">
        <f t="shared" si="80"/>
        <v>0</v>
      </c>
      <c r="AL242" s="334">
        <f t="shared" si="79"/>
        <v>1</v>
      </c>
      <c r="AM242" s="334">
        <f t="shared" si="79"/>
        <v>1</v>
      </c>
      <c r="AN242" s="334">
        <f t="shared" si="79"/>
        <v>2</v>
      </c>
    </row>
    <row r="243" spans="13:40" x14ac:dyDescent="0.3">
      <c r="R243" s="107"/>
      <c r="S243" s="228" t="s">
        <v>453</v>
      </c>
      <c r="T243" s="338"/>
      <c r="U243" s="338"/>
      <c r="V243" s="338"/>
      <c r="W243" s="338"/>
      <c r="X243" s="338"/>
      <c r="Y243" s="338"/>
      <c r="Z243" s="338"/>
      <c r="AA243" s="338"/>
      <c r="AB243" s="334" t="str">
        <f t="shared" si="78"/>
        <v>No</v>
      </c>
      <c r="AC243" s="334" t="str">
        <f t="shared" si="78"/>
        <v>No</v>
      </c>
      <c r="AE243" s="338">
        <f t="shared" si="80"/>
        <v>0</v>
      </c>
      <c r="AF243" s="338">
        <f t="shared" si="80"/>
        <v>0</v>
      </c>
      <c r="AG243" s="338">
        <f t="shared" si="80"/>
        <v>0</v>
      </c>
      <c r="AH243" s="338">
        <f t="shared" si="80"/>
        <v>0</v>
      </c>
      <c r="AI243" s="338">
        <f t="shared" si="80"/>
        <v>0</v>
      </c>
      <c r="AJ243" s="338">
        <f t="shared" si="80"/>
        <v>0</v>
      </c>
      <c r="AK243" s="338">
        <f t="shared" si="80"/>
        <v>0</v>
      </c>
      <c r="AL243" s="338">
        <f t="shared" si="80"/>
        <v>0</v>
      </c>
      <c r="AM243" s="334">
        <f t="shared" si="79"/>
        <v>1</v>
      </c>
      <c r="AN243" s="334">
        <f t="shared" si="79"/>
        <v>1</v>
      </c>
    </row>
    <row r="244" spans="13:40" x14ac:dyDescent="0.3">
      <c r="R244" s="107"/>
      <c r="S244" s="228" t="s">
        <v>454</v>
      </c>
      <c r="T244" s="338"/>
      <c r="U244" s="338"/>
      <c r="V244" s="338"/>
      <c r="W244" s="338"/>
      <c r="X244" s="338"/>
      <c r="Y244" s="338"/>
      <c r="Z244" s="338"/>
      <c r="AA244" s="338"/>
      <c r="AB244" s="338"/>
      <c r="AC244" s="334" t="str">
        <f t="shared" si="78"/>
        <v>No</v>
      </c>
      <c r="AE244" s="338">
        <f t="shared" si="80"/>
        <v>0</v>
      </c>
      <c r="AF244" s="338">
        <f t="shared" si="80"/>
        <v>0</v>
      </c>
      <c r="AG244" s="338">
        <f t="shared" si="80"/>
        <v>0</v>
      </c>
      <c r="AH244" s="338">
        <f t="shared" si="80"/>
        <v>0</v>
      </c>
      <c r="AI244" s="338">
        <f t="shared" si="80"/>
        <v>0</v>
      </c>
      <c r="AJ244" s="338">
        <f t="shared" si="80"/>
        <v>0</v>
      </c>
      <c r="AK244" s="338">
        <f t="shared" si="80"/>
        <v>0</v>
      </c>
      <c r="AL244" s="338">
        <f t="shared" si="80"/>
        <v>0</v>
      </c>
      <c r="AM244" s="338">
        <f t="shared" si="80"/>
        <v>0</v>
      </c>
      <c r="AN244" s="334">
        <f t="shared" si="79"/>
        <v>0</v>
      </c>
    </row>
    <row r="245" spans="13:40" x14ac:dyDescent="0.3"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</row>
    <row r="248" spans="13:40" x14ac:dyDescent="0.3">
      <c r="M248" s="107">
        <v>1</v>
      </c>
      <c r="N248" s="107" t="s">
        <v>860</v>
      </c>
      <c r="O248" s="107"/>
      <c r="P248" s="107"/>
      <c r="Q248" s="107"/>
      <c r="T248" s="352" t="s">
        <v>373</v>
      </c>
      <c r="U248" s="352"/>
      <c r="V248" s="352"/>
      <c r="W248" s="352" t="s">
        <v>380</v>
      </c>
      <c r="X248" s="352"/>
      <c r="Y248" s="352"/>
      <c r="Z248" s="352" t="s">
        <v>453</v>
      </c>
      <c r="AA248" s="352"/>
      <c r="AB248" s="352"/>
    </row>
    <row r="249" spans="13:40" x14ac:dyDescent="0.3">
      <c r="M249" s="107">
        <v>2</v>
      </c>
      <c r="N249" s="107" t="s">
        <v>863</v>
      </c>
      <c r="O249" s="107"/>
      <c r="P249" s="107"/>
      <c r="Q249" s="107"/>
      <c r="S249" s="228" t="s">
        <v>369</v>
      </c>
      <c r="T249" s="351" t="str">
        <f>_xlfn.CONCAT(W173,"/",W189,"/",W205,"/",W221,"/",W237,"/",W107)</f>
        <v>Yes/Yes/Yes/Yes/Yes/No</v>
      </c>
      <c r="U249" s="351"/>
      <c r="V249" s="351"/>
      <c r="W249" s="351" t="str">
        <f>_xlfn.CONCAT(Y173,"/",Y189,"/",Y205,"/",Y221,"/",Y237,"/",Y107)</f>
        <v>Yes/No/No/No/No/No</v>
      </c>
      <c r="X249" s="351"/>
      <c r="Y249" s="351"/>
      <c r="Z249" s="351" t="str">
        <f>_xlfn.CONCAT(AA173,"/",AA189,"/",AA205,"/",AA221,"/",AA237,"/",AA107)</f>
        <v>Yes/No/No/No/No/No</v>
      </c>
      <c r="AA249" s="351"/>
      <c r="AB249" s="351"/>
    </row>
    <row r="250" spans="13:40" x14ac:dyDescent="0.3">
      <c r="M250" s="107">
        <v>3</v>
      </c>
      <c r="N250" s="107" t="s">
        <v>865</v>
      </c>
      <c r="O250" s="107"/>
      <c r="P250" s="107"/>
      <c r="Q250" s="107"/>
      <c r="S250" s="228" t="s">
        <v>373</v>
      </c>
      <c r="T250" s="344"/>
      <c r="U250" s="344"/>
      <c r="V250" s="344"/>
      <c r="W250" s="351" t="str">
        <f>_xlfn.CONCAT(Y175,"/",Y191,"/",Y207,"/",Y223,"/",Y239,"/",Y109)</f>
        <v>No/No/No/No/No/No</v>
      </c>
      <c r="X250" s="351"/>
      <c r="Y250" s="351"/>
      <c r="Z250" s="351" t="str">
        <f>_xlfn.CONCAT(AA175,"/",AA191,"/",AA207,"/",AA223,"/",AA239,"/",AA109)</f>
        <v>Yes/No/No/No/No/No</v>
      </c>
      <c r="AA250" s="351"/>
      <c r="AB250" s="351"/>
    </row>
    <row r="251" spans="13:40" x14ac:dyDescent="0.3">
      <c r="M251" s="107">
        <v>4</v>
      </c>
      <c r="N251" s="107" t="s">
        <v>867</v>
      </c>
      <c r="O251" s="107"/>
      <c r="P251" s="107"/>
      <c r="Q251" s="107"/>
      <c r="S251" s="228" t="s">
        <v>380</v>
      </c>
      <c r="T251" s="344"/>
      <c r="U251" s="344"/>
      <c r="V251" s="344"/>
      <c r="W251" s="344"/>
      <c r="X251" s="344"/>
      <c r="Y251" s="344"/>
      <c r="Z251" s="351" t="str">
        <f>_xlfn.CONCAT(AA177,"/",AA193,"/",AA209,"/",AA225,"/",AA241,"/",AA111)</f>
        <v>No/No/No/No/No/No</v>
      </c>
      <c r="AA251" s="351"/>
      <c r="AB251" s="351"/>
    </row>
    <row r="252" spans="13:40" x14ac:dyDescent="0.3">
      <c r="M252" s="107">
        <v>5</v>
      </c>
      <c r="N252" s="107" t="s">
        <v>869</v>
      </c>
      <c r="O252" s="107"/>
      <c r="P252" s="107"/>
      <c r="Q252" s="107"/>
    </row>
    <row r="253" spans="13:40" x14ac:dyDescent="0.3">
      <c r="M253" s="107">
        <v>6</v>
      </c>
      <c r="N253" s="107" t="s">
        <v>872</v>
      </c>
      <c r="O253" s="107"/>
      <c r="P253" s="107"/>
      <c r="Q253" s="107"/>
    </row>
  </sheetData>
  <mergeCells count="9">
    <mergeCell ref="W250:Y250"/>
    <mergeCell ref="Z250:AB250"/>
    <mergeCell ref="Z251:AB251"/>
    <mergeCell ref="T248:V248"/>
    <mergeCell ref="W248:Y248"/>
    <mergeCell ref="Z248:AB248"/>
    <mergeCell ref="T249:V249"/>
    <mergeCell ref="W249:Y249"/>
    <mergeCell ref="Z249:AB249"/>
  </mergeCells>
  <conditionalFormatting sqref="T6:AC15 AE6:AN15 T22:AC31 T39:AC48 T55:AC64 T72:AC82 T88:AC97 T105:AC115 T121:AC130 T138:AC147 T154:AC163 T187:AC196 T203:AC212">
    <cfRule type="cellIs" dxfId="38" priority="39" operator="equal">
      <formula>"No"</formula>
    </cfRule>
    <cfRule type="cellIs" dxfId="37" priority="37" operator="equal">
      <formula>"Yes"</formula>
    </cfRule>
    <cfRule type="containsText" dxfId="36" priority="38" operator="containsText" text="&quot;Yes&quot;">
      <formula>NOT(ISERROR(SEARCH("""Yes""",T6)))</formula>
    </cfRule>
  </conditionalFormatting>
  <conditionalFormatting sqref="T171:AC180">
    <cfRule type="cellIs" dxfId="35" priority="10" operator="equal">
      <formula>"Yes"</formula>
    </cfRule>
    <cfRule type="containsText" dxfId="34" priority="11" operator="containsText" text="&quot;Yes&quot;">
      <formula>NOT(ISERROR(SEARCH("""Yes""",T171)))</formula>
    </cfRule>
    <cfRule type="cellIs" dxfId="33" priority="12" operator="equal">
      <formula>"No"</formula>
    </cfRule>
  </conditionalFormatting>
  <conditionalFormatting sqref="T219:AC228">
    <cfRule type="cellIs" dxfId="32" priority="4" operator="equal">
      <formula>"Yes"</formula>
    </cfRule>
    <cfRule type="containsText" dxfId="31" priority="5" operator="containsText" text="&quot;Yes&quot;">
      <formula>NOT(ISERROR(SEARCH("""Yes""",T219)))</formula>
    </cfRule>
    <cfRule type="cellIs" dxfId="30" priority="6" operator="equal">
      <formula>"No"</formula>
    </cfRule>
  </conditionalFormatting>
  <conditionalFormatting sqref="T235:AC244">
    <cfRule type="cellIs" dxfId="29" priority="16" operator="equal">
      <formula>"Yes"</formula>
    </cfRule>
    <cfRule type="containsText" dxfId="28" priority="17" operator="containsText" text="&quot;Yes&quot;">
      <formula>NOT(ISERROR(SEARCH("""Yes""",T235)))</formula>
    </cfRule>
    <cfRule type="cellIs" dxfId="27" priority="18" operator="equal">
      <formula>"No"</formula>
    </cfRule>
  </conditionalFormatting>
  <conditionalFormatting sqref="AE39:AN48">
    <cfRule type="cellIs" dxfId="26" priority="34" operator="equal">
      <formula>"Yes"</formula>
    </cfRule>
    <cfRule type="containsText" dxfId="25" priority="35" operator="containsText" text="&quot;Yes&quot;">
      <formula>NOT(ISERROR(SEARCH("""Yes""",AE39)))</formula>
    </cfRule>
    <cfRule type="cellIs" dxfId="24" priority="36" operator="equal">
      <formula>"No"</formula>
    </cfRule>
  </conditionalFormatting>
  <conditionalFormatting sqref="AE72:AN81">
    <cfRule type="cellIs" dxfId="23" priority="31" operator="equal">
      <formula>"Yes"</formula>
    </cfRule>
    <cfRule type="containsText" dxfId="22" priority="32" operator="containsText" text="&quot;Yes&quot;">
      <formula>NOT(ISERROR(SEARCH("""Yes""",AE72)))</formula>
    </cfRule>
    <cfRule type="cellIs" dxfId="21" priority="33" operator="equal">
      <formula>"No"</formula>
    </cfRule>
  </conditionalFormatting>
  <conditionalFormatting sqref="AE105:AN114">
    <cfRule type="cellIs" dxfId="20" priority="28" operator="equal">
      <formula>"Yes"</formula>
    </cfRule>
    <cfRule type="containsText" dxfId="19" priority="29" operator="containsText" text="&quot;Yes&quot;">
      <formula>NOT(ISERROR(SEARCH("""Yes""",AE105)))</formula>
    </cfRule>
    <cfRule type="cellIs" dxfId="18" priority="30" operator="equal">
      <formula>"No"</formula>
    </cfRule>
  </conditionalFormatting>
  <conditionalFormatting sqref="AE138:AN147">
    <cfRule type="containsText" dxfId="17" priority="26" operator="containsText" text="&quot;Yes&quot;">
      <formula>NOT(ISERROR(SEARCH("""Yes""",AE138)))</formula>
    </cfRule>
    <cfRule type="cellIs" dxfId="16" priority="25" operator="equal">
      <formula>"Yes"</formula>
    </cfRule>
    <cfRule type="cellIs" dxfId="15" priority="27" operator="equal">
      <formula>"No"</formula>
    </cfRule>
  </conditionalFormatting>
  <conditionalFormatting sqref="AE171:AN180">
    <cfRule type="cellIs" dxfId="14" priority="7" operator="equal">
      <formula>"Yes"</formula>
    </cfRule>
    <cfRule type="containsText" dxfId="13" priority="8" operator="containsText" text="&quot;Yes&quot;">
      <formula>NOT(ISERROR(SEARCH("""Yes""",AE171)))</formula>
    </cfRule>
    <cfRule type="cellIs" dxfId="12" priority="9" operator="equal">
      <formula>"No"</formula>
    </cfRule>
  </conditionalFormatting>
  <conditionalFormatting sqref="AE187:AN196">
    <cfRule type="cellIs" dxfId="11" priority="24" operator="equal">
      <formula>"No"</formula>
    </cfRule>
    <cfRule type="containsText" dxfId="10" priority="23" operator="containsText" text="&quot;Yes&quot;">
      <formula>NOT(ISERROR(SEARCH("""Yes""",AE187)))</formula>
    </cfRule>
    <cfRule type="cellIs" dxfId="9" priority="22" operator="equal">
      <formula>"Yes"</formula>
    </cfRule>
  </conditionalFormatting>
  <conditionalFormatting sqref="AE203:AN212">
    <cfRule type="cellIs" dxfId="8" priority="19" operator="equal">
      <formula>"Yes"</formula>
    </cfRule>
    <cfRule type="containsText" dxfId="7" priority="20" operator="containsText" text="&quot;Yes&quot;">
      <formula>NOT(ISERROR(SEARCH("""Yes""",AE203)))</formula>
    </cfRule>
    <cfRule type="cellIs" dxfId="6" priority="21" operator="equal">
      <formula>"No"</formula>
    </cfRule>
  </conditionalFormatting>
  <conditionalFormatting sqref="AE219:AN228">
    <cfRule type="cellIs" dxfId="5" priority="3" operator="equal">
      <formula>"No"</formula>
    </cfRule>
    <cfRule type="containsText" dxfId="4" priority="2" operator="containsText" text="&quot;Yes&quot;">
      <formula>NOT(ISERROR(SEARCH("""Yes""",AE219)))</formula>
    </cfRule>
    <cfRule type="cellIs" dxfId="3" priority="1" operator="equal">
      <formula>"Yes"</formula>
    </cfRule>
  </conditionalFormatting>
  <conditionalFormatting sqref="AE235:AN244">
    <cfRule type="cellIs" dxfId="2" priority="13" operator="equal">
      <formula>"Yes"</formula>
    </cfRule>
    <cfRule type="cellIs" dxfId="1" priority="15" operator="equal">
      <formula>"No"</formula>
    </cfRule>
    <cfRule type="containsText" dxfId="0" priority="14" operator="containsText" text="&quot;Yes&quot;">
      <formula>NOT(ISERROR(SEARCH("""Yes""",AE235)))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D1F53-F363-419C-A962-ABE5987B9BE6}">
  <dimension ref="B2:AN463"/>
  <sheetViews>
    <sheetView topLeftCell="T301" zoomScale="85" zoomScaleNormal="85" workbookViewId="0">
      <selection activeCell="AH305" sqref="AH305"/>
    </sheetView>
  </sheetViews>
  <sheetFormatPr baseColWidth="10" defaultRowHeight="14.4" x14ac:dyDescent="0.3"/>
  <cols>
    <col min="2" max="2" width="15" bestFit="1" customWidth="1"/>
    <col min="7" max="7" width="12" bestFit="1" customWidth="1"/>
    <col min="10" max="10" width="12.44140625" bestFit="1" customWidth="1"/>
    <col min="13" max="13" width="13.44140625" bestFit="1" customWidth="1"/>
    <col min="15" max="15" width="15.21875" bestFit="1" customWidth="1"/>
    <col min="28" max="28" width="15.5546875" bestFit="1" customWidth="1"/>
  </cols>
  <sheetData>
    <row r="2" spans="2:40" x14ac:dyDescent="0.3">
      <c r="D2" t="s">
        <v>533</v>
      </c>
      <c r="E2" t="s">
        <v>534</v>
      </c>
      <c r="F2" t="s">
        <v>535</v>
      </c>
      <c r="G2" t="s">
        <v>536</v>
      </c>
      <c r="H2" t="s">
        <v>537</v>
      </c>
      <c r="M2" s="130" t="s">
        <v>636</v>
      </c>
      <c r="N2" s="130">
        <f>RRB_all!$K$3</f>
        <v>24755.95</v>
      </c>
    </row>
    <row r="3" spans="2:40" x14ac:dyDescent="0.3">
      <c r="D3" t="s">
        <v>3</v>
      </c>
      <c r="E3" t="s">
        <v>4</v>
      </c>
      <c r="F3" t="s">
        <v>5</v>
      </c>
      <c r="G3" t="s">
        <v>6</v>
      </c>
      <c r="H3" t="s">
        <v>7</v>
      </c>
      <c r="K3" t="s">
        <v>531</v>
      </c>
      <c r="L3" t="s">
        <v>5</v>
      </c>
      <c r="M3" s="130" t="s">
        <v>714</v>
      </c>
      <c r="N3" s="130">
        <f>RRB_all!$K$4</f>
        <v>1468.76</v>
      </c>
      <c r="Q3" t="s">
        <v>3</v>
      </c>
      <c r="R3" t="s">
        <v>4</v>
      </c>
      <c r="S3" t="s">
        <v>5</v>
      </c>
      <c r="T3" t="s">
        <v>6</v>
      </c>
      <c r="U3" t="s">
        <v>7</v>
      </c>
      <c r="AD3" t="s">
        <v>3</v>
      </c>
      <c r="AE3" t="s">
        <v>4</v>
      </c>
      <c r="AF3" t="s">
        <v>5</v>
      </c>
      <c r="AG3" t="s">
        <v>6</v>
      </c>
      <c r="AH3" t="s">
        <v>7</v>
      </c>
    </row>
    <row r="4" spans="2:40" x14ac:dyDescent="0.3">
      <c r="D4" t="s">
        <v>391</v>
      </c>
      <c r="E4" t="s">
        <v>392</v>
      </c>
      <c r="F4" t="s">
        <v>393</v>
      </c>
      <c r="G4" t="s">
        <v>394</v>
      </c>
      <c r="H4" t="s">
        <v>395</v>
      </c>
      <c r="K4" t="s">
        <v>530</v>
      </c>
      <c r="L4" t="s">
        <v>529</v>
      </c>
      <c r="M4" s="130" t="s">
        <v>768</v>
      </c>
      <c r="N4" s="130">
        <v>417.77</v>
      </c>
      <c r="Q4" t="s">
        <v>391</v>
      </c>
      <c r="R4" t="s">
        <v>392</v>
      </c>
      <c r="S4" t="s">
        <v>393</v>
      </c>
      <c r="T4" t="s">
        <v>394</v>
      </c>
      <c r="U4" t="s">
        <v>395</v>
      </c>
      <c r="AD4" t="s">
        <v>391</v>
      </c>
      <c r="AE4" t="s">
        <v>392</v>
      </c>
      <c r="AF4" t="s">
        <v>393</v>
      </c>
      <c r="AG4" t="s">
        <v>394</v>
      </c>
      <c r="AH4" t="s">
        <v>395</v>
      </c>
    </row>
    <row r="5" spans="2:40" x14ac:dyDescent="0.3">
      <c r="B5" s="118" t="s">
        <v>352</v>
      </c>
      <c r="C5" s="8">
        <v>20</v>
      </c>
      <c r="D5" s="90" t="s">
        <v>447</v>
      </c>
      <c r="E5" s="91" t="s">
        <v>446</v>
      </c>
      <c r="F5" s="92" t="s">
        <v>448</v>
      </c>
      <c r="G5" s="124" t="s">
        <v>449</v>
      </c>
      <c r="H5" s="123" t="s">
        <v>450</v>
      </c>
      <c r="I5" s="211" t="s">
        <v>451</v>
      </c>
      <c r="J5" s="212" t="s">
        <v>514</v>
      </c>
      <c r="K5" s="213" t="s">
        <v>515</v>
      </c>
      <c r="L5" s="214" t="s">
        <v>448</v>
      </c>
      <c r="Q5" s="90" t="s">
        <v>447</v>
      </c>
      <c r="R5" s="91" t="s">
        <v>446</v>
      </c>
      <c r="S5" s="92" t="s">
        <v>448</v>
      </c>
      <c r="T5" s="124" t="s">
        <v>449</v>
      </c>
      <c r="U5" s="123" t="s">
        <v>450</v>
      </c>
      <c r="V5" s="211" t="s">
        <v>451</v>
      </c>
      <c r="W5" s="212" t="s">
        <v>514</v>
      </c>
      <c r="X5" s="213" t="s">
        <v>515</v>
      </c>
      <c r="Y5" s="214" t="s">
        <v>448</v>
      </c>
      <c r="AD5" s="90" t="s">
        <v>447</v>
      </c>
      <c r="AE5" s="91" t="s">
        <v>446</v>
      </c>
      <c r="AF5" s="92" t="s">
        <v>448</v>
      </c>
      <c r="AG5" s="124" t="s">
        <v>449</v>
      </c>
      <c r="AH5" s="123" t="s">
        <v>450</v>
      </c>
      <c r="AI5" s="211" t="s">
        <v>451</v>
      </c>
      <c r="AJ5" s="212" t="s">
        <v>514</v>
      </c>
      <c r="AK5" s="213" t="s">
        <v>515</v>
      </c>
      <c r="AL5" s="214" t="s">
        <v>448</v>
      </c>
    </row>
    <row r="6" spans="2:40" x14ac:dyDescent="0.3">
      <c r="B6" s="119" t="s">
        <v>638</v>
      </c>
      <c r="C6" s="107"/>
      <c r="D6" s="116"/>
      <c r="E6" s="116"/>
      <c r="F6" s="116"/>
      <c r="G6" s="116"/>
      <c r="H6" s="116"/>
      <c r="I6" s="107"/>
      <c r="J6" s="107"/>
      <c r="K6" s="107"/>
      <c r="L6" s="107"/>
      <c r="M6" s="107"/>
      <c r="N6" s="107"/>
      <c r="O6" s="119" t="s">
        <v>647</v>
      </c>
      <c r="P6" s="107"/>
      <c r="Q6" s="116"/>
      <c r="R6" s="116"/>
      <c r="S6" s="116"/>
      <c r="T6" s="116"/>
      <c r="U6" s="116"/>
      <c r="V6" s="107"/>
      <c r="W6" s="107"/>
      <c r="X6" s="107"/>
      <c r="Y6" s="107"/>
      <c r="Z6" s="107"/>
      <c r="AA6" s="107"/>
      <c r="AB6" s="119" t="s">
        <v>769</v>
      </c>
      <c r="AC6" s="107"/>
      <c r="AD6" s="116"/>
      <c r="AE6" s="116"/>
      <c r="AF6" s="116"/>
      <c r="AG6" s="116"/>
      <c r="AH6" s="116"/>
      <c r="AI6" s="107"/>
      <c r="AJ6" s="107"/>
      <c r="AK6" s="107"/>
      <c r="AL6" s="107"/>
      <c r="AM6" s="107"/>
      <c r="AN6" s="107"/>
    </row>
    <row r="7" spans="2:40" x14ac:dyDescent="0.3">
      <c r="B7" s="115" t="s">
        <v>375</v>
      </c>
      <c r="C7" s="122" t="s">
        <v>9</v>
      </c>
      <c r="D7" s="135">
        <f>'77_Seeds'!AL127</f>
        <v>137.53</v>
      </c>
      <c r="E7" s="135">
        <f>'77_Seeds'!AM127</f>
        <v>47.78</v>
      </c>
      <c r="F7" s="135">
        <f>'77_Seeds'!AN127</f>
        <v>2197.4699999999998</v>
      </c>
      <c r="G7" s="135">
        <f>'77_Seeds'!AO127</f>
        <v>11950.63</v>
      </c>
      <c r="H7" s="135">
        <f>'77_Seeds'!AP127</f>
        <v>4637.07</v>
      </c>
      <c r="I7" s="108">
        <f>$N$2-N7</f>
        <v>5785.4700000000012</v>
      </c>
      <c r="J7" s="108"/>
      <c r="K7" s="108">
        <f>D7+E7+G7+H7</f>
        <v>16773.009999999998</v>
      </c>
      <c r="L7" s="108">
        <f>F7</f>
        <v>2197.4699999999998</v>
      </c>
      <c r="M7" s="115" t="s">
        <v>36</v>
      </c>
      <c r="N7" s="136">
        <f>SUM(D7:H7)</f>
        <v>18970.48</v>
      </c>
      <c r="O7" s="115" t="s">
        <v>375</v>
      </c>
      <c r="P7" s="122" t="s">
        <v>9</v>
      </c>
      <c r="Q7" s="135" t="str">
        <f>'77_Seeds'!AL132</f>
        <v>-</v>
      </c>
      <c r="R7" s="135" t="str">
        <f>'77_Seeds'!AM132</f>
        <v>-</v>
      </c>
      <c r="S7" s="135" t="str">
        <f>'77_Seeds'!AN132</f>
        <v>-</v>
      </c>
      <c r="T7" s="135" t="str">
        <f>'77_Seeds'!AO132</f>
        <v>-</v>
      </c>
      <c r="U7" s="135" t="str">
        <f>'77_Seeds'!AP132</f>
        <v>-</v>
      </c>
      <c r="V7" s="108">
        <f>$N$3-AA7</f>
        <v>1468.76</v>
      </c>
      <c r="W7" s="108"/>
      <c r="X7" s="108" t="e">
        <f>Q7+R7+T7+U7</f>
        <v>#VALUE!</v>
      </c>
      <c r="Y7" s="108" t="str">
        <f>S7</f>
        <v>-</v>
      </c>
      <c r="Z7" s="115" t="s">
        <v>36</v>
      </c>
      <c r="AA7" s="136">
        <f>SUM(Q7:U7)</f>
        <v>0</v>
      </c>
      <c r="AB7" s="115" t="s">
        <v>375</v>
      </c>
      <c r="AC7" s="122" t="s">
        <v>9</v>
      </c>
      <c r="AD7" s="135">
        <v>0</v>
      </c>
      <c r="AE7" s="135">
        <v>0</v>
      </c>
      <c r="AF7" s="135">
        <v>117.43</v>
      </c>
      <c r="AG7" s="135">
        <v>129.09</v>
      </c>
      <c r="AH7" s="135">
        <v>28.4</v>
      </c>
      <c r="AI7" s="108">
        <f>$N$4-AN7</f>
        <v>142.84999999999997</v>
      </c>
      <c r="AJ7" s="108"/>
      <c r="AK7" s="108">
        <f>AD7+AE7+AG7+AH7</f>
        <v>157.49</v>
      </c>
      <c r="AL7" s="108">
        <f>AF7</f>
        <v>117.43</v>
      </c>
      <c r="AM7" s="115" t="s">
        <v>36</v>
      </c>
      <c r="AN7" s="136">
        <f>SUM(AD7:AH7)</f>
        <v>274.92</v>
      </c>
    </row>
    <row r="8" spans="2:40" x14ac:dyDescent="0.3">
      <c r="B8" s="107"/>
      <c r="C8" s="107" t="s">
        <v>455</v>
      </c>
      <c r="D8" s="150">
        <f t="shared" ref="D8:I8" si="0">D7/$N$2</f>
        <v>5.5554321284378098E-3</v>
      </c>
      <c r="E8" s="150">
        <f t="shared" si="0"/>
        <v>1.9300410608358799E-3</v>
      </c>
      <c r="F8" s="150">
        <f t="shared" si="0"/>
        <v>8.876532712337841E-2</v>
      </c>
      <c r="G8" s="150">
        <f t="shared" si="0"/>
        <v>0.48273768528373984</v>
      </c>
      <c r="H8" s="150">
        <f t="shared" si="0"/>
        <v>0.18731133323504046</v>
      </c>
      <c r="I8" s="150">
        <f t="shared" si="0"/>
        <v>0.23370018116856758</v>
      </c>
      <c r="J8" s="150"/>
      <c r="K8" s="150">
        <f>K7/$N$2</f>
        <v>0.67753449170805391</v>
      </c>
      <c r="L8" s="150">
        <f>L7/$N$2</f>
        <v>8.876532712337841E-2</v>
      </c>
      <c r="M8" s="144">
        <f>SUM(D8:I8)</f>
        <v>1</v>
      </c>
      <c r="N8" s="141"/>
      <c r="O8" s="107"/>
      <c r="P8" s="140" t="s">
        <v>455</v>
      </c>
      <c r="Q8" s="150" t="e">
        <f t="shared" ref="Q8:V8" si="1">Q7/$N$3</f>
        <v>#VALUE!</v>
      </c>
      <c r="R8" s="150" t="e">
        <f t="shared" si="1"/>
        <v>#VALUE!</v>
      </c>
      <c r="S8" s="150" t="e">
        <f t="shared" si="1"/>
        <v>#VALUE!</v>
      </c>
      <c r="T8" s="150" t="e">
        <f t="shared" si="1"/>
        <v>#VALUE!</v>
      </c>
      <c r="U8" s="150" t="e">
        <f t="shared" si="1"/>
        <v>#VALUE!</v>
      </c>
      <c r="V8" s="150">
        <f t="shared" si="1"/>
        <v>1</v>
      </c>
      <c r="W8" s="150"/>
      <c r="X8" s="150" t="e">
        <f>X7/$N$3</f>
        <v>#VALUE!</v>
      </c>
      <c r="Y8" s="150" t="e">
        <f>Y7/$N$3</f>
        <v>#VALUE!</v>
      </c>
      <c r="Z8" s="144" t="e">
        <f>SUM(Q8:V8)</f>
        <v>#VALUE!</v>
      </c>
      <c r="AA8" s="107"/>
      <c r="AB8" s="107"/>
      <c r="AC8" s="140" t="s">
        <v>455</v>
      </c>
      <c r="AD8" s="150">
        <f>AD7/$N$4</f>
        <v>0</v>
      </c>
      <c r="AE8" s="150">
        <f t="shared" ref="AE8:AL8" si="2">AE7/$N$4</f>
        <v>0</v>
      </c>
      <c r="AF8" s="150">
        <f t="shared" si="2"/>
        <v>0.28108767982382654</v>
      </c>
      <c r="AG8" s="150">
        <f t="shared" si="2"/>
        <v>0.30899777389472677</v>
      </c>
      <c r="AH8" s="150">
        <f t="shared" si="2"/>
        <v>6.7979988989156706E-2</v>
      </c>
      <c r="AI8" s="150">
        <f t="shared" si="2"/>
        <v>0.34193455729228994</v>
      </c>
      <c r="AJ8" s="150"/>
      <c r="AK8" s="150">
        <f t="shared" si="2"/>
        <v>0.37697776288388352</v>
      </c>
      <c r="AL8" s="150">
        <f t="shared" si="2"/>
        <v>0.28108767982382654</v>
      </c>
      <c r="AM8" s="144">
        <f>SUM(AD8:AI8)</f>
        <v>1</v>
      </c>
      <c r="AN8" s="107"/>
    </row>
    <row r="9" spans="2:40" x14ac:dyDescent="0.3">
      <c r="B9" s="107" t="s">
        <v>513</v>
      </c>
      <c r="C9" s="122" t="s">
        <v>9</v>
      </c>
      <c r="D9" s="108">
        <v>135.72999999999999</v>
      </c>
      <c r="E9" s="108">
        <v>34.479999999999997</v>
      </c>
      <c r="F9" s="108">
        <v>2088</v>
      </c>
      <c r="G9" s="108">
        <v>11660.23</v>
      </c>
      <c r="H9" s="108">
        <v>4470.03</v>
      </c>
      <c r="I9" s="108">
        <f>I7</f>
        <v>5785.4700000000012</v>
      </c>
      <c r="J9" s="108">
        <f>SUM(D7:H7)-SUM(D9:H9)</f>
        <v>582.01000000000204</v>
      </c>
      <c r="K9" s="108">
        <f>D9+E9+G9+H9</f>
        <v>16300.469999999998</v>
      </c>
      <c r="L9" s="108">
        <f>F9</f>
        <v>2088</v>
      </c>
      <c r="M9" s="115" t="s">
        <v>524</v>
      </c>
      <c r="N9" s="195">
        <f>SUM(D9:H9)</f>
        <v>18388.469999999998</v>
      </c>
      <c r="O9" s="107" t="s">
        <v>513</v>
      </c>
      <c r="P9" s="122" t="s">
        <v>9</v>
      </c>
      <c r="Q9" s="108" t="s">
        <v>527</v>
      </c>
      <c r="R9" s="108" t="s">
        <v>527</v>
      </c>
      <c r="S9" s="108" t="s">
        <v>527</v>
      </c>
      <c r="T9" s="108" t="s">
        <v>527</v>
      </c>
      <c r="U9" s="108" t="s">
        <v>527</v>
      </c>
      <c r="V9" s="108">
        <f>V7</f>
        <v>1468.76</v>
      </c>
      <c r="W9" s="108">
        <f>SUM(Q7:U7)-SUM(Q9:U9)</f>
        <v>0</v>
      </c>
      <c r="X9" s="108" t="e">
        <f>Q9+R9+T9+U9</f>
        <v>#VALUE!</v>
      </c>
      <c r="Y9" s="108" t="str">
        <f>S9</f>
        <v>-</v>
      </c>
      <c r="Z9" s="115" t="s">
        <v>524</v>
      </c>
      <c r="AA9" s="195">
        <f>SUM(Q9:U9)</f>
        <v>0</v>
      </c>
      <c r="AB9" s="107" t="s">
        <v>513</v>
      </c>
      <c r="AC9" s="122" t="s">
        <v>9</v>
      </c>
      <c r="AD9" s="108">
        <v>0</v>
      </c>
      <c r="AE9" s="108">
        <v>0</v>
      </c>
      <c r="AF9" s="108">
        <v>114.49</v>
      </c>
      <c r="AG9" s="108">
        <v>121.76</v>
      </c>
      <c r="AH9" s="108">
        <v>26.77</v>
      </c>
      <c r="AI9" s="108">
        <f>AI7</f>
        <v>142.84999999999997</v>
      </c>
      <c r="AJ9" s="108">
        <f>SUM(AD7:AH7)-SUM(AD9:AH9)</f>
        <v>11.900000000000034</v>
      </c>
      <c r="AK9" s="108">
        <f>AD9+AE9+AG9+AH9</f>
        <v>148.53</v>
      </c>
      <c r="AL9" s="108">
        <f>AF9</f>
        <v>114.49</v>
      </c>
      <c r="AM9" s="115" t="s">
        <v>524</v>
      </c>
      <c r="AN9" s="195">
        <f>SUM(AD9:AH9)</f>
        <v>263.02</v>
      </c>
    </row>
    <row r="10" spans="2:40" x14ac:dyDescent="0.3">
      <c r="B10" s="107"/>
      <c r="C10" s="140" t="s">
        <v>455</v>
      </c>
      <c r="D10" s="150">
        <f t="shared" ref="D10:L10" si="3">D9/$N$2</f>
        <v>5.4827223354385508E-3</v>
      </c>
      <c r="E10" s="150">
        <f t="shared" si="3"/>
        <v>1.3927964792302455E-3</v>
      </c>
      <c r="F10" s="150">
        <f t="shared" si="3"/>
        <v>8.434335987914017E-2</v>
      </c>
      <c r="G10" s="150">
        <f t="shared" si="3"/>
        <v>0.47100717201319275</v>
      </c>
      <c r="H10" s="150">
        <f t="shared" si="3"/>
        <v>0.18056386444470923</v>
      </c>
      <c r="I10" s="150">
        <f t="shared" si="3"/>
        <v>0.23370018116856758</v>
      </c>
      <c r="J10" s="150">
        <f t="shared" si="3"/>
        <v>2.3509903679721521E-2</v>
      </c>
      <c r="K10" s="150">
        <f t="shared" si="3"/>
        <v>0.65844655527257068</v>
      </c>
      <c r="L10" s="150">
        <f t="shared" si="3"/>
        <v>8.434335987914017E-2</v>
      </c>
      <c r="M10" s="144">
        <f>SUM(D10:J10)</f>
        <v>1.0000000000000002</v>
      </c>
      <c r="N10" s="194">
        <f>N9/N7</f>
        <v>0.96932022805959561</v>
      </c>
      <c r="O10" s="107"/>
      <c r="P10" s="140" t="s">
        <v>455</v>
      </c>
      <c r="Q10" s="150" t="e">
        <f t="shared" ref="Q10:Y10" si="4">Q9/$N$3</f>
        <v>#VALUE!</v>
      </c>
      <c r="R10" s="150" t="e">
        <f t="shared" si="4"/>
        <v>#VALUE!</v>
      </c>
      <c r="S10" s="150" t="e">
        <f t="shared" si="4"/>
        <v>#VALUE!</v>
      </c>
      <c r="T10" s="150" t="e">
        <f t="shared" si="4"/>
        <v>#VALUE!</v>
      </c>
      <c r="U10" s="150" t="e">
        <f t="shared" si="4"/>
        <v>#VALUE!</v>
      </c>
      <c r="V10" s="150">
        <f t="shared" si="4"/>
        <v>1</v>
      </c>
      <c r="W10" s="150">
        <f t="shared" si="4"/>
        <v>0</v>
      </c>
      <c r="X10" s="150" t="e">
        <f t="shared" si="4"/>
        <v>#VALUE!</v>
      </c>
      <c r="Y10" s="150" t="e">
        <f t="shared" si="4"/>
        <v>#VALUE!</v>
      </c>
      <c r="Z10" s="144" t="e">
        <f>SUM(Q10:W10)</f>
        <v>#VALUE!</v>
      </c>
      <c r="AA10" s="194" t="e">
        <f>AA9/AA7</f>
        <v>#DIV/0!</v>
      </c>
      <c r="AB10" s="107"/>
      <c r="AC10" s="140" t="s">
        <v>455</v>
      </c>
      <c r="AD10" s="150">
        <f>AD9/$N$4</f>
        <v>0</v>
      </c>
      <c r="AE10" s="150">
        <f t="shared" ref="AE10:AL10" si="5">AE9/$N$4</f>
        <v>0</v>
      </c>
      <c r="AF10" s="150">
        <f t="shared" si="5"/>
        <v>0.27405031476649833</v>
      </c>
      <c r="AG10" s="150">
        <f t="shared" si="5"/>
        <v>0.29145223448308882</v>
      </c>
      <c r="AH10" s="150">
        <f t="shared" si="5"/>
        <v>6.4078320607032585E-2</v>
      </c>
      <c r="AI10" s="150">
        <f t="shared" si="5"/>
        <v>0.34193455729228994</v>
      </c>
      <c r="AJ10" s="150">
        <f t="shared" si="5"/>
        <v>2.8484572851090396E-2</v>
      </c>
      <c r="AK10" s="150">
        <f t="shared" si="5"/>
        <v>0.35553055509012138</v>
      </c>
      <c r="AL10" s="150">
        <f t="shared" si="5"/>
        <v>0.27405031476649833</v>
      </c>
      <c r="AM10" s="144">
        <f>SUM(AD10:AJ10)</f>
        <v>1</v>
      </c>
      <c r="AN10" s="194">
        <f>AN9/AN7</f>
        <v>0.95671468063436627</v>
      </c>
    </row>
    <row r="11" spans="2:40" x14ac:dyDescent="0.3">
      <c r="B11" s="107"/>
      <c r="C11" s="107" t="s">
        <v>516</v>
      </c>
      <c r="D11" s="112">
        <f>D7-D9</f>
        <v>1.8000000000000114</v>
      </c>
      <c r="E11" s="112">
        <f>E7-E9</f>
        <v>13.300000000000004</v>
      </c>
      <c r="F11" s="112">
        <f>F7-F9</f>
        <v>109.4699999999998</v>
      </c>
      <c r="G11" s="112">
        <f>G7-G9</f>
        <v>290.39999999999964</v>
      </c>
      <c r="H11" s="112">
        <f>H7-H9</f>
        <v>167.03999999999996</v>
      </c>
      <c r="I11" s="146"/>
      <c r="J11" s="146"/>
      <c r="K11" s="112">
        <f>K7-K9</f>
        <v>472.54000000000087</v>
      </c>
      <c r="L11" s="108">
        <f>F11</f>
        <v>109.4699999999998</v>
      </c>
      <c r="M11" s="144"/>
      <c r="N11" s="107"/>
      <c r="O11" s="107"/>
      <c r="P11" s="107" t="s">
        <v>516</v>
      </c>
      <c r="Q11" s="112" t="e">
        <f>Q7-Q9</f>
        <v>#VALUE!</v>
      </c>
      <c r="R11" s="112" t="e">
        <f>R7-R9</f>
        <v>#VALUE!</v>
      </c>
      <c r="S11" s="112" t="e">
        <f>S7-S9</f>
        <v>#VALUE!</v>
      </c>
      <c r="T11" s="112" t="e">
        <f>T7-T9</f>
        <v>#VALUE!</v>
      </c>
      <c r="U11" s="112" t="e">
        <f>U7-U9</f>
        <v>#VALUE!</v>
      </c>
      <c r="V11" s="146"/>
      <c r="W11" s="146"/>
      <c r="X11" s="112" t="e">
        <f>X7-X9</f>
        <v>#VALUE!</v>
      </c>
      <c r="Y11" s="108" t="e">
        <f>S11</f>
        <v>#VALUE!</v>
      </c>
      <c r="Z11" s="144"/>
      <c r="AA11" s="107"/>
      <c r="AB11" s="107"/>
      <c r="AC11" s="107" t="s">
        <v>516</v>
      </c>
      <c r="AD11" s="112">
        <f>AD7-AD9</f>
        <v>0</v>
      </c>
      <c r="AE11" s="112">
        <f>AE7-AE9</f>
        <v>0</v>
      </c>
      <c r="AF11" s="112">
        <f>AF7-AF9</f>
        <v>2.9400000000000119</v>
      </c>
      <c r="AG11" s="112">
        <f>AG7-AG9</f>
        <v>7.3299999999999983</v>
      </c>
      <c r="AH11" s="112">
        <f>AH7-AH9</f>
        <v>1.629999999999999</v>
      </c>
      <c r="AI11" s="146"/>
      <c r="AJ11" s="146"/>
      <c r="AK11" s="112">
        <f>AK7-AK9</f>
        <v>8.960000000000008</v>
      </c>
      <c r="AL11" s="108">
        <f>AF11</f>
        <v>2.9400000000000119</v>
      </c>
      <c r="AM11" s="144"/>
      <c r="AN11" s="107"/>
    </row>
    <row r="12" spans="2:40" x14ac:dyDescent="0.3">
      <c r="B12" s="107"/>
      <c r="C12" s="107" t="s">
        <v>517</v>
      </c>
      <c r="D12" s="146">
        <f>D11/D7</f>
        <v>1.308805351559668E-2</v>
      </c>
      <c r="E12" s="146">
        <f>E11/E7</f>
        <v>0.27835914608622864</v>
      </c>
      <c r="F12" s="146">
        <f>F11/F7</f>
        <v>4.9816379745798493E-2</v>
      </c>
      <c r="G12" s="146">
        <f>G11/G7</f>
        <v>2.4299974143622526E-2</v>
      </c>
      <c r="H12" s="146">
        <f>H11/H7</f>
        <v>3.602274712264425E-2</v>
      </c>
      <c r="I12" s="146"/>
      <c r="J12" s="146"/>
      <c r="K12" s="150">
        <f>K11/K7</f>
        <v>2.8172641642734423E-2</v>
      </c>
      <c r="L12" s="150">
        <f>L11/$N$2</f>
        <v>4.4219672442382457E-3</v>
      </c>
      <c r="M12" s="144"/>
      <c r="N12" s="107"/>
      <c r="O12" s="107"/>
      <c r="P12" s="107" t="s">
        <v>517</v>
      </c>
      <c r="Q12" s="146" t="e">
        <f>Q11/Q7</f>
        <v>#VALUE!</v>
      </c>
      <c r="R12" s="146" t="e">
        <f>R11/R7</f>
        <v>#VALUE!</v>
      </c>
      <c r="S12" s="146" t="e">
        <f>S11/S7</f>
        <v>#VALUE!</v>
      </c>
      <c r="T12" s="146" t="e">
        <f>T11/T7</f>
        <v>#VALUE!</v>
      </c>
      <c r="U12" s="146" t="e">
        <f>U11/U7</f>
        <v>#VALUE!</v>
      </c>
      <c r="V12" s="146"/>
      <c r="W12" s="146"/>
      <c r="X12" s="150" t="e">
        <f>X11/X7</f>
        <v>#VALUE!</v>
      </c>
      <c r="Y12" s="150" t="e">
        <f>Y11/$N$3</f>
        <v>#VALUE!</v>
      </c>
      <c r="Z12" s="144"/>
      <c r="AA12" s="107"/>
      <c r="AB12" s="107"/>
      <c r="AC12" s="107" t="s">
        <v>517</v>
      </c>
      <c r="AD12" s="146" t="s">
        <v>527</v>
      </c>
      <c r="AE12" s="146" t="s">
        <v>527</v>
      </c>
      <c r="AF12" s="146">
        <f>AF11/AF7</f>
        <v>2.5036191773822804E-2</v>
      </c>
      <c r="AG12" s="146">
        <f>AG11/AG7</f>
        <v>5.67820900147184E-2</v>
      </c>
      <c r="AH12" s="146">
        <f>AH11/AH7</f>
        <v>5.7394366197183064E-2</v>
      </c>
      <c r="AI12" s="146"/>
      <c r="AJ12" s="146"/>
      <c r="AK12" s="150">
        <f t="shared" ref="AK12" si="6">AK11/$N$4</f>
        <v>2.1447207793762139E-2</v>
      </c>
      <c r="AL12" s="150">
        <f>AL11/$N$4</f>
        <v>7.0373650573282241E-3</v>
      </c>
      <c r="AM12" s="144"/>
      <c r="AN12" s="107"/>
    </row>
    <row r="13" spans="2:40" x14ac:dyDescent="0.3">
      <c r="B13" s="115" t="s">
        <v>376</v>
      </c>
      <c r="C13" s="107" t="s">
        <v>9</v>
      </c>
      <c r="D13" s="108">
        <f>'77_Seeds'!AL129</f>
        <v>136.83049999999997</v>
      </c>
      <c r="E13" s="108">
        <f>'77_Seeds'!AM129</f>
        <v>48.7515</v>
      </c>
      <c r="F13" s="108">
        <f>'77_Seeds'!AN129</f>
        <v>2197.4359999999997</v>
      </c>
      <c r="G13" s="108">
        <f>'77_Seeds'!AO129</f>
        <v>11863.668</v>
      </c>
      <c r="H13" s="108">
        <f>'77_Seeds'!AP129</f>
        <v>4723.7909999999993</v>
      </c>
      <c r="I13" s="108">
        <f>$N$2-N13</f>
        <v>5785.4730000000018</v>
      </c>
      <c r="J13" s="108"/>
      <c r="K13" s="108"/>
      <c r="L13" s="108"/>
      <c r="M13" s="115" t="s">
        <v>36</v>
      </c>
      <c r="N13" s="136">
        <f>SUM(D13:H13)</f>
        <v>18970.476999999999</v>
      </c>
      <c r="O13" s="115" t="s">
        <v>376</v>
      </c>
      <c r="P13" s="122" t="s">
        <v>9</v>
      </c>
      <c r="Q13" s="138" t="str">
        <f>'77_Seeds'!AL134</f>
        <v>-</v>
      </c>
      <c r="R13" s="138" t="str">
        <f>'77_Seeds'!AM134</f>
        <v>-</v>
      </c>
      <c r="S13" s="138" t="str">
        <f>'77_Seeds'!AN134</f>
        <v>-</v>
      </c>
      <c r="T13" s="138" t="str">
        <f>'77_Seeds'!AO134</f>
        <v>-</v>
      </c>
      <c r="U13" s="138" t="str">
        <f>'77_Seeds'!AP134</f>
        <v>-</v>
      </c>
      <c r="V13" s="108">
        <f>$N$3-AA13</f>
        <v>1468.76</v>
      </c>
      <c r="W13" s="108"/>
      <c r="X13" s="108"/>
      <c r="Y13" s="108"/>
      <c r="Z13" s="115" t="s">
        <v>36</v>
      </c>
      <c r="AA13" s="136">
        <f>SUM(Q13:U13)</f>
        <v>0</v>
      </c>
      <c r="AB13" s="115"/>
      <c r="AC13" s="122"/>
      <c r="AD13" s="138"/>
      <c r="AE13" s="135"/>
      <c r="AF13" s="135"/>
      <c r="AG13" s="135"/>
      <c r="AH13" s="135"/>
      <c r="AI13" s="108"/>
      <c r="AJ13" s="108"/>
      <c r="AK13" s="108"/>
      <c r="AL13" s="108"/>
      <c r="AM13" s="115"/>
      <c r="AN13" s="136"/>
    </row>
    <row r="14" spans="2:40" x14ac:dyDescent="0.3">
      <c r="B14" s="115"/>
      <c r="C14" s="140" t="s">
        <v>455</v>
      </c>
      <c r="D14" s="150">
        <f t="shared" ref="D14:I14" si="7">D13/$N$2</f>
        <v>5.5271762949917081E-3</v>
      </c>
      <c r="E14" s="150">
        <f t="shared" si="7"/>
        <v>1.9692841518907573E-3</v>
      </c>
      <c r="F14" s="150">
        <f t="shared" si="7"/>
        <v>8.8763953716177305E-2</v>
      </c>
      <c r="G14" s="150">
        <f t="shared" si="7"/>
        <v>0.47922491360662789</v>
      </c>
      <c r="H14" s="150">
        <f t="shared" si="7"/>
        <v>0.19081436987875638</v>
      </c>
      <c r="I14" s="146">
        <f t="shared" si="7"/>
        <v>0.23370030235155595</v>
      </c>
      <c r="J14" s="146"/>
      <c r="K14" s="146"/>
      <c r="L14" s="146"/>
      <c r="M14" s="144">
        <f>SUM(D14:I14)</f>
        <v>0.99999999999999989</v>
      </c>
      <c r="N14" s="136"/>
      <c r="O14" s="115"/>
      <c r="P14" s="140" t="s">
        <v>455</v>
      </c>
      <c r="Q14" s="150" t="e">
        <f t="shared" ref="Q14:V14" si="8">Q13/$N$3</f>
        <v>#VALUE!</v>
      </c>
      <c r="R14" s="150" t="e">
        <f t="shared" si="8"/>
        <v>#VALUE!</v>
      </c>
      <c r="S14" s="150" t="e">
        <f t="shared" si="8"/>
        <v>#VALUE!</v>
      </c>
      <c r="T14" s="150" t="e">
        <f t="shared" si="8"/>
        <v>#VALUE!</v>
      </c>
      <c r="U14" s="150" t="e">
        <f t="shared" si="8"/>
        <v>#VALUE!</v>
      </c>
      <c r="V14" s="146">
        <f t="shared" si="8"/>
        <v>1</v>
      </c>
      <c r="W14" s="146"/>
      <c r="X14" s="146"/>
      <c r="Y14" s="146"/>
      <c r="Z14" s="144" t="e">
        <f>SUM(Q14:V14)</f>
        <v>#VALUE!</v>
      </c>
      <c r="AA14" s="136"/>
      <c r="AB14" s="115"/>
      <c r="AC14" s="140"/>
      <c r="AD14" s="150"/>
      <c r="AE14" s="150"/>
      <c r="AF14" s="150"/>
      <c r="AG14" s="150"/>
      <c r="AH14" s="150"/>
      <c r="AI14" s="146"/>
      <c r="AJ14" s="146"/>
      <c r="AK14" s="146"/>
      <c r="AL14" s="146"/>
      <c r="AM14" s="144"/>
      <c r="AN14" s="136"/>
    </row>
    <row r="15" spans="2:40" x14ac:dyDescent="0.3">
      <c r="B15" s="107"/>
      <c r="C15" s="147" t="s">
        <v>368</v>
      </c>
      <c r="D15" s="108">
        <f>'77_Seeds'!AL130</f>
        <v>0.44664979511210406</v>
      </c>
      <c r="E15" s="108">
        <f>'77_Seeds'!AM130</f>
        <v>2.4792898256302545</v>
      </c>
      <c r="F15" s="108">
        <f>'77_Seeds'!AN130</f>
        <v>19.415542666962249</v>
      </c>
      <c r="G15" s="108">
        <f>'77_Seeds'!AO130</f>
        <v>26.448388375933479</v>
      </c>
      <c r="H15" s="108">
        <f>'77_Seeds'!AP130</f>
        <v>20.755278147979606</v>
      </c>
      <c r="I15" s="107"/>
      <c r="J15" s="107"/>
      <c r="K15" s="107"/>
      <c r="L15" s="107"/>
      <c r="M15" s="107"/>
      <c r="N15" s="107"/>
      <c r="O15" s="107"/>
      <c r="P15" s="147" t="s">
        <v>368</v>
      </c>
      <c r="Q15" s="108" t="str">
        <f>'77_Seeds'!AL135</f>
        <v>-</v>
      </c>
      <c r="R15" s="108" t="str">
        <f>'77_Seeds'!AM135</f>
        <v>-</v>
      </c>
      <c r="S15" s="108" t="str">
        <f>'77_Seeds'!AN135</f>
        <v>-</v>
      </c>
      <c r="T15" s="108" t="str">
        <f>'77_Seeds'!AO135</f>
        <v>-</v>
      </c>
      <c r="U15" s="108" t="str">
        <f>'77_Seeds'!AP135</f>
        <v>-</v>
      </c>
      <c r="V15" s="107"/>
      <c r="W15" s="107"/>
      <c r="X15" s="107"/>
      <c r="Y15" s="107"/>
      <c r="Z15" s="107"/>
      <c r="AA15" s="107"/>
      <c r="AB15" s="107"/>
      <c r="AC15" s="147"/>
      <c r="AD15" s="108"/>
      <c r="AE15" s="108"/>
      <c r="AF15" s="108"/>
      <c r="AG15" s="108"/>
      <c r="AH15" s="108"/>
      <c r="AI15" s="107"/>
      <c r="AJ15" s="107"/>
      <c r="AK15" s="107"/>
      <c r="AL15" s="107"/>
      <c r="AM15" s="107"/>
      <c r="AN15" s="107"/>
    </row>
    <row r="16" spans="2:40" x14ac:dyDescent="0.3">
      <c r="B16" s="107"/>
      <c r="C16" s="128" t="s">
        <v>458</v>
      </c>
      <c r="D16" s="125">
        <f>1.96*D15</f>
        <v>0.8754335984197239</v>
      </c>
      <c r="E16" s="125">
        <f>1.96*E15</f>
        <v>4.8594080582352985</v>
      </c>
      <c r="F16" s="125">
        <f>1.96*F15</f>
        <v>38.054463627246008</v>
      </c>
      <c r="G16" s="125">
        <f>1.96*G15</f>
        <v>51.838841216829621</v>
      </c>
      <c r="H16" s="125">
        <f>1.96*H15</f>
        <v>40.680345170040027</v>
      </c>
      <c r="I16" s="107"/>
      <c r="J16" s="107"/>
      <c r="K16" s="107"/>
      <c r="L16" s="107"/>
      <c r="M16" s="107"/>
      <c r="N16" s="107"/>
      <c r="O16" s="107"/>
      <c r="P16" s="128" t="s">
        <v>458</v>
      </c>
      <c r="Q16" s="125" t="e">
        <f>1.96*Q15</f>
        <v>#VALUE!</v>
      </c>
      <c r="R16" s="125" t="e">
        <f>1.96*R15</f>
        <v>#VALUE!</v>
      </c>
      <c r="S16" s="125" t="e">
        <f>1.96*S15</f>
        <v>#VALUE!</v>
      </c>
      <c r="T16" s="125" t="e">
        <f>1.96*T15</f>
        <v>#VALUE!</v>
      </c>
      <c r="U16" s="125" t="e">
        <f>1.96*U15</f>
        <v>#VALUE!</v>
      </c>
      <c r="V16" s="107"/>
      <c r="W16" s="107"/>
      <c r="X16" s="107"/>
      <c r="Y16" s="107"/>
      <c r="Z16" s="107"/>
      <c r="AA16" s="107"/>
      <c r="AB16" s="107"/>
      <c r="AC16" s="128"/>
      <c r="AD16" s="125"/>
      <c r="AE16" s="125"/>
      <c r="AF16" s="125"/>
      <c r="AG16" s="125"/>
      <c r="AH16" s="125"/>
      <c r="AI16" s="107"/>
      <c r="AJ16" s="107"/>
      <c r="AK16" s="107"/>
      <c r="AL16" s="107"/>
      <c r="AM16" s="107"/>
      <c r="AN16" s="107"/>
    </row>
    <row r="17" spans="2:40" x14ac:dyDescent="0.3">
      <c r="B17" s="115" t="s">
        <v>375</v>
      </c>
      <c r="C17" s="107" t="s">
        <v>367</v>
      </c>
      <c r="D17" s="145">
        <f>D7/SUM(D7:H7)</f>
        <v>7.2496847733952968E-3</v>
      </c>
      <c r="E17" s="145">
        <f>E7/SUM(D7:H7)</f>
        <v>2.5186500288869864E-3</v>
      </c>
      <c r="F17" s="145">
        <f>F7/SUM(D7:H7)</f>
        <v>0.11583628880239191</v>
      </c>
      <c r="G17" s="145">
        <f>G7/SUM(D7:H7)</f>
        <v>0.62995928410878377</v>
      </c>
      <c r="H17" s="145">
        <f>H7/SUM(D7:H7)</f>
        <v>0.24443609228654203</v>
      </c>
      <c r="I17" s="151">
        <f>SUM(D17:H17)</f>
        <v>1</v>
      </c>
      <c r="J17" s="107"/>
      <c r="K17" s="107"/>
      <c r="L17" s="107"/>
      <c r="M17" s="107"/>
      <c r="N17" s="107"/>
      <c r="O17" s="115" t="s">
        <v>375</v>
      </c>
      <c r="P17" s="107" t="s">
        <v>367</v>
      </c>
      <c r="Q17" s="145" t="e">
        <f>Q7/SUM(Q7:U7)</f>
        <v>#VALUE!</v>
      </c>
      <c r="R17" s="145" t="e">
        <f>R7/SUM(Q7:U7)</f>
        <v>#VALUE!</v>
      </c>
      <c r="S17" s="145" t="e">
        <f>S7/SUM(Q7:U7)</f>
        <v>#VALUE!</v>
      </c>
      <c r="T17" s="145" t="e">
        <f>T7/SUM(Q7:U7)</f>
        <v>#VALUE!</v>
      </c>
      <c r="U17" s="145" t="e">
        <f>U7/SUM(Q7:U7)</f>
        <v>#VALUE!</v>
      </c>
      <c r="V17" s="151" t="e">
        <f>SUM(Q17:U17)</f>
        <v>#VALUE!</v>
      </c>
      <c r="W17" s="107"/>
      <c r="X17" s="107"/>
      <c r="Y17" s="107"/>
      <c r="Z17" s="107"/>
      <c r="AA17" s="107"/>
      <c r="AB17" s="115" t="s">
        <v>375</v>
      </c>
      <c r="AC17" s="107" t="s">
        <v>367</v>
      </c>
      <c r="AD17" s="145">
        <f>AD7/SUM(AD7:AH7)</f>
        <v>0</v>
      </c>
      <c r="AE17" s="145">
        <f>AE7/SUM(AD7:AH7)</f>
        <v>0</v>
      </c>
      <c r="AF17" s="145">
        <f>AF7/SUM(AD7:AH7)</f>
        <v>0.42714244143750907</v>
      </c>
      <c r="AG17" s="145">
        <f>AG7/SUM(AD7:AH7)</f>
        <v>0.46955477957223918</v>
      </c>
      <c r="AH17" s="145">
        <f>AH7/SUM(AD7:AH7)</f>
        <v>0.1033027789902517</v>
      </c>
      <c r="AI17" s="151">
        <f>SUM(AD17:AH17)</f>
        <v>1</v>
      </c>
      <c r="AJ17" s="107"/>
      <c r="AK17" s="107"/>
      <c r="AL17" s="107"/>
      <c r="AM17" s="107"/>
      <c r="AN17" s="107"/>
    </row>
    <row r="18" spans="2:40" x14ac:dyDescent="0.3">
      <c r="B18" s="147" t="s">
        <v>648</v>
      </c>
      <c r="C18" s="90" t="s">
        <v>447</v>
      </c>
      <c r="D18" s="108">
        <f>D11*D17</f>
        <v>1.3049432592111616E-2</v>
      </c>
      <c r="E18" s="108">
        <f>E11*D17</f>
        <v>9.6420807486157473E-2</v>
      </c>
      <c r="F18" s="108">
        <f>F11*D17</f>
        <v>0.79362299214358167</v>
      </c>
      <c r="G18" s="108">
        <f>G11*D17</f>
        <v>2.1053084581939916</v>
      </c>
      <c r="H18" s="108">
        <f>H11*D17</f>
        <v>1.2109873445479502</v>
      </c>
      <c r="I18" s="107"/>
      <c r="J18" s="107"/>
      <c r="K18" s="107"/>
      <c r="L18" s="107"/>
      <c r="M18" s="107"/>
      <c r="N18" s="107"/>
      <c r="O18" s="147" t="s">
        <v>648</v>
      </c>
      <c r="P18" s="90" t="s">
        <v>447</v>
      </c>
      <c r="Q18" s="108" t="e">
        <f>Q11*Q17</f>
        <v>#VALUE!</v>
      </c>
      <c r="R18" s="108" t="e">
        <f>R11*Q17</f>
        <v>#VALUE!</v>
      </c>
      <c r="S18" s="108" t="e">
        <f>S11*Q17</f>
        <v>#VALUE!</v>
      </c>
      <c r="T18" s="108" t="e">
        <f>T11*Q17</f>
        <v>#VALUE!</v>
      </c>
      <c r="U18" s="108" t="e">
        <f>U11*Q17</f>
        <v>#VALUE!</v>
      </c>
      <c r="V18" s="107"/>
      <c r="W18" s="107"/>
      <c r="X18" s="107"/>
      <c r="Y18" s="107"/>
      <c r="Z18" s="107"/>
      <c r="AA18" s="107"/>
      <c r="AB18" s="147" t="s">
        <v>648</v>
      </c>
      <c r="AC18" s="90" t="s">
        <v>447</v>
      </c>
      <c r="AD18" s="108">
        <f>AD11*AD17</f>
        <v>0</v>
      </c>
      <c r="AE18" s="108">
        <f>AE11*AD17</f>
        <v>0</v>
      </c>
      <c r="AF18" s="108">
        <f>AF11*AD17</f>
        <v>0</v>
      </c>
      <c r="AG18" s="108">
        <f>AG11*AD17</f>
        <v>0</v>
      </c>
      <c r="AH18" s="108">
        <f>AH11*AD17</f>
        <v>0</v>
      </c>
      <c r="AI18" s="107"/>
      <c r="AJ18" s="107"/>
      <c r="AK18" s="107"/>
      <c r="AL18" s="107"/>
      <c r="AM18" s="107"/>
      <c r="AN18" s="107"/>
    </row>
    <row r="19" spans="2:40" x14ac:dyDescent="0.3">
      <c r="B19" s="107" t="s">
        <v>649</v>
      </c>
      <c r="C19" s="91" t="s">
        <v>446</v>
      </c>
      <c r="D19" s="108">
        <f>D11*E17</f>
        <v>4.5335700519966039E-3</v>
      </c>
      <c r="E19" s="108">
        <f>E11*E17</f>
        <v>3.3498045384196928E-2</v>
      </c>
      <c r="F19" s="108">
        <f>F11*E17</f>
        <v>0.27571661866225788</v>
      </c>
      <c r="G19" s="108">
        <f>G11*E17</f>
        <v>0.73141596838877998</v>
      </c>
      <c r="H19" s="108">
        <f>H11*E17</f>
        <v>0.42071530082528213</v>
      </c>
      <c r="I19" s="107"/>
      <c r="J19" s="107"/>
      <c r="K19" s="107"/>
      <c r="L19" s="107"/>
      <c r="M19" s="107"/>
      <c r="N19" s="107"/>
      <c r="O19" s="107" t="s">
        <v>649</v>
      </c>
      <c r="P19" s="91" t="s">
        <v>446</v>
      </c>
      <c r="Q19" s="108" t="e">
        <f>Q11*R17</f>
        <v>#VALUE!</v>
      </c>
      <c r="R19" s="108" t="e">
        <f>R11*R17</f>
        <v>#VALUE!</v>
      </c>
      <c r="S19" s="108" t="e">
        <f>S11*R17</f>
        <v>#VALUE!</v>
      </c>
      <c r="T19" s="108" t="e">
        <f>T11*R17</f>
        <v>#VALUE!</v>
      </c>
      <c r="U19" s="108" t="e">
        <f>U11*R17</f>
        <v>#VALUE!</v>
      </c>
      <c r="V19" s="107"/>
      <c r="W19" s="107"/>
      <c r="X19" s="107"/>
      <c r="Y19" s="107"/>
      <c r="Z19" s="107"/>
      <c r="AA19" s="107"/>
      <c r="AB19" s="107" t="s">
        <v>649</v>
      </c>
      <c r="AC19" s="91" t="s">
        <v>446</v>
      </c>
      <c r="AD19" s="108">
        <f>AD11*AE17</f>
        <v>0</v>
      </c>
      <c r="AE19" s="108">
        <f>AE11*AE17</f>
        <v>0</v>
      </c>
      <c r="AF19" s="108">
        <f>AF11*AE17</f>
        <v>0</v>
      </c>
      <c r="AG19" s="108">
        <f>AG11*AE17</f>
        <v>0</v>
      </c>
      <c r="AH19" s="108">
        <f>AH11*AE17</f>
        <v>0</v>
      </c>
      <c r="AI19" s="107"/>
      <c r="AJ19" s="107"/>
      <c r="AK19" s="107"/>
      <c r="AL19" s="107"/>
      <c r="AM19" s="107"/>
      <c r="AN19" s="107"/>
    </row>
    <row r="20" spans="2:40" x14ac:dyDescent="0.3">
      <c r="B20" s="107"/>
      <c r="C20" s="92" t="s">
        <v>448</v>
      </c>
      <c r="D20" s="108">
        <f>D11*F17</f>
        <v>0.20850531984430676</v>
      </c>
      <c r="E20" s="108">
        <f>E11*F17</f>
        <v>1.5406226410718129</v>
      </c>
      <c r="F20" s="108">
        <f>F11*F17</f>
        <v>12.68059853519782</v>
      </c>
      <c r="G20" s="108">
        <f>G11*F17</f>
        <v>33.63885826821457</v>
      </c>
      <c r="H20" s="108">
        <f>H11*F17</f>
        <v>19.34929368155154</v>
      </c>
      <c r="I20" s="107"/>
      <c r="J20" s="107"/>
      <c r="K20" s="107"/>
      <c r="L20" s="107"/>
      <c r="M20" s="107"/>
      <c r="N20" s="107"/>
      <c r="O20" s="107"/>
      <c r="P20" s="92" t="s">
        <v>448</v>
      </c>
      <c r="Q20" s="108" t="e">
        <f>Q11*S17</f>
        <v>#VALUE!</v>
      </c>
      <c r="R20" s="108" t="e">
        <f>R11*S17</f>
        <v>#VALUE!</v>
      </c>
      <c r="S20" s="108" t="e">
        <f>S11*S17</f>
        <v>#VALUE!</v>
      </c>
      <c r="T20" s="108" t="e">
        <f>T11*S17</f>
        <v>#VALUE!</v>
      </c>
      <c r="U20" s="108" t="e">
        <f>U11*S17</f>
        <v>#VALUE!</v>
      </c>
      <c r="V20" s="107"/>
      <c r="W20" s="107"/>
      <c r="X20" s="107"/>
      <c r="Y20" s="107"/>
      <c r="Z20" s="107"/>
      <c r="AA20" s="107"/>
      <c r="AB20" s="107"/>
      <c r="AC20" s="92" t="s">
        <v>448</v>
      </c>
      <c r="AD20" s="108">
        <f>AD11*AF17</f>
        <v>0</v>
      </c>
      <c r="AE20" s="108">
        <f>AE11*AF17</f>
        <v>0</v>
      </c>
      <c r="AF20" s="108">
        <f>AF11*AF17</f>
        <v>1.2557987778262818</v>
      </c>
      <c r="AG20" s="108">
        <f>AG11*AF17</f>
        <v>3.1309540957369406</v>
      </c>
      <c r="AH20" s="108">
        <f>AH11*AF17</f>
        <v>0.69624217954313938</v>
      </c>
      <c r="AI20" s="107"/>
      <c r="AJ20" s="107"/>
      <c r="AK20" s="107"/>
      <c r="AL20" s="107"/>
      <c r="AM20" s="107"/>
      <c r="AN20" s="107"/>
    </row>
    <row r="21" spans="2:40" x14ac:dyDescent="0.3">
      <c r="B21" s="107"/>
      <c r="C21" s="124" t="s">
        <v>449</v>
      </c>
      <c r="D21" s="108">
        <f>D11*G17</f>
        <v>1.133926711395818</v>
      </c>
      <c r="E21" s="108">
        <f>E11*G17</f>
        <v>8.3784584786468272</v>
      </c>
      <c r="F21" s="108">
        <f>F11*G17</f>
        <v>68.961642831388431</v>
      </c>
      <c r="G21" s="108">
        <f>G11*G17</f>
        <v>182.94017610519057</v>
      </c>
      <c r="H21" s="108">
        <f>H11*G17</f>
        <v>105.22839881753121</v>
      </c>
      <c r="I21" s="107"/>
      <c r="J21" s="107"/>
      <c r="K21" s="107"/>
      <c r="L21" s="107"/>
      <c r="M21" s="107"/>
      <c r="N21" s="107"/>
      <c r="O21" s="107"/>
      <c r="P21" s="124" t="s">
        <v>449</v>
      </c>
      <c r="Q21" s="108" t="e">
        <f>Q11*T17</f>
        <v>#VALUE!</v>
      </c>
      <c r="R21" s="108" t="e">
        <f>R11*T17</f>
        <v>#VALUE!</v>
      </c>
      <c r="S21" s="108" t="e">
        <f>S11*T17</f>
        <v>#VALUE!</v>
      </c>
      <c r="T21" s="108" t="e">
        <f>T11*T17</f>
        <v>#VALUE!</v>
      </c>
      <c r="U21" s="108" t="e">
        <f>U11*T17</f>
        <v>#VALUE!</v>
      </c>
      <c r="V21" s="107"/>
      <c r="W21" s="107"/>
      <c r="X21" s="107"/>
      <c r="Y21" s="107"/>
      <c r="Z21" s="107"/>
      <c r="AA21" s="107"/>
      <c r="AB21" s="107"/>
      <c r="AC21" s="124" t="s">
        <v>449</v>
      </c>
      <c r="AD21" s="108">
        <f>AD11*AG17</f>
        <v>0</v>
      </c>
      <c r="AE21" s="108">
        <f>AE11*AG17</f>
        <v>0</v>
      </c>
      <c r="AF21" s="108">
        <f>AF11*AG17</f>
        <v>1.3804910519423887</v>
      </c>
      <c r="AG21" s="108">
        <f>AG11*AG17</f>
        <v>3.4418365342645125</v>
      </c>
      <c r="AH21" s="108">
        <f>AH11*AG17</f>
        <v>0.76537429070274943</v>
      </c>
      <c r="AI21" s="107"/>
      <c r="AJ21" s="107"/>
      <c r="AK21" s="107"/>
      <c r="AL21" s="107"/>
      <c r="AM21" s="107"/>
      <c r="AN21" s="107"/>
    </row>
    <row r="22" spans="2:40" x14ac:dyDescent="0.3">
      <c r="B22" s="107"/>
      <c r="C22" s="123" t="s">
        <v>450</v>
      </c>
      <c r="D22" s="125">
        <f>D11*H17</f>
        <v>0.43998496611577842</v>
      </c>
      <c r="E22" s="125">
        <f>E11*H17</f>
        <v>3.2510000274110102</v>
      </c>
      <c r="F22" s="125">
        <f>F11*H17</f>
        <v>26.758419022607708</v>
      </c>
      <c r="G22" s="125">
        <f>G11*H17</f>
        <v>70.984241200011724</v>
      </c>
      <c r="H22" s="125">
        <f>H11*H17</f>
        <v>40.830604855543974</v>
      </c>
      <c r="I22" s="107"/>
      <c r="J22" s="107"/>
      <c r="K22" s="107"/>
      <c r="L22" s="107"/>
      <c r="M22" s="107"/>
      <c r="N22" s="107"/>
      <c r="O22" s="107"/>
      <c r="P22" s="123" t="s">
        <v>450</v>
      </c>
      <c r="Q22" s="125" t="e">
        <f>Q11*U17</f>
        <v>#VALUE!</v>
      </c>
      <c r="R22" s="125" t="e">
        <f>R11*U17</f>
        <v>#VALUE!</v>
      </c>
      <c r="S22" s="125" t="e">
        <f>S11*U17</f>
        <v>#VALUE!</v>
      </c>
      <c r="T22" s="125" t="e">
        <f>T11*U17</f>
        <v>#VALUE!</v>
      </c>
      <c r="U22" s="125" t="e">
        <f>U11*U17</f>
        <v>#VALUE!</v>
      </c>
      <c r="V22" s="107"/>
      <c r="W22" s="107"/>
      <c r="X22" s="107"/>
      <c r="Y22" s="107"/>
      <c r="Z22" s="107"/>
      <c r="AA22" s="107"/>
      <c r="AB22" s="107"/>
      <c r="AC22" s="123" t="s">
        <v>450</v>
      </c>
      <c r="AD22" s="125">
        <f>AD11*AH17</f>
        <v>0</v>
      </c>
      <c r="AE22" s="125">
        <f>AE11*AH17</f>
        <v>0</v>
      </c>
      <c r="AF22" s="125">
        <f>AF11*AH17</f>
        <v>0.30371017023134123</v>
      </c>
      <c r="AG22" s="125">
        <f>AG11*AH17</f>
        <v>0.75720936999854482</v>
      </c>
      <c r="AH22" s="125">
        <f>AH11*AH17</f>
        <v>0.16838352975411017</v>
      </c>
      <c r="AI22" s="107"/>
      <c r="AJ22" s="107"/>
      <c r="AK22" s="107"/>
      <c r="AL22" s="107"/>
      <c r="AM22" s="107"/>
      <c r="AN22" s="107"/>
    </row>
    <row r="23" spans="2:40" x14ac:dyDescent="0.3">
      <c r="B23" s="107"/>
      <c r="C23" s="107" t="s">
        <v>36</v>
      </c>
      <c r="D23" s="108">
        <f>SUM(D18:D22)</f>
        <v>1.8000000000000114</v>
      </c>
      <c r="E23" s="108">
        <f>SUM(E18:E22)</f>
        <v>13.300000000000004</v>
      </c>
      <c r="F23" s="108">
        <f>SUM(F18:F22)</f>
        <v>109.4699999999998</v>
      </c>
      <c r="G23" s="108">
        <f t="shared" ref="G23:H23" si="9">SUM(G18:G22)</f>
        <v>290.39999999999964</v>
      </c>
      <c r="H23" s="108">
        <f t="shared" si="9"/>
        <v>167.03999999999996</v>
      </c>
      <c r="I23" s="107"/>
      <c r="J23" s="107"/>
      <c r="K23" s="107"/>
      <c r="L23" s="107"/>
      <c r="M23" s="107"/>
      <c r="N23" s="107"/>
      <c r="O23" s="107"/>
      <c r="P23" s="107" t="s">
        <v>36</v>
      </c>
      <c r="Q23" s="108" t="e">
        <f>SUM(Q18:Q22)</f>
        <v>#VALUE!</v>
      </c>
      <c r="R23" s="108" t="e">
        <f>SUM(R18:R22)</f>
        <v>#VALUE!</v>
      </c>
      <c r="S23" s="108" t="e">
        <f>SUM(S18:S22)</f>
        <v>#VALUE!</v>
      </c>
      <c r="T23" s="108" t="e">
        <f t="shared" ref="T23:U23" si="10">SUM(T18:T22)</f>
        <v>#VALUE!</v>
      </c>
      <c r="U23" s="108" t="e">
        <f t="shared" si="10"/>
        <v>#VALUE!</v>
      </c>
      <c r="V23" s="107"/>
      <c r="W23" s="107"/>
      <c r="X23" s="107"/>
      <c r="Y23" s="107"/>
      <c r="Z23" s="107"/>
      <c r="AA23" s="107"/>
      <c r="AB23" s="107"/>
      <c r="AC23" s="107" t="s">
        <v>36</v>
      </c>
      <c r="AD23" s="108">
        <f>SUM(AD18:AD22)</f>
        <v>0</v>
      </c>
      <c r="AE23" s="108">
        <f>SUM(AE18:AE22)</f>
        <v>0</v>
      </c>
      <c r="AF23" s="108">
        <f>SUM(AF18:AF22)</f>
        <v>2.9400000000000115</v>
      </c>
      <c r="AG23" s="108">
        <f t="shared" ref="AG23:AH23" si="11">SUM(AG18:AG22)</f>
        <v>7.3299999999999983</v>
      </c>
      <c r="AH23" s="108">
        <f t="shared" si="11"/>
        <v>1.6299999999999988</v>
      </c>
      <c r="AI23" s="107"/>
      <c r="AJ23" s="107"/>
      <c r="AK23" s="107"/>
      <c r="AL23" s="107"/>
      <c r="AM23" s="107"/>
      <c r="AN23" s="107"/>
    </row>
    <row r="24" spans="2:40" x14ac:dyDescent="0.3">
      <c r="B24" s="107" t="s">
        <v>650</v>
      </c>
      <c r="C24" s="211" t="s">
        <v>451</v>
      </c>
      <c r="D24" s="125">
        <f>I9*D17</f>
        <v>41.942833765935298</v>
      </c>
      <c r="E24" s="125">
        <f>I9*E17</f>
        <v>14.571574182624797</v>
      </c>
      <c r="F24" s="125">
        <f>I9*F17</f>
        <v>670.16737377757443</v>
      </c>
      <c r="G24" s="125">
        <f>I9*G17</f>
        <v>3644.6105394328461</v>
      </c>
      <c r="H24" s="125">
        <f>I9*H17</f>
        <v>1414.1776788410207</v>
      </c>
      <c r="I24" s="226">
        <f>SUM(D24:H24)</f>
        <v>5785.4700000000012</v>
      </c>
      <c r="J24" s="107"/>
      <c r="K24" s="140"/>
      <c r="L24" s="140"/>
      <c r="M24" s="107"/>
      <c r="N24" s="107"/>
      <c r="O24" s="107" t="s">
        <v>650</v>
      </c>
      <c r="P24" s="211" t="s">
        <v>451</v>
      </c>
      <c r="Q24" s="125" t="e">
        <f>V9*Q17</f>
        <v>#VALUE!</v>
      </c>
      <c r="R24" s="125" t="e">
        <f>V9*R17</f>
        <v>#VALUE!</v>
      </c>
      <c r="S24" s="125" t="e">
        <f>V9*S17</f>
        <v>#VALUE!</v>
      </c>
      <c r="T24" s="125" t="e">
        <f>V9*T17</f>
        <v>#VALUE!</v>
      </c>
      <c r="U24" s="125" t="e">
        <f>V9*U17</f>
        <v>#VALUE!</v>
      </c>
      <c r="V24" s="226" t="e">
        <f>SUM(Q24:U24)</f>
        <v>#VALUE!</v>
      </c>
      <c r="W24" s="107"/>
      <c r="X24" s="140"/>
      <c r="Y24" s="140"/>
      <c r="Z24" s="107"/>
      <c r="AA24" s="107"/>
      <c r="AB24" s="107" t="s">
        <v>650</v>
      </c>
      <c r="AC24" s="211" t="s">
        <v>451</v>
      </c>
      <c r="AD24" s="125">
        <f>AI9*AD17</f>
        <v>0</v>
      </c>
      <c r="AE24" s="125">
        <f>AI9*AE17</f>
        <v>0</v>
      </c>
      <c r="AF24" s="125">
        <f>AI9*AF17</f>
        <v>61.017297759348153</v>
      </c>
      <c r="AG24" s="125">
        <f>AI9*AG17</f>
        <v>67.075900261894347</v>
      </c>
      <c r="AH24" s="125">
        <f>AI9*AH17</f>
        <v>14.756801978757451</v>
      </c>
      <c r="AI24" s="226">
        <f>SUM(AD24:AH24)</f>
        <v>142.84999999999997</v>
      </c>
      <c r="AJ24" s="107"/>
      <c r="AK24" s="140"/>
      <c r="AL24" s="140"/>
      <c r="AM24" s="107"/>
      <c r="AN24" s="107"/>
    </row>
    <row r="25" spans="2:40" x14ac:dyDescent="0.3">
      <c r="B25" s="107" t="s">
        <v>651</v>
      </c>
      <c r="C25" s="107" t="s">
        <v>652</v>
      </c>
      <c r="D25" s="108">
        <f>SUM(D18:H18)+D24</f>
        <v>46.162222800899087</v>
      </c>
      <c r="E25" s="108">
        <f>SUM(D19:H19)+E24</f>
        <v>16.037453685937312</v>
      </c>
      <c r="F25" s="108">
        <f>SUM(D20:H20)+F24</f>
        <v>737.58525222345452</v>
      </c>
      <c r="G25" s="108">
        <f>SUM(D21:H21)+G24</f>
        <v>4011.2531423769988</v>
      </c>
      <c r="H25" s="108">
        <f>SUM(D22:H22)+H24</f>
        <v>1556.4419289127109</v>
      </c>
      <c r="I25" s="107"/>
      <c r="J25" s="107"/>
      <c r="K25" s="108">
        <f>D25+E25+G25+H25</f>
        <v>5629.894747776546</v>
      </c>
      <c r="L25" s="108">
        <f>F25</f>
        <v>737.58525222345452</v>
      </c>
      <c r="M25" s="107"/>
      <c r="N25" s="107"/>
      <c r="O25" s="107" t="s">
        <v>651</v>
      </c>
      <c r="P25" s="107" t="s">
        <v>652</v>
      </c>
      <c r="Q25" s="108" t="e">
        <f>SUM(Q18:U18)+Q24</f>
        <v>#VALUE!</v>
      </c>
      <c r="R25" s="108" t="e">
        <f>SUM(Q19:U19)+R24</f>
        <v>#VALUE!</v>
      </c>
      <c r="S25" s="108" t="e">
        <f>SUM(Q20:U20)+S24</f>
        <v>#VALUE!</v>
      </c>
      <c r="T25" s="108" t="e">
        <f>SUM(Q21:U21)+T24</f>
        <v>#VALUE!</v>
      </c>
      <c r="U25" s="108" t="e">
        <f>SUM(Q22:U22)+U24</f>
        <v>#VALUE!</v>
      </c>
      <c r="V25" s="107"/>
      <c r="W25" s="107"/>
      <c r="X25" s="108" t="e">
        <f>Q25+R25+T25+U25</f>
        <v>#VALUE!</v>
      </c>
      <c r="Y25" s="108" t="e">
        <f>S25</f>
        <v>#VALUE!</v>
      </c>
      <c r="Z25" s="107"/>
      <c r="AA25" s="107"/>
      <c r="AB25" s="107" t="s">
        <v>651</v>
      </c>
      <c r="AC25" s="107" t="s">
        <v>652</v>
      </c>
      <c r="AD25" s="108">
        <f>SUM(AD18:AH18)+AD24</f>
        <v>0</v>
      </c>
      <c r="AE25" s="108">
        <f>SUM(AD19:AH19)+AE24</f>
        <v>0</v>
      </c>
      <c r="AF25" s="108">
        <f>SUM(AD20:AH20)+AF24</f>
        <v>66.100292812454512</v>
      </c>
      <c r="AG25" s="108">
        <f>SUM(AD21:AH21)+AG24</f>
        <v>72.663602138803995</v>
      </c>
      <c r="AH25" s="108">
        <f>SUM(AD22:AH22)+AH24</f>
        <v>15.986105048741447</v>
      </c>
      <c r="AI25" s="107"/>
      <c r="AJ25" s="107"/>
      <c r="AK25" s="108">
        <f>AD25+AE25+AG25+AH25</f>
        <v>88.649707187545445</v>
      </c>
      <c r="AL25" s="108">
        <f>AF25</f>
        <v>66.100292812454512</v>
      </c>
      <c r="AM25" s="107"/>
      <c r="AN25" s="107"/>
    </row>
    <row r="26" spans="2:40" x14ac:dyDescent="0.3">
      <c r="B26" s="107" t="s">
        <v>651</v>
      </c>
      <c r="C26" s="107" t="s">
        <v>653</v>
      </c>
      <c r="D26" s="145">
        <f>D25/$N$2</f>
        <v>1.8646920356883531E-3</v>
      </c>
      <c r="E26" s="145">
        <f t="shared" ref="E26:H26" si="12">E25/$N$2</f>
        <v>6.478221876331674E-4</v>
      </c>
      <c r="F26" s="145">
        <f t="shared" si="12"/>
        <v>2.9794261671374136E-2</v>
      </c>
      <c r="G26" s="145">
        <f t="shared" si="12"/>
        <v>0.16203188091658768</v>
      </c>
      <c r="H26" s="145">
        <f t="shared" si="12"/>
        <v>6.2871428037005683E-2</v>
      </c>
      <c r="I26" s="107"/>
      <c r="J26" s="107"/>
      <c r="K26" s="151">
        <f>K25/$N$2</f>
        <v>0.22741582317691486</v>
      </c>
      <c r="L26" s="146">
        <f>L25/$N$2</f>
        <v>2.9794261671374136E-2</v>
      </c>
      <c r="M26" s="107"/>
      <c r="N26" s="107"/>
      <c r="O26" s="107" t="s">
        <v>651</v>
      </c>
      <c r="P26" s="107" t="s">
        <v>653</v>
      </c>
      <c r="Q26" s="145" t="e">
        <f>Q25/$N$3</f>
        <v>#VALUE!</v>
      </c>
      <c r="R26" s="145" t="e">
        <f t="shared" ref="R26:U26" si="13">R25/$N$3</f>
        <v>#VALUE!</v>
      </c>
      <c r="S26" s="145" t="e">
        <f t="shared" si="13"/>
        <v>#VALUE!</v>
      </c>
      <c r="T26" s="145" t="e">
        <f t="shared" si="13"/>
        <v>#VALUE!</v>
      </c>
      <c r="U26" s="145" t="e">
        <f t="shared" si="13"/>
        <v>#VALUE!</v>
      </c>
      <c r="V26" s="107"/>
      <c r="W26" s="107"/>
      <c r="X26" s="151" t="e">
        <f>X25/$N$3</f>
        <v>#VALUE!</v>
      </c>
      <c r="Y26" s="151" t="e">
        <f>Y25/$N$3</f>
        <v>#VALUE!</v>
      </c>
      <c r="Z26" s="107"/>
      <c r="AA26" s="107"/>
      <c r="AB26" s="107" t="s">
        <v>651</v>
      </c>
      <c r="AC26" s="107" t="s">
        <v>653</v>
      </c>
      <c r="AD26" s="145">
        <f>AD25/$N$4</f>
        <v>0</v>
      </c>
      <c r="AE26" s="145">
        <f t="shared" ref="AE26:AH26" si="14">AE25/$N$4</f>
        <v>0</v>
      </c>
      <c r="AF26" s="145">
        <f t="shared" si="14"/>
        <v>0.15822173160460185</v>
      </c>
      <c r="AG26" s="145">
        <f t="shared" si="14"/>
        <v>0.1739320730038155</v>
      </c>
      <c r="AH26" s="145">
        <f t="shared" si="14"/>
        <v>3.8265325534962889E-2</v>
      </c>
      <c r="AI26" s="107"/>
      <c r="AJ26" s="107"/>
      <c r="AK26" s="151">
        <f>AK25/$N$4</f>
        <v>0.21219739853877839</v>
      </c>
      <c r="AL26" s="151">
        <f>AL25/$N$4</f>
        <v>0.15822173160460185</v>
      </c>
      <c r="AM26" s="107"/>
      <c r="AN26" s="107"/>
    </row>
    <row r="29" spans="2:40" x14ac:dyDescent="0.3">
      <c r="D29" t="s">
        <v>396</v>
      </c>
      <c r="E29" t="s">
        <v>397</v>
      </c>
      <c r="F29" t="s">
        <v>398</v>
      </c>
      <c r="G29" t="s">
        <v>399</v>
      </c>
      <c r="H29" t="s">
        <v>400</v>
      </c>
      <c r="Q29" t="s">
        <v>396</v>
      </c>
      <c r="R29" t="s">
        <v>397</v>
      </c>
      <c r="S29" t="s">
        <v>398</v>
      </c>
      <c r="T29" t="s">
        <v>399</v>
      </c>
      <c r="U29" t="s">
        <v>400</v>
      </c>
      <c r="AD29" t="s">
        <v>396</v>
      </c>
      <c r="AE29" t="s">
        <v>397</v>
      </c>
      <c r="AF29" t="s">
        <v>398</v>
      </c>
      <c r="AG29" t="s">
        <v>399</v>
      </c>
      <c r="AH29" t="s">
        <v>400</v>
      </c>
    </row>
    <row r="30" spans="2:40" x14ac:dyDescent="0.3">
      <c r="B30" s="118" t="s">
        <v>352</v>
      </c>
      <c r="C30" s="8">
        <v>20</v>
      </c>
      <c r="D30" s="90" t="s">
        <v>447</v>
      </c>
      <c r="E30" s="91" t="s">
        <v>446</v>
      </c>
      <c r="F30" s="92" t="s">
        <v>448</v>
      </c>
      <c r="G30" s="124" t="s">
        <v>449</v>
      </c>
      <c r="H30" s="123" t="s">
        <v>450</v>
      </c>
      <c r="I30" s="211" t="s">
        <v>451</v>
      </c>
      <c r="J30" s="212" t="s">
        <v>514</v>
      </c>
      <c r="K30" s="213" t="s">
        <v>515</v>
      </c>
      <c r="L30" s="214" t="s">
        <v>448</v>
      </c>
      <c r="Q30" s="90" t="s">
        <v>447</v>
      </c>
      <c r="R30" s="91" t="s">
        <v>446</v>
      </c>
      <c r="S30" s="92" t="s">
        <v>448</v>
      </c>
      <c r="T30" s="124" t="s">
        <v>449</v>
      </c>
      <c r="U30" s="123" t="s">
        <v>450</v>
      </c>
      <c r="V30" s="211" t="s">
        <v>451</v>
      </c>
      <c r="W30" s="212" t="s">
        <v>514</v>
      </c>
      <c r="X30" s="213" t="s">
        <v>515</v>
      </c>
      <c r="Y30" s="214" t="s">
        <v>448</v>
      </c>
      <c r="AD30" s="90" t="s">
        <v>447</v>
      </c>
      <c r="AE30" s="91" t="s">
        <v>446</v>
      </c>
      <c r="AF30" s="92" t="s">
        <v>448</v>
      </c>
      <c r="AG30" s="124" t="s">
        <v>449</v>
      </c>
      <c r="AH30" s="123" t="s">
        <v>450</v>
      </c>
      <c r="AI30" s="211" t="s">
        <v>451</v>
      </c>
      <c r="AJ30" s="212" t="s">
        <v>514</v>
      </c>
      <c r="AK30" s="213" t="s">
        <v>515</v>
      </c>
      <c r="AL30" s="214" t="s">
        <v>448</v>
      </c>
    </row>
    <row r="31" spans="2:40" x14ac:dyDescent="0.3">
      <c r="B31" s="119" t="s">
        <v>659</v>
      </c>
      <c r="C31" s="107"/>
      <c r="D31" s="116"/>
      <c r="E31" s="116"/>
      <c r="F31" s="116"/>
      <c r="G31" s="116"/>
      <c r="H31" s="116"/>
      <c r="I31" s="107"/>
      <c r="J31" s="107"/>
      <c r="K31" s="107"/>
      <c r="L31" s="107"/>
      <c r="M31" s="107"/>
      <c r="N31" s="107"/>
      <c r="O31" s="119" t="s">
        <v>696</v>
      </c>
      <c r="P31" s="107"/>
      <c r="Q31" s="116"/>
      <c r="R31" s="116"/>
      <c r="S31" s="116"/>
      <c r="T31" s="116"/>
      <c r="U31" s="116"/>
      <c r="V31" s="107"/>
      <c r="W31" s="107"/>
      <c r="X31" s="107"/>
      <c r="Y31" s="107"/>
      <c r="Z31" s="107"/>
      <c r="AA31" s="107"/>
      <c r="AB31" s="119" t="s">
        <v>770</v>
      </c>
      <c r="AC31" s="107"/>
      <c r="AD31" s="116"/>
      <c r="AE31" s="116"/>
      <c r="AF31" s="116"/>
      <c r="AG31" s="116"/>
      <c r="AH31" s="116"/>
      <c r="AI31" s="107"/>
      <c r="AJ31" s="107"/>
      <c r="AK31" s="107"/>
      <c r="AL31" s="107"/>
      <c r="AM31" s="107"/>
      <c r="AN31" s="107"/>
    </row>
    <row r="32" spans="2:40" x14ac:dyDescent="0.3">
      <c r="B32" s="115" t="s">
        <v>375</v>
      </c>
      <c r="C32" s="122" t="s">
        <v>9</v>
      </c>
      <c r="D32" s="135">
        <f>'88_Seeds'!AL127</f>
        <v>838.28</v>
      </c>
      <c r="E32" s="135">
        <f>'88_Seeds'!AM127</f>
        <v>111.72</v>
      </c>
      <c r="F32" s="135">
        <f>'88_Seeds'!AN127</f>
        <v>2783.46</v>
      </c>
      <c r="G32" s="135">
        <f>'88_Seeds'!AO127</f>
        <v>11073.03</v>
      </c>
      <c r="H32" s="135">
        <f>'88_Seeds'!AP127</f>
        <v>6786.42</v>
      </c>
      <c r="I32" s="108">
        <f>$N$2-N32</f>
        <v>3163.0399999999972</v>
      </c>
      <c r="J32" s="108"/>
      <c r="K32" s="108">
        <f>D32+E32+G32+H32</f>
        <v>18809.45</v>
      </c>
      <c r="L32" s="108">
        <f>F32</f>
        <v>2783.46</v>
      </c>
      <c r="M32" s="115" t="s">
        <v>36</v>
      </c>
      <c r="N32" s="136">
        <f>SUM(D32:H32)</f>
        <v>21592.910000000003</v>
      </c>
      <c r="O32" s="115" t="s">
        <v>375</v>
      </c>
      <c r="P32" s="122" t="s">
        <v>9</v>
      </c>
      <c r="Q32" s="135">
        <f>'88_Seeds'!AL132</f>
        <v>2.48</v>
      </c>
      <c r="R32" s="135">
        <f>'88_Seeds'!AM132</f>
        <v>4.3099999999999996</v>
      </c>
      <c r="S32" s="135">
        <f>'88_Seeds'!AN132</f>
        <v>1122.75</v>
      </c>
      <c r="T32" s="135">
        <f>'88_Seeds'!AO132</f>
        <v>246.02</v>
      </c>
      <c r="U32" s="135">
        <f>'88_Seeds'!AP132</f>
        <v>86.48</v>
      </c>
      <c r="V32" s="108">
        <f>$N$3-AA32</f>
        <v>6.7200000000000273</v>
      </c>
      <c r="W32" s="108"/>
      <c r="X32" s="108">
        <f>Q32+R32+T32+U32</f>
        <v>339.29</v>
      </c>
      <c r="Y32" s="108">
        <f>S32</f>
        <v>1122.75</v>
      </c>
      <c r="Z32" s="115" t="s">
        <v>36</v>
      </c>
      <c r="AA32" s="136">
        <f>SUM(Q32:U32)</f>
        <v>1462.04</v>
      </c>
      <c r="AB32" s="115" t="s">
        <v>375</v>
      </c>
      <c r="AC32" s="122" t="s">
        <v>9</v>
      </c>
      <c r="AD32" s="135">
        <v>0.72</v>
      </c>
      <c r="AE32" s="135">
        <v>0</v>
      </c>
      <c r="AF32" s="135">
        <v>151.86000000000001</v>
      </c>
      <c r="AG32" s="135">
        <v>153.32</v>
      </c>
      <c r="AH32" s="135">
        <v>109.85</v>
      </c>
      <c r="AI32" s="108">
        <f>$N$4-AN32</f>
        <v>2.0199999999999818</v>
      </c>
      <c r="AJ32" s="108"/>
      <c r="AK32" s="108">
        <f>AD32+AE32+AG32+AH32</f>
        <v>263.89</v>
      </c>
      <c r="AL32" s="108">
        <f>AF32</f>
        <v>151.86000000000001</v>
      </c>
      <c r="AM32" s="115" t="s">
        <v>36</v>
      </c>
      <c r="AN32" s="136">
        <f>SUM(AD32:AH32)</f>
        <v>415.75</v>
      </c>
    </row>
    <row r="33" spans="2:40" x14ac:dyDescent="0.3">
      <c r="B33" s="107"/>
      <c r="C33" s="140" t="s">
        <v>455</v>
      </c>
      <c r="D33" s="150">
        <f t="shared" ref="D33:I33" si="15">D32/$N$2</f>
        <v>3.3861758486343686E-2</v>
      </c>
      <c r="E33" s="150">
        <f t="shared" si="15"/>
        <v>4.5128544854873267E-3</v>
      </c>
      <c r="F33" s="150">
        <f t="shared" si="15"/>
        <v>0.11243600023428711</v>
      </c>
      <c r="G33" s="150">
        <f t="shared" si="15"/>
        <v>0.44728762176365683</v>
      </c>
      <c r="H33" s="150">
        <f t="shared" si="15"/>
        <v>0.27413288522557205</v>
      </c>
      <c r="I33" s="150">
        <f t="shared" si="15"/>
        <v>0.1277688798046529</v>
      </c>
      <c r="J33" s="150"/>
      <c r="K33" s="150">
        <f>K32/$N$2</f>
        <v>0.75979511996105986</v>
      </c>
      <c r="L33" s="150">
        <f>L32/$N$2</f>
        <v>0.11243600023428711</v>
      </c>
      <c r="M33" s="144">
        <f>SUM(D33:I33)</f>
        <v>0.99999999999999989</v>
      </c>
      <c r="N33" s="141"/>
      <c r="O33" s="107"/>
      <c r="P33" s="140" t="s">
        <v>455</v>
      </c>
      <c r="Q33" s="150">
        <f t="shared" ref="Q33:V33" si="16">Q32/$N$3</f>
        <v>1.6884991421335003E-3</v>
      </c>
      <c r="R33" s="150">
        <f t="shared" si="16"/>
        <v>2.9344481058852364E-3</v>
      </c>
      <c r="S33" s="150">
        <f t="shared" si="16"/>
        <v>0.76442032735096277</v>
      </c>
      <c r="T33" s="150">
        <f t="shared" si="16"/>
        <v>0.16750183828535636</v>
      </c>
      <c r="U33" s="150">
        <f t="shared" si="16"/>
        <v>5.8879599117623034E-2</v>
      </c>
      <c r="V33" s="150">
        <f t="shared" si="16"/>
        <v>4.5752879980391807E-3</v>
      </c>
      <c r="W33" s="150"/>
      <c r="X33" s="150">
        <f>X32/$N$3</f>
        <v>0.23100438465099812</v>
      </c>
      <c r="Y33" s="150">
        <f>Y32/$N$3</f>
        <v>0.76442032735096277</v>
      </c>
      <c r="Z33" s="144">
        <f>SUM(Q33:V33)</f>
        <v>1</v>
      </c>
      <c r="AA33" s="107"/>
      <c r="AB33" s="107"/>
      <c r="AC33" s="140" t="s">
        <v>455</v>
      </c>
      <c r="AD33" s="150">
        <f>AD32/$N$4</f>
        <v>1.7234363405701702E-3</v>
      </c>
      <c r="AE33" s="150">
        <f t="shared" ref="AD33:AL37" si="17">AE32/$N$4</f>
        <v>0</v>
      </c>
      <c r="AF33" s="150">
        <f t="shared" si="17"/>
        <v>0.36350144816525842</v>
      </c>
      <c r="AG33" s="150">
        <f t="shared" si="17"/>
        <v>0.36699619407808126</v>
      </c>
      <c r="AH33" s="150">
        <f t="shared" si="17"/>
        <v>0.2629437250161572</v>
      </c>
      <c r="AI33" s="150">
        <f t="shared" si="17"/>
        <v>4.8351963999329339E-3</v>
      </c>
      <c r="AJ33" s="150"/>
      <c r="AK33" s="150">
        <f t="shared" si="17"/>
        <v>0.63166335543480867</v>
      </c>
      <c r="AL33" s="150">
        <f t="shared" si="17"/>
        <v>0.36350144816525842</v>
      </c>
      <c r="AM33" s="144">
        <f>SUM(AD33:AI33)</f>
        <v>1</v>
      </c>
      <c r="AN33" s="107"/>
    </row>
    <row r="34" spans="2:40" x14ac:dyDescent="0.3">
      <c r="B34" s="107" t="s">
        <v>513</v>
      </c>
      <c r="C34" s="107" t="s">
        <v>9</v>
      </c>
      <c r="D34" s="108">
        <v>789.61</v>
      </c>
      <c r="E34" s="108">
        <v>102.27</v>
      </c>
      <c r="F34" s="108">
        <v>2579.71</v>
      </c>
      <c r="G34" s="108">
        <v>10568.53</v>
      </c>
      <c r="H34" s="108">
        <v>6422.72</v>
      </c>
      <c r="I34" s="108">
        <f>I32</f>
        <v>3163.0399999999972</v>
      </c>
      <c r="J34" s="108">
        <f>SUM(D32:H32)-SUM(D34:H34)</f>
        <v>1130.0700000000033</v>
      </c>
      <c r="K34" s="108">
        <f>D34+E34+G34+H34</f>
        <v>17883.13</v>
      </c>
      <c r="L34" s="108">
        <f>F34</f>
        <v>2579.71</v>
      </c>
      <c r="M34" s="115" t="s">
        <v>524</v>
      </c>
      <c r="N34" s="195">
        <f>SUM(D34:H34)</f>
        <v>20462.84</v>
      </c>
      <c r="O34" s="107" t="s">
        <v>513</v>
      </c>
      <c r="P34" s="122" t="s">
        <v>9</v>
      </c>
      <c r="Q34" s="108">
        <v>1.65</v>
      </c>
      <c r="R34" s="108">
        <v>3.95</v>
      </c>
      <c r="S34" s="108">
        <v>1109.48</v>
      </c>
      <c r="T34" s="108">
        <v>238.89</v>
      </c>
      <c r="U34" s="108">
        <v>79.59</v>
      </c>
      <c r="V34" s="108">
        <f>V32</f>
        <v>6.7200000000000273</v>
      </c>
      <c r="W34" s="108">
        <f>SUM(Q32:U32)-SUM(Q34:U34)</f>
        <v>28.480000000000246</v>
      </c>
      <c r="X34" s="108">
        <f>Q34+R34+T34+U34</f>
        <v>324.08</v>
      </c>
      <c r="Y34" s="108">
        <f>S34</f>
        <v>1109.48</v>
      </c>
      <c r="Z34" s="115" t="s">
        <v>524</v>
      </c>
      <c r="AA34" s="195">
        <f>SUM(Q34:U34)</f>
        <v>1433.5599999999997</v>
      </c>
      <c r="AB34" s="107" t="s">
        <v>513</v>
      </c>
      <c r="AC34" s="122" t="s">
        <v>9</v>
      </c>
      <c r="AD34" s="108">
        <v>0.36</v>
      </c>
      <c r="AE34" s="108">
        <v>0</v>
      </c>
      <c r="AF34" s="108">
        <v>142.54</v>
      </c>
      <c r="AG34" s="108">
        <v>149.38999999999999</v>
      </c>
      <c r="AH34" s="108">
        <v>101.13</v>
      </c>
      <c r="AI34" s="108">
        <f>AI32</f>
        <v>2.0199999999999818</v>
      </c>
      <c r="AJ34" s="108">
        <f>SUM(AD32:AH32)-SUM(AD34:AH34)</f>
        <v>22.330000000000041</v>
      </c>
      <c r="AK34" s="108">
        <f>AD34+AE34+AG34+AH34</f>
        <v>250.88</v>
      </c>
      <c r="AL34" s="108">
        <f>AF34</f>
        <v>142.54</v>
      </c>
      <c r="AM34" s="115" t="s">
        <v>524</v>
      </c>
      <c r="AN34" s="195">
        <f>SUM(AD34:AH34)</f>
        <v>393.41999999999996</v>
      </c>
    </row>
    <row r="35" spans="2:40" x14ac:dyDescent="0.3">
      <c r="B35" s="107"/>
      <c r="C35" s="140" t="s">
        <v>455</v>
      </c>
      <c r="D35" s="150">
        <f t="shared" ref="D35:L35" si="18">D34/$N$2</f>
        <v>3.189576647230262E-2</v>
      </c>
      <c r="E35" s="150">
        <f t="shared" si="18"/>
        <v>4.1311280722412186E-3</v>
      </c>
      <c r="F35" s="150">
        <f t="shared" si="18"/>
        <v>0.10420565561006545</v>
      </c>
      <c r="G35" s="150">
        <f t="shared" si="18"/>
        <v>0.42690868255914238</v>
      </c>
      <c r="H35" s="150">
        <f t="shared" si="18"/>
        <v>0.25944146760677739</v>
      </c>
      <c r="I35" s="150">
        <f t="shared" si="18"/>
        <v>0.1277688798046529</v>
      </c>
      <c r="J35" s="150">
        <f t="shared" si="18"/>
        <v>4.5648419874818109E-2</v>
      </c>
      <c r="K35" s="150">
        <f t="shared" si="18"/>
        <v>0.7223770447104636</v>
      </c>
      <c r="L35" s="150">
        <f t="shared" si="18"/>
        <v>0.10420565561006545</v>
      </c>
      <c r="M35" s="144">
        <f>SUM(D35:J35)</f>
        <v>1</v>
      </c>
      <c r="N35" s="194">
        <f>N34/N32</f>
        <v>0.94766476588843263</v>
      </c>
      <c r="O35" s="107"/>
      <c r="P35" s="140" t="s">
        <v>455</v>
      </c>
      <c r="Q35" s="150">
        <f t="shared" ref="Q35:Y35" si="19">Q34/$N$3</f>
        <v>1.1233966066614015E-3</v>
      </c>
      <c r="R35" s="150">
        <f t="shared" si="19"/>
        <v>2.6893433917045671E-3</v>
      </c>
      <c r="S35" s="150">
        <f t="shared" si="19"/>
        <v>0.75538549524769194</v>
      </c>
      <c r="T35" s="150">
        <f t="shared" si="19"/>
        <v>0.16264740325172253</v>
      </c>
      <c r="U35" s="150">
        <f t="shared" si="19"/>
        <v>5.4188567226776334E-2</v>
      </c>
      <c r="V35" s="150">
        <f t="shared" si="19"/>
        <v>4.5752879980391807E-3</v>
      </c>
      <c r="W35" s="150">
        <f t="shared" si="19"/>
        <v>1.9390506277404237E-2</v>
      </c>
      <c r="X35" s="150">
        <f t="shared" si="19"/>
        <v>0.22064871047686482</v>
      </c>
      <c r="Y35" s="150">
        <f t="shared" si="19"/>
        <v>0.75538549524769194</v>
      </c>
      <c r="Z35" s="144">
        <f>SUM(Q35:W35)</f>
        <v>1.0000000000000002</v>
      </c>
      <c r="AA35" s="194">
        <f>AA34/AA32</f>
        <v>0.98052036879975912</v>
      </c>
      <c r="AB35" s="107"/>
      <c r="AC35" s="140" t="s">
        <v>455</v>
      </c>
      <c r="AD35" s="150">
        <f t="shared" si="17"/>
        <v>8.6171817028508511E-4</v>
      </c>
      <c r="AE35" s="150">
        <f t="shared" si="17"/>
        <v>0</v>
      </c>
      <c r="AF35" s="150">
        <f t="shared" si="17"/>
        <v>0.34119252220121121</v>
      </c>
      <c r="AG35" s="150">
        <f t="shared" si="17"/>
        <v>0.35758910405246902</v>
      </c>
      <c r="AH35" s="150">
        <f t="shared" si="17"/>
        <v>0.24207099600258516</v>
      </c>
      <c r="AI35" s="150">
        <f t="shared" si="17"/>
        <v>4.8351963999329339E-3</v>
      </c>
      <c r="AJ35" s="150">
        <f t="shared" si="17"/>
        <v>5.3450463173516628E-2</v>
      </c>
      <c r="AK35" s="150">
        <f t="shared" si="17"/>
        <v>0.60052181822533934</v>
      </c>
      <c r="AL35" s="150">
        <f t="shared" si="17"/>
        <v>0.34119252220121121</v>
      </c>
      <c r="AM35" s="144">
        <f>SUM(AD35:AJ35)</f>
        <v>1</v>
      </c>
      <c r="AN35" s="194">
        <f>AN34/AN32</f>
        <v>0.94628983764281405</v>
      </c>
    </row>
    <row r="36" spans="2:40" x14ac:dyDescent="0.3">
      <c r="B36" s="107"/>
      <c r="C36" s="107" t="s">
        <v>516</v>
      </c>
      <c r="D36" s="112">
        <f>D32-D34</f>
        <v>48.669999999999959</v>
      </c>
      <c r="E36" s="112">
        <f>E32-E34</f>
        <v>9.4500000000000028</v>
      </c>
      <c r="F36" s="112">
        <f>F32-F34</f>
        <v>203.75</v>
      </c>
      <c r="G36" s="112">
        <f>G32-G34</f>
        <v>504.5</v>
      </c>
      <c r="H36" s="112">
        <f>H32-H34</f>
        <v>363.69999999999982</v>
      </c>
      <c r="I36" s="146"/>
      <c r="J36" s="146"/>
      <c r="K36" s="112">
        <f>K32-K34</f>
        <v>926.31999999999971</v>
      </c>
      <c r="L36" s="108">
        <f>F36</f>
        <v>203.75</v>
      </c>
      <c r="M36" s="144"/>
      <c r="N36" s="107"/>
      <c r="O36" s="107"/>
      <c r="P36" s="107" t="s">
        <v>516</v>
      </c>
      <c r="Q36" s="112">
        <f>Q32-Q34</f>
        <v>0.83000000000000007</v>
      </c>
      <c r="R36" s="112">
        <f>R32-R34</f>
        <v>0.35999999999999943</v>
      </c>
      <c r="S36" s="112">
        <f>S32-S34</f>
        <v>13.269999999999982</v>
      </c>
      <c r="T36" s="112">
        <f>T32-T34</f>
        <v>7.1300000000000239</v>
      </c>
      <c r="U36" s="112">
        <f>U32-U34</f>
        <v>6.8900000000000006</v>
      </c>
      <c r="V36" s="146"/>
      <c r="W36" s="146"/>
      <c r="X36" s="112">
        <f>X32-X34</f>
        <v>15.210000000000036</v>
      </c>
      <c r="Y36" s="108">
        <f>S36</f>
        <v>13.269999999999982</v>
      </c>
      <c r="Z36" s="144"/>
      <c r="AA36" s="107"/>
      <c r="AB36" s="107"/>
      <c r="AC36" s="107" t="s">
        <v>516</v>
      </c>
      <c r="AD36" s="112">
        <f>AD32-AD34</f>
        <v>0.36</v>
      </c>
      <c r="AE36" s="112">
        <f>AE32-AE34</f>
        <v>0</v>
      </c>
      <c r="AF36" s="112">
        <f>AF32-AF34</f>
        <v>9.3200000000000216</v>
      </c>
      <c r="AG36" s="112">
        <f>AG32-AG34</f>
        <v>3.9300000000000068</v>
      </c>
      <c r="AH36" s="112">
        <f>AH32-AH34</f>
        <v>8.7199999999999989</v>
      </c>
      <c r="AI36" s="146"/>
      <c r="AJ36" s="146"/>
      <c r="AK36" s="112">
        <f>AK32-AK34</f>
        <v>13.009999999999991</v>
      </c>
      <c r="AL36" s="108">
        <f>AF36</f>
        <v>9.3200000000000216</v>
      </c>
      <c r="AM36" s="144"/>
      <c r="AN36" s="107"/>
    </row>
    <row r="37" spans="2:40" x14ac:dyDescent="0.3">
      <c r="B37" s="107"/>
      <c r="C37" s="107" t="s">
        <v>517</v>
      </c>
      <c r="D37" s="146">
        <f>D36/D32</f>
        <v>5.8059359641169969E-2</v>
      </c>
      <c r="E37" s="146">
        <f>E36/E32</f>
        <v>8.4586466165413557E-2</v>
      </c>
      <c r="F37" s="146">
        <f>F36/F32</f>
        <v>7.3200261544983575E-2</v>
      </c>
      <c r="G37" s="146">
        <f>G36/G32</f>
        <v>4.5561151735342538E-2</v>
      </c>
      <c r="H37" s="146">
        <f>H36/H32</f>
        <v>5.3592321135443995E-2</v>
      </c>
      <c r="I37" s="146"/>
      <c r="J37" s="146"/>
      <c r="K37" s="150">
        <f>K36/K32</f>
        <v>4.9247585655082936E-2</v>
      </c>
      <c r="L37" s="150">
        <f>L36/$N$2</f>
        <v>8.2303446242216523E-3</v>
      </c>
      <c r="M37" s="144"/>
      <c r="N37" s="107"/>
      <c r="O37" s="107"/>
      <c r="P37" s="107" t="s">
        <v>517</v>
      </c>
      <c r="Q37" s="146">
        <f>Q36/Q32</f>
        <v>0.33467741935483875</v>
      </c>
      <c r="R37" s="146">
        <f>R36/R32</f>
        <v>8.3526682134570637E-2</v>
      </c>
      <c r="S37" s="146">
        <f>S36/S32</f>
        <v>1.1819193943442424E-2</v>
      </c>
      <c r="T37" s="146">
        <f>T36/T32</f>
        <v>2.8981383627347465E-2</v>
      </c>
      <c r="U37" s="146">
        <f>U36/U32</f>
        <v>7.9671600370027754E-2</v>
      </c>
      <c r="V37" s="146"/>
      <c r="W37" s="146"/>
      <c r="X37" s="150">
        <f>X36/X32</f>
        <v>4.4828907424327373E-2</v>
      </c>
      <c r="Y37" s="150">
        <f>Y36/$N$3</f>
        <v>9.0348321032707735E-3</v>
      </c>
      <c r="Z37" s="144"/>
      <c r="AA37" s="107"/>
      <c r="AB37" s="107"/>
      <c r="AC37" s="107" t="s">
        <v>517</v>
      </c>
      <c r="AD37" s="146">
        <f>AD36/AD32</f>
        <v>0.5</v>
      </c>
      <c r="AE37" s="146" t="s">
        <v>527</v>
      </c>
      <c r="AF37" s="146">
        <f>AF36/AF32</f>
        <v>6.1372316607401688E-2</v>
      </c>
      <c r="AG37" s="146">
        <f>AG36/AG32</f>
        <v>2.563266370988786E-2</v>
      </c>
      <c r="AH37" s="146">
        <f>AH36/AH32</f>
        <v>7.9380974055530268E-2</v>
      </c>
      <c r="AI37" s="146"/>
      <c r="AJ37" s="146"/>
      <c r="AK37" s="150">
        <f t="shared" si="17"/>
        <v>3.1141537209469303E-2</v>
      </c>
      <c r="AL37" s="150">
        <f t="shared" si="17"/>
        <v>2.2308925964047256E-2</v>
      </c>
      <c r="AM37" s="144"/>
      <c r="AN37" s="107"/>
    </row>
    <row r="38" spans="2:40" x14ac:dyDescent="0.3">
      <c r="B38" s="115" t="s">
        <v>376</v>
      </c>
      <c r="C38" s="122" t="s">
        <v>9</v>
      </c>
      <c r="D38" s="135">
        <f>'88_Seeds'!AL129</f>
        <v>833.77699999999982</v>
      </c>
      <c r="E38" s="135">
        <f>'88_Seeds'!AM129</f>
        <v>117.82400000000003</v>
      </c>
      <c r="F38" s="135">
        <f>'88_Seeds'!AN129</f>
        <v>2765.5274999999992</v>
      </c>
      <c r="G38" s="135">
        <f>'88_Seeds'!AO129</f>
        <v>11024.2065</v>
      </c>
      <c r="H38" s="135">
        <f>'88_Seeds'!AP129</f>
        <v>6851.5665000000008</v>
      </c>
      <c r="I38" s="108">
        <f>$N$2-N38</f>
        <v>3163.0485000000008</v>
      </c>
      <c r="J38" s="108"/>
      <c r="K38" s="108"/>
      <c r="L38" s="108"/>
      <c r="M38" s="115" t="s">
        <v>36</v>
      </c>
      <c r="N38" s="136">
        <f>SUM(D38:H38)</f>
        <v>21592.9015</v>
      </c>
      <c r="O38" s="115" t="s">
        <v>376</v>
      </c>
      <c r="P38" s="122" t="s">
        <v>9</v>
      </c>
      <c r="Q38" s="135">
        <f>'88_Seeds'!AL134</f>
        <v>2.1435</v>
      </c>
      <c r="R38" s="135">
        <f>'88_Seeds'!AM134</f>
        <v>4.7725000000000009</v>
      </c>
      <c r="S38" s="135">
        <f>'88_Seeds'!AN134</f>
        <v>1118.3499999999999</v>
      </c>
      <c r="T38" s="135">
        <f>'88_Seeds'!AO134</f>
        <v>246.54349999999999</v>
      </c>
      <c r="U38" s="135">
        <f>'88_Seeds'!AP134</f>
        <v>90.231499999999997</v>
      </c>
      <c r="V38" s="108">
        <f>$N$3-AA38</f>
        <v>6.7190000000000509</v>
      </c>
      <c r="W38" s="108"/>
      <c r="X38" s="108"/>
      <c r="Y38" s="108"/>
      <c r="Z38" s="115" t="s">
        <v>36</v>
      </c>
      <c r="AA38" s="136">
        <f>SUM(Q38:U38)</f>
        <v>1462.0409999999999</v>
      </c>
      <c r="AB38" s="115"/>
      <c r="AC38" s="122"/>
      <c r="AD38" s="138"/>
      <c r="AE38" s="135"/>
      <c r="AF38" s="135"/>
      <c r="AG38" s="135"/>
      <c r="AH38" s="135"/>
      <c r="AI38" s="108"/>
      <c r="AJ38" s="108"/>
      <c r="AK38" s="108"/>
      <c r="AL38" s="108"/>
      <c r="AM38" s="115"/>
      <c r="AN38" s="136"/>
    </row>
    <row r="39" spans="2:40" x14ac:dyDescent="0.3">
      <c r="B39" s="115"/>
      <c r="C39" s="140" t="s">
        <v>455</v>
      </c>
      <c r="D39" s="150">
        <f t="shared" ref="D39:I39" si="20">D38/$N$2</f>
        <v>3.36798628208572E-2</v>
      </c>
      <c r="E39" s="150">
        <f t="shared" si="20"/>
        <v>4.7594214724137034E-3</v>
      </c>
      <c r="F39" s="150">
        <f t="shared" si="20"/>
        <v>0.11171162892153196</v>
      </c>
      <c r="G39" s="150">
        <f t="shared" si="20"/>
        <v>0.44531542922004608</v>
      </c>
      <c r="H39" s="150">
        <f t="shared" si="20"/>
        <v>0.27676443440869775</v>
      </c>
      <c r="I39" s="145">
        <f t="shared" si="20"/>
        <v>0.12776922315645334</v>
      </c>
      <c r="J39" s="145"/>
      <c r="K39" s="145"/>
      <c r="L39" s="145"/>
      <c r="M39" s="144">
        <f>SUM(D39:I39)</f>
        <v>1</v>
      </c>
      <c r="N39" s="136"/>
      <c r="O39" s="115"/>
      <c r="P39" s="140" t="s">
        <v>455</v>
      </c>
      <c r="Q39" s="150">
        <f t="shared" ref="Q39:V39" si="21">Q38/$N$3</f>
        <v>1.4593943190174025E-3</v>
      </c>
      <c r="R39" s="150">
        <f t="shared" si="21"/>
        <v>3.2493395789645694E-3</v>
      </c>
      <c r="S39" s="150">
        <f t="shared" si="21"/>
        <v>0.76142460306653226</v>
      </c>
      <c r="T39" s="150">
        <f t="shared" si="21"/>
        <v>0.16785826139056073</v>
      </c>
      <c r="U39" s="150">
        <f t="shared" si="21"/>
        <v>6.1433794493314084E-2</v>
      </c>
      <c r="V39" s="146">
        <f t="shared" si="21"/>
        <v>4.574607151610917E-3</v>
      </c>
      <c r="W39" s="146"/>
      <c r="X39" s="146"/>
      <c r="Y39" s="145"/>
      <c r="Z39" s="144">
        <f>SUM(Q39:V39)</f>
        <v>1</v>
      </c>
      <c r="AA39" s="136"/>
      <c r="AB39" s="115"/>
      <c r="AC39" s="140"/>
      <c r="AD39" s="150"/>
      <c r="AE39" s="150"/>
      <c r="AF39" s="150"/>
      <c r="AG39" s="150"/>
      <c r="AH39" s="150"/>
      <c r="AI39" s="146"/>
      <c r="AJ39" s="146"/>
      <c r="AK39" s="146"/>
      <c r="AL39" s="146"/>
      <c r="AM39" s="144"/>
      <c r="AN39" s="136"/>
    </row>
    <row r="40" spans="2:40" x14ac:dyDescent="0.3">
      <c r="B40" s="107"/>
      <c r="C40" s="147" t="s">
        <v>368</v>
      </c>
      <c r="D40" s="108">
        <f>'88_Seeds'!AL130</f>
        <v>9.1256648813286887</v>
      </c>
      <c r="E40" s="108">
        <f>'88_Seeds'!AM130</f>
        <v>1.6011864679865235</v>
      </c>
      <c r="F40" s="108">
        <f>'88_Seeds'!AN130</f>
        <v>11.183298493618448</v>
      </c>
      <c r="G40" s="108">
        <f>'88_Seeds'!AO130</f>
        <v>26.13280855125058</v>
      </c>
      <c r="H40" s="108">
        <f>'88_Seeds'!AP130</f>
        <v>27.478360713717233</v>
      </c>
      <c r="I40" s="107"/>
      <c r="J40" s="107"/>
      <c r="K40" s="107"/>
      <c r="L40" s="107"/>
      <c r="M40" s="107"/>
      <c r="N40" s="107"/>
      <c r="O40" s="107"/>
      <c r="P40" s="147" t="s">
        <v>368</v>
      </c>
      <c r="Q40" s="108">
        <f>'88_Seeds'!AL135</f>
        <v>6.1191137129145506E-2</v>
      </c>
      <c r="R40" s="108">
        <f>'88_Seeds'!AM135</f>
        <v>0.1438472782977967</v>
      </c>
      <c r="S40" s="108">
        <f>'88_Seeds'!AN135</f>
        <v>0.86448372180345634</v>
      </c>
      <c r="T40" s="108">
        <f>'88_Seeds'!AO135</f>
        <v>0.67906215318977781</v>
      </c>
      <c r="U40" s="108">
        <f>'88_Seeds'!AP135</f>
        <v>0.80286010939836694</v>
      </c>
      <c r="V40" s="107"/>
      <c r="W40" s="107"/>
      <c r="X40" s="107"/>
      <c r="Y40" s="107"/>
      <c r="Z40" s="107"/>
      <c r="AA40" s="107"/>
      <c r="AB40" s="107"/>
      <c r="AC40" s="147"/>
      <c r="AD40" s="108"/>
      <c r="AE40" s="108"/>
      <c r="AF40" s="108"/>
      <c r="AG40" s="108"/>
      <c r="AH40" s="108"/>
      <c r="AI40" s="107"/>
      <c r="AJ40" s="107"/>
      <c r="AK40" s="107"/>
      <c r="AL40" s="107"/>
      <c r="AM40" s="107"/>
      <c r="AN40" s="107"/>
    </row>
    <row r="41" spans="2:40" x14ac:dyDescent="0.3">
      <c r="B41" s="107"/>
      <c r="C41" s="128" t="s">
        <v>458</v>
      </c>
      <c r="D41" s="125">
        <f>1.96*D40</f>
        <v>17.886303167404229</v>
      </c>
      <c r="E41" s="125">
        <f>1.96*E40</f>
        <v>3.138325477253586</v>
      </c>
      <c r="F41" s="125">
        <f>1.96*F40</f>
        <v>21.919265047492157</v>
      </c>
      <c r="G41" s="125">
        <f>1.96*G40</f>
        <v>51.220304760451135</v>
      </c>
      <c r="H41" s="125">
        <f>1.96*H40</f>
        <v>53.857586998885779</v>
      </c>
      <c r="I41" s="107"/>
      <c r="J41" s="107"/>
      <c r="K41" s="107"/>
      <c r="L41" s="107"/>
      <c r="M41" s="107"/>
      <c r="N41" s="107"/>
      <c r="O41" s="107"/>
      <c r="P41" s="128" t="s">
        <v>458</v>
      </c>
      <c r="Q41" s="125">
        <f>1.96*Q40</f>
        <v>0.11993462877312519</v>
      </c>
      <c r="R41" s="125">
        <f>1.96*R40</f>
        <v>0.28194066546368152</v>
      </c>
      <c r="S41" s="125">
        <f>1.96*S40</f>
        <v>1.6943880947347745</v>
      </c>
      <c r="T41" s="125">
        <f>1.96*T40</f>
        <v>1.3309618202519644</v>
      </c>
      <c r="U41" s="125">
        <f>1.96*U40</f>
        <v>1.5736058144207992</v>
      </c>
      <c r="V41" s="107"/>
      <c r="W41" s="107"/>
      <c r="X41" s="107"/>
      <c r="Y41" s="107"/>
      <c r="Z41" s="107"/>
      <c r="AA41" s="107"/>
      <c r="AB41" s="107"/>
      <c r="AC41" s="128"/>
      <c r="AD41" s="125"/>
      <c r="AE41" s="125"/>
      <c r="AF41" s="125"/>
      <c r="AG41" s="125"/>
      <c r="AH41" s="125"/>
      <c r="AI41" s="107"/>
      <c r="AJ41" s="107"/>
      <c r="AK41" s="107"/>
      <c r="AL41" s="107"/>
      <c r="AM41" s="107"/>
      <c r="AN41" s="107"/>
    </row>
    <row r="42" spans="2:40" x14ac:dyDescent="0.3">
      <c r="B42" s="115" t="s">
        <v>375</v>
      </c>
      <c r="C42" s="107" t="s">
        <v>367</v>
      </c>
      <c r="D42" s="145">
        <f>D32/SUM(D32:H32)</f>
        <v>3.8822002222025649E-2</v>
      </c>
      <c r="E42" s="145">
        <f>E32/SUM(D32:H32)</f>
        <v>5.1739205137241798E-3</v>
      </c>
      <c r="F42" s="145">
        <f>F32/SUM(D32:H32)</f>
        <v>0.12890620115584234</v>
      </c>
      <c r="G42" s="145">
        <f>G32/SUM(D32:H32)</f>
        <v>0.51280860245330517</v>
      </c>
      <c r="H42" s="145">
        <f>H32/SUM(D32:H32)</f>
        <v>0.31428927365510251</v>
      </c>
      <c r="I42" s="151">
        <f>SUM(D42:H42)</f>
        <v>0.99999999999999989</v>
      </c>
      <c r="J42" s="107"/>
      <c r="K42" s="107"/>
      <c r="L42" s="107"/>
      <c r="M42" s="107"/>
      <c r="N42" s="107"/>
      <c r="O42" s="115" t="s">
        <v>375</v>
      </c>
      <c r="P42" s="107" t="s">
        <v>367</v>
      </c>
      <c r="Q42" s="145">
        <f>Q32/SUM(Q32:U32)</f>
        <v>1.6962600202456843E-3</v>
      </c>
      <c r="R42" s="145">
        <f>R32/SUM(Q32:U32)</f>
        <v>2.9479357609914912E-3</v>
      </c>
      <c r="S42" s="145">
        <f>S32/SUM(Q32:U32)</f>
        <v>0.76793384585921043</v>
      </c>
      <c r="T42" s="145">
        <f>T32/SUM(Q32:U32)</f>
        <v>0.16827172991163034</v>
      </c>
      <c r="U42" s="145">
        <f>U32/SUM(Q32:U32)</f>
        <v>5.9150228447922087E-2</v>
      </c>
      <c r="V42" s="151">
        <f>SUM(Q42:U42)</f>
        <v>1</v>
      </c>
      <c r="W42" s="107"/>
      <c r="X42" s="107"/>
      <c r="Y42" s="107"/>
      <c r="Z42" s="107"/>
      <c r="AA42" s="107"/>
      <c r="AB42" s="115" t="s">
        <v>375</v>
      </c>
      <c r="AC42" s="107" t="s">
        <v>367</v>
      </c>
      <c r="AD42" s="145">
        <f>AD32/SUM(AD32:AH32)</f>
        <v>1.7318099819603127E-3</v>
      </c>
      <c r="AE42" s="145">
        <f>AE32/SUM(AD32:AH32)</f>
        <v>0</v>
      </c>
      <c r="AF42" s="145">
        <f>AF32/SUM(AD32:AH32)</f>
        <v>0.36526758869512932</v>
      </c>
      <c r="AG42" s="145">
        <f>AG32/SUM(AD32:AH32)</f>
        <v>0.36877931449188212</v>
      </c>
      <c r="AH42" s="145">
        <f>AH32/SUM(AD32:AH32)</f>
        <v>0.26422128683102825</v>
      </c>
      <c r="AI42" s="151">
        <f>SUM(AD42:AH42)</f>
        <v>1</v>
      </c>
      <c r="AJ42" s="107"/>
      <c r="AK42" s="107"/>
      <c r="AL42" s="107"/>
      <c r="AM42" s="107"/>
      <c r="AN42" s="107"/>
    </row>
    <row r="43" spans="2:40" x14ac:dyDescent="0.3">
      <c r="B43" s="147" t="s">
        <v>648</v>
      </c>
      <c r="C43" s="90" t="s">
        <v>447</v>
      </c>
      <c r="D43" s="108">
        <f>D36*D42</f>
        <v>1.8894668481459869</v>
      </c>
      <c r="E43" s="108">
        <f>E36*D42</f>
        <v>0.36686792099814247</v>
      </c>
      <c r="F43" s="108">
        <f>F36*D42</f>
        <v>7.9099829527377263</v>
      </c>
      <c r="G43" s="108">
        <f>G36*D42</f>
        <v>19.585700121011939</v>
      </c>
      <c r="H43" s="108">
        <f>H36*D42</f>
        <v>14.119562208150722</v>
      </c>
      <c r="I43" s="107"/>
      <c r="J43" s="107"/>
      <c r="K43" s="107"/>
      <c r="L43" s="107"/>
      <c r="M43" s="107"/>
      <c r="N43" s="107"/>
      <c r="O43" s="147" t="s">
        <v>648</v>
      </c>
      <c r="P43" s="90" t="s">
        <v>447</v>
      </c>
      <c r="Q43" s="108">
        <f>Q36*Q42</f>
        <v>1.4078958168039181E-3</v>
      </c>
      <c r="R43" s="108">
        <f>R36*Q42</f>
        <v>6.106536072884454E-4</v>
      </c>
      <c r="S43" s="108">
        <f>S36*Q42</f>
        <v>2.2509370468660198E-2</v>
      </c>
      <c r="T43" s="108">
        <f>T36*Q42</f>
        <v>1.2094333944351769E-2</v>
      </c>
      <c r="U43" s="108">
        <f>U36*Q42</f>
        <v>1.1687231539492766E-2</v>
      </c>
      <c r="V43" s="107"/>
      <c r="W43" s="107"/>
      <c r="X43" s="107"/>
      <c r="Y43" s="107"/>
      <c r="Z43" s="107"/>
      <c r="AA43" s="107"/>
      <c r="AB43" s="147" t="s">
        <v>648</v>
      </c>
      <c r="AC43" s="90" t="s">
        <v>447</v>
      </c>
      <c r="AD43" s="108">
        <f>AD36*AD42</f>
        <v>6.2345159350571258E-4</v>
      </c>
      <c r="AE43" s="108">
        <f>AE36*AD42</f>
        <v>0</v>
      </c>
      <c r="AF43" s="108">
        <f>AF36*AD42</f>
        <v>1.6140469031870153E-2</v>
      </c>
      <c r="AG43" s="108">
        <f>AG36*AD42</f>
        <v>6.8060132291040409E-3</v>
      </c>
      <c r="AH43" s="108">
        <f>AH36*AD42</f>
        <v>1.5101383042693924E-2</v>
      </c>
      <c r="AI43" s="107"/>
      <c r="AJ43" s="107"/>
      <c r="AK43" s="107"/>
      <c r="AL43" s="107"/>
      <c r="AM43" s="107"/>
      <c r="AN43" s="107"/>
    </row>
    <row r="44" spans="2:40" x14ac:dyDescent="0.3">
      <c r="B44" s="107" t="s">
        <v>649</v>
      </c>
      <c r="C44" s="91" t="s">
        <v>446</v>
      </c>
      <c r="D44" s="108">
        <f>D36*E42</f>
        <v>0.25181471140295564</v>
      </c>
      <c r="E44" s="108">
        <f>E36*E42</f>
        <v>4.8893548854693512E-2</v>
      </c>
      <c r="F44" s="108">
        <f>F36*E42</f>
        <v>1.0541863046713016</v>
      </c>
      <c r="G44" s="108">
        <f>G36*E42</f>
        <v>2.6102428991738487</v>
      </c>
      <c r="H44" s="108">
        <f>H36*E42</f>
        <v>1.8817548908414832</v>
      </c>
      <c r="I44" s="107"/>
      <c r="J44" s="107"/>
      <c r="K44" s="107"/>
      <c r="L44" s="107"/>
      <c r="M44" s="107"/>
      <c r="N44" s="107"/>
      <c r="O44" s="107" t="s">
        <v>649</v>
      </c>
      <c r="P44" s="91" t="s">
        <v>446</v>
      </c>
      <c r="Q44" s="108">
        <f>Q36*R42</f>
        <v>2.4467866816229381E-3</v>
      </c>
      <c r="R44" s="108">
        <f>R36*R42</f>
        <v>1.0612568739569353E-3</v>
      </c>
      <c r="S44" s="108">
        <f>S36*R42</f>
        <v>3.9119107548357034E-2</v>
      </c>
      <c r="T44" s="108">
        <f>T36*R42</f>
        <v>2.1018781975869403E-2</v>
      </c>
      <c r="U44" s="108">
        <f>U36*R42</f>
        <v>2.0311277393231377E-2</v>
      </c>
      <c r="V44" s="107"/>
      <c r="W44" s="107"/>
      <c r="X44" s="107"/>
      <c r="Y44" s="107"/>
      <c r="Z44" s="107"/>
      <c r="AA44" s="107"/>
      <c r="AB44" s="107" t="s">
        <v>649</v>
      </c>
      <c r="AC44" s="91" t="s">
        <v>446</v>
      </c>
      <c r="AD44" s="108">
        <f>AD36*AE42</f>
        <v>0</v>
      </c>
      <c r="AE44" s="108">
        <f>AE36*AE42</f>
        <v>0</v>
      </c>
      <c r="AF44" s="108">
        <f>AF36*AE42</f>
        <v>0</v>
      </c>
      <c r="AG44" s="108">
        <f>AG36*AE42</f>
        <v>0</v>
      </c>
      <c r="AH44" s="108">
        <f>AH36*AE42</f>
        <v>0</v>
      </c>
      <c r="AI44" s="107"/>
      <c r="AJ44" s="107"/>
      <c r="AK44" s="107"/>
      <c r="AL44" s="107"/>
      <c r="AM44" s="107"/>
      <c r="AN44" s="107"/>
    </row>
    <row r="45" spans="2:40" x14ac:dyDescent="0.3">
      <c r="B45" s="107"/>
      <c r="C45" s="92" t="s">
        <v>448</v>
      </c>
      <c r="D45" s="108">
        <f>D36*F42</f>
        <v>6.2738648102548416</v>
      </c>
      <c r="E45" s="108">
        <f>E36*F42</f>
        <v>1.2181636009227104</v>
      </c>
      <c r="F45" s="108">
        <f>F36*F42</f>
        <v>26.264638485502875</v>
      </c>
      <c r="G45" s="108">
        <f>G36*F42</f>
        <v>65.033178483122455</v>
      </c>
      <c r="H45" s="108">
        <f>H36*F42</f>
        <v>46.883185360379834</v>
      </c>
      <c r="I45" s="107"/>
      <c r="J45" s="107"/>
      <c r="K45" s="107"/>
      <c r="L45" s="107"/>
      <c r="M45" s="107"/>
      <c r="N45" s="107"/>
      <c r="O45" s="107"/>
      <c r="P45" s="92" t="s">
        <v>448</v>
      </c>
      <c r="Q45" s="108">
        <f>Q36*S42</f>
        <v>0.63738509206314475</v>
      </c>
      <c r="R45" s="108">
        <f>R36*S42</f>
        <v>0.27645618450931531</v>
      </c>
      <c r="S45" s="108">
        <f>S36*S42</f>
        <v>10.190482134551708</v>
      </c>
      <c r="T45" s="108">
        <f>T36*S42</f>
        <v>5.4753683209761883</v>
      </c>
      <c r="U45" s="108">
        <f>U36*S42</f>
        <v>5.29106419796996</v>
      </c>
      <c r="V45" s="107"/>
      <c r="W45" s="107"/>
      <c r="X45" s="107"/>
      <c r="Y45" s="107"/>
      <c r="Z45" s="107"/>
      <c r="AA45" s="107"/>
      <c r="AB45" s="107"/>
      <c r="AC45" s="92" t="s">
        <v>448</v>
      </c>
      <c r="AD45" s="108">
        <f>AD36*AF42</f>
        <v>0.13149633193024654</v>
      </c>
      <c r="AE45" s="108">
        <f>AE36*AF42</f>
        <v>0</v>
      </c>
      <c r="AF45" s="108">
        <f>AF36*AF42</f>
        <v>3.404293926638613</v>
      </c>
      <c r="AG45" s="108">
        <f>AG36*AF42</f>
        <v>1.4355016235718607</v>
      </c>
      <c r="AH45" s="108">
        <f>AH36*AF42</f>
        <v>3.1851333734215275</v>
      </c>
      <c r="AI45" s="107"/>
      <c r="AJ45" s="107"/>
      <c r="AK45" s="107"/>
      <c r="AL45" s="107"/>
      <c r="AM45" s="107"/>
      <c r="AN45" s="107"/>
    </row>
    <row r="46" spans="2:40" x14ac:dyDescent="0.3">
      <c r="B46" s="107"/>
      <c r="C46" s="124" t="s">
        <v>449</v>
      </c>
      <c r="D46" s="108">
        <f>D36*G42</f>
        <v>24.958394681402343</v>
      </c>
      <c r="E46" s="108">
        <f>E36*G42</f>
        <v>4.8460412931837356</v>
      </c>
      <c r="F46" s="108">
        <f>F36*G42</f>
        <v>104.48475274986093</v>
      </c>
      <c r="G46" s="108">
        <f>G36*G42</f>
        <v>258.71193993769248</v>
      </c>
      <c r="H46" s="108">
        <f>H36*G42</f>
        <v>186.508488712267</v>
      </c>
      <c r="I46" s="107"/>
      <c r="J46" s="107"/>
      <c r="K46" s="107"/>
      <c r="L46" s="107"/>
      <c r="M46" s="107"/>
      <c r="N46" s="107"/>
      <c r="O46" s="107"/>
      <c r="P46" s="124" t="s">
        <v>449</v>
      </c>
      <c r="Q46" s="108">
        <f>Q36*T42</f>
        <v>0.1396655358266532</v>
      </c>
      <c r="R46" s="108">
        <f>R36*T42</f>
        <v>6.0577822768186823E-2</v>
      </c>
      <c r="S46" s="108">
        <f>S36*T42</f>
        <v>2.2329658559273313</v>
      </c>
      <c r="T46" s="108">
        <f>T36*T42</f>
        <v>1.1997774342699283</v>
      </c>
      <c r="U46" s="108">
        <f>U36*T42</f>
        <v>1.1593922190911332</v>
      </c>
      <c r="V46" s="107"/>
      <c r="W46" s="107"/>
      <c r="X46" s="107"/>
      <c r="Y46" s="107"/>
      <c r="Z46" s="107"/>
      <c r="AA46" s="107"/>
      <c r="AB46" s="107"/>
      <c r="AC46" s="124" t="s">
        <v>449</v>
      </c>
      <c r="AD46" s="108">
        <f>AD36*AG42</f>
        <v>0.13276055321707755</v>
      </c>
      <c r="AE46" s="108">
        <f>AE36*AG42</f>
        <v>0</v>
      </c>
      <c r="AF46" s="108">
        <f>AF36*AG42</f>
        <v>3.4370232110643495</v>
      </c>
      <c r="AG46" s="108">
        <f>AG36*AG42</f>
        <v>1.4493027059530992</v>
      </c>
      <c r="AH46" s="108">
        <f>AH36*AG42</f>
        <v>3.2157556223692114</v>
      </c>
      <c r="AI46" s="107"/>
      <c r="AJ46" s="107"/>
      <c r="AK46" s="107"/>
      <c r="AL46" s="107"/>
      <c r="AM46" s="107"/>
      <c r="AN46" s="107"/>
    </row>
    <row r="47" spans="2:40" x14ac:dyDescent="0.3">
      <c r="B47" s="107"/>
      <c r="C47" s="123" t="s">
        <v>450</v>
      </c>
      <c r="D47" s="125">
        <f>D36*H42</f>
        <v>15.296458948793827</v>
      </c>
      <c r="E47" s="125">
        <f>E36*H42</f>
        <v>2.9700336360407196</v>
      </c>
      <c r="F47" s="125">
        <f>F36*H42</f>
        <v>64.036439507227129</v>
      </c>
      <c r="G47" s="125">
        <f>G36*H42</f>
        <v>158.55893855899922</v>
      </c>
      <c r="H47" s="125">
        <f>H36*H42</f>
        <v>114.30700882836072</v>
      </c>
      <c r="I47" s="107"/>
      <c r="J47" s="107"/>
      <c r="K47" s="107"/>
      <c r="L47" s="107"/>
      <c r="M47" s="107"/>
      <c r="N47" s="107"/>
      <c r="O47" s="107"/>
      <c r="P47" s="123" t="s">
        <v>450</v>
      </c>
      <c r="Q47" s="125">
        <f>Q36*U42</f>
        <v>4.9094689611775336E-2</v>
      </c>
      <c r="R47" s="125">
        <f>R36*U42</f>
        <v>2.1294082241251917E-2</v>
      </c>
      <c r="S47" s="125">
        <f>S36*U42</f>
        <v>0.78492353150392502</v>
      </c>
      <c r="T47" s="125">
        <f>T36*U42</f>
        <v>0.42174112883368592</v>
      </c>
      <c r="U47" s="125">
        <f>U36*U42</f>
        <v>0.40754507400618323</v>
      </c>
      <c r="V47" s="107"/>
      <c r="W47" s="107"/>
      <c r="X47" s="107"/>
      <c r="Y47" s="107"/>
      <c r="Z47" s="107"/>
      <c r="AA47" s="107"/>
      <c r="AB47" s="107"/>
      <c r="AC47" s="123" t="s">
        <v>450</v>
      </c>
      <c r="AD47" s="125">
        <f>AD36*AH42</f>
        <v>9.5119663259170165E-2</v>
      </c>
      <c r="AE47" s="125">
        <f>AE36*AH42</f>
        <v>0</v>
      </c>
      <c r="AF47" s="125">
        <f>AF36*AH42</f>
        <v>2.4625423932651889</v>
      </c>
      <c r="AG47" s="125">
        <f>AG36*AH42</f>
        <v>1.0383896572459428</v>
      </c>
      <c r="AH47" s="125">
        <f>AH36*AH42</f>
        <v>2.3040096211665659</v>
      </c>
      <c r="AI47" s="107"/>
      <c r="AJ47" s="107"/>
      <c r="AK47" s="107"/>
      <c r="AL47" s="107"/>
      <c r="AM47" s="107"/>
      <c r="AN47" s="107"/>
    </row>
    <row r="48" spans="2:40" x14ac:dyDescent="0.3">
      <c r="B48" s="107"/>
      <c r="C48" s="107" t="s">
        <v>36</v>
      </c>
      <c r="D48" s="108">
        <f>SUM(D43:D47)</f>
        <v>48.669999999999952</v>
      </c>
      <c r="E48" s="108">
        <f>SUM(E43:E47)</f>
        <v>9.4500000000000011</v>
      </c>
      <c r="F48" s="108">
        <f>SUM(F43:F47)</f>
        <v>203.74999999999997</v>
      </c>
      <c r="G48" s="108">
        <f t="shared" ref="G48:H48" si="22">SUM(G43:G47)</f>
        <v>504.49999999999994</v>
      </c>
      <c r="H48" s="108">
        <f t="shared" si="22"/>
        <v>363.69999999999976</v>
      </c>
      <c r="I48" s="107"/>
      <c r="J48" s="107"/>
      <c r="K48" s="107"/>
      <c r="L48" s="107"/>
      <c r="M48" s="107"/>
      <c r="N48" s="107"/>
      <c r="O48" s="107"/>
      <c r="P48" s="107" t="s">
        <v>36</v>
      </c>
      <c r="Q48" s="108">
        <f>SUM(Q43:Q47)</f>
        <v>0.83000000000000018</v>
      </c>
      <c r="R48" s="108">
        <f>SUM(R43:R47)</f>
        <v>0.35999999999999938</v>
      </c>
      <c r="S48" s="108">
        <f>SUM(S43:S47)</f>
        <v>13.26999999999998</v>
      </c>
      <c r="T48" s="108">
        <f t="shared" ref="T48:U48" si="23">SUM(T43:T47)</f>
        <v>7.1300000000000239</v>
      </c>
      <c r="U48" s="108">
        <f t="shared" si="23"/>
        <v>6.8900000000000006</v>
      </c>
      <c r="V48" s="107"/>
      <c r="W48" s="107"/>
      <c r="X48" s="107"/>
      <c r="Y48" s="107"/>
      <c r="Z48" s="107"/>
      <c r="AA48" s="107"/>
      <c r="AB48" s="107"/>
      <c r="AC48" s="107" t="s">
        <v>36</v>
      </c>
      <c r="AD48" s="108">
        <f>SUM(AD43:AD47)</f>
        <v>0.35999999999999993</v>
      </c>
      <c r="AE48" s="108">
        <f>SUM(AE43:AE47)</f>
        <v>0</v>
      </c>
      <c r="AF48" s="108">
        <f>SUM(AF43:AF47)</f>
        <v>9.3200000000000216</v>
      </c>
      <c r="AG48" s="108">
        <f t="shared" ref="AG48:AH48" si="24">SUM(AG43:AG47)</f>
        <v>3.9300000000000068</v>
      </c>
      <c r="AH48" s="108">
        <f t="shared" si="24"/>
        <v>8.7199999999999989</v>
      </c>
      <c r="AI48" s="107"/>
      <c r="AJ48" s="107"/>
      <c r="AK48" s="107"/>
      <c r="AL48" s="107"/>
      <c r="AM48" s="107"/>
      <c r="AN48" s="107"/>
    </row>
    <row r="49" spans="2:40" x14ac:dyDescent="0.3">
      <c r="B49" s="107" t="s">
        <v>650</v>
      </c>
      <c r="C49" s="211" t="s">
        <v>451</v>
      </c>
      <c r="D49" s="125">
        <f>I34*D42</f>
        <v>122.7955459083559</v>
      </c>
      <c r="E49" s="125">
        <f>I34*E42</f>
        <v>16.365317541730114</v>
      </c>
      <c r="F49" s="125">
        <f>I34*F42</f>
        <v>407.73547050397519</v>
      </c>
      <c r="G49" s="125">
        <f>I34*G42</f>
        <v>1622.034121903901</v>
      </c>
      <c r="H49" s="125">
        <f>I34*H42</f>
        <v>994.10954414203457</v>
      </c>
      <c r="I49" s="226">
        <f>SUM(D49:H49)</f>
        <v>3163.0399999999972</v>
      </c>
      <c r="J49" s="107"/>
      <c r="K49" s="140"/>
      <c r="L49" s="140"/>
      <c r="M49" s="107"/>
      <c r="N49" s="107"/>
      <c r="O49" s="107" t="s">
        <v>650</v>
      </c>
      <c r="P49" s="211" t="s">
        <v>451</v>
      </c>
      <c r="Q49" s="125">
        <f>V34*Q42</f>
        <v>1.1398867336051045E-2</v>
      </c>
      <c r="R49" s="125">
        <f>V34*R42</f>
        <v>1.9810128313862901E-2</v>
      </c>
      <c r="S49" s="125">
        <f>V34*S42</f>
        <v>5.1605154441739147</v>
      </c>
      <c r="T49" s="125">
        <f>V34*T42</f>
        <v>1.1307860250061605</v>
      </c>
      <c r="U49" s="125">
        <f>V34*U42</f>
        <v>0.39748953517003804</v>
      </c>
      <c r="V49" s="226">
        <f>SUM(Q49:U49)</f>
        <v>6.7200000000000273</v>
      </c>
      <c r="W49" s="107"/>
      <c r="X49" s="140"/>
      <c r="Y49" s="140"/>
      <c r="Z49" s="107"/>
      <c r="AA49" s="107"/>
      <c r="AB49" s="107" t="s">
        <v>650</v>
      </c>
      <c r="AC49" s="211" t="s">
        <v>451</v>
      </c>
      <c r="AD49" s="125">
        <f>AI34*AD42</f>
        <v>3.4982561635598002E-3</v>
      </c>
      <c r="AE49" s="125">
        <f>AI34*AE42</f>
        <v>0</v>
      </c>
      <c r="AF49" s="125">
        <f>AI34*AF42</f>
        <v>0.73784052916415455</v>
      </c>
      <c r="AG49" s="125">
        <f>AI34*AG42</f>
        <v>0.74493421527359516</v>
      </c>
      <c r="AH49" s="125">
        <f>AI34*AH42</f>
        <v>0.5337269993986723</v>
      </c>
      <c r="AI49" s="226">
        <f>SUM(AD49:AH49)</f>
        <v>2.0199999999999818</v>
      </c>
      <c r="AJ49" s="107"/>
      <c r="AK49" s="140"/>
      <c r="AL49" s="140"/>
      <c r="AM49" s="107"/>
      <c r="AN49" s="107"/>
    </row>
    <row r="50" spans="2:40" x14ac:dyDescent="0.3">
      <c r="B50" s="107" t="s">
        <v>651</v>
      </c>
      <c r="C50" s="107" t="s">
        <v>652</v>
      </c>
      <c r="D50" s="108">
        <f>SUM(D43:H43)+D49</f>
        <v>166.66712595940044</v>
      </c>
      <c r="E50" s="108">
        <f>SUM(D44:H44)+E49</f>
        <v>22.212209896674395</v>
      </c>
      <c r="F50" s="108">
        <f>SUM(D45:H45)+F49</f>
        <v>553.40850124415795</v>
      </c>
      <c r="G50" s="108">
        <f>SUM(D46:H46)+G49</f>
        <v>2201.5437392783074</v>
      </c>
      <c r="H50" s="108">
        <f>SUM(D47:H47)+H49</f>
        <v>1349.2784236214561</v>
      </c>
      <c r="I50" s="107"/>
      <c r="J50" s="107"/>
      <c r="K50" s="108">
        <f>D50+E50+G50+H50</f>
        <v>3739.7014987558382</v>
      </c>
      <c r="L50" s="108">
        <f>F50</f>
        <v>553.40850124415795</v>
      </c>
      <c r="M50" s="107"/>
      <c r="N50" s="107"/>
      <c r="O50" s="107" t="s">
        <v>651</v>
      </c>
      <c r="P50" s="107" t="s">
        <v>652</v>
      </c>
      <c r="Q50" s="108">
        <f>SUM(Q43:U43)+Q49</f>
        <v>5.9708352712648141E-2</v>
      </c>
      <c r="R50" s="108">
        <f>SUM(Q44:U44)+R49</f>
        <v>0.1037673387869006</v>
      </c>
      <c r="S50" s="108">
        <f>SUM(Q45:U45)+S49</f>
        <v>27.031271374244231</v>
      </c>
      <c r="T50" s="108">
        <f>SUM(Q46:U46)+T49</f>
        <v>5.9231648928893934</v>
      </c>
      <c r="U50" s="108">
        <f>SUM(Q47:U47)+U49</f>
        <v>2.0820880413668594</v>
      </c>
      <c r="V50" s="107"/>
      <c r="W50" s="107"/>
      <c r="X50" s="108">
        <f>Q50+R50+T50+U50</f>
        <v>8.1687286257558007</v>
      </c>
      <c r="Y50" s="108">
        <f>S50</f>
        <v>27.031271374244231</v>
      </c>
      <c r="Z50" s="107"/>
      <c r="AA50" s="107"/>
      <c r="AB50" s="107" t="s">
        <v>651</v>
      </c>
      <c r="AC50" s="107" t="s">
        <v>652</v>
      </c>
      <c r="AD50" s="108">
        <f>SUM(AD43:AH43)+AD49</f>
        <v>4.2169573060733635E-2</v>
      </c>
      <c r="AE50" s="108">
        <f>SUM(AD44:AH44)+AE49</f>
        <v>0</v>
      </c>
      <c r="AF50" s="108">
        <f>SUM(AD45:AH45)+AF49</f>
        <v>8.8942657847264019</v>
      </c>
      <c r="AG50" s="108">
        <f>SUM(AD46:AH46)+AG49</f>
        <v>8.9797763078773336</v>
      </c>
      <c r="AH50" s="108">
        <f>SUM(AD47:AH47)+AH49</f>
        <v>6.4337883343355395</v>
      </c>
      <c r="AI50" s="107"/>
      <c r="AJ50" s="107"/>
      <c r="AK50" s="108">
        <f>AD50+AE50+AG50+AH50</f>
        <v>15.455734215273608</v>
      </c>
      <c r="AL50" s="108">
        <f>AF50</f>
        <v>8.8942657847264019</v>
      </c>
      <c r="AM50" s="107"/>
      <c r="AN50" s="107"/>
    </row>
    <row r="51" spans="2:40" x14ac:dyDescent="0.3">
      <c r="B51" s="107" t="s">
        <v>651</v>
      </c>
      <c r="C51" s="107" t="s">
        <v>653</v>
      </c>
      <c r="D51" s="145">
        <f>D50/$N$2</f>
        <v>6.732406793494107E-3</v>
      </c>
      <c r="E51" s="145">
        <f t="shared" ref="E51:H51" si="25">E50/$N$2</f>
        <v>8.9724732424626785E-4</v>
      </c>
      <c r="F51" s="145">
        <f t="shared" si="25"/>
        <v>2.2354565316384866E-2</v>
      </c>
      <c r="G51" s="145">
        <f t="shared" si="25"/>
        <v>8.8929883089855458E-2</v>
      </c>
      <c r="H51" s="145">
        <f t="shared" si="25"/>
        <v>5.4503197155490138E-2</v>
      </c>
      <c r="I51" s="107"/>
      <c r="J51" s="107"/>
      <c r="K51" s="151">
        <f>K50/$N$2</f>
        <v>0.15106273436308598</v>
      </c>
      <c r="L51" s="146">
        <f>L50/$N$2</f>
        <v>2.2354565316384866E-2</v>
      </c>
      <c r="M51" s="107"/>
      <c r="N51" s="107"/>
      <c r="O51" s="107" t="s">
        <v>651</v>
      </c>
      <c r="P51" s="107" t="s">
        <v>653</v>
      </c>
      <c r="Q51" s="145">
        <f>Q50/$N$3</f>
        <v>4.0652218682867275E-5</v>
      </c>
      <c r="R51" s="145">
        <f t="shared" ref="R51:U51" si="26">R50/$N$3</f>
        <v>7.0649621985144345E-5</v>
      </c>
      <c r="S51" s="145">
        <f t="shared" si="26"/>
        <v>1.8404144567011785E-2</v>
      </c>
      <c r="T51" s="145">
        <f t="shared" si="26"/>
        <v>4.0327656614350836E-3</v>
      </c>
      <c r="U51" s="145">
        <f t="shared" si="26"/>
        <v>1.4175822063283718E-3</v>
      </c>
      <c r="V51" s="107"/>
      <c r="W51" s="107"/>
      <c r="X51" s="151">
        <f>X50/$N$3</f>
        <v>5.5616497084314664E-3</v>
      </c>
      <c r="Y51" s="151">
        <f>Y50/$N$3</f>
        <v>1.8404144567011785E-2</v>
      </c>
      <c r="Z51" s="107"/>
      <c r="AA51" s="107"/>
      <c r="AB51" s="107" t="s">
        <v>651</v>
      </c>
      <c r="AC51" s="107" t="s">
        <v>653</v>
      </c>
      <c r="AD51" s="145">
        <f>AD50/$N$4</f>
        <v>1.0093968705444057E-4</v>
      </c>
      <c r="AE51" s="145">
        <f t="shared" ref="AE51:AH51" si="27">AE50/$N$4</f>
        <v>0</v>
      </c>
      <c r="AF51" s="145">
        <f t="shared" si="27"/>
        <v>2.128986232789909E-2</v>
      </c>
      <c r="AG51" s="145">
        <f t="shared" si="27"/>
        <v>2.1494545582203924E-2</v>
      </c>
      <c r="AH51" s="145">
        <f t="shared" si="27"/>
        <v>1.5400311976292075E-2</v>
      </c>
      <c r="AI51" s="107"/>
      <c r="AJ51" s="107"/>
      <c r="AK51" s="151">
        <f>AK50/$N$4</f>
        <v>3.6995797245550445E-2</v>
      </c>
      <c r="AL51" s="151">
        <f>AL50/$N$4</f>
        <v>2.128986232789909E-2</v>
      </c>
      <c r="AM51" s="107"/>
      <c r="AN51" s="107"/>
    </row>
    <row r="54" spans="2:40" x14ac:dyDescent="0.3">
      <c r="D54" t="s">
        <v>401</v>
      </c>
      <c r="E54" t="s">
        <v>402</v>
      </c>
      <c r="F54" t="s">
        <v>403</v>
      </c>
      <c r="G54" t="s">
        <v>404</v>
      </c>
      <c r="H54" t="s">
        <v>405</v>
      </c>
      <c r="Q54" t="s">
        <v>401</v>
      </c>
      <c r="R54" t="s">
        <v>402</v>
      </c>
      <c r="S54" t="s">
        <v>403</v>
      </c>
      <c r="T54" t="s">
        <v>404</v>
      </c>
      <c r="U54" t="s">
        <v>405</v>
      </c>
      <c r="AD54" t="s">
        <v>401</v>
      </c>
      <c r="AE54" t="s">
        <v>402</v>
      </c>
      <c r="AF54" t="s">
        <v>403</v>
      </c>
      <c r="AG54" t="s">
        <v>404</v>
      </c>
      <c r="AH54" t="s">
        <v>405</v>
      </c>
    </row>
    <row r="55" spans="2:40" x14ac:dyDescent="0.3">
      <c r="B55" s="118" t="s">
        <v>352</v>
      </c>
      <c r="C55" s="8">
        <v>20</v>
      </c>
      <c r="D55" s="90" t="s">
        <v>447</v>
      </c>
      <c r="E55" s="91" t="s">
        <v>446</v>
      </c>
      <c r="F55" s="92" t="s">
        <v>448</v>
      </c>
      <c r="G55" s="124" t="s">
        <v>449</v>
      </c>
      <c r="H55" s="123" t="s">
        <v>450</v>
      </c>
      <c r="I55" s="211" t="s">
        <v>451</v>
      </c>
      <c r="J55" s="212" t="s">
        <v>514</v>
      </c>
      <c r="K55" s="213" t="s">
        <v>515</v>
      </c>
      <c r="L55" s="214" t="s">
        <v>448</v>
      </c>
      <c r="Q55" s="90" t="s">
        <v>447</v>
      </c>
      <c r="R55" s="91" t="s">
        <v>446</v>
      </c>
      <c r="S55" s="92" t="s">
        <v>448</v>
      </c>
      <c r="T55" s="124" t="s">
        <v>449</v>
      </c>
      <c r="U55" s="123" t="s">
        <v>450</v>
      </c>
      <c r="V55" s="211" t="s">
        <v>451</v>
      </c>
      <c r="W55" s="212" t="s">
        <v>514</v>
      </c>
      <c r="X55" s="213" t="s">
        <v>515</v>
      </c>
      <c r="Y55" s="214" t="s">
        <v>448</v>
      </c>
      <c r="AD55" s="90" t="s">
        <v>447</v>
      </c>
      <c r="AE55" s="91" t="s">
        <v>446</v>
      </c>
      <c r="AF55" s="92" t="s">
        <v>448</v>
      </c>
      <c r="AG55" s="124" t="s">
        <v>449</v>
      </c>
      <c r="AH55" s="123" t="s">
        <v>450</v>
      </c>
      <c r="AI55" s="211" t="s">
        <v>451</v>
      </c>
      <c r="AJ55" s="212" t="s">
        <v>514</v>
      </c>
      <c r="AK55" s="213" t="s">
        <v>515</v>
      </c>
      <c r="AL55" s="214" t="s">
        <v>448</v>
      </c>
    </row>
    <row r="56" spans="2:40" x14ac:dyDescent="0.3">
      <c r="B56" s="119" t="s">
        <v>657</v>
      </c>
      <c r="C56" s="107"/>
      <c r="D56" s="116"/>
      <c r="E56" s="116"/>
      <c r="F56" s="116"/>
      <c r="G56" s="116"/>
      <c r="H56" s="116"/>
      <c r="I56" s="107"/>
      <c r="J56" s="107"/>
      <c r="K56" s="107"/>
      <c r="L56" s="107"/>
      <c r="M56" s="107"/>
      <c r="N56" s="107"/>
      <c r="O56" s="119" t="s">
        <v>694</v>
      </c>
      <c r="P56" s="107"/>
      <c r="Q56" s="116"/>
      <c r="R56" s="116"/>
      <c r="S56" s="116"/>
      <c r="T56" s="116"/>
      <c r="U56" s="116"/>
      <c r="V56" s="107"/>
      <c r="W56" s="107"/>
      <c r="X56" s="107"/>
      <c r="Y56" s="107"/>
      <c r="Z56" s="107"/>
      <c r="AA56" s="107"/>
      <c r="AB56" s="119" t="s">
        <v>771</v>
      </c>
      <c r="AC56" s="107"/>
      <c r="AD56" s="116"/>
      <c r="AE56" s="116"/>
      <c r="AF56" s="116"/>
      <c r="AG56" s="116"/>
      <c r="AH56" s="116"/>
      <c r="AI56" s="107"/>
      <c r="AJ56" s="107"/>
      <c r="AK56" s="107"/>
      <c r="AL56" s="107"/>
      <c r="AM56" s="107"/>
      <c r="AN56" s="107"/>
    </row>
    <row r="57" spans="2:40" x14ac:dyDescent="0.3">
      <c r="B57" s="115" t="s">
        <v>375</v>
      </c>
      <c r="C57" s="122" t="s">
        <v>9</v>
      </c>
      <c r="D57" s="135">
        <f>'88T_Seeds'!AL127</f>
        <v>471.68</v>
      </c>
      <c r="E57" s="135">
        <f>'88T_Seeds'!AM127</f>
        <v>122.09</v>
      </c>
      <c r="F57" s="135">
        <f>'88T_Seeds'!AN127</f>
        <v>3775.53</v>
      </c>
      <c r="G57" s="135">
        <f>'88T_Seeds'!AO127</f>
        <v>15273.21</v>
      </c>
      <c r="H57" s="135">
        <f>'88T_Seeds'!AP127</f>
        <v>5004.7299999999996</v>
      </c>
      <c r="I57" s="108">
        <f>$N$2-N57</f>
        <v>108.71000000000276</v>
      </c>
      <c r="J57" s="108"/>
      <c r="K57" s="108">
        <f>D57+E57+G57+H57</f>
        <v>20871.71</v>
      </c>
      <c r="L57" s="108">
        <f>F57</f>
        <v>3775.53</v>
      </c>
      <c r="M57" s="115" t="s">
        <v>36</v>
      </c>
      <c r="N57" s="136">
        <f>SUM(D57:H57)</f>
        <v>24647.239999999998</v>
      </c>
      <c r="O57" s="115" t="s">
        <v>375</v>
      </c>
      <c r="P57" s="122" t="s">
        <v>9</v>
      </c>
      <c r="Q57" s="135">
        <f>'88T_Seeds'!AL132</f>
        <v>1.0900000000000001</v>
      </c>
      <c r="R57" s="135">
        <f>'88T_Seeds'!AM132</f>
        <v>12.51</v>
      </c>
      <c r="S57" s="135">
        <f>'88T_Seeds'!AN132</f>
        <v>1132.57</v>
      </c>
      <c r="T57" s="135">
        <f>'88T_Seeds'!AO132</f>
        <v>290.31</v>
      </c>
      <c r="U57" s="135">
        <f>'88T_Seeds'!AP132</f>
        <v>25.73</v>
      </c>
      <c r="V57" s="108">
        <f>$N$3-AA57</f>
        <v>6.5500000000001819</v>
      </c>
      <c r="W57" s="108"/>
      <c r="X57" s="108">
        <f>Q57+R57+T57+U57</f>
        <v>329.64000000000004</v>
      </c>
      <c r="Y57" s="108">
        <f>S57</f>
        <v>1132.57</v>
      </c>
      <c r="Z57" s="115" t="s">
        <v>36</v>
      </c>
      <c r="AA57" s="136">
        <f>SUM(Q57:U57)</f>
        <v>1462.2099999999998</v>
      </c>
      <c r="AB57" s="115" t="s">
        <v>375</v>
      </c>
      <c r="AC57" s="122" t="s">
        <v>9</v>
      </c>
      <c r="AD57" s="135">
        <v>0</v>
      </c>
      <c r="AE57" s="135">
        <v>0.42</v>
      </c>
      <c r="AF57" s="135">
        <v>217.16</v>
      </c>
      <c r="AG57" s="135">
        <v>191.26</v>
      </c>
      <c r="AH57" s="135">
        <v>7.04</v>
      </c>
      <c r="AI57" s="108">
        <f>$N$4-AN57</f>
        <v>1.8899999999999864</v>
      </c>
      <c r="AJ57" s="108"/>
      <c r="AK57" s="108">
        <f>AD57+AE57+AG57+AH57</f>
        <v>198.71999999999997</v>
      </c>
      <c r="AL57" s="108">
        <f>AF57</f>
        <v>217.16</v>
      </c>
      <c r="AM57" s="115" t="s">
        <v>36</v>
      </c>
      <c r="AN57" s="136">
        <f>SUM(AD57:AH57)</f>
        <v>415.88</v>
      </c>
    </row>
    <row r="58" spans="2:40" x14ac:dyDescent="0.3">
      <c r="B58" s="107"/>
      <c r="C58" s="140" t="s">
        <v>455</v>
      </c>
      <c r="D58" s="150">
        <f t="shared" ref="D58:I58" si="28">D57/$N$2</f>
        <v>1.9053197312161319E-2</v>
      </c>
      <c r="E58" s="150">
        <f t="shared" si="28"/>
        <v>4.9317436818219458E-3</v>
      </c>
      <c r="F58" s="150">
        <f t="shared" si="28"/>
        <v>0.15251000264582859</v>
      </c>
      <c r="G58" s="150">
        <f t="shared" si="28"/>
        <v>0.61695107640789382</v>
      </c>
      <c r="H58" s="150">
        <f t="shared" si="28"/>
        <v>0.20216271239843348</v>
      </c>
      <c r="I58" s="150">
        <f t="shared" si="28"/>
        <v>4.3912675538609006E-3</v>
      </c>
      <c r="J58" s="150"/>
      <c r="K58" s="150">
        <f>K57/$N$2</f>
        <v>0.84309872980031053</v>
      </c>
      <c r="L58" s="150">
        <f>L57/$N$2</f>
        <v>0.15251000264582859</v>
      </c>
      <c r="M58" s="144">
        <f>SUM(D58:I58)</f>
        <v>1</v>
      </c>
      <c r="N58" s="141"/>
      <c r="O58" s="107"/>
      <c r="P58" s="107" t="s">
        <v>455</v>
      </c>
      <c r="Q58" s="150">
        <f t="shared" ref="Q58:V58" si="29">Q57/$N$3</f>
        <v>7.4212260682480461E-4</v>
      </c>
      <c r="R58" s="150">
        <f t="shared" si="29"/>
        <v>8.5173888177782625E-3</v>
      </c>
      <c r="S58" s="150">
        <f t="shared" si="29"/>
        <v>0.77110623927666877</v>
      </c>
      <c r="T58" s="150">
        <f t="shared" si="29"/>
        <v>0.19765652659386149</v>
      </c>
      <c r="U58" s="150">
        <f t="shared" si="29"/>
        <v>1.7518178599635066E-2</v>
      </c>
      <c r="V58" s="150">
        <f t="shared" si="29"/>
        <v>4.459544105231748E-3</v>
      </c>
      <c r="W58" s="150"/>
      <c r="X58" s="150">
        <f>X57/$N$3</f>
        <v>0.22443421661809965</v>
      </c>
      <c r="Y58" s="150">
        <f>Y57/$N$3</f>
        <v>0.77110623927666877</v>
      </c>
      <c r="Z58" s="144">
        <f>SUM(Q58:V58)</f>
        <v>1</v>
      </c>
      <c r="AA58" s="107"/>
      <c r="AB58" s="107"/>
      <c r="AC58" s="140" t="s">
        <v>455</v>
      </c>
      <c r="AD58" s="150">
        <f>AD57/$N$4</f>
        <v>0</v>
      </c>
      <c r="AE58" s="150">
        <f t="shared" ref="AE58:AI58" si="30">AE57/$N$4</f>
        <v>1.0053378653325992E-3</v>
      </c>
      <c r="AF58" s="150">
        <f t="shared" si="30"/>
        <v>0.5198075496086364</v>
      </c>
      <c r="AG58" s="150">
        <f t="shared" si="30"/>
        <v>0.45781171457979269</v>
      </c>
      <c r="AH58" s="150">
        <f t="shared" si="30"/>
        <v>1.6851377552241666E-2</v>
      </c>
      <c r="AI58" s="150">
        <f t="shared" si="30"/>
        <v>4.5240203939966644E-3</v>
      </c>
      <c r="AJ58" s="150"/>
      <c r="AK58" s="150">
        <f t="shared" ref="AK58:AL58" si="31">AK57/$N$4</f>
        <v>0.47566842999736691</v>
      </c>
      <c r="AL58" s="150">
        <f t="shared" si="31"/>
        <v>0.5198075496086364</v>
      </c>
      <c r="AM58" s="144">
        <f>SUM(AD58:AI58)</f>
        <v>1</v>
      </c>
      <c r="AN58" s="107"/>
    </row>
    <row r="59" spans="2:40" x14ac:dyDescent="0.3">
      <c r="B59" s="107" t="s">
        <v>513</v>
      </c>
      <c r="C59" s="107" t="s">
        <v>9</v>
      </c>
      <c r="D59" s="108">
        <v>416.62</v>
      </c>
      <c r="E59" s="108">
        <v>87.27</v>
      </c>
      <c r="F59" s="108">
        <v>3437.84</v>
      </c>
      <c r="G59" s="108">
        <v>14634.16</v>
      </c>
      <c r="H59" s="108">
        <v>4651.9799999999996</v>
      </c>
      <c r="I59" s="108">
        <f>I57</f>
        <v>108.71000000000276</v>
      </c>
      <c r="J59" s="108">
        <f>SUM(D57:H57)-SUM(D59:H59)</f>
        <v>1419.369999999999</v>
      </c>
      <c r="K59" s="108">
        <f>D59+E59+G59+H59</f>
        <v>19790.03</v>
      </c>
      <c r="L59" s="108">
        <f>F59</f>
        <v>3437.84</v>
      </c>
      <c r="M59" s="115" t="s">
        <v>524</v>
      </c>
      <c r="N59" s="195">
        <f>SUM(D59:H59)</f>
        <v>23227.87</v>
      </c>
      <c r="O59" s="107" t="s">
        <v>513</v>
      </c>
      <c r="P59" s="122" t="s">
        <v>9</v>
      </c>
      <c r="Q59" s="108">
        <v>1.0900000000000001</v>
      </c>
      <c r="R59" s="108">
        <v>9.31</v>
      </c>
      <c r="S59" s="108">
        <v>1117.3900000000001</v>
      </c>
      <c r="T59" s="108">
        <v>280.68</v>
      </c>
      <c r="U59" s="108">
        <v>21.23</v>
      </c>
      <c r="V59" s="108">
        <f>V57</f>
        <v>6.5500000000001819</v>
      </c>
      <c r="W59" s="108">
        <f>SUM(Q57:U57)-SUM(Q59:U59)</f>
        <v>32.509999999999536</v>
      </c>
      <c r="X59" s="108">
        <f>Q59+R59+T59+U59</f>
        <v>312.31</v>
      </c>
      <c r="Y59" s="108">
        <f>S59</f>
        <v>1117.3900000000001</v>
      </c>
      <c r="Z59" s="115" t="s">
        <v>524</v>
      </c>
      <c r="AA59" s="195">
        <f>SUM(Q59:U59)</f>
        <v>1429.7000000000003</v>
      </c>
      <c r="AB59" s="107" t="s">
        <v>513</v>
      </c>
      <c r="AC59" s="122" t="s">
        <v>9</v>
      </c>
      <c r="AD59" s="108">
        <v>0</v>
      </c>
      <c r="AE59" s="108">
        <v>0.18</v>
      </c>
      <c r="AF59" s="108">
        <v>206.5</v>
      </c>
      <c r="AG59" s="108">
        <v>182.19</v>
      </c>
      <c r="AH59" s="108">
        <v>5.69</v>
      </c>
      <c r="AI59" s="108">
        <f>AI57</f>
        <v>1.8899999999999864</v>
      </c>
      <c r="AJ59" s="108">
        <f>SUM(AD57:AH57)-SUM(AD59:AH59)</f>
        <v>21.319999999999993</v>
      </c>
      <c r="AK59" s="108">
        <f>AD59+AE59+AG59+AH59</f>
        <v>188.06</v>
      </c>
      <c r="AL59" s="108">
        <f>AF59</f>
        <v>206.5</v>
      </c>
      <c r="AM59" s="115" t="s">
        <v>524</v>
      </c>
      <c r="AN59" s="195">
        <f>SUM(AD59:AH59)</f>
        <v>394.56</v>
      </c>
    </row>
    <row r="60" spans="2:40" x14ac:dyDescent="0.3">
      <c r="B60" s="107"/>
      <c r="C60" s="140" t="s">
        <v>455</v>
      </c>
      <c r="D60" s="150">
        <f t="shared" ref="D60:L60" si="32">D59/$N$2</f>
        <v>1.6829085532972882E-2</v>
      </c>
      <c r="E60" s="150">
        <f t="shared" si="32"/>
        <v>3.5252131305807287E-3</v>
      </c>
      <c r="F60" s="150">
        <f t="shared" si="32"/>
        <v>0.13886924153587318</v>
      </c>
      <c r="G60" s="150">
        <f t="shared" si="32"/>
        <v>0.59113708017668476</v>
      </c>
      <c r="H60" s="150">
        <f t="shared" si="32"/>
        <v>0.18791361268705098</v>
      </c>
      <c r="I60" s="150">
        <f t="shared" si="32"/>
        <v>4.3912675538609006E-3</v>
      </c>
      <c r="J60" s="150">
        <f t="shared" si="32"/>
        <v>5.7334499382976578E-2</v>
      </c>
      <c r="K60" s="150">
        <f t="shared" si="32"/>
        <v>0.79940499152728928</v>
      </c>
      <c r="L60" s="150">
        <f t="shared" si="32"/>
        <v>0.13886924153587318</v>
      </c>
      <c r="M60" s="144">
        <f>SUM(D60:J60)</f>
        <v>1</v>
      </c>
      <c r="N60" s="194">
        <f>N59/N57</f>
        <v>0.94241261901941153</v>
      </c>
      <c r="O60" s="107"/>
      <c r="P60" s="140" t="s">
        <v>455</v>
      </c>
      <c r="Q60" s="150">
        <f t="shared" ref="Q60:Y60" si="33">Q59/$N$3</f>
        <v>7.4212260682480461E-4</v>
      </c>
      <c r="R60" s="150">
        <f t="shared" si="33"/>
        <v>6.3386802472834231E-3</v>
      </c>
      <c r="S60" s="150">
        <f t="shared" si="33"/>
        <v>0.76077099049538388</v>
      </c>
      <c r="T60" s="150">
        <f t="shared" si="33"/>
        <v>0.19109997548952859</v>
      </c>
      <c r="U60" s="150">
        <f t="shared" si="33"/>
        <v>1.4454369672376699E-2</v>
      </c>
      <c r="V60" s="150">
        <f t="shared" si="33"/>
        <v>4.459544105231748E-3</v>
      </c>
      <c r="W60" s="150">
        <f t="shared" si="33"/>
        <v>2.213431738337069E-2</v>
      </c>
      <c r="X60" s="150">
        <f t="shared" si="33"/>
        <v>0.21263514801601352</v>
      </c>
      <c r="Y60" s="150">
        <f t="shared" si="33"/>
        <v>0.76077099049538388</v>
      </c>
      <c r="Z60" s="144">
        <f>SUM(Q60:W60)</f>
        <v>0.99999999999999989</v>
      </c>
      <c r="AA60" s="194">
        <f>AA59/AA57</f>
        <v>0.97776653148316617</v>
      </c>
      <c r="AB60" s="107"/>
      <c r="AC60" s="140" t="s">
        <v>455</v>
      </c>
      <c r="AD60" s="150">
        <f t="shared" ref="AD60:AL60" si="34">AD59/$N$4</f>
        <v>0</v>
      </c>
      <c r="AE60" s="150">
        <f t="shared" si="34"/>
        <v>4.3085908514254256E-4</v>
      </c>
      <c r="AF60" s="150">
        <f t="shared" si="34"/>
        <v>0.49429111712186136</v>
      </c>
      <c r="AG60" s="150">
        <f t="shared" si="34"/>
        <v>0.43610120401177682</v>
      </c>
      <c r="AH60" s="150">
        <f t="shared" si="34"/>
        <v>1.3619934413672596E-2</v>
      </c>
      <c r="AI60" s="150">
        <f t="shared" si="34"/>
        <v>4.5240203939966644E-3</v>
      </c>
      <c r="AJ60" s="150">
        <f t="shared" si="34"/>
        <v>5.1032864973550023E-2</v>
      </c>
      <c r="AK60" s="150">
        <f t="shared" si="34"/>
        <v>0.45015199751059198</v>
      </c>
      <c r="AL60" s="150">
        <f t="shared" si="34"/>
        <v>0.49429111712186136</v>
      </c>
      <c r="AM60" s="144">
        <f>SUM(AD60:AJ60)</f>
        <v>1</v>
      </c>
      <c r="AN60" s="194">
        <f>AN59/AN57</f>
        <v>0.94873521208040779</v>
      </c>
    </row>
    <row r="61" spans="2:40" x14ac:dyDescent="0.3">
      <c r="B61" s="107"/>
      <c r="C61" s="107" t="s">
        <v>516</v>
      </c>
      <c r="D61" s="112">
        <f>D57-D59</f>
        <v>55.06</v>
      </c>
      <c r="E61" s="112">
        <f>E57-E59</f>
        <v>34.820000000000007</v>
      </c>
      <c r="F61" s="112">
        <f>F57-F59</f>
        <v>337.69000000000005</v>
      </c>
      <c r="G61" s="112">
        <f>G57-G59</f>
        <v>639.04999999999927</v>
      </c>
      <c r="H61" s="112">
        <f>H57-H59</f>
        <v>352.75</v>
      </c>
      <c r="I61" s="146"/>
      <c r="J61" s="146"/>
      <c r="K61" s="112">
        <f>K57-K59</f>
        <v>1081.6800000000003</v>
      </c>
      <c r="L61" s="108">
        <f>F61</f>
        <v>337.69000000000005</v>
      </c>
      <c r="M61" s="144"/>
      <c r="N61" s="107"/>
      <c r="O61" s="107"/>
      <c r="P61" s="107" t="s">
        <v>516</v>
      </c>
      <c r="Q61" s="112">
        <f>Q57-Q59</f>
        <v>0</v>
      </c>
      <c r="R61" s="112">
        <f>R57-R59</f>
        <v>3.1999999999999993</v>
      </c>
      <c r="S61" s="112">
        <f>S57-S59</f>
        <v>15.179999999999836</v>
      </c>
      <c r="T61" s="112">
        <f>T57-T59</f>
        <v>9.6299999999999955</v>
      </c>
      <c r="U61" s="112">
        <f>U57-U59</f>
        <v>4.5</v>
      </c>
      <c r="V61" s="146"/>
      <c r="W61" s="146"/>
      <c r="X61" s="112">
        <f>X57-X59</f>
        <v>17.330000000000041</v>
      </c>
      <c r="Y61" s="108">
        <f>S61</f>
        <v>15.179999999999836</v>
      </c>
      <c r="Z61" s="144"/>
      <c r="AA61" s="107"/>
      <c r="AB61" s="107"/>
      <c r="AC61" s="107" t="s">
        <v>516</v>
      </c>
      <c r="AD61" s="112">
        <f>AD57-AD59</f>
        <v>0</v>
      </c>
      <c r="AE61" s="112">
        <f>AE57-AE59</f>
        <v>0.24</v>
      </c>
      <c r="AF61" s="112">
        <f>AF57-AF59</f>
        <v>10.659999999999997</v>
      </c>
      <c r="AG61" s="112">
        <f>AG57-AG59</f>
        <v>9.0699999999999932</v>
      </c>
      <c r="AH61" s="112">
        <f>AH57-AH59</f>
        <v>1.3499999999999996</v>
      </c>
      <c r="AI61" s="146"/>
      <c r="AJ61" s="146"/>
      <c r="AK61" s="112">
        <f>AK57-AK59</f>
        <v>10.659999999999968</v>
      </c>
      <c r="AL61" s="108">
        <f>AF61</f>
        <v>10.659999999999997</v>
      </c>
      <c r="AM61" s="144"/>
      <c r="AN61" s="107"/>
    </row>
    <row r="62" spans="2:40" x14ac:dyDescent="0.3">
      <c r="B62" s="107"/>
      <c r="C62" s="107" t="s">
        <v>517</v>
      </c>
      <c r="D62" s="146">
        <f>D61/D57</f>
        <v>0.11673168249660787</v>
      </c>
      <c r="E62" s="146">
        <f>E61/E57</f>
        <v>0.28519944303382755</v>
      </c>
      <c r="F62" s="146">
        <f>F61/F57</f>
        <v>8.9441747251379281E-2</v>
      </c>
      <c r="G62" s="146">
        <f>G61/G57</f>
        <v>4.1841237041852976E-2</v>
      </c>
      <c r="H62" s="146">
        <f>H61/H57</f>
        <v>7.0483322776653298E-2</v>
      </c>
      <c r="I62" s="146"/>
      <c r="J62" s="146"/>
      <c r="K62" s="150">
        <f>K61/K57</f>
        <v>5.1825173883692344E-2</v>
      </c>
      <c r="L62" s="150">
        <f>L61/$N$2</f>
        <v>1.3640761109955386E-2</v>
      </c>
      <c r="M62" s="144"/>
      <c r="N62" s="107"/>
      <c r="O62" s="107"/>
      <c r="P62" s="107" t="s">
        <v>517</v>
      </c>
      <c r="Q62" s="146">
        <f>Q61/Q57</f>
        <v>0</v>
      </c>
      <c r="R62" s="146">
        <f>R61/R57</f>
        <v>0.25579536370903272</v>
      </c>
      <c r="S62" s="146">
        <f>S61/S57</f>
        <v>1.340314505946638E-2</v>
      </c>
      <c r="T62" s="146">
        <f>T61/T57</f>
        <v>3.3171437428955237E-2</v>
      </c>
      <c r="U62" s="146">
        <f>U61/U57</f>
        <v>0.17489312087057909</v>
      </c>
      <c r="V62" s="146"/>
      <c r="W62" s="146"/>
      <c r="X62" s="150">
        <f>X61/X57</f>
        <v>5.2572503336973789E-2</v>
      </c>
      <c r="Y62" s="150">
        <f>Y61/$N$3</f>
        <v>1.0335248781284782E-2</v>
      </c>
      <c r="Z62" s="144"/>
      <c r="AA62" s="107"/>
      <c r="AB62" s="107"/>
      <c r="AC62" s="107" t="s">
        <v>517</v>
      </c>
      <c r="AD62" s="146" t="s">
        <v>527</v>
      </c>
      <c r="AE62" s="146">
        <f>AE61/AE57</f>
        <v>0.5714285714285714</v>
      </c>
      <c r="AF62" s="146">
        <f>AF61/AF57</f>
        <v>4.9088229876588674E-2</v>
      </c>
      <c r="AG62" s="146">
        <f>AG61/AG57</f>
        <v>4.7422357000941093E-2</v>
      </c>
      <c r="AH62" s="146">
        <f>AH61/AH57</f>
        <v>0.19176136363636359</v>
      </c>
      <c r="AI62" s="146"/>
      <c r="AJ62" s="146"/>
      <c r="AK62" s="150">
        <f t="shared" ref="AK62:AL62" si="35">AK61/$N$4</f>
        <v>2.5516432486774945E-2</v>
      </c>
      <c r="AL62" s="150">
        <f t="shared" si="35"/>
        <v>2.5516432486775011E-2</v>
      </c>
      <c r="AM62" s="144"/>
      <c r="AN62" s="107"/>
    </row>
    <row r="63" spans="2:40" x14ac:dyDescent="0.3">
      <c r="B63" s="115" t="s">
        <v>376</v>
      </c>
      <c r="C63" s="122" t="s">
        <v>9</v>
      </c>
      <c r="D63" s="135">
        <f>'88T_Seeds'!AL129</f>
        <v>474.03199999999998</v>
      </c>
      <c r="E63" s="135">
        <f>'88T_Seeds'!AM129</f>
        <v>134.15949999999998</v>
      </c>
      <c r="F63" s="135">
        <f>'88T_Seeds'!AN129</f>
        <v>3714.593499999999</v>
      </c>
      <c r="G63" s="135">
        <f>'88T_Seeds'!AO129</f>
        <v>15230.661499999997</v>
      </c>
      <c r="H63" s="135">
        <f>'88T_Seeds'!AP129</f>
        <v>5093.7974999999988</v>
      </c>
      <c r="I63" s="108">
        <f>$N$2-N63</f>
        <v>108.70600000000923</v>
      </c>
      <c r="J63" s="108"/>
      <c r="K63" s="108"/>
      <c r="L63" s="108"/>
      <c r="M63" s="115" t="s">
        <v>36</v>
      </c>
      <c r="N63" s="136">
        <f>SUM(D63:H63)</f>
        <v>24647.243999999992</v>
      </c>
      <c r="O63" s="115" t="s">
        <v>376</v>
      </c>
      <c r="P63" s="122" t="s">
        <v>9</v>
      </c>
      <c r="Q63" s="135">
        <f>'88T_Seeds'!AL134</f>
        <v>1.1990000000000001</v>
      </c>
      <c r="R63" s="135">
        <f>'88T_Seeds'!AM134</f>
        <v>13.677000000000001</v>
      </c>
      <c r="S63" s="135">
        <f>'88T_Seeds'!AN134</f>
        <v>1127.1315</v>
      </c>
      <c r="T63" s="135">
        <f>'88T_Seeds'!AO134</f>
        <v>293.03200000000004</v>
      </c>
      <c r="U63" s="135">
        <f>'88T_Seeds'!AP134</f>
        <v>27.174500000000002</v>
      </c>
      <c r="V63" s="108">
        <f>$N$3-AA63</f>
        <v>6.5460000000000491</v>
      </c>
      <c r="W63" s="108"/>
      <c r="X63" s="108"/>
      <c r="Y63" s="108"/>
      <c r="Z63" s="115" t="s">
        <v>36</v>
      </c>
      <c r="AA63" s="136">
        <f>SUM(Q63:U63)</f>
        <v>1462.2139999999999</v>
      </c>
      <c r="AB63" s="115"/>
      <c r="AC63" s="122"/>
      <c r="AD63" s="138"/>
      <c r="AE63" s="135"/>
      <c r="AF63" s="135"/>
      <c r="AG63" s="135"/>
      <c r="AH63" s="135"/>
      <c r="AI63" s="108"/>
      <c r="AJ63" s="108"/>
      <c r="AK63" s="108"/>
      <c r="AL63" s="108"/>
      <c r="AM63" s="115"/>
      <c r="AN63" s="136"/>
    </row>
    <row r="64" spans="2:40" x14ac:dyDescent="0.3">
      <c r="B64" s="115"/>
      <c r="C64" s="140" t="s">
        <v>455</v>
      </c>
      <c r="D64" s="150">
        <f t="shared" ref="D64:I64" si="36">D63/$N$2</f>
        <v>1.9148204775013684E-2</v>
      </c>
      <c r="E64" s="150">
        <f t="shared" si="36"/>
        <v>5.4192830410466969E-3</v>
      </c>
      <c r="F64" s="150">
        <f t="shared" si="36"/>
        <v>0.15004851358966223</v>
      </c>
      <c r="G64" s="150">
        <f t="shared" si="36"/>
        <v>0.61523235828154432</v>
      </c>
      <c r="H64" s="150">
        <f t="shared" si="36"/>
        <v>0.20576053433618982</v>
      </c>
      <c r="I64" s="145">
        <f t="shared" si="36"/>
        <v>4.3911059765433854E-3</v>
      </c>
      <c r="J64" s="145"/>
      <c r="K64" s="145"/>
      <c r="L64" s="145"/>
      <c r="M64" s="144">
        <f>SUM(D64:I64)</f>
        <v>1.0000000000000002</v>
      </c>
      <c r="N64" s="136"/>
      <c r="O64" s="115"/>
      <c r="P64" s="140" t="s">
        <v>455</v>
      </c>
      <c r="Q64" s="150">
        <f t="shared" ref="Q64:V64" si="37">Q63/$N$3</f>
        <v>8.1633486750728513E-4</v>
      </c>
      <c r="R64" s="150">
        <f t="shared" si="37"/>
        <v>9.3119365995806003E-3</v>
      </c>
      <c r="S64" s="150">
        <f t="shared" si="37"/>
        <v>0.76740345597646997</v>
      </c>
      <c r="T64" s="150">
        <f t="shared" si="37"/>
        <v>0.1995097905716387</v>
      </c>
      <c r="U64" s="150">
        <f t="shared" si="37"/>
        <v>1.8501661265285005E-2</v>
      </c>
      <c r="V64" s="146">
        <f t="shared" si="37"/>
        <v>4.4568207195185387E-3</v>
      </c>
      <c r="W64" s="146"/>
      <c r="X64" s="146"/>
      <c r="Y64" s="145"/>
      <c r="Z64" s="144">
        <f>SUM(Q64:V64)</f>
        <v>1</v>
      </c>
      <c r="AA64" s="136"/>
      <c r="AB64" s="115"/>
      <c r="AC64" s="140"/>
      <c r="AD64" s="150"/>
      <c r="AE64" s="150"/>
      <c r="AF64" s="150"/>
      <c r="AG64" s="150"/>
      <c r="AH64" s="150"/>
      <c r="AI64" s="146"/>
      <c r="AJ64" s="146"/>
      <c r="AK64" s="146"/>
      <c r="AL64" s="146"/>
      <c r="AM64" s="144"/>
      <c r="AN64" s="136"/>
    </row>
    <row r="65" spans="2:40" x14ac:dyDescent="0.3">
      <c r="B65" s="107"/>
      <c r="C65" s="147" t="s">
        <v>368</v>
      </c>
      <c r="D65" s="108">
        <f>'88T_Seeds'!AL130</f>
        <v>17.69546329906122</v>
      </c>
      <c r="E65" s="108">
        <f>'88T_Seeds'!AM130</f>
        <v>4.8371438111761913</v>
      </c>
      <c r="F65" s="108">
        <f>'88T_Seeds'!AN130</f>
        <v>25.016627336686117</v>
      </c>
      <c r="G65" s="108">
        <f>'88T_Seeds'!AO130</f>
        <v>30.089134350030932</v>
      </c>
      <c r="H65" s="108">
        <f>'88T_Seeds'!AP130</f>
        <v>25.121979062953482</v>
      </c>
      <c r="I65" s="107"/>
      <c r="J65" s="107"/>
      <c r="K65" s="107"/>
      <c r="L65" s="107"/>
      <c r="M65" s="107"/>
      <c r="N65" s="107"/>
      <c r="O65" s="107"/>
      <c r="P65" s="147" t="s">
        <v>368</v>
      </c>
      <c r="Q65" s="108">
        <f>'88T_Seeds'!AL135</f>
        <v>4.2282881941314659E-2</v>
      </c>
      <c r="R65" s="108">
        <f>'88T_Seeds'!AM135</f>
        <v>0.40884567928949039</v>
      </c>
      <c r="S65" s="108">
        <f>'88T_Seeds'!AN135</f>
        <v>1.1052168815500234</v>
      </c>
      <c r="T65" s="108">
        <f>'88T_Seeds'!AO135</f>
        <v>1.0202694690490752</v>
      </c>
      <c r="U65" s="108">
        <f>'88T_Seeds'!AP135</f>
        <v>0.43651639807626208</v>
      </c>
      <c r="V65" s="107"/>
      <c r="W65" s="107"/>
      <c r="X65" s="107"/>
      <c r="Y65" s="107"/>
      <c r="Z65" s="107"/>
      <c r="AA65" s="107"/>
      <c r="AB65" s="107"/>
      <c r="AC65" s="147"/>
      <c r="AD65" s="108"/>
      <c r="AE65" s="108"/>
      <c r="AF65" s="108"/>
      <c r="AG65" s="108"/>
      <c r="AH65" s="108"/>
      <c r="AI65" s="107"/>
      <c r="AJ65" s="107"/>
      <c r="AK65" s="107"/>
      <c r="AL65" s="107"/>
      <c r="AM65" s="107"/>
      <c r="AN65" s="107"/>
    </row>
    <row r="66" spans="2:40" x14ac:dyDescent="0.3">
      <c r="B66" s="107"/>
      <c r="C66" s="128" t="s">
        <v>458</v>
      </c>
      <c r="D66" s="125">
        <f>1.96*D65</f>
        <v>34.683108066159988</v>
      </c>
      <c r="E66" s="125">
        <f>1.96*E65</f>
        <v>9.4808018699053349</v>
      </c>
      <c r="F66" s="125">
        <f>1.96*F65</f>
        <v>49.032589579904787</v>
      </c>
      <c r="G66" s="125">
        <f>1.96*G65</f>
        <v>58.974703326060627</v>
      </c>
      <c r="H66" s="125">
        <f>1.96*H65</f>
        <v>49.23907896338882</v>
      </c>
      <c r="I66" s="107"/>
      <c r="J66" s="107"/>
      <c r="K66" s="107"/>
      <c r="L66" s="107"/>
      <c r="M66" s="107"/>
      <c r="N66" s="107"/>
      <c r="O66" s="107"/>
      <c r="P66" s="128" t="s">
        <v>458</v>
      </c>
      <c r="Q66" s="125">
        <f>1.96*Q65</f>
        <v>8.2874448604976725E-2</v>
      </c>
      <c r="R66" s="125">
        <f>1.96*R65</f>
        <v>0.80133753140740116</v>
      </c>
      <c r="S66" s="125">
        <f>1.96*S65</f>
        <v>2.166225087838046</v>
      </c>
      <c r="T66" s="125">
        <f>1.96*T65</f>
        <v>1.9997281593361873</v>
      </c>
      <c r="U66" s="125">
        <f>1.96*U65</f>
        <v>0.8555721402294737</v>
      </c>
      <c r="V66" s="107"/>
      <c r="W66" s="107"/>
      <c r="X66" s="107"/>
      <c r="Y66" s="107"/>
      <c r="Z66" s="107"/>
      <c r="AA66" s="107"/>
      <c r="AB66" s="107"/>
      <c r="AC66" s="128"/>
      <c r="AD66" s="125"/>
      <c r="AE66" s="125"/>
      <c r="AF66" s="125"/>
      <c r="AG66" s="125"/>
      <c r="AH66" s="125"/>
      <c r="AI66" s="107"/>
      <c r="AJ66" s="107"/>
      <c r="AK66" s="107"/>
      <c r="AL66" s="107"/>
      <c r="AM66" s="107"/>
      <c r="AN66" s="107"/>
    </row>
    <row r="67" spans="2:40" x14ac:dyDescent="0.3">
      <c r="B67" s="115" t="s">
        <v>375</v>
      </c>
      <c r="C67" s="107" t="s">
        <v>367</v>
      </c>
      <c r="D67" s="145">
        <f>D57/SUM(D57:H57)</f>
        <v>1.9137234027014793E-2</v>
      </c>
      <c r="E67" s="145">
        <f>E57/SUM(D57:H57)</f>
        <v>4.953495807238458E-3</v>
      </c>
      <c r="F67" s="145">
        <f>F57/SUM(D57:H57)</f>
        <v>0.15318266872883132</v>
      </c>
      <c r="G67" s="145">
        <f>G57/SUM(D57:H57)</f>
        <v>0.61967222293449487</v>
      </c>
      <c r="H67" s="145">
        <f>H57/SUM(D57:H57)</f>
        <v>0.20305437850242056</v>
      </c>
      <c r="I67" s="151">
        <f>SUM(D67:H67)</f>
        <v>1</v>
      </c>
      <c r="J67" s="107"/>
      <c r="K67" s="107"/>
      <c r="L67" s="107"/>
      <c r="M67" s="107"/>
      <c r="N67" s="107"/>
      <c r="O67" s="115" t="s">
        <v>375</v>
      </c>
      <c r="P67" s="107" t="s">
        <v>367</v>
      </c>
      <c r="Q67" s="145">
        <f>Q57/SUM(Q57:U57)</f>
        <v>7.4544696042292162E-4</v>
      </c>
      <c r="R67" s="145">
        <f>R57/SUM(Q57:U57)</f>
        <v>8.5555426375144485E-3</v>
      </c>
      <c r="S67" s="145">
        <f>S57/SUM(Q57:U57)</f>
        <v>0.77456042565705341</v>
      </c>
      <c r="T67" s="145">
        <f>T57/SUM(Q57:U57)</f>
        <v>0.19854193310126456</v>
      </c>
      <c r="U67" s="145">
        <f>U57/SUM(Q57:U57)</f>
        <v>1.7596651643744746E-2</v>
      </c>
      <c r="V67" s="151">
        <f>SUM(Q67:U67)</f>
        <v>1</v>
      </c>
      <c r="W67" s="107"/>
      <c r="X67" s="107"/>
      <c r="Y67" s="107"/>
      <c r="Z67" s="107"/>
      <c r="AA67" s="107"/>
      <c r="AB67" s="115" t="s">
        <v>375</v>
      </c>
      <c r="AC67" s="107" t="s">
        <v>367</v>
      </c>
      <c r="AD67" s="145">
        <f>AD57/SUM(AD57:AH57)</f>
        <v>0</v>
      </c>
      <c r="AE67" s="145">
        <f>AE57/SUM(AD57:AH57)</f>
        <v>1.0099067038568817E-3</v>
      </c>
      <c r="AF67" s="145">
        <f>AF57/SUM(AD57:AH57)</f>
        <v>0.52216985668942961</v>
      </c>
      <c r="AG67" s="145">
        <f>AG57/SUM(AD57:AH57)</f>
        <v>0.45989227661825527</v>
      </c>
      <c r="AH67" s="145">
        <f>AH57/SUM(AD57:AH57)</f>
        <v>1.692795998845821E-2</v>
      </c>
      <c r="AI67" s="151">
        <f>SUM(AD67:AH67)</f>
        <v>1</v>
      </c>
      <c r="AJ67" s="107"/>
      <c r="AK67" s="107"/>
      <c r="AL67" s="107"/>
      <c r="AM67" s="107"/>
      <c r="AN67" s="107"/>
    </row>
    <row r="68" spans="2:40" x14ac:dyDescent="0.3">
      <c r="B68" s="147" t="s">
        <v>648</v>
      </c>
      <c r="C68" s="90" t="s">
        <v>447</v>
      </c>
      <c r="D68" s="108">
        <f>D61*D67</f>
        <v>1.0536961055274345</v>
      </c>
      <c r="E68" s="108">
        <f>E61*D67</f>
        <v>0.66635848882065518</v>
      </c>
      <c r="F68" s="108">
        <f>F61*D67</f>
        <v>6.4624525585826262</v>
      </c>
      <c r="G68" s="108">
        <f>G61*D67</f>
        <v>12.229649404963789</v>
      </c>
      <c r="H68" s="108">
        <f>H61*D67</f>
        <v>6.7506593030294679</v>
      </c>
      <c r="I68" s="107"/>
      <c r="J68" s="107"/>
      <c r="K68" s="107"/>
      <c r="L68" s="107"/>
      <c r="M68" s="107"/>
      <c r="N68" s="107"/>
      <c r="O68" s="147" t="s">
        <v>648</v>
      </c>
      <c r="P68" s="90" t="s">
        <v>447</v>
      </c>
      <c r="Q68" s="108">
        <f>Q61*Q67</f>
        <v>0</v>
      </c>
      <c r="R68" s="108">
        <f>R61*Q67</f>
        <v>2.3854302733533487E-3</v>
      </c>
      <c r="S68" s="108">
        <f>S61*Q67</f>
        <v>1.1315884859219827E-2</v>
      </c>
      <c r="T68" s="108">
        <f>T61*Q67</f>
        <v>7.178654228872732E-3</v>
      </c>
      <c r="U68" s="108">
        <f>U61*Q67</f>
        <v>3.3545113219031475E-3</v>
      </c>
      <c r="V68" s="107"/>
      <c r="W68" s="107"/>
      <c r="X68" s="107"/>
      <c r="Y68" s="107"/>
      <c r="Z68" s="107"/>
      <c r="AA68" s="107"/>
      <c r="AB68" s="147" t="s">
        <v>648</v>
      </c>
      <c r="AC68" s="90" t="s">
        <v>447</v>
      </c>
      <c r="AD68" s="108">
        <f>AD61*AD67</f>
        <v>0</v>
      </c>
      <c r="AE68" s="108">
        <f>AE61*AD67</f>
        <v>0</v>
      </c>
      <c r="AF68" s="108">
        <f>AF61*AD67</f>
        <v>0</v>
      </c>
      <c r="AG68" s="108">
        <f>AG61*AD67</f>
        <v>0</v>
      </c>
      <c r="AH68" s="108">
        <f>AH61*AD67</f>
        <v>0</v>
      </c>
      <c r="AI68" s="107"/>
      <c r="AJ68" s="107"/>
      <c r="AK68" s="107"/>
      <c r="AL68" s="107"/>
      <c r="AM68" s="107"/>
      <c r="AN68" s="107"/>
    </row>
    <row r="69" spans="2:40" x14ac:dyDescent="0.3">
      <c r="B69" s="107" t="s">
        <v>649</v>
      </c>
      <c r="C69" s="91" t="s">
        <v>446</v>
      </c>
      <c r="D69" s="108">
        <f>D61*E67</f>
        <v>0.2727394791465495</v>
      </c>
      <c r="E69" s="108">
        <f>E61*E67</f>
        <v>0.17248072400804315</v>
      </c>
      <c r="F69" s="108">
        <f>F61*E67</f>
        <v>1.6727459991463551</v>
      </c>
      <c r="G69" s="108">
        <f>G61*E67</f>
        <v>3.165531495615733</v>
      </c>
      <c r="H69" s="108">
        <f>H61*E67</f>
        <v>1.7473456460033661</v>
      </c>
      <c r="I69" s="107"/>
      <c r="J69" s="107"/>
      <c r="K69" s="107"/>
      <c r="L69" s="107"/>
      <c r="M69" s="107"/>
      <c r="N69" s="107"/>
      <c r="O69" s="107" t="s">
        <v>649</v>
      </c>
      <c r="P69" s="91" t="s">
        <v>446</v>
      </c>
      <c r="Q69" s="108">
        <f>Q61*R67</f>
        <v>0</v>
      </c>
      <c r="R69" s="108">
        <f>R61*R67</f>
        <v>2.7377736440046228E-2</v>
      </c>
      <c r="S69" s="108">
        <f>S61*R67</f>
        <v>0.12987313723746793</v>
      </c>
      <c r="T69" s="108">
        <f>T61*R67</f>
        <v>8.2389875599264098E-2</v>
      </c>
      <c r="U69" s="108">
        <f>U61*R67</f>
        <v>3.8499941868815016E-2</v>
      </c>
      <c r="V69" s="107"/>
      <c r="W69" s="107"/>
      <c r="X69" s="107"/>
      <c r="Y69" s="107"/>
      <c r="Z69" s="107"/>
      <c r="AA69" s="107"/>
      <c r="AB69" s="107" t="s">
        <v>649</v>
      </c>
      <c r="AC69" s="91" t="s">
        <v>446</v>
      </c>
      <c r="AD69" s="108">
        <f>AD61*AE67</f>
        <v>0</v>
      </c>
      <c r="AE69" s="108">
        <f>AE61*AE67</f>
        <v>2.423776089256516E-4</v>
      </c>
      <c r="AF69" s="108">
        <f>AF61*AE67</f>
        <v>1.0765605463114355E-2</v>
      </c>
      <c r="AG69" s="108">
        <f>AG61*AE67</f>
        <v>9.1598538039819096E-3</v>
      </c>
      <c r="AH69" s="108">
        <f>AH61*AE67</f>
        <v>1.36337405020679E-3</v>
      </c>
      <c r="AI69" s="107"/>
      <c r="AJ69" s="107"/>
      <c r="AK69" s="107"/>
      <c r="AL69" s="107"/>
      <c r="AM69" s="107"/>
      <c r="AN69" s="107"/>
    </row>
    <row r="70" spans="2:40" x14ac:dyDescent="0.3">
      <c r="B70" s="107"/>
      <c r="C70" s="92" t="s">
        <v>448</v>
      </c>
      <c r="D70" s="108">
        <f>D61*F67</f>
        <v>8.4342377402094524</v>
      </c>
      <c r="E70" s="108">
        <f>E61*F67</f>
        <v>5.3338205251379076</v>
      </c>
      <c r="F70" s="108">
        <f>F61*F67</f>
        <v>51.728255403039057</v>
      </c>
      <c r="G70" s="108">
        <f>G61*F67</f>
        <v>97.891384451159539</v>
      </c>
      <c r="H70" s="108">
        <f>H61*F67</f>
        <v>54.035186394095248</v>
      </c>
      <c r="I70" s="107"/>
      <c r="J70" s="107"/>
      <c r="K70" s="107"/>
      <c r="L70" s="107"/>
      <c r="M70" s="107"/>
      <c r="N70" s="107"/>
      <c r="O70" s="107"/>
      <c r="P70" s="92" t="s">
        <v>448</v>
      </c>
      <c r="Q70" s="108">
        <f>Q61*S67</f>
        <v>0</v>
      </c>
      <c r="R70" s="108">
        <f>R61*S67</f>
        <v>2.4785933621025702</v>
      </c>
      <c r="S70" s="108">
        <f>S61*S67</f>
        <v>11.757827261473944</v>
      </c>
      <c r="T70" s="108">
        <f>T61*S67</f>
        <v>7.4590168990774206</v>
      </c>
      <c r="U70" s="108">
        <f>U61*S67</f>
        <v>3.4855219154567405</v>
      </c>
      <c r="V70" s="107"/>
      <c r="W70" s="107"/>
      <c r="X70" s="107"/>
      <c r="Y70" s="107"/>
      <c r="Z70" s="107"/>
      <c r="AA70" s="107"/>
      <c r="AB70" s="107"/>
      <c r="AC70" s="92" t="s">
        <v>448</v>
      </c>
      <c r="AD70" s="108">
        <f>AD61*AF67</f>
        <v>0</v>
      </c>
      <c r="AE70" s="108">
        <f>AE61*AF67</f>
        <v>0.1253207656054631</v>
      </c>
      <c r="AF70" s="108">
        <f>AF61*AF67</f>
        <v>5.5663306723093182</v>
      </c>
      <c r="AG70" s="108">
        <f>AG61*AF67</f>
        <v>4.736080600173123</v>
      </c>
      <c r="AH70" s="108">
        <f>AH61*AF67</f>
        <v>0.70492930653072983</v>
      </c>
      <c r="AI70" s="107"/>
      <c r="AJ70" s="107"/>
      <c r="AK70" s="107"/>
      <c r="AL70" s="107"/>
      <c r="AM70" s="107"/>
      <c r="AN70" s="107"/>
    </row>
    <row r="71" spans="2:40" x14ac:dyDescent="0.3">
      <c r="B71" s="107"/>
      <c r="C71" s="124" t="s">
        <v>449</v>
      </c>
      <c r="D71" s="108">
        <f>D61*G67</f>
        <v>34.11915259477329</v>
      </c>
      <c r="E71" s="108">
        <f>E61*G67</f>
        <v>21.576986802579114</v>
      </c>
      <c r="F71" s="108">
        <f>F61*G67</f>
        <v>209.2571129627496</v>
      </c>
      <c r="G71" s="108">
        <f>G61*G67</f>
        <v>396.00153406628851</v>
      </c>
      <c r="H71" s="108">
        <f>H61*G67</f>
        <v>218.58937664014306</v>
      </c>
      <c r="I71" s="107"/>
      <c r="J71" s="107"/>
      <c r="K71" s="107"/>
      <c r="L71" s="107"/>
      <c r="M71" s="107"/>
      <c r="N71" s="107"/>
      <c r="O71" s="107"/>
      <c r="P71" s="124" t="s">
        <v>449</v>
      </c>
      <c r="Q71" s="108">
        <f>Q61*T67</f>
        <v>0</v>
      </c>
      <c r="R71" s="108">
        <f>R61*T67</f>
        <v>0.63533418592404645</v>
      </c>
      <c r="S71" s="108">
        <f>S61*T67</f>
        <v>3.0138665444771635</v>
      </c>
      <c r="T71" s="108">
        <f>T61*T67</f>
        <v>1.9119588157651768</v>
      </c>
      <c r="U71" s="108">
        <f>U61*T67</f>
        <v>0.8934386989556905</v>
      </c>
      <c r="V71" s="107"/>
      <c r="W71" s="107"/>
      <c r="X71" s="107"/>
      <c r="Y71" s="107"/>
      <c r="Z71" s="107"/>
      <c r="AA71" s="107"/>
      <c r="AB71" s="107"/>
      <c r="AC71" s="124" t="s">
        <v>449</v>
      </c>
      <c r="AD71" s="108">
        <f>AD61*AG67</f>
        <v>0</v>
      </c>
      <c r="AE71" s="108">
        <f>AE61*AG67</f>
        <v>0.11037414638838126</v>
      </c>
      <c r="AF71" s="108">
        <f>AF61*AG67</f>
        <v>4.9024516687505999</v>
      </c>
      <c r="AG71" s="108">
        <f>AG61*AG67</f>
        <v>4.1712229489275723</v>
      </c>
      <c r="AH71" s="108">
        <f>AH61*AG67</f>
        <v>0.62085457343464445</v>
      </c>
      <c r="AI71" s="107"/>
      <c r="AJ71" s="107"/>
      <c r="AK71" s="107"/>
      <c r="AL71" s="107"/>
      <c r="AM71" s="107"/>
      <c r="AN71" s="107"/>
    </row>
    <row r="72" spans="2:40" x14ac:dyDescent="0.3">
      <c r="B72" s="107"/>
      <c r="C72" s="123" t="s">
        <v>450</v>
      </c>
      <c r="D72" s="125">
        <f>D61*H67</f>
        <v>11.180174080343276</v>
      </c>
      <c r="E72" s="125">
        <f>E61*H67</f>
        <v>7.0703534594542852</v>
      </c>
      <c r="F72" s="125">
        <f>F61*H67</f>
        <v>68.569433076482412</v>
      </c>
      <c r="G72" s="125">
        <f>G61*H67</f>
        <v>129.7619005819717</v>
      </c>
      <c r="H72" s="125">
        <f>H61*H67</f>
        <v>71.627432016728847</v>
      </c>
      <c r="I72" s="107"/>
      <c r="J72" s="107"/>
      <c r="K72" s="107"/>
      <c r="L72" s="107"/>
      <c r="M72" s="107"/>
      <c r="N72" s="107"/>
      <c r="O72" s="107"/>
      <c r="P72" s="123" t="s">
        <v>450</v>
      </c>
      <c r="Q72" s="125">
        <f>Q61*U67</f>
        <v>0</v>
      </c>
      <c r="R72" s="125">
        <f>R61*U67</f>
        <v>5.6309285259983174E-2</v>
      </c>
      <c r="S72" s="125">
        <f>S61*U67</f>
        <v>0.26711717195204238</v>
      </c>
      <c r="T72" s="125">
        <f>T61*U67</f>
        <v>0.16945575532926183</v>
      </c>
      <c r="U72" s="125">
        <f>U61*U67</f>
        <v>7.9184932396851357E-2</v>
      </c>
      <c r="V72" s="107"/>
      <c r="W72" s="107"/>
      <c r="X72" s="107"/>
      <c r="Y72" s="107"/>
      <c r="Z72" s="107"/>
      <c r="AA72" s="107"/>
      <c r="AB72" s="107"/>
      <c r="AC72" s="123" t="s">
        <v>450</v>
      </c>
      <c r="AD72" s="125">
        <f>AD61*AH67</f>
        <v>0</v>
      </c>
      <c r="AE72" s="125">
        <f>AE61*AH67</f>
        <v>4.06271039722997E-3</v>
      </c>
      <c r="AF72" s="125">
        <f>AF61*AH67</f>
        <v>0.18045205347696447</v>
      </c>
      <c r="AG72" s="125">
        <f>AG61*AH67</f>
        <v>0.15353659709531586</v>
      </c>
      <c r="AH72" s="125">
        <f>AH61*AH67</f>
        <v>2.2852745984418579E-2</v>
      </c>
      <c r="AI72" s="107"/>
      <c r="AJ72" s="107"/>
      <c r="AK72" s="107"/>
      <c r="AL72" s="107"/>
      <c r="AM72" s="107"/>
      <c r="AN72" s="107"/>
    </row>
    <row r="73" spans="2:40" x14ac:dyDescent="0.3">
      <c r="B73" s="107"/>
      <c r="C73" s="107" t="s">
        <v>36</v>
      </c>
      <c r="D73" s="108">
        <f>SUM(D68:D72)</f>
        <v>55.06</v>
      </c>
      <c r="E73" s="108">
        <f>SUM(E68:E72)</f>
        <v>34.820000000000007</v>
      </c>
      <c r="F73" s="108">
        <f>SUM(F68:F72)</f>
        <v>337.69000000000005</v>
      </c>
      <c r="G73" s="108">
        <f t="shared" ref="G73:H73" si="38">SUM(G68:G72)</f>
        <v>639.04999999999927</v>
      </c>
      <c r="H73" s="108">
        <f t="shared" si="38"/>
        <v>352.75</v>
      </c>
      <c r="I73" s="107"/>
      <c r="J73" s="107"/>
      <c r="K73" s="107"/>
      <c r="L73" s="107"/>
      <c r="M73" s="107"/>
      <c r="N73" s="107"/>
      <c r="O73" s="107"/>
      <c r="P73" s="107" t="s">
        <v>36</v>
      </c>
      <c r="Q73" s="108">
        <f>SUM(Q68:Q72)</f>
        <v>0</v>
      </c>
      <c r="R73" s="108">
        <f>SUM(R68:R72)</f>
        <v>3.1999999999999993</v>
      </c>
      <c r="S73" s="108">
        <f>SUM(S68:S72)</f>
        <v>15.179999999999838</v>
      </c>
      <c r="T73" s="108">
        <f t="shared" ref="T73:U73" si="39">SUM(T68:T72)</f>
        <v>9.6299999999999955</v>
      </c>
      <c r="U73" s="108">
        <f t="shared" si="39"/>
        <v>4.5</v>
      </c>
      <c r="V73" s="107"/>
      <c r="W73" s="107"/>
      <c r="X73" s="107"/>
      <c r="Y73" s="107"/>
      <c r="Z73" s="107"/>
      <c r="AA73" s="107"/>
      <c r="AB73" s="107"/>
      <c r="AC73" s="107" t="s">
        <v>36</v>
      </c>
      <c r="AD73" s="108">
        <f>SUM(AD68:AD72)</f>
        <v>0</v>
      </c>
      <c r="AE73" s="108">
        <f>SUM(AE68:AE72)</f>
        <v>0.23999999999999996</v>
      </c>
      <c r="AF73" s="108">
        <f>SUM(AF68:AF72)</f>
        <v>10.659999999999997</v>
      </c>
      <c r="AG73" s="108">
        <f t="shared" ref="AG73:AH73" si="40">SUM(AG68:AG72)</f>
        <v>9.0699999999999932</v>
      </c>
      <c r="AH73" s="108">
        <f t="shared" si="40"/>
        <v>1.3499999999999996</v>
      </c>
      <c r="AI73" s="107"/>
      <c r="AJ73" s="107"/>
      <c r="AK73" s="107"/>
      <c r="AL73" s="107"/>
      <c r="AM73" s="107"/>
      <c r="AN73" s="107"/>
    </row>
    <row r="74" spans="2:40" x14ac:dyDescent="0.3">
      <c r="B74" s="107" t="s">
        <v>650</v>
      </c>
      <c r="C74" s="211" t="s">
        <v>451</v>
      </c>
      <c r="D74" s="125">
        <f>I59*D67</f>
        <v>2.080408711076831</v>
      </c>
      <c r="E74" s="125">
        <f>I59*E67</f>
        <v>0.53849452920490648</v>
      </c>
      <c r="F74" s="125">
        <f>I59*F67</f>
        <v>16.652487917511678</v>
      </c>
      <c r="G74" s="125">
        <f>I59*G67</f>
        <v>67.364567355210653</v>
      </c>
      <c r="H74" s="125">
        <f>I59*H67</f>
        <v>22.074041486998699</v>
      </c>
      <c r="I74" s="226">
        <f>SUM(D74:H74)</f>
        <v>108.71000000000276</v>
      </c>
      <c r="J74" s="107"/>
      <c r="K74" s="140"/>
      <c r="L74" s="140"/>
      <c r="M74" s="107"/>
      <c r="N74" s="107"/>
      <c r="O74" s="107" t="s">
        <v>650</v>
      </c>
      <c r="P74" s="211" t="s">
        <v>451</v>
      </c>
      <c r="Q74" s="125">
        <f>V59*Q67</f>
        <v>4.8826775907702723E-3</v>
      </c>
      <c r="R74" s="125">
        <f>V59*R67</f>
        <v>5.6038804275721193E-2</v>
      </c>
      <c r="S74" s="125">
        <f>V59*S67</f>
        <v>5.0733707880538406</v>
      </c>
      <c r="T74" s="125">
        <f>V59*T67</f>
        <v>1.300449661813319</v>
      </c>
      <c r="U74" s="125">
        <f>V59*U67</f>
        <v>0.11525806826653129</v>
      </c>
      <c r="V74" s="226">
        <f>SUM(Q74:U74)</f>
        <v>6.5500000000001819</v>
      </c>
      <c r="W74" s="107"/>
      <c r="X74" s="140"/>
      <c r="Y74" s="140"/>
      <c r="Z74" s="107"/>
      <c r="AA74" s="107"/>
      <c r="AB74" s="107" t="s">
        <v>650</v>
      </c>
      <c r="AC74" s="211" t="s">
        <v>451</v>
      </c>
      <c r="AD74" s="125">
        <f>AI59*AD67</f>
        <v>0</v>
      </c>
      <c r="AE74" s="125">
        <f>AI59*AE67</f>
        <v>1.9087236702894927E-3</v>
      </c>
      <c r="AF74" s="125">
        <f>AI59*AF67</f>
        <v>0.98690102914301481</v>
      </c>
      <c r="AG74" s="125">
        <f>AI59*AG67</f>
        <v>0.86919640280849619</v>
      </c>
      <c r="AH74" s="125">
        <f>AI59*AH67</f>
        <v>3.1993844378185789E-2</v>
      </c>
      <c r="AI74" s="226">
        <f>SUM(AD74:AH74)</f>
        <v>1.8899999999999861</v>
      </c>
      <c r="AJ74" s="107"/>
      <c r="AK74" s="140"/>
      <c r="AL74" s="140"/>
      <c r="AM74" s="107"/>
      <c r="AN74" s="107"/>
    </row>
    <row r="75" spans="2:40" x14ac:dyDescent="0.3">
      <c r="B75" s="107" t="s">
        <v>651</v>
      </c>
      <c r="C75" s="107" t="s">
        <v>652</v>
      </c>
      <c r="D75" s="108">
        <f>SUM(D68:H68)+D74</f>
        <v>29.243224572000805</v>
      </c>
      <c r="E75" s="108">
        <f>SUM(D69:H69)+E74</f>
        <v>7.5693378731249537</v>
      </c>
      <c r="F75" s="108">
        <f>SUM(D70:H70)+F74</f>
        <v>234.07537243115291</v>
      </c>
      <c r="G75" s="108">
        <f>SUM(D71:H71)+G74</f>
        <v>946.90873042174417</v>
      </c>
      <c r="H75" s="108">
        <f>SUM(D72:H72)+H74</f>
        <v>310.28333470197919</v>
      </c>
      <c r="I75" s="107"/>
      <c r="J75" s="107"/>
      <c r="K75" s="108">
        <f>D75+E75+G75+H75</f>
        <v>1294.0046275688492</v>
      </c>
      <c r="L75" s="108">
        <f>F75</f>
        <v>234.07537243115291</v>
      </c>
      <c r="M75" s="107"/>
      <c r="N75" s="107"/>
      <c r="O75" s="107" t="s">
        <v>651</v>
      </c>
      <c r="P75" s="107" t="s">
        <v>652</v>
      </c>
      <c r="Q75" s="108">
        <f>SUM(Q68:U68)+Q74</f>
        <v>2.9117158274119329E-2</v>
      </c>
      <c r="R75" s="108">
        <f>SUM(Q69:U69)+R74</f>
        <v>0.33417949542131442</v>
      </c>
      <c r="S75" s="108">
        <f>SUM(Q70:U70)+S74</f>
        <v>30.254330226164512</v>
      </c>
      <c r="T75" s="108">
        <f>SUM(Q71:U71)+T74</f>
        <v>7.7550479069353964</v>
      </c>
      <c r="U75" s="108">
        <f>SUM(Q72:U72)+U74</f>
        <v>0.68732521320466999</v>
      </c>
      <c r="V75" s="107"/>
      <c r="W75" s="107"/>
      <c r="X75" s="108">
        <f>Q75+R75+T75+U75</f>
        <v>8.8056697738354988</v>
      </c>
      <c r="Y75" s="108">
        <f>S75</f>
        <v>30.254330226164512</v>
      </c>
      <c r="Z75" s="107"/>
      <c r="AA75" s="107"/>
      <c r="AB75" s="107" t="s">
        <v>651</v>
      </c>
      <c r="AC75" s="107" t="s">
        <v>652</v>
      </c>
      <c r="AD75" s="108">
        <f>SUM(AD68:AH68)+AD74</f>
        <v>0</v>
      </c>
      <c r="AE75" s="108">
        <f>SUM(AD69:AH69)+AE74</f>
        <v>2.3439934596518198E-2</v>
      </c>
      <c r="AF75" s="108">
        <f>SUM(AD70:AH70)+AF74</f>
        <v>12.119562373761648</v>
      </c>
      <c r="AG75" s="108">
        <f>SUM(AD71:AH71)+AG74</f>
        <v>10.674099740309694</v>
      </c>
      <c r="AH75" s="108">
        <f>SUM(AD72:AH72)+AH74</f>
        <v>0.39289795133211464</v>
      </c>
      <c r="AI75" s="107"/>
      <c r="AJ75" s="107"/>
      <c r="AK75" s="108">
        <f>AD75+AE75+AG75+AH75</f>
        <v>11.090437626238328</v>
      </c>
      <c r="AL75" s="108">
        <f>AF75</f>
        <v>12.119562373761648</v>
      </c>
      <c r="AM75" s="107"/>
      <c r="AN75" s="107"/>
    </row>
    <row r="76" spans="2:40" x14ac:dyDescent="0.3">
      <c r="B76" s="107" t="s">
        <v>651</v>
      </c>
      <c r="C76" s="107" t="s">
        <v>653</v>
      </c>
      <c r="D76" s="145">
        <f>D75/$N$2</f>
        <v>1.1812604473672311E-3</v>
      </c>
      <c r="E76" s="145">
        <f t="shared" ref="E76:H76" si="41">E75/$N$2</f>
        <v>3.0575832772020275E-4</v>
      </c>
      <c r="F76" s="145">
        <f t="shared" si="41"/>
        <v>9.4553177087186267E-3</v>
      </c>
      <c r="G76" s="145">
        <f t="shared" si="41"/>
        <v>3.8249743210086631E-2</v>
      </c>
      <c r="H76" s="145">
        <f t="shared" si="41"/>
        <v>1.2533687242944794E-2</v>
      </c>
      <c r="I76" s="107"/>
      <c r="J76" s="107"/>
      <c r="K76" s="151">
        <f>K75/$N$2</f>
        <v>5.2270449228118861E-2</v>
      </c>
      <c r="L76" s="146">
        <f>L75/$N$2</f>
        <v>9.4553177087186267E-3</v>
      </c>
      <c r="M76" s="107"/>
      <c r="N76" s="107"/>
      <c r="O76" s="107" t="s">
        <v>651</v>
      </c>
      <c r="P76" s="107" t="s">
        <v>653</v>
      </c>
      <c r="Q76" s="145">
        <f>Q75/$N$3</f>
        <v>1.9824313212587033E-5</v>
      </c>
      <c r="R76" s="145">
        <f t="shared" ref="R76:U76" si="42">R75/$N$3</f>
        <v>2.2752491586189332E-4</v>
      </c>
      <c r="S76" s="145">
        <f t="shared" si="42"/>
        <v>2.0598552674476779E-2</v>
      </c>
      <c r="T76" s="145">
        <f t="shared" si="42"/>
        <v>5.2799966685744409E-3</v>
      </c>
      <c r="U76" s="145">
        <f t="shared" si="42"/>
        <v>4.6796291647693974E-4</v>
      </c>
      <c r="V76" s="107"/>
      <c r="W76" s="107"/>
      <c r="X76" s="151">
        <f>X75/$N$3</f>
        <v>5.9953088141258609E-3</v>
      </c>
      <c r="Y76" s="151">
        <f>Y75/$N$3</f>
        <v>2.0598552674476779E-2</v>
      </c>
      <c r="Z76" s="107"/>
      <c r="AA76" s="107"/>
      <c r="AB76" s="107" t="s">
        <v>651</v>
      </c>
      <c r="AC76" s="107" t="s">
        <v>653</v>
      </c>
      <c r="AD76" s="145">
        <f>AD75/$N$4</f>
        <v>0</v>
      </c>
      <c r="AE76" s="145">
        <f t="shared" ref="AE76:AH76" si="43">AE75/$N$4</f>
        <v>5.6107270978093686E-5</v>
      </c>
      <c r="AF76" s="145">
        <f t="shared" si="43"/>
        <v>2.9010130870482917E-2</v>
      </c>
      <c r="AG76" s="145">
        <f t="shared" si="43"/>
        <v>2.5550182493500478E-2</v>
      </c>
      <c r="AH76" s="145">
        <f t="shared" si="43"/>
        <v>9.4046473258518957E-4</v>
      </c>
      <c r="AI76" s="107"/>
      <c r="AJ76" s="107"/>
      <c r="AK76" s="151">
        <f>AK75/$N$4</f>
        <v>2.6546754497063764E-2</v>
      </c>
      <c r="AL76" s="151">
        <f>AL75/$N$4</f>
        <v>2.9010130870482917E-2</v>
      </c>
      <c r="AM76" s="107"/>
      <c r="AN76" s="107"/>
    </row>
    <row r="79" spans="2:40" x14ac:dyDescent="0.3">
      <c r="D79" t="s">
        <v>406</v>
      </c>
      <c r="E79" t="s">
        <v>407</v>
      </c>
      <c r="F79" t="s">
        <v>408</v>
      </c>
      <c r="G79" t="s">
        <v>409</v>
      </c>
      <c r="H79" t="s">
        <v>410</v>
      </c>
      <c r="Q79" t="s">
        <v>406</v>
      </c>
      <c r="R79" t="s">
        <v>407</v>
      </c>
      <c r="S79" t="s">
        <v>408</v>
      </c>
      <c r="T79" t="s">
        <v>409</v>
      </c>
      <c r="U79" t="s">
        <v>410</v>
      </c>
      <c r="AD79" t="s">
        <v>406</v>
      </c>
      <c r="AE79" t="s">
        <v>407</v>
      </c>
      <c r="AF79" t="s">
        <v>408</v>
      </c>
      <c r="AG79" t="s">
        <v>409</v>
      </c>
      <c r="AH79" t="s">
        <v>410</v>
      </c>
    </row>
    <row r="80" spans="2:40" x14ac:dyDescent="0.3">
      <c r="B80" s="118" t="s">
        <v>352</v>
      </c>
      <c r="C80" s="8">
        <v>20</v>
      </c>
      <c r="D80" s="90" t="s">
        <v>447</v>
      </c>
      <c r="E80" s="91" t="s">
        <v>446</v>
      </c>
      <c r="F80" s="92" t="s">
        <v>448</v>
      </c>
      <c r="G80" s="124" t="s">
        <v>449</v>
      </c>
      <c r="H80" s="123" t="s">
        <v>450</v>
      </c>
      <c r="I80" s="211" t="s">
        <v>451</v>
      </c>
      <c r="J80" s="212" t="s">
        <v>514</v>
      </c>
      <c r="K80" s="213" t="s">
        <v>515</v>
      </c>
      <c r="L80" s="214" t="s">
        <v>448</v>
      </c>
      <c r="Q80" s="90" t="s">
        <v>447</v>
      </c>
      <c r="R80" s="91" t="s">
        <v>446</v>
      </c>
      <c r="S80" s="92" t="s">
        <v>448</v>
      </c>
      <c r="T80" s="124" t="s">
        <v>449</v>
      </c>
      <c r="U80" s="123" t="s">
        <v>450</v>
      </c>
      <c r="V80" s="211" t="s">
        <v>451</v>
      </c>
      <c r="W80" s="212" t="s">
        <v>514</v>
      </c>
      <c r="X80" s="213" t="s">
        <v>515</v>
      </c>
      <c r="Y80" s="214" t="s">
        <v>448</v>
      </c>
      <c r="AD80" s="90" t="s">
        <v>447</v>
      </c>
      <c r="AE80" s="91" t="s">
        <v>446</v>
      </c>
      <c r="AF80" s="92" t="s">
        <v>448</v>
      </c>
      <c r="AG80" s="124" t="s">
        <v>449</v>
      </c>
      <c r="AH80" s="123" t="s">
        <v>450</v>
      </c>
      <c r="AI80" s="211" t="s">
        <v>451</v>
      </c>
      <c r="AJ80" s="212" t="s">
        <v>514</v>
      </c>
      <c r="AK80" s="213" t="s">
        <v>515</v>
      </c>
      <c r="AL80" s="214" t="s">
        <v>448</v>
      </c>
    </row>
    <row r="81" spans="2:40" x14ac:dyDescent="0.3">
      <c r="B81" s="119" t="s">
        <v>661</v>
      </c>
      <c r="C81" s="107"/>
      <c r="D81" s="116"/>
      <c r="E81" s="116"/>
      <c r="F81" s="116"/>
      <c r="G81" s="116"/>
      <c r="H81" s="116"/>
      <c r="I81" s="107"/>
      <c r="J81" s="107"/>
      <c r="K81" s="107"/>
      <c r="L81" s="107"/>
      <c r="M81" s="107"/>
      <c r="N81" s="107"/>
      <c r="O81" s="119" t="s">
        <v>698</v>
      </c>
      <c r="P81" s="107"/>
      <c r="Q81" s="116"/>
      <c r="R81" s="116"/>
      <c r="S81" s="116"/>
      <c r="T81" s="116"/>
      <c r="U81" s="116"/>
      <c r="V81" s="107"/>
      <c r="W81" s="107"/>
      <c r="X81" s="107"/>
      <c r="Y81" s="107"/>
      <c r="Z81" s="107"/>
      <c r="AA81" s="107"/>
      <c r="AB81" s="119" t="s">
        <v>772</v>
      </c>
      <c r="AC81" s="107"/>
      <c r="AD81" s="116"/>
      <c r="AE81" s="116"/>
      <c r="AF81" s="116"/>
      <c r="AG81" s="116"/>
      <c r="AH81" s="116"/>
      <c r="AI81" s="107"/>
      <c r="AJ81" s="107"/>
      <c r="AK81" s="107"/>
      <c r="AL81" s="107"/>
      <c r="AM81" s="107"/>
      <c r="AN81" s="107"/>
    </row>
    <row r="82" spans="2:40" x14ac:dyDescent="0.3">
      <c r="B82" s="115" t="s">
        <v>375</v>
      </c>
      <c r="C82" s="122" t="s">
        <v>9</v>
      </c>
      <c r="D82" s="135">
        <f>'91T_Seeds'!AL127</f>
        <v>191.1</v>
      </c>
      <c r="E82" s="135">
        <f>'91T_Seeds'!AM127</f>
        <v>162.35</v>
      </c>
      <c r="F82" s="135">
        <f>'91T_Seeds'!AN127</f>
        <v>3521.34</v>
      </c>
      <c r="G82" s="135">
        <f>'91T_Seeds'!AO127</f>
        <v>12421.18</v>
      </c>
      <c r="H82" s="135">
        <f>'91T_Seeds'!AP127</f>
        <v>4929.2</v>
      </c>
      <c r="I82" s="108">
        <f>$N$2-N82</f>
        <v>3530.7799999999988</v>
      </c>
      <c r="J82" s="108"/>
      <c r="K82" s="108">
        <f>D82+E82+G82+H82</f>
        <v>17703.830000000002</v>
      </c>
      <c r="L82" s="108">
        <f>F82</f>
        <v>3521.34</v>
      </c>
      <c r="M82" s="115" t="s">
        <v>36</v>
      </c>
      <c r="N82" s="136">
        <f>SUM(D82:H82)</f>
        <v>21225.170000000002</v>
      </c>
      <c r="O82" s="115" t="s">
        <v>375</v>
      </c>
      <c r="P82" s="122" t="s">
        <v>9</v>
      </c>
      <c r="Q82" s="135">
        <f>'91T_Seeds'!AL132</f>
        <v>0.6</v>
      </c>
      <c r="R82" s="135">
        <f>'91T_Seeds'!AM132</f>
        <v>29.55</v>
      </c>
      <c r="S82" s="135">
        <f>'91T_Seeds'!AN132</f>
        <v>1028.96</v>
      </c>
      <c r="T82" s="135">
        <f>'91T_Seeds'!AO132</f>
        <v>67.13</v>
      </c>
      <c r="U82" s="135">
        <f>'91T_Seeds'!AP132</f>
        <v>25.35</v>
      </c>
      <c r="V82" s="108">
        <f>$N$3-AA82</f>
        <v>317.16999999999985</v>
      </c>
      <c r="W82" s="108"/>
      <c r="X82" s="108">
        <f>Q82+R82+T82+U82</f>
        <v>122.63</v>
      </c>
      <c r="Y82" s="108">
        <f>S82</f>
        <v>1028.96</v>
      </c>
      <c r="Z82" s="115" t="s">
        <v>36</v>
      </c>
      <c r="AA82" s="136">
        <f>SUM(Q82:U82)</f>
        <v>1151.5900000000001</v>
      </c>
      <c r="AB82" s="115" t="s">
        <v>375</v>
      </c>
      <c r="AC82" s="122" t="s">
        <v>9</v>
      </c>
      <c r="AD82" s="135">
        <v>0</v>
      </c>
      <c r="AE82" s="135">
        <v>0</v>
      </c>
      <c r="AF82" s="135">
        <v>253.12</v>
      </c>
      <c r="AG82" s="135">
        <v>151.71</v>
      </c>
      <c r="AH82" s="135">
        <v>11.05</v>
      </c>
      <c r="AI82" s="108">
        <f>$N$4-AN82</f>
        <v>1.8899999999999295</v>
      </c>
      <c r="AJ82" s="108"/>
      <c r="AK82" s="108">
        <f>AD82+AE82+AG82+AH82</f>
        <v>162.76000000000002</v>
      </c>
      <c r="AL82" s="108">
        <f>AF82</f>
        <v>253.12</v>
      </c>
      <c r="AM82" s="115" t="s">
        <v>36</v>
      </c>
      <c r="AN82" s="136">
        <f>SUM(AD82:AH82)</f>
        <v>415.88000000000005</v>
      </c>
    </row>
    <row r="83" spans="2:40" x14ac:dyDescent="0.3">
      <c r="B83" s="107"/>
      <c r="C83" s="140" t="s">
        <v>456</v>
      </c>
      <c r="D83" s="150">
        <f t="shared" ref="D83:I83" si="44">D82/$N$2</f>
        <v>7.7193563567546381E-3</v>
      </c>
      <c r="E83" s="150">
        <f t="shared" si="44"/>
        <v>6.5580193852386994E-3</v>
      </c>
      <c r="F83" s="150">
        <f t="shared" si="44"/>
        <v>0.14224216804444992</v>
      </c>
      <c r="G83" s="150">
        <f t="shared" si="44"/>
        <v>0.50174523700362939</v>
      </c>
      <c r="H83" s="150">
        <f t="shared" si="44"/>
        <v>0.19911172869552571</v>
      </c>
      <c r="I83" s="150">
        <f t="shared" si="44"/>
        <v>0.14262349051440154</v>
      </c>
      <c r="J83" s="150"/>
      <c r="K83" s="150">
        <f>K82/$N$2</f>
        <v>0.71513434144114851</v>
      </c>
      <c r="L83" s="150">
        <f>L82/$N$2</f>
        <v>0.14224216804444992</v>
      </c>
      <c r="M83" s="144">
        <f>SUM(D83:I83)</f>
        <v>1</v>
      </c>
      <c r="N83" s="141"/>
      <c r="O83" s="107"/>
      <c r="P83" s="107" t="s">
        <v>367</v>
      </c>
      <c r="Q83" s="150">
        <f t="shared" ref="Q83:V83" si="45">Q82/$N$3</f>
        <v>4.0850785696778234E-4</v>
      </c>
      <c r="R83" s="150">
        <f t="shared" si="45"/>
        <v>2.011901195566328E-2</v>
      </c>
      <c r="S83" s="150">
        <f t="shared" si="45"/>
        <v>0.70056374084261552</v>
      </c>
      <c r="T83" s="150">
        <f t="shared" si="45"/>
        <v>4.5705220730412048E-2</v>
      </c>
      <c r="U83" s="150">
        <f t="shared" si="45"/>
        <v>1.7259456956888804E-2</v>
      </c>
      <c r="V83" s="150">
        <f t="shared" si="45"/>
        <v>0.21594406165745245</v>
      </c>
      <c r="W83" s="150"/>
      <c r="X83" s="150">
        <f>X82/$N$3</f>
        <v>8.3492197499931919E-2</v>
      </c>
      <c r="Y83" s="150">
        <f>Y82/$N$3</f>
        <v>0.70056374084261552</v>
      </c>
      <c r="Z83" s="144">
        <f>SUM(Q83:V83)</f>
        <v>0.99999999999999978</v>
      </c>
      <c r="AA83" s="107"/>
      <c r="AB83" s="107"/>
      <c r="AC83" s="140" t="s">
        <v>455</v>
      </c>
      <c r="AD83" s="150">
        <f>AD82/$N$4</f>
        <v>0</v>
      </c>
      <c r="AE83" s="150">
        <f t="shared" ref="AE83:AI83" si="46">AE82/$N$4</f>
        <v>0</v>
      </c>
      <c r="AF83" s="150">
        <f t="shared" si="46"/>
        <v>0.60588362017377984</v>
      </c>
      <c r="AG83" s="150">
        <f t="shared" si="46"/>
        <v>0.36314239892763966</v>
      </c>
      <c r="AH83" s="150">
        <f t="shared" si="46"/>
        <v>2.6449960504583866E-2</v>
      </c>
      <c r="AI83" s="150">
        <f t="shared" si="46"/>
        <v>4.5240203939965282E-3</v>
      </c>
      <c r="AJ83" s="150"/>
      <c r="AK83" s="150">
        <f t="shared" ref="AK83:AL83" si="47">AK82/$N$4</f>
        <v>0.38959235943222353</v>
      </c>
      <c r="AL83" s="150">
        <f t="shared" si="47"/>
        <v>0.60588362017377984</v>
      </c>
      <c r="AM83" s="144">
        <f>SUM(AD83:AI83)</f>
        <v>0.99999999999999989</v>
      </c>
      <c r="AN83" s="107"/>
    </row>
    <row r="84" spans="2:40" x14ac:dyDescent="0.3">
      <c r="B84" s="107" t="s">
        <v>513</v>
      </c>
      <c r="C84" s="107" t="s">
        <v>9</v>
      </c>
      <c r="D84" s="108">
        <v>182.01</v>
      </c>
      <c r="E84" s="108">
        <v>107.43</v>
      </c>
      <c r="F84" s="108">
        <v>3318.4</v>
      </c>
      <c r="G84" s="108">
        <v>11975.53</v>
      </c>
      <c r="H84" s="108">
        <v>4617.2299999999996</v>
      </c>
      <c r="I84" s="108">
        <f>I82</f>
        <v>3530.7799999999988</v>
      </c>
      <c r="J84" s="108">
        <f>SUM(D82:H82)-SUM(D84:H84)</f>
        <v>1024.5700000000033</v>
      </c>
      <c r="K84" s="108">
        <f>D84+E84+G84+H84</f>
        <v>16882.2</v>
      </c>
      <c r="L84" s="108">
        <f>F84</f>
        <v>3318.4</v>
      </c>
      <c r="M84" s="115" t="s">
        <v>524</v>
      </c>
      <c r="N84" s="195">
        <f>SUM(D84:H84)</f>
        <v>20200.599999999999</v>
      </c>
      <c r="O84" s="107" t="s">
        <v>513</v>
      </c>
      <c r="P84" s="122" t="s">
        <v>9</v>
      </c>
      <c r="Q84" s="108">
        <v>0.51</v>
      </c>
      <c r="R84" s="108">
        <v>24.6</v>
      </c>
      <c r="S84" s="108">
        <v>1020.56</v>
      </c>
      <c r="T84" s="108">
        <v>62.56</v>
      </c>
      <c r="U84" s="108">
        <v>21.31</v>
      </c>
      <c r="V84" s="108">
        <f>V82</f>
        <v>317.16999999999985</v>
      </c>
      <c r="W84" s="108">
        <f>SUM(Q82:U82)-SUM(Q84:U84)</f>
        <v>22.050000000000409</v>
      </c>
      <c r="X84" s="108">
        <f>Q84+R84+T84+U84</f>
        <v>108.98</v>
      </c>
      <c r="Y84" s="108">
        <f>S84</f>
        <v>1020.56</v>
      </c>
      <c r="Z84" s="115" t="s">
        <v>524</v>
      </c>
      <c r="AA84" s="195">
        <f>SUM(Q84:U84)</f>
        <v>1129.5399999999997</v>
      </c>
      <c r="AB84" s="107" t="s">
        <v>513</v>
      </c>
      <c r="AC84" s="122" t="s">
        <v>9</v>
      </c>
      <c r="AD84" s="108">
        <v>0</v>
      </c>
      <c r="AE84" s="108">
        <v>0</v>
      </c>
      <c r="AF84" s="108">
        <v>248.83</v>
      </c>
      <c r="AG84" s="108">
        <v>147.83000000000001</v>
      </c>
      <c r="AH84" s="108">
        <v>9.39</v>
      </c>
      <c r="AI84" s="108">
        <f>AI82</f>
        <v>1.8899999999999295</v>
      </c>
      <c r="AJ84" s="108">
        <f>SUM(AD82:AH82)-SUM(AD84:AH84)</f>
        <v>9.8300000000000409</v>
      </c>
      <c r="AK84" s="108">
        <f>AD84+AE84+AG84+AH84</f>
        <v>157.22000000000003</v>
      </c>
      <c r="AL84" s="108">
        <f>AF84</f>
        <v>248.83</v>
      </c>
      <c r="AM84" s="115" t="s">
        <v>524</v>
      </c>
      <c r="AN84" s="195">
        <f>SUM(AD84:AH84)</f>
        <v>406.05</v>
      </c>
    </row>
    <row r="85" spans="2:40" x14ac:dyDescent="0.3">
      <c r="B85" s="107"/>
      <c r="C85" s="140" t="s">
        <v>455</v>
      </c>
      <c r="D85" s="150">
        <f t="shared" ref="D85:L85" si="48">D84/$N$2</f>
        <v>7.3521719021083813E-3</v>
      </c>
      <c r="E85" s="150">
        <f t="shared" si="48"/>
        <v>4.3395628121724273E-3</v>
      </c>
      <c r="F85" s="150">
        <f t="shared" si="48"/>
        <v>0.13404454282707792</v>
      </c>
      <c r="G85" s="150">
        <f t="shared" si="48"/>
        <v>0.48374350408689631</v>
      </c>
      <c r="H85" s="150">
        <f t="shared" si="48"/>
        <v>0.18650990973887083</v>
      </c>
      <c r="I85" s="150">
        <f t="shared" si="48"/>
        <v>0.14262349051440154</v>
      </c>
      <c r="J85" s="150">
        <f t="shared" si="48"/>
        <v>4.1386818118472661E-2</v>
      </c>
      <c r="K85" s="150">
        <f t="shared" si="48"/>
        <v>0.68194514854004795</v>
      </c>
      <c r="L85" s="150">
        <f t="shared" si="48"/>
        <v>0.13404454282707792</v>
      </c>
      <c r="M85" s="144">
        <f>SUM(D85:J85)</f>
        <v>1</v>
      </c>
      <c r="N85" s="194">
        <f>N84/N82</f>
        <v>0.95172853739216212</v>
      </c>
      <c r="O85" s="107"/>
      <c r="P85" s="140" t="s">
        <v>455</v>
      </c>
      <c r="Q85" s="150">
        <f t="shared" ref="Q85:Y85" si="49">Q84/$N$3</f>
        <v>3.47231678422615E-4</v>
      </c>
      <c r="R85" s="150">
        <f t="shared" si="49"/>
        <v>1.6748822135679076E-2</v>
      </c>
      <c r="S85" s="150">
        <f t="shared" si="49"/>
        <v>0.69484463084506654</v>
      </c>
      <c r="T85" s="150">
        <f t="shared" si="49"/>
        <v>4.2593752553174109E-2</v>
      </c>
      <c r="U85" s="150">
        <f t="shared" si="49"/>
        <v>1.4508837386639068E-2</v>
      </c>
      <c r="V85" s="150">
        <f t="shared" si="49"/>
        <v>0.21594406165745245</v>
      </c>
      <c r="W85" s="150">
        <f t="shared" si="49"/>
        <v>1.501266374356628E-2</v>
      </c>
      <c r="X85" s="150">
        <f t="shared" si="49"/>
        <v>7.419864375391487E-2</v>
      </c>
      <c r="Y85" s="150">
        <f t="shared" si="49"/>
        <v>0.69484463084506654</v>
      </c>
      <c r="Z85" s="144">
        <f>SUM(Q85:W85)</f>
        <v>1.0000000000000002</v>
      </c>
      <c r="AA85" s="194">
        <f>AA84/AA82</f>
        <v>0.98085256037304913</v>
      </c>
      <c r="AB85" s="107"/>
      <c r="AC85" s="140" t="s">
        <v>455</v>
      </c>
      <c r="AD85" s="150">
        <f t="shared" ref="AD85:AL85" si="50">AD84/$N$4</f>
        <v>0</v>
      </c>
      <c r="AE85" s="150">
        <f t="shared" si="50"/>
        <v>0</v>
      </c>
      <c r="AF85" s="150">
        <f t="shared" si="50"/>
        <v>0.59561481197788257</v>
      </c>
      <c r="AG85" s="150">
        <f t="shared" si="50"/>
        <v>0.35385499198123371</v>
      </c>
      <c r="AH85" s="150">
        <f t="shared" si="50"/>
        <v>2.2476482274935972E-2</v>
      </c>
      <c r="AI85" s="150">
        <f t="shared" si="50"/>
        <v>4.5240203939965282E-3</v>
      </c>
      <c r="AJ85" s="150">
        <f t="shared" si="50"/>
        <v>2.3529693371951172E-2</v>
      </c>
      <c r="AK85" s="150">
        <f t="shared" si="50"/>
        <v>0.37633147425616975</v>
      </c>
      <c r="AL85" s="150">
        <f t="shared" si="50"/>
        <v>0.59561481197788257</v>
      </c>
      <c r="AM85" s="144">
        <f>SUM(AD85:AJ85)</f>
        <v>1</v>
      </c>
      <c r="AN85" s="194">
        <f>AN84/AN82</f>
        <v>0.97636337405020668</v>
      </c>
    </row>
    <row r="86" spans="2:40" x14ac:dyDescent="0.3">
      <c r="B86" s="107"/>
      <c r="C86" s="107" t="s">
        <v>516</v>
      </c>
      <c r="D86" s="112">
        <f>D82-D84</f>
        <v>9.0900000000000034</v>
      </c>
      <c r="E86" s="112">
        <f>E82-E84</f>
        <v>54.919999999999987</v>
      </c>
      <c r="F86" s="112">
        <f>F82-F84</f>
        <v>202.94000000000005</v>
      </c>
      <c r="G86" s="112">
        <f>G82-G84</f>
        <v>445.64999999999964</v>
      </c>
      <c r="H86" s="112">
        <f>H82-H84</f>
        <v>311.97000000000025</v>
      </c>
      <c r="I86" s="146"/>
      <c r="J86" s="146"/>
      <c r="K86" s="112">
        <f>K82-K84</f>
        <v>821.63000000000102</v>
      </c>
      <c r="L86" s="108">
        <f>F86</f>
        <v>202.94000000000005</v>
      </c>
      <c r="M86" s="144"/>
      <c r="N86" s="107"/>
      <c r="O86" s="107"/>
      <c r="P86" s="107" t="s">
        <v>516</v>
      </c>
      <c r="Q86" s="112">
        <f>Q82-Q84</f>
        <v>8.9999999999999969E-2</v>
      </c>
      <c r="R86" s="112">
        <f>R82-R84</f>
        <v>4.9499999999999993</v>
      </c>
      <c r="S86" s="112">
        <f>S82-S84</f>
        <v>8.4000000000000909</v>
      </c>
      <c r="T86" s="112">
        <f>T82-T84</f>
        <v>4.5699999999999932</v>
      </c>
      <c r="U86" s="112">
        <f>U82-U84</f>
        <v>4.0400000000000027</v>
      </c>
      <c r="V86" s="146"/>
      <c r="W86" s="146"/>
      <c r="X86" s="112">
        <f>X82-X84</f>
        <v>13.649999999999991</v>
      </c>
      <c r="Y86" s="108">
        <f>S86</f>
        <v>8.4000000000000909</v>
      </c>
      <c r="Z86" s="144"/>
      <c r="AA86" s="107"/>
      <c r="AB86" s="107"/>
      <c r="AC86" s="107" t="s">
        <v>516</v>
      </c>
      <c r="AD86" s="112">
        <f>AD82-AD84</f>
        <v>0</v>
      </c>
      <c r="AE86" s="112">
        <f>AE82-AE84</f>
        <v>0</v>
      </c>
      <c r="AF86" s="112">
        <f>AF82-AF84</f>
        <v>4.289999999999992</v>
      </c>
      <c r="AG86" s="112">
        <f>AG82-AG84</f>
        <v>3.8799999999999955</v>
      </c>
      <c r="AH86" s="112">
        <f>AH82-AH84</f>
        <v>1.6600000000000001</v>
      </c>
      <c r="AI86" s="146"/>
      <c r="AJ86" s="146"/>
      <c r="AK86" s="112">
        <f>AK82-AK84</f>
        <v>5.539999999999992</v>
      </c>
      <c r="AL86" s="108">
        <f>AF86</f>
        <v>4.289999999999992</v>
      </c>
      <c r="AM86" s="144"/>
      <c r="AN86" s="107"/>
    </row>
    <row r="87" spans="2:40" x14ac:dyDescent="0.3">
      <c r="B87" s="107"/>
      <c r="C87" s="107" t="s">
        <v>517</v>
      </c>
      <c r="D87" s="146">
        <f>D86/D82</f>
        <v>4.7566718995290441E-2</v>
      </c>
      <c r="E87" s="146">
        <f>E86/E82</f>
        <v>0.33828149060671381</v>
      </c>
      <c r="F87" s="146">
        <f>F86/F82</f>
        <v>5.7631469838186615E-2</v>
      </c>
      <c r="G87" s="146">
        <f>G86/G82</f>
        <v>3.5878233790992455E-2</v>
      </c>
      <c r="H87" s="146">
        <f>H86/H82</f>
        <v>6.3290189077335121E-2</v>
      </c>
      <c r="I87" s="146"/>
      <c r="J87" s="146"/>
      <c r="K87" s="150">
        <f>K86/K82</f>
        <v>4.6409731679529283E-2</v>
      </c>
      <c r="L87" s="150">
        <f>L86/$N$2</f>
        <v>8.1976252173719868E-3</v>
      </c>
      <c r="M87" s="144"/>
      <c r="N87" s="107"/>
      <c r="O87" s="107"/>
      <c r="P87" s="107" t="s">
        <v>517</v>
      </c>
      <c r="Q87" s="146">
        <f>Q86/Q82</f>
        <v>0.14999999999999997</v>
      </c>
      <c r="R87" s="146">
        <f>R86/R82</f>
        <v>0.16751269035532992</v>
      </c>
      <c r="S87" s="146">
        <f>S86/S82</f>
        <v>8.163582646555834E-3</v>
      </c>
      <c r="T87" s="146">
        <f>T86/T82</f>
        <v>6.8076865782809373E-2</v>
      </c>
      <c r="U87" s="146">
        <f>U86/U82</f>
        <v>0.15936883629191331</v>
      </c>
      <c r="V87" s="146"/>
      <c r="W87" s="146"/>
      <c r="X87" s="150">
        <f>X86/X82</f>
        <v>0.11131044605724531</v>
      </c>
      <c r="Y87" s="150">
        <f>Y86/$N$3</f>
        <v>5.7191099975490147E-3</v>
      </c>
      <c r="Z87" s="144"/>
      <c r="AA87" s="107"/>
      <c r="AB87" s="107"/>
      <c r="AC87" s="107" t="s">
        <v>517</v>
      </c>
      <c r="AD87" s="146" t="s">
        <v>527</v>
      </c>
      <c r="AE87" s="146" t="s">
        <v>527</v>
      </c>
      <c r="AF87" s="146">
        <f>AF86/AF82</f>
        <v>1.6948482932996174E-2</v>
      </c>
      <c r="AG87" s="146">
        <f>AG86/AG82</f>
        <v>2.5575110408015262E-2</v>
      </c>
      <c r="AH87" s="146">
        <f>AH86/AH82</f>
        <v>0.1502262443438914</v>
      </c>
      <c r="AI87" s="146"/>
      <c r="AJ87" s="146"/>
      <c r="AK87" s="150">
        <f t="shared" ref="AK87:AL87" si="51">AK86/$N$4</f>
        <v>1.3260885176053791E-2</v>
      </c>
      <c r="AL87" s="150">
        <f t="shared" si="51"/>
        <v>1.0268808195897245E-2</v>
      </c>
      <c r="AM87" s="144"/>
      <c r="AN87" s="107"/>
    </row>
    <row r="88" spans="2:40" x14ac:dyDescent="0.3">
      <c r="B88" s="115" t="s">
        <v>376</v>
      </c>
      <c r="C88" s="122" t="s">
        <v>9</v>
      </c>
      <c r="D88" s="135">
        <f>'91T_Seeds'!AL129</f>
        <v>190.85249999999999</v>
      </c>
      <c r="E88" s="135">
        <f>'91T_Seeds'!AM129</f>
        <v>172.22900000000001</v>
      </c>
      <c r="F88" s="135">
        <f>'91T_Seeds'!AN129</f>
        <v>3502.3874999999998</v>
      </c>
      <c r="G88" s="135">
        <f>'91T_Seeds'!AO129</f>
        <v>12312.357999999998</v>
      </c>
      <c r="H88" s="135">
        <f>'91T_Seeds'!AP129</f>
        <v>5047.3509999999997</v>
      </c>
      <c r="I88" s="108">
        <f>$N$2-N88</f>
        <v>3530.7720000000045</v>
      </c>
      <c r="J88" s="108"/>
      <c r="K88" s="108"/>
      <c r="L88" s="108"/>
      <c r="M88" s="115" t="s">
        <v>36</v>
      </c>
      <c r="N88" s="136">
        <f>SUM(D88:H88)</f>
        <v>21225.177999999996</v>
      </c>
      <c r="O88" s="115" t="s">
        <v>376</v>
      </c>
      <c r="P88" s="122" t="s">
        <v>9</v>
      </c>
      <c r="Q88" s="135">
        <f>'91T_Seeds'!AL134</f>
        <v>0.58799999999999997</v>
      </c>
      <c r="R88" s="135">
        <f>'91T_Seeds'!AM134</f>
        <v>30.951000000000001</v>
      </c>
      <c r="S88" s="135">
        <f>'91T_Seeds'!AN134</f>
        <v>1027.056</v>
      </c>
      <c r="T88" s="135">
        <f>'91T_Seeds'!AO134</f>
        <v>66.977000000000004</v>
      </c>
      <c r="U88" s="135">
        <f>'91T_Seeds'!AP134</f>
        <v>26.0185</v>
      </c>
      <c r="V88" s="108">
        <f>$N$3-AA88</f>
        <v>317.16949999999997</v>
      </c>
      <c r="W88" s="108"/>
      <c r="X88" s="108"/>
      <c r="Y88" s="108"/>
      <c r="Z88" s="115" t="s">
        <v>36</v>
      </c>
      <c r="AA88" s="136">
        <f>SUM(Q88:U88)</f>
        <v>1151.5905</v>
      </c>
      <c r="AB88" s="115" t="s">
        <v>376</v>
      </c>
      <c r="AC88" s="122"/>
      <c r="AD88" s="138"/>
      <c r="AE88" s="135"/>
      <c r="AF88" s="135"/>
      <c r="AG88" s="135"/>
      <c r="AH88" s="135"/>
      <c r="AI88" s="108"/>
      <c r="AJ88" s="108"/>
      <c r="AK88" s="108"/>
      <c r="AL88" s="108"/>
      <c r="AM88" s="115"/>
      <c r="AN88" s="136"/>
    </row>
    <row r="89" spans="2:40" x14ac:dyDescent="0.3">
      <c r="B89" s="115"/>
      <c r="C89" s="140" t="s">
        <v>455</v>
      </c>
      <c r="D89" s="150">
        <f t="shared" ref="D89:I89" si="52">D88/$N$2</f>
        <v>7.7093587602172402E-3</v>
      </c>
      <c r="E89" s="150">
        <f t="shared" si="52"/>
        <v>6.9570749658162991E-3</v>
      </c>
      <c r="F89" s="150">
        <f t="shared" si="52"/>
        <v>0.14147659451566189</v>
      </c>
      <c r="G89" s="150">
        <f t="shared" si="52"/>
        <v>0.49734944528487085</v>
      </c>
      <c r="H89" s="150">
        <f t="shared" si="52"/>
        <v>0.20388435911366759</v>
      </c>
      <c r="I89" s="145">
        <f t="shared" si="52"/>
        <v>0.14262316735976621</v>
      </c>
      <c r="J89" s="145"/>
      <c r="K89" s="145"/>
      <c r="L89" s="145"/>
      <c r="M89" s="144">
        <f>SUM(D89:I89)</f>
        <v>1</v>
      </c>
      <c r="N89" s="136"/>
      <c r="O89" s="115"/>
      <c r="P89" s="140" t="s">
        <v>455</v>
      </c>
      <c r="Q89" s="150">
        <f t="shared" ref="Q89:V89" si="53">Q88/$N$3</f>
        <v>4.0033769982842667E-4</v>
      </c>
      <c r="R89" s="150">
        <f t="shared" si="53"/>
        <v>2.1072877801683054E-2</v>
      </c>
      <c r="S89" s="150">
        <f t="shared" si="53"/>
        <v>0.6992674092431711</v>
      </c>
      <c r="T89" s="150">
        <f t="shared" si="53"/>
        <v>4.5601051226885264E-2</v>
      </c>
      <c r="U89" s="150">
        <f t="shared" si="53"/>
        <v>1.7714602794193741E-2</v>
      </c>
      <c r="V89" s="146">
        <f t="shared" si="53"/>
        <v>0.21594372123423838</v>
      </c>
      <c r="W89" s="146"/>
      <c r="X89" s="146"/>
      <c r="Y89" s="145"/>
      <c r="Z89" s="144">
        <f>SUM(Q89:V89)</f>
        <v>1</v>
      </c>
      <c r="AA89" s="136"/>
      <c r="AB89" s="115"/>
      <c r="AC89" s="140"/>
      <c r="AD89" s="150"/>
      <c r="AE89" s="150"/>
      <c r="AF89" s="150"/>
      <c r="AG89" s="150"/>
      <c r="AH89" s="150"/>
      <c r="AI89" s="146"/>
      <c r="AJ89" s="146"/>
      <c r="AK89" s="146"/>
      <c r="AL89" s="146"/>
      <c r="AM89" s="144"/>
      <c r="AN89" s="136"/>
    </row>
    <row r="90" spans="2:40" x14ac:dyDescent="0.3">
      <c r="B90" s="107"/>
      <c r="C90" s="147" t="s">
        <v>368</v>
      </c>
      <c r="D90" s="108">
        <f>'91T_Seeds'!AL130</f>
        <v>1.5963029449654174</v>
      </c>
      <c r="E90" s="108">
        <f>'91T_Seeds'!AM130</f>
        <v>5.547248720620038</v>
      </c>
      <c r="F90" s="108">
        <f>'91T_Seeds'!AN130</f>
        <v>10.516913067080402</v>
      </c>
      <c r="G90" s="108">
        <f>'91T_Seeds'!AO130</f>
        <v>30.460128871068594</v>
      </c>
      <c r="H90" s="108">
        <f>'91T_Seeds'!AP130</f>
        <v>29.366615469915718</v>
      </c>
      <c r="I90" s="107"/>
      <c r="J90" s="107"/>
      <c r="K90" s="107"/>
      <c r="L90" s="107"/>
      <c r="M90" s="107"/>
      <c r="N90" s="107"/>
      <c r="O90" s="107"/>
      <c r="P90" s="147" t="s">
        <v>368</v>
      </c>
      <c r="Q90" s="108">
        <f>'91T_Seeds'!AL135</f>
        <v>4.700839790595096E-2</v>
      </c>
      <c r="R90" s="108">
        <f>'91T_Seeds'!AM135</f>
        <v>0.59601611599546167</v>
      </c>
      <c r="S90" s="108">
        <f>'91T_Seeds'!AN135</f>
        <v>0.68176373434914017</v>
      </c>
      <c r="T90" s="108">
        <f>'91T_Seeds'!AO135</f>
        <v>0.54630582335499478</v>
      </c>
      <c r="U90" s="108">
        <f>'91T_Seeds'!AP135</f>
        <v>0.334333803413988</v>
      </c>
      <c r="V90" s="107"/>
      <c r="W90" s="107"/>
      <c r="X90" s="107"/>
      <c r="Y90" s="107"/>
      <c r="Z90" s="107"/>
      <c r="AA90" s="107"/>
      <c r="AB90" s="107"/>
      <c r="AC90" s="147"/>
      <c r="AD90" s="108"/>
      <c r="AE90" s="108"/>
      <c r="AF90" s="108"/>
      <c r="AG90" s="108"/>
      <c r="AH90" s="108"/>
      <c r="AI90" s="107"/>
      <c r="AJ90" s="107"/>
      <c r="AK90" s="107"/>
      <c r="AL90" s="107"/>
      <c r="AM90" s="107"/>
      <c r="AN90" s="107"/>
    </row>
    <row r="91" spans="2:40" x14ac:dyDescent="0.3">
      <c r="B91" s="107"/>
      <c r="C91" s="128" t="s">
        <v>458</v>
      </c>
      <c r="D91" s="125">
        <f>1.96*D90</f>
        <v>3.1287537721322178</v>
      </c>
      <c r="E91" s="125">
        <f>1.96*E90</f>
        <v>10.872607492415275</v>
      </c>
      <c r="F91" s="125">
        <f>1.96*F90</f>
        <v>20.613149611477589</v>
      </c>
      <c r="G91" s="125">
        <f>1.96*G90</f>
        <v>59.701852587294447</v>
      </c>
      <c r="H91" s="125">
        <f>1.96*H90</f>
        <v>57.55856632103481</v>
      </c>
      <c r="I91" s="107"/>
      <c r="J91" s="107"/>
      <c r="K91" s="107"/>
      <c r="L91" s="107"/>
      <c r="M91" s="107"/>
      <c r="N91" s="107"/>
      <c r="O91" s="107"/>
      <c r="P91" s="128" t="s">
        <v>458</v>
      </c>
      <c r="Q91" s="125">
        <f>1.96*Q90</f>
        <v>9.213645989566388E-2</v>
      </c>
      <c r="R91" s="125">
        <f>1.96*R90</f>
        <v>1.1681915873511048</v>
      </c>
      <c r="S91" s="125">
        <f>1.96*S90</f>
        <v>1.3362569193243148</v>
      </c>
      <c r="T91" s="125">
        <f>1.96*T90</f>
        <v>1.0707594137757896</v>
      </c>
      <c r="U91" s="125">
        <f>1.96*U90</f>
        <v>0.65529425469141644</v>
      </c>
      <c r="V91" s="107"/>
      <c r="W91" s="107"/>
      <c r="X91" s="107"/>
      <c r="Y91" s="107"/>
      <c r="Z91" s="107"/>
      <c r="AA91" s="107"/>
      <c r="AB91" s="107"/>
      <c r="AC91" s="128"/>
      <c r="AD91" s="125"/>
      <c r="AE91" s="125"/>
      <c r="AF91" s="125"/>
      <c r="AG91" s="125"/>
      <c r="AH91" s="125"/>
      <c r="AI91" s="107"/>
      <c r="AJ91" s="107"/>
      <c r="AK91" s="107"/>
      <c r="AL91" s="107"/>
      <c r="AM91" s="107"/>
      <c r="AN91" s="107"/>
    </row>
    <row r="92" spans="2:40" x14ac:dyDescent="0.3">
      <c r="B92" s="115" t="s">
        <v>375</v>
      </c>
      <c r="C92" s="107" t="s">
        <v>367</v>
      </c>
      <c r="D92" s="145">
        <f>D82/SUM(D82:H82)</f>
        <v>9.0034614563746715E-3</v>
      </c>
      <c r="E92" s="145">
        <f>E82/SUM(D82:H82)</f>
        <v>7.6489375585684343E-3</v>
      </c>
      <c r="F92" s="145">
        <f>F82/SUM(D82:H82)</f>
        <v>0.16590397155829611</v>
      </c>
      <c r="G92" s="145">
        <f>G82/SUM(D82:H82)</f>
        <v>0.58520991822444768</v>
      </c>
      <c r="H92" s="145">
        <f>H82/SUM(D82:H82)</f>
        <v>0.23223371120231306</v>
      </c>
      <c r="I92" s="151">
        <f>SUM(D92:H92)</f>
        <v>1</v>
      </c>
      <c r="J92" s="107"/>
      <c r="K92" s="107"/>
      <c r="L92" s="107"/>
      <c r="M92" s="107"/>
      <c r="N92" s="107"/>
      <c r="O92" s="115" t="s">
        <v>375</v>
      </c>
      <c r="P92" s="107" t="s">
        <v>367</v>
      </c>
      <c r="Q92" s="145">
        <f>Q82/SUM(Q82:U82)</f>
        <v>5.2101876535919891E-4</v>
      </c>
      <c r="R92" s="145">
        <f>R82/SUM(Q82:U82)</f>
        <v>2.5660174193940549E-2</v>
      </c>
      <c r="S92" s="145">
        <f>S82/SUM(Q82:U82)</f>
        <v>0.89351244800666896</v>
      </c>
      <c r="T92" s="145">
        <f>T82/SUM(Q82:U82)</f>
        <v>5.8293316197605041E-2</v>
      </c>
      <c r="U92" s="145">
        <f>U82/SUM(Q82:U82)</f>
        <v>2.2013042836426158E-2</v>
      </c>
      <c r="V92" s="151">
        <f>SUM(Q92:U92)</f>
        <v>0.99999999999999989</v>
      </c>
      <c r="W92" s="107"/>
      <c r="X92" s="107"/>
      <c r="Y92" s="107"/>
      <c r="Z92" s="107"/>
      <c r="AA92" s="107"/>
      <c r="AB92" s="115" t="s">
        <v>375</v>
      </c>
      <c r="AC92" s="107" t="s">
        <v>367</v>
      </c>
      <c r="AD92" s="145">
        <f>AD82/SUM(AD82:AH82)</f>
        <v>0</v>
      </c>
      <c r="AE92" s="145">
        <f>AE82/SUM(AD82:AH82)</f>
        <v>0</v>
      </c>
      <c r="AF92" s="145">
        <f>AF82/SUM(AD82:AH82)</f>
        <v>0.60863710685774741</v>
      </c>
      <c r="AG92" s="145">
        <f>AG82/SUM(AD82:AH82)</f>
        <v>0.36479272867173218</v>
      </c>
      <c r="AH92" s="145">
        <f>AH82/SUM(AD82:AH82)</f>
        <v>2.6570164470520342E-2</v>
      </c>
      <c r="AI92" s="151">
        <f>SUM(AD92:AH92)</f>
        <v>0.99999999999999989</v>
      </c>
      <c r="AJ92" s="107"/>
      <c r="AK92" s="107"/>
      <c r="AL92" s="107"/>
      <c r="AM92" s="107"/>
      <c r="AN92" s="107"/>
    </row>
    <row r="93" spans="2:40" x14ac:dyDescent="0.3">
      <c r="B93" s="147" t="s">
        <v>648</v>
      </c>
      <c r="C93" s="90" t="s">
        <v>447</v>
      </c>
      <c r="D93" s="108">
        <f>D86*D92</f>
        <v>8.1841464638445799E-2</v>
      </c>
      <c r="E93" s="108">
        <f>E86*D92</f>
        <v>0.49447010318409684</v>
      </c>
      <c r="F93" s="108">
        <f>F86*D92</f>
        <v>1.8271624679566763</v>
      </c>
      <c r="G93" s="108">
        <f>G86*D92</f>
        <v>4.0123925980333688</v>
      </c>
      <c r="H93" s="108">
        <f>H86*D92</f>
        <v>2.8088098705452085</v>
      </c>
      <c r="I93" s="107"/>
      <c r="J93" s="107"/>
      <c r="K93" s="107"/>
      <c r="L93" s="107"/>
      <c r="M93" s="107"/>
      <c r="N93" s="107"/>
      <c r="O93" s="147" t="s">
        <v>648</v>
      </c>
      <c r="P93" s="90" t="s">
        <v>447</v>
      </c>
      <c r="Q93" s="108">
        <f>Q86*Q92</f>
        <v>4.6891688882327886E-5</v>
      </c>
      <c r="R93" s="108">
        <f>R86*Q92</f>
        <v>2.5790428885280343E-3</v>
      </c>
      <c r="S93" s="108">
        <f>S86*Q92</f>
        <v>4.3765576290173179E-3</v>
      </c>
      <c r="T93" s="108">
        <f>T86*Q92</f>
        <v>2.3810557576915354E-3</v>
      </c>
      <c r="U93" s="108">
        <f>U86*Q92</f>
        <v>2.1049158120511652E-3</v>
      </c>
      <c r="V93" s="107"/>
      <c r="W93" s="107"/>
      <c r="X93" s="107"/>
      <c r="Y93" s="107"/>
      <c r="Z93" s="107"/>
      <c r="AA93" s="107"/>
      <c r="AB93" s="147" t="s">
        <v>648</v>
      </c>
      <c r="AC93" s="90" t="s">
        <v>447</v>
      </c>
      <c r="AD93" s="108">
        <f>AD86*AD92</f>
        <v>0</v>
      </c>
      <c r="AE93" s="108">
        <f>AE86*AD92</f>
        <v>0</v>
      </c>
      <c r="AF93" s="108">
        <f>AF86*AD92</f>
        <v>0</v>
      </c>
      <c r="AG93" s="108">
        <f>AG86*AD92</f>
        <v>0</v>
      </c>
      <c r="AH93" s="108">
        <f>AH86*AD92</f>
        <v>0</v>
      </c>
      <c r="AI93" s="107"/>
      <c r="AJ93" s="107"/>
      <c r="AK93" s="107"/>
      <c r="AL93" s="107"/>
      <c r="AM93" s="107"/>
      <c r="AN93" s="107"/>
    </row>
    <row r="94" spans="2:40" x14ac:dyDescent="0.3">
      <c r="B94" s="107" t="s">
        <v>649</v>
      </c>
      <c r="C94" s="91" t="s">
        <v>446</v>
      </c>
      <c r="D94" s="108">
        <f>D86*E92</f>
        <v>6.952884240738709E-2</v>
      </c>
      <c r="E94" s="108">
        <f>E86*E92</f>
        <v>0.42007965071657832</v>
      </c>
      <c r="F94" s="108">
        <f>F86*E92</f>
        <v>1.5522753881358784</v>
      </c>
      <c r="G94" s="108">
        <f>G86*E92</f>
        <v>3.40874902297602</v>
      </c>
      <c r="H94" s="108">
        <f>H86*E92</f>
        <v>2.3862390501465964</v>
      </c>
      <c r="I94" s="107"/>
      <c r="J94" s="107"/>
      <c r="K94" s="107"/>
      <c r="L94" s="107"/>
      <c r="M94" s="107"/>
      <c r="N94" s="107"/>
      <c r="O94" s="107" t="s">
        <v>649</v>
      </c>
      <c r="P94" s="91" t="s">
        <v>446</v>
      </c>
      <c r="Q94" s="108">
        <f>Q86*R92</f>
        <v>2.3094156774546484E-3</v>
      </c>
      <c r="R94" s="108">
        <f>R86*R92</f>
        <v>0.12701786226000569</v>
      </c>
      <c r="S94" s="108">
        <f>S86*R92</f>
        <v>0.21554546322910295</v>
      </c>
      <c r="T94" s="108">
        <f>T86*R92</f>
        <v>0.11726699606630814</v>
      </c>
      <c r="U94" s="108">
        <f>U86*R92</f>
        <v>0.10366710374351988</v>
      </c>
      <c r="V94" s="107"/>
      <c r="W94" s="107"/>
      <c r="X94" s="107"/>
      <c r="Y94" s="107"/>
      <c r="Z94" s="107"/>
      <c r="AA94" s="107"/>
      <c r="AB94" s="107" t="s">
        <v>649</v>
      </c>
      <c r="AC94" s="91" t="s">
        <v>446</v>
      </c>
      <c r="AD94" s="108">
        <f>AD86*AE92</f>
        <v>0</v>
      </c>
      <c r="AE94" s="108">
        <f>AE86*AE92</f>
        <v>0</v>
      </c>
      <c r="AF94" s="108">
        <f>AF86*AE92</f>
        <v>0</v>
      </c>
      <c r="AG94" s="108">
        <f>AG86*AE92</f>
        <v>0</v>
      </c>
      <c r="AH94" s="108">
        <f>AH86*AE92</f>
        <v>0</v>
      </c>
      <c r="AI94" s="107"/>
      <c r="AJ94" s="107"/>
      <c r="AK94" s="107"/>
      <c r="AL94" s="107"/>
      <c r="AM94" s="107"/>
      <c r="AN94" s="107"/>
    </row>
    <row r="95" spans="2:40" x14ac:dyDescent="0.3">
      <c r="B95" s="107"/>
      <c r="C95" s="92" t="s">
        <v>448</v>
      </c>
      <c r="D95" s="108">
        <f>D86*F92</f>
        <v>1.5080671014649123</v>
      </c>
      <c r="E95" s="108">
        <f>E86*F92</f>
        <v>9.11144611798162</v>
      </c>
      <c r="F95" s="108">
        <f>F86*F92</f>
        <v>33.668551988040626</v>
      </c>
      <c r="G95" s="108">
        <f>G86*F92</f>
        <v>73.935104924954601</v>
      </c>
      <c r="H95" s="108">
        <f>H86*F92</f>
        <v>51.757062007041682</v>
      </c>
      <c r="I95" s="107"/>
      <c r="J95" s="107"/>
      <c r="K95" s="107"/>
      <c r="L95" s="107"/>
      <c r="M95" s="107"/>
      <c r="N95" s="107"/>
      <c r="O95" s="107"/>
      <c r="P95" s="92" t="s">
        <v>448</v>
      </c>
      <c r="Q95" s="108">
        <f>Q86*S92</f>
        <v>8.0416120320600179E-2</v>
      </c>
      <c r="R95" s="108">
        <f>R86*S92</f>
        <v>4.4228866176330106</v>
      </c>
      <c r="S95" s="108">
        <f>S86*S92</f>
        <v>7.5055045632561006</v>
      </c>
      <c r="T95" s="108">
        <f>T86*S92</f>
        <v>4.0833518873904708</v>
      </c>
      <c r="U95" s="108">
        <f>U86*S92</f>
        <v>3.609790289946945</v>
      </c>
      <c r="V95" s="107"/>
      <c r="W95" s="107"/>
      <c r="X95" s="107"/>
      <c r="Y95" s="107"/>
      <c r="Z95" s="107"/>
      <c r="AA95" s="107"/>
      <c r="AB95" s="107"/>
      <c r="AC95" s="92" t="s">
        <v>448</v>
      </c>
      <c r="AD95" s="108">
        <f>AD86*AF92</f>
        <v>0</v>
      </c>
      <c r="AE95" s="108">
        <f>AE86*AF92</f>
        <v>0</v>
      </c>
      <c r="AF95" s="108">
        <f>AF86*AF92</f>
        <v>2.6110531884197314</v>
      </c>
      <c r="AG95" s="108">
        <f>AG86*AF92</f>
        <v>2.3615119746080571</v>
      </c>
      <c r="AH95" s="108">
        <f>AH86*AF92</f>
        <v>1.0103375973838609</v>
      </c>
      <c r="AI95" s="107"/>
      <c r="AJ95" s="107"/>
      <c r="AK95" s="107"/>
      <c r="AL95" s="107"/>
      <c r="AM95" s="107"/>
      <c r="AN95" s="107"/>
    </row>
    <row r="96" spans="2:40" x14ac:dyDescent="0.3">
      <c r="B96" s="107"/>
      <c r="C96" s="124" t="s">
        <v>449</v>
      </c>
      <c r="D96" s="108">
        <f>D86*G92</f>
        <v>5.3195581566602312</v>
      </c>
      <c r="E96" s="108">
        <f>E86*G92</f>
        <v>32.139728708886658</v>
      </c>
      <c r="F96" s="108">
        <f>F86*G92</f>
        <v>118.76250080446944</v>
      </c>
      <c r="G96" s="108">
        <f>G86*G92</f>
        <v>260.79880005672487</v>
      </c>
      <c r="H96" s="108">
        <f>H86*G92</f>
        <v>182.56793818848109</v>
      </c>
      <c r="I96" s="107"/>
      <c r="J96" s="107"/>
      <c r="K96" s="107"/>
      <c r="L96" s="107"/>
      <c r="M96" s="107"/>
      <c r="N96" s="107"/>
      <c r="O96" s="107"/>
      <c r="P96" s="124" t="s">
        <v>449</v>
      </c>
      <c r="Q96" s="108">
        <f>Q86*T92</f>
        <v>5.246398457784452E-3</v>
      </c>
      <c r="R96" s="108">
        <f>R86*T92</f>
        <v>0.28855191517814494</v>
      </c>
      <c r="S96" s="108">
        <f>S86*T92</f>
        <v>0.48966385605988766</v>
      </c>
      <c r="T96" s="108">
        <f>T86*T92</f>
        <v>0.26640045502305465</v>
      </c>
      <c r="U96" s="108">
        <f>U86*T92</f>
        <v>0.23550499743832454</v>
      </c>
      <c r="V96" s="107"/>
      <c r="W96" s="107"/>
      <c r="X96" s="107"/>
      <c r="Y96" s="107"/>
      <c r="Z96" s="107"/>
      <c r="AA96" s="107"/>
      <c r="AB96" s="107"/>
      <c r="AC96" s="124" t="s">
        <v>449</v>
      </c>
      <c r="AD96" s="108">
        <f>AD86*AG92</f>
        <v>0</v>
      </c>
      <c r="AE96" s="108">
        <f>AE86*AG92</f>
        <v>0</v>
      </c>
      <c r="AF96" s="108">
        <f>AF86*AG92</f>
        <v>1.5649608060017282</v>
      </c>
      <c r="AG96" s="108">
        <f>AG86*AG92</f>
        <v>1.4153957872463192</v>
      </c>
      <c r="AH96" s="108">
        <f>AH86*AG92</f>
        <v>0.60555592959507543</v>
      </c>
      <c r="AI96" s="107"/>
      <c r="AJ96" s="107"/>
      <c r="AK96" s="107"/>
      <c r="AL96" s="107"/>
      <c r="AM96" s="107"/>
      <c r="AN96" s="107"/>
    </row>
    <row r="97" spans="2:40" x14ac:dyDescent="0.3">
      <c r="B97" s="107"/>
      <c r="C97" s="123" t="s">
        <v>450</v>
      </c>
      <c r="D97" s="125">
        <f>D86*H92</f>
        <v>2.1110044348290264</v>
      </c>
      <c r="E97" s="125">
        <f>E86*H92</f>
        <v>12.75427541923103</v>
      </c>
      <c r="F97" s="125">
        <f>F86*H92</f>
        <v>47.129509351397424</v>
      </c>
      <c r="G97" s="125">
        <f>G86*H92</f>
        <v>103.49495339731074</v>
      </c>
      <c r="H97" s="125">
        <f>H86*H92</f>
        <v>72.449950883785661</v>
      </c>
      <c r="I97" s="107"/>
      <c r="J97" s="107"/>
      <c r="K97" s="107"/>
      <c r="L97" s="107"/>
      <c r="M97" s="107"/>
      <c r="N97" s="107"/>
      <c r="O97" s="107"/>
      <c r="P97" s="123" t="s">
        <v>450</v>
      </c>
      <c r="Q97" s="125">
        <f>Q86*U92</f>
        <v>1.9811738552783535E-3</v>
      </c>
      <c r="R97" s="125">
        <f>R86*U92</f>
        <v>0.10896456204030947</v>
      </c>
      <c r="S97" s="125">
        <f>S86*U92</f>
        <v>0.18490955982598173</v>
      </c>
      <c r="T97" s="125">
        <f>T86*U92</f>
        <v>0.10059960576246739</v>
      </c>
      <c r="U97" s="125">
        <f>U86*U92</f>
        <v>8.8932693059161738E-2</v>
      </c>
      <c r="V97" s="107"/>
      <c r="W97" s="107"/>
      <c r="X97" s="107"/>
      <c r="Y97" s="107"/>
      <c r="Z97" s="107"/>
      <c r="AA97" s="107"/>
      <c r="AB97" s="107"/>
      <c r="AC97" s="123" t="s">
        <v>450</v>
      </c>
      <c r="AD97" s="125">
        <f>AD86*AH92</f>
        <v>0</v>
      </c>
      <c r="AE97" s="125">
        <f>AE86*AH92</f>
        <v>0</v>
      </c>
      <c r="AF97" s="125">
        <f>AF86*AH92</f>
        <v>0.11398600557853206</v>
      </c>
      <c r="AG97" s="125">
        <f>AG86*AH92</f>
        <v>0.10309223814561881</v>
      </c>
      <c r="AH97" s="125">
        <f>AH86*AH92</f>
        <v>4.4106473021063769E-2</v>
      </c>
      <c r="AI97" s="107"/>
      <c r="AJ97" s="107"/>
      <c r="AK97" s="107"/>
      <c r="AL97" s="107"/>
      <c r="AM97" s="107"/>
      <c r="AN97" s="107"/>
    </row>
    <row r="98" spans="2:40" x14ac:dyDescent="0.3">
      <c r="B98" s="107"/>
      <c r="C98" s="107" t="s">
        <v>36</v>
      </c>
      <c r="D98" s="108">
        <f>SUM(D93:D97)</f>
        <v>9.0900000000000034</v>
      </c>
      <c r="E98" s="108">
        <f>SUM(E93:E97)</f>
        <v>54.91999999999998</v>
      </c>
      <c r="F98" s="108">
        <f>SUM(F93:F97)</f>
        <v>202.94000000000005</v>
      </c>
      <c r="G98" s="108">
        <f t="shared" ref="G98:H98" si="54">SUM(G93:G97)</f>
        <v>445.64999999999958</v>
      </c>
      <c r="H98" s="108">
        <f t="shared" si="54"/>
        <v>311.97000000000025</v>
      </c>
      <c r="I98" s="107"/>
      <c r="J98" s="107"/>
      <c r="K98" s="107"/>
      <c r="L98" s="107"/>
      <c r="M98" s="107"/>
      <c r="N98" s="107"/>
      <c r="O98" s="107"/>
      <c r="P98" s="107" t="s">
        <v>36</v>
      </c>
      <c r="Q98" s="108">
        <f>SUM(Q93:Q97)</f>
        <v>8.9999999999999955E-2</v>
      </c>
      <c r="R98" s="108">
        <f>SUM(R93:R97)</f>
        <v>4.9499999999999993</v>
      </c>
      <c r="S98" s="108">
        <f>SUM(S93:S97)</f>
        <v>8.4000000000000909</v>
      </c>
      <c r="T98" s="108">
        <f t="shared" ref="T98:U98" si="55">SUM(T93:T97)</f>
        <v>4.5699999999999932</v>
      </c>
      <c r="U98" s="108">
        <f t="shared" si="55"/>
        <v>4.0400000000000018</v>
      </c>
      <c r="V98" s="107"/>
      <c r="W98" s="107"/>
      <c r="X98" s="107"/>
      <c r="Y98" s="107"/>
      <c r="Z98" s="107"/>
      <c r="AA98" s="107"/>
      <c r="AB98" s="107"/>
      <c r="AC98" s="107" t="s">
        <v>36</v>
      </c>
      <c r="AD98" s="108">
        <f>SUM(AD93:AD97)</f>
        <v>0</v>
      </c>
      <c r="AE98" s="108">
        <f>SUM(AE93:AE97)</f>
        <v>0</v>
      </c>
      <c r="AF98" s="108">
        <f>SUM(AF93:AF97)</f>
        <v>4.289999999999992</v>
      </c>
      <c r="AG98" s="108">
        <f t="shared" ref="AG98:AH98" si="56">SUM(AG93:AG97)</f>
        <v>3.8799999999999955</v>
      </c>
      <c r="AH98" s="108">
        <f t="shared" si="56"/>
        <v>1.6600000000000001</v>
      </c>
      <c r="AI98" s="107"/>
      <c r="AJ98" s="107"/>
      <c r="AK98" s="107"/>
      <c r="AL98" s="107"/>
      <c r="AM98" s="107"/>
      <c r="AN98" s="107"/>
    </row>
    <row r="99" spans="2:40" x14ac:dyDescent="0.3">
      <c r="B99" s="107" t="s">
        <v>650</v>
      </c>
      <c r="C99" s="211" t="s">
        <v>451</v>
      </c>
      <c r="D99" s="125">
        <f>I84*D92</f>
        <v>31.789241640938553</v>
      </c>
      <c r="E99" s="125">
        <f>I84*E92</f>
        <v>27.006715753042247</v>
      </c>
      <c r="F99" s="125">
        <f>I84*F92</f>
        <v>585.77042469860055</v>
      </c>
      <c r="G99" s="125">
        <f>I84*G92</f>
        <v>2066.2474750685146</v>
      </c>
      <c r="H99" s="125">
        <f>I84*H92</f>
        <v>819.96614283890267</v>
      </c>
      <c r="I99" s="226">
        <f>SUM(D99:H99)</f>
        <v>3530.7799999999988</v>
      </c>
      <c r="J99" s="107"/>
      <c r="K99" s="140"/>
      <c r="L99" s="140"/>
      <c r="M99" s="107"/>
      <c r="N99" s="107"/>
      <c r="O99" s="107" t="s">
        <v>650</v>
      </c>
      <c r="P99" s="211" t="s">
        <v>451</v>
      </c>
      <c r="Q99" s="125">
        <f>V84*Q92</f>
        <v>0.16525152180897704</v>
      </c>
      <c r="R99" s="125">
        <f>V84*R92</f>
        <v>8.1386374490921192</v>
      </c>
      <c r="S99" s="125">
        <f>V84*S92</f>
        <v>283.39534313427504</v>
      </c>
      <c r="T99" s="125">
        <f>V84*T92</f>
        <v>18.488891098394383</v>
      </c>
      <c r="U99" s="125">
        <f>V84*U92</f>
        <v>6.9818767964292814</v>
      </c>
      <c r="V99" s="226">
        <f>SUM(Q99:U99)</f>
        <v>317.16999999999979</v>
      </c>
      <c r="W99" s="107"/>
      <c r="X99" s="140"/>
      <c r="Y99" s="140"/>
      <c r="Z99" s="107"/>
      <c r="AA99" s="107"/>
      <c r="AB99" s="107" t="s">
        <v>650</v>
      </c>
      <c r="AC99" s="211" t="s">
        <v>451</v>
      </c>
      <c r="AD99" s="125">
        <f>AI84*AD92</f>
        <v>0</v>
      </c>
      <c r="AE99" s="125">
        <f>AI84*AE92</f>
        <v>0</v>
      </c>
      <c r="AF99" s="125">
        <f>AI84*AF92</f>
        <v>1.1503241319610997</v>
      </c>
      <c r="AG99" s="125">
        <f>AI84*AG92</f>
        <v>0.68945825718954812</v>
      </c>
      <c r="AH99" s="125">
        <f>AI84*AH92</f>
        <v>5.0217610849281571E-2</v>
      </c>
      <c r="AI99" s="226">
        <f>SUM(AD99:AH99)</f>
        <v>1.8899999999999293</v>
      </c>
      <c r="AJ99" s="107"/>
      <c r="AK99" s="140"/>
      <c r="AL99" s="140"/>
      <c r="AM99" s="107"/>
      <c r="AN99" s="107"/>
    </row>
    <row r="100" spans="2:40" x14ac:dyDescent="0.3">
      <c r="B100" s="107" t="s">
        <v>651</v>
      </c>
      <c r="C100" s="107" t="s">
        <v>652</v>
      </c>
      <c r="D100" s="108">
        <f>SUM(D93:H93)+D99</f>
        <v>41.013918145296344</v>
      </c>
      <c r="E100" s="108">
        <f>SUM(D94:H94)+E99</f>
        <v>34.843587707424703</v>
      </c>
      <c r="F100" s="108">
        <f>SUM(D95:H95)+F99</f>
        <v>755.75065683808407</v>
      </c>
      <c r="G100" s="108">
        <f>SUM(D96:H96)+G99</f>
        <v>2665.836000983737</v>
      </c>
      <c r="H100" s="108">
        <f>SUM(D97:H97)+H99</f>
        <v>1057.9058363254567</v>
      </c>
      <c r="I100" s="107"/>
      <c r="J100" s="107"/>
      <c r="K100" s="108">
        <f>D100+E100+G100+H100</f>
        <v>3799.5993431619149</v>
      </c>
      <c r="L100" s="108">
        <f>F100</f>
        <v>755.75065683808407</v>
      </c>
      <c r="M100" s="107"/>
      <c r="N100" s="107"/>
      <c r="O100" s="107" t="s">
        <v>651</v>
      </c>
      <c r="P100" s="107" t="s">
        <v>652</v>
      </c>
      <c r="Q100" s="108">
        <f>SUM(Q93:U93)+Q99</f>
        <v>0.17673998558514742</v>
      </c>
      <c r="R100" s="108">
        <f>SUM(Q94:U94)+R99</f>
        <v>8.7044442900685102</v>
      </c>
      <c r="S100" s="108">
        <f>SUM(Q95:U95)+S99</f>
        <v>303.09729261282217</v>
      </c>
      <c r="T100" s="108">
        <f>SUM(Q96:U96)+T99</f>
        <v>19.774258720551579</v>
      </c>
      <c r="U100" s="108">
        <f>SUM(Q97:U97)+U99</f>
        <v>7.4672643909724803</v>
      </c>
      <c r="V100" s="107"/>
      <c r="W100" s="107"/>
      <c r="X100" s="108">
        <f>Q100+R100+T100+U100</f>
        <v>36.122707387177719</v>
      </c>
      <c r="Y100" s="108">
        <f>S100</f>
        <v>303.09729261282217</v>
      </c>
      <c r="Z100" s="107"/>
      <c r="AA100" s="107"/>
      <c r="AB100" s="107" t="s">
        <v>651</v>
      </c>
      <c r="AC100" s="107" t="s">
        <v>652</v>
      </c>
      <c r="AD100" s="108">
        <f>SUM(AD93:AH93)+AD99</f>
        <v>0</v>
      </c>
      <c r="AE100" s="108">
        <f>SUM(AD94:AH94)+AE99</f>
        <v>0</v>
      </c>
      <c r="AF100" s="108">
        <f>SUM(AD95:AH95)+AF99</f>
        <v>7.1332268923727487</v>
      </c>
      <c r="AG100" s="108">
        <f>SUM(AD96:AH96)+AG99</f>
        <v>4.275370780032671</v>
      </c>
      <c r="AH100" s="108">
        <f>SUM(AD97:AH97)+AH99</f>
        <v>0.31140232759449615</v>
      </c>
      <c r="AI100" s="107"/>
      <c r="AJ100" s="107"/>
      <c r="AK100" s="108">
        <f>AD100+AE100+AG100+AH100</f>
        <v>4.5867731076271667</v>
      </c>
      <c r="AL100" s="108">
        <f>AF100</f>
        <v>7.1332268923727487</v>
      </c>
      <c r="AM100" s="107"/>
      <c r="AN100" s="107"/>
    </row>
    <row r="101" spans="2:40" x14ac:dyDescent="0.3">
      <c r="B101" s="107" t="s">
        <v>651</v>
      </c>
      <c r="C101" s="107" t="s">
        <v>653</v>
      </c>
      <c r="D101" s="145">
        <f>D100/$N$2</f>
        <v>1.6567297213516889E-3</v>
      </c>
      <c r="E101" s="145">
        <f t="shared" ref="E101:H101" si="57">E100/$N$2</f>
        <v>1.4074833608657595E-3</v>
      </c>
      <c r="F101" s="145">
        <f t="shared" si="57"/>
        <v>3.0528041009861631E-2</v>
      </c>
      <c r="G101" s="145">
        <f t="shared" si="57"/>
        <v>0.10768465766749961</v>
      </c>
      <c r="H101" s="145">
        <f t="shared" si="57"/>
        <v>4.2733396873295373E-2</v>
      </c>
      <c r="I101" s="107"/>
      <c r="J101" s="107"/>
      <c r="K101" s="151">
        <f>K100/$N$2</f>
        <v>0.15348226762301245</v>
      </c>
      <c r="L101" s="146">
        <f>L100/$N$2</f>
        <v>3.0528041009861631E-2</v>
      </c>
      <c r="M101" s="107"/>
      <c r="N101" s="107"/>
      <c r="O101" s="107" t="s">
        <v>651</v>
      </c>
      <c r="P101" s="107" t="s">
        <v>653</v>
      </c>
      <c r="Q101" s="145">
        <f>Q100/$N$3</f>
        <v>1.2033278791984219E-4</v>
      </c>
      <c r="R101" s="145">
        <f t="shared" ref="R101:U101" si="58">R100/$N$3</f>
        <v>5.9263898050522278E-3</v>
      </c>
      <c r="S101" s="145">
        <f t="shared" si="58"/>
        <v>0.20636270909666807</v>
      </c>
      <c r="T101" s="145">
        <f t="shared" si="58"/>
        <v>1.3463233421765012E-2</v>
      </c>
      <c r="U101" s="145">
        <f t="shared" si="58"/>
        <v>5.0840602896133338E-3</v>
      </c>
      <c r="V101" s="107"/>
      <c r="W101" s="107"/>
      <c r="X101" s="151">
        <f>X100/$N$3</f>
        <v>2.4594016304350416E-2</v>
      </c>
      <c r="Y101" s="151">
        <f>Y100/$N$3</f>
        <v>0.20636270909666807</v>
      </c>
      <c r="Z101" s="107"/>
      <c r="AA101" s="107"/>
      <c r="AB101" s="107" t="s">
        <v>651</v>
      </c>
      <c r="AC101" s="107" t="s">
        <v>653</v>
      </c>
      <c r="AD101" s="145">
        <f>AD100/$N$4</f>
        <v>0</v>
      </c>
      <c r="AE101" s="145">
        <f t="shared" ref="AE101:AH101" si="59">AE100/$N$4</f>
        <v>0</v>
      </c>
      <c r="AF101" s="145">
        <f t="shared" si="59"/>
        <v>1.7074531183121692E-2</v>
      </c>
      <c r="AG101" s="145">
        <f t="shared" si="59"/>
        <v>1.0233790794055751E-2</v>
      </c>
      <c r="AH101" s="145">
        <f t="shared" si="59"/>
        <v>7.4539178877012753E-4</v>
      </c>
      <c r="AI101" s="107"/>
      <c r="AJ101" s="107"/>
      <c r="AK101" s="151">
        <f>AK100/$N$4</f>
        <v>1.0979182582825878E-2</v>
      </c>
      <c r="AL101" s="151">
        <f>AL100/$N$4</f>
        <v>1.7074531183121692E-2</v>
      </c>
      <c r="AM101" s="107"/>
      <c r="AN101" s="107"/>
    </row>
    <row r="104" spans="2:40" x14ac:dyDescent="0.3">
      <c r="D104" t="s">
        <v>411</v>
      </c>
      <c r="E104" t="s">
        <v>412</v>
      </c>
      <c r="F104" t="s">
        <v>413</v>
      </c>
      <c r="G104" t="s">
        <v>414</v>
      </c>
      <c r="H104" t="s">
        <v>415</v>
      </c>
      <c r="Q104" t="s">
        <v>411</v>
      </c>
      <c r="R104" t="s">
        <v>412</v>
      </c>
      <c r="S104" t="s">
        <v>413</v>
      </c>
      <c r="T104" t="s">
        <v>414</v>
      </c>
      <c r="U104" t="s">
        <v>415</v>
      </c>
      <c r="AD104" t="s">
        <v>411</v>
      </c>
      <c r="AE104" t="s">
        <v>412</v>
      </c>
      <c r="AF104" t="s">
        <v>413</v>
      </c>
      <c r="AG104" t="s">
        <v>414</v>
      </c>
      <c r="AH104" t="s">
        <v>415</v>
      </c>
    </row>
    <row r="105" spans="2:40" x14ac:dyDescent="0.3">
      <c r="B105" s="118" t="s">
        <v>352</v>
      </c>
      <c r="C105" s="8">
        <v>20</v>
      </c>
      <c r="D105" s="90" t="s">
        <v>447</v>
      </c>
      <c r="E105" s="91" t="s">
        <v>446</v>
      </c>
      <c r="F105" s="92" t="s">
        <v>448</v>
      </c>
      <c r="G105" s="124" t="s">
        <v>449</v>
      </c>
      <c r="H105" s="123" t="s">
        <v>450</v>
      </c>
      <c r="I105" s="211" t="s">
        <v>451</v>
      </c>
      <c r="J105" s="212" t="s">
        <v>514</v>
      </c>
      <c r="K105" s="213" t="s">
        <v>515</v>
      </c>
      <c r="L105" s="214" t="s">
        <v>448</v>
      </c>
      <c r="Q105" s="90" t="s">
        <v>447</v>
      </c>
      <c r="R105" s="91" t="s">
        <v>446</v>
      </c>
      <c r="S105" s="92" t="s">
        <v>448</v>
      </c>
      <c r="T105" s="124" t="s">
        <v>449</v>
      </c>
      <c r="U105" s="123" t="s">
        <v>450</v>
      </c>
      <c r="V105" s="211" t="s">
        <v>451</v>
      </c>
      <c r="W105" s="212" t="s">
        <v>514</v>
      </c>
      <c r="X105" s="213" t="s">
        <v>515</v>
      </c>
      <c r="Y105" s="214" t="s">
        <v>448</v>
      </c>
      <c r="AD105" s="90" t="s">
        <v>447</v>
      </c>
      <c r="AE105" s="91" t="s">
        <v>446</v>
      </c>
      <c r="AF105" s="92" t="s">
        <v>448</v>
      </c>
      <c r="AG105" s="124" t="s">
        <v>449</v>
      </c>
      <c r="AH105" s="123" t="s">
        <v>450</v>
      </c>
      <c r="AI105" s="211" t="s">
        <v>451</v>
      </c>
      <c r="AJ105" s="212" t="s">
        <v>514</v>
      </c>
      <c r="AK105" s="213" t="s">
        <v>515</v>
      </c>
      <c r="AL105" s="214" t="s">
        <v>448</v>
      </c>
    </row>
    <row r="106" spans="2:40" x14ac:dyDescent="0.3">
      <c r="B106" s="119" t="s">
        <v>663</v>
      </c>
      <c r="C106" s="107"/>
      <c r="D106" s="116"/>
      <c r="E106" s="116"/>
      <c r="F106" s="116"/>
      <c r="G106" s="116"/>
      <c r="H106" s="116"/>
      <c r="I106" s="107"/>
      <c r="J106" s="107"/>
      <c r="K106" s="107"/>
      <c r="L106" s="107"/>
      <c r="M106" s="107"/>
      <c r="N106" s="141"/>
      <c r="O106" s="119" t="s">
        <v>715</v>
      </c>
      <c r="P106" s="107"/>
      <c r="Q106" s="116"/>
      <c r="R106" s="116"/>
      <c r="S106" s="116"/>
      <c r="T106" s="116"/>
      <c r="U106" s="116"/>
      <c r="V106" s="107"/>
      <c r="W106" s="107"/>
      <c r="X106" s="107"/>
      <c r="Y106" s="107"/>
      <c r="Z106" s="107"/>
      <c r="AA106" s="141"/>
      <c r="AB106" s="119" t="s">
        <v>773</v>
      </c>
      <c r="AC106" s="107"/>
      <c r="AD106" s="116"/>
      <c r="AE106" s="116"/>
      <c r="AF106" s="116"/>
      <c r="AG106" s="116"/>
      <c r="AH106" s="116"/>
      <c r="AI106" s="107"/>
      <c r="AJ106" s="107"/>
      <c r="AK106" s="107"/>
      <c r="AL106" s="107"/>
      <c r="AM106" s="107"/>
      <c r="AN106" s="107"/>
    </row>
    <row r="107" spans="2:40" x14ac:dyDescent="0.3">
      <c r="B107" s="115" t="s">
        <v>375</v>
      </c>
      <c r="C107" s="122" t="s">
        <v>9</v>
      </c>
      <c r="D107" s="135">
        <f>'01T_Seeds'!AL127</f>
        <v>186.29</v>
      </c>
      <c r="E107" s="135">
        <f>'01T_Seeds'!AM127</f>
        <v>66.540000000000006</v>
      </c>
      <c r="F107" s="135">
        <f>'01T_Seeds'!AN127</f>
        <v>4648.66</v>
      </c>
      <c r="G107" s="135">
        <f>'01T_Seeds'!AO127</f>
        <v>15621.17</v>
      </c>
      <c r="H107" s="135">
        <f>'01T_Seeds'!AP127</f>
        <v>4124.59</v>
      </c>
      <c r="I107" s="108">
        <f>$N$2-N107</f>
        <v>108.70000000000073</v>
      </c>
      <c r="J107" s="108"/>
      <c r="K107" s="108">
        <f>D107+E107+G107+H107</f>
        <v>19998.59</v>
      </c>
      <c r="L107" s="108">
        <f>F107</f>
        <v>4648.66</v>
      </c>
      <c r="M107" s="115" t="s">
        <v>36</v>
      </c>
      <c r="N107" s="136">
        <f>SUM(D107:H107)</f>
        <v>24647.25</v>
      </c>
      <c r="O107" s="115" t="s">
        <v>375</v>
      </c>
      <c r="P107" s="122" t="s">
        <v>9</v>
      </c>
      <c r="Q107" s="135">
        <f>'01T_Seeds'!AL132</f>
        <v>0.89</v>
      </c>
      <c r="R107" s="135">
        <f>'01T_Seeds'!AM132</f>
        <v>21.09</v>
      </c>
      <c r="S107" s="135">
        <f>'01T_Seeds'!AN132</f>
        <v>1228.06</v>
      </c>
      <c r="T107" s="135">
        <f>'01T_Seeds'!AO132</f>
        <v>195.09</v>
      </c>
      <c r="U107" s="135">
        <f>'01T_Seeds'!AP132</f>
        <v>17.079999999999998</v>
      </c>
      <c r="V107" s="108">
        <f>$N$3-AA107</f>
        <v>6.5500000000001819</v>
      </c>
      <c r="W107" s="108"/>
      <c r="X107" s="108">
        <f>Q107+R107+T107+U107</f>
        <v>234.14999999999998</v>
      </c>
      <c r="Y107" s="108">
        <f>S107</f>
        <v>1228.06</v>
      </c>
      <c r="Z107" s="115" t="s">
        <v>36</v>
      </c>
      <c r="AA107" s="136">
        <f>SUM(Q107:U107)</f>
        <v>1462.2099999999998</v>
      </c>
      <c r="AB107" s="115" t="s">
        <v>375</v>
      </c>
      <c r="AC107" s="122" t="s">
        <v>9</v>
      </c>
      <c r="AD107" s="135">
        <v>0</v>
      </c>
      <c r="AE107" s="135">
        <v>0.83</v>
      </c>
      <c r="AF107" s="135">
        <v>266.36</v>
      </c>
      <c r="AG107" s="135">
        <v>145.36000000000001</v>
      </c>
      <c r="AH107" s="135">
        <v>3.33</v>
      </c>
      <c r="AI107" s="108">
        <f>$N$4-AN107</f>
        <v>1.8899999999999864</v>
      </c>
      <c r="AJ107" s="108"/>
      <c r="AK107" s="108">
        <f>AD107+AE107+AG107+AH107</f>
        <v>149.52000000000004</v>
      </c>
      <c r="AL107" s="108">
        <f>AF107</f>
        <v>266.36</v>
      </c>
      <c r="AM107" s="115" t="s">
        <v>36</v>
      </c>
      <c r="AN107" s="136">
        <f>SUM(AD107:AH107)</f>
        <v>415.88</v>
      </c>
    </row>
    <row r="108" spans="2:40" x14ac:dyDescent="0.3">
      <c r="B108" s="107"/>
      <c r="C108" s="140" t="s">
        <v>456</v>
      </c>
      <c r="D108" s="150">
        <f t="shared" ref="D108:I108" si="60">D107/$N$2</f>
        <v>7.5250596321288412E-3</v>
      </c>
      <c r="E108" s="150">
        <f t="shared" si="60"/>
        <v>2.6878386812059325E-3</v>
      </c>
      <c r="F108" s="150">
        <f t="shared" si="60"/>
        <v>0.18777950351329678</v>
      </c>
      <c r="G108" s="150">
        <f t="shared" si="60"/>
        <v>0.63100668728123943</v>
      </c>
      <c r="H108" s="150">
        <f t="shared" si="60"/>
        <v>0.16661004728156262</v>
      </c>
      <c r="I108" s="150">
        <f t="shared" si="60"/>
        <v>4.3908636105663779E-3</v>
      </c>
      <c r="J108" s="150"/>
      <c r="K108" s="150">
        <f>K107/$N$2</f>
        <v>0.80782963287613685</v>
      </c>
      <c r="L108" s="150">
        <f>L107/$N$2</f>
        <v>0.18777950351329678</v>
      </c>
      <c r="M108" s="144">
        <f>SUM(D108:I108)</f>
        <v>1</v>
      </c>
      <c r="N108" s="141"/>
      <c r="O108" s="107"/>
      <c r="P108" s="140" t="s">
        <v>455</v>
      </c>
      <c r="Q108" s="150">
        <f t="shared" ref="Q108:V108" si="61">Q107/$N$3</f>
        <v>6.059533211688772E-4</v>
      </c>
      <c r="R108" s="150">
        <f t="shared" si="61"/>
        <v>1.435905117241755E-2</v>
      </c>
      <c r="S108" s="150">
        <f t="shared" si="61"/>
        <v>0.83612026471309131</v>
      </c>
      <c r="T108" s="150">
        <f t="shared" si="61"/>
        <v>0.13282632969307442</v>
      </c>
      <c r="U108" s="150">
        <f t="shared" si="61"/>
        <v>1.1628856995016203E-2</v>
      </c>
      <c r="V108" s="150">
        <f t="shared" si="61"/>
        <v>4.459544105231748E-3</v>
      </c>
      <c r="W108" s="150"/>
      <c r="X108" s="150">
        <f>X107/$N$3</f>
        <v>0.15942019118167705</v>
      </c>
      <c r="Y108" s="150">
        <f>Y107/$N$3</f>
        <v>0.83612026471309131</v>
      </c>
      <c r="Z108" s="144">
        <f>SUM(Q108:V108)</f>
        <v>1</v>
      </c>
      <c r="AA108" s="141"/>
      <c r="AB108" s="107"/>
      <c r="AC108" s="140" t="s">
        <v>455</v>
      </c>
      <c r="AD108" s="150">
        <f>AD107/$N$4</f>
        <v>0</v>
      </c>
      <c r="AE108" s="150">
        <f t="shared" ref="AE108:AI108" si="62">AE107/$N$4</f>
        <v>1.9867391148239463E-3</v>
      </c>
      <c r="AF108" s="150">
        <f t="shared" si="62"/>
        <v>0.63757569954759807</v>
      </c>
      <c r="AG108" s="150">
        <f t="shared" si="62"/>
        <v>0.34794264786844442</v>
      </c>
      <c r="AH108" s="150">
        <f t="shared" si="62"/>
        <v>7.9708930751370369E-3</v>
      </c>
      <c r="AI108" s="150">
        <f t="shared" si="62"/>
        <v>4.5240203939966644E-3</v>
      </c>
      <c r="AJ108" s="150"/>
      <c r="AK108" s="150">
        <f t="shared" ref="AK108:AL108" si="63">AK107/$N$4</f>
        <v>0.35790028005840546</v>
      </c>
      <c r="AL108" s="150">
        <f t="shared" si="63"/>
        <v>0.63757569954759807</v>
      </c>
      <c r="AM108" s="144">
        <f>SUM(AD108:AI108)</f>
        <v>1</v>
      </c>
      <c r="AN108" s="107"/>
    </row>
    <row r="109" spans="2:40" x14ac:dyDescent="0.3">
      <c r="B109" s="107" t="s">
        <v>513</v>
      </c>
      <c r="C109" s="107" t="s">
        <v>9</v>
      </c>
      <c r="D109" s="108">
        <v>178.7</v>
      </c>
      <c r="E109" s="108">
        <v>27.41</v>
      </c>
      <c r="F109" s="108">
        <v>4390.18</v>
      </c>
      <c r="G109" s="108">
        <v>15268.44</v>
      </c>
      <c r="H109" s="108">
        <v>3888.07</v>
      </c>
      <c r="I109" s="108">
        <f>I107</f>
        <v>108.70000000000073</v>
      </c>
      <c r="J109" s="108">
        <f>SUM(D107:H107)-SUM(D109:H109)</f>
        <v>894.45000000000073</v>
      </c>
      <c r="K109" s="108">
        <f>D109+E109+G109+H109</f>
        <v>19362.620000000003</v>
      </c>
      <c r="L109" s="108">
        <f>F109</f>
        <v>4390.18</v>
      </c>
      <c r="M109" s="115" t="s">
        <v>524</v>
      </c>
      <c r="N109" s="195">
        <f>SUM(D109:H109)</f>
        <v>23752.799999999999</v>
      </c>
      <c r="O109" s="107" t="s">
        <v>513</v>
      </c>
      <c r="P109" s="122" t="s">
        <v>9</v>
      </c>
      <c r="Q109" s="108">
        <v>0.8</v>
      </c>
      <c r="R109" s="108">
        <v>14.8</v>
      </c>
      <c r="S109" s="108">
        <v>1216.54</v>
      </c>
      <c r="T109" s="108">
        <v>188.85</v>
      </c>
      <c r="U109" s="108">
        <v>14.24</v>
      </c>
      <c r="V109" s="108">
        <f>V107</f>
        <v>6.5500000000001819</v>
      </c>
      <c r="W109" s="108">
        <f>SUM(Q107:U107)-SUM(Q109:U109)</f>
        <v>26.980000000000018</v>
      </c>
      <c r="X109" s="108">
        <f>Q109+R109+T109+U109</f>
        <v>218.69</v>
      </c>
      <c r="Y109" s="108">
        <f>S109</f>
        <v>1216.54</v>
      </c>
      <c r="Z109" s="115" t="s">
        <v>524</v>
      </c>
      <c r="AA109" s="195">
        <f>SUM(Q109:U109)</f>
        <v>1435.2299999999998</v>
      </c>
      <c r="AB109" s="107" t="s">
        <v>513</v>
      </c>
      <c r="AC109" s="122" t="s">
        <v>9</v>
      </c>
      <c r="AD109" s="108">
        <v>0</v>
      </c>
      <c r="AE109" s="108">
        <v>0.27</v>
      </c>
      <c r="AF109" s="108">
        <v>262.45</v>
      </c>
      <c r="AG109" s="108">
        <v>141.72999999999999</v>
      </c>
      <c r="AH109" s="108">
        <v>2.61</v>
      </c>
      <c r="AI109" s="108">
        <f>AI107</f>
        <v>1.8899999999999864</v>
      </c>
      <c r="AJ109" s="108">
        <f>SUM(AD107:AH107)-SUM(AD109:AH109)</f>
        <v>8.82000000000005</v>
      </c>
      <c r="AK109" s="108">
        <f>AD109+AE109+AG109+AH109</f>
        <v>144.61000000000001</v>
      </c>
      <c r="AL109" s="108">
        <f>AF109</f>
        <v>262.45</v>
      </c>
      <c r="AM109" s="115" t="s">
        <v>524</v>
      </c>
      <c r="AN109" s="195">
        <f>SUM(AD109:AH109)</f>
        <v>407.05999999999995</v>
      </c>
    </row>
    <row r="110" spans="2:40" x14ac:dyDescent="0.3">
      <c r="B110" s="107"/>
      <c r="C110" s="140" t="s">
        <v>455</v>
      </c>
      <c r="D110" s="150">
        <f t="shared" ref="D110:L110" si="64">D109/$N$2</f>
        <v>7.2184666716486332E-3</v>
      </c>
      <c r="E110" s="150">
        <f t="shared" si="64"/>
        <v>1.1072085700609348E-3</v>
      </c>
      <c r="F110" s="150">
        <f t="shared" si="64"/>
        <v>0.17733837723860324</v>
      </c>
      <c r="G110" s="150">
        <f t="shared" si="64"/>
        <v>0.61675839545644584</v>
      </c>
      <c r="H110" s="150">
        <f t="shared" si="64"/>
        <v>0.15705598048146002</v>
      </c>
      <c r="I110" s="150">
        <f t="shared" si="64"/>
        <v>4.3908636105663779E-3</v>
      </c>
      <c r="J110" s="150">
        <f t="shared" si="64"/>
        <v>3.613070797121503E-2</v>
      </c>
      <c r="K110" s="150">
        <f t="shared" si="64"/>
        <v>0.78214005117961549</v>
      </c>
      <c r="L110" s="150">
        <f t="shared" si="64"/>
        <v>0.17733837723860324</v>
      </c>
      <c r="M110" s="144">
        <f>SUM(D110:J110)</f>
        <v>1.0000000000000002</v>
      </c>
      <c r="N110" s="194">
        <f>N109/N107</f>
        <v>0.96370994735721016</v>
      </c>
      <c r="O110" s="107"/>
      <c r="P110" s="140" t="s">
        <v>455</v>
      </c>
      <c r="Q110" s="150">
        <f t="shared" ref="Q110:Y110" si="65">Q109/$N$3</f>
        <v>5.4467714262370986E-4</v>
      </c>
      <c r="R110" s="150">
        <f t="shared" si="65"/>
        <v>1.0076527138538632E-2</v>
      </c>
      <c r="S110" s="150">
        <f t="shared" si="65"/>
        <v>0.8282769138593099</v>
      </c>
      <c r="T110" s="150">
        <f t="shared" si="65"/>
        <v>0.12857784798060948</v>
      </c>
      <c r="U110" s="150">
        <f t="shared" si="65"/>
        <v>9.6952531387020351E-3</v>
      </c>
      <c r="V110" s="150">
        <f t="shared" si="65"/>
        <v>4.459544105231748E-3</v>
      </c>
      <c r="W110" s="150">
        <f t="shared" si="65"/>
        <v>1.8369236634984625E-2</v>
      </c>
      <c r="X110" s="150">
        <f t="shared" si="65"/>
        <v>0.14889430540047388</v>
      </c>
      <c r="Y110" s="150">
        <f t="shared" si="65"/>
        <v>0.8282769138593099</v>
      </c>
      <c r="Z110" s="144">
        <f>SUM(Q110:W110)</f>
        <v>1</v>
      </c>
      <c r="AA110" s="194">
        <f>AA109/AA107</f>
        <v>0.98154847798879774</v>
      </c>
      <c r="AB110" s="107"/>
      <c r="AC110" s="140" t="s">
        <v>455</v>
      </c>
      <c r="AD110" s="150">
        <f t="shared" ref="AD110:AL110" si="66">AD109/$N$4</f>
        <v>0</v>
      </c>
      <c r="AE110" s="150">
        <f t="shared" si="66"/>
        <v>6.4628862771381394E-4</v>
      </c>
      <c r="AF110" s="150">
        <f t="shared" si="66"/>
        <v>0.62821648275366826</v>
      </c>
      <c r="AG110" s="150">
        <f t="shared" si="66"/>
        <v>0.33925365631806975</v>
      </c>
      <c r="AH110" s="150">
        <f t="shared" si="66"/>
        <v>6.2474567345668667E-3</v>
      </c>
      <c r="AI110" s="150">
        <f t="shared" si="66"/>
        <v>4.5240203939966644E-3</v>
      </c>
      <c r="AJ110" s="150">
        <f t="shared" si="66"/>
        <v>2.1112095171984705E-2</v>
      </c>
      <c r="AK110" s="150">
        <f t="shared" si="66"/>
        <v>0.34614740168035046</v>
      </c>
      <c r="AL110" s="150">
        <f t="shared" si="66"/>
        <v>0.62821648275366826</v>
      </c>
      <c r="AM110" s="144">
        <f>SUM(AD110:AJ110)</f>
        <v>1</v>
      </c>
      <c r="AN110" s="194">
        <f>AN109/AN107</f>
        <v>0.97879195921900541</v>
      </c>
    </row>
    <row r="111" spans="2:40" x14ac:dyDescent="0.3">
      <c r="B111" s="107"/>
      <c r="C111" s="107" t="s">
        <v>516</v>
      </c>
      <c r="D111" s="112">
        <f>D107-D109</f>
        <v>7.5900000000000034</v>
      </c>
      <c r="E111" s="112">
        <f>E107-E109</f>
        <v>39.13000000000001</v>
      </c>
      <c r="F111" s="112">
        <f>F107-F109</f>
        <v>258.47999999999956</v>
      </c>
      <c r="G111" s="112">
        <f>G107-G109</f>
        <v>352.72999999999956</v>
      </c>
      <c r="H111" s="112">
        <f>H107-H109</f>
        <v>236.51999999999998</v>
      </c>
      <c r="I111" s="146"/>
      <c r="J111" s="146"/>
      <c r="K111" s="112">
        <f>K107-K109</f>
        <v>635.96999999999753</v>
      </c>
      <c r="L111" s="108">
        <f>F111</f>
        <v>258.47999999999956</v>
      </c>
      <c r="M111" s="144"/>
      <c r="N111" s="107"/>
      <c r="O111" s="107"/>
      <c r="P111" s="107" t="s">
        <v>516</v>
      </c>
      <c r="Q111" s="112">
        <f>Q107-Q109</f>
        <v>8.9999999999999969E-2</v>
      </c>
      <c r="R111" s="112">
        <f>R107-R109</f>
        <v>6.2899999999999991</v>
      </c>
      <c r="S111" s="112">
        <f>S107-S109</f>
        <v>11.519999999999982</v>
      </c>
      <c r="T111" s="112">
        <f>T107-T109</f>
        <v>6.2400000000000091</v>
      </c>
      <c r="U111" s="112">
        <f>U107-U109</f>
        <v>2.8399999999999981</v>
      </c>
      <c r="V111" s="146"/>
      <c r="W111" s="146"/>
      <c r="X111" s="112">
        <f>X107-X109</f>
        <v>15.45999999999998</v>
      </c>
      <c r="Y111" s="108">
        <f>S111</f>
        <v>11.519999999999982</v>
      </c>
      <c r="Z111" s="144"/>
      <c r="AA111" s="107"/>
      <c r="AB111" s="107"/>
      <c r="AC111" s="107" t="s">
        <v>516</v>
      </c>
      <c r="AD111" s="112">
        <f>AD107-AD109</f>
        <v>0</v>
      </c>
      <c r="AE111" s="112">
        <f>AE107-AE109</f>
        <v>0.55999999999999994</v>
      </c>
      <c r="AF111" s="112">
        <f>AF107-AF109</f>
        <v>3.910000000000025</v>
      </c>
      <c r="AG111" s="112">
        <f>AG107-AG109</f>
        <v>3.6300000000000239</v>
      </c>
      <c r="AH111" s="112">
        <f>AH107-AH109</f>
        <v>0.7200000000000002</v>
      </c>
      <c r="AI111" s="146"/>
      <c r="AJ111" s="146"/>
      <c r="AK111" s="112">
        <f>AK107-AK109</f>
        <v>4.910000000000025</v>
      </c>
      <c r="AL111" s="108">
        <f>AF111</f>
        <v>3.910000000000025</v>
      </c>
      <c r="AM111" s="144"/>
      <c r="AN111" s="107"/>
    </row>
    <row r="112" spans="2:40" x14ac:dyDescent="0.3">
      <c r="B112" s="107"/>
      <c r="C112" s="107" t="s">
        <v>517</v>
      </c>
      <c r="D112" s="146">
        <f>D111/D107</f>
        <v>4.0742927693381309E-2</v>
      </c>
      <c r="E112" s="146">
        <f>E111/E107</f>
        <v>0.58806732792305394</v>
      </c>
      <c r="F112" s="146">
        <f>F111/F107</f>
        <v>5.5603120038892839E-2</v>
      </c>
      <c r="G112" s="146">
        <f>G111/G107</f>
        <v>2.2580254872074216E-2</v>
      </c>
      <c r="H112" s="146">
        <f>H111/H107</f>
        <v>5.7343881452459514E-2</v>
      </c>
      <c r="I112" s="146"/>
      <c r="J112" s="146"/>
      <c r="K112" s="150">
        <f>K111/K107</f>
        <v>3.1800741952307511E-2</v>
      </c>
      <c r="L112" s="150">
        <f>L111/$N$2</f>
        <v>1.0441126274693541E-2</v>
      </c>
      <c r="M112" s="144"/>
      <c r="N112" s="107"/>
      <c r="O112" s="107"/>
      <c r="P112" s="107" t="s">
        <v>517</v>
      </c>
      <c r="Q112" s="146">
        <f>Q111/Q107</f>
        <v>0.10112359550561795</v>
      </c>
      <c r="R112" s="146">
        <f>R111/R107</f>
        <v>0.2982456140350877</v>
      </c>
      <c r="S112" s="146">
        <f>S111/S107</f>
        <v>9.3806491539501179E-3</v>
      </c>
      <c r="T112" s="146">
        <f>T111/T107</f>
        <v>3.1985237582654202E-2</v>
      </c>
      <c r="U112" s="146">
        <f>U111/U107</f>
        <v>0.16627634660421536</v>
      </c>
      <c r="V112" s="146"/>
      <c r="W112" s="146"/>
      <c r="X112" s="150">
        <f>X111/X107</f>
        <v>6.6026051676275815E-2</v>
      </c>
      <c r="Y112" s="150">
        <f>Y111/$N$3</f>
        <v>7.8433508537814091E-3</v>
      </c>
      <c r="Z112" s="144"/>
      <c r="AA112" s="107"/>
      <c r="AB112" s="107"/>
      <c r="AC112" s="107" t="s">
        <v>517</v>
      </c>
      <c r="AD112" s="146" t="s">
        <v>527</v>
      </c>
      <c r="AE112" s="146">
        <f>AE111/AE107</f>
        <v>0.67469879518072284</v>
      </c>
      <c r="AF112" s="146">
        <f>AF111/AF107</f>
        <v>1.4679381288481848E-2</v>
      </c>
      <c r="AG112" s="146">
        <f>AG111/AG107</f>
        <v>2.4972482113373856E-2</v>
      </c>
      <c r="AH112" s="146">
        <f>AH111/AH107</f>
        <v>0.21621621621621628</v>
      </c>
      <c r="AI112" s="146"/>
      <c r="AJ112" s="146"/>
      <c r="AK112" s="150">
        <f t="shared" ref="AK112:AL112" si="67">AK111/$N$4</f>
        <v>1.1752878378054971E-2</v>
      </c>
      <c r="AL112" s="150">
        <f t="shared" si="67"/>
        <v>9.3592167939297345E-3</v>
      </c>
      <c r="AM112" s="144"/>
      <c r="AN112" s="107"/>
    </row>
    <row r="113" spans="2:40" x14ac:dyDescent="0.3">
      <c r="B113" s="115" t="s">
        <v>376</v>
      </c>
      <c r="C113" s="122" t="s">
        <v>9</v>
      </c>
      <c r="D113" s="135">
        <f>'01T_Seeds'!AL129</f>
        <v>184.97449999999998</v>
      </c>
      <c r="E113" s="135">
        <f>'01T_Seeds'!AM129</f>
        <v>94.1</v>
      </c>
      <c r="F113" s="135">
        <f>'01T_Seeds'!AN129</f>
        <v>4605.4665000000005</v>
      </c>
      <c r="G113" s="135">
        <f>'01T_Seeds'!AO129</f>
        <v>15588.859000000002</v>
      </c>
      <c r="H113" s="135">
        <f>'01T_Seeds'!AP129</f>
        <v>4173.8449999999993</v>
      </c>
      <c r="I113" s="108">
        <f>$N$2-N113</f>
        <v>108.70499999999811</v>
      </c>
      <c r="J113" s="108"/>
      <c r="K113" s="108"/>
      <c r="L113" s="108"/>
      <c r="M113" s="115" t="s">
        <v>36</v>
      </c>
      <c r="N113" s="136">
        <f>SUM(D113:H113)</f>
        <v>24647.245000000003</v>
      </c>
      <c r="O113" s="115" t="s">
        <v>376</v>
      </c>
      <c r="P113" s="122" t="s">
        <v>9</v>
      </c>
      <c r="Q113" s="135">
        <f>'01T_Seeds'!AL134</f>
        <v>0.91500000000000026</v>
      </c>
      <c r="R113" s="135">
        <f>'01T_Seeds'!AM134</f>
        <v>23.364000000000001</v>
      </c>
      <c r="S113" s="135">
        <f>'01T_Seeds'!AN134</f>
        <v>1224.8064999999997</v>
      </c>
      <c r="T113" s="135">
        <f>'01T_Seeds'!AO134</f>
        <v>195.72299999999996</v>
      </c>
      <c r="U113" s="135">
        <f>'01T_Seeds'!AP134</f>
        <v>17.405500000000004</v>
      </c>
      <c r="V113" s="108">
        <f>$N$3-AA113</f>
        <v>6.5460000000002765</v>
      </c>
      <c r="W113" s="108"/>
      <c r="X113" s="108"/>
      <c r="Y113" s="108"/>
      <c r="Z113" s="115" t="s">
        <v>36</v>
      </c>
      <c r="AA113" s="136">
        <f>SUM(Q113:U113)</f>
        <v>1462.2139999999997</v>
      </c>
      <c r="AB113" s="115" t="s">
        <v>376</v>
      </c>
      <c r="AC113" s="122"/>
      <c r="AD113" s="138"/>
      <c r="AE113" s="135"/>
      <c r="AF113" s="135"/>
      <c r="AG113" s="135"/>
      <c r="AH113" s="135"/>
      <c r="AI113" s="108"/>
      <c r="AJ113" s="108"/>
      <c r="AK113" s="108"/>
      <c r="AL113" s="108"/>
      <c r="AM113" s="115"/>
      <c r="AN113" s="136"/>
    </row>
    <row r="114" spans="2:40" x14ac:dyDescent="0.3">
      <c r="B114" s="115"/>
      <c r="C114" s="140" t="s">
        <v>455</v>
      </c>
      <c r="D114" s="150">
        <f t="shared" ref="D114:I114" si="68">D113/$N$2</f>
        <v>7.4719208917452158E-3</v>
      </c>
      <c r="E114" s="150">
        <f t="shared" si="68"/>
        <v>3.8011064006834719E-3</v>
      </c>
      <c r="F114" s="150">
        <f t="shared" si="68"/>
        <v>0.186034731044456</v>
      </c>
      <c r="G114" s="150">
        <f t="shared" si="68"/>
        <v>0.62970150610257336</v>
      </c>
      <c r="H114" s="150">
        <f t="shared" si="68"/>
        <v>0.1685996699783284</v>
      </c>
      <c r="I114" s="145">
        <f t="shared" si="68"/>
        <v>4.3910655822134922E-3</v>
      </c>
      <c r="J114" s="145"/>
      <c r="K114" s="145"/>
      <c r="L114" s="145"/>
      <c r="M114" s="144">
        <f>SUM(D114:I114)</f>
        <v>0.99999999999999989</v>
      </c>
      <c r="N114" s="136"/>
      <c r="O114" s="115"/>
      <c r="P114" s="140" t="s">
        <v>455</v>
      </c>
      <c r="Q114" s="150">
        <f t="shared" ref="Q114:V114" si="69">Q113/$N$3</f>
        <v>6.229744818758683E-4</v>
      </c>
      <c r="R114" s="150">
        <f t="shared" si="69"/>
        <v>1.5907295950325445E-2</v>
      </c>
      <c r="S114" s="150">
        <f t="shared" si="69"/>
        <v>0.83390513085868334</v>
      </c>
      <c r="T114" s="150">
        <f t="shared" si="69"/>
        <v>0.1332573054821754</v>
      </c>
      <c r="U114" s="150">
        <f t="shared" si="69"/>
        <v>1.1850472507421229E-2</v>
      </c>
      <c r="V114" s="146">
        <f t="shared" si="69"/>
        <v>4.456820719518694E-3</v>
      </c>
      <c r="W114" s="146"/>
      <c r="X114" s="146"/>
      <c r="Y114" s="145"/>
      <c r="Z114" s="144">
        <f>SUM(Q114:V114)</f>
        <v>1</v>
      </c>
      <c r="AA114" s="136"/>
      <c r="AB114" s="115"/>
      <c r="AC114" s="140"/>
      <c r="AD114" s="150"/>
      <c r="AE114" s="150"/>
      <c r="AF114" s="150"/>
      <c r="AG114" s="150"/>
      <c r="AH114" s="150"/>
      <c r="AI114" s="146"/>
      <c r="AJ114" s="146"/>
      <c r="AK114" s="146"/>
      <c r="AL114" s="146"/>
      <c r="AM114" s="144"/>
      <c r="AN114" s="136"/>
    </row>
    <row r="115" spans="2:40" x14ac:dyDescent="0.3">
      <c r="B115" s="107"/>
      <c r="C115" s="147" t="s">
        <v>368</v>
      </c>
      <c r="D115" s="108">
        <f>'01T_Seeds'!AL130</f>
        <v>0.72683252070741455</v>
      </c>
      <c r="E115" s="108">
        <f>'01T_Seeds'!AM130</f>
        <v>5.310859827303215</v>
      </c>
      <c r="F115" s="108">
        <f>'01T_Seeds'!AN130</f>
        <v>16.487982645662967</v>
      </c>
      <c r="G115" s="108">
        <f>'01T_Seeds'!AO130</f>
        <v>18.142461373369645</v>
      </c>
      <c r="H115" s="108">
        <f>'01T_Seeds'!AP130</f>
        <v>18.792141057535606</v>
      </c>
      <c r="I115" s="107"/>
      <c r="J115" s="107"/>
      <c r="K115" s="107"/>
      <c r="L115" s="107"/>
      <c r="M115" s="107"/>
      <c r="N115" s="141"/>
      <c r="O115" s="107"/>
      <c r="P115" s="147" t="s">
        <v>368</v>
      </c>
      <c r="Q115" s="108">
        <f>'01T_Seeds'!AL135</f>
        <v>1.7464249196572985E-2</v>
      </c>
      <c r="R115" s="108">
        <f>'01T_Seeds'!AM135</f>
        <v>0.90699312363202911</v>
      </c>
      <c r="S115" s="108">
        <f>'01T_Seeds'!AN135</f>
        <v>1.0443394474877132</v>
      </c>
      <c r="T115" s="108">
        <f>'01T_Seeds'!AO135</f>
        <v>0.94366812297321456</v>
      </c>
      <c r="U115" s="108">
        <f>'01T_Seeds'!AP135</f>
        <v>0.28395373511227234</v>
      </c>
      <c r="V115" s="107"/>
      <c r="W115" s="107"/>
      <c r="X115" s="107"/>
      <c r="Y115" s="107"/>
      <c r="Z115" s="107"/>
      <c r="AA115" s="107"/>
      <c r="AB115" s="107"/>
      <c r="AC115" s="147"/>
      <c r="AD115" s="108"/>
      <c r="AE115" s="108"/>
      <c r="AF115" s="108"/>
      <c r="AG115" s="108"/>
      <c r="AH115" s="108"/>
      <c r="AI115" s="107"/>
      <c r="AJ115" s="107"/>
      <c r="AK115" s="107"/>
      <c r="AL115" s="107"/>
      <c r="AM115" s="107"/>
      <c r="AN115" s="107"/>
    </row>
    <row r="116" spans="2:40" x14ac:dyDescent="0.3">
      <c r="B116" s="107"/>
      <c r="C116" s="128" t="s">
        <v>458</v>
      </c>
      <c r="D116" s="125">
        <f>1.96*D115</f>
        <v>1.4245917405865325</v>
      </c>
      <c r="E116" s="125">
        <f>1.96*E115</f>
        <v>10.409285261514301</v>
      </c>
      <c r="F116" s="125">
        <f>1.96*F115</f>
        <v>32.316445985499413</v>
      </c>
      <c r="G116" s="125">
        <f>1.96*G115</f>
        <v>35.559224291804505</v>
      </c>
      <c r="H116" s="125">
        <f>1.96*H115</f>
        <v>36.832596472769787</v>
      </c>
      <c r="I116" s="107"/>
      <c r="J116" s="107"/>
      <c r="K116" s="107"/>
      <c r="L116" s="107"/>
      <c r="M116" s="107"/>
      <c r="N116" s="141"/>
      <c r="O116" s="107"/>
      <c r="P116" s="128" t="s">
        <v>458</v>
      </c>
      <c r="Q116" s="125">
        <f>1.96*Q115</f>
        <v>3.4229928425283052E-2</v>
      </c>
      <c r="R116" s="125">
        <f>1.96*R115</f>
        <v>1.7777065223187771</v>
      </c>
      <c r="S116" s="125">
        <f>1.96*S115</f>
        <v>2.0469053170759177</v>
      </c>
      <c r="T116" s="125">
        <f>1.96*T115</f>
        <v>1.8495895210275004</v>
      </c>
      <c r="U116" s="125">
        <f>1.96*U115</f>
        <v>0.55654932082005382</v>
      </c>
      <c r="V116" s="107"/>
      <c r="W116" s="107"/>
      <c r="X116" s="107"/>
      <c r="Y116" s="107"/>
      <c r="Z116" s="107"/>
      <c r="AA116" s="107"/>
      <c r="AB116" s="107"/>
      <c r="AC116" s="128"/>
      <c r="AD116" s="125"/>
      <c r="AE116" s="125"/>
      <c r="AF116" s="125"/>
      <c r="AG116" s="125"/>
      <c r="AH116" s="125"/>
      <c r="AI116" s="107"/>
      <c r="AJ116" s="107"/>
      <c r="AK116" s="107"/>
      <c r="AL116" s="107"/>
      <c r="AM116" s="107"/>
      <c r="AN116" s="107"/>
    </row>
    <row r="117" spans="2:40" x14ac:dyDescent="0.3">
      <c r="B117" s="115" t="s">
        <v>375</v>
      </c>
      <c r="C117" s="107" t="s">
        <v>367</v>
      </c>
      <c r="D117" s="145">
        <f>D107/SUM(D107:H107)</f>
        <v>7.5582468632403206E-3</v>
      </c>
      <c r="E117" s="145">
        <f>E107/SUM(D107:H107)</f>
        <v>2.6996926634817275E-3</v>
      </c>
      <c r="F117" s="145">
        <f>F107/SUM(D107:H107)</f>
        <v>0.18860765399791052</v>
      </c>
      <c r="G117" s="145">
        <f>G107/SUM(D107:H107)</f>
        <v>0.63378957084461751</v>
      </c>
      <c r="H117" s="145">
        <f>H107/SUM(D107:H107)</f>
        <v>0.16734483563074989</v>
      </c>
      <c r="I117" s="151">
        <f>SUM(D117:H117)</f>
        <v>1</v>
      </c>
      <c r="J117" s="107"/>
      <c r="K117" s="107"/>
      <c r="L117" s="107"/>
      <c r="M117" s="107"/>
      <c r="N117" s="107"/>
      <c r="O117" s="115" t="s">
        <v>375</v>
      </c>
      <c r="P117" s="107" t="s">
        <v>367</v>
      </c>
      <c r="Q117" s="145">
        <f>Q107/SUM(Q107:U107)</f>
        <v>6.0866770162972493E-4</v>
      </c>
      <c r="R117" s="145">
        <f>R107/SUM(Q107:U107)</f>
        <v>1.4423372839742583E-2</v>
      </c>
      <c r="S117" s="145">
        <f>S107/SUM(Q107:U107)</f>
        <v>0.83986568276786511</v>
      </c>
      <c r="T117" s="145">
        <f>T107/SUM(Q107:U107)</f>
        <v>0.13342132798982365</v>
      </c>
      <c r="U117" s="145">
        <f>U107/SUM(Q107:U107)</f>
        <v>1.1680948700938989E-2</v>
      </c>
      <c r="V117" s="151">
        <f>SUM(Q117:U117)</f>
        <v>1</v>
      </c>
      <c r="W117" s="107"/>
      <c r="X117" s="107"/>
      <c r="Y117" s="107"/>
      <c r="Z117" s="107"/>
      <c r="AA117" s="107"/>
      <c r="AB117" s="115" t="s">
        <v>375</v>
      </c>
      <c r="AC117" s="107" t="s">
        <v>367</v>
      </c>
      <c r="AD117" s="145">
        <f>AD107/SUM(AD107:AH107)</f>
        <v>0</v>
      </c>
      <c r="AE117" s="145">
        <f>AE107/SUM(AD107:AH107)</f>
        <v>1.9957680100028854E-3</v>
      </c>
      <c r="AF117" s="145">
        <f>AF107/SUM(AD107:AH107)</f>
        <v>0.64047321342695007</v>
      </c>
      <c r="AG117" s="145">
        <f>AG107/SUM(AD107:AH107)</f>
        <v>0.34952390112532467</v>
      </c>
      <c r="AH117" s="145">
        <f>AH107/SUM(AD107:AH107)</f>
        <v>8.0071174377224202E-3</v>
      </c>
      <c r="AI117" s="151">
        <f>SUM(AD117:AH117)</f>
        <v>1</v>
      </c>
      <c r="AJ117" s="107"/>
      <c r="AK117" s="107"/>
      <c r="AL117" s="107"/>
      <c r="AM117" s="107"/>
      <c r="AN117" s="107"/>
    </row>
    <row r="118" spans="2:40" x14ac:dyDescent="0.3">
      <c r="B118" s="147" t="s">
        <v>648</v>
      </c>
      <c r="C118" s="90" t="s">
        <v>447</v>
      </c>
      <c r="D118" s="108">
        <f>D111*D117</f>
        <v>5.736709369199406E-2</v>
      </c>
      <c r="E118" s="108">
        <f>E111*D117</f>
        <v>0.29575419975859379</v>
      </c>
      <c r="F118" s="108">
        <f>F111*D117</f>
        <v>1.9536556492103547</v>
      </c>
      <c r="G118" s="108">
        <f>G111*D117</f>
        <v>2.6660204160707548</v>
      </c>
      <c r="H118" s="108">
        <f>H111*D117</f>
        <v>1.7876765480936005</v>
      </c>
      <c r="I118" s="107"/>
      <c r="J118" s="107"/>
      <c r="K118" s="107"/>
      <c r="L118" s="107"/>
      <c r="M118" s="107"/>
      <c r="N118" s="107"/>
      <c r="O118" s="147" t="s">
        <v>648</v>
      </c>
      <c r="P118" s="90" t="s">
        <v>447</v>
      </c>
      <c r="Q118" s="108">
        <f>Q111*Q117</f>
        <v>5.4780093146675222E-5</v>
      </c>
      <c r="R118" s="108">
        <f>R111*Q117</f>
        <v>3.8285198432509693E-3</v>
      </c>
      <c r="S118" s="108">
        <f>S111*Q117</f>
        <v>7.0118519227744197E-3</v>
      </c>
      <c r="T118" s="108">
        <f>T111*Q117</f>
        <v>3.7980864581694893E-3</v>
      </c>
      <c r="U118" s="108">
        <f>U111*Q117</f>
        <v>1.7286162726284175E-3</v>
      </c>
      <c r="V118" s="107"/>
      <c r="W118" s="107"/>
      <c r="X118" s="107"/>
      <c r="Y118" s="107"/>
      <c r="Z118" s="107"/>
      <c r="AA118" s="107"/>
      <c r="AB118" s="147" t="s">
        <v>648</v>
      </c>
      <c r="AC118" s="90" t="s">
        <v>447</v>
      </c>
      <c r="AD118" s="108">
        <f>AD111*AD117</f>
        <v>0</v>
      </c>
      <c r="AE118" s="108">
        <f>AE111*AD117</f>
        <v>0</v>
      </c>
      <c r="AF118" s="108">
        <f>AF111*AD117</f>
        <v>0</v>
      </c>
      <c r="AG118" s="108">
        <f>AG111*AD117</f>
        <v>0</v>
      </c>
      <c r="AH118" s="108">
        <f>AH111*AD117</f>
        <v>0</v>
      </c>
      <c r="AI118" s="107"/>
      <c r="AJ118" s="107"/>
      <c r="AK118" s="107"/>
      <c r="AL118" s="107"/>
      <c r="AM118" s="107"/>
      <c r="AN118" s="107"/>
    </row>
    <row r="119" spans="2:40" x14ac:dyDescent="0.3">
      <c r="B119" s="107" t="s">
        <v>649</v>
      </c>
      <c r="C119" s="91" t="s">
        <v>446</v>
      </c>
      <c r="D119" s="108">
        <f>D111*E117</f>
        <v>2.0490667315826321E-2</v>
      </c>
      <c r="E119" s="108">
        <f>E111*E117</f>
        <v>0.10563897392204002</v>
      </c>
      <c r="F119" s="108">
        <f>F111*E117</f>
        <v>0.69781655965675571</v>
      </c>
      <c r="G119" s="108">
        <f>G111*E117</f>
        <v>0.95226259318990858</v>
      </c>
      <c r="H119" s="108">
        <f>H111*E117</f>
        <v>0.63853130876669817</v>
      </c>
      <c r="I119" s="107"/>
      <c r="J119" s="107"/>
      <c r="K119" s="107"/>
      <c r="L119" s="107"/>
      <c r="M119" s="107"/>
      <c r="N119" s="107"/>
      <c r="O119" s="107" t="s">
        <v>649</v>
      </c>
      <c r="P119" s="91" t="s">
        <v>446</v>
      </c>
      <c r="Q119" s="108">
        <f>Q111*R117</f>
        <v>1.298103555576832E-3</v>
      </c>
      <c r="R119" s="108">
        <f>R111*R117</f>
        <v>9.0723015161980836E-2</v>
      </c>
      <c r="S119" s="108">
        <f>S111*R117</f>
        <v>0.16615725511383431</v>
      </c>
      <c r="T119" s="108">
        <f>T111*R117</f>
        <v>9.000184651999385E-2</v>
      </c>
      <c r="U119" s="108">
        <f>U111*R117</f>
        <v>4.0962378864868906E-2</v>
      </c>
      <c r="V119" s="107"/>
      <c r="W119" s="107"/>
      <c r="X119" s="107"/>
      <c r="Y119" s="107"/>
      <c r="Z119" s="107"/>
      <c r="AA119" s="107"/>
      <c r="AB119" s="107" t="s">
        <v>649</v>
      </c>
      <c r="AC119" s="91" t="s">
        <v>446</v>
      </c>
      <c r="AD119" s="108">
        <f>AD111*AE117</f>
        <v>0</v>
      </c>
      <c r="AE119" s="108">
        <f>AE111*AE117</f>
        <v>1.1176300856016157E-3</v>
      </c>
      <c r="AF119" s="108">
        <f>AF111*AE117</f>
        <v>7.803452919111332E-3</v>
      </c>
      <c r="AG119" s="108">
        <f>AG111*AE117</f>
        <v>7.2446378763105215E-3</v>
      </c>
      <c r="AH119" s="108">
        <f>AH111*AE117</f>
        <v>1.436952967202078E-3</v>
      </c>
      <c r="AI119" s="107"/>
      <c r="AJ119" s="107"/>
      <c r="AK119" s="107"/>
      <c r="AL119" s="107"/>
      <c r="AM119" s="107"/>
      <c r="AN119" s="107"/>
    </row>
    <row r="120" spans="2:40" x14ac:dyDescent="0.3">
      <c r="B120" s="107"/>
      <c r="C120" s="92" t="s">
        <v>448</v>
      </c>
      <c r="D120" s="108">
        <f>D111*F117</f>
        <v>1.4315320938441414</v>
      </c>
      <c r="E120" s="108">
        <f>E111*F117</f>
        <v>7.3802175009382402</v>
      </c>
      <c r="F120" s="108">
        <f>F111*F117</f>
        <v>48.751306405379829</v>
      </c>
      <c r="G120" s="108">
        <f>G111*F117</f>
        <v>66.527577794682898</v>
      </c>
      <c r="H120" s="108">
        <f>H111*F117</f>
        <v>44.609482323585794</v>
      </c>
      <c r="I120" s="107"/>
      <c r="J120" s="107"/>
      <c r="K120" s="107"/>
      <c r="L120" s="107"/>
      <c r="M120" s="107"/>
      <c r="N120" s="107"/>
      <c r="O120" s="107"/>
      <c r="P120" s="92" t="s">
        <v>448</v>
      </c>
      <c r="Q120" s="108">
        <f>Q111*S117</f>
        <v>7.5587911449107828E-2</v>
      </c>
      <c r="R120" s="108">
        <f>R111*S117</f>
        <v>5.2827551446098706</v>
      </c>
      <c r="S120" s="108">
        <f>S111*S117</f>
        <v>9.6752526654857913</v>
      </c>
      <c r="T120" s="108">
        <f>T111*S117</f>
        <v>5.2407618604714861</v>
      </c>
      <c r="U120" s="108">
        <f>U111*S117</f>
        <v>2.3852185390607352</v>
      </c>
      <c r="V120" s="107"/>
      <c r="W120" s="107"/>
      <c r="X120" s="107"/>
      <c r="Y120" s="107"/>
      <c r="Z120" s="107"/>
      <c r="AA120" s="107"/>
      <c r="AB120" s="107"/>
      <c r="AC120" s="92" t="s">
        <v>448</v>
      </c>
      <c r="AD120" s="108">
        <f>AD111*AF117</f>
        <v>0</v>
      </c>
      <c r="AE120" s="108">
        <f>AE111*AF117</f>
        <v>0.35866499951909198</v>
      </c>
      <c r="AF120" s="108">
        <f>AF111*AF117</f>
        <v>2.5042502644993907</v>
      </c>
      <c r="AG120" s="108">
        <f>AG111*AF117</f>
        <v>2.324917764739844</v>
      </c>
      <c r="AH120" s="108">
        <f>AH111*AF117</f>
        <v>0.46114071366740417</v>
      </c>
      <c r="AI120" s="107"/>
      <c r="AJ120" s="107"/>
      <c r="AK120" s="107"/>
      <c r="AL120" s="107"/>
      <c r="AM120" s="107"/>
      <c r="AN120" s="107"/>
    </row>
    <row r="121" spans="2:40" x14ac:dyDescent="0.3">
      <c r="B121" s="107"/>
      <c r="C121" s="124" t="s">
        <v>449</v>
      </c>
      <c r="D121" s="108">
        <f>D111*G117</f>
        <v>4.8104628427106491</v>
      </c>
      <c r="E121" s="108">
        <f>E111*G117</f>
        <v>24.800185907149888</v>
      </c>
      <c r="F121" s="108">
        <f>F111*G117</f>
        <v>163.82192827191645</v>
      </c>
      <c r="G121" s="108">
        <f>G111*G117</f>
        <v>223.55659532402166</v>
      </c>
      <c r="H121" s="108">
        <f>H111*G117</f>
        <v>149.90390929616893</v>
      </c>
      <c r="I121" s="107"/>
      <c r="J121" s="107"/>
      <c r="K121" s="107"/>
      <c r="L121" s="107"/>
      <c r="M121" s="107"/>
      <c r="N121" s="107"/>
      <c r="O121" s="107"/>
      <c r="P121" s="124" t="s">
        <v>449</v>
      </c>
      <c r="Q121" s="108">
        <f>Q111*T117</f>
        <v>1.2007919519084123E-2</v>
      </c>
      <c r="R121" s="108">
        <f>R111*T117</f>
        <v>0.83922015305599063</v>
      </c>
      <c r="S121" s="108">
        <f>S111*T117</f>
        <v>1.537013698442766</v>
      </c>
      <c r="T121" s="108">
        <f>T111*T117</f>
        <v>0.83254908665650074</v>
      </c>
      <c r="U121" s="108">
        <f>U111*T117</f>
        <v>0.37891657149109892</v>
      </c>
      <c r="V121" s="107"/>
      <c r="W121" s="107"/>
      <c r="X121" s="107"/>
      <c r="Y121" s="107"/>
      <c r="Z121" s="107"/>
      <c r="AA121" s="107"/>
      <c r="AB121" s="107"/>
      <c r="AC121" s="124" t="s">
        <v>449</v>
      </c>
      <c r="AD121" s="108">
        <f>AD111*AG117</f>
        <v>0</v>
      </c>
      <c r="AE121" s="108">
        <f>AE111*AG117</f>
        <v>0.19573338463018181</v>
      </c>
      <c r="AF121" s="108">
        <f>AF111*AG117</f>
        <v>1.3666384534000282</v>
      </c>
      <c r="AG121" s="108">
        <f>AG111*AG117</f>
        <v>1.2687717610849369</v>
      </c>
      <c r="AH121" s="108">
        <f>AH111*AG117</f>
        <v>0.25165720881023385</v>
      </c>
      <c r="AI121" s="107"/>
      <c r="AJ121" s="107"/>
      <c r="AK121" s="107"/>
      <c r="AL121" s="107"/>
      <c r="AM121" s="107"/>
      <c r="AN121" s="107"/>
    </row>
    <row r="122" spans="2:40" x14ac:dyDescent="0.3">
      <c r="B122" s="107"/>
      <c r="C122" s="123" t="s">
        <v>450</v>
      </c>
      <c r="D122" s="125">
        <f>D111*H117</f>
        <v>1.2701473024373922</v>
      </c>
      <c r="E122" s="125">
        <f>E111*H117</f>
        <v>6.5482034182312452</v>
      </c>
      <c r="F122" s="125">
        <f>F111*H117</f>
        <v>43.25529311383616</v>
      </c>
      <c r="G122" s="125">
        <f>G111*H117</f>
        <v>59.027543872034336</v>
      </c>
      <c r="H122" s="125">
        <f>H111*H117</f>
        <v>39.580400523384959</v>
      </c>
      <c r="I122" s="107"/>
      <c r="J122" s="107"/>
      <c r="K122" s="107"/>
      <c r="L122" s="107"/>
      <c r="M122" s="107"/>
      <c r="N122" s="107"/>
      <c r="O122" s="107"/>
      <c r="P122" s="123" t="s">
        <v>450</v>
      </c>
      <c r="Q122" s="125">
        <f>Q111*U117</f>
        <v>1.0512853830845087E-3</v>
      </c>
      <c r="R122" s="125">
        <f>R111*U117</f>
        <v>7.3473167328906228E-2</v>
      </c>
      <c r="S122" s="125">
        <f>S111*U117</f>
        <v>0.13456452903481694</v>
      </c>
      <c r="T122" s="125">
        <f>T111*U117</f>
        <v>7.2889119893859405E-2</v>
      </c>
      <c r="U122" s="125">
        <f>U111*U117</f>
        <v>3.317389431066671E-2</v>
      </c>
      <c r="V122" s="107"/>
      <c r="W122" s="107"/>
      <c r="X122" s="107"/>
      <c r="Y122" s="107"/>
      <c r="Z122" s="107"/>
      <c r="AA122" s="107"/>
      <c r="AB122" s="107"/>
      <c r="AC122" s="123" t="s">
        <v>450</v>
      </c>
      <c r="AD122" s="125">
        <f>AD111*AH117</f>
        <v>0</v>
      </c>
      <c r="AE122" s="125">
        <f>AE111*AH117</f>
        <v>4.4839857651245551E-3</v>
      </c>
      <c r="AF122" s="125">
        <f>AF111*AH117</f>
        <v>3.1307829181494863E-2</v>
      </c>
      <c r="AG122" s="125">
        <f>AG111*AH117</f>
        <v>2.9065836298932578E-2</v>
      </c>
      <c r="AH122" s="125">
        <f>AH111*AH117</f>
        <v>5.7651245551601444E-3</v>
      </c>
      <c r="AI122" s="107"/>
      <c r="AJ122" s="107"/>
      <c r="AK122" s="107"/>
      <c r="AL122" s="107"/>
      <c r="AM122" s="107"/>
      <c r="AN122" s="107"/>
    </row>
    <row r="123" spans="2:40" x14ac:dyDescent="0.3">
      <c r="B123" s="107"/>
      <c r="C123" s="107" t="s">
        <v>36</v>
      </c>
      <c r="D123" s="108">
        <f>SUM(D118:D122)</f>
        <v>7.5900000000000034</v>
      </c>
      <c r="E123" s="108">
        <f>SUM(E118:E122)</f>
        <v>39.13000000000001</v>
      </c>
      <c r="F123" s="108">
        <f>SUM(F118:F122)</f>
        <v>258.47999999999956</v>
      </c>
      <c r="G123" s="108">
        <f t="shared" ref="G123:H123" si="70">SUM(G118:G122)</f>
        <v>352.72999999999956</v>
      </c>
      <c r="H123" s="108">
        <f t="shared" si="70"/>
        <v>236.51999999999998</v>
      </c>
      <c r="I123" s="107"/>
      <c r="J123" s="107"/>
      <c r="K123" s="107"/>
      <c r="L123" s="107"/>
      <c r="M123" s="107"/>
      <c r="N123" s="107"/>
      <c r="O123" s="107"/>
      <c r="P123" s="107" t="s">
        <v>36</v>
      </c>
      <c r="Q123" s="108">
        <f>SUM(Q118:Q122)</f>
        <v>8.9999999999999969E-2</v>
      </c>
      <c r="R123" s="108">
        <f>SUM(R118:R122)</f>
        <v>6.2899999999999991</v>
      </c>
      <c r="S123" s="108">
        <f>SUM(S118:S122)</f>
        <v>11.519999999999984</v>
      </c>
      <c r="T123" s="108">
        <f t="shared" ref="T123:U123" si="71">SUM(T118:T122)</f>
        <v>6.2400000000000091</v>
      </c>
      <c r="U123" s="108">
        <f t="shared" si="71"/>
        <v>2.8399999999999976</v>
      </c>
      <c r="V123" s="107"/>
      <c r="W123" s="107"/>
      <c r="X123" s="107"/>
      <c r="Y123" s="107"/>
      <c r="Z123" s="107"/>
      <c r="AA123" s="107"/>
      <c r="AB123" s="107"/>
      <c r="AC123" s="107" t="s">
        <v>36</v>
      </c>
      <c r="AD123" s="108">
        <f>SUM(AD118:AD122)</f>
        <v>0</v>
      </c>
      <c r="AE123" s="108">
        <f>SUM(AE118:AE122)</f>
        <v>0.55999999999999994</v>
      </c>
      <c r="AF123" s="108">
        <f>SUM(AF118:AF122)</f>
        <v>3.9100000000000255</v>
      </c>
      <c r="AG123" s="108">
        <f t="shared" ref="AG123:AH123" si="72">SUM(AG118:AG122)</f>
        <v>3.6300000000000239</v>
      </c>
      <c r="AH123" s="108">
        <f t="shared" si="72"/>
        <v>0.7200000000000002</v>
      </c>
      <c r="AI123" s="107"/>
      <c r="AJ123" s="107"/>
      <c r="AK123" s="107"/>
      <c r="AL123" s="107"/>
      <c r="AM123" s="107"/>
      <c r="AN123" s="107"/>
    </row>
    <row r="124" spans="2:40" x14ac:dyDescent="0.3">
      <c r="B124" s="107" t="s">
        <v>650</v>
      </c>
      <c r="C124" s="211" t="s">
        <v>451</v>
      </c>
      <c r="D124" s="125">
        <f>I109*D117</f>
        <v>0.82158143403422834</v>
      </c>
      <c r="E124" s="125">
        <f>I109*E117</f>
        <v>0.29345659252046574</v>
      </c>
      <c r="F124" s="125">
        <f>I109*F117</f>
        <v>20.501651989573009</v>
      </c>
      <c r="G124" s="125">
        <f>I109*G117</f>
        <v>68.892926350810384</v>
      </c>
      <c r="H124" s="125">
        <f>I109*H117</f>
        <v>18.190383633062634</v>
      </c>
      <c r="I124" s="226">
        <f>SUM(D124:H124)</f>
        <v>108.70000000000073</v>
      </c>
      <c r="J124" s="107"/>
      <c r="K124" s="140"/>
      <c r="L124" s="140"/>
      <c r="M124" s="107"/>
      <c r="N124" s="107"/>
      <c r="O124" s="107" t="s">
        <v>650</v>
      </c>
      <c r="P124" s="211" t="s">
        <v>451</v>
      </c>
      <c r="Q124" s="125">
        <f>V109*Q117</f>
        <v>3.9867734456748094E-3</v>
      </c>
      <c r="R124" s="125">
        <f>V109*R117</f>
        <v>9.4473092100316541E-2</v>
      </c>
      <c r="S124" s="125">
        <f>V109*S117</f>
        <v>5.5011202221296696</v>
      </c>
      <c r="T124" s="125">
        <f>V109*T117</f>
        <v>0.87390969833336918</v>
      </c>
      <c r="U124" s="125">
        <f>V109*U117</f>
        <v>7.6510213991152501E-2</v>
      </c>
      <c r="V124" s="226">
        <f>SUM(Q124:U124)</f>
        <v>6.5500000000001828</v>
      </c>
      <c r="W124" s="107"/>
      <c r="X124" s="140"/>
      <c r="Y124" s="140"/>
      <c r="Z124" s="107"/>
      <c r="AA124" s="107"/>
      <c r="AB124" s="107" t="s">
        <v>650</v>
      </c>
      <c r="AC124" s="211" t="s">
        <v>451</v>
      </c>
      <c r="AD124" s="125">
        <f>AI109*AD117</f>
        <v>0</v>
      </c>
      <c r="AE124" s="125">
        <f>AI109*AE117</f>
        <v>3.7720015389054264E-3</v>
      </c>
      <c r="AF124" s="125">
        <f>AI109*AF117</f>
        <v>1.2104943733769269</v>
      </c>
      <c r="AG124" s="125">
        <f>AI109*AG117</f>
        <v>0.66060017312685881</v>
      </c>
      <c r="AH124" s="125">
        <f>AI109*AH117</f>
        <v>1.5133451957295265E-2</v>
      </c>
      <c r="AI124" s="226">
        <f>SUM(AD124:AH124)</f>
        <v>1.8899999999999864</v>
      </c>
      <c r="AJ124" s="107"/>
      <c r="AK124" s="140"/>
      <c r="AL124" s="140"/>
      <c r="AM124" s="107"/>
      <c r="AN124" s="107"/>
    </row>
    <row r="125" spans="2:40" x14ac:dyDescent="0.3">
      <c r="B125" s="107" t="s">
        <v>651</v>
      </c>
      <c r="C125" s="107" t="s">
        <v>652</v>
      </c>
      <c r="D125" s="108">
        <f>SUM(D118:H118)+D124</f>
        <v>7.582055340859525</v>
      </c>
      <c r="E125" s="108">
        <f>SUM(D119:H119)+E124</f>
        <v>2.7081966953716945</v>
      </c>
      <c r="F125" s="108">
        <f>SUM(D120:H120)+F124</f>
        <v>189.20176810800393</v>
      </c>
      <c r="G125" s="108">
        <f>SUM(D121:H121)+G124</f>
        <v>635.78600799277797</v>
      </c>
      <c r="H125" s="108">
        <f>SUM(D122:H122)+H124</f>
        <v>167.87197186298673</v>
      </c>
      <c r="I125" s="107"/>
      <c r="J125" s="107"/>
      <c r="K125" s="108">
        <f>D125+E125+G125+H125</f>
        <v>813.94823189199587</v>
      </c>
      <c r="L125" s="108">
        <f>F125</f>
        <v>189.20176810800393</v>
      </c>
      <c r="M125" s="107"/>
      <c r="N125" s="107"/>
      <c r="O125" s="107" t="s">
        <v>651</v>
      </c>
      <c r="P125" s="107" t="s">
        <v>652</v>
      </c>
      <c r="Q125" s="108">
        <f>SUM(Q118:U118)+Q124</f>
        <v>2.040862803564478E-2</v>
      </c>
      <c r="R125" s="108">
        <f>SUM(Q119:U119)+R124</f>
        <v>0.48361569131657134</v>
      </c>
      <c r="S125" s="108">
        <f>SUM(Q120:U120)+S124</f>
        <v>28.160696343206659</v>
      </c>
      <c r="T125" s="108">
        <f>SUM(Q121:U121)+T124</f>
        <v>4.4736171274988097</v>
      </c>
      <c r="U125" s="108">
        <f>SUM(Q122:U122)+U124</f>
        <v>0.39166220994248624</v>
      </c>
      <c r="V125" s="107"/>
      <c r="W125" s="107"/>
      <c r="X125" s="108">
        <f>Q125+R125+T125+U125</f>
        <v>5.3693036567935124</v>
      </c>
      <c r="Y125" s="108">
        <f>S125</f>
        <v>28.160696343206659</v>
      </c>
      <c r="Z125" s="107"/>
      <c r="AA125" s="107"/>
      <c r="AB125" s="107" t="s">
        <v>651</v>
      </c>
      <c r="AC125" s="107" t="s">
        <v>652</v>
      </c>
      <c r="AD125" s="108">
        <f>SUM(AD118:AH118)+AD124</f>
        <v>0</v>
      </c>
      <c r="AE125" s="108">
        <f>SUM(AD119:AH119)+AE124</f>
        <v>2.1374675387130976E-2</v>
      </c>
      <c r="AF125" s="108">
        <f>SUM(AD120:AH120)+AF124</f>
        <v>6.8594681158026578</v>
      </c>
      <c r="AG125" s="108">
        <f>SUM(AD121:AH121)+AG124</f>
        <v>3.7434009810522393</v>
      </c>
      <c r="AH125" s="108">
        <f>SUM(AD122:AH122)+AH124</f>
        <v>8.5756227758007411E-2</v>
      </c>
      <c r="AI125" s="107"/>
      <c r="AJ125" s="107"/>
      <c r="AK125" s="108">
        <f>AD125+AE125+AG125+AH125</f>
        <v>3.8505318841973777</v>
      </c>
      <c r="AL125" s="108">
        <f>AF125</f>
        <v>6.8594681158026578</v>
      </c>
      <c r="AM125" s="107"/>
      <c r="AN125" s="107"/>
    </row>
    <row r="126" spans="2:40" x14ac:dyDescent="0.3">
      <c r="B126" s="107" t="s">
        <v>651</v>
      </c>
      <c r="C126" s="107" t="s">
        <v>653</v>
      </c>
      <c r="D126" s="145">
        <f>D125/$N$2</f>
        <v>3.0627204130156689E-4</v>
      </c>
      <c r="E126" s="145">
        <f t="shared" ref="E126:H126" si="73">E125/$N$2</f>
        <v>1.0939578951208474E-4</v>
      </c>
      <c r="F126" s="145">
        <f t="shared" si="73"/>
        <v>7.6426785523481802E-3</v>
      </c>
      <c r="G126" s="145">
        <f t="shared" si="73"/>
        <v>2.5682149462766646E-2</v>
      </c>
      <c r="H126" s="145">
        <f t="shared" si="73"/>
        <v>6.7810757358528649E-3</v>
      </c>
      <c r="I126" s="107"/>
      <c r="J126" s="107"/>
      <c r="K126" s="151">
        <f>K125/$N$2</f>
        <v>3.2878893029433164E-2</v>
      </c>
      <c r="L126" s="146">
        <f>L125/$N$2</f>
        <v>7.6426785523481802E-3</v>
      </c>
      <c r="M126" s="107"/>
      <c r="N126" s="107"/>
      <c r="O126" s="107" t="s">
        <v>651</v>
      </c>
      <c r="P126" s="107" t="s">
        <v>653</v>
      </c>
      <c r="Q126" s="145">
        <f>Q125/$N$3</f>
        <v>1.3895141504156418E-5</v>
      </c>
      <c r="R126" s="145">
        <f t="shared" ref="R126:U126" si="74">R125/$N$3</f>
        <v>3.2926801609287515E-4</v>
      </c>
      <c r="S126" s="145">
        <f t="shared" si="74"/>
        <v>1.9173109523139695E-2</v>
      </c>
      <c r="T126" s="145">
        <f t="shared" si="74"/>
        <v>3.0458462427481754E-3</v>
      </c>
      <c r="U126" s="145">
        <f t="shared" si="74"/>
        <v>2.666618167314512E-4</v>
      </c>
      <c r="V126" s="107"/>
      <c r="W126" s="107"/>
      <c r="X126" s="151">
        <f>X125/$N$3</f>
        <v>3.655671217076658E-3</v>
      </c>
      <c r="Y126" s="151">
        <f>Y125/$N$3</f>
        <v>1.9173109523139695E-2</v>
      </c>
      <c r="Z126" s="107"/>
      <c r="AA126" s="107"/>
      <c r="AB126" s="107" t="s">
        <v>651</v>
      </c>
      <c r="AC126" s="107" t="s">
        <v>653</v>
      </c>
      <c r="AD126" s="145">
        <f>AD125/$N$4</f>
        <v>0</v>
      </c>
      <c r="AE126" s="145">
        <f t="shared" ref="AE126:AH126" si="75">AE125/$N$4</f>
        <v>5.1163739347322634E-5</v>
      </c>
      <c r="AF126" s="145">
        <f t="shared" si="75"/>
        <v>1.641924531632874E-2</v>
      </c>
      <c r="AG126" s="145">
        <f t="shared" si="75"/>
        <v>8.9604351223214682E-3</v>
      </c>
      <c r="AH126" s="145">
        <f t="shared" si="75"/>
        <v>2.0527138798383661E-4</v>
      </c>
      <c r="AI126" s="107"/>
      <c r="AJ126" s="107"/>
      <c r="AK126" s="151">
        <f>AK125/$N$4</f>
        <v>9.216870249652627E-3</v>
      </c>
      <c r="AL126" s="151">
        <f>AL125/$N$4</f>
        <v>1.641924531632874E-2</v>
      </c>
      <c r="AM126" s="107"/>
      <c r="AN126" s="107"/>
    </row>
    <row r="129" spans="2:40" x14ac:dyDescent="0.3">
      <c r="D129" t="s">
        <v>416</v>
      </c>
      <c r="E129" t="s">
        <v>417</v>
      </c>
      <c r="F129" t="s">
        <v>418</v>
      </c>
      <c r="G129" t="s">
        <v>419</v>
      </c>
      <c r="H129" t="s">
        <v>420</v>
      </c>
      <c r="Q129" t="s">
        <v>416</v>
      </c>
      <c r="R129" t="s">
        <v>417</v>
      </c>
      <c r="S129" t="s">
        <v>418</v>
      </c>
      <c r="T129" t="s">
        <v>419</v>
      </c>
      <c r="U129" t="s">
        <v>420</v>
      </c>
      <c r="AD129" t="s">
        <v>416</v>
      </c>
      <c r="AE129" t="s">
        <v>417</v>
      </c>
      <c r="AF129" t="s">
        <v>418</v>
      </c>
      <c r="AG129" t="s">
        <v>419</v>
      </c>
      <c r="AH129" t="s">
        <v>420</v>
      </c>
    </row>
    <row r="130" spans="2:40" x14ac:dyDescent="0.3">
      <c r="B130" s="118" t="s">
        <v>352</v>
      </c>
      <c r="C130" s="8">
        <v>20</v>
      </c>
      <c r="D130" s="90" t="s">
        <v>447</v>
      </c>
      <c r="E130" s="91" t="s">
        <v>446</v>
      </c>
      <c r="F130" s="92" t="s">
        <v>448</v>
      </c>
      <c r="G130" s="124" t="s">
        <v>449</v>
      </c>
      <c r="H130" s="123" t="s">
        <v>450</v>
      </c>
      <c r="I130" s="211" t="s">
        <v>451</v>
      </c>
      <c r="J130" s="212" t="s">
        <v>514</v>
      </c>
      <c r="K130" s="213" t="s">
        <v>515</v>
      </c>
      <c r="L130" s="214" t="s">
        <v>448</v>
      </c>
      <c r="Q130" s="90" t="s">
        <v>447</v>
      </c>
      <c r="R130" s="91" t="s">
        <v>446</v>
      </c>
      <c r="S130" s="92" t="s">
        <v>448</v>
      </c>
      <c r="T130" s="124" t="s">
        <v>449</v>
      </c>
      <c r="U130" s="123" t="s">
        <v>450</v>
      </c>
      <c r="V130" s="211" t="s">
        <v>451</v>
      </c>
      <c r="W130" s="212" t="s">
        <v>514</v>
      </c>
      <c r="X130" s="213" t="s">
        <v>515</v>
      </c>
      <c r="Y130" s="214" t="s">
        <v>448</v>
      </c>
      <c r="AD130" s="90" t="s">
        <v>447</v>
      </c>
      <c r="AE130" s="91" t="s">
        <v>446</v>
      </c>
      <c r="AF130" s="92" t="s">
        <v>448</v>
      </c>
      <c r="AG130" s="124" t="s">
        <v>449</v>
      </c>
      <c r="AH130" s="123" t="s">
        <v>450</v>
      </c>
      <c r="AI130" s="211" t="s">
        <v>451</v>
      </c>
      <c r="AJ130" s="212" t="s">
        <v>514</v>
      </c>
      <c r="AK130" s="213" t="s">
        <v>515</v>
      </c>
      <c r="AL130" s="214" t="s">
        <v>448</v>
      </c>
    </row>
    <row r="131" spans="2:40" x14ac:dyDescent="0.3">
      <c r="B131" s="119" t="s">
        <v>665</v>
      </c>
      <c r="C131" s="107"/>
      <c r="D131" s="116"/>
      <c r="E131" s="116"/>
      <c r="F131" s="116"/>
      <c r="G131" s="116"/>
      <c r="H131" s="116"/>
      <c r="I131" s="107"/>
      <c r="J131" s="107"/>
      <c r="K131" s="107"/>
      <c r="L131" s="107"/>
      <c r="M131" s="107"/>
      <c r="N131" s="141"/>
      <c r="O131" s="119" t="s">
        <v>702</v>
      </c>
      <c r="P131" s="107"/>
      <c r="Q131" s="116"/>
      <c r="R131" s="116"/>
      <c r="S131" s="116"/>
      <c r="T131" s="116"/>
      <c r="U131" s="116"/>
      <c r="V131" s="107"/>
      <c r="W131" s="107"/>
      <c r="X131" s="107"/>
      <c r="Y131" s="107"/>
      <c r="Z131" s="107"/>
      <c r="AA131" s="141"/>
      <c r="AB131" s="119" t="s">
        <v>774</v>
      </c>
      <c r="AC131" s="107"/>
      <c r="AD131" s="116"/>
      <c r="AE131" s="116"/>
      <c r="AF131" s="116"/>
      <c r="AG131" s="116"/>
      <c r="AH131" s="116"/>
      <c r="AI131" s="107"/>
      <c r="AJ131" s="107"/>
      <c r="AK131" s="107"/>
      <c r="AL131" s="107"/>
      <c r="AM131" s="107"/>
      <c r="AN131" s="107"/>
    </row>
    <row r="132" spans="2:40" x14ac:dyDescent="0.3">
      <c r="B132" s="115" t="s">
        <v>375</v>
      </c>
      <c r="C132" s="122" t="s">
        <v>9</v>
      </c>
      <c r="D132" s="135">
        <f>'07E_Seeds'!AL127</f>
        <v>221.13</v>
      </c>
      <c r="E132" s="135">
        <f>'07E_Seeds'!AM127</f>
        <v>128.41</v>
      </c>
      <c r="F132" s="135">
        <f>'07E_Seeds'!AN127</f>
        <v>3914.98</v>
      </c>
      <c r="G132" s="135">
        <f>'07E_Seeds'!AO127</f>
        <v>13302.74</v>
      </c>
      <c r="H132" s="135">
        <f>'07E_Seeds'!AP127</f>
        <v>2352.77</v>
      </c>
      <c r="I132" s="108">
        <f>$N$2-N132</f>
        <v>4835.9199999999983</v>
      </c>
      <c r="J132" s="108"/>
      <c r="K132" s="108">
        <f>D132+E132+G132+H132</f>
        <v>16005.05</v>
      </c>
      <c r="L132" s="108">
        <f>F132</f>
        <v>3914.98</v>
      </c>
      <c r="M132" s="115" t="s">
        <v>36</v>
      </c>
      <c r="N132" s="136">
        <f>SUM(D132:H132)</f>
        <v>19920.030000000002</v>
      </c>
      <c r="O132" s="115" t="s">
        <v>375</v>
      </c>
      <c r="P132" s="122" t="s">
        <v>9</v>
      </c>
      <c r="Q132" s="135">
        <f>'07E_Seeds'!AL132</f>
        <v>1.58</v>
      </c>
      <c r="R132" s="135">
        <f>'07E_Seeds'!AM132</f>
        <v>14.47</v>
      </c>
      <c r="S132" s="135">
        <f>'07E_Seeds'!AN132</f>
        <v>1145.82</v>
      </c>
      <c r="T132" s="135">
        <f>'07E_Seeds'!AO132</f>
        <v>269.35000000000002</v>
      </c>
      <c r="U132" s="135">
        <f>'07E_Seeds'!AP132</f>
        <v>24.8</v>
      </c>
      <c r="V132" s="108">
        <f>$N$3-AA132</f>
        <v>12.740000000000236</v>
      </c>
      <c r="W132" s="108"/>
      <c r="X132" s="108">
        <f>Q132+R132+T132+U132</f>
        <v>310.20000000000005</v>
      </c>
      <c r="Y132" s="108">
        <f>S132</f>
        <v>1145.82</v>
      </c>
      <c r="Z132" s="115" t="s">
        <v>36</v>
      </c>
      <c r="AA132" s="136">
        <f>SUM(Q132:U132)</f>
        <v>1456.0199999999998</v>
      </c>
      <c r="AB132" s="115" t="s">
        <v>375</v>
      </c>
      <c r="AC132" s="122" t="s">
        <v>9</v>
      </c>
      <c r="AD132" s="135">
        <v>0</v>
      </c>
      <c r="AE132" s="135">
        <v>3.34</v>
      </c>
      <c r="AF132" s="135">
        <v>189.28</v>
      </c>
      <c r="AG132" s="135">
        <v>122.04</v>
      </c>
      <c r="AH132" s="135">
        <v>4.3600000000000003</v>
      </c>
      <c r="AI132" s="108">
        <f>$N$4-AN132</f>
        <v>98.749999999999943</v>
      </c>
      <c r="AJ132" s="108"/>
      <c r="AK132" s="108">
        <f>AD132+AE132+AG132+AH132</f>
        <v>129.74</v>
      </c>
      <c r="AL132" s="108">
        <f>AF132</f>
        <v>189.28</v>
      </c>
      <c r="AM132" s="115" t="s">
        <v>36</v>
      </c>
      <c r="AN132" s="136">
        <f>SUM(AD132:AH132)</f>
        <v>319.02000000000004</v>
      </c>
    </row>
    <row r="133" spans="2:40" x14ac:dyDescent="0.3">
      <c r="B133" s="107"/>
      <c r="C133" s="140" t="s">
        <v>456</v>
      </c>
      <c r="D133" s="150">
        <f t="shared" ref="D133:I133" si="76">D132/$N$2</f>
        <v>8.9323980699589391E-3</v>
      </c>
      <c r="E133" s="150">
        <f t="shared" si="76"/>
        <v>5.1870358439082319E-3</v>
      </c>
      <c r="F133" s="150">
        <f t="shared" si="76"/>
        <v>0.15814299188679892</v>
      </c>
      <c r="G133" s="150">
        <f t="shared" si="76"/>
        <v>0.53735526206831086</v>
      </c>
      <c r="H133" s="150">
        <f t="shared" si="76"/>
        <v>9.5038566486036688E-2</v>
      </c>
      <c r="I133" s="150">
        <f t="shared" si="76"/>
        <v>0.19534374564498627</v>
      </c>
      <c r="J133" s="150"/>
      <c r="K133" s="150">
        <f>K132/$N$2</f>
        <v>0.64651326246821461</v>
      </c>
      <c r="L133" s="150">
        <f>L132/$N$2</f>
        <v>0.15814299188679892</v>
      </c>
      <c r="M133" s="144">
        <f>SUM(D133:I133)</f>
        <v>0.99999999999999989</v>
      </c>
      <c r="N133" s="141"/>
      <c r="O133" s="107"/>
      <c r="P133" s="140" t="s">
        <v>455</v>
      </c>
      <c r="Q133" s="150">
        <f t="shared" ref="Q133:V133" si="77">Q132/$N$3</f>
        <v>1.0757373566818269E-3</v>
      </c>
      <c r="R133" s="150">
        <f t="shared" si="77"/>
        <v>9.8518478172063516E-3</v>
      </c>
      <c r="S133" s="150">
        <f t="shared" si="77"/>
        <v>0.78012745445137388</v>
      </c>
      <c r="T133" s="150">
        <f t="shared" si="77"/>
        <v>0.18338598545712032</v>
      </c>
      <c r="U133" s="150">
        <f t="shared" si="77"/>
        <v>1.6884991421335004E-2</v>
      </c>
      <c r="V133" s="150">
        <f t="shared" si="77"/>
        <v>8.6739834962827403E-3</v>
      </c>
      <c r="W133" s="150"/>
      <c r="X133" s="150">
        <f>X132/$N$3</f>
        <v>0.2111985620523435</v>
      </c>
      <c r="Y133" s="150">
        <f>Y132/$N$3</f>
        <v>0.78012745445137388</v>
      </c>
      <c r="Z133" s="144">
        <f>SUM(Q133:V133)</f>
        <v>1</v>
      </c>
      <c r="AA133" s="141"/>
      <c r="AB133" s="107"/>
      <c r="AC133" s="140" t="s">
        <v>455</v>
      </c>
      <c r="AD133" s="150">
        <f>AD132/$N$4</f>
        <v>0</v>
      </c>
      <c r="AE133" s="150">
        <f t="shared" ref="AE133:AI133" si="78">AE132/$N$4</f>
        <v>7.9948296909782886E-3</v>
      </c>
      <c r="AF133" s="150">
        <f t="shared" si="78"/>
        <v>0.45307226464322475</v>
      </c>
      <c r="AG133" s="150">
        <f t="shared" si="78"/>
        <v>0.29212245972664386</v>
      </c>
      <c r="AH133" s="150">
        <f t="shared" si="78"/>
        <v>1.0436364506786032E-2</v>
      </c>
      <c r="AI133" s="150">
        <f t="shared" si="78"/>
        <v>0.23637408143236696</v>
      </c>
      <c r="AJ133" s="150"/>
      <c r="AK133" s="150">
        <f t="shared" ref="AK133:AL133" si="79">AK132/$N$4</f>
        <v>0.3105536539244082</v>
      </c>
      <c r="AL133" s="150">
        <f t="shared" si="79"/>
        <v>0.45307226464322475</v>
      </c>
      <c r="AM133" s="144">
        <f>SUM(AD133:AI133)</f>
        <v>0.99999999999999978</v>
      </c>
      <c r="AN133" s="107"/>
    </row>
    <row r="134" spans="2:40" x14ac:dyDescent="0.3">
      <c r="B134" s="107" t="s">
        <v>513</v>
      </c>
      <c r="C134" s="107" t="s">
        <v>9</v>
      </c>
      <c r="D134" s="108">
        <v>217.57</v>
      </c>
      <c r="E134" s="108">
        <v>79.39</v>
      </c>
      <c r="F134" s="108">
        <v>3692.7</v>
      </c>
      <c r="G134" s="108">
        <v>13040.43</v>
      </c>
      <c r="H134" s="108">
        <v>2201.87</v>
      </c>
      <c r="I134" s="108">
        <f>I132</f>
        <v>4835.9199999999983</v>
      </c>
      <c r="J134" s="108">
        <f>SUM(D132:H132)-SUM(D134:H134)</f>
        <v>688.07000000000335</v>
      </c>
      <c r="K134" s="108">
        <f>D134+E134+G134+H134</f>
        <v>15539.259999999998</v>
      </c>
      <c r="L134" s="108">
        <f>F134</f>
        <v>3692.7</v>
      </c>
      <c r="M134" s="115" t="s">
        <v>524</v>
      </c>
      <c r="N134" s="195">
        <f>SUM(D134:H134)</f>
        <v>19231.96</v>
      </c>
      <c r="O134" s="107" t="s">
        <v>513</v>
      </c>
      <c r="P134" s="122" t="s">
        <v>9</v>
      </c>
      <c r="Q134" s="108">
        <v>1.58</v>
      </c>
      <c r="R134" s="108">
        <v>9.18</v>
      </c>
      <c r="S134" s="108">
        <v>1133.22</v>
      </c>
      <c r="T134" s="108">
        <v>260.08999999999997</v>
      </c>
      <c r="U134" s="108">
        <v>20.39</v>
      </c>
      <c r="V134" s="108">
        <f>V132</f>
        <v>12.740000000000236</v>
      </c>
      <c r="W134" s="108">
        <f>SUM(Q132:U132)-SUM(Q134:U134)</f>
        <v>31.559999999999718</v>
      </c>
      <c r="X134" s="108">
        <f>Q134+R134+T134+U134</f>
        <v>291.23999999999995</v>
      </c>
      <c r="Y134" s="108">
        <f>S134</f>
        <v>1133.22</v>
      </c>
      <c r="Z134" s="115" t="s">
        <v>524</v>
      </c>
      <c r="AA134" s="195">
        <f>SUM(Q134:U134)</f>
        <v>1424.46</v>
      </c>
      <c r="AB134" s="107" t="s">
        <v>513</v>
      </c>
      <c r="AC134" s="122" t="s">
        <v>9</v>
      </c>
      <c r="AD134" s="108">
        <v>0</v>
      </c>
      <c r="AE134" s="108">
        <v>1.78</v>
      </c>
      <c r="AF134" s="108">
        <v>186.25</v>
      </c>
      <c r="AG134" s="108">
        <v>118.69</v>
      </c>
      <c r="AH134" s="108">
        <v>3.44</v>
      </c>
      <c r="AI134" s="108">
        <f>AI132</f>
        <v>98.749999999999943</v>
      </c>
      <c r="AJ134" s="108">
        <f>SUM(AD132:AH132)-SUM(AD134:AH134)</f>
        <v>8.8600000000000136</v>
      </c>
      <c r="AK134" s="108">
        <f>AD134+AE134+AG134+AH134</f>
        <v>123.91</v>
      </c>
      <c r="AL134" s="108">
        <f>AF134</f>
        <v>186.25</v>
      </c>
      <c r="AM134" s="115" t="s">
        <v>524</v>
      </c>
      <c r="AN134" s="195">
        <f>SUM(AD134:AH134)</f>
        <v>310.16000000000003</v>
      </c>
    </row>
    <row r="135" spans="2:40" x14ac:dyDescent="0.3">
      <c r="B135" s="107"/>
      <c r="C135" s="140" t="s">
        <v>455</v>
      </c>
      <c r="D135" s="150">
        <f t="shared" ref="D135:L135" si="80">D134/$N$2</f>
        <v>8.7885942571381825E-3</v>
      </c>
      <c r="E135" s="150">
        <f t="shared" si="80"/>
        <v>3.2069058145617517E-3</v>
      </c>
      <c r="F135" s="150">
        <f t="shared" si="80"/>
        <v>0.14916414033797934</v>
      </c>
      <c r="G135" s="150">
        <f t="shared" si="80"/>
        <v>0.52675942551184662</v>
      </c>
      <c r="H135" s="150">
        <f t="shared" si="80"/>
        <v>8.8943062172932158E-2</v>
      </c>
      <c r="I135" s="150">
        <f t="shared" si="80"/>
        <v>0.19534374564498627</v>
      </c>
      <c r="J135" s="150">
        <f t="shared" si="80"/>
        <v>2.7794126260555677E-2</v>
      </c>
      <c r="K135" s="150">
        <f t="shared" si="80"/>
        <v>0.62769798775647867</v>
      </c>
      <c r="L135" s="150">
        <f t="shared" si="80"/>
        <v>0.14916414033797934</v>
      </c>
      <c r="M135" s="144">
        <f>SUM(D135:J135)</f>
        <v>1</v>
      </c>
      <c r="N135" s="194">
        <f>N134/N132</f>
        <v>0.9654583853538371</v>
      </c>
      <c r="O135" s="107"/>
      <c r="P135" s="140" t="s">
        <v>455</v>
      </c>
      <c r="Q135" s="150">
        <f t="shared" ref="Q135:Y135" si="81">Q134/$N$3</f>
        <v>1.0757373566818269E-3</v>
      </c>
      <c r="R135" s="150">
        <f t="shared" si="81"/>
        <v>6.2501702116070697E-3</v>
      </c>
      <c r="S135" s="150">
        <f t="shared" si="81"/>
        <v>0.77154878945505057</v>
      </c>
      <c r="T135" s="150">
        <f t="shared" si="81"/>
        <v>0.17708134753125085</v>
      </c>
      <c r="U135" s="150">
        <f t="shared" si="81"/>
        <v>1.3882458672621804E-2</v>
      </c>
      <c r="V135" s="150">
        <f t="shared" si="81"/>
        <v>8.6739834962827403E-3</v>
      </c>
      <c r="W135" s="150">
        <f t="shared" si="81"/>
        <v>2.1487513276505159E-2</v>
      </c>
      <c r="X135" s="150">
        <f t="shared" si="81"/>
        <v>0.19828971377216151</v>
      </c>
      <c r="Y135" s="150">
        <f t="shared" si="81"/>
        <v>0.77154878945505057</v>
      </c>
      <c r="Z135" s="144">
        <f>SUM(Q135:W135)</f>
        <v>1</v>
      </c>
      <c r="AA135" s="194">
        <f>AA134/AA132</f>
        <v>0.9783244735649238</v>
      </c>
      <c r="AB135" s="107"/>
      <c r="AC135" s="140" t="s">
        <v>455</v>
      </c>
      <c r="AD135" s="150">
        <f t="shared" ref="AD135:AL135" si="82">AD134/$N$4</f>
        <v>0</v>
      </c>
      <c r="AE135" s="150">
        <f t="shared" si="82"/>
        <v>4.2607176197429208E-3</v>
      </c>
      <c r="AF135" s="150">
        <f t="shared" si="82"/>
        <v>0.44581947004332528</v>
      </c>
      <c r="AG135" s="150">
        <f t="shared" si="82"/>
        <v>0.28410369341982433</v>
      </c>
      <c r="AH135" s="150">
        <f t="shared" si="82"/>
        <v>8.2341958493908126E-3</v>
      </c>
      <c r="AI135" s="150">
        <f t="shared" si="82"/>
        <v>0.23637408143236696</v>
      </c>
      <c r="AJ135" s="150">
        <f t="shared" si="82"/>
        <v>2.1207841635349629E-2</v>
      </c>
      <c r="AK135" s="150">
        <f t="shared" si="82"/>
        <v>0.29659860688895806</v>
      </c>
      <c r="AL135" s="150">
        <f t="shared" si="82"/>
        <v>0.44581947004332528</v>
      </c>
      <c r="AM135" s="144">
        <f>SUM(AD135:AJ135)</f>
        <v>0.99999999999999989</v>
      </c>
      <c r="AN135" s="194">
        <f>AN134/AN132</f>
        <v>0.97222744655507487</v>
      </c>
    </row>
    <row r="136" spans="2:40" x14ac:dyDescent="0.3">
      <c r="B136" s="107"/>
      <c r="C136" s="107" t="s">
        <v>516</v>
      </c>
      <c r="D136" s="112">
        <f>D132-D134</f>
        <v>3.5600000000000023</v>
      </c>
      <c r="E136" s="112">
        <f>E132-E134</f>
        <v>49.019999999999996</v>
      </c>
      <c r="F136" s="112">
        <f>F132-F134</f>
        <v>222.2800000000002</v>
      </c>
      <c r="G136" s="112">
        <f>G132-G134</f>
        <v>262.30999999999949</v>
      </c>
      <c r="H136" s="112">
        <f>H132-H134</f>
        <v>150.90000000000009</v>
      </c>
      <c r="I136" s="146"/>
      <c r="J136" s="146"/>
      <c r="K136" s="112">
        <f>K132-K134</f>
        <v>465.79000000000087</v>
      </c>
      <c r="L136" s="108">
        <f>F136</f>
        <v>222.2800000000002</v>
      </c>
      <c r="M136" s="144"/>
      <c r="N136" s="107"/>
      <c r="O136" s="107"/>
      <c r="P136" s="107" t="s">
        <v>516</v>
      </c>
      <c r="Q136" s="112">
        <f>Q132-Q134</f>
        <v>0</v>
      </c>
      <c r="R136" s="112">
        <f>R132-R134</f>
        <v>5.2900000000000009</v>
      </c>
      <c r="S136" s="112">
        <f>S132-S134</f>
        <v>12.599999999999909</v>
      </c>
      <c r="T136" s="112">
        <f>T132-T134</f>
        <v>9.2600000000000477</v>
      </c>
      <c r="U136" s="112">
        <f>U132-U134</f>
        <v>4.41</v>
      </c>
      <c r="V136" s="146"/>
      <c r="W136" s="146"/>
      <c r="X136" s="112">
        <f>X132-X134</f>
        <v>18.960000000000093</v>
      </c>
      <c r="Y136" s="108">
        <f>S136</f>
        <v>12.599999999999909</v>
      </c>
      <c r="Z136" s="144"/>
      <c r="AA136" s="107"/>
      <c r="AB136" s="107"/>
      <c r="AC136" s="107" t="s">
        <v>516</v>
      </c>
      <c r="AD136" s="112">
        <f>AD132-AD134</f>
        <v>0</v>
      </c>
      <c r="AE136" s="112">
        <f>AE132-AE134</f>
        <v>1.5599999999999998</v>
      </c>
      <c r="AF136" s="112">
        <f>AF132-AF134</f>
        <v>3.0300000000000011</v>
      </c>
      <c r="AG136" s="112">
        <f>AG132-AG134</f>
        <v>3.3500000000000085</v>
      </c>
      <c r="AH136" s="112">
        <f>AH132-AH134</f>
        <v>0.92000000000000037</v>
      </c>
      <c r="AI136" s="146"/>
      <c r="AJ136" s="146"/>
      <c r="AK136" s="112">
        <f>AK132-AK134</f>
        <v>5.8300000000000125</v>
      </c>
      <c r="AL136" s="108">
        <f>AF136</f>
        <v>3.0300000000000011</v>
      </c>
      <c r="AM136" s="144"/>
      <c r="AN136" s="107"/>
    </row>
    <row r="137" spans="2:40" x14ac:dyDescent="0.3">
      <c r="B137" s="107"/>
      <c r="C137" s="107" t="s">
        <v>517</v>
      </c>
      <c r="D137" s="146">
        <f>D136/D132</f>
        <v>1.6099127210238331E-2</v>
      </c>
      <c r="E137" s="146">
        <f>E136/E132</f>
        <v>0.38174596994003579</v>
      </c>
      <c r="F137" s="146">
        <f>F136/F132</f>
        <v>5.6776790686031656E-2</v>
      </c>
      <c r="G137" s="146">
        <f>G136/G132</f>
        <v>1.9718494084677254E-2</v>
      </c>
      <c r="H137" s="146">
        <f>H136/H132</f>
        <v>6.4137165978825003E-2</v>
      </c>
      <c r="I137" s="146"/>
      <c r="J137" s="146"/>
      <c r="K137" s="150">
        <f>K136/K132</f>
        <v>2.9102689463638094E-2</v>
      </c>
      <c r="L137" s="150">
        <f>L136/$N$2</f>
        <v>8.9788515488195848E-3</v>
      </c>
      <c r="M137" s="144"/>
      <c r="N137" s="107"/>
      <c r="O137" s="107"/>
      <c r="P137" s="107" t="s">
        <v>517</v>
      </c>
      <c r="Q137" s="146">
        <f>Q136/Q132</f>
        <v>0</v>
      </c>
      <c r="R137" s="146">
        <f>R136/R132</f>
        <v>0.36558396682791988</v>
      </c>
      <c r="S137" s="146">
        <f>S136/S132</f>
        <v>1.0996491595538487E-2</v>
      </c>
      <c r="T137" s="146">
        <f>T136/T132</f>
        <v>3.4379060701689425E-2</v>
      </c>
      <c r="U137" s="146">
        <f>U136/U132</f>
        <v>0.17782258064516129</v>
      </c>
      <c r="V137" s="146"/>
      <c r="W137" s="146"/>
      <c r="X137" s="150">
        <f>X136/X132</f>
        <v>6.112185686653801E-2</v>
      </c>
      <c r="Y137" s="150">
        <f>Y136/$N$3</f>
        <v>8.5786649963233673E-3</v>
      </c>
      <c r="Z137" s="144"/>
      <c r="AA137" s="107"/>
      <c r="AB137" s="107"/>
      <c r="AC137" s="107" t="s">
        <v>517</v>
      </c>
      <c r="AD137" s="146" t="s">
        <v>527</v>
      </c>
      <c r="AE137" s="146">
        <f>AE136/AE132</f>
        <v>0.46706586826347302</v>
      </c>
      <c r="AF137" s="146">
        <f>AF136/AF132</f>
        <v>1.6008030431107361E-2</v>
      </c>
      <c r="AG137" s="146">
        <f>AG136/AG132</f>
        <v>2.7450016388069553E-2</v>
      </c>
      <c r="AH137" s="146">
        <f>AH136/AH132</f>
        <v>0.21100917431192667</v>
      </c>
      <c r="AI137" s="146"/>
      <c r="AJ137" s="146"/>
      <c r="AK137" s="150">
        <f t="shared" ref="AK137:AL137" si="83">AK136/$N$4</f>
        <v>1.3955047035450158E-2</v>
      </c>
      <c r="AL137" s="150">
        <f t="shared" si="83"/>
        <v>7.2527945998994694E-3</v>
      </c>
      <c r="AM137" s="144"/>
      <c r="AN137" s="107"/>
    </row>
    <row r="138" spans="2:40" x14ac:dyDescent="0.3">
      <c r="B138" s="115" t="s">
        <v>376</v>
      </c>
      <c r="C138" s="122" t="s">
        <v>9</v>
      </c>
      <c r="D138" s="135">
        <f>'07E_Seeds'!AL129</f>
        <v>222.73200000000003</v>
      </c>
      <c r="E138" s="135">
        <f>'07E_Seeds'!AM129</f>
        <v>151.23850000000002</v>
      </c>
      <c r="F138" s="135">
        <f>'07E_Seeds'!AN129</f>
        <v>3897.1965000000005</v>
      </c>
      <c r="G138" s="135">
        <f>'07E_Seeds'!AO129</f>
        <v>13265.886000000002</v>
      </c>
      <c r="H138" s="135">
        <f>'07E_Seeds'!AP129</f>
        <v>2382.9794999999999</v>
      </c>
      <c r="I138" s="108">
        <f>$N$2-N138</f>
        <v>4835.9174999999959</v>
      </c>
      <c r="J138" s="108"/>
      <c r="K138" s="108"/>
      <c r="L138" s="108"/>
      <c r="M138" s="115" t="s">
        <v>36</v>
      </c>
      <c r="N138" s="136">
        <f>SUM(D138:H138)</f>
        <v>19920.032500000005</v>
      </c>
      <c r="O138" s="115" t="s">
        <v>376</v>
      </c>
      <c r="P138" s="122" t="s">
        <v>9</v>
      </c>
      <c r="Q138" s="135">
        <f>'07E_Seeds'!AL134</f>
        <v>1.5664999999999996</v>
      </c>
      <c r="R138" s="135">
        <f>'07E_Seeds'!AM134</f>
        <v>16.178000000000001</v>
      </c>
      <c r="S138" s="135">
        <f>'07E_Seeds'!AN134</f>
        <v>1143.71</v>
      </c>
      <c r="T138" s="135">
        <f>'07E_Seeds'!AO134</f>
        <v>269.20099999999996</v>
      </c>
      <c r="U138" s="135">
        <f>'07E_Seeds'!AP134</f>
        <v>25.368000000000002</v>
      </c>
      <c r="V138" s="108">
        <f>$N$3-AA138</f>
        <v>12.736499999999978</v>
      </c>
      <c r="W138" s="108"/>
      <c r="X138" s="108"/>
      <c r="Y138" s="108"/>
      <c r="Z138" s="115" t="s">
        <v>36</v>
      </c>
      <c r="AA138" s="136">
        <f>SUM(Q138:U138)</f>
        <v>1456.0235</v>
      </c>
      <c r="AB138" s="115" t="s">
        <v>376</v>
      </c>
      <c r="AC138" s="122"/>
      <c r="AD138" s="138"/>
      <c r="AE138" s="135"/>
      <c r="AF138" s="135"/>
      <c r="AG138" s="135"/>
      <c r="AH138" s="135"/>
      <c r="AI138" s="108"/>
      <c r="AJ138" s="108"/>
      <c r="AK138" s="108"/>
      <c r="AL138" s="108"/>
      <c r="AM138" s="115"/>
      <c r="AN138" s="136"/>
    </row>
    <row r="139" spans="2:40" x14ac:dyDescent="0.3">
      <c r="B139" s="115"/>
      <c r="C139" s="140" t="s">
        <v>455</v>
      </c>
      <c r="D139" s="150">
        <f t="shared" ref="D139:I139" si="84">D138/$N$2</f>
        <v>8.9971097857282807E-3</v>
      </c>
      <c r="E139" s="150">
        <f t="shared" si="84"/>
        <v>6.1091777936213322E-3</v>
      </c>
      <c r="F139" s="150">
        <f t="shared" si="84"/>
        <v>0.15742463932913098</v>
      </c>
      <c r="G139" s="150">
        <f t="shared" si="84"/>
        <v>0.53586656945098055</v>
      </c>
      <c r="H139" s="150">
        <f t="shared" si="84"/>
        <v>9.6258858981376191E-2</v>
      </c>
      <c r="I139" s="145">
        <f t="shared" si="84"/>
        <v>0.19534364465916257</v>
      </c>
      <c r="J139" s="145"/>
      <c r="K139" s="145"/>
      <c r="L139" s="145"/>
      <c r="M139" s="144">
        <f>SUM(D139:I139)</f>
        <v>0.99999999999999989</v>
      </c>
      <c r="N139" s="136"/>
      <c r="O139" s="115"/>
      <c r="P139" s="140" t="s">
        <v>455</v>
      </c>
      <c r="Q139" s="150">
        <f t="shared" ref="Q139:V139" si="85">Q138/$N$3</f>
        <v>1.0665459299000514E-3</v>
      </c>
      <c r="R139" s="150">
        <f t="shared" si="85"/>
        <v>1.1014733516707972E-2</v>
      </c>
      <c r="S139" s="150">
        <f t="shared" si="85"/>
        <v>0.77869086848770397</v>
      </c>
      <c r="T139" s="150">
        <f t="shared" si="85"/>
        <v>0.18328453933930661</v>
      </c>
      <c r="U139" s="150">
        <f t="shared" si="85"/>
        <v>1.7271712192597839E-2</v>
      </c>
      <c r="V139" s="146">
        <f t="shared" si="85"/>
        <v>8.6716005337835848E-3</v>
      </c>
      <c r="W139" s="146"/>
      <c r="X139" s="146"/>
      <c r="Y139" s="145"/>
      <c r="Z139" s="144">
        <f>SUM(Q139:V139)</f>
        <v>0.99999999999999989</v>
      </c>
      <c r="AA139" s="136"/>
      <c r="AB139" s="115"/>
      <c r="AC139" s="140"/>
      <c r="AD139" s="150"/>
      <c r="AE139" s="150"/>
      <c r="AF139" s="150"/>
      <c r="AG139" s="150"/>
      <c r="AH139" s="150"/>
      <c r="AI139" s="146"/>
      <c r="AJ139" s="146"/>
      <c r="AK139" s="146"/>
      <c r="AL139" s="146"/>
      <c r="AM139" s="144"/>
      <c r="AN139" s="136"/>
    </row>
    <row r="140" spans="2:40" x14ac:dyDescent="0.3">
      <c r="B140" s="107"/>
      <c r="C140" s="147" t="s">
        <v>368</v>
      </c>
      <c r="D140" s="108">
        <f>'07E_Seeds'!AL130</f>
        <v>1.6063214923676097</v>
      </c>
      <c r="E140" s="108">
        <f>'07E_Seeds'!AM130</f>
        <v>4.8395872091804204</v>
      </c>
      <c r="F140" s="108">
        <f>'07E_Seeds'!AN130</f>
        <v>16.46514468865734</v>
      </c>
      <c r="G140" s="108">
        <f>'07E_Seeds'!AO130</f>
        <v>14.421071870521173</v>
      </c>
      <c r="H140" s="108">
        <f>'07E_Seeds'!AP130</f>
        <v>13.568411136765997</v>
      </c>
      <c r="I140" s="107"/>
      <c r="J140" s="107"/>
      <c r="K140" s="107"/>
      <c r="L140" s="107"/>
      <c r="M140" s="107"/>
      <c r="N140" s="141"/>
      <c r="O140" s="107"/>
      <c r="P140" s="147" t="s">
        <v>368</v>
      </c>
      <c r="Q140" s="108">
        <f>'07E_Seeds'!AL135</f>
        <v>1.35E-2</v>
      </c>
      <c r="R140" s="108">
        <f>'07E_Seeds'!AM135</f>
        <v>0.46249187759581167</v>
      </c>
      <c r="S140" s="108">
        <f>'07E_Seeds'!AN135</f>
        <v>0.76152513176899539</v>
      </c>
      <c r="T140" s="108">
        <f>'07E_Seeds'!AO135</f>
        <v>0.57018921143959367</v>
      </c>
      <c r="U140" s="108">
        <f>'07E_Seeds'!AP135</f>
        <v>0.34319520300904705</v>
      </c>
      <c r="V140" s="107"/>
      <c r="W140" s="107"/>
      <c r="X140" s="107"/>
      <c r="Y140" s="107"/>
      <c r="Z140" s="107"/>
      <c r="AA140" s="107"/>
      <c r="AB140" s="107"/>
      <c r="AC140" s="147"/>
      <c r="AD140" s="108"/>
      <c r="AE140" s="108"/>
      <c r="AF140" s="108"/>
      <c r="AG140" s="108"/>
      <c r="AH140" s="108"/>
      <c r="AI140" s="107"/>
      <c r="AJ140" s="107"/>
      <c r="AK140" s="107"/>
      <c r="AL140" s="107"/>
      <c r="AM140" s="107"/>
      <c r="AN140" s="107"/>
    </row>
    <row r="141" spans="2:40" x14ac:dyDescent="0.3">
      <c r="B141" s="107"/>
      <c r="C141" s="128" t="s">
        <v>458</v>
      </c>
      <c r="D141" s="125">
        <f>1.96*D140</f>
        <v>3.1483901250405149</v>
      </c>
      <c r="E141" s="125">
        <f>1.96*E140</f>
        <v>9.4855909299936236</v>
      </c>
      <c r="F141" s="125">
        <f>1.96*F140</f>
        <v>32.271683589768386</v>
      </c>
      <c r="G141" s="125">
        <f>1.96*G140</f>
        <v>28.265300866221498</v>
      </c>
      <c r="H141" s="125">
        <f>1.96*H140</f>
        <v>26.594085828061353</v>
      </c>
      <c r="I141" s="107"/>
      <c r="J141" s="107"/>
      <c r="K141" s="107"/>
      <c r="L141" s="107"/>
      <c r="M141" s="107"/>
      <c r="N141" s="141"/>
      <c r="O141" s="107"/>
      <c r="P141" s="128" t="s">
        <v>458</v>
      </c>
      <c r="Q141" s="125">
        <f>1.96*Q140</f>
        <v>2.6460000000000001E-2</v>
      </c>
      <c r="R141" s="125">
        <f>1.96*R140</f>
        <v>0.90648408008779091</v>
      </c>
      <c r="S141" s="125">
        <f>1.96*S140</f>
        <v>1.4925892582672309</v>
      </c>
      <c r="T141" s="125">
        <f>1.96*T140</f>
        <v>1.1175708544216036</v>
      </c>
      <c r="U141" s="125">
        <f>1.96*U140</f>
        <v>0.6726625978977322</v>
      </c>
      <c r="V141" s="107"/>
      <c r="W141" s="107"/>
      <c r="X141" s="107"/>
      <c r="Y141" s="107"/>
      <c r="Z141" s="107"/>
      <c r="AA141" s="107"/>
      <c r="AB141" s="107"/>
      <c r="AC141" s="128"/>
      <c r="AD141" s="125"/>
      <c r="AE141" s="125"/>
      <c r="AF141" s="125"/>
      <c r="AG141" s="125"/>
      <c r="AH141" s="125"/>
      <c r="AI141" s="107"/>
      <c r="AJ141" s="107"/>
      <c r="AK141" s="107"/>
      <c r="AL141" s="107"/>
      <c r="AM141" s="107"/>
      <c r="AN141" s="107"/>
    </row>
    <row r="142" spans="2:40" x14ac:dyDescent="0.3">
      <c r="B142" s="115" t="s">
        <v>375</v>
      </c>
      <c r="C142" s="107" t="s">
        <v>367</v>
      </c>
      <c r="D142" s="145">
        <f>D132/SUM(D132:H132)</f>
        <v>1.1100886896254672E-2</v>
      </c>
      <c r="E142" s="145">
        <f>E132/SUM(D132:H132)</f>
        <v>6.4462754323161148E-3</v>
      </c>
      <c r="F142" s="145">
        <f>F132/SUM(D132:H132)</f>
        <v>0.19653484457603726</v>
      </c>
      <c r="G142" s="145">
        <f>G132/SUM(D132:H132)</f>
        <v>0.66780722719795094</v>
      </c>
      <c r="H142" s="145">
        <f>H132/SUM(D132:H132)</f>
        <v>0.11811076589744091</v>
      </c>
      <c r="I142" s="151">
        <f>SUM(D142:H142)</f>
        <v>1</v>
      </c>
      <c r="J142" s="107"/>
      <c r="K142" s="107"/>
      <c r="L142" s="107"/>
      <c r="M142" s="107"/>
      <c r="N142" s="107"/>
      <c r="O142" s="115" t="s">
        <v>375</v>
      </c>
      <c r="P142" s="107" t="s">
        <v>367</v>
      </c>
      <c r="Q142" s="145">
        <f>Q132/SUM(Q132:U132)</f>
        <v>1.0851499292592137E-3</v>
      </c>
      <c r="R142" s="145">
        <f>R132/SUM(Q132:U132)</f>
        <v>9.9380503015068494E-3</v>
      </c>
      <c r="S142" s="145">
        <f>S132/SUM(Q132:U132)</f>
        <v>0.7869534759137925</v>
      </c>
      <c r="T142" s="145">
        <f>T132/SUM(Q132:U132)</f>
        <v>0.18499059078858812</v>
      </c>
      <c r="U142" s="145">
        <f>U132/SUM(Q132:U132)</f>
        <v>1.7032733066853482E-2</v>
      </c>
      <c r="V142" s="151">
        <f>SUM(Q142:U142)</f>
        <v>1.0000000000000002</v>
      </c>
      <c r="W142" s="107"/>
      <c r="X142" s="107"/>
      <c r="Y142" s="107"/>
      <c r="Z142" s="107"/>
      <c r="AA142" s="107"/>
      <c r="AB142" s="115" t="s">
        <v>375</v>
      </c>
      <c r="AC142" s="107" t="s">
        <v>367</v>
      </c>
      <c r="AD142" s="145">
        <f>AD132/SUM(AD132:AH132)</f>
        <v>0</v>
      </c>
      <c r="AE142" s="145">
        <f>AE132/SUM(AD132:AH132)</f>
        <v>1.0469563036800199E-2</v>
      </c>
      <c r="AF142" s="145">
        <f>AF132/SUM(AD132:AH132)</f>
        <v>0.59331703341483288</v>
      </c>
      <c r="AG142" s="145">
        <f>AG132/SUM(AD132:AH132)</f>
        <v>0.38254654880571748</v>
      </c>
      <c r="AH142" s="145">
        <f>AH132/SUM(AD132:AH132)</f>
        <v>1.3666854742649363E-2</v>
      </c>
      <c r="AI142" s="151">
        <f>SUM(AD142:AH142)</f>
        <v>1</v>
      </c>
      <c r="AJ142" s="107"/>
      <c r="AK142" s="107"/>
      <c r="AL142" s="107"/>
      <c r="AM142" s="107"/>
      <c r="AN142" s="107"/>
    </row>
    <row r="143" spans="2:40" x14ac:dyDescent="0.3">
      <c r="B143" s="147" t="s">
        <v>648</v>
      </c>
      <c r="C143" s="90" t="s">
        <v>447</v>
      </c>
      <c r="D143" s="108">
        <f>D136*D142</f>
        <v>3.9519157350666655E-2</v>
      </c>
      <c r="E143" s="108">
        <f>E136*D142</f>
        <v>0.54416547565440399</v>
      </c>
      <c r="F143" s="108">
        <f>F136*D142</f>
        <v>2.4675051392994907</v>
      </c>
      <c r="G143" s="108">
        <f>G136*D142</f>
        <v>2.9118736417565572</v>
      </c>
      <c r="H143" s="108">
        <f>H136*D142</f>
        <v>1.675123832644831</v>
      </c>
      <c r="I143" s="107"/>
      <c r="J143" s="107"/>
      <c r="K143" s="107"/>
      <c r="L143" s="107"/>
      <c r="M143" s="107"/>
      <c r="N143" s="107"/>
      <c r="O143" s="147" t="s">
        <v>648</v>
      </c>
      <c r="P143" s="90" t="s">
        <v>447</v>
      </c>
      <c r="Q143" s="108">
        <f>Q136*Q142</f>
        <v>0</v>
      </c>
      <c r="R143" s="108">
        <f>R136*Q142</f>
        <v>5.7404431257812418E-3</v>
      </c>
      <c r="S143" s="108">
        <f>S136*Q142</f>
        <v>1.3672889108665993E-2</v>
      </c>
      <c r="T143" s="108">
        <f>T136*Q142</f>
        <v>1.0048488344940371E-2</v>
      </c>
      <c r="U143" s="108">
        <f>U136*Q142</f>
        <v>4.7855111880331326E-3</v>
      </c>
      <c r="V143" s="107"/>
      <c r="W143" s="107"/>
      <c r="X143" s="107"/>
      <c r="Y143" s="107"/>
      <c r="Z143" s="107"/>
      <c r="AA143" s="107"/>
      <c r="AB143" s="147" t="s">
        <v>648</v>
      </c>
      <c r="AC143" s="90" t="s">
        <v>447</v>
      </c>
      <c r="AD143" s="108">
        <f>AD136*AD142</f>
        <v>0</v>
      </c>
      <c r="AE143" s="108">
        <f>AE136*AD142</f>
        <v>0</v>
      </c>
      <c r="AF143" s="108">
        <f>AF136*AD142</f>
        <v>0</v>
      </c>
      <c r="AG143" s="108">
        <f>AG136*AD142</f>
        <v>0</v>
      </c>
      <c r="AH143" s="108">
        <f>AH136*AD142</f>
        <v>0</v>
      </c>
      <c r="AI143" s="107"/>
      <c r="AJ143" s="107"/>
      <c r="AK143" s="107"/>
      <c r="AL143" s="107"/>
      <c r="AM143" s="107"/>
      <c r="AN143" s="107"/>
    </row>
    <row r="144" spans="2:40" x14ac:dyDescent="0.3">
      <c r="B144" s="107" t="s">
        <v>649</v>
      </c>
      <c r="C144" s="91" t="s">
        <v>446</v>
      </c>
      <c r="D144" s="108">
        <f>D136*E142</f>
        <v>2.2948740539045383E-2</v>
      </c>
      <c r="E144" s="108">
        <f>E136*E142</f>
        <v>0.31599642169213593</v>
      </c>
      <c r="F144" s="108">
        <f>F136*E142</f>
        <v>1.4328781030952273</v>
      </c>
      <c r="G144" s="108">
        <f>G136*E142</f>
        <v>1.6909225086508368</v>
      </c>
      <c r="H144" s="108">
        <f>H136*E142</f>
        <v>0.97274296273650229</v>
      </c>
      <c r="I144" s="107"/>
      <c r="J144" s="107"/>
      <c r="K144" s="107"/>
      <c r="L144" s="107"/>
      <c r="M144" s="107"/>
      <c r="N144" s="107"/>
      <c r="O144" s="107" t="s">
        <v>649</v>
      </c>
      <c r="P144" s="91" t="s">
        <v>446</v>
      </c>
      <c r="Q144" s="108">
        <f>Q136*R142</f>
        <v>0</v>
      </c>
      <c r="R144" s="108">
        <f>R136*R142</f>
        <v>5.2572286094971242E-2</v>
      </c>
      <c r="S144" s="108">
        <f>S136*R142</f>
        <v>0.1252194337989854</v>
      </c>
      <c r="T144" s="108">
        <f>T136*R142</f>
        <v>9.2026345791953901E-2</v>
      </c>
      <c r="U144" s="108">
        <f>U136*R142</f>
        <v>4.3826801829645205E-2</v>
      </c>
      <c r="V144" s="107"/>
      <c r="W144" s="107"/>
      <c r="X144" s="107"/>
      <c r="Y144" s="107"/>
      <c r="Z144" s="107"/>
      <c r="AA144" s="107"/>
      <c r="AB144" s="107" t="s">
        <v>649</v>
      </c>
      <c r="AC144" s="91" t="s">
        <v>446</v>
      </c>
      <c r="AD144" s="108">
        <f>AD136*AE142</f>
        <v>0</v>
      </c>
      <c r="AE144" s="108">
        <f>AE136*AE142</f>
        <v>1.633251833740831E-2</v>
      </c>
      <c r="AF144" s="108">
        <f>AF136*AE142</f>
        <v>3.1722776001504617E-2</v>
      </c>
      <c r="AG144" s="108">
        <f>AG136*AE142</f>
        <v>3.507303617328076E-2</v>
      </c>
      <c r="AH144" s="108">
        <f>AH136*AE142</f>
        <v>9.6319979938561881E-3</v>
      </c>
      <c r="AI144" s="107"/>
      <c r="AJ144" s="107"/>
      <c r="AK144" s="107"/>
      <c r="AL144" s="107"/>
      <c r="AM144" s="107"/>
      <c r="AN144" s="107"/>
    </row>
    <row r="145" spans="2:40" x14ac:dyDescent="0.3">
      <c r="B145" s="107"/>
      <c r="C145" s="92" t="s">
        <v>448</v>
      </c>
      <c r="D145" s="108">
        <f>D136*F142</f>
        <v>0.69966404669069304</v>
      </c>
      <c r="E145" s="108">
        <f>E136*F142</f>
        <v>9.6341380811173458</v>
      </c>
      <c r="F145" s="108">
        <f>F136*F142</f>
        <v>43.685765252361598</v>
      </c>
      <c r="G145" s="108">
        <f>G136*F142</f>
        <v>51.553055080740236</v>
      </c>
      <c r="H145" s="108">
        <f>H136*F142</f>
        <v>29.657108046524041</v>
      </c>
      <c r="I145" s="107"/>
      <c r="J145" s="107"/>
      <c r="K145" s="107"/>
      <c r="L145" s="107"/>
      <c r="M145" s="107"/>
      <c r="N145" s="107"/>
      <c r="O145" s="107"/>
      <c r="P145" s="92" t="s">
        <v>448</v>
      </c>
      <c r="Q145" s="108">
        <f>Q136*S142</f>
        <v>0</v>
      </c>
      <c r="R145" s="108">
        <f>R136*S142</f>
        <v>4.1629838875839633</v>
      </c>
      <c r="S145" s="108">
        <f>S136*S142</f>
        <v>9.9156137965137141</v>
      </c>
      <c r="T145" s="108">
        <f>T136*S142</f>
        <v>7.287189186961756</v>
      </c>
      <c r="U145" s="108">
        <f>U136*S142</f>
        <v>3.470464828779825</v>
      </c>
      <c r="V145" s="107"/>
      <c r="W145" s="107"/>
      <c r="X145" s="107"/>
      <c r="Y145" s="107"/>
      <c r="Z145" s="107"/>
      <c r="AA145" s="107"/>
      <c r="AB145" s="107"/>
      <c r="AC145" s="92" t="s">
        <v>448</v>
      </c>
      <c r="AD145" s="108">
        <f>AD136*AF142</f>
        <v>0</v>
      </c>
      <c r="AE145" s="108">
        <f>AE136*AF142</f>
        <v>0.92557457212713923</v>
      </c>
      <c r="AF145" s="108">
        <f>AF136*AF142</f>
        <v>1.7977506112469444</v>
      </c>
      <c r="AG145" s="108">
        <f>AG136*AF142</f>
        <v>1.9876120619396953</v>
      </c>
      <c r="AH145" s="108">
        <f>AH136*AF142</f>
        <v>0.54585167074164642</v>
      </c>
      <c r="AI145" s="107"/>
      <c r="AJ145" s="107"/>
      <c r="AK145" s="107"/>
      <c r="AL145" s="107"/>
      <c r="AM145" s="107"/>
      <c r="AN145" s="107"/>
    </row>
    <row r="146" spans="2:40" x14ac:dyDescent="0.3">
      <c r="B146" s="107"/>
      <c r="C146" s="124" t="s">
        <v>449</v>
      </c>
      <c r="D146" s="108">
        <f>D136*G142</f>
        <v>2.3773937288247069</v>
      </c>
      <c r="E146" s="108">
        <f>E136*G142</f>
        <v>32.735910277243555</v>
      </c>
      <c r="F146" s="108">
        <f>F136*G142</f>
        <v>148.44019046156066</v>
      </c>
      <c r="G146" s="108">
        <f>G136*G142</f>
        <v>175.17251376629417</v>
      </c>
      <c r="H146" s="108">
        <f>H136*G142</f>
        <v>100.77211058417086</v>
      </c>
      <c r="I146" s="107"/>
      <c r="J146" s="107"/>
      <c r="K146" s="107"/>
      <c r="L146" s="107"/>
      <c r="M146" s="107"/>
      <c r="N146" s="107"/>
      <c r="O146" s="107"/>
      <c r="P146" s="124" t="s">
        <v>449</v>
      </c>
      <c r="Q146" s="108">
        <f>Q136*T142</f>
        <v>0</v>
      </c>
      <c r="R146" s="108">
        <f>R136*T142</f>
        <v>0.97860022527163137</v>
      </c>
      <c r="S146" s="108">
        <f>S136*T142</f>
        <v>2.3308814439361933</v>
      </c>
      <c r="T146" s="108">
        <f>T136*T142</f>
        <v>1.7130128707023349</v>
      </c>
      <c r="U146" s="108">
        <f>U136*T142</f>
        <v>0.81580850537767369</v>
      </c>
      <c r="V146" s="107"/>
      <c r="W146" s="107"/>
      <c r="X146" s="107"/>
      <c r="Y146" s="107"/>
      <c r="Z146" s="107"/>
      <c r="AA146" s="107"/>
      <c r="AB146" s="107"/>
      <c r="AC146" s="124" t="s">
        <v>449</v>
      </c>
      <c r="AD146" s="108">
        <f>AD136*AG142</f>
        <v>0</v>
      </c>
      <c r="AE146" s="108">
        <f>AE136*AG142</f>
        <v>0.59677261613691923</v>
      </c>
      <c r="AF146" s="108">
        <f>AF136*AG142</f>
        <v>1.1591160428813243</v>
      </c>
      <c r="AG146" s="108">
        <f>AG136*AG142</f>
        <v>1.2815309384991569</v>
      </c>
      <c r="AH146" s="108">
        <f>AH136*AG142</f>
        <v>0.35194282490126022</v>
      </c>
      <c r="AI146" s="107"/>
      <c r="AJ146" s="107"/>
      <c r="AK146" s="107"/>
      <c r="AL146" s="107"/>
      <c r="AM146" s="107"/>
      <c r="AN146" s="107"/>
    </row>
    <row r="147" spans="2:40" x14ac:dyDescent="0.3">
      <c r="B147" s="107"/>
      <c r="C147" s="123" t="s">
        <v>450</v>
      </c>
      <c r="D147" s="125">
        <f>D136*H142</f>
        <v>0.42047432659488987</v>
      </c>
      <c r="E147" s="125">
        <f>E136*H142</f>
        <v>5.7897897442925528</v>
      </c>
      <c r="F147" s="125">
        <f>F136*H142</f>
        <v>26.253661043683188</v>
      </c>
      <c r="G147" s="125">
        <f>G136*H142</f>
        <v>30.981635002557663</v>
      </c>
      <c r="H147" s="125">
        <f>H136*H142</f>
        <v>17.822914573923843</v>
      </c>
      <c r="I147" s="107"/>
      <c r="J147" s="107"/>
      <c r="K147" s="107"/>
      <c r="L147" s="107"/>
      <c r="M147" s="107"/>
      <c r="N147" s="107"/>
      <c r="O147" s="107"/>
      <c r="P147" s="123" t="s">
        <v>450</v>
      </c>
      <c r="Q147" s="125">
        <f>Q136*U142</f>
        <v>0</v>
      </c>
      <c r="R147" s="125">
        <f>R136*U142</f>
        <v>9.0103157923654933E-2</v>
      </c>
      <c r="S147" s="125">
        <f>S136*U142</f>
        <v>0.21461243664235233</v>
      </c>
      <c r="T147" s="125">
        <f>T136*U142</f>
        <v>0.15772310819906407</v>
      </c>
      <c r="U147" s="125">
        <f>U136*U142</f>
        <v>7.5114352824823857E-2</v>
      </c>
      <c r="V147" s="107"/>
      <c r="W147" s="107"/>
      <c r="X147" s="107"/>
      <c r="Y147" s="107"/>
      <c r="Z147" s="107"/>
      <c r="AA147" s="107"/>
      <c r="AB147" s="107"/>
      <c r="AC147" s="123" t="s">
        <v>450</v>
      </c>
      <c r="AD147" s="125">
        <f>AD136*AH142</f>
        <v>0</v>
      </c>
      <c r="AE147" s="125">
        <f>AE136*AH142</f>
        <v>2.1320293398533002E-2</v>
      </c>
      <c r="AF147" s="125">
        <f>AF136*AH142</f>
        <v>4.1410569870227586E-2</v>
      </c>
      <c r="AG147" s="125">
        <f>AG136*AH142</f>
        <v>4.5783963387875486E-2</v>
      </c>
      <c r="AH147" s="125">
        <f>AH136*AH142</f>
        <v>1.2573506363237419E-2</v>
      </c>
      <c r="AI147" s="107"/>
      <c r="AJ147" s="107"/>
      <c r="AK147" s="107"/>
      <c r="AL147" s="107"/>
      <c r="AM147" s="107"/>
      <c r="AN147" s="107"/>
    </row>
    <row r="148" spans="2:40" x14ac:dyDescent="0.3">
      <c r="B148" s="107"/>
      <c r="C148" s="107" t="s">
        <v>36</v>
      </c>
      <c r="D148" s="108">
        <f>SUM(D143:D147)</f>
        <v>3.5600000000000018</v>
      </c>
      <c r="E148" s="108">
        <f>SUM(E143:E147)</f>
        <v>49.019999999999996</v>
      </c>
      <c r="F148" s="108">
        <f>SUM(F143:F147)</f>
        <v>222.28000000000017</v>
      </c>
      <c r="G148" s="108">
        <f t="shared" ref="G148:H148" si="86">SUM(G143:G147)</f>
        <v>262.30999999999949</v>
      </c>
      <c r="H148" s="108">
        <f t="shared" si="86"/>
        <v>150.90000000000006</v>
      </c>
      <c r="I148" s="107"/>
      <c r="J148" s="107"/>
      <c r="K148" s="107"/>
      <c r="L148" s="107"/>
      <c r="M148" s="107"/>
      <c r="N148" s="107"/>
      <c r="O148" s="107"/>
      <c r="P148" s="107" t="s">
        <v>36</v>
      </c>
      <c r="Q148" s="108">
        <f>SUM(Q143:Q147)</f>
        <v>0</v>
      </c>
      <c r="R148" s="108">
        <f>SUM(R143:R147)</f>
        <v>5.2900000000000018</v>
      </c>
      <c r="S148" s="108">
        <f>SUM(S143:S147)</f>
        <v>12.599999999999911</v>
      </c>
      <c r="T148" s="108">
        <f t="shared" ref="T148:U148" si="87">SUM(T143:T147)</f>
        <v>9.2600000000000495</v>
      </c>
      <c r="U148" s="108">
        <f t="shared" si="87"/>
        <v>4.410000000000001</v>
      </c>
      <c r="V148" s="107"/>
      <c r="W148" s="107"/>
      <c r="X148" s="107"/>
      <c r="Y148" s="107"/>
      <c r="Z148" s="107"/>
      <c r="AA148" s="107"/>
      <c r="AB148" s="107"/>
      <c r="AC148" s="107" t="s">
        <v>36</v>
      </c>
      <c r="AD148" s="108">
        <f>SUM(AD143:AD147)</f>
        <v>0</v>
      </c>
      <c r="AE148" s="108">
        <f>SUM(AE143:AE147)</f>
        <v>1.5599999999999998</v>
      </c>
      <c r="AF148" s="108">
        <f>SUM(AF143:AF147)</f>
        <v>3.0300000000000007</v>
      </c>
      <c r="AG148" s="108">
        <f t="shared" ref="AG148:AH148" si="88">SUM(AG143:AG147)</f>
        <v>3.3500000000000085</v>
      </c>
      <c r="AH148" s="108">
        <f t="shared" si="88"/>
        <v>0.92000000000000026</v>
      </c>
      <c r="AI148" s="107"/>
      <c r="AJ148" s="107"/>
      <c r="AK148" s="107"/>
      <c r="AL148" s="107"/>
      <c r="AM148" s="107"/>
      <c r="AN148" s="107"/>
    </row>
    <row r="149" spans="2:40" x14ac:dyDescent="0.3">
      <c r="B149" s="107" t="s">
        <v>650</v>
      </c>
      <c r="C149" s="211" t="s">
        <v>451</v>
      </c>
      <c r="D149" s="125">
        <f>I134*D142</f>
        <v>53.683000959335871</v>
      </c>
      <c r="E149" s="125">
        <f>I134*E142</f>
        <v>31.173672288646134</v>
      </c>
      <c r="F149" s="125">
        <f>I134*F142</f>
        <v>950.42678558214982</v>
      </c>
      <c r="G149" s="125">
        <f>I134*G142</f>
        <v>3229.4623261511138</v>
      </c>
      <c r="H149" s="125">
        <f>I134*H142</f>
        <v>571.17421501875219</v>
      </c>
      <c r="I149" s="226">
        <f>SUM(D149:H149)</f>
        <v>4835.9199999999973</v>
      </c>
      <c r="J149" s="107"/>
      <c r="K149" s="140"/>
      <c r="L149" s="140"/>
      <c r="M149" s="107"/>
      <c r="N149" s="107"/>
      <c r="O149" s="107" t="s">
        <v>650</v>
      </c>
      <c r="P149" s="211" t="s">
        <v>451</v>
      </c>
      <c r="Q149" s="125">
        <f>V134*Q142</f>
        <v>1.382481009876264E-2</v>
      </c>
      <c r="R149" s="125">
        <f>V134*R142</f>
        <v>0.1266107608411996</v>
      </c>
      <c r="S149" s="125">
        <f>V134*S142</f>
        <v>10.025787283141902</v>
      </c>
      <c r="T149" s="125">
        <f>V134*T142</f>
        <v>2.3567801266466564</v>
      </c>
      <c r="U149" s="125">
        <f>V134*U142</f>
        <v>0.21699701927171738</v>
      </c>
      <c r="V149" s="226">
        <f>SUM(Q149:U149)</f>
        <v>12.740000000000238</v>
      </c>
      <c r="W149" s="107"/>
      <c r="X149" s="140"/>
      <c r="Y149" s="140"/>
      <c r="Z149" s="107"/>
      <c r="AA149" s="107"/>
      <c r="AB149" s="107" t="s">
        <v>650</v>
      </c>
      <c r="AC149" s="211" t="s">
        <v>451</v>
      </c>
      <c r="AD149" s="125">
        <f>AI134*AD142</f>
        <v>0</v>
      </c>
      <c r="AE149" s="125">
        <f>AI134*AE142</f>
        <v>1.033869349884019</v>
      </c>
      <c r="AF149" s="125">
        <f>AI134*AF142</f>
        <v>58.590057049714716</v>
      </c>
      <c r="AG149" s="125">
        <f>AI134*AG142</f>
        <v>37.776471694564577</v>
      </c>
      <c r="AH149" s="125">
        <f>AI134*AH142</f>
        <v>1.3496019058366238</v>
      </c>
      <c r="AI149" s="226">
        <f>SUM(AD149:AH149)</f>
        <v>98.749999999999929</v>
      </c>
      <c r="AJ149" s="107"/>
      <c r="AK149" s="140"/>
      <c r="AL149" s="140"/>
      <c r="AM149" s="107"/>
      <c r="AN149" s="107"/>
    </row>
    <row r="150" spans="2:40" x14ac:dyDescent="0.3">
      <c r="B150" s="107" t="s">
        <v>651</v>
      </c>
      <c r="C150" s="107" t="s">
        <v>652</v>
      </c>
      <c r="D150" s="108">
        <f>SUM(D143:H143)+D149</f>
        <v>61.321188206041825</v>
      </c>
      <c r="E150" s="108">
        <f>SUM(D144:H144)+E149</f>
        <v>35.609161025359882</v>
      </c>
      <c r="F150" s="108">
        <f>SUM(D145:H145)+F149</f>
        <v>1085.6565160895836</v>
      </c>
      <c r="G150" s="108">
        <f>SUM(D146:H146)+G149</f>
        <v>3688.9604449692079</v>
      </c>
      <c r="H150" s="108">
        <f>SUM(D147:H147)+H149</f>
        <v>652.44268970980431</v>
      </c>
      <c r="I150" s="107"/>
      <c r="J150" s="107"/>
      <c r="K150" s="108">
        <f>D150+E150+G150+H150</f>
        <v>4438.3334839104136</v>
      </c>
      <c r="L150" s="108">
        <f>F150</f>
        <v>1085.6565160895836</v>
      </c>
      <c r="M150" s="107"/>
      <c r="N150" s="107"/>
      <c r="O150" s="107" t="s">
        <v>651</v>
      </c>
      <c r="P150" s="107" t="s">
        <v>652</v>
      </c>
      <c r="Q150" s="108">
        <f>SUM(Q143:U143)+Q149</f>
        <v>4.8072141866183374E-2</v>
      </c>
      <c r="R150" s="108">
        <f>SUM(Q144:U144)+R149</f>
        <v>0.44025562835675536</v>
      </c>
      <c r="S150" s="108">
        <f>SUM(Q145:U145)+S149</f>
        <v>34.862038982981161</v>
      </c>
      <c r="T150" s="108">
        <f>SUM(Q146:U146)+T149</f>
        <v>8.1950831719344883</v>
      </c>
      <c r="U150" s="108">
        <f>SUM(Q147:U147)+U149</f>
        <v>0.75455007486161252</v>
      </c>
      <c r="V150" s="107"/>
      <c r="W150" s="107"/>
      <c r="X150" s="108">
        <f>Q150+R150+T150+U150</f>
        <v>9.4379610170190382</v>
      </c>
      <c r="Y150" s="108">
        <f>S150</f>
        <v>34.862038982981161</v>
      </c>
      <c r="Z150" s="107"/>
      <c r="AA150" s="107"/>
      <c r="AB150" s="107" t="s">
        <v>651</v>
      </c>
      <c r="AC150" s="107" t="s">
        <v>652</v>
      </c>
      <c r="AD150" s="108">
        <f>SUM(AD143:AH143)+AD149</f>
        <v>0</v>
      </c>
      <c r="AE150" s="108">
        <f>SUM(AD144:AH144)+AE149</f>
        <v>1.1266296783900689</v>
      </c>
      <c r="AF150" s="108">
        <f>SUM(AD145:AH145)+AF149</f>
        <v>63.846845965770143</v>
      </c>
      <c r="AG150" s="108">
        <f>SUM(AD146:AH146)+AG149</f>
        <v>41.165834116983241</v>
      </c>
      <c r="AH150" s="108">
        <f>SUM(AD147:AH147)+AH149</f>
        <v>1.4706902388564973</v>
      </c>
      <c r="AI150" s="107"/>
      <c r="AJ150" s="107"/>
      <c r="AK150" s="108">
        <f>AD150+AE150+AG150+AH150</f>
        <v>43.763154034229807</v>
      </c>
      <c r="AL150" s="108">
        <f>AF150</f>
        <v>63.846845965770143</v>
      </c>
      <c r="AM150" s="107"/>
      <c r="AN150" s="107"/>
    </row>
    <row r="151" spans="2:40" x14ac:dyDescent="0.3">
      <c r="B151" s="107" t="s">
        <v>651</v>
      </c>
      <c r="C151" s="107" t="s">
        <v>653</v>
      </c>
      <c r="D151" s="145">
        <f>D150/$N$2</f>
        <v>2.4770282782943828E-3</v>
      </c>
      <c r="E151" s="145">
        <f t="shared" ref="E151:H151" si="89">E150/$N$2</f>
        <v>1.4384081816839944E-3</v>
      </c>
      <c r="F151" s="145">
        <f t="shared" si="89"/>
        <v>4.3854366973983372E-2</v>
      </c>
      <c r="G151" s="145">
        <f t="shared" si="89"/>
        <v>0.14901308352009143</v>
      </c>
      <c r="H151" s="145">
        <f t="shared" si="89"/>
        <v>2.6354984951488605E-2</v>
      </c>
      <c r="I151" s="107"/>
      <c r="J151" s="107"/>
      <c r="K151" s="151">
        <f>K150/$N$2</f>
        <v>0.17928350493155842</v>
      </c>
      <c r="L151" s="146">
        <f>L150/$N$2</f>
        <v>4.3854366973983372E-2</v>
      </c>
      <c r="M151" s="107"/>
      <c r="N151" s="107"/>
      <c r="O151" s="107" t="s">
        <v>651</v>
      </c>
      <c r="P151" s="107" t="s">
        <v>653</v>
      </c>
      <c r="Q151" s="145">
        <f>Q150/$N$3</f>
        <v>3.2729746089342967E-5</v>
      </c>
      <c r="R151" s="145">
        <f t="shared" ref="R151:U151" si="90">R150/$N$3</f>
        <v>2.9974647209670427E-4</v>
      </c>
      <c r="S151" s="145">
        <f t="shared" si="90"/>
        <v>2.3735694724108202E-2</v>
      </c>
      <c r="T151" s="145">
        <f t="shared" si="90"/>
        <v>5.579593107066157E-3</v>
      </c>
      <c r="U151" s="145">
        <f t="shared" si="90"/>
        <v>5.1373272342766178E-4</v>
      </c>
      <c r="V151" s="107"/>
      <c r="W151" s="107"/>
      <c r="X151" s="151">
        <f>X150/$N$3</f>
        <v>6.4258020486798652E-3</v>
      </c>
      <c r="Y151" s="151">
        <f>Y150/$N$3</f>
        <v>2.3735694724108202E-2</v>
      </c>
      <c r="Z151" s="107"/>
      <c r="AA151" s="107"/>
      <c r="AB151" s="107" t="s">
        <v>651</v>
      </c>
      <c r="AC151" s="107" t="s">
        <v>653</v>
      </c>
      <c r="AD151" s="145">
        <f>AD150/$N$4</f>
        <v>0</v>
      </c>
      <c r="AE151" s="145">
        <f t="shared" ref="AE151:AH151" si="91">AE150/$N$4</f>
        <v>2.696770180697678E-3</v>
      </c>
      <c r="AF151" s="145">
        <f t="shared" si="91"/>
        <v>0.15282774245582534</v>
      </c>
      <c r="AG151" s="145">
        <f t="shared" si="91"/>
        <v>9.8537075704294805E-2</v>
      </c>
      <c r="AH151" s="145">
        <f t="shared" si="91"/>
        <v>3.5203347268987655E-3</v>
      </c>
      <c r="AI151" s="107"/>
      <c r="AJ151" s="107"/>
      <c r="AK151" s="151">
        <f>AK150/$N$4</f>
        <v>0.10475418061189125</v>
      </c>
      <c r="AL151" s="151">
        <f>AL150/$N$4</f>
        <v>0.15282774245582534</v>
      </c>
      <c r="AM151" s="107"/>
      <c r="AN151" s="107"/>
    </row>
    <row r="154" spans="2:40" x14ac:dyDescent="0.3">
      <c r="D154" t="s">
        <v>421</v>
      </c>
      <c r="E154" t="s">
        <v>422</v>
      </c>
      <c r="F154" t="s">
        <v>423</v>
      </c>
      <c r="G154" t="s">
        <v>424</v>
      </c>
      <c r="H154" t="s">
        <v>425</v>
      </c>
      <c r="Q154" t="s">
        <v>421</v>
      </c>
      <c r="R154" t="s">
        <v>422</v>
      </c>
      <c r="S154" t="s">
        <v>423</v>
      </c>
      <c r="T154" t="s">
        <v>424</v>
      </c>
      <c r="U154" t="s">
        <v>425</v>
      </c>
      <c r="AD154" t="s">
        <v>421</v>
      </c>
      <c r="AE154" t="s">
        <v>422</v>
      </c>
      <c r="AF154" t="s">
        <v>423</v>
      </c>
      <c r="AG154" t="s">
        <v>424</v>
      </c>
      <c r="AH154" t="s">
        <v>425</v>
      </c>
    </row>
    <row r="155" spans="2:40" x14ac:dyDescent="0.3">
      <c r="B155" s="118" t="s">
        <v>352</v>
      </c>
      <c r="C155" s="8">
        <v>20</v>
      </c>
      <c r="D155" s="90" t="s">
        <v>447</v>
      </c>
      <c r="E155" s="91" t="s">
        <v>446</v>
      </c>
      <c r="F155" s="92" t="s">
        <v>448</v>
      </c>
      <c r="G155" s="124" t="s">
        <v>449</v>
      </c>
      <c r="H155" s="123" t="s">
        <v>450</v>
      </c>
      <c r="I155" s="211" t="s">
        <v>451</v>
      </c>
      <c r="J155" s="212" t="s">
        <v>514</v>
      </c>
      <c r="K155" s="213" t="s">
        <v>515</v>
      </c>
      <c r="L155" s="214" t="s">
        <v>448</v>
      </c>
      <c r="Q155" s="90" t="s">
        <v>447</v>
      </c>
      <c r="R155" s="91" t="s">
        <v>446</v>
      </c>
      <c r="S155" s="92" t="s">
        <v>448</v>
      </c>
      <c r="T155" s="124" t="s">
        <v>449</v>
      </c>
      <c r="U155" s="123" t="s">
        <v>450</v>
      </c>
      <c r="V155" s="211" t="s">
        <v>451</v>
      </c>
      <c r="W155" s="212" t="s">
        <v>514</v>
      </c>
      <c r="X155" s="213" t="s">
        <v>515</v>
      </c>
      <c r="Y155" s="214" t="s">
        <v>448</v>
      </c>
      <c r="AD155" s="90" t="s">
        <v>447</v>
      </c>
      <c r="AE155" s="91" t="s">
        <v>446</v>
      </c>
      <c r="AF155" s="92" t="s">
        <v>448</v>
      </c>
      <c r="AG155" s="124" t="s">
        <v>449</v>
      </c>
      <c r="AH155" s="123" t="s">
        <v>450</v>
      </c>
      <c r="AI155" s="211" t="s">
        <v>451</v>
      </c>
      <c r="AJ155" s="212" t="s">
        <v>514</v>
      </c>
      <c r="AK155" s="213" t="s">
        <v>515</v>
      </c>
      <c r="AL155" s="214" t="s">
        <v>448</v>
      </c>
    </row>
    <row r="156" spans="2:40" x14ac:dyDescent="0.3">
      <c r="B156" s="119" t="s">
        <v>667</v>
      </c>
      <c r="C156" s="107"/>
      <c r="D156" s="116"/>
      <c r="E156" s="116"/>
      <c r="F156" s="116"/>
      <c r="G156" s="116"/>
      <c r="H156" s="116"/>
      <c r="I156" s="107"/>
      <c r="J156" s="107"/>
      <c r="K156" s="107"/>
      <c r="L156" s="107"/>
      <c r="M156" s="107"/>
      <c r="N156" s="141"/>
      <c r="O156" s="119" t="s">
        <v>704</v>
      </c>
      <c r="P156" s="107"/>
      <c r="Q156" s="116"/>
      <c r="R156" s="116"/>
      <c r="S156" s="116"/>
      <c r="T156" s="116"/>
      <c r="U156" s="116"/>
      <c r="V156" s="107"/>
      <c r="W156" s="107"/>
      <c r="X156" s="107"/>
      <c r="Y156" s="107"/>
      <c r="Z156" s="107"/>
      <c r="AA156" s="141"/>
      <c r="AB156" s="119" t="s">
        <v>775</v>
      </c>
      <c r="AC156" s="107"/>
      <c r="AD156" s="116"/>
      <c r="AE156" s="116"/>
      <c r="AF156" s="116"/>
      <c r="AG156" s="116"/>
      <c r="AH156" s="116"/>
      <c r="AI156" s="107"/>
      <c r="AJ156" s="107"/>
      <c r="AK156" s="107"/>
      <c r="AL156" s="107"/>
      <c r="AM156" s="107"/>
      <c r="AN156" s="107"/>
    </row>
    <row r="157" spans="2:40" x14ac:dyDescent="0.3">
      <c r="B157" s="115" t="s">
        <v>375</v>
      </c>
      <c r="C157" s="122" t="s">
        <v>9</v>
      </c>
      <c r="D157" s="135">
        <f>'11E_Seeds'!AL127</f>
        <v>222.63</v>
      </c>
      <c r="E157" s="135">
        <f>'11E_Seeds'!AM127</f>
        <v>318.02</v>
      </c>
      <c r="F157" s="135">
        <f>'11E_Seeds'!AN127</f>
        <v>4304.01</v>
      </c>
      <c r="G157" s="135">
        <f>'11E_Seeds'!AO127</f>
        <v>15142.55</v>
      </c>
      <c r="H157" s="135">
        <f>'11E_Seeds'!AP127</f>
        <v>4340.32</v>
      </c>
      <c r="I157" s="108">
        <f>$N$2-N157</f>
        <v>428.42000000000189</v>
      </c>
      <c r="J157" s="108"/>
      <c r="K157" s="108">
        <f>D157+E157+G157+H157</f>
        <v>20023.519999999997</v>
      </c>
      <c r="L157" s="108">
        <f>F157</f>
        <v>4304.01</v>
      </c>
      <c r="M157" s="115" t="s">
        <v>36</v>
      </c>
      <c r="N157" s="136">
        <f>SUM(D157:H157)</f>
        <v>24327.53</v>
      </c>
      <c r="O157" s="115" t="s">
        <v>375</v>
      </c>
      <c r="P157" s="122" t="s">
        <v>9</v>
      </c>
      <c r="Q157" s="135">
        <f>'11E_Seeds'!AL132</f>
        <v>0.59</v>
      </c>
      <c r="R157" s="135">
        <f>'11E_Seeds'!AM132</f>
        <v>13.99</v>
      </c>
      <c r="S157" s="135">
        <f>'11E_Seeds'!AN132</f>
        <v>1172.1600000000001</v>
      </c>
      <c r="T157" s="135">
        <f>'11E_Seeds'!AO132</f>
        <v>261.06</v>
      </c>
      <c r="U157" s="135">
        <f>'11E_Seeds'!AP132</f>
        <v>14.41</v>
      </c>
      <c r="V157" s="108">
        <f>$N$3-AA157</f>
        <v>6.5499999999999545</v>
      </c>
      <c r="W157" s="108"/>
      <c r="X157" s="108">
        <f>Q157+R157+T157+U157</f>
        <v>290.05</v>
      </c>
      <c r="Y157" s="108">
        <f>S157</f>
        <v>1172.1600000000001</v>
      </c>
      <c r="Z157" s="115" t="s">
        <v>36</v>
      </c>
      <c r="AA157" s="136">
        <f>SUM(Q157:U157)</f>
        <v>1462.21</v>
      </c>
      <c r="AB157" s="115" t="s">
        <v>375</v>
      </c>
      <c r="AC157" s="122" t="s">
        <v>9</v>
      </c>
      <c r="AD157" s="135">
        <v>0</v>
      </c>
      <c r="AE157" s="135">
        <v>6.7</v>
      </c>
      <c r="AF157" s="135">
        <v>267.52999999999997</v>
      </c>
      <c r="AG157" s="135">
        <v>139.31</v>
      </c>
      <c r="AH157" s="135">
        <v>2.34</v>
      </c>
      <c r="AI157" s="108">
        <f>$N$4-AN157</f>
        <v>1.8900000000000432</v>
      </c>
      <c r="AJ157" s="108"/>
      <c r="AK157" s="108">
        <f>AD157+AE157+AG157+AH157</f>
        <v>148.35</v>
      </c>
      <c r="AL157" s="108">
        <f>AF157</f>
        <v>267.52999999999997</v>
      </c>
      <c r="AM157" s="115" t="s">
        <v>36</v>
      </c>
      <c r="AN157" s="136">
        <f>SUM(AD157:AH157)</f>
        <v>415.87999999999994</v>
      </c>
    </row>
    <row r="158" spans="2:40" x14ac:dyDescent="0.3">
      <c r="B158" s="107"/>
      <c r="C158" s="140" t="s">
        <v>456</v>
      </c>
      <c r="D158" s="150">
        <f t="shared" ref="D158:I158" si="92">D157/$N$2</f>
        <v>8.9929895641249879E-3</v>
      </c>
      <c r="E158" s="150">
        <f t="shared" si="92"/>
        <v>1.2846204649791261E-2</v>
      </c>
      <c r="F158" s="150">
        <f t="shared" si="92"/>
        <v>0.17385759787041097</v>
      </c>
      <c r="G158" s="150">
        <f t="shared" si="92"/>
        <v>0.61167315332273653</v>
      </c>
      <c r="H158" s="150">
        <f t="shared" si="92"/>
        <v>0.17532431597252376</v>
      </c>
      <c r="I158" s="150">
        <f t="shared" si="92"/>
        <v>1.7305738620412542E-2</v>
      </c>
      <c r="J158" s="150"/>
      <c r="K158" s="150">
        <f>K157/$N$2</f>
        <v>0.80883666350917638</v>
      </c>
      <c r="L158" s="150">
        <f>L157/$N$2</f>
        <v>0.17385759787041097</v>
      </c>
      <c r="M158" s="144">
        <f>SUM(D158:I158)</f>
        <v>1</v>
      </c>
      <c r="N158" s="141"/>
      <c r="O158" s="107"/>
      <c r="P158" s="140" t="s">
        <v>455</v>
      </c>
      <c r="Q158" s="150">
        <f t="shared" ref="Q158:V158" si="93">Q157/$N$3</f>
        <v>4.0169939268498597E-4</v>
      </c>
      <c r="R158" s="150">
        <f t="shared" si="93"/>
        <v>9.5250415316321252E-3</v>
      </c>
      <c r="S158" s="150">
        <f t="shared" si="93"/>
        <v>0.79806094937225969</v>
      </c>
      <c r="T158" s="150">
        <f t="shared" si="93"/>
        <v>0.17774176856668211</v>
      </c>
      <c r="U158" s="150">
        <f t="shared" si="93"/>
        <v>9.8109970315095728E-3</v>
      </c>
      <c r="V158" s="150">
        <f t="shared" si="93"/>
        <v>4.4595441052315927E-3</v>
      </c>
      <c r="W158" s="150"/>
      <c r="X158" s="150">
        <f>X157/$N$3</f>
        <v>0.19747950652250879</v>
      </c>
      <c r="Y158" s="150">
        <f>Y157/$N$3</f>
        <v>0.79806094937225969</v>
      </c>
      <c r="Z158" s="144">
        <f>SUM(Q158:V158)</f>
        <v>1</v>
      </c>
      <c r="AA158" s="141"/>
      <c r="AB158" s="107"/>
      <c r="AC158" s="140" t="s">
        <v>455</v>
      </c>
      <c r="AD158" s="150">
        <f>AD157/$N$4</f>
        <v>0</v>
      </c>
      <c r="AE158" s="150">
        <f t="shared" ref="AE158:AI158" si="94">AE157/$N$4</f>
        <v>1.6037532613639084E-2</v>
      </c>
      <c r="AF158" s="150">
        <f t="shared" si="94"/>
        <v>0.6403762836010245</v>
      </c>
      <c r="AG158" s="150">
        <f t="shared" si="94"/>
        <v>0.33346099528448669</v>
      </c>
      <c r="AH158" s="150">
        <f t="shared" si="94"/>
        <v>5.6011681068530534E-3</v>
      </c>
      <c r="AI158" s="150">
        <f t="shared" si="94"/>
        <v>4.5240203939968006E-3</v>
      </c>
      <c r="AJ158" s="150"/>
      <c r="AK158" s="150">
        <f t="shared" ref="AK158:AL158" si="95">AK157/$N$4</f>
        <v>0.35509969600497882</v>
      </c>
      <c r="AL158" s="150">
        <f t="shared" si="95"/>
        <v>0.6403762836010245</v>
      </c>
      <c r="AM158" s="144">
        <f>SUM(AD158:AI158)</f>
        <v>1.0000000000000002</v>
      </c>
      <c r="AN158" s="107"/>
    </row>
    <row r="159" spans="2:40" x14ac:dyDescent="0.3">
      <c r="B159" s="107" t="s">
        <v>513</v>
      </c>
      <c r="C159" s="107" t="s">
        <v>9</v>
      </c>
      <c r="D159" s="108">
        <v>198.77</v>
      </c>
      <c r="E159" s="108">
        <v>219</v>
      </c>
      <c r="F159" s="108">
        <v>4120.62</v>
      </c>
      <c r="G159" s="108">
        <v>14769.71</v>
      </c>
      <c r="H159" s="108">
        <v>4162.46</v>
      </c>
      <c r="I159" s="108">
        <f>I157</f>
        <v>428.42000000000189</v>
      </c>
      <c r="J159" s="108">
        <f>SUM(D157:H157)-SUM(D159:H159)</f>
        <v>856.97000000000116</v>
      </c>
      <c r="K159" s="108">
        <f>D159+E159+G159+H159</f>
        <v>19349.939999999999</v>
      </c>
      <c r="L159" s="108">
        <f>F159</f>
        <v>4120.62</v>
      </c>
      <c r="M159" s="115" t="s">
        <v>524</v>
      </c>
      <c r="N159" s="195">
        <f>SUM(D159:H159)</f>
        <v>23470.559999999998</v>
      </c>
      <c r="O159" s="107" t="s">
        <v>513</v>
      </c>
      <c r="P159" s="122" t="s">
        <v>9</v>
      </c>
      <c r="Q159" s="108">
        <v>0.51</v>
      </c>
      <c r="R159" s="108">
        <v>9.2100000000000009</v>
      </c>
      <c r="S159" s="108">
        <v>1160.76</v>
      </c>
      <c r="T159" s="108">
        <v>252.5</v>
      </c>
      <c r="U159" s="108">
        <v>13.08</v>
      </c>
      <c r="V159" s="108">
        <f>V157</f>
        <v>6.5499999999999545</v>
      </c>
      <c r="W159" s="108">
        <f>SUM(Q157:U157)-SUM(Q159:U159)</f>
        <v>26.150000000000091</v>
      </c>
      <c r="X159" s="108">
        <f>Q159+R159+T159+U159</f>
        <v>275.3</v>
      </c>
      <c r="Y159" s="108">
        <f>S159</f>
        <v>1160.76</v>
      </c>
      <c r="Z159" s="115" t="s">
        <v>524</v>
      </c>
      <c r="AA159" s="195">
        <f>SUM(Q159:U159)</f>
        <v>1436.06</v>
      </c>
      <c r="AB159" s="107" t="s">
        <v>513</v>
      </c>
      <c r="AC159" s="122" t="s">
        <v>9</v>
      </c>
      <c r="AD159" s="108">
        <v>0</v>
      </c>
      <c r="AE159" s="108">
        <v>2.83</v>
      </c>
      <c r="AF159" s="108">
        <v>262.66000000000003</v>
      </c>
      <c r="AG159" s="108">
        <v>135.47999999999999</v>
      </c>
      <c r="AH159" s="108">
        <v>2.25</v>
      </c>
      <c r="AI159" s="108">
        <f>AI157</f>
        <v>1.8900000000000432</v>
      </c>
      <c r="AJ159" s="108">
        <f>SUM(AD157:AH157)-SUM(AD159:AH159)</f>
        <v>12.659999999999911</v>
      </c>
      <c r="AK159" s="108">
        <f>AD159+AE159+AG159+AH159</f>
        <v>140.56</v>
      </c>
      <c r="AL159" s="108">
        <f>AF159</f>
        <v>262.66000000000003</v>
      </c>
      <c r="AM159" s="115" t="s">
        <v>524</v>
      </c>
      <c r="AN159" s="195">
        <f>SUM(AD159:AH159)</f>
        <v>403.22</v>
      </c>
    </row>
    <row r="160" spans="2:40" x14ac:dyDescent="0.3">
      <c r="B160" s="107"/>
      <c r="C160" s="140" t="s">
        <v>455</v>
      </c>
      <c r="D160" s="150">
        <f t="shared" ref="D160:L160" si="96">D159/$N$2</f>
        <v>8.0291808635903697E-3</v>
      </c>
      <c r="E160" s="150">
        <f t="shared" si="96"/>
        <v>8.846358148243149E-3</v>
      </c>
      <c r="F160" s="150">
        <f t="shared" si="96"/>
        <v>0.16644968179366978</v>
      </c>
      <c r="G160" s="150">
        <f t="shared" si="96"/>
        <v>0.59661253153282334</v>
      </c>
      <c r="H160" s="150">
        <f t="shared" si="96"/>
        <v>0.16813978053760811</v>
      </c>
      <c r="I160" s="150">
        <f t="shared" si="96"/>
        <v>1.7305738620412542E-2</v>
      </c>
      <c r="J160" s="150">
        <f t="shared" si="96"/>
        <v>3.4616728503652702E-2</v>
      </c>
      <c r="K160" s="150">
        <f t="shared" si="96"/>
        <v>0.78162785108226496</v>
      </c>
      <c r="L160" s="150">
        <f t="shared" si="96"/>
        <v>0.16644968179366978</v>
      </c>
      <c r="M160" s="144">
        <f>SUM(D160:J160)</f>
        <v>1</v>
      </c>
      <c r="N160" s="194">
        <f>N159/N157</f>
        <v>0.96477365355216904</v>
      </c>
      <c r="O160" s="107"/>
      <c r="P160" s="140" t="s">
        <v>455</v>
      </c>
      <c r="Q160" s="150">
        <f t="shared" ref="Q160:Y160" si="97">Q159/$N$3</f>
        <v>3.47231678422615E-4</v>
      </c>
      <c r="R160" s="150">
        <f t="shared" si="97"/>
        <v>6.27059560445546E-3</v>
      </c>
      <c r="S160" s="150">
        <f t="shared" si="97"/>
        <v>0.7902993000898717</v>
      </c>
      <c r="T160" s="150">
        <f t="shared" si="97"/>
        <v>0.1719137231406084</v>
      </c>
      <c r="U160" s="150">
        <f t="shared" si="97"/>
        <v>8.9054712818976561E-3</v>
      </c>
      <c r="V160" s="150">
        <f t="shared" si="97"/>
        <v>4.4595441052315927E-3</v>
      </c>
      <c r="W160" s="150">
        <f t="shared" si="97"/>
        <v>1.7804134099512575E-2</v>
      </c>
      <c r="X160" s="150">
        <f t="shared" si="97"/>
        <v>0.18743702170538415</v>
      </c>
      <c r="Y160" s="150">
        <f t="shared" si="97"/>
        <v>0.7902993000898717</v>
      </c>
      <c r="Z160" s="144">
        <f>SUM(Q160:W160)</f>
        <v>1</v>
      </c>
      <c r="AA160" s="194">
        <f>AA159/AA157</f>
        <v>0.98211611191278947</v>
      </c>
      <c r="AB160" s="107"/>
      <c r="AC160" s="140" t="s">
        <v>455</v>
      </c>
      <c r="AD160" s="150">
        <f t="shared" ref="AD160:AL160" si="98">AD159/$N$4</f>
        <v>0</v>
      </c>
      <c r="AE160" s="150">
        <f t="shared" si="98"/>
        <v>6.7740622830744198E-3</v>
      </c>
      <c r="AF160" s="150">
        <f t="shared" si="98"/>
        <v>0.62871915168633463</v>
      </c>
      <c r="AG160" s="150">
        <f t="shared" si="98"/>
        <v>0.32429327141728703</v>
      </c>
      <c r="AH160" s="150">
        <f t="shared" si="98"/>
        <v>5.385738564281782E-3</v>
      </c>
      <c r="AI160" s="150">
        <f t="shared" si="98"/>
        <v>4.5240203939968006E-3</v>
      </c>
      <c r="AJ160" s="150">
        <f t="shared" si="98"/>
        <v>3.0303755655025282E-2</v>
      </c>
      <c r="AK160" s="150">
        <f t="shared" si="98"/>
        <v>0.33645307226464327</v>
      </c>
      <c r="AL160" s="150">
        <f t="shared" si="98"/>
        <v>0.62871915168633463</v>
      </c>
      <c r="AM160" s="144">
        <f>SUM(AD160:AJ160)</f>
        <v>1</v>
      </c>
      <c r="AN160" s="194">
        <f>AN159/AN157</f>
        <v>0.96955852649802854</v>
      </c>
    </row>
    <row r="161" spans="2:40" x14ac:dyDescent="0.3">
      <c r="B161" s="107"/>
      <c r="C161" s="107" t="s">
        <v>516</v>
      </c>
      <c r="D161" s="112">
        <f>D157-D159</f>
        <v>23.859999999999985</v>
      </c>
      <c r="E161" s="112">
        <f>E157-E159</f>
        <v>99.019999999999982</v>
      </c>
      <c r="F161" s="112">
        <f>F157-F159</f>
        <v>183.39000000000033</v>
      </c>
      <c r="G161" s="112">
        <f>G157-G159</f>
        <v>372.84000000000015</v>
      </c>
      <c r="H161" s="112">
        <f>H157-H159</f>
        <v>177.85999999999967</v>
      </c>
      <c r="I161" s="146"/>
      <c r="J161" s="146"/>
      <c r="K161" s="112">
        <f>K157-K159</f>
        <v>673.57999999999811</v>
      </c>
      <c r="L161" s="108">
        <f>F161</f>
        <v>183.39000000000033</v>
      </c>
      <c r="M161" s="144"/>
      <c r="N161" s="107"/>
      <c r="O161" s="107"/>
      <c r="P161" s="107" t="s">
        <v>516</v>
      </c>
      <c r="Q161" s="112">
        <f>Q157-Q159</f>
        <v>7.999999999999996E-2</v>
      </c>
      <c r="R161" s="112">
        <f>R157-R159</f>
        <v>4.7799999999999994</v>
      </c>
      <c r="S161" s="112">
        <f>S157-S159</f>
        <v>11.400000000000091</v>
      </c>
      <c r="T161" s="112">
        <f>T157-T159</f>
        <v>8.5600000000000023</v>
      </c>
      <c r="U161" s="112">
        <f>U157-U159</f>
        <v>1.33</v>
      </c>
      <c r="V161" s="146"/>
      <c r="W161" s="146"/>
      <c r="X161" s="112">
        <f>X157-X159</f>
        <v>14.75</v>
      </c>
      <c r="Y161" s="108">
        <f>S161</f>
        <v>11.400000000000091</v>
      </c>
      <c r="Z161" s="144"/>
      <c r="AA161" s="107"/>
      <c r="AB161" s="107"/>
      <c r="AC161" s="107" t="s">
        <v>516</v>
      </c>
      <c r="AD161" s="112">
        <f>AD157-AD159</f>
        <v>0</v>
      </c>
      <c r="AE161" s="112">
        <f>AE157-AE159</f>
        <v>3.87</v>
      </c>
      <c r="AF161" s="112">
        <f>AF157-AF159</f>
        <v>4.8699999999999477</v>
      </c>
      <c r="AG161" s="112">
        <f>AG157-AG159</f>
        <v>3.8300000000000125</v>
      </c>
      <c r="AH161" s="112">
        <f>AH157-AH159</f>
        <v>8.9999999999999858E-2</v>
      </c>
      <c r="AI161" s="146"/>
      <c r="AJ161" s="146"/>
      <c r="AK161" s="112">
        <f>AK157-AK159</f>
        <v>7.789999999999992</v>
      </c>
      <c r="AL161" s="108">
        <f>AF161</f>
        <v>4.8699999999999477</v>
      </c>
      <c r="AM161" s="144"/>
      <c r="AN161" s="107"/>
    </row>
    <row r="162" spans="2:40" x14ac:dyDescent="0.3">
      <c r="B162" s="107"/>
      <c r="C162" s="107" t="s">
        <v>517</v>
      </c>
      <c r="D162" s="146">
        <f>D161/D157</f>
        <v>0.10717333692673937</v>
      </c>
      <c r="E162" s="146">
        <f>E161/E157</f>
        <v>0.31136406515313497</v>
      </c>
      <c r="F162" s="146">
        <f>F161/F157</f>
        <v>4.2609101744652156E-2</v>
      </c>
      <c r="G162" s="146">
        <f>G161/G157</f>
        <v>2.4622008842632197E-2</v>
      </c>
      <c r="H162" s="146">
        <f>H161/H157</f>
        <v>4.0978545360710661E-2</v>
      </c>
      <c r="I162" s="146"/>
      <c r="J162" s="146"/>
      <c r="K162" s="150">
        <f>K161/K157</f>
        <v>3.3639440018538108E-2</v>
      </c>
      <c r="L162" s="150">
        <f>L161/$N$2</f>
        <v>7.4079160767411599E-3</v>
      </c>
      <c r="M162" s="144"/>
      <c r="N162" s="107"/>
      <c r="O162" s="107"/>
      <c r="P162" s="107" t="s">
        <v>517</v>
      </c>
      <c r="Q162" s="146">
        <f>Q161/Q157</f>
        <v>0.13559322033898299</v>
      </c>
      <c r="R162" s="146">
        <f>R161/R157</f>
        <v>0.34167262330235876</v>
      </c>
      <c r="S162" s="146">
        <f>S161/S157</f>
        <v>9.7256347256348026E-3</v>
      </c>
      <c r="T162" s="146">
        <f>T161/T157</f>
        <v>3.2789397073469707E-2</v>
      </c>
      <c r="U162" s="146">
        <f>U161/U157</f>
        <v>9.2297015961138096E-2</v>
      </c>
      <c r="V162" s="146"/>
      <c r="W162" s="146"/>
      <c r="X162" s="150">
        <f>X161/X157</f>
        <v>5.0853301154973281E-2</v>
      </c>
      <c r="Y162" s="150">
        <f>Y161/$N$3</f>
        <v>7.7616492823879262E-3</v>
      </c>
      <c r="Z162" s="144"/>
      <c r="AA162" s="107"/>
      <c r="AB162" s="107"/>
      <c r="AC162" s="107" t="s">
        <v>517</v>
      </c>
      <c r="AD162" s="146" t="s">
        <v>527</v>
      </c>
      <c r="AE162" s="146">
        <f>AE161/AE157</f>
        <v>0.57761194029850749</v>
      </c>
      <c r="AF162" s="146">
        <f>AF161/AF157</f>
        <v>1.8203565955219783E-2</v>
      </c>
      <c r="AG162" s="146">
        <f>AG161/AG157</f>
        <v>2.7492642308520655E-2</v>
      </c>
      <c r="AH162" s="146">
        <f>AH161/AH157</f>
        <v>3.8461538461538401E-2</v>
      </c>
      <c r="AI162" s="146"/>
      <c r="AJ162" s="146"/>
      <c r="AK162" s="150">
        <f t="shared" ref="AK162:AL162" si="99">AK161/$N$4</f>
        <v>1.8646623740335572E-2</v>
      </c>
      <c r="AL162" s="150">
        <f t="shared" si="99"/>
        <v>1.1657131914689776E-2</v>
      </c>
      <c r="AM162" s="144"/>
      <c r="AN162" s="107"/>
    </row>
    <row r="163" spans="2:40" x14ac:dyDescent="0.3">
      <c r="B163" s="115" t="s">
        <v>376</v>
      </c>
      <c r="C163" s="122" t="s">
        <v>9</v>
      </c>
      <c r="D163" s="135">
        <f>'11E_Seeds'!AL129</f>
        <v>220.56550000000001</v>
      </c>
      <c r="E163" s="135">
        <f>'11E_Seeds'!AM129</f>
        <v>321.48999999999995</v>
      </c>
      <c r="F163" s="135">
        <f>'11E_Seeds'!AN129</f>
        <v>4301.7240000000002</v>
      </c>
      <c r="G163" s="135">
        <f>'11E_Seeds'!AO129</f>
        <v>15106.011000000002</v>
      </c>
      <c r="H163" s="135">
        <f>'11E_Seeds'!AP129</f>
        <v>4377.7379999999994</v>
      </c>
      <c r="I163" s="108">
        <f>$N$2-N163</f>
        <v>428.42150000000038</v>
      </c>
      <c r="J163" s="108"/>
      <c r="K163" s="108"/>
      <c r="L163" s="108"/>
      <c r="M163" s="115" t="s">
        <v>36</v>
      </c>
      <c r="N163" s="136">
        <f>SUM(D163:H163)</f>
        <v>24327.5285</v>
      </c>
      <c r="O163" s="115" t="s">
        <v>376</v>
      </c>
      <c r="P163" s="122" t="s">
        <v>9</v>
      </c>
      <c r="Q163" s="135">
        <f>'11E_Seeds'!AL134</f>
        <v>0.62349999999999994</v>
      </c>
      <c r="R163" s="135">
        <f>'11E_Seeds'!AM134</f>
        <v>14.9595</v>
      </c>
      <c r="S163" s="135">
        <f>'11E_Seeds'!AN134</f>
        <v>1168.3599999999999</v>
      </c>
      <c r="T163" s="135">
        <f>'11E_Seeds'!AO134</f>
        <v>263.334</v>
      </c>
      <c r="U163" s="135">
        <f>'11E_Seeds'!AP134</f>
        <v>14.940999999999999</v>
      </c>
      <c r="V163" s="108">
        <f>$N$3-AA163</f>
        <v>6.5419999999999163</v>
      </c>
      <c r="W163" s="108"/>
      <c r="X163" s="108"/>
      <c r="Y163" s="108"/>
      <c r="Z163" s="115" t="s">
        <v>36</v>
      </c>
      <c r="AA163" s="136">
        <f>SUM(Q163:U163)</f>
        <v>1462.2180000000001</v>
      </c>
      <c r="AB163" s="115" t="s">
        <v>376</v>
      </c>
      <c r="AC163" s="122"/>
      <c r="AD163" s="138"/>
      <c r="AE163" s="135"/>
      <c r="AF163" s="135"/>
      <c r="AG163" s="135"/>
      <c r="AH163" s="135"/>
      <c r="AI163" s="108"/>
      <c r="AJ163" s="108"/>
      <c r="AK163" s="108"/>
      <c r="AL163" s="108"/>
      <c r="AM163" s="115"/>
      <c r="AN163" s="136"/>
    </row>
    <row r="164" spans="2:40" x14ac:dyDescent="0.3">
      <c r="B164" s="115"/>
      <c r="C164" s="140" t="s">
        <v>455</v>
      </c>
      <c r="D164" s="150">
        <f t="shared" ref="D164:I164" si="100">D163/$N$2</f>
        <v>8.9095954709877828E-3</v>
      </c>
      <c r="E164" s="150">
        <f t="shared" si="100"/>
        <v>1.2986372972962052E-2</v>
      </c>
      <c r="F164" s="150">
        <f t="shared" si="100"/>
        <v>0.1737652564333019</v>
      </c>
      <c r="G164" s="150">
        <f t="shared" si="100"/>
        <v>0.61019718491918107</v>
      </c>
      <c r="H164" s="150">
        <f t="shared" si="100"/>
        <v>0.17683579099166055</v>
      </c>
      <c r="I164" s="145">
        <f t="shared" si="100"/>
        <v>1.7305799211906649E-2</v>
      </c>
      <c r="J164" s="145"/>
      <c r="K164" s="145"/>
      <c r="L164" s="145"/>
      <c r="M164" s="144">
        <f>SUM(D164:I164)</f>
        <v>1</v>
      </c>
      <c r="N164" s="136"/>
      <c r="O164" s="115"/>
      <c r="P164" s="140" t="s">
        <v>455</v>
      </c>
      <c r="Q164" s="150">
        <f t="shared" ref="Q164:V164" si="101">Q163/$N$3</f>
        <v>4.245077480323538E-4</v>
      </c>
      <c r="R164" s="150">
        <f t="shared" si="101"/>
        <v>1.0185122143849234E-2</v>
      </c>
      <c r="S164" s="150">
        <f t="shared" si="101"/>
        <v>0.79547373294479695</v>
      </c>
      <c r="T164" s="150">
        <f t="shared" si="101"/>
        <v>0.17929001334458999</v>
      </c>
      <c r="U164" s="150">
        <f t="shared" si="101"/>
        <v>1.0172526484926059E-2</v>
      </c>
      <c r="V164" s="146">
        <f t="shared" si="101"/>
        <v>4.4540973338053303E-3</v>
      </c>
      <c r="W164" s="146"/>
      <c r="X164" s="146"/>
      <c r="Y164" s="145"/>
      <c r="Z164" s="144">
        <f>SUM(Q164:V164)</f>
        <v>1</v>
      </c>
      <c r="AA164" s="136"/>
      <c r="AB164" s="115"/>
      <c r="AC164" s="140"/>
      <c r="AD164" s="150"/>
      <c r="AE164" s="150"/>
      <c r="AF164" s="150"/>
      <c r="AG164" s="150"/>
      <c r="AH164" s="150"/>
      <c r="AI164" s="146"/>
      <c r="AJ164" s="146"/>
      <c r="AK164" s="146"/>
      <c r="AL164" s="146"/>
      <c r="AM164" s="144"/>
      <c r="AN164" s="136"/>
    </row>
    <row r="165" spans="2:40" x14ac:dyDescent="0.3">
      <c r="B165" s="107"/>
      <c r="C165" s="147" t="s">
        <v>368</v>
      </c>
      <c r="D165" s="108">
        <f>'11E_Seeds'!AL130</f>
        <v>1.5979354237330909</v>
      </c>
      <c r="E165" s="108">
        <f>'11E_Seeds'!AM130</f>
        <v>6.7277652894162197</v>
      </c>
      <c r="F165" s="108">
        <f>'11E_Seeds'!AN130</f>
        <v>11.112945329422642</v>
      </c>
      <c r="G165" s="108">
        <f>'11E_Seeds'!AO130</f>
        <v>20.497571164203269</v>
      </c>
      <c r="H165" s="108">
        <f>'11E_Seeds'!AP130</f>
        <v>12.321745958819491</v>
      </c>
      <c r="I165" s="107"/>
      <c r="J165" s="107"/>
      <c r="K165" s="107"/>
      <c r="L165" s="107"/>
      <c r="M165" s="107"/>
      <c r="N165" s="141"/>
      <c r="O165" s="107"/>
      <c r="P165" s="147" t="s">
        <v>368</v>
      </c>
      <c r="Q165" s="108">
        <f>'11E_Seeds'!AL135</f>
        <v>3.3734840650049211E-2</v>
      </c>
      <c r="R165" s="108">
        <f>'11E_Seeds'!AM135</f>
        <v>0.41635035537519877</v>
      </c>
      <c r="S165" s="108">
        <f>'11E_Seeds'!AN135</f>
        <v>1.147400265130285</v>
      </c>
      <c r="T165" s="108">
        <f>'11E_Seeds'!AO135</f>
        <v>0.94394257184818553</v>
      </c>
      <c r="U165" s="108">
        <f>'11E_Seeds'!AP135</f>
        <v>0.12975462673020466</v>
      </c>
      <c r="V165" s="107"/>
      <c r="W165" s="107"/>
      <c r="X165" s="107"/>
      <c r="Y165" s="107"/>
      <c r="Z165" s="107"/>
      <c r="AA165" s="107"/>
      <c r="AB165" s="107"/>
      <c r="AC165" s="147"/>
      <c r="AD165" s="108"/>
      <c r="AE165" s="108"/>
      <c r="AF165" s="108"/>
      <c r="AG165" s="108"/>
      <c r="AH165" s="108"/>
      <c r="AI165" s="107"/>
      <c r="AJ165" s="107"/>
      <c r="AK165" s="107"/>
      <c r="AL165" s="107"/>
      <c r="AM165" s="107"/>
      <c r="AN165" s="107"/>
    </row>
    <row r="166" spans="2:40" x14ac:dyDescent="0.3">
      <c r="B166" s="107"/>
      <c r="C166" s="128" t="s">
        <v>458</v>
      </c>
      <c r="D166" s="125">
        <f>1.96*D165</f>
        <v>3.1319534305168584</v>
      </c>
      <c r="E166" s="125">
        <f>1.96*E165</f>
        <v>13.186419967255791</v>
      </c>
      <c r="F166" s="125">
        <f>1.96*F165</f>
        <v>21.781372845668379</v>
      </c>
      <c r="G166" s="125">
        <f>1.96*G165</f>
        <v>40.175239481838403</v>
      </c>
      <c r="H166" s="125">
        <f>1.96*H165</f>
        <v>24.150622079286201</v>
      </c>
      <c r="I166" s="107"/>
      <c r="J166" s="107"/>
      <c r="K166" s="107"/>
      <c r="L166" s="107"/>
      <c r="M166" s="107"/>
      <c r="N166" s="107"/>
      <c r="O166" s="107"/>
      <c r="P166" s="128" t="s">
        <v>458</v>
      </c>
      <c r="Q166" s="125">
        <f>1.96*Q165</f>
        <v>6.6120287674096459E-2</v>
      </c>
      <c r="R166" s="125">
        <f>1.96*R165</f>
        <v>0.81604669653538953</v>
      </c>
      <c r="S166" s="125">
        <f>1.96*S165</f>
        <v>2.2489045196553588</v>
      </c>
      <c r="T166" s="125">
        <f>1.96*T165</f>
        <v>1.8501274408224435</v>
      </c>
      <c r="U166" s="125">
        <f>1.96*U165</f>
        <v>0.25431906839120111</v>
      </c>
      <c r="V166" s="107"/>
      <c r="W166" s="107"/>
      <c r="X166" s="107"/>
      <c r="Y166" s="107"/>
      <c r="Z166" s="107"/>
      <c r="AA166" s="107"/>
      <c r="AB166" s="107"/>
      <c r="AC166" s="128"/>
      <c r="AD166" s="125"/>
      <c r="AE166" s="125"/>
      <c r="AF166" s="125"/>
      <c r="AG166" s="125"/>
      <c r="AH166" s="125"/>
      <c r="AI166" s="107"/>
      <c r="AJ166" s="107"/>
      <c r="AK166" s="107"/>
      <c r="AL166" s="107"/>
      <c r="AM166" s="107"/>
      <c r="AN166" s="107"/>
    </row>
    <row r="167" spans="2:40" x14ac:dyDescent="0.3">
      <c r="B167" s="115" t="s">
        <v>375</v>
      </c>
      <c r="C167" s="107" t="s">
        <v>367</v>
      </c>
      <c r="D167" s="145">
        <f>D157/SUM(D157:H157)</f>
        <v>9.1513606190188647E-3</v>
      </c>
      <c r="E167" s="145">
        <f>E157/SUM(D157:H157)</f>
        <v>1.3072432754167808E-2</v>
      </c>
      <c r="F167" s="145">
        <f>F157/SUM(D157:H157)</f>
        <v>0.17691931733307906</v>
      </c>
      <c r="G167" s="145">
        <f>G157/SUM(D157:H157)</f>
        <v>0.62244502421741954</v>
      </c>
      <c r="H167" s="145">
        <f>H157/SUM(D157:H157)</f>
        <v>0.17841186507631476</v>
      </c>
      <c r="I167" s="151">
        <f>SUM(D167:H167)</f>
        <v>1</v>
      </c>
      <c r="J167" s="107"/>
      <c r="K167" s="107"/>
      <c r="L167" s="107"/>
      <c r="M167" s="107"/>
      <c r="N167" s="107"/>
      <c r="O167" s="115" t="s">
        <v>375</v>
      </c>
      <c r="P167" s="107" t="s">
        <v>367</v>
      </c>
      <c r="Q167" s="145">
        <f>Q157/SUM(Q157:U157)</f>
        <v>4.0349881343992996E-4</v>
      </c>
      <c r="R167" s="145">
        <f>R157/SUM(Q157:U157)</f>
        <v>9.5677091525841022E-3</v>
      </c>
      <c r="S167" s="145">
        <f>S157/SUM(Q157:U157)</f>
        <v>0.80163587993516672</v>
      </c>
      <c r="T167" s="145">
        <f>T157/SUM(Q157:U157)</f>
        <v>0.17853796650275952</v>
      </c>
      <c r="U167" s="145">
        <f>U157/SUM(Q157:U157)</f>
        <v>9.854945596049814E-3</v>
      </c>
      <c r="V167" s="151">
        <f>SUM(Q167:U167)</f>
        <v>1</v>
      </c>
      <c r="W167" s="107"/>
      <c r="X167" s="107"/>
      <c r="Y167" s="107"/>
      <c r="Z167" s="107"/>
      <c r="AA167" s="107"/>
      <c r="AB167" s="115" t="s">
        <v>375</v>
      </c>
      <c r="AC167" s="107" t="s">
        <v>367</v>
      </c>
      <c r="AD167" s="145">
        <f>AD157/SUM(AD157:AH157)</f>
        <v>0</v>
      </c>
      <c r="AE167" s="145">
        <f>AE157/SUM(AD157:AH157)</f>
        <v>1.6110416466288354E-2</v>
      </c>
      <c r="AF167" s="145">
        <f>AF157/SUM(AD157:AH157)</f>
        <v>0.64328652495912286</v>
      </c>
      <c r="AG167" s="145">
        <f>AG157/SUM(AD157:AH157)</f>
        <v>0.33497643551024342</v>
      </c>
      <c r="AH167" s="145">
        <f>AH157/SUM(AD157:AH157)</f>
        <v>5.6266230643454845E-3</v>
      </c>
      <c r="AI167" s="151">
        <f>SUM(AD167:AH167)</f>
        <v>1.0000000000000002</v>
      </c>
      <c r="AJ167" s="107"/>
      <c r="AK167" s="107"/>
      <c r="AL167" s="107"/>
      <c r="AM167" s="107"/>
      <c r="AN167" s="107"/>
    </row>
    <row r="168" spans="2:40" x14ac:dyDescent="0.3">
      <c r="B168" s="147" t="s">
        <v>648</v>
      </c>
      <c r="C168" s="90" t="s">
        <v>447</v>
      </c>
      <c r="D168" s="108">
        <f>D161*D167</f>
        <v>0.21835146436978997</v>
      </c>
      <c r="E168" s="108">
        <f>E161*D167</f>
        <v>0.90616772849524785</v>
      </c>
      <c r="F168" s="108">
        <f>F161*D167</f>
        <v>1.6782680239218726</v>
      </c>
      <c r="G168" s="108">
        <f>G161*D167</f>
        <v>3.4119932931949948</v>
      </c>
      <c r="H168" s="108">
        <f>H161*D167</f>
        <v>1.6276609996986924</v>
      </c>
      <c r="I168" s="107"/>
      <c r="J168" s="107"/>
      <c r="K168" s="107"/>
      <c r="L168" s="107"/>
      <c r="M168" s="107"/>
      <c r="N168" s="107"/>
      <c r="O168" s="147" t="s">
        <v>648</v>
      </c>
      <c r="P168" s="90" t="s">
        <v>447</v>
      </c>
      <c r="Q168" s="108">
        <f>Q161*Q167</f>
        <v>3.2279905075194384E-5</v>
      </c>
      <c r="R168" s="108">
        <f>R161*Q167</f>
        <v>1.9287243282428649E-3</v>
      </c>
      <c r="S168" s="108">
        <f>S161*Q167</f>
        <v>4.5998864732152379E-3</v>
      </c>
      <c r="T168" s="108">
        <f>T161*Q167</f>
        <v>3.4539498430458016E-3</v>
      </c>
      <c r="U168" s="108">
        <f>U161*Q167</f>
        <v>5.366534218751069E-4</v>
      </c>
      <c r="V168" s="107"/>
      <c r="W168" s="107"/>
      <c r="X168" s="107"/>
      <c r="Y168" s="107"/>
      <c r="Z168" s="107"/>
      <c r="AA168" s="107"/>
      <c r="AB168" s="147" t="s">
        <v>648</v>
      </c>
      <c r="AC168" s="90" t="s">
        <v>447</v>
      </c>
      <c r="AD168" s="108">
        <f>AD161*AD167</f>
        <v>0</v>
      </c>
      <c r="AE168" s="108">
        <f>AE161*AD167</f>
        <v>0</v>
      </c>
      <c r="AF168" s="108">
        <f>AF161*AD167</f>
        <v>0</v>
      </c>
      <c r="AG168" s="108">
        <f>AG161*AD167</f>
        <v>0</v>
      </c>
      <c r="AH168" s="108">
        <f>AH161*AD167</f>
        <v>0</v>
      </c>
      <c r="AI168" s="107"/>
      <c r="AJ168" s="107"/>
      <c r="AK168" s="107"/>
      <c r="AL168" s="107"/>
      <c r="AM168" s="107"/>
      <c r="AN168" s="107"/>
    </row>
    <row r="169" spans="2:40" x14ac:dyDescent="0.3">
      <c r="B169" s="107" t="s">
        <v>649</v>
      </c>
      <c r="C169" s="91" t="s">
        <v>446</v>
      </c>
      <c r="D169" s="108">
        <f>D161*E167</f>
        <v>0.31190824551444374</v>
      </c>
      <c r="E169" s="108">
        <f>E161*E167</f>
        <v>1.2944322913176962</v>
      </c>
      <c r="F169" s="108">
        <f>F161*E167</f>
        <v>2.3973534427868386</v>
      </c>
      <c r="G169" s="108">
        <f>G161*E167</f>
        <v>4.8739258280639275</v>
      </c>
      <c r="H169" s="108">
        <f>H161*E167</f>
        <v>2.3250628896562819</v>
      </c>
      <c r="I169" s="107"/>
      <c r="J169" s="107"/>
      <c r="K169" s="107"/>
      <c r="L169" s="107"/>
      <c r="M169" s="107"/>
      <c r="N169" s="107"/>
      <c r="O169" s="107" t="s">
        <v>649</v>
      </c>
      <c r="P169" s="91" t="s">
        <v>446</v>
      </c>
      <c r="Q169" s="108">
        <f>Q161*R167</f>
        <v>7.6541673220672775E-4</v>
      </c>
      <c r="R169" s="108">
        <f>R161*R167</f>
        <v>4.5733649749352005E-2</v>
      </c>
      <c r="S169" s="108">
        <f>S161*R167</f>
        <v>0.10907188433945963</v>
      </c>
      <c r="T169" s="108">
        <f>T161*R167</f>
        <v>8.1899590346119933E-2</v>
      </c>
      <c r="U169" s="108">
        <f>U161*R167</f>
        <v>1.2725053172936856E-2</v>
      </c>
      <c r="V169" s="107"/>
      <c r="W169" s="107"/>
      <c r="X169" s="107"/>
      <c r="Y169" s="107"/>
      <c r="Z169" s="107"/>
      <c r="AA169" s="107"/>
      <c r="AB169" s="107" t="s">
        <v>649</v>
      </c>
      <c r="AC169" s="91" t="s">
        <v>446</v>
      </c>
      <c r="AD169" s="108">
        <f>AD161*AE167</f>
        <v>0</v>
      </c>
      <c r="AE169" s="108">
        <f>AE161*AE167</f>
        <v>6.2347311724535934E-2</v>
      </c>
      <c r="AF169" s="108">
        <f>AF161*AE167</f>
        <v>7.8457728190823445E-2</v>
      </c>
      <c r="AG169" s="108">
        <f>AG161*AE167</f>
        <v>6.1702895065884597E-2</v>
      </c>
      <c r="AH169" s="108">
        <f>AH161*AE167</f>
        <v>1.4499374819659497E-3</v>
      </c>
      <c r="AI169" s="107"/>
      <c r="AJ169" s="107"/>
      <c r="AK169" s="107"/>
      <c r="AL169" s="107"/>
      <c r="AM169" s="107"/>
      <c r="AN169" s="107"/>
    </row>
    <row r="170" spans="2:40" x14ac:dyDescent="0.3">
      <c r="B170" s="107"/>
      <c r="C170" s="92" t="s">
        <v>448</v>
      </c>
      <c r="D170" s="108">
        <f>D161*F167</f>
        <v>4.2212949115672638</v>
      </c>
      <c r="E170" s="108">
        <f>E161*F167</f>
        <v>17.518550802321485</v>
      </c>
      <c r="F170" s="108">
        <f>F161*F167</f>
        <v>32.445233605713426</v>
      </c>
      <c r="G170" s="108">
        <f>G161*F167</f>
        <v>65.962598274465222</v>
      </c>
      <c r="H170" s="108">
        <f>H161*F167</f>
        <v>31.466869780861384</v>
      </c>
      <c r="I170" s="107"/>
      <c r="J170" s="107"/>
      <c r="K170" s="107"/>
      <c r="L170" s="107"/>
      <c r="M170" s="107"/>
      <c r="N170" s="107"/>
      <c r="O170" s="107"/>
      <c r="P170" s="92" t="s">
        <v>448</v>
      </c>
      <c r="Q170" s="108">
        <f>Q161*S167</f>
        <v>6.41308703948133E-2</v>
      </c>
      <c r="R170" s="108">
        <f>R161*S167</f>
        <v>3.8318195060900964</v>
      </c>
      <c r="S170" s="108">
        <f>S161*S167</f>
        <v>9.1386490312609734</v>
      </c>
      <c r="T170" s="108">
        <f>T161*S167</f>
        <v>6.8620031322450288</v>
      </c>
      <c r="U170" s="108">
        <f>U161*S167</f>
        <v>1.0661757203137718</v>
      </c>
      <c r="V170" s="107"/>
      <c r="W170" s="107"/>
      <c r="X170" s="107"/>
      <c r="Y170" s="107"/>
      <c r="Z170" s="107"/>
      <c r="AA170" s="107"/>
      <c r="AB170" s="107"/>
      <c r="AC170" s="92" t="s">
        <v>448</v>
      </c>
      <c r="AD170" s="108">
        <f>AD161*AF167</f>
        <v>0</v>
      </c>
      <c r="AE170" s="108">
        <f>AE161*AF167</f>
        <v>2.4895188515918054</v>
      </c>
      <c r="AF170" s="108">
        <f>AF161*AF167</f>
        <v>3.1328053765508947</v>
      </c>
      <c r="AG170" s="108">
        <f>AG161*AF167</f>
        <v>2.4637873905934486</v>
      </c>
      <c r="AH170" s="108">
        <f>AH161*AF167</f>
        <v>5.7895787246320968E-2</v>
      </c>
      <c r="AI170" s="107"/>
      <c r="AJ170" s="107"/>
      <c r="AK170" s="107"/>
      <c r="AL170" s="107"/>
      <c r="AM170" s="107"/>
      <c r="AN170" s="107"/>
    </row>
    <row r="171" spans="2:40" x14ac:dyDescent="0.3">
      <c r="B171" s="107"/>
      <c r="C171" s="124" t="s">
        <v>449</v>
      </c>
      <c r="D171" s="108">
        <f>D161*G167</f>
        <v>14.85153827782762</v>
      </c>
      <c r="E171" s="108">
        <f>E161*G167</f>
        <v>61.634506298008873</v>
      </c>
      <c r="F171" s="108">
        <f>F161*G167</f>
        <v>114.15019299123277</v>
      </c>
      <c r="G171" s="108">
        <f>G161*G167</f>
        <v>232.0724028292228</v>
      </c>
      <c r="H171" s="108">
        <f>H161*G167</f>
        <v>110.70807200731004</v>
      </c>
      <c r="I171" s="107"/>
      <c r="J171" s="107"/>
      <c r="K171" s="107"/>
      <c r="L171" s="107"/>
      <c r="M171" s="107"/>
      <c r="N171" s="107"/>
      <c r="O171" s="107"/>
      <c r="P171" s="124" t="s">
        <v>449</v>
      </c>
      <c r="Q171" s="108">
        <f>Q161*T167</f>
        <v>1.4283037320220755E-2</v>
      </c>
      <c r="R171" s="108">
        <f>R161*T167</f>
        <v>0.85341147988319044</v>
      </c>
      <c r="S171" s="108">
        <f>S161*T167</f>
        <v>2.0353328181314749</v>
      </c>
      <c r="T171" s="108">
        <f>T161*T167</f>
        <v>1.528284993263622</v>
      </c>
      <c r="U171" s="108">
        <f>U161*T167</f>
        <v>0.23745549544867017</v>
      </c>
      <c r="V171" s="107"/>
      <c r="W171" s="107"/>
      <c r="X171" s="107"/>
      <c r="Y171" s="107"/>
      <c r="Z171" s="107"/>
      <c r="AA171" s="107"/>
      <c r="AB171" s="107"/>
      <c r="AC171" s="124" t="s">
        <v>449</v>
      </c>
      <c r="AD171" s="108">
        <f>AD161*AG167</f>
        <v>0</v>
      </c>
      <c r="AE171" s="108">
        <f>AE161*AG167</f>
        <v>1.296358805424642</v>
      </c>
      <c r="AF171" s="108">
        <f>AF161*AG167</f>
        <v>1.631335240934868</v>
      </c>
      <c r="AG171" s="108">
        <f>AG161*AG167</f>
        <v>1.2829597480042365</v>
      </c>
      <c r="AH171" s="108">
        <f>AH161*AG167</f>
        <v>3.0147879195921861E-2</v>
      </c>
      <c r="AI171" s="107"/>
      <c r="AJ171" s="107"/>
      <c r="AK171" s="107"/>
      <c r="AL171" s="107"/>
      <c r="AM171" s="107"/>
      <c r="AN171" s="107"/>
    </row>
    <row r="172" spans="2:40" x14ac:dyDescent="0.3">
      <c r="B172" s="107"/>
      <c r="C172" s="123" t="s">
        <v>450</v>
      </c>
      <c r="D172" s="125">
        <f>D161*H167</f>
        <v>4.2569071007208672</v>
      </c>
      <c r="E172" s="125">
        <f>E161*H167</f>
        <v>17.666342879856685</v>
      </c>
      <c r="F172" s="125">
        <f>F161*H167</f>
        <v>32.71895193634542</v>
      </c>
      <c r="G172" s="125">
        <f>G161*H167</f>
        <v>66.519079775053228</v>
      </c>
      <c r="H172" s="125">
        <f>H161*H167</f>
        <v>31.732334322473285</v>
      </c>
      <c r="I172" s="107"/>
      <c r="J172" s="107"/>
      <c r="K172" s="107"/>
      <c r="L172" s="107"/>
      <c r="M172" s="107"/>
      <c r="N172" s="107"/>
      <c r="O172" s="107"/>
      <c r="P172" s="123" t="s">
        <v>450</v>
      </c>
      <c r="Q172" s="125">
        <f>Q161*U167</f>
        <v>7.8839564768398468E-4</v>
      </c>
      <c r="R172" s="125">
        <f>R161*U167</f>
        <v>4.7106639949118102E-2</v>
      </c>
      <c r="S172" s="125">
        <f>S161*U167</f>
        <v>0.11234637979496878</v>
      </c>
      <c r="T172" s="125">
        <f>T161*U167</f>
        <v>8.4358334302186436E-2</v>
      </c>
      <c r="U172" s="125">
        <f>U161*U167</f>
        <v>1.3107077642746254E-2</v>
      </c>
      <c r="V172" s="107"/>
      <c r="W172" s="107"/>
      <c r="X172" s="107"/>
      <c r="Y172" s="107"/>
      <c r="Z172" s="107"/>
      <c r="AA172" s="107"/>
      <c r="AB172" s="107"/>
      <c r="AC172" s="123" t="s">
        <v>450</v>
      </c>
      <c r="AD172" s="125">
        <f>AD161*AH167</f>
        <v>0</v>
      </c>
      <c r="AE172" s="125">
        <f>AE161*AH167</f>
        <v>2.1775031259017027E-2</v>
      </c>
      <c r="AF172" s="125">
        <f>AF161*AH167</f>
        <v>2.7401654323362216E-2</v>
      </c>
      <c r="AG172" s="125">
        <f>AG161*AH167</f>
        <v>2.1549966336443276E-2</v>
      </c>
      <c r="AH172" s="125">
        <f>AH161*AH167</f>
        <v>5.063960757910928E-4</v>
      </c>
      <c r="AI172" s="107"/>
      <c r="AJ172" s="107"/>
      <c r="AK172" s="107"/>
      <c r="AL172" s="107"/>
      <c r="AM172" s="107"/>
      <c r="AN172" s="107"/>
    </row>
    <row r="173" spans="2:40" x14ac:dyDescent="0.3">
      <c r="B173" s="107"/>
      <c r="C173" s="107" t="s">
        <v>36</v>
      </c>
      <c r="D173" s="108">
        <f>SUM(D168:D172)</f>
        <v>23.859999999999985</v>
      </c>
      <c r="E173" s="108">
        <f>SUM(E168:E172)</f>
        <v>99.02</v>
      </c>
      <c r="F173" s="108">
        <f>SUM(F168:F172)</f>
        <v>183.39000000000033</v>
      </c>
      <c r="G173" s="108">
        <f t="shared" ref="G173:H173" si="102">SUM(G168:G172)</f>
        <v>372.84000000000015</v>
      </c>
      <c r="H173" s="108">
        <f t="shared" si="102"/>
        <v>177.8599999999997</v>
      </c>
      <c r="I173" s="107"/>
      <c r="J173" s="107"/>
      <c r="K173" s="107"/>
      <c r="L173" s="107"/>
      <c r="M173" s="107"/>
      <c r="N173" s="107"/>
      <c r="O173" s="107"/>
      <c r="P173" s="107" t="s">
        <v>36</v>
      </c>
      <c r="Q173" s="108">
        <f>SUM(Q168:Q172)</f>
        <v>7.999999999999996E-2</v>
      </c>
      <c r="R173" s="108">
        <f>SUM(R168:R172)</f>
        <v>4.78</v>
      </c>
      <c r="S173" s="108">
        <f>SUM(S168:S172)</f>
        <v>11.400000000000093</v>
      </c>
      <c r="T173" s="108">
        <f t="shared" ref="T173:U173" si="103">SUM(T168:T172)</f>
        <v>8.5600000000000023</v>
      </c>
      <c r="U173" s="108">
        <f t="shared" si="103"/>
        <v>1.33</v>
      </c>
      <c r="V173" s="107"/>
      <c r="W173" s="107"/>
      <c r="X173" s="107"/>
      <c r="Y173" s="107"/>
      <c r="Z173" s="107"/>
      <c r="AA173" s="107"/>
      <c r="AB173" s="107"/>
      <c r="AC173" s="107" t="s">
        <v>36</v>
      </c>
      <c r="AD173" s="108">
        <f>SUM(AD168:AD172)</f>
        <v>0</v>
      </c>
      <c r="AE173" s="108">
        <f>SUM(AE168:AE172)</f>
        <v>3.8700000000000006</v>
      </c>
      <c r="AF173" s="108">
        <f>SUM(AF168:AF172)</f>
        <v>4.8699999999999486</v>
      </c>
      <c r="AG173" s="108">
        <f t="shared" ref="AG173:AH173" si="104">SUM(AG168:AG172)</f>
        <v>3.8300000000000125</v>
      </c>
      <c r="AH173" s="108">
        <f t="shared" si="104"/>
        <v>8.9999999999999872E-2</v>
      </c>
      <c r="AI173" s="107"/>
      <c r="AJ173" s="107"/>
      <c r="AK173" s="107"/>
      <c r="AL173" s="107"/>
      <c r="AM173" s="107"/>
      <c r="AN173" s="107"/>
    </row>
    <row r="174" spans="2:40" x14ac:dyDescent="0.3">
      <c r="B174" s="107" t="s">
        <v>650</v>
      </c>
      <c r="C174" s="211" t="s">
        <v>451</v>
      </c>
      <c r="D174" s="125">
        <f>I159*D167</f>
        <v>3.9206259164000792</v>
      </c>
      <c r="E174" s="125">
        <f>I159*E167</f>
        <v>5.6004916405405973</v>
      </c>
      <c r="F174" s="125">
        <f>I159*F167</f>
        <v>75.79577393183807</v>
      </c>
      <c r="G174" s="125">
        <f>I159*G167</f>
        <v>266.66789727522803</v>
      </c>
      <c r="H174" s="125">
        <f>I159*H167</f>
        <v>76.435211235995112</v>
      </c>
      <c r="I174" s="226">
        <f>SUM(D174:H174)</f>
        <v>428.42000000000189</v>
      </c>
      <c r="J174" s="107"/>
      <c r="K174" s="140"/>
      <c r="L174" s="140"/>
      <c r="M174" s="107"/>
      <c r="N174" s="107"/>
      <c r="O174" s="107" t="s">
        <v>650</v>
      </c>
      <c r="P174" s="211" t="s">
        <v>451</v>
      </c>
      <c r="Q174" s="125">
        <f>V159*Q167</f>
        <v>2.6429172280315228E-3</v>
      </c>
      <c r="R174" s="125">
        <f>V159*R167</f>
        <v>6.2668494949425432E-2</v>
      </c>
      <c r="S174" s="125">
        <f>V159*S167</f>
        <v>5.2507150135753058</v>
      </c>
      <c r="T174" s="125">
        <f>V159*T167</f>
        <v>1.1694236805930667</v>
      </c>
      <c r="U174" s="125">
        <f>V159*U167</f>
        <v>6.4549893654125834E-2</v>
      </c>
      <c r="V174" s="226">
        <f>SUM(Q174:U174)</f>
        <v>6.5499999999999554</v>
      </c>
      <c r="W174" s="107"/>
      <c r="X174" s="140"/>
      <c r="Y174" s="140"/>
      <c r="Z174" s="107"/>
      <c r="AA174" s="107"/>
      <c r="AB174" s="107" t="s">
        <v>650</v>
      </c>
      <c r="AC174" s="211" t="s">
        <v>451</v>
      </c>
      <c r="AD174" s="125">
        <f>AI159*AD167</f>
        <v>0</v>
      </c>
      <c r="AE174" s="125">
        <f>AI159*AE167</f>
        <v>3.0448687121285685E-2</v>
      </c>
      <c r="AF174" s="125">
        <f>AI159*AF167</f>
        <v>1.21581153217277</v>
      </c>
      <c r="AG174" s="125">
        <f>AI159*AG167</f>
        <v>0.63310546311437454</v>
      </c>
      <c r="AH174" s="125">
        <f>AI159*AH167</f>
        <v>1.0634317591613209E-2</v>
      </c>
      <c r="AI174" s="226">
        <f>SUM(AD174:AH174)</f>
        <v>1.8900000000000434</v>
      </c>
      <c r="AJ174" s="107"/>
      <c r="AK174" s="140"/>
      <c r="AL174" s="140"/>
      <c r="AM174" s="107"/>
      <c r="AN174" s="107"/>
    </row>
    <row r="175" spans="2:40" x14ac:dyDescent="0.3">
      <c r="B175" s="107" t="s">
        <v>651</v>
      </c>
      <c r="C175" s="107" t="s">
        <v>652</v>
      </c>
      <c r="D175" s="108">
        <f>SUM(D168:H168)+D174</f>
        <v>11.763067426080676</v>
      </c>
      <c r="E175" s="108">
        <f>SUM(D169:H169)+E174</f>
        <v>16.803174337879785</v>
      </c>
      <c r="F175" s="108">
        <f>SUM(D170:H170)+F174</f>
        <v>227.41032130676683</v>
      </c>
      <c r="G175" s="108">
        <f>SUM(D171:H171)+G174</f>
        <v>800.08460967883013</v>
      </c>
      <c r="H175" s="108">
        <f>SUM(D172:H172)+H174</f>
        <v>229.32882725044459</v>
      </c>
      <c r="I175" s="107"/>
      <c r="J175" s="107"/>
      <c r="K175" s="108">
        <f>D175+E175+G175+H175</f>
        <v>1057.9796786932352</v>
      </c>
      <c r="L175" s="108">
        <f>F175</f>
        <v>227.41032130676683</v>
      </c>
      <c r="M175" s="107"/>
      <c r="N175" s="107"/>
      <c r="O175" s="107" t="s">
        <v>651</v>
      </c>
      <c r="P175" s="107" t="s">
        <v>652</v>
      </c>
      <c r="Q175" s="108">
        <f>SUM(Q168:U168)+Q174</f>
        <v>1.3194411199485728E-2</v>
      </c>
      <c r="R175" s="108">
        <f>SUM(Q169:U169)+R174</f>
        <v>0.3128640892895006</v>
      </c>
      <c r="S175" s="108">
        <f>SUM(Q170:U170)+S174</f>
        <v>26.21349327387999</v>
      </c>
      <c r="T175" s="108">
        <f>SUM(Q171:U171)+T174</f>
        <v>5.8381915046402444</v>
      </c>
      <c r="U175" s="108">
        <f>SUM(Q172:U172)+U174</f>
        <v>0.32225672099082942</v>
      </c>
      <c r="V175" s="107"/>
      <c r="W175" s="107"/>
      <c r="X175" s="108">
        <f>Q175+R175+T175+U175</f>
        <v>6.4865067261200595</v>
      </c>
      <c r="Y175" s="108">
        <f>S175</f>
        <v>26.21349327387999</v>
      </c>
      <c r="Z175" s="107"/>
      <c r="AA175" s="107"/>
      <c r="AB175" s="107" t="s">
        <v>651</v>
      </c>
      <c r="AC175" s="107" t="s">
        <v>652</v>
      </c>
      <c r="AD175" s="108">
        <f>SUM(AD168:AH168)+AD174</f>
        <v>0</v>
      </c>
      <c r="AE175" s="108">
        <f>SUM(AD169:AH169)+AE174</f>
        <v>0.23440655958449561</v>
      </c>
      <c r="AF175" s="108">
        <f>SUM(AD170:AH170)+AF174</f>
        <v>9.3598189381552412</v>
      </c>
      <c r="AG175" s="108">
        <f>SUM(AD171:AH171)+AG174</f>
        <v>4.8739071366740427</v>
      </c>
      <c r="AH175" s="108">
        <f>SUM(AD172:AH172)+AH174</f>
        <v>8.1867365586226815E-2</v>
      </c>
      <c r="AI175" s="107"/>
      <c r="AJ175" s="107"/>
      <c r="AK175" s="108">
        <f>AD175+AE175+AG175+AH175</f>
        <v>5.1901810618447657</v>
      </c>
      <c r="AL175" s="108">
        <f>AF175</f>
        <v>9.3598189381552412</v>
      </c>
      <c r="AM175" s="107"/>
      <c r="AN175" s="107"/>
    </row>
    <row r="176" spans="2:40" x14ac:dyDescent="0.3">
      <c r="B176" s="107" t="s">
        <v>651</v>
      </c>
      <c r="C176" s="107" t="s">
        <v>653</v>
      </c>
      <c r="D176" s="145">
        <f>D175/$N$2</f>
        <v>4.7516122088147195E-4</v>
      </c>
      <c r="E176" s="145">
        <f t="shared" ref="E176:H176" si="105">E175/$N$2</f>
        <v>6.7875295990983112E-4</v>
      </c>
      <c r="F176" s="145">
        <f t="shared" si="105"/>
        <v>9.1860874378388562E-3</v>
      </c>
      <c r="G176" s="145">
        <f t="shared" si="105"/>
        <v>3.2318881306466936E-2</v>
      </c>
      <c r="H176" s="145">
        <f t="shared" si="105"/>
        <v>9.2635841989681094E-3</v>
      </c>
      <c r="I176" s="107"/>
      <c r="J176" s="107"/>
      <c r="K176" s="151">
        <f>K175/$N$2</f>
        <v>4.2736379686226351E-2</v>
      </c>
      <c r="L176" s="146">
        <f>L175/$N$2</f>
        <v>9.1860874378388562E-3</v>
      </c>
      <c r="M176" s="107"/>
      <c r="N176" s="107"/>
      <c r="O176" s="107" t="s">
        <v>651</v>
      </c>
      <c r="P176" s="107" t="s">
        <v>653</v>
      </c>
      <c r="Q176" s="145">
        <f>Q175/$N$3</f>
        <v>8.9833677384227024E-6</v>
      </c>
      <c r="R176" s="145">
        <f t="shared" ref="R176:U176" si="106">R175/$N$3</f>
        <v>2.13012397729718E-4</v>
      </c>
      <c r="S176" s="145">
        <f t="shared" si="106"/>
        <v>1.7847363268253487E-2</v>
      </c>
      <c r="T176" s="145">
        <f t="shared" si="106"/>
        <v>3.9749118335468316E-3</v>
      </c>
      <c r="U176" s="145">
        <f t="shared" si="106"/>
        <v>2.1940733747571382E-4</v>
      </c>
      <c r="V176" s="107"/>
      <c r="W176" s="107"/>
      <c r="X176" s="151">
        <f>X175/$N$3</f>
        <v>4.4163149364906855E-3</v>
      </c>
      <c r="Y176" s="151">
        <f>Y175/$N$3</f>
        <v>1.7847363268253487E-2</v>
      </c>
      <c r="Z176" s="107"/>
      <c r="AA176" s="107"/>
      <c r="AB176" s="107" t="s">
        <v>651</v>
      </c>
      <c r="AC176" s="107" t="s">
        <v>653</v>
      </c>
      <c r="AD176" s="145">
        <f>AD175/$N$4</f>
        <v>0</v>
      </c>
      <c r="AE176" s="145">
        <f t="shared" ref="AE176:AH176" si="107">AE175/$N$4</f>
        <v>5.6108997674437036E-4</v>
      </c>
      <c r="AF176" s="145">
        <f t="shared" si="107"/>
        <v>2.2404239026630062E-2</v>
      </c>
      <c r="AG176" s="145">
        <f t="shared" si="107"/>
        <v>1.1666484277650484E-2</v>
      </c>
      <c r="AH176" s="145">
        <f t="shared" si="107"/>
        <v>1.9596276799728756E-4</v>
      </c>
      <c r="AI176" s="107"/>
      <c r="AJ176" s="107"/>
      <c r="AK176" s="151">
        <f>AK175/$N$4</f>
        <v>1.2423537022392144E-2</v>
      </c>
      <c r="AL176" s="151">
        <f>AL175/$N$4</f>
        <v>2.2404239026630062E-2</v>
      </c>
      <c r="AM176" s="107"/>
      <c r="AN176" s="107"/>
    </row>
    <row r="179" spans="2:40" x14ac:dyDescent="0.3">
      <c r="D179" t="s">
        <v>426</v>
      </c>
      <c r="E179" t="s">
        <v>427</v>
      </c>
      <c r="F179" t="s">
        <v>428</v>
      </c>
      <c r="G179" t="s">
        <v>429</v>
      </c>
      <c r="H179" t="s">
        <v>430</v>
      </c>
      <c r="Q179" t="s">
        <v>426</v>
      </c>
      <c r="R179" t="s">
        <v>427</v>
      </c>
      <c r="S179" t="s">
        <v>428</v>
      </c>
      <c r="T179" t="s">
        <v>429</v>
      </c>
      <c r="U179" t="s">
        <v>430</v>
      </c>
      <c r="AD179" t="s">
        <v>426</v>
      </c>
      <c r="AE179" t="s">
        <v>427</v>
      </c>
      <c r="AF179" t="s">
        <v>428</v>
      </c>
      <c r="AG179" t="s">
        <v>429</v>
      </c>
      <c r="AH179" t="s">
        <v>430</v>
      </c>
    </row>
    <row r="180" spans="2:40" x14ac:dyDescent="0.3">
      <c r="B180" s="118" t="s">
        <v>352</v>
      </c>
      <c r="C180" s="8">
        <v>20</v>
      </c>
      <c r="D180" s="90" t="s">
        <v>447</v>
      </c>
      <c r="E180" s="91" t="s">
        <v>446</v>
      </c>
      <c r="F180" s="92" t="s">
        <v>448</v>
      </c>
      <c r="G180" s="124" t="s">
        <v>449</v>
      </c>
      <c r="H180" s="123" t="s">
        <v>450</v>
      </c>
      <c r="I180" s="211" t="s">
        <v>451</v>
      </c>
      <c r="J180" s="212" t="s">
        <v>514</v>
      </c>
      <c r="K180" s="213" t="s">
        <v>515</v>
      </c>
      <c r="L180" s="214" t="s">
        <v>448</v>
      </c>
      <c r="Q180" s="90" t="s">
        <v>447</v>
      </c>
      <c r="R180" s="91" t="s">
        <v>446</v>
      </c>
      <c r="S180" s="92" t="s">
        <v>448</v>
      </c>
      <c r="T180" s="124" t="s">
        <v>449</v>
      </c>
      <c r="U180" s="123" t="s">
        <v>450</v>
      </c>
      <c r="V180" s="211" t="s">
        <v>451</v>
      </c>
      <c r="W180" s="212" t="s">
        <v>514</v>
      </c>
      <c r="X180" s="213" t="s">
        <v>515</v>
      </c>
      <c r="Y180" s="214" t="s">
        <v>448</v>
      </c>
      <c r="AD180" s="90" t="s">
        <v>447</v>
      </c>
      <c r="AE180" s="91" t="s">
        <v>446</v>
      </c>
      <c r="AF180" s="92" t="s">
        <v>448</v>
      </c>
      <c r="AG180" s="124" t="s">
        <v>449</v>
      </c>
      <c r="AH180" s="123" t="s">
        <v>450</v>
      </c>
      <c r="AI180" s="211" t="s">
        <v>451</v>
      </c>
      <c r="AJ180" s="212" t="s">
        <v>514</v>
      </c>
      <c r="AK180" s="213" t="s">
        <v>515</v>
      </c>
      <c r="AL180" s="214" t="s">
        <v>448</v>
      </c>
    </row>
    <row r="181" spans="2:40" x14ac:dyDescent="0.3">
      <c r="B181" s="119" t="s">
        <v>669</v>
      </c>
      <c r="C181" s="107"/>
      <c r="D181" s="116"/>
      <c r="E181" s="116"/>
      <c r="F181" s="116"/>
      <c r="G181" s="116"/>
      <c r="H181" s="116"/>
      <c r="I181" s="107"/>
      <c r="J181" s="107"/>
      <c r="K181" s="107"/>
      <c r="L181" s="107"/>
      <c r="M181" s="107"/>
      <c r="N181" s="141"/>
      <c r="O181" s="119" t="s">
        <v>706</v>
      </c>
      <c r="P181" s="107"/>
      <c r="Q181" s="116"/>
      <c r="R181" s="116"/>
      <c r="S181" s="116"/>
      <c r="T181" s="116"/>
      <c r="U181" s="116"/>
      <c r="V181" s="107"/>
      <c r="W181" s="107"/>
      <c r="X181" s="107"/>
      <c r="Y181" s="107"/>
      <c r="Z181" s="107"/>
      <c r="AA181" s="141"/>
      <c r="AB181" s="119" t="s">
        <v>776</v>
      </c>
      <c r="AC181" s="107"/>
      <c r="AD181" s="116"/>
      <c r="AE181" s="116"/>
      <c r="AF181" s="116"/>
      <c r="AG181" s="116"/>
      <c r="AH181" s="116"/>
      <c r="AI181" s="107"/>
      <c r="AJ181" s="107"/>
      <c r="AK181" s="107"/>
      <c r="AL181" s="107"/>
      <c r="AM181" s="107"/>
      <c r="AN181" s="107"/>
    </row>
    <row r="182" spans="2:40" x14ac:dyDescent="0.3">
      <c r="B182" s="115" t="s">
        <v>375</v>
      </c>
      <c r="C182" s="122" t="s">
        <v>9</v>
      </c>
      <c r="D182" s="135">
        <f>'15O_Seeds'!AL127</f>
        <v>166.02</v>
      </c>
      <c r="E182" s="135">
        <f>'15O_Seeds'!AM127</f>
        <v>131.33000000000001</v>
      </c>
      <c r="F182" s="135">
        <f>'15O_Seeds'!AN127</f>
        <v>4314.8</v>
      </c>
      <c r="G182" s="135">
        <f>'15O_Seeds'!AO127</f>
        <v>12170.84</v>
      </c>
      <c r="H182" s="135">
        <f>'15O_Seeds'!AP127</f>
        <v>4196.13</v>
      </c>
      <c r="I182" s="108">
        <f>$N$2-N182</f>
        <v>3776.8299999999981</v>
      </c>
      <c r="J182" s="108"/>
      <c r="K182" s="108">
        <f>D182+E182+G182+H182</f>
        <v>16664.32</v>
      </c>
      <c r="L182" s="108">
        <f>F182</f>
        <v>4314.8</v>
      </c>
      <c r="M182" s="115" t="s">
        <v>36</v>
      </c>
      <c r="N182" s="136">
        <f>SUM(D182:H182)</f>
        <v>20979.120000000003</v>
      </c>
      <c r="O182" s="115" t="s">
        <v>375</v>
      </c>
      <c r="P182" s="122" t="s">
        <v>9</v>
      </c>
      <c r="Q182" s="135">
        <f>'15O_Seeds'!AL132</f>
        <v>0.79</v>
      </c>
      <c r="R182" s="135">
        <f>'15O_Seeds'!AM132</f>
        <v>41.41</v>
      </c>
      <c r="S182" s="135">
        <f>'15O_Seeds'!AN132</f>
        <v>1123.5899999999999</v>
      </c>
      <c r="T182" s="135">
        <f>'15O_Seeds'!AO132</f>
        <v>264.85000000000002</v>
      </c>
      <c r="U182" s="135">
        <f>'15O_Seeds'!AP132</f>
        <v>31.58</v>
      </c>
      <c r="V182" s="108">
        <f>$N$3-AA182</f>
        <v>6.540000000000191</v>
      </c>
      <c r="W182" s="108"/>
      <c r="X182" s="108">
        <f>Q182+R182+T182+U182</f>
        <v>338.63</v>
      </c>
      <c r="Y182" s="108">
        <f>S182</f>
        <v>1123.5899999999999</v>
      </c>
      <c r="Z182" s="115" t="s">
        <v>36</v>
      </c>
      <c r="AA182" s="136">
        <f>SUM(Q182:U182)</f>
        <v>1462.2199999999998</v>
      </c>
      <c r="AB182" s="115" t="s">
        <v>375</v>
      </c>
      <c r="AC182" s="122" t="s">
        <v>9</v>
      </c>
      <c r="AD182" s="135">
        <v>0</v>
      </c>
      <c r="AE182" s="135">
        <v>3.31</v>
      </c>
      <c r="AF182" s="135">
        <v>298.62</v>
      </c>
      <c r="AG182" s="135">
        <v>111.56</v>
      </c>
      <c r="AH182" s="135">
        <v>2.39</v>
      </c>
      <c r="AI182" s="108">
        <f>$N$4-AN182</f>
        <v>1.8899999999999864</v>
      </c>
      <c r="AJ182" s="108"/>
      <c r="AK182" s="108">
        <f>AD182+AE182+AG182+AH182</f>
        <v>117.26</v>
      </c>
      <c r="AL182" s="108">
        <f>AF182</f>
        <v>298.62</v>
      </c>
      <c r="AM182" s="115" t="s">
        <v>36</v>
      </c>
      <c r="AN182" s="136">
        <f>SUM(AD182:AH182)</f>
        <v>415.88</v>
      </c>
    </row>
    <row r="183" spans="2:40" x14ac:dyDescent="0.3">
      <c r="B183" s="107"/>
      <c r="C183" s="140" t="s">
        <v>456</v>
      </c>
      <c r="D183" s="150">
        <f t="shared" ref="D183:I183" si="108">D182/$N$2</f>
        <v>6.7062665742983005E-3</v>
      </c>
      <c r="E183" s="150">
        <f t="shared" si="108"/>
        <v>5.3049872858848077E-3</v>
      </c>
      <c r="F183" s="150">
        <f t="shared" si="108"/>
        <v>0.17429345268511207</v>
      </c>
      <c r="G183" s="150">
        <f t="shared" si="108"/>
        <v>0.49163292057061031</v>
      </c>
      <c r="H183" s="150">
        <f t="shared" si="108"/>
        <v>0.1694998576099887</v>
      </c>
      <c r="I183" s="150">
        <f t="shared" si="108"/>
        <v>0.15256251527410575</v>
      </c>
      <c r="J183" s="150"/>
      <c r="K183" s="150">
        <f>K182/$N$2</f>
        <v>0.6731440320407821</v>
      </c>
      <c r="L183" s="150">
        <f>L182/$N$2</f>
        <v>0.17429345268511207</v>
      </c>
      <c r="M183" s="144">
        <f>SUM(D183:I183)</f>
        <v>0.99999999999999978</v>
      </c>
      <c r="N183" s="141"/>
      <c r="O183" s="107"/>
      <c r="P183" s="140" t="s">
        <v>455</v>
      </c>
      <c r="Q183" s="150">
        <f t="shared" ref="Q183:V183" si="109">Q182/$N$3</f>
        <v>5.3786867834091344E-4</v>
      </c>
      <c r="R183" s="150">
        <f t="shared" si="109"/>
        <v>2.8193850595059775E-2</v>
      </c>
      <c r="S183" s="150">
        <f t="shared" si="109"/>
        <v>0.76499223835071761</v>
      </c>
      <c r="T183" s="150">
        <f t="shared" si="109"/>
        <v>0.18032217652986193</v>
      </c>
      <c r="U183" s="150">
        <f t="shared" si="109"/>
        <v>2.1501130205070943E-2</v>
      </c>
      <c r="V183" s="150">
        <f t="shared" si="109"/>
        <v>4.4527356409489573E-3</v>
      </c>
      <c r="W183" s="150"/>
      <c r="X183" s="150">
        <f>X182/$N$3</f>
        <v>0.23055502600833355</v>
      </c>
      <c r="Y183" s="150">
        <f>Y182/$N$3</f>
        <v>0.76499223835071761</v>
      </c>
      <c r="Z183" s="144">
        <f>SUM(Q183:V183)</f>
        <v>1.0000000000000002</v>
      </c>
      <c r="AA183" s="141"/>
      <c r="AB183" s="107"/>
      <c r="AC183" s="140" t="s">
        <v>455</v>
      </c>
      <c r="AD183" s="150">
        <f>AD182/$N$4</f>
        <v>0</v>
      </c>
      <c r="AE183" s="150">
        <f t="shared" ref="AE183:AI183" si="110">AE182/$N$4</f>
        <v>7.9230198434545335E-3</v>
      </c>
      <c r="AF183" s="150">
        <f t="shared" si="110"/>
        <v>0.71479522225147818</v>
      </c>
      <c r="AG183" s="150">
        <f t="shared" si="110"/>
        <v>0.26703688632501138</v>
      </c>
      <c r="AH183" s="150">
        <f t="shared" si="110"/>
        <v>5.7208511860593154E-3</v>
      </c>
      <c r="AI183" s="150">
        <f t="shared" si="110"/>
        <v>4.5240203939966644E-3</v>
      </c>
      <c r="AJ183" s="150"/>
      <c r="AK183" s="150">
        <f t="shared" ref="AK183:AL183" si="111">AK182/$N$4</f>
        <v>0.28068075735452525</v>
      </c>
      <c r="AL183" s="150">
        <f t="shared" si="111"/>
        <v>0.71479522225147818</v>
      </c>
      <c r="AM183" s="144">
        <f>SUM(AD183:AI183)</f>
        <v>1.0000000000000002</v>
      </c>
      <c r="AN183" s="107"/>
    </row>
    <row r="184" spans="2:40" x14ac:dyDescent="0.3">
      <c r="B184" s="107" t="s">
        <v>513</v>
      </c>
      <c r="C184" s="107" t="s">
        <v>9</v>
      </c>
      <c r="D184" s="108">
        <v>154.26</v>
      </c>
      <c r="E184" s="108">
        <v>74.95</v>
      </c>
      <c r="F184" s="108">
        <v>4107.25</v>
      </c>
      <c r="G184" s="108">
        <v>11799.46</v>
      </c>
      <c r="H184" s="108">
        <v>4016.78</v>
      </c>
      <c r="I184" s="108">
        <f>I182</f>
        <v>3776.8299999999981</v>
      </c>
      <c r="J184" s="108">
        <f>SUM(D182:H182)-SUM(D184:H184)</f>
        <v>826.42000000000553</v>
      </c>
      <c r="K184" s="108">
        <f>D184+E184+G184+H184</f>
        <v>16045.449999999999</v>
      </c>
      <c r="L184" s="108">
        <f>F184</f>
        <v>4107.25</v>
      </c>
      <c r="M184" s="115" t="s">
        <v>524</v>
      </c>
      <c r="N184" s="195">
        <f>SUM(D184:H184)</f>
        <v>20152.699999999997</v>
      </c>
      <c r="O184" s="107" t="s">
        <v>513</v>
      </c>
      <c r="P184" s="122" t="s">
        <v>9</v>
      </c>
      <c r="Q184" s="108">
        <v>0.79</v>
      </c>
      <c r="R184" s="108">
        <v>29.03</v>
      </c>
      <c r="S184" s="108">
        <v>1101.82</v>
      </c>
      <c r="T184" s="108">
        <v>254.32</v>
      </c>
      <c r="U184" s="108">
        <v>25.57</v>
      </c>
      <c r="V184" s="108">
        <f>V182</f>
        <v>6.540000000000191</v>
      </c>
      <c r="W184" s="108">
        <f>SUM(Q182:U182)-SUM(Q184:U184)</f>
        <v>50.690000000000055</v>
      </c>
      <c r="X184" s="108">
        <f>Q184+R184+T184+U184</f>
        <v>309.70999999999998</v>
      </c>
      <c r="Y184" s="108">
        <f>S184</f>
        <v>1101.82</v>
      </c>
      <c r="Z184" s="115" t="s">
        <v>524</v>
      </c>
      <c r="AA184" s="195">
        <f>SUM(Q184:U184)</f>
        <v>1411.5299999999997</v>
      </c>
      <c r="AB184" s="107" t="s">
        <v>513</v>
      </c>
      <c r="AC184" s="122" t="s">
        <v>9</v>
      </c>
      <c r="AD184" s="108">
        <v>0</v>
      </c>
      <c r="AE184" s="108">
        <v>2.04</v>
      </c>
      <c r="AF184" s="108">
        <v>293.37</v>
      </c>
      <c r="AG184" s="108">
        <v>107.48</v>
      </c>
      <c r="AH184" s="108">
        <v>1.92</v>
      </c>
      <c r="AI184" s="108">
        <f>AI182</f>
        <v>1.8899999999999864</v>
      </c>
      <c r="AJ184" s="108">
        <f>SUM(AD182:AH182)-SUM(AD184:AH184)</f>
        <v>11.069999999999936</v>
      </c>
      <c r="AK184" s="108">
        <f>AD184+AE184+AG184+AH184</f>
        <v>111.44000000000001</v>
      </c>
      <c r="AL184" s="108">
        <f>AF184</f>
        <v>293.37</v>
      </c>
      <c r="AM184" s="115" t="s">
        <v>524</v>
      </c>
      <c r="AN184" s="195">
        <f>SUM(AD184:AH184)</f>
        <v>404.81000000000006</v>
      </c>
    </row>
    <row r="185" spans="2:40" x14ac:dyDescent="0.3">
      <c r="B185" s="107"/>
      <c r="C185" s="140" t="s">
        <v>455</v>
      </c>
      <c r="D185" s="150">
        <f t="shared" ref="D185:L185" si="112">D184/$N$2</f>
        <v>6.2312292600364754E-3</v>
      </c>
      <c r="E185" s="150">
        <f t="shared" si="112"/>
        <v>3.0275549918302468E-3</v>
      </c>
      <c r="F185" s="150">
        <f t="shared" si="112"/>
        <v>0.16590960960900308</v>
      </c>
      <c r="G185" s="150">
        <f t="shared" si="112"/>
        <v>0.47663127450168541</v>
      </c>
      <c r="H185" s="150">
        <f t="shared" si="112"/>
        <v>0.16225513462420146</v>
      </c>
      <c r="I185" s="150">
        <f t="shared" si="112"/>
        <v>0.15256251527410575</v>
      </c>
      <c r="J185" s="150">
        <f t="shared" si="112"/>
        <v>3.3382681739137679E-2</v>
      </c>
      <c r="K185" s="150">
        <f t="shared" si="112"/>
        <v>0.64814519337775356</v>
      </c>
      <c r="L185" s="150">
        <f t="shared" si="112"/>
        <v>0.16590960960900308</v>
      </c>
      <c r="M185" s="144">
        <f>SUM(D185:J185)</f>
        <v>1</v>
      </c>
      <c r="N185" s="194">
        <f>N184/N182</f>
        <v>0.96060749926593658</v>
      </c>
      <c r="O185" s="107"/>
      <c r="P185" s="140" t="s">
        <v>455</v>
      </c>
      <c r="Q185" s="150">
        <f t="shared" ref="Q185:Y185" si="113">Q184/$N$3</f>
        <v>5.3786867834091344E-4</v>
      </c>
      <c r="R185" s="150">
        <f t="shared" si="113"/>
        <v>1.976497181295787E-2</v>
      </c>
      <c r="S185" s="150">
        <f t="shared" si="113"/>
        <v>0.75017021160706987</v>
      </c>
      <c r="T185" s="150">
        <f t="shared" si="113"/>
        <v>0.17315286364007734</v>
      </c>
      <c r="U185" s="150">
        <f t="shared" si="113"/>
        <v>1.7409243171110325E-2</v>
      </c>
      <c r="V185" s="150">
        <f t="shared" si="113"/>
        <v>4.4527356409489573E-3</v>
      </c>
      <c r="W185" s="150">
        <f t="shared" si="113"/>
        <v>3.4512105449494852E-2</v>
      </c>
      <c r="X185" s="150">
        <f t="shared" si="113"/>
        <v>0.21086494730248645</v>
      </c>
      <c r="Y185" s="150">
        <f t="shared" si="113"/>
        <v>0.75017021160706987</v>
      </c>
      <c r="Z185" s="144">
        <f>SUM(Q185:W185)</f>
        <v>1.0000000000000002</v>
      </c>
      <c r="AA185" s="194">
        <f>AA184/AA182</f>
        <v>0.96533353394154087</v>
      </c>
      <c r="AB185" s="107"/>
      <c r="AC185" s="140" t="s">
        <v>455</v>
      </c>
      <c r="AD185" s="150">
        <f t="shared" ref="AD185:AL185" si="114">AD184/$N$4</f>
        <v>0</v>
      </c>
      <c r="AE185" s="150">
        <f t="shared" si="114"/>
        <v>4.8830696316154824E-3</v>
      </c>
      <c r="AF185" s="150">
        <f t="shared" si="114"/>
        <v>0.70222849893482064</v>
      </c>
      <c r="AG185" s="150">
        <f t="shared" si="114"/>
        <v>0.25727074706178044</v>
      </c>
      <c r="AH185" s="150">
        <f t="shared" si="114"/>
        <v>4.5958302415204542E-3</v>
      </c>
      <c r="AI185" s="150">
        <f t="shared" si="114"/>
        <v>4.5240203939966644E-3</v>
      </c>
      <c r="AJ185" s="150">
        <f t="shared" si="114"/>
        <v>2.6497833736266217E-2</v>
      </c>
      <c r="AK185" s="150">
        <f t="shared" si="114"/>
        <v>0.26674964693491637</v>
      </c>
      <c r="AL185" s="150">
        <f t="shared" si="114"/>
        <v>0.70222849893482064</v>
      </c>
      <c r="AM185" s="144">
        <f>SUM(AD185:AJ185)</f>
        <v>0.99999999999999989</v>
      </c>
      <c r="AN185" s="194">
        <f>AN184/AN182</f>
        <v>0.97338174473405803</v>
      </c>
    </row>
    <row r="186" spans="2:40" x14ac:dyDescent="0.3">
      <c r="B186" s="107"/>
      <c r="C186" s="107" t="s">
        <v>516</v>
      </c>
      <c r="D186" s="112">
        <f>D182-D184</f>
        <v>11.760000000000019</v>
      </c>
      <c r="E186" s="112">
        <f>E182-E184</f>
        <v>56.38000000000001</v>
      </c>
      <c r="F186" s="112">
        <f>F182-F184</f>
        <v>207.55000000000018</v>
      </c>
      <c r="G186" s="112">
        <f>G182-G184</f>
        <v>371.38000000000102</v>
      </c>
      <c r="H186" s="112">
        <f>H182-H184</f>
        <v>179.34999999999991</v>
      </c>
      <c r="I186" s="146"/>
      <c r="J186" s="146"/>
      <c r="K186" s="112">
        <f>K182-K184</f>
        <v>618.8700000000008</v>
      </c>
      <c r="L186" s="108">
        <f>F186</f>
        <v>207.55000000000018</v>
      </c>
      <c r="M186" s="144"/>
      <c r="N186" s="107"/>
      <c r="O186" s="107"/>
      <c r="P186" s="107" t="s">
        <v>516</v>
      </c>
      <c r="Q186" s="112">
        <f>Q182-Q184</f>
        <v>0</v>
      </c>
      <c r="R186" s="112">
        <f>R182-R184</f>
        <v>12.379999999999995</v>
      </c>
      <c r="S186" s="112">
        <f>S182-S184</f>
        <v>21.769999999999982</v>
      </c>
      <c r="T186" s="112">
        <f>T182-T184</f>
        <v>10.53000000000003</v>
      </c>
      <c r="U186" s="112">
        <f>U182-U184</f>
        <v>6.009999999999998</v>
      </c>
      <c r="V186" s="146"/>
      <c r="W186" s="146"/>
      <c r="X186" s="112">
        <f>X182-X184</f>
        <v>28.920000000000016</v>
      </c>
      <c r="Y186" s="108">
        <f>S186</f>
        <v>21.769999999999982</v>
      </c>
      <c r="Z186" s="144"/>
      <c r="AA186" s="107"/>
      <c r="AB186" s="107"/>
      <c r="AC186" s="107" t="s">
        <v>516</v>
      </c>
      <c r="AD186" s="112">
        <f>AD182-AD184</f>
        <v>0</v>
      </c>
      <c r="AE186" s="112">
        <f>AE182-AE184</f>
        <v>1.27</v>
      </c>
      <c r="AF186" s="112">
        <f>AF182-AF184</f>
        <v>5.25</v>
      </c>
      <c r="AG186" s="112">
        <f>AG182-AG184</f>
        <v>4.0799999999999983</v>
      </c>
      <c r="AH186" s="112">
        <f>AH182-AH184</f>
        <v>0.4700000000000002</v>
      </c>
      <c r="AI186" s="146"/>
      <c r="AJ186" s="146"/>
      <c r="AK186" s="112">
        <f>AK182-AK184</f>
        <v>5.8199999999999932</v>
      </c>
      <c r="AL186" s="108">
        <f>AF186</f>
        <v>5.25</v>
      </c>
      <c r="AM186" s="144"/>
      <c r="AN186" s="107"/>
    </row>
    <row r="187" spans="2:40" x14ac:dyDescent="0.3">
      <c r="B187" s="107"/>
      <c r="C187" s="107" t="s">
        <v>517</v>
      </c>
      <c r="D187" s="146">
        <f>D186/D182</f>
        <v>7.0834839176003001E-2</v>
      </c>
      <c r="E187" s="146">
        <f>E186/E182</f>
        <v>0.42930023604660023</v>
      </c>
      <c r="F187" s="146">
        <f>F186/F182</f>
        <v>4.8101881894873501E-2</v>
      </c>
      <c r="G187" s="146">
        <f>G186/G182</f>
        <v>3.0513916870158593E-2</v>
      </c>
      <c r="H187" s="146">
        <f>H186/H182</f>
        <v>4.274176443532491E-2</v>
      </c>
      <c r="I187" s="146"/>
      <c r="J187" s="146"/>
      <c r="K187" s="150">
        <f>K186/K182</f>
        <v>3.7137428949996207E-2</v>
      </c>
      <c r="L187" s="150">
        <f>L186/$N$2</f>
        <v>8.3838430761089822E-3</v>
      </c>
      <c r="M187" s="144"/>
      <c r="N187" s="107"/>
      <c r="O187" s="107"/>
      <c r="P187" s="107" t="s">
        <v>517</v>
      </c>
      <c r="Q187" s="146">
        <f>Q186/Q182</f>
        <v>0</v>
      </c>
      <c r="R187" s="146">
        <f>R186/R182</f>
        <v>0.29896160347742085</v>
      </c>
      <c r="S187" s="146">
        <f>S186/S182</f>
        <v>1.937539493943519E-2</v>
      </c>
      <c r="T187" s="146">
        <f>T186/T182</f>
        <v>3.9758353785161522E-2</v>
      </c>
      <c r="U187" s="146">
        <f>U186/U182</f>
        <v>0.19031032298923364</v>
      </c>
      <c r="V187" s="146"/>
      <c r="W187" s="146"/>
      <c r="X187" s="150">
        <f>X186/X182</f>
        <v>8.5402947169477064E-2</v>
      </c>
      <c r="Y187" s="150">
        <f>Y186/$N$3</f>
        <v>1.4822026743647691E-2</v>
      </c>
      <c r="Z187" s="144"/>
      <c r="AA187" s="107"/>
      <c r="AB187" s="107"/>
      <c r="AC187" s="107" t="s">
        <v>517</v>
      </c>
      <c r="AD187" s="146" t="s">
        <v>527</v>
      </c>
      <c r="AE187" s="146">
        <f>AE186/AE182</f>
        <v>0.38368580060422963</v>
      </c>
      <c r="AF187" s="146">
        <f>AF186/AF182</f>
        <v>1.7580872011251757E-2</v>
      </c>
      <c r="AG187" s="146">
        <f>AG186/AG182</f>
        <v>3.6572248117604858E-2</v>
      </c>
      <c r="AH187" s="146">
        <f>AH186/AH182</f>
        <v>0.19665271966527204</v>
      </c>
      <c r="AI187" s="146"/>
      <c r="AJ187" s="146"/>
      <c r="AK187" s="150">
        <f t="shared" ref="AK187:AL187" si="115">AK186/$N$4</f>
        <v>1.393111041960886E-2</v>
      </c>
      <c r="AL187" s="150">
        <f t="shared" si="115"/>
        <v>1.2566723316657492E-2</v>
      </c>
      <c r="AM187" s="144"/>
      <c r="AN187" s="107"/>
    </row>
    <row r="188" spans="2:40" x14ac:dyDescent="0.3">
      <c r="B188" s="115" t="s">
        <v>376</v>
      </c>
      <c r="C188" s="122" t="s">
        <v>9</v>
      </c>
      <c r="D188" s="135">
        <f>'15O_Seeds'!AL129</f>
        <v>163.358</v>
      </c>
      <c r="E188" s="135">
        <f>'15O_Seeds'!AM129</f>
        <v>158.89400000000001</v>
      </c>
      <c r="F188" s="135">
        <f>'15O_Seeds'!AN129</f>
        <v>4304.6900000000005</v>
      </c>
      <c r="G188" s="135">
        <f>'15O_Seeds'!AO129</f>
        <v>12114.662999999997</v>
      </c>
      <c r="H188" s="135">
        <f>'15O_Seeds'!AP129</f>
        <v>4237.5264999999999</v>
      </c>
      <c r="I188" s="108">
        <f>$N$2-N188</f>
        <v>3776.8185000000049</v>
      </c>
      <c r="J188" s="108"/>
      <c r="K188" s="108"/>
      <c r="L188" s="108"/>
      <c r="M188" s="115" t="s">
        <v>36</v>
      </c>
      <c r="N188" s="136">
        <f>SUM(D188:H188)</f>
        <v>20979.131499999996</v>
      </c>
      <c r="O188" s="115" t="s">
        <v>376</v>
      </c>
      <c r="P188" s="122" t="s">
        <v>9</v>
      </c>
      <c r="Q188" s="135">
        <f>'15O_Seeds'!AL134</f>
        <v>0.93599999999999994</v>
      </c>
      <c r="R188" s="135">
        <f>'15O_Seeds'!AM134</f>
        <v>44.728999999999999</v>
      </c>
      <c r="S188" s="135">
        <f>'15O_Seeds'!AN134</f>
        <v>1117.7410000000004</v>
      </c>
      <c r="T188" s="135">
        <f>'15O_Seeds'!AO134</f>
        <v>267.3845</v>
      </c>
      <c r="U188" s="135">
        <f>'15O_Seeds'!AP134</f>
        <v>31.426499999999997</v>
      </c>
      <c r="V188" s="108">
        <f>$N$3-AA188</f>
        <v>6.5429999999994379</v>
      </c>
      <c r="W188" s="108"/>
      <c r="X188" s="108"/>
      <c r="Y188" s="108"/>
      <c r="Z188" s="115" t="s">
        <v>36</v>
      </c>
      <c r="AA188" s="136">
        <f>SUM(Q188:U188)</f>
        <v>1462.2170000000006</v>
      </c>
      <c r="AB188" s="115" t="s">
        <v>376</v>
      </c>
      <c r="AC188" s="122"/>
      <c r="AD188" s="138"/>
      <c r="AE188" s="135"/>
      <c r="AF188" s="135"/>
      <c r="AG188" s="135"/>
      <c r="AH188" s="135"/>
      <c r="AI188" s="108"/>
      <c r="AJ188" s="108"/>
      <c r="AK188" s="108"/>
      <c r="AL188" s="108"/>
      <c r="AM188" s="115"/>
      <c r="AN188" s="136"/>
    </row>
    <row r="189" spans="2:40" x14ac:dyDescent="0.3">
      <c r="B189" s="115"/>
      <c r="C189" s="140" t="s">
        <v>455</v>
      </c>
      <c r="D189" s="150">
        <f t="shared" ref="D189:I189" si="116">D188/$N$2</f>
        <v>6.5987368693182849E-3</v>
      </c>
      <c r="E189" s="150">
        <f t="shared" si="116"/>
        <v>6.4184165826801235E-3</v>
      </c>
      <c r="F189" s="150">
        <f t="shared" si="116"/>
        <v>0.1738850660144329</v>
      </c>
      <c r="G189" s="150">
        <f t="shared" si="116"/>
        <v>0.48936368832543276</v>
      </c>
      <c r="H189" s="150">
        <f t="shared" si="116"/>
        <v>0.17117204146881859</v>
      </c>
      <c r="I189" s="145">
        <f t="shared" si="116"/>
        <v>0.15256205073931742</v>
      </c>
      <c r="J189" s="145"/>
      <c r="K189" s="145"/>
      <c r="L189" s="145"/>
      <c r="M189" s="144">
        <f>SUM(D189:I189)</f>
        <v>1</v>
      </c>
      <c r="N189" s="136"/>
      <c r="O189" s="115"/>
      <c r="P189" s="140" t="s">
        <v>455</v>
      </c>
      <c r="Q189" s="150">
        <f t="shared" ref="Q189:V189" si="117">Q188/$N$3</f>
        <v>6.3727225686974046E-4</v>
      </c>
      <c r="R189" s="150">
        <f t="shared" si="117"/>
        <v>3.0453579890519895E-2</v>
      </c>
      <c r="S189" s="150">
        <f t="shared" si="117"/>
        <v>0.76100996759171036</v>
      </c>
      <c r="T189" s="150">
        <f t="shared" si="117"/>
        <v>0.18204778180233666</v>
      </c>
      <c r="U189" s="150">
        <f t="shared" si="117"/>
        <v>2.1396620278330017E-2</v>
      </c>
      <c r="V189" s="146">
        <f t="shared" si="117"/>
        <v>4.4547781802332835E-3</v>
      </c>
      <c r="W189" s="146"/>
      <c r="X189" s="146"/>
      <c r="Y189" s="145"/>
      <c r="Z189" s="144">
        <f>SUM(Q189:V189)</f>
        <v>1</v>
      </c>
      <c r="AA189" s="136"/>
      <c r="AB189" s="115"/>
      <c r="AC189" s="140"/>
      <c r="AD189" s="150"/>
      <c r="AE189" s="150"/>
      <c r="AF189" s="150"/>
      <c r="AG189" s="150"/>
      <c r="AH189" s="150"/>
      <c r="AI189" s="146"/>
      <c r="AJ189" s="146"/>
      <c r="AK189" s="146"/>
      <c r="AL189" s="146"/>
      <c r="AM189" s="144"/>
      <c r="AN189" s="136"/>
    </row>
    <row r="190" spans="2:40" x14ac:dyDescent="0.3">
      <c r="B190" s="107"/>
      <c r="C190" s="147" t="s">
        <v>368</v>
      </c>
      <c r="D190" s="108">
        <f>'15O_Seeds'!AL130</f>
        <v>3.0654792361665777</v>
      </c>
      <c r="E190" s="108">
        <f>'15O_Seeds'!AM130</f>
        <v>5.5212246639195595</v>
      </c>
      <c r="F190" s="108">
        <f>'15O_Seeds'!AN130</f>
        <v>15.390695531631065</v>
      </c>
      <c r="G190" s="108">
        <f>'15O_Seeds'!AO130</f>
        <v>18.827839355313014</v>
      </c>
      <c r="H190" s="108">
        <f>'15O_Seeds'!AP130</f>
        <v>10.589162316528579</v>
      </c>
      <c r="I190" s="107"/>
      <c r="J190" s="107"/>
      <c r="K190" s="107"/>
      <c r="L190" s="107"/>
      <c r="M190" s="107"/>
      <c r="N190" s="141"/>
      <c r="O190" s="107"/>
      <c r="P190" s="147" t="s">
        <v>368</v>
      </c>
      <c r="Q190" s="108">
        <f>'15O_Seeds'!AL135</f>
        <v>5.7112078176898978E-2</v>
      </c>
      <c r="R190" s="108">
        <f>'15O_Seeds'!AM135</f>
        <v>1.1957010495939007</v>
      </c>
      <c r="S190" s="108">
        <f>'15O_Seeds'!AN135</f>
        <v>1.5765897407145373</v>
      </c>
      <c r="T190" s="108">
        <f>'15O_Seeds'!AO135</f>
        <v>0.80992607687368701</v>
      </c>
      <c r="U190" s="108">
        <f>'15O_Seeds'!AP135</f>
        <v>0.32722137605506235</v>
      </c>
      <c r="V190" s="107"/>
      <c r="W190" s="107"/>
      <c r="X190" s="107"/>
      <c r="Y190" s="107"/>
      <c r="Z190" s="107"/>
      <c r="AA190" s="107"/>
      <c r="AB190" s="107"/>
      <c r="AC190" s="147"/>
      <c r="AD190" s="108"/>
      <c r="AE190" s="108"/>
      <c r="AF190" s="108"/>
      <c r="AG190" s="108"/>
      <c r="AH190" s="108"/>
      <c r="AI190" s="107"/>
      <c r="AJ190" s="107"/>
      <c r="AK190" s="107"/>
      <c r="AL190" s="107"/>
      <c r="AM190" s="107"/>
      <c r="AN190" s="107"/>
    </row>
    <row r="191" spans="2:40" x14ac:dyDescent="0.3">
      <c r="B191" s="107"/>
      <c r="C191" s="128" t="s">
        <v>458</v>
      </c>
      <c r="D191" s="125">
        <f>1.96*D190</f>
        <v>6.0083393028864922</v>
      </c>
      <c r="E191" s="125">
        <f>1.96*E190</f>
        <v>10.821600341282336</v>
      </c>
      <c r="F191" s="125">
        <f>1.96*F190</f>
        <v>30.165763241996888</v>
      </c>
      <c r="G191" s="125">
        <f>1.96*G190</f>
        <v>36.902565136413507</v>
      </c>
      <c r="H191" s="125">
        <f>1.96*H190</f>
        <v>20.754758140396014</v>
      </c>
      <c r="I191" s="107"/>
      <c r="J191" s="107"/>
      <c r="K191" s="107"/>
      <c r="L191" s="107"/>
      <c r="M191" s="107"/>
      <c r="N191" s="107"/>
      <c r="O191" s="107"/>
      <c r="P191" s="128" t="s">
        <v>458</v>
      </c>
      <c r="Q191" s="125">
        <f>1.96*Q190</f>
        <v>0.11193967322672199</v>
      </c>
      <c r="R191" s="125">
        <f>1.96*R190</f>
        <v>2.3435740572040453</v>
      </c>
      <c r="S191" s="125">
        <f>1.96*S190</f>
        <v>3.090115891800493</v>
      </c>
      <c r="T191" s="125">
        <f>1.96*T190</f>
        <v>1.5874551106724264</v>
      </c>
      <c r="U191" s="125">
        <f>1.96*U190</f>
        <v>0.64135389706792223</v>
      </c>
      <c r="V191" s="107"/>
      <c r="W191" s="107"/>
      <c r="X191" s="107"/>
      <c r="Y191" s="107"/>
      <c r="Z191" s="107"/>
      <c r="AA191" s="107"/>
      <c r="AB191" s="107"/>
      <c r="AC191" s="128"/>
      <c r="AD191" s="125"/>
      <c r="AE191" s="125"/>
      <c r="AF191" s="125"/>
      <c r="AG191" s="125"/>
      <c r="AH191" s="125"/>
      <c r="AI191" s="107"/>
      <c r="AJ191" s="107"/>
      <c r="AK191" s="107"/>
      <c r="AL191" s="107"/>
      <c r="AM191" s="107"/>
      <c r="AN191" s="107"/>
    </row>
    <row r="192" spans="2:40" x14ac:dyDescent="0.3">
      <c r="B192" s="115" t="s">
        <v>375</v>
      </c>
      <c r="C192" s="107" t="s">
        <v>367</v>
      </c>
      <c r="D192" s="145">
        <f>D182/SUM(D182:H182)</f>
        <v>7.9135826478899021E-3</v>
      </c>
      <c r="E192" s="145">
        <f>E182/SUM(D182:H182)</f>
        <v>6.2600337859738632E-3</v>
      </c>
      <c r="F192" s="145">
        <f>F182/SUM(D182:H182)</f>
        <v>0.20567116256544601</v>
      </c>
      <c r="G192" s="145">
        <f>G182/SUM(D182:H182)</f>
        <v>0.58014063506953573</v>
      </c>
      <c r="H192" s="145">
        <f>H182/SUM(D182:H182)</f>
        <v>0.2000145859311544</v>
      </c>
      <c r="I192" s="151">
        <f>SUM(D192:H192)</f>
        <v>0.99999999999999989</v>
      </c>
      <c r="J192" s="107"/>
      <c r="K192" s="107"/>
      <c r="L192" s="107"/>
      <c r="M192" s="107"/>
      <c r="N192" s="107"/>
      <c r="O192" s="115" t="s">
        <v>375</v>
      </c>
      <c r="P192" s="107" t="s">
        <v>367</v>
      </c>
      <c r="Q192" s="145">
        <f>Q182/SUM(Q182:U182)</f>
        <v>5.4027437731668298E-4</v>
      </c>
      <c r="R192" s="145">
        <f>R182/SUM(Q182:U182)</f>
        <v>2.8319951854030176E-2</v>
      </c>
      <c r="S192" s="145">
        <f>S182/SUM(Q182:U182)</f>
        <v>0.76841378178386299</v>
      </c>
      <c r="T192" s="145">
        <f>T182/SUM(Q182:U182)</f>
        <v>0.18112869472446011</v>
      </c>
      <c r="U192" s="145">
        <f>U182/SUM(Q182:U182)</f>
        <v>2.1597297260330186E-2</v>
      </c>
      <c r="V192" s="151">
        <f>SUM(Q192:U192)</f>
        <v>1.0000000000000002</v>
      </c>
      <c r="W192" s="107"/>
      <c r="X192" s="107"/>
      <c r="Y192" s="107"/>
      <c r="Z192" s="107"/>
      <c r="AA192" s="107"/>
      <c r="AB192" s="115" t="s">
        <v>375</v>
      </c>
      <c r="AC192" s="107" t="s">
        <v>367</v>
      </c>
      <c r="AD192" s="145">
        <f>AD182/SUM(AD182:AH182)</f>
        <v>0</v>
      </c>
      <c r="AE192" s="145">
        <f>AE182/SUM(AD182:AH182)</f>
        <v>7.9590266423006633E-3</v>
      </c>
      <c r="AF192" s="145">
        <f>AF182/SUM(AD182:AH182)</f>
        <v>0.71804366644224293</v>
      </c>
      <c r="AG192" s="145">
        <f>AG182/SUM(AD182:AH182)</f>
        <v>0.2682504568625565</v>
      </c>
      <c r="AH192" s="145">
        <f>AH182/SUM(AD182:AH182)</f>
        <v>5.746850052899875E-3</v>
      </c>
      <c r="AI192" s="151">
        <f>SUM(AD192:AH192)</f>
        <v>1</v>
      </c>
      <c r="AJ192" s="107"/>
      <c r="AK192" s="107"/>
      <c r="AL192" s="107"/>
      <c r="AM192" s="107"/>
      <c r="AN192" s="107"/>
    </row>
    <row r="193" spans="2:40" x14ac:dyDescent="0.3">
      <c r="B193" s="147" t="s">
        <v>648</v>
      </c>
      <c r="C193" s="90" t="s">
        <v>447</v>
      </c>
      <c r="D193" s="108">
        <f>D186*D192</f>
        <v>9.3063731939185407E-2</v>
      </c>
      <c r="E193" s="108">
        <f>E186*D192</f>
        <v>0.44616778968803278</v>
      </c>
      <c r="F193" s="108">
        <f>F186*D192</f>
        <v>1.6424640785695506</v>
      </c>
      <c r="G193" s="108">
        <f>G186*D192</f>
        <v>2.9389463237733597</v>
      </c>
      <c r="H193" s="108">
        <f>H186*D192</f>
        <v>1.4193010478990533</v>
      </c>
      <c r="I193" s="107"/>
      <c r="J193" s="107"/>
      <c r="K193" s="107"/>
      <c r="L193" s="107"/>
      <c r="M193" s="107"/>
      <c r="N193" s="107"/>
      <c r="O193" s="147" t="s">
        <v>648</v>
      </c>
      <c r="P193" s="90" t="s">
        <v>447</v>
      </c>
      <c r="Q193" s="108">
        <f>Q186*Q192</f>
        <v>0</v>
      </c>
      <c r="R193" s="108">
        <f>R186*Q192</f>
        <v>6.6885967911805332E-3</v>
      </c>
      <c r="S193" s="108">
        <f>S186*Q192</f>
        <v>1.1761773194184179E-2</v>
      </c>
      <c r="T193" s="108">
        <f>T186*Q192</f>
        <v>5.6890891931446873E-3</v>
      </c>
      <c r="U193" s="108">
        <f>U186*Q192</f>
        <v>3.2470490076732636E-3</v>
      </c>
      <c r="V193" s="107"/>
      <c r="W193" s="107"/>
      <c r="X193" s="107"/>
      <c r="Y193" s="107"/>
      <c r="Z193" s="107"/>
      <c r="AA193" s="107"/>
      <c r="AB193" s="147" t="s">
        <v>648</v>
      </c>
      <c r="AC193" s="90" t="s">
        <v>447</v>
      </c>
      <c r="AD193" s="108">
        <f>AD186*AD192</f>
        <v>0</v>
      </c>
      <c r="AE193" s="108">
        <f>AE186*AD192</f>
        <v>0</v>
      </c>
      <c r="AF193" s="108">
        <f>AF186*AD192</f>
        <v>0</v>
      </c>
      <c r="AG193" s="108">
        <f>AG186*AD192</f>
        <v>0</v>
      </c>
      <c r="AH193" s="108">
        <f>AH186*AD192</f>
        <v>0</v>
      </c>
      <c r="AI193" s="107"/>
      <c r="AJ193" s="107"/>
      <c r="AK193" s="107"/>
      <c r="AL193" s="107"/>
      <c r="AM193" s="107"/>
      <c r="AN193" s="107"/>
    </row>
    <row r="194" spans="2:40" x14ac:dyDescent="0.3">
      <c r="B194" s="107" t="s">
        <v>649</v>
      </c>
      <c r="C194" s="91" t="s">
        <v>446</v>
      </c>
      <c r="D194" s="108">
        <f>D186*E192</f>
        <v>7.3617997323052756E-2</v>
      </c>
      <c r="E194" s="108">
        <f>E186*E192</f>
        <v>0.35294070485320644</v>
      </c>
      <c r="F194" s="108">
        <f>F186*E192</f>
        <v>1.2992700122788765</v>
      </c>
      <c r="G194" s="108">
        <f>G186*E192</f>
        <v>2.3248513474349797</v>
      </c>
      <c r="H194" s="108">
        <f>H186*E192</f>
        <v>1.1227370595144117</v>
      </c>
      <c r="I194" s="107"/>
      <c r="J194" s="107"/>
      <c r="K194" s="107"/>
      <c r="L194" s="107"/>
      <c r="M194" s="107"/>
      <c r="N194" s="107"/>
      <c r="O194" s="107" t="s">
        <v>649</v>
      </c>
      <c r="P194" s="91" t="s">
        <v>446</v>
      </c>
      <c r="Q194" s="108">
        <f>Q186*R192</f>
        <v>0</v>
      </c>
      <c r="R194" s="108">
        <f>R186*R192</f>
        <v>0.35060100395289345</v>
      </c>
      <c r="S194" s="108">
        <f>S186*R192</f>
        <v>0.61652535186223645</v>
      </c>
      <c r="T194" s="108">
        <f>T186*R192</f>
        <v>0.29820909302293858</v>
      </c>
      <c r="U194" s="108">
        <f>U186*R192</f>
        <v>0.17020291064272131</v>
      </c>
      <c r="V194" s="107"/>
      <c r="W194" s="107"/>
      <c r="X194" s="107"/>
      <c r="Y194" s="107"/>
      <c r="Z194" s="107"/>
      <c r="AA194" s="107"/>
      <c r="AB194" s="107" t="s">
        <v>649</v>
      </c>
      <c r="AC194" s="91" t="s">
        <v>446</v>
      </c>
      <c r="AD194" s="108">
        <f>AD186*AE192</f>
        <v>0</v>
      </c>
      <c r="AE194" s="108">
        <f>AE186*AE192</f>
        <v>1.0107963835721842E-2</v>
      </c>
      <c r="AF194" s="108">
        <f>AF186*AE192</f>
        <v>4.1784889872078484E-2</v>
      </c>
      <c r="AG194" s="108">
        <f>AG186*AE192</f>
        <v>3.2472828700586695E-2</v>
      </c>
      <c r="AH194" s="108">
        <f>AH186*AE192</f>
        <v>3.7407425218813134E-3</v>
      </c>
      <c r="AI194" s="107"/>
      <c r="AJ194" s="107"/>
      <c r="AK194" s="107"/>
      <c r="AL194" s="107"/>
      <c r="AM194" s="107"/>
      <c r="AN194" s="107"/>
    </row>
    <row r="195" spans="2:40" x14ac:dyDescent="0.3">
      <c r="B195" s="107"/>
      <c r="C195" s="92" t="s">
        <v>448</v>
      </c>
      <c r="D195" s="108">
        <f>D186*F192</f>
        <v>2.418692871769649</v>
      </c>
      <c r="E195" s="108">
        <f>E186*F192</f>
        <v>11.595740145439848</v>
      </c>
      <c r="F195" s="108">
        <f>F186*F192</f>
        <v>42.68704979045836</v>
      </c>
      <c r="G195" s="108">
        <f>G186*F192</f>
        <v>76.382156353555544</v>
      </c>
      <c r="H195" s="108">
        <f>H186*F192</f>
        <v>36.887123006112724</v>
      </c>
      <c r="I195" s="107"/>
      <c r="J195" s="107"/>
      <c r="K195" s="107"/>
      <c r="L195" s="107"/>
      <c r="M195" s="107"/>
      <c r="N195" s="107"/>
      <c r="O195" s="107"/>
      <c r="P195" s="92" t="s">
        <v>448</v>
      </c>
      <c r="Q195" s="108">
        <f>Q186*S192</f>
        <v>0</v>
      </c>
      <c r="R195" s="108">
        <f>R186*S192</f>
        <v>9.5129626184842202</v>
      </c>
      <c r="S195" s="108">
        <f>S186*S192</f>
        <v>16.728368029434684</v>
      </c>
      <c r="T195" s="108">
        <f>T186*S192</f>
        <v>8.0913971221840999</v>
      </c>
      <c r="U195" s="108">
        <f>U186*S192</f>
        <v>4.6181668285210149</v>
      </c>
      <c r="V195" s="107"/>
      <c r="W195" s="107"/>
      <c r="X195" s="107"/>
      <c r="Y195" s="107"/>
      <c r="Z195" s="107"/>
      <c r="AA195" s="107"/>
      <c r="AB195" s="107"/>
      <c r="AC195" s="92" t="s">
        <v>448</v>
      </c>
      <c r="AD195" s="108">
        <f>AD186*AF192</f>
        <v>0</v>
      </c>
      <c r="AE195" s="108">
        <f>AE186*AF192</f>
        <v>0.9119154563816485</v>
      </c>
      <c r="AF195" s="108">
        <f>AF186*AF192</f>
        <v>3.7697292488217755</v>
      </c>
      <c r="AG195" s="108">
        <f>AG186*AF192</f>
        <v>2.9296181590843497</v>
      </c>
      <c r="AH195" s="108">
        <f>AH186*AF192</f>
        <v>0.33748052322785432</v>
      </c>
      <c r="AI195" s="107"/>
      <c r="AJ195" s="107"/>
      <c r="AK195" s="107"/>
      <c r="AL195" s="107"/>
      <c r="AM195" s="107"/>
      <c r="AN195" s="107"/>
    </row>
    <row r="196" spans="2:40" x14ac:dyDescent="0.3">
      <c r="B196" s="107"/>
      <c r="C196" s="124" t="s">
        <v>449</v>
      </c>
      <c r="D196" s="108">
        <f>D186*G192</f>
        <v>6.8224538684177514</v>
      </c>
      <c r="E196" s="108">
        <f>E186*G192</f>
        <v>32.708329005220428</v>
      </c>
      <c r="F196" s="108">
        <f>F186*G192</f>
        <v>120.40818880868224</v>
      </c>
      <c r="G196" s="108">
        <f>G186*G192</f>
        <v>215.45262905212476</v>
      </c>
      <c r="H196" s="108">
        <f>H186*G192</f>
        <v>104.04822289972118</v>
      </c>
      <c r="I196" s="107"/>
      <c r="J196" s="107"/>
      <c r="K196" s="107"/>
      <c r="L196" s="107"/>
      <c r="M196" s="107"/>
      <c r="N196" s="107"/>
      <c r="O196" s="107"/>
      <c r="P196" s="124" t="s">
        <v>449</v>
      </c>
      <c r="Q196" s="108">
        <f>Q186*T192</f>
        <v>0</v>
      </c>
      <c r="R196" s="108">
        <f>R186*T192</f>
        <v>2.2423732406888153</v>
      </c>
      <c r="S196" s="108">
        <f>S186*T192</f>
        <v>3.9431716841514932</v>
      </c>
      <c r="T196" s="108">
        <f>T186*T192</f>
        <v>1.9072851554485704</v>
      </c>
      <c r="U196" s="108">
        <f>U186*T192</f>
        <v>1.0885834552940048</v>
      </c>
      <c r="V196" s="107"/>
      <c r="W196" s="107"/>
      <c r="X196" s="107"/>
      <c r="Y196" s="107"/>
      <c r="Z196" s="107"/>
      <c r="AA196" s="107"/>
      <c r="AB196" s="107"/>
      <c r="AC196" s="124" t="s">
        <v>449</v>
      </c>
      <c r="AD196" s="108">
        <f>AD186*AG192</f>
        <v>0</v>
      </c>
      <c r="AE196" s="108">
        <f>AE186*AG192</f>
        <v>0.34067808021544677</v>
      </c>
      <c r="AF196" s="108">
        <f>AF186*AG192</f>
        <v>1.4083148985284215</v>
      </c>
      <c r="AG196" s="108">
        <f>AG186*AG192</f>
        <v>1.0944618639992301</v>
      </c>
      <c r="AH196" s="108">
        <f>AH186*AG192</f>
        <v>0.12607771472540161</v>
      </c>
      <c r="AI196" s="107"/>
      <c r="AJ196" s="107"/>
      <c r="AK196" s="107"/>
      <c r="AL196" s="107"/>
      <c r="AM196" s="107"/>
      <c r="AN196" s="107"/>
    </row>
    <row r="197" spans="2:40" x14ac:dyDescent="0.3">
      <c r="B197" s="107"/>
      <c r="C197" s="123" t="s">
        <v>450</v>
      </c>
      <c r="D197" s="125">
        <f>D186*H192</f>
        <v>2.3521715305503794</v>
      </c>
      <c r="E197" s="125">
        <f>E186*H192</f>
        <v>11.276822354798487</v>
      </c>
      <c r="F197" s="125">
        <f>F186*H192</f>
        <v>41.513027310011132</v>
      </c>
      <c r="G197" s="125">
        <f>G186*H192</f>
        <v>74.281416923112317</v>
      </c>
      <c r="H197" s="125">
        <f>H186*H192</f>
        <v>35.872615986752521</v>
      </c>
      <c r="I197" s="107"/>
      <c r="J197" s="107"/>
      <c r="K197" s="107"/>
      <c r="L197" s="107"/>
      <c r="M197" s="107"/>
      <c r="N197" s="107"/>
      <c r="O197" s="107"/>
      <c r="P197" s="123" t="s">
        <v>450</v>
      </c>
      <c r="Q197" s="125">
        <f>Q186*U192</f>
        <v>0</v>
      </c>
      <c r="R197" s="125">
        <f>R186*U192</f>
        <v>0.26737454008288758</v>
      </c>
      <c r="S197" s="125">
        <f>S186*U192</f>
        <v>0.47017316135738774</v>
      </c>
      <c r="T197" s="125">
        <f>T186*U192</f>
        <v>0.22741954015127749</v>
      </c>
      <c r="U197" s="125">
        <f>U186*U192</f>
        <v>0.12979975653458437</v>
      </c>
      <c r="V197" s="107"/>
      <c r="W197" s="107"/>
      <c r="X197" s="107"/>
      <c r="Y197" s="107"/>
      <c r="Z197" s="107"/>
      <c r="AA197" s="107"/>
      <c r="AB197" s="107"/>
      <c r="AC197" s="123" t="s">
        <v>450</v>
      </c>
      <c r="AD197" s="125">
        <f>AD186*AH192</f>
        <v>0</v>
      </c>
      <c r="AE197" s="125">
        <f>AE186*AH192</f>
        <v>7.2984995671828415E-3</v>
      </c>
      <c r="AF197" s="125">
        <f>AF186*AH192</f>
        <v>3.0170962777724342E-2</v>
      </c>
      <c r="AG197" s="125">
        <f>AG186*AH192</f>
        <v>2.3447148215831479E-2</v>
      </c>
      <c r="AH197" s="125">
        <f>AH186*AH192</f>
        <v>2.7010195248629424E-3</v>
      </c>
      <c r="AI197" s="107"/>
      <c r="AJ197" s="107"/>
      <c r="AK197" s="107"/>
      <c r="AL197" s="107"/>
      <c r="AM197" s="107"/>
      <c r="AN197" s="107"/>
    </row>
    <row r="198" spans="2:40" x14ac:dyDescent="0.3">
      <c r="B198" s="107"/>
      <c r="C198" s="107" t="s">
        <v>36</v>
      </c>
      <c r="D198" s="108">
        <f>SUM(D193:D197)</f>
        <v>11.760000000000018</v>
      </c>
      <c r="E198" s="108">
        <f>SUM(E193:E197)</f>
        <v>56.379999999999995</v>
      </c>
      <c r="F198" s="108">
        <f>SUM(F193:F197)</f>
        <v>207.55000000000015</v>
      </c>
      <c r="G198" s="108">
        <f t="shared" ref="G198:H198" si="118">SUM(G193:G197)</f>
        <v>371.38000000000096</v>
      </c>
      <c r="H198" s="108">
        <f t="shared" si="118"/>
        <v>179.34999999999991</v>
      </c>
      <c r="I198" s="107"/>
      <c r="J198" s="107"/>
      <c r="K198" s="107"/>
      <c r="L198" s="107"/>
      <c r="M198" s="107"/>
      <c r="N198" s="107"/>
      <c r="O198" s="107"/>
      <c r="P198" s="107" t="s">
        <v>36</v>
      </c>
      <c r="Q198" s="108">
        <f>SUM(Q193:Q197)</f>
        <v>0</v>
      </c>
      <c r="R198" s="108">
        <f>SUM(R193:R197)</f>
        <v>12.379999999999997</v>
      </c>
      <c r="S198" s="108">
        <f>SUM(S193:S197)</f>
        <v>21.769999999999985</v>
      </c>
      <c r="T198" s="108">
        <f t="shared" ref="T198:U198" si="119">SUM(T193:T197)</f>
        <v>10.53000000000003</v>
      </c>
      <c r="U198" s="108">
        <f t="shared" si="119"/>
        <v>6.0099999999999989</v>
      </c>
      <c r="V198" s="107"/>
      <c r="W198" s="107"/>
      <c r="X198" s="107"/>
      <c r="Y198" s="107"/>
      <c r="Z198" s="107"/>
      <c r="AA198" s="107"/>
      <c r="AB198" s="107"/>
      <c r="AC198" s="107" t="s">
        <v>36</v>
      </c>
      <c r="AD198" s="108">
        <f>SUM(AD193:AD197)</f>
        <v>0</v>
      </c>
      <c r="AE198" s="108">
        <f>SUM(AE193:AE197)</f>
        <v>1.27</v>
      </c>
      <c r="AF198" s="108">
        <f>SUM(AF193:AF197)</f>
        <v>5.25</v>
      </c>
      <c r="AG198" s="108">
        <f t="shared" ref="AG198:AH198" si="120">SUM(AG193:AG197)</f>
        <v>4.0799999999999983</v>
      </c>
      <c r="AH198" s="108">
        <f t="shared" si="120"/>
        <v>0.47000000000000025</v>
      </c>
      <c r="AI198" s="107"/>
      <c r="AJ198" s="107"/>
      <c r="AK198" s="107"/>
      <c r="AL198" s="107"/>
      <c r="AM198" s="107"/>
      <c r="AN198" s="107"/>
    </row>
    <row r="199" spans="2:40" x14ac:dyDescent="0.3">
      <c r="B199" s="107" t="s">
        <v>650</v>
      </c>
      <c r="C199" s="211" t="s">
        <v>451</v>
      </c>
      <c r="D199" s="125">
        <f>I184*D192</f>
        <v>29.888256352030005</v>
      </c>
      <c r="E199" s="125">
        <f>I184*E192</f>
        <v>23.643083403879654</v>
      </c>
      <c r="F199" s="125">
        <f>I184*F192</f>
        <v>776.78501691205304</v>
      </c>
      <c r="G199" s="125">
        <f>I184*G192</f>
        <v>2191.0925547496736</v>
      </c>
      <c r="H199" s="125">
        <f>I184*H192</f>
        <v>755.42108858236145</v>
      </c>
      <c r="I199" s="226">
        <f>SUM(D199:H199)</f>
        <v>3776.8299999999977</v>
      </c>
      <c r="J199" s="107"/>
      <c r="K199" s="140"/>
      <c r="L199" s="140"/>
      <c r="M199" s="107"/>
      <c r="N199" s="107"/>
      <c r="O199" s="107" t="s">
        <v>650</v>
      </c>
      <c r="P199" s="211" t="s">
        <v>451</v>
      </c>
      <c r="Q199" s="125">
        <f>V184*Q192</f>
        <v>3.53339442765121E-3</v>
      </c>
      <c r="R199" s="125">
        <f>V184*R192</f>
        <v>0.18521248512536276</v>
      </c>
      <c r="S199" s="125">
        <f>V184*S192</f>
        <v>5.0254261328666106</v>
      </c>
      <c r="T199" s="125">
        <f>V184*T192</f>
        <v>1.1845816634980038</v>
      </c>
      <c r="U199" s="125">
        <f>V184*U192</f>
        <v>0.14124632408256355</v>
      </c>
      <c r="V199" s="226">
        <f>SUM(Q199:U199)</f>
        <v>6.5400000000001919</v>
      </c>
      <c r="W199" s="107"/>
      <c r="X199" s="140"/>
      <c r="Y199" s="140"/>
      <c r="Z199" s="107"/>
      <c r="AA199" s="107"/>
      <c r="AB199" s="107" t="s">
        <v>650</v>
      </c>
      <c r="AC199" s="211" t="s">
        <v>451</v>
      </c>
      <c r="AD199" s="125">
        <f>AI184*AD192</f>
        <v>0</v>
      </c>
      <c r="AE199" s="125">
        <f>AI184*AE192</f>
        <v>1.5042560353948145E-2</v>
      </c>
      <c r="AF199" s="125">
        <f>AI184*AF192</f>
        <v>1.3571025295758294</v>
      </c>
      <c r="AG199" s="125">
        <f>AI184*AG192</f>
        <v>0.50699336347022816</v>
      </c>
      <c r="AH199" s="125">
        <f>AI184*AH192</f>
        <v>1.0861546599980685E-2</v>
      </c>
      <c r="AI199" s="226">
        <f>SUM(AD199:AH199)</f>
        <v>1.8899999999999864</v>
      </c>
      <c r="AJ199" s="107"/>
      <c r="AK199" s="140"/>
      <c r="AL199" s="140"/>
      <c r="AM199" s="107"/>
      <c r="AN199" s="107"/>
    </row>
    <row r="200" spans="2:40" x14ac:dyDescent="0.3">
      <c r="B200" s="107" t="s">
        <v>651</v>
      </c>
      <c r="C200" s="107" t="s">
        <v>652</v>
      </c>
      <c r="D200" s="108">
        <f>SUM(D193:H193)+D199</f>
        <v>36.428199323899186</v>
      </c>
      <c r="E200" s="108">
        <f>SUM(D194:H194)+E199</f>
        <v>28.81650052528418</v>
      </c>
      <c r="F200" s="108">
        <f>SUM(D195:H195)+F199</f>
        <v>946.75577907938919</v>
      </c>
      <c r="G200" s="108">
        <f>SUM(D196:H196)+G199</f>
        <v>2670.5323783838398</v>
      </c>
      <c r="H200" s="108">
        <f>SUM(D197:H197)+H199</f>
        <v>920.71714268758626</v>
      </c>
      <c r="I200" s="107"/>
      <c r="J200" s="107"/>
      <c r="K200" s="108">
        <f>D200+E200+G200+H200</f>
        <v>3656.4942209206092</v>
      </c>
      <c r="L200" s="108">
        <f>F200</f>
        <v>946.75577907938919</v>
      </c>
      <c r="M200" s="107"/>
      <c r="N200" s="107"/>
      <c r="O200" s="107" t="s">
        <v>651</v>
      </c>
      <c r="P200" s="107" t="s">
        <v>652</v>
      </c>
      <c r="Q200" s="108">
        <f>SUM(Q193:U193)+Q199</f>
        <v>3.0919902613833872E-2</v>
      </c>
      <c r="R200" s="108">
        <f>SUM(Q194:U194)+R199</f>
        <v>1.6207508446061525</v>
      </c>
      <c r="S200" s="108">
        <f>SUM(Q195:U195)+S199</f>
        <v>43.976320731490631</v>
      </c>
      <c r="T200" s="108">
        <f>SUM(Q196:U196)+T199</f>
        <v>10.365995199080889</v>
      </c>
      <c r="U200" s="108">
        <f>SUM(Q197:U197)+U199</f>
        <v>1.2360133222087009</v>
      </c>
      <c r="V200" s="107"/>
      <c r="W200" s="107"/>
      <c r="X200" s="108">
        <f>Q200+R200+T200+U200</f>
        <v>13.253679268509575</v>
      </c>
      <c r="Y200" s="108">
        <f>S200</f>
        <v>43.976320731490631</v>
      </c>
      <c r="Z200" s="107"/>
      <c r="AA200" s="107"/>
      <c r="AB200" s="107" t="s">
        <v>651</v>
      </c>
      <c r="AC200" s="107" t="s">
        <v>652</v>
      </c>
      <c r="AD200" s="108">
        <f>SUM(AD193:AH193)+AD199</f>
        <v>0</v>
      </c>
      <c r="AE200" s="108">
        <f>SUM(AD194:AH194)+AE199</f>
        <v>0.10314898528421647</v>
      </c>
      <c r="AF200" s="108">
        <f>SUM(AD195:AH195)+AF199</f>
        <v>9.3058459170914567</v>
      </c>
      <c r="AG200" s="108">
        <f>SUM(AD196:AH196)+AG199</f>
        <v>3.476525920938728</v>
      </c>
      <c r="AH200" s="108">
        <f>SUM(AD197:AH197)+AH199</f>
        <v>7.4479176685582293E-2</v>
      </c>
      <c r="AI200" s="107"/>
      <c r="AJ200" s="107"/>
      <c r="AK200" s="108">
        <f>AD200+AE200+AG200+AH200</f>
        <v>3.6541540829085268</v>
      </c>
      <c r="AL200" s="108">
        <f>AF200</f>
        <v>9.3058459170914567</v>
      </c>
      <c r="AM200" s="107"/>
      <c r="AN200" s="107"/>
    </row>
    <row r="201" spans="2:40" x14ac:dyDescent="0.3">
      <c r="B201" s="107" t="s">
        <v>651</v>
      </c>
      <c r="C201" s="107" t="s">
        <v>653</v>
      </c>
      <c r="D201" s="145">
        <f>D200/$N$2</f>
        <v>1.4714926845424709E-3</v>
      </c>
      <c r="E201" s="145">
        <f t="shared" ref="E201:H201" si="121">E200/$N$2</f>
        <v>1.1640232156424689E-3</v>
      </c>
      <c r="F201" s="145">
        <f t="shared" si="121"/>
        <v>3.8243564843174635E-2</v>
      </c>
      <c r="G201" s="145">
        <f t="shared" si="121"/>
        <v>0.10787436468339287</v>
      </c>
      <c r="H201" s="145">
        <f t="shared" si="121"/>
        <v>3.7191751586490775E-2</v>
      </c>
      <c r="I201" s="107"/>
      <c r="J201" s="107"/>
      <c r="K201" s="151">
        <f>K200/$N$2</f>
        <v>0.14770163217006857</v>
      </c>
      <c r="L201" s="146">
        <f>L200/$N$2</f>
        <v>3.8243564843174635E-2</v>
      </c>
      <c r="M201" s="107"/>
      <c r="N201" s="107"/>
      <c r="O201" s="107" t="s">
        <v>651</v>
      </c>
      <c r="P201" s="107" t="s">
        <v>653</v>
      </c>
      <c r="Q201" s="145">
        <f>Q200/$N$3</f>
        <v>2.105170525738301E-5</v>
      </c>
      <c r="R201" s="145">
        <f t="shared" ref="R201:U201" si="122">R200/$N$3</f>
        <v>1.1034824236813043E-3</v>
      </c>
      <c r="S201" s="145">
        <f t="shared" si="122"/>
        <v>2.9941120898915159E-2</v>
      </c>
      <c r="T201" s="145">
        <f t="shared" si="122"/>
        <v>7.0576508068580903E-3</v>
      </c>
      <c r="U201" s="145">
        <f t="shared" si="122"/>
        <v>8.4153525573184241E-4</v>
      </c>
      <c r="V201" s="107"/>
      <c r="W201" s="107"/>
      <c r="X201" s="151">
        <f>X200/$N$3</f>
        <v>9.0237201915286201E-3</v>
      </c>
      <c r="Y201" s="151">
        <f>Y200/$N$3</f>
        <v>2.9941120898915159E-2</v>
      </c>
      <c r="Z201" s="107"/>
      <c r="AA201" s="107"/>
      <c r="AB201" s="107" t="s">
        <v>651</v>
      </c>
      <c r="AC201" s="107" t="s">
        <v>653</v>
      </c>
      <c r="AD201" s="145">
        <f>AD200/$N$4</f>
        <v>0</v>
      </c>
      <c r="AE201" s="145">
        <f t="shared" ref="AE201:AH201" si="123">AE200/$N$4</f>
        <v>2.4690376351632832E-4</v>
      </c>
      <c r="AF201" s="145">
        <f t="shared" si="123"/>
        <v>2.2275045879530501E-2</v>
      </c>
      <c r="AG201" s="145">
        <f t="shared" si="123"/>
        <v>8.3216265431666422E-3</v>
      </c>
      <c r="AH201" s="145">
        <f t="shared" si="123"/>
        <v>1.7827794404955428E-4</v>
      </c>
      <c r="AI201" s="107"/>
      <c r="AJ201" s="107"/>
      <c r="AK201" s="151">
        <f>AK200/$N$4</f>
        <v>8.746808250732525E-3</v>
      </c>
      <c r="AL201" s="151">
        <f>AL200/$N$4</f>
        <v>2.2275045879530501E-2</v>
      </c>
      <c r="AM201" s="107"/>
      <c r="AN201" s="107"/>
    </row>
    <row r="204" spans="2:40" x14ac:dyDescent="0.3">
      <c r="D204" t="s">
        <v>431</v>
      </c>
      <c r="E204" t="s">
        <v>432</v>
      </c>
      <c r="F204" t="s">
        <v>433</v>
      </c>
      <c r="G204" t="s">
        <v>434</v>
      </c>
      <c r="H204" t="s">
        <v>435</v>
      </c>
      <c r="Q204" t="s">
        <v>431</v>
      </c>
      <c r="R204" t="s">
        <v>432</v>
      </c>
      <c r="S204" t="s">
        <v>433</v>
      </c>
      <c r="T204" t="s">
        <v>434</v>
      </c>
      <c r="U204" t="s">
        <v>435</v>
      </c>
      <c r="AD204" t="s">
        <v>431</v>
      </c>
      <c r="AE204" t="s">
        <v>432</v>
      </c>
      <c r="AF204" t="s">
        <v>433</v>
      </c>
      <c r="AG204" t="s">
        <v>434</v>
      </c>
      <c r="AH204" t="s">
        <v>435</v>
      </c>
    </row>
    <row r="205" spans="2:40" x14ac:dyDescent="0.3">
      <c r="B205" s="118" t="s">
        <v>352</v>
      </c>
      <c r="C205" s="8">
        <v>20</v>
      </c>
      <c r="D205" s="90" t="s">
        <v>447</v>
      </c>
      <c r="E205" s="91" t="s">
        <v>446</v>
      </c>
      <c r="F205" s="92" t="s">
        <v>448</v>
      </c>
      <c r="G205" s="124" t="s">
        <v>449</v>
      </c>
      <c r="H205" s="123" t="s">
        <v>450</v>
      </c>
      <c r="I205" s="211" t="s">
        <v>451</v>
      </c>
      <c r="J205" s="212" t="s">
        <v>514</v>
      </c>
      <c r="K205" s="213" t="s">
        <v>515</v>
      </c>
      <c r="L205" s="214" t="s">
        <v>448</v>
      </c>
      <c r="Q205" s="90" t="s">
        <v>447</v>
      </c>
      <c r="R205" s="91" t="s">
        <v>446</v>
      </c>
      <c r="S205" s="92" t="s">
        <v>448</v>
      </c>
      <c r="T205" s="124" t="s">
        <v>449</v>
      </c>
      <c r="U205" s="123" t="s">
        <v>450</v>
      </c>
      <c r="V205" s="211" t="s">
        <v>451</v>
      </c>
      <c r="W205" s="212" t="s">
        <v>514</v>
      </c>
      <c r="X205" s="213" t="s">
        <v>515</v>
      </c>
      <c r="Y205" s="214" t="s">
        <v>448</v>
      </c>
      <c r="AD205" s="90" t="s">
        <v>447</v>
      </c>
      <c r="AE205" s="91" t="s">
        <v>446</v>
      </c>
      <c r="AF205" s="92" t="s">
        <v>448</v>
      </c>
      <c r="AG205" s="124" t="s">
        <v>449</v>
      </c>
      <c r="AH205" s="123" t="s">
        <v>450</v>
      </c>
      <c r="AI205" s="211" t="s">
        <v>451</v>
      </c>
      <c r="AJ205" s="212" t="s">
        <v>514</v>
      </c>
      <c r="AK205" s="213" t="s">
        <v>515</v>
      </c>
      <c r="AL205" s="214" t="s">
        <v>448</v>
      </c>
    </row>
    <row r="206" spans="2:40" x14ac:dyDescent="0.3">
      <c r="B206" s="119" t="s">
        <v>671</v>
      </c>
      <c r="C206" s="107"/>
      <c r="D206" s="116"/>
      <c r="E206" s="116"/>
      <c r="F206" s="116"/>
      <c r="G206" s="116"/>
      <c r="H206" s="116"/>
      <c r="I206" s="107"/>
      <c r="J206" s="107"/>
      <c r="K206" s="107"/>
      <c r="L206" s="107"/>
      <c r="M206" s="107"/>
      <c r="N206" s="141"/>
      <c r="O206" s="119" t="s">
        <v>708</v>
      </c>
      <c r="P206" s="107"/>
      <c r="Q206" s="116"/>
      <c r="R206" s="116"/>
      <c r="S206" s="116"/>
      <c r="T206" s="116"/>
      <c r="U206" s="116"/>
      <c r="V206" s="107"/>
      <c r="W206" s="107"/>
      <c r="X206" s="107"/>
      <c r="Y206" s="107"/>
      <c r="Z206" s="107"/>
      <c r="AA206" s="141"/>
      <c r="AB206" s="119" t="s">
        <v>777</v>
      </c>
      <c r="AC206" s="107"/>
      <c r="AD206" s="116"/>
      <c r="AE206" s="116"/>
      <c r="AF206" s="116"/>
      <c r="AG206" s="116"/>
      <c r="AH206" s="116"/>
      <c r="AI206" s="107"/>
      <c r="AJ206" s="107"/>
      <c r="AK206" s="107"/>
      <c r="AL206" s="107"/>
      <c r="AM206" s="107"/>
      <c r="AN206" s="107"/>
    </row>
    <row r="207" spans="2:40" x14ac:dyDescent="0.3">
      <c r="B207" s="115" t="s">
        <v>375</v>
      </c>
      <c r="C207" s="122" t="s">
        <v>9</v>
      </c>
      <c r="D207" s="135">
        <f>'19O_Seeds'!AL127</f>
        <v>173.52</v>
      </c>
      <c r="E207" s="135">
        <f>'19O_Seeds'!AM127</f>
        <v>125.48</v>
      </c>
      <c r="F207" s="135">
        <f>'19O_Seeds'!AN127</f>
        <v>4670.72</v>
      </c>
      <c r="G207" s="135">
        <f>'19O_Seeds'!AO127</f>
        <v>15142.55</v>
      </c>
      <c r="H207" s="135">
        <f>'19O_Seeds'!AP127</f>
        <v>4237.1000000000004</v>
      </c>
      <c r="I207" s="108">
        <f>$N$2-N207</f>
        <v>406.57999999999811</v>
      </c>
      <c r="J207" s="108"/>
      <c r="K207" s="108">
        <f>D207+E207+G207+H207</f>
        <v>19678.650000000001</v>
      </c>
      <c r="L207" s="108">
        <f>F207</f>
        <v>4670.72</v>
      </c>
      <c r="M207" s="115" t="s">
        <v>36</v>
      </c>
      <c r="N207" s="136">
        <f>SUM(D207:H207)</f>
        <v>24349.370000000003</v>
      </c>
      <c r="O207" s="115" t="s">
        <v>375</v>
      </c>
      <c r="P207" s="122" t="s">
        <v>9</v>
      </c>
      <c r="Q207" s="135">
        <f>'19O_Seeds'!AL132</f>
        <v>2.06</v>
      </c>
      <c r="R207" s="135">
        <f>'19O_Seeds'!AM132</f>
        <v>14.72</v>
      </c>
      <c r="S207" s="135">
        <f>'19O_Seeds'!AN132</f>
        <v>1226.03</v>
      </c>
      <c r="T207" s="135">
        <f>'19O_Seeds'!AO132</f>
        <v>170.21</v>
      </c>
      <c r="U207" s="135">
        <f>'19O_Seeds'!AP132</f>
        <v>48.83</v>
      </c>
      <c r="V207" s="108">
        <f>$N$3-AA207</f>
        <v>6.9100000000000819</v>
      </c>
      <c r="W207" s="108"/>
      <c r="X207" s="108">
        <f>Q207+R207+T207+U207</f>
        <v>235.82</v>
      </c>
      <c r="Y207" s="108">
        <f>S207</f>
        <v>1226.03</v>
      </c>
      <c r="Z207" s="115" t="s">
        <v>36</v>
      </c>
      <c r="AA207" s="136">
        <f>SUM(Q207:U207)</f>
        <v>1461.85</v>
      </c>
      <c r="AB207" s="115" t="s">
        <v>375</v>
      </c>
      <c r="AC207" s="122" t="s">
        <v>9</v>
      </c>
      <c r="AD207" s="135">
        <v>0.18</v>
      </c>
      <c r="AE207" s="135">
        <v>3.83</v>
      </c>
      <c r="AF207" s="135">
        <v>205.71</v>
      </c>
      <c r="AG207" s="135">
        <v>109.79</v>
      </c>
      <c r="AH207" s="135">
        <v>3.13</v>
      </c>
      <c r="AI207" s="108">
        <f>$N$4-AN207</f>
        <v>95.13</v>
      </c>
      <c r="AJ207" s="108"/>
      <c r="AK207" s="108">
        <f>AD207+AE207+AG207+AH207</f>
        <v>116.93</v>
      </c>
      <c r="AL207" s="108">
        <f>AF207</f>
        <v>205.71</v>
      </c>
      <c r="AM207" s="115" t="s">
        <v>36</v>
      </c>
      <c r="AN207" s="136">
        <f>SUM(AD207:AH207)</f>
        <v>322.64</v>
      </c>
    </row>
    <row r="208" spans="2:40" x14ac:dyDescent="0.3">
      <c r="B208" s="107"/>
      <c r="C208" s="140" t="s">
        <v>456</v>
      </c>
      <c r="D208" s="150">
        <f t="shared" ref="D208:I208" si="124">D207/$N$2</f>
        <v>7.0092240451285447E-3</v>
      </c>
      <c r="E208" s="150">
        <f t="shared" si="124"/>
        <v>5.0686804586372166E-3</v>
      </c>
      <c r="F208" s="150">
        <f t="shared" si="124"/>
        <v>0.18867060242083217</v>
      </c>
      <c r="G208" s="150">
        <f t="shared" si="124"/>
        <v>0.61167315332273653</v>
      </c>
      <c r="H208" s="150">
        <f t="shared" si="124"/>
        <v>0.17115481328731075</v>
      </c>
      <c r="I208" s="150">
        <f t="shared" si="124"/>
        <v>1.6423526465354717E-2</v>
      </c>
      <c r="J208" s="150"/>
      <c r="K208" s="150">
        <f>K207/$N$2</f>
        <v>0.79490587111381306</v>
      </c>
      <c r="L208" s="150">
        <f>L207/$N$2</f>
        <v>0.18867060242083217</v>
      </c>
      <c r="M208" s="144">
        <f>SUM(D208:I208)</f>
        <v>0.99999999999999989</v>
      </c>
      <c r="N208" s="141"/>
      <c r="O208" s="107"/>
      <c r="P208" s="140" t="s">
        <v>455</v>
      </c>
      <c r="Q208" s="150">
        <f t="shared" ref="Q208:V208" si="125">Q207/$N$3</f>
        <v>1.4025436422560528E-3</v>
      </c>
      <c r="R208" s="150">
        <f t="shared" si="125"/>
        <v>1.0022059424276262E-2</v>
      </c>
      <c r="S208" s="150">
        <f t="shared" si="125"/>
        <v>0.83473814646368361</v>
      </c>
      <c r="T208" s="150">
        <f t="shared" si="125"/>
        <v>0.11588687055747707</v>
      </c>
      <c r="U208" s="150">
        <f t="shared" si="125"/>
        <v>3.3245731092894686E-2</v>
      </c>
      <c r="V208" s="150">
        <f t="shared" si="125"/>
        <v>4.7046488194123492E-3</v>
      </c>
      <c r="W208" s="150"/>
      <c r="X208" s="150">
        <f>X207/$N$3</f>
        <v>0.16055720471690405</v>
      </c>
      <c r="Y208" s="150">
        <f>Y207/$N$3</f>
        <v>0.83473814646368361</v>
      </c>
      <c r="Z208" s="144">
        <f>SUM(Q208:V208)</f>
        <v>1</v>
      </c>
      <c r="AA208" s="141"/>
      <c r="AB208" s="107"/>
      <c r="AC208" s="140" t="s">
        <v>455</v>
      </c>
      <c r="AD208" s="150">
        <f>AD207/$N$4</f>
        <v>4.3085908514254256E-4</v>
      </c>
      <c r="AE208" s="150">
        <f t="shared" ref="AE208:AI208" si="126">AE207/$N$4</f>
        <v>9.1677238671996567E-3</v>
      </c>
      <c r="AF208" s="150">
        <f t="shared" si="126"/>
        <v>0.49240012447040243</v>
      </c>
      <c r="AG208" s="150">
        <f t="shared" si="126"/>
        <v>0.2628001053211097</v>
      </c>
      <c r="AH208" s="150">
        <f t="shared" si="126"/>
        <v>7.4921607583119899E-3</v>
      </c>
      <c r="AI208" s="150">
        <f t="shared" si="126"/>
        <v>0.22770902649783373</v>
      </c>
      <c r="AJ208" s="150"/>
      <c r="AK208" s="150">
        <f t="shared" ref="AK208:AL208" si="127">AK207/$N$4</f>
        <v>0.27989084903176392</v>
      </c>
      <c r="AL208" s="150">
        <f t="shared" si="127"/>
        <v>0.49240012447040243</v>
      </c>
      <c r="AM208" s="144">
        <f>SUM(AD208:AI208)</f>
        <v>1</v>
      </c>
      <c r="AN208" s="107"/>
    </row>
    <row r="209" spans="2:40" x14ac:dyDescent="0.3">
      <c r="B209" s="107" t="s">
        <v>513</v>
      </c>
      <c r="C209" s="107" t="s">
        <v>9</v>
      </c>
      <c r="D209" s="108">
        <v>156.78</v>
      </c>
      <c r="E209" s="108">
        <v>75.95</v>
      </c>
      <c r="F209" s="108">
        <v>4426.97</v>
      </c>
      <c r="G209" s="108">
        <v>14725.58</v>
      </c>
      <c r="H209" s="108">
        <v>4007.24</v>
      </c>
      <c r="I209" s="108">
        <f>I207</f>
        <v>406.57999999999811</v>
      </c>
      <c r="J209" s="108">
        <f>SUM(D207:H207)-SUM(D209:H209)</f>
        <v>956.85000000000582</v>
      </c>
      <c r="K209" s="108">
        <f>D209+E209+G209+H209</f>
        <v>18965.55</v>
      </c>
      <c r="L209" s="108">
        <f>F209</f>
        <v>4426.97</v>
      </c>
      <c r="M209" s="115" t="s">
        <v>524</v>
      </c>
      <c r="N209" s="195">
        <f>SUM(D209:H209)</f>
        <v>23392.519999999997</v>
      </c>
      <c r="O209" s="107" t="s">
        <v>513</v>
      </c>
      <c r="P209" s="122" t="s">
        <v>9</v>
      </c>
      <c r="Q209" s="108">
        <v>1.97</v>
      </c>
      <c r="R209" s="108">
        <v>10.8</v>
      </c>
      <c r="S209" s="108">
        <v>1210.5</v>
      </c>
      <c r="T209" s="108">
        <v>163.9</v>
      </c>
      <c r="U209" s="108">
        <v>41.93</v>
      </c>
      <c r="V209" s="108">
        <f>V207</f>
        <v>6.9100000000000819</v>
      </c>
      <c r="W209" s="108">
        <f>SUM(Q207:U207)-SUM(Q209:U209)</f>
        <v>32.749999999999773</v>
      </c>
      <c r="X209" s="108">
        <f>Q209+R209+T209+U209</f>
        <v>218.60000000000002</v>
      </c>
      <c r="Y209" s="108">
        <f>S209</f>
        <v>1210.5</v>
      </c>
      <c r="Z209" s="115" t="s">
        <v>524</v>
      </c>
      <c r="AA209" s="195">
        <f>SUM(Q209:U209)</f>
        <v>1429.1000000000001</v>
      </c>
      <c r="AB209" s="107" t="s">
        <v>513</v>
      </c>
      <c r="AC209" s="122" t="s">
        <v>9</v>
      </c>
      <c r="AD209" s="108">
        <v>0.09</v>
      </c>
      <c r="AE209" s="108">
        <v>2.84</v>
      </c>
      <c r="AF209" s="108">
        <v>202.97</v>
      </c>
      <c r="AG209" s="108">
        <v>107.13</v>
      </c>
      <c r="AH209" s="108">
        <v>2.83</v>
      </c>
      <c r="AI209" s="108">
        <f>AI207</f>
        <v>95.13</v>
      </c>
      <c r="AJ209" s="108">
        <f>SUM(AD207:AH207)-SUM(AD209:AH209)</f>
        <v>6.7800000000000296</v>
      </c>
      <c r="AK209" s="108">
        <f>AD209+AE209+AG209+AH209</f>
        <v>112.89</v>
      </c>
      <c r="AL209" s="108">
        <f>AF209</f>
        <v>202.97</v>
      </c>
      <c r="AM209" s="115" t="s">
        <v>524</v>
      </c>
      <c r="AN209" s="195">
        <f>SUM(AD209:AH209)</f>
        <v>315.85999999999996</v>
      </c>
    </row>
    <row r="210" spans="2:40" x14ac:dyDescent="0.3">
      <c r="B210" s="107"/>
      <c r="C210" s="140" t="s">
        <v>455</v>
      </c>
      <c r="D210" s="150">
        <f t="shared" ref="D210:L210" si="128">D209/$N$2</f>
        <v>6.3330229702354378E-3</v>
      </c>
      <c r="E210" s="150">
        <f t="shared" si="128"/>
        <v>3.0679493212742797E-3</v>
      </c>
      <c r="F210" s="150">
        <f t="shared" si="128"/>
        <v>0.1788244846188492</v>
      </c>
      <c r="G210" s="150">
        <f t="shared" si="128"/>
        <v>0.59482992977445825</v>
      </c>
      <c r="H210" s="150">
        <f t="shared" si="128"/>
        <v>0.16186977272130537</v>
      </c>
      <c r="I210" s="150">
        <f t="shared" si="128"/>
        <v>1.6423526465354717E-2</v>
      </c>
      <c r="J210" s="150">
        <f t="shared" si="128"/>
        <v>3.8651314128522872E-2</v>
      </c>
      <c r="K210" s="150">
        <f t="shared" si="128"/>
        <v>0.76610067478727328</v>
      </c>
      <c r="L210" s="150">
        <f t="shared" si="128"/>
        <v>0.1788244846188492</v>
      </c>
      <c r="M210" s="144">
        <f>SUM(D210:J210)</f>
        <v>1.0000000000000002</v>
      </c>
      <c r="N210" s="194">
        <f>N209/N207</f>
        <v>0.96070329540353583</v>
      </c>
      <c r="O210" s="107"/>
      <c r="P210" s="140" t="s">
        <v>455</v>
      </c>
      <c r="Q210" s="150">
        <f t="shared" ref="Q210:Y210" si="129">Q209/$N$3</f>
        <v>1.3412674637108854E-3</v>
      </c>
      <c r="R210" s="150">
        <f t="shared" si="129"/>
        <v>7.3531414254200825E-3</v>
      </c>
      <c r="S210" s="150">
        <f t="shared" si="129"/>
        <v>0.82416460143250092</v>
      </c>
      <c r="T210" s="150">
        <f t="shared" si="129"/>
        <v>0.11159072959503255</v>
      </c>
      <c r="U210" s="150">
        <f t="shared" si="129"/>
        <v>2.8547890737765189E-2</v>
      </c>
      <c r="V210" s="150">
        <f t="shared" si="129"/>
        <v>4.7046488194123492E-3</v>
      </c>
      <c r="W210" s="150">
        <f t="shared" si="129"/>
        <v>2.2297720526157964E-2</v>
      </c>
      <c r="X210" s="150">
        <f t="shared" si="129"/>
        <v>0.14883302922192873</v>
      </c>
      <c r="Y210" s="150">
        <f t="shared" si="129"/>
        <v>0.82416460143250092</v>
      </c>
      <c r="Z210" s="144">
        <f>SUM(Q210:W210)</f>
        <v>1</v>
      </c>
      <c r="AA210" s="194">
        <f>AA209/AA207</f>
        <v>0.97759688066491102</v>
      </c>
      <c r="AB210" s="107"/>
      <c r="AC210" s="140" t="s">
        <v>455</v>
      </c>
      <c r="AD210" s="150">
        <f t="shared" ref="AD210:AL210" si="130">AD209/$N$4</f>
        <v>2.1542954257127128E-4</v>
      </c>
      <c r="AE210" s="150">
        <f t="shared" si="130"/>
        <v>6.7979988989156715E-3</v>
      </c>
      <c r="AF210" s="150">
        <f t="shared" si="130"/>
        <v>0.48584149172989927</v>
      </c>
      <c r="AG210" s="150">
        <f t="shared" si="130"/>
        <v>0.25643296550733657</v>
      </c>
      <c r="AH210" s="150">
        <f t="shared" si="130"/>
        <v>6.7740622830744198E-3</v>
      </c>
      <c r="AI210" s="150">
        <f t="shared" si="130"/>
        <v>0.22770902649783373</v>
      </c>
      <c r="AJ210" s="150">
        <f t="shared" si="130"/>
        <v>1.6229025540369174E-2</v>
      </c>
      <c r="AK210" s="150">
        <f t="shared" si="130"/>
        <v>0.27022045623189794</v>
      </c>
      <c r="AL210" s="150">
        <f t="shared" si="130"/>
        <v>0.48584149172989927</v>
      </c>
      <c r="AM210" s="144">
        <f>SUM(AD210:AJ210)</f>
        <v>1.0000000000000002</v>
      </c>
      <c r="AN210" s="194">
        <f>AN209/AN207</f>
        <v>0.97898586660054543</v>
      </c>
    </row>
    <row r="211" spans="2:40" x14ac:dyDescent="0.3">
      <c r="B211" s="107"/>
      <c r="C211" s="107" t="s">
        <v>516</v>
      </c>
      <c r="D211" s="112">
        <f>D207-D209</f>
        <v>16.740000000000009</v>
      </c>
      <c r="E211" s="112">
        <f>E207-E209</f>
        <v>49.53</v>
      </c>
      <c r="F211" s="112">
        <f>F207-F209</f>
        <v>243.75</v>
      </c>
      <c r="G211" s="112">
        <f>G207-G209</f>
        <v>416.96999999999935</v>
      </c>
      <c r="H211" s="112">
        <f>H207-H209</f>
        <v>229.86000000000058</v>
      </c>
      <c r="I211" s="146"/>
      <c r="J211" s="146"/>
      <c r="K211" s="112">
        <f>K207-K209</f>
        <v>713.10000000000218</v>
      </c>
      <c r="L211" s="108">
        <f>F211</f>
        <v>243.75</v>
      </c>
      <c r="M211" s="144"/>
      <c r="N211" s="107"/>
      <c r="O211" s="107"/>
      <c r="P211" s="107" t="s">
        <v>516</v>
      </c>
      <c r="Q211" s="112">
        <f>Q207-Q209</f>
        <v>9.000000000000008E-2</v>
      </c>
      <c r="R211" s="112">
        <f>R207-R209</f>
        <v>3.92</v>
      </c>
      <c r="S211" s="112">
        <f>S207-S209</f>
        <v>15.529999999999973</v>
      </c>
      <c r="T211" s="112">
        <f>T207-T209</f>
        <v>6.3100000000000023</v>
      </c>
      <c r="U211" s="112">
        <f>U207-U209</f>
        <v>6.8999999999999986</v>
      </c>
      <c r="V211" s="146"/>
      <c r="W211" s="146"/>
      <c r="X211" s="112">
        <f>X207-X209</f>
        <v>17.21999999999997</v>
      </c>
      <c r="Y211" s="108">
        <f>S211</f>
        <v>15.529999999999973</v>
      </c>
      <c r="Z211" s="144"/>
      <c r="AA211" s="107"/>
      <c r="AB211" s="107"/>
      <c r="AC211" s="107" t="s">
        <v>516</v>
      </c>
      <c r="AD211" s="112">
        <f>AD207-AD209</f>
        <v>0.09</v>
      </c>
      <c r="AE211" s="112">
        <f>AE207-AE209</f>
        <v>0.99000000000000021</v>
      </c>
      <c r="AF211" s="112">
        <f>AF207-AF209</f>
        <v>2.7400000000000091</v>
      </c>
      <c r="AG211" s="112">
        <f>AG207-AG209</f>
        <v>2.6600000000000108</v>
      </c>
      <c r="AH211" s="112">
        <f>AH207-AH209</f>
        <v>0.29999999999999982</v>
      </c>
      <c r="AI211" s="146"/>
      <c r="AJ211" s="146"/>
      <c r="AK211" s="112">
        <f>AK207-AK209</f>
        <v>4.0400000000000063</v>
      </c>
      <c r="AL211" s="108">
        <f>AF211</f>
        <v>2.7400000000000091</v>
      </c>
      <c r="AM211" s="144"/>
      <c r="AN211" s="107"/>
    </row>
    <row r="212" spans="2:40" x14ac:dyDescent="0.3">
      <c r="B212" s="107"/>
      <c r="C212" s="107" t="s">
        <v>517</v>
      </c>
      <c r="D212" s="146">
        <f>D211/D207</f>
        <v>9.6473029045643199E-2</v>
      </c>
      <c r="E212" s="146">
        <f>E211/E207</f>
        <v>0.39472425884603124</v>
      </c>
      <c r="F212" s="146">
        <f>F211/F207</f>
        <v>5.2186814880789252E-2</v>
      </c>
      <c r="G212" s="146">
        <f>G211/G207</f>
        <v>2.7536313236542018E-2</v>
      </c>
      <c r="H212" s="146">
        <f>H211/H207</f>
        <v>5.4249368671969167E-2</v>
      </c>
      <c r="I212" s="146"/>
      <c r="J212" s="146"/>
      <c r="K212" s="150">
        <f>K211/K207</f>
        <v>3.623724188397081E-2</v>
      </c>
      <c r="L212" s="150">
        <f>L211/$N$2</f>
        <v>9.8461178019829572E-3</v>
      </c>
      <c r="M212" s="144"/>
      <c r="N212" s="107"/>
      <c r="O212" s="107"/>
      <c r="P212" s="107" t="s">
        <v>517</v>
      </c>
      <c r="Q212" s="146">
        <f>Q211/Q207</f>
        <v>4.3689320388349551E-2</v>
      </c>
      <c r="R212" s="146">
        <f>R211/R207</f>
        <v>0.26630434782608692</v>
      </c>
      <c r="S212" s="146">
        <f>S211/S207</f>
        <v>1.2666900483674928E-2</v>
      </c>
      <c r="T212" s="146">
        <f>T211/T207</f>
        <v>3.7071852417601796E-2</v>
      </c>
      <c r="U212" s="146">
        <f>U211/U207</f>
        <v>0.14130657382756501</v>
      </c>
      <c r="V212" s="146"/>
      <c r="W212" s="146"/>
      <c r="X212" s="150">
        <f>X211/X207</f>
        <v>7.3021796285302226E-2</v>
      </c>
      <c r="Y212" s="150">
        <f>Y211/$N$3</f>
        <v>1.0573545031182748E-2</v>
      </c>
      <c r="Z212" s="144"/>
      <c r="AA212" s="107"/>
      <c r="AB212" s="107"/>
      <c r="AC212" s="107" t="s">
        <v>517</v>
      </c>
      <c r="AD212" s="146">
        <f>AD211/AD207</f>
        <v>0.5</v>
      </c>
      <c r="AE212" s="146">
        <f>AE211/AE207</f>
        <v>0.25848563968668414</v>
      </c>
      <c r="AF212" s="146">
        <f>AF211/AF207</f>
        <v>1.3319721938651543E-2</v>
      </c>
      <c r="AG212" s="146">
        <f>AG211/AG207</f>
        <v>2.4228071773385651E-2</v>
      </c>
      <c r="AH212" s="146">
        <f>AH211/AH207</f>
        <v>9.5846645367412081E-2</v>
      </c>
      <c r="AI212" s="146"/>
      <c r="AJ212" s="146"/>
      <c r="AK212" s="150">
        <f t="shared" ref="AK212:AL212" si="131">AK211/$N$4</f>
        <v>9.6703927998659702E-3</v>
      </c>
      <c r="AL212" s="150">
        <f t="shared" si="131"/>
        <v>6.5586327405031701E-3</v>
      </c>
      <c r="AM212" s="144"/>
      <c r="AN212" s="107"/>
    </row>
    <row r="213" spans="2:40" x14ac:dyDescent="0.3">
      <c r="B213" s="115" t="s">
        <v>376</v>
      </c>
      <c r="C213" s="122" t="s">
        <v>9</v>
      </c>
      <c r="D213" s="135">
        <f>'19O_Seeds'!AL129</f>
        <v>170.53200000000001</v>
      </c>
      <c r="E213" s="135">
        <f>'19O_Seeds'!AM129</f>
        <v>173.97300000000001</v>
      </c>
      <c r="F213" s="135">
        <f>'19O_Seeds'!AN129</f>
        <v>4656.7459999999992</v>
      </c>
      <c r="G213" s="135">
        <f>'19O_Seeds'!AO129</f>
        <v>15058.437</v>
      </c>
      <c r="H213" s="135">
        <f>'19O_Seeds'!AP129</f>
        <v>4289.6805000000004</v>
      </c>
      <c r="I213" s="108">
        <f>$N$2-N213</f>
        <v>406.58150000000387</v>
      </c>
      <c r="J213" s="108"/>
      <c r="K213" s="108"/>
      <c r="L213" s="108"/>
      <c r="M213" s="115" t="s">
        <v>36</v>
      </c>
      <c r="N213" s="136">
        <f>SUM(D213:H213)</f>
        <v>24349.368499999997</v>
      </c>
      <c r="O213" s="115" t="s">
        <v>376</v>
      </c>
      <c r="P213" s="122" t="s">
        <v>9</v>
      </c>
      <c r="Q213" s="135">
        <f>'19O_Seeds'!AL134</f>
        <v>2.0759999999999996</v>
      </c>
      <c r="R213" s="135">
        <f>'19O_Seeds'!AM134</f>
        <v>16.794500000000003</v>
      </c>
      <c r="S213" s="135">
        <f>'19O_Seeds'!AN134</f>
        <v>1221.3709999999999</v>
      </c>
      <c r="T213" s="135">
        <f>'19O_Seeds'!AO134</f>
        <v>171.69200000000001</v>
      </c>
      <c r="U213" s="135">
        <f>'19O_Seeds'!AP134</f>
        <v>49.922000000000011</v>
      </c>
      <c r="V213" s="108">
        <f>$N$3-AA213</f>
        <v>6.9045000000000982</v>
      </c>
      <c r="W213" s="108"/>
      <c r="X213" s="108"/>
      <c r="Y213" s="108"/>
      <c r="Z213" s="115" t="s">
        <v>36</v>
      </c>
      <c r="AA213" s="136">
        <f>SUM(Q213:U213)</f>
        <v>1461.8554999999999</v>
      </c>
      <c r="AB213" s="115" t="s">
        <v>376</v>
      </c>
      <c r="AC213" s="122"/>
      <c r="AD213" s="138"/>
      <c r="AE213" s="135"/>
      <c r="AF213" s="135"/>
      <c r="AG213" s="135"/>
      <c r="AH213" s="135"/>
      <c r="AI213" s="108"/>
      <c r="AJ213" s="108"/>
      <c r="AK213" s="108"/>
      <c r="AL213" s="108"/>
      <c r="AM213" s="115"/>
      <c r="AN213" s="136"/>
    </row>
    <row r="214" spans="2:40" x14ac:dyDescent="0.3">
      <c r="B214" s="115"/>
      <c r="C214" s="140" t="s">
        <v>455</v>
      </c>
      <c r="D214" s="150">
        <f t="shared" ref="D214:I214" si="132">D213/$N$2</f>
        <v>6.8885257887497759E-3</v>
      </c>
      <c r="E214" s="150">
        <f t="shared" si="132"/>
        <v>7.0275226763666923E-3</v>
      </c>
      <c r="F214" s="150">
        <f t="shared" si="132"/>
        <v>0.18810613206118121</v>
      </c>
      <c r="G214" s="150">
        <f t="shared" si="132"/>
        <v>0.60827546509021058</v>
      </c>
      <c r="H214" s="150">
        <f t="shared" si="132"/>
        <v>0.17327876732664269</v>
      </c>
      <c r="I214" s="145">
        <f t="shared" si="132"/>
        <v>1.6423587056849116E-2</v>
      </c>
      <c r="J214" s="145"/>
      <c r="K214" s="145"/>
      <c r="L214" s="145"/>
      <c r="M214" s="144">
        <f>SUM(D214:I214)</f>
        <v>1.0000000000000002</v>
      </c>
      <c r="N214" s="136"/>
      <c r="O214" s="115"/>
      <c r="P214" s="140" t="s">
        <v>455</v>
      </c>
      <c r="Q214" s="150">
        <f t="shared" ref="Q214:V214" si="133">Q213/$N$3</f>
        <v>1.4134371851085266E-3</v>
      </c>
      <c r="R214" s="150">
        <f t="shared" si="133"/>
        <v>1.1434475339742369E-2</v>
      </c>
      <c r="S214" s="150">
        <f t="shared" si="133"/>
        <v>0.83156608295432877</v>
      </c>
      <c r="T214" s="150">
        <f t="shared" si="133"/>
        <v>0.11689588496418749</v>
      </c>
      <c r="U214" s="150">
        <f t="shared" si="133"/>
        <v>3.3989215392576058E-2</v>
      </c>
      <c r="V214" s="146">
        <f t="shared" si="133"/>
        <v>4.7009041640568225E-3</v>
      </c>
      <c r="W214" s="146"/>
      <c r="X214" s="146"/>
      <c r="Y214" s="145"/>
      <c r="Z214" s="144">
        <f>SUM(Q214:V214)</f>
        <v>0.99999999999999989</v>
      </c>
      <c r="AA214" s="136"/>
      <c r="AB214" s="115"/>
      <c r="AC214" s="140"/>
      <c r="AD214" s="150"/>
      <c r="AE214" s="150"/>
      <c r="AF214" s="150"/>
      <c r="AG214" s="150"/>
      <c r="AH214" s="150"/>
      <c r="AI214" s="146"/>
      <c r="AJ214" s="146"/>
      <c r="AK214" s="146"/>
      <c r="AL214" s="146"/>
      <c r="AM214" s="144"/>
      <c r="AN214" s="136"/>
    </row>
    <row r="215" spans="2:40" x14ac:dyDescent="0.3">
      <c r="B215" s="107"/>
      <c r="C215" s="147" t="s">
        <v>368</v>
      </c>
      <c r="D215" s="108">
        <f>'19O_Seeds'!AL130</f>
        <v>3.6842475915428747</v>
      </c>
      <c r="E215" s="108">
        <f>'19O_Seeds'!AM130</f>
        <v>8.2396670889570327</v>
      </c>
      <c r="F215" s="108">
        <f>'19O_Seeds'!AN130</f>
        <v>16.471346226897026</v>
      </c>
      <c r="G215" s="108">
        <f>'19O_Seeds'!AO130</f>
        <v>18.92377713632408</v>
      </c>
      <c r="H215" s="108">
        <f>'19O_Seeds'!AP130</f>
        <v>10.251556351033793</v>
      </c>
      <c r="I215" s="107"/>
      <c r="J215" s="107"/>
      <c r="K215" s="107"/>
      <c r="L215" s="107"/>
      <c r="M215" s="107"/>
      <c r="N215" s="141"/>
      <c r="O215" s="107"/>
      <c r="P215" s="147" t="s">
        <v>368</v>
      </c>
      <c r="Q215" s="108">
        <f>'19O_Seeds'!AL135</f>
        <v>6.435673603970464E-2</v>
      </c>
      <c r="R215" s="108">
        <f>'19O_Seeds'!AM135</f>
        <v>0.5388674649084304</v>
      </c>
      <c r="S215" s="108">
        <f>'19O_Seeds'!AN135</f>
        <v>1.1363012248889859</v>
      </c>
      <c r="T215" s="108">
        <f>'19O_Seeds'!AO135</f>
        <v>0.65325122111997402</v>
      </c>
      <c r="U215" s="108">
        <f>'19O_Seeds'!AP135</f>
        <v>0.69754215115043694</v>
      </c>
      <c r="V215" s="107"/>
      <c r="W215" s="107"/>
      <c r="X215" s="107"/>
      <c r="Y215" s="107"/>
      <c r="Z215" s="107"/>
      <c r="AA215" s="107"/>
      <c r="AB215" s="107"/>
      <c r="AC215" s="147"/>
      <c r="AD215" s="108"/>
      <c r="AE215" s="108"/>
      <c r="AF215" s="108"/>
      <c r="AG215" s="108"/>
      <c r="AH215" s="108"/>
      <c r="AI215" s="107"/>
      <c r="AJ215" s="107"/>
      <c r="AK215" s="107"/>
      <c r="AL215" s="107"/>
      <c r="AM215" s="107"/>
      <c r="AN215" s="107"/>
    </row>
    <row r="216" spans="2:40" x14ac:dyDescent="0.3">
      <c r="B216" s="107"/>
      <c r="C216" s="128" t="s">
        <v>458</v>
      </c>
      <c r="D216" s="125">
        <f>1.96*D215</f>
        <v>7.2211252794240339</v>
      </c>
      <c r="E216" s="125">
        <f>1.96*E215</f>
        <v>16.149747494355783</v>
      </c>
      <c r="F216" s="125">
        <f>1.96*F215</f>
        <v>32.28383860471817</v>
      </c>
      <c r="G216" s="125">
        <f>1.96*G215</f>
        <v>37.0906031871952</v>
      </c>
      <c r="H216" s="125">
        <f>1.96*H215</f>
        <v>20.093050448026233</v>
      </c>
      <c r="I216" s="107"/>
      <c r="J216" s="107"/>
      <c r="K216" s="107"/>
      <c r="L216" s="107"/>
      <c r="M216" s="107"/>
      <c r="N216" s="107"/>
      <c r="O216" s="107"/>
      <c r="P216" s="128" t="s">
        <v>458</v>
      </c>
      <c r="Q216" s="125">
        <f>1.96*Q215</f>
        <v>0.12613920263782108</v>
      </c>
      <c r="R216" s="125">
        <f>1.96*R215</f>
        <v>1.0561802312205235</v>
      </c>
      <c r="S216" s="125">
        <f>1.96*S215</f>
        <v>2.2271504007824121</v>
      </c>
      <c r="T216" s="125">
        <f>1.96*T215</f>
        <v>1.280372393395149</v>
      </c>
      <c r="U216" s="125">
        <f>1.96*U215</f>
        <v>1.3671826162548564</v>
      </c>
      <c r="V216" s="107"/>
      <c r="W216" s="107"/>
      <c r="X216" s="107"/>
      <c r="Y216" s="107"/>
      <c r="Z216" s="107"/>
      <c r="AA216" s="107"/>
      <c r="AB216" s="107"/>
      <c r="AC216" s="128"/>
      <c r="AD216" s="125"/>
      <c r="AE216" s="125"/>
      <c r="AF216" s="125"/>
      <c r="AG216" s="125"/>
      <c r="AH216" s="125"/>
      <c r="AI216" s="107"/>
      <c r="AJ216" s="107"/>
      <c r="AK216" s="107"/>
      <c r="AL216" s="107"/>
      <c r="AM216" s="107"/>
      <c r="AN216" s="107"/>
    </row>
    <row r="217" spans="2:40" x14ac:dyDescent="0.3">
      <c r="B217" s="115" t="s">
        <v>375</v>
      </c>
      <c r="C217" s="107" t="s">
        <v>367</v>
      </c>
      <c r="D217" s="145">
        <f>D207/SUM(D207:H207)</f>
        <v>7.12626240432504E-3</v>
      </c>
      <c r="E217" s="145">
        <f>E207/SUM(D207:H207)</f>
        <v>5.1533160816891769E-3</v>
      </c>
      <c r="F217" s="145">
        <f>F207/SUM(D207:H207)</f>
        <v>0.19182097935182715</v>
      </c>
      <c r="G217" s="145">
        <f>G207/SUM(D207:H207)</f>
        <v>0.62188672643275766</v>
      </c>
      <c r="H217" s="145">
        <f>H207/SUM(D207:H207)</f>
        <v>0.1740127157294008</v>
      </c>
      <c r="I217" s="151">
        <f>SUM(D217:H217)</f>
        <v>0.99999999999999989</v>
      </c>
      <c r="J217" s="107"/>
      <c r="K217" s="107"/>
      <c r="L217" s="107"/>
      <c r="M217" s="107"/>
      <c r="N217" s="107"/>
      <c r="O217" s="115" t="s">
        <v>375</v>
      </c>
      <c r="P217" s="107" t="s">
        <v>367</v>
      </c>
      <c r="Q217" s="145">
        <f>Q207/SUM(Q207:U207)</f>
        <v>1.4091733077949175E-3</v>
      </c>
      <c r="R217" s="145">
        <f>R207/SUM(Q207:U207)</f>
        <v>1.0069432568320965E-2</v>
      </c>
      <c r="S217" s="145">
        <f>S207/SUM(Q207:U207)</f>
        <v>0.83868385949310809</v>
      </c>
      <c r="T217" s="145">
        <f>T207/SUM(Q207:U207)</f>
        <v>0.11643465471833636</v>
      </c>
      <c r="U217" s="145">
        <f>U207/SUM(Q207:U207)</f>
        <v>3.3402879912439717E-2</v>
      </c>
      <c r="V217" s="151">
        <f>SUM(Q217:U217)</f>
        <v>1</v>
      </c>
      <c r="W217" s="107"/>
      <c r="X217" s="107"/>
      <c r="Y217" s="107"/>
      <c r="Z217" s="107"/>
      <c r="AA217" s="107"/>
      <c r="AB217" s="115" t="s">
        <v>375</v>
      </c>
      <c r="AC217" s="107" t="s">
        <v>367</v>
      </c>
      <c r="AD217" s="145">
        <f>AD207/SUM(AD207:AH207)</f>
        <v>5.5789734688817261E-4</v>
      </c>
      <c r="AE217" s="145">
        <f>AE207/SUM(AD207:AH207)</f>
        <v>1.1870815769898339E-2</v>
      </c>
      <c r="AF217" s="145">
        <f>AF207/SUM(AD207:AH207)</f>
        <v>0.6375836846020333</v>
      </c>
      <c r="AG217" s="145">
        <f>AG207/SUM(AD207:AH207)</f>
        <v>0.34028638730473598</v>
      </c>
      <c r="AH217" s="145">
        <f>AH207/SUM(AD207:AH207)</f>
        <v>9.7012149764443348E-3</v>
      </c>
      <c r="AI217" s="151">
        <f>SUM(AD217:AH217)</f>
        <v>1.0000000000000002</v>
      </c>
      <c r="AJ217" s="107"/>
      <c r="AK217" s="107"/>
      <c r="AL217" s="107"/>
      <c r="AM217" s="107"/>
      <c r="AN217" s="107"/>
    </row>
    <row r="218" spans="2:40" x14ac:dyDescent="0.3">
      <c r="B218" s="147" t="s">
        <v>648</v>
      </c>
      <c r="C218" s="90" t="s">
        <v>447</v>
      </c>
      <c r="D218" s="108">
        <f>D211*D217</f>
        <v>0.11929363264840123</v>
      </c>
      <c r="E218" s="108">
        <f>E211*D217</f>
        <v>0.35296377688621922</v>
      </c>
      <c r="F218" s="108">
        <f>F211*D217</f>
        <v>1.7370264610542285</v>
      </c>
      <c r="G218" s="108">
        <f>G211*D217</f>
        <v>2.9714376347314073</v>
      </c>
      <c r="H218" s="108">
        <f>H211*D217</f>
        <v>1.6380426762581579</v>
      </c>
      <c r="I218" s="107"/>
      <c r="J218" s="107"/>
      <c r="K218" s="107"/>
      <c r="L218" s="107"/>
      <c r="M218" s="107"/>
      <c r="N218" s="107"/>
      <c r="O218" s="147" t="s">
        <v>648</v>
      </c>
      <c r="P218" s="90" t="s">
        <v>447</v>
      </c>
      <c r="Q218" s="108">
        <f>Q211*Q217</f>
        <v>1.268255977015427E-4</v>
      </c>
      <c r="R218" s="108">
        <f>R211*Q217</f>
        <v>5.5239593665560765E-3</v>
      </c>
      <c r="S218" s="108">
        <f>S211*Q217</f>
        <v>2.1884461470055031E-2</v>
      </c>
      <c r="T218" s="108">
        <f>T211*Q217</f>
        <v>8.891883572185932E-3</v>
      </c>
      <c r="U218" s="108">
        <f>U211*Q217</f>
        <v>9.723295823784929E-3</v>
      </c>
      <c r="V218" s="107"/>
      <c r="W218" s="107"/>
      <c r="X218" s="107"/>
      <c r="Y218" s="107"/>
      <c r="Z218" s="107"/>
      <c r="AA218" s="107"/>
      <c r="AB218" s="147" t="s">
        <v>648</v>
      </c>
      <c r="AC218" s="90" t="s">
        <v>447</v>
      </c>
      <c r="AD218" s="108">
        <f>AD211*AD217</f>
        <v>5.0210761219935531E-5</v>
      </c>
      <c r="AE218" s="108">
        <f>AE211*AD217</f>
        <v>5.5231837341929103E-4</v>
      </c>
      <c r="AF218" s="108">
        <f>AF211*AD217</f>
        <v>1.528638730473598E-3</v>
      </c>
      <c r="AG218" s="108">
        <f>AG211*AD217</f>
        <v>1.4840069427225452E-3</v>
      </c>
      <c r="AH218" s="108">
        <f>AH211*AD217</f>
        <v>1.6736920406645167E-4</v>
      </c>
      <c r="AI218" s="107"/>
      <c r="AJ218" s="107"/>
      <c r="AK218" s="107"/>
      <c r="AL218" s="107"/>
      <c r="AM218" s="107"/>
      <c r="AN218" s="107"/>
    </row>
    <row r="219" spans="2:40" x14ac:dyDescent="0.3">
      <c r="B219" s="107" t="s">
        <v>649</v>
      </c>
      <c r="C219" s="91" t="s">
        <v>446</v>
      </c>
      <c r="D219" s="108">
        <f>D211*E217</f>
        <v>8.6266511207476873E-2</v>
      </c>
      <c r="E219" s="108">
        <f>E211*E217</f>
        <v>0.25524374552606494</v>
      </c>
      <c r="F219" s="108">
        <f>F211*E217</f>
        <v>1.2561207949117368</v>
      </c>
      <c r="G219" s="108">
        <f>G211*E217</f>
        <v>2.1487782065819325</v>
      </c>
      <c r="H219" s="108">
        <f>H211*E217</f>
        <v>1.1845412345370772</v>
      </c>
      <c r="I219" s="107"/>
      <c r="J219" s="107"/>
      <c r="K219" s="107"/>
      <c r="L219" s="107"/>
      <c r="M219" s="107"/>
      <c r="N219" s="107"/>
      <c r="O219" s="107" t="s">
        <v>649</v>
      </c>
      <c r="P219" s="91" t="s">
        <v>446</v>
      </c>
      <c r="Q219" s="108">
        <f>Q211*R217</f>
        <v>9.0624893114888761E-4</v>
      </c>
      <c r="R219" s="108">
        <f>R211*R217</f>
        <v>3.9472175667818181E-2</v>
      </c>
      <c r="S219" s="108">
        <f>S211*R217</f>
        <v>0.15637828778602431</v>
      </c>
      <c r="T219" s="108">
        <f>T211*R217</f>
        <v>6.3538119506105314E-2</v>
      </c>
      <c r="U219" s="108">
        <f>U211*R217</f>
        <v>6.9479084721414647E-2</v>
      </c>
      <c r="V219" s="107"/>
      <c r="W219" s="107"/>
      <c r="X219" s="107"/>
      <c r="Y219" s="107"/>
      <c r="Z219" s="107"/>
      <c r="AA219" s="107"/>
      <c r="AB219" s="107" t="s">
        <v>649</v>
      </c>
      <c r="AC219" s="91" t="s">
        <v>446</v>
      </c>
      <c r="AD219" s="108">
        <f>AD211*AE217</f>
        <v>1.0683734192908506E-3</v>
      </c>
      <c r="AE219" s="108">
        <f>AE211*AE217</f>
        <v>1.1752107612199358E-2</v>
      </c>
      <c r="AF219" s="108">
        <f>AF211*AE217</f>
        <v>3.2526035209521555E-2</v>
      </c>
      <c r="AG219" s="108">
        <f>AG211*AE217</f>
        <v>3.1576369947929714E-2</v>
      </c>
      <c r="AH219" s="108">
        <f>AH211*AE217</f>
        <v>3.5612447309694996E-3</v>
      </c>
      <c r="AI219" s="107"/>
      <c r="AJ219" s="107"/>
      <c r="AK219" s="107"/>
      <c r="AL219" s="107"/>
      <c r="AM219" s="107"/>
      <c r="AN219" s="107"/>
    </row>
    <row r="220" spans="2:40" x14ac:dyDescent="0.3">
      <c r="B220" s="107"/>
      <c r="C220" s="92" t="s">
        <v>448</v>
      </c>
      <c r="D220" s="108">
        <f>D211*F217</f>
        <v>3.2110831943495883</v>
      </c>
      <c r="E220" s="108">
        <f>E211*F217</f>
        <v>9.5008931072959992</v>
      </c>
      <c r="F220" s="108">
        <f>F211*F217</f>
        <v>46.756363717007872</v>
      </c>
      <c r="G220" s="108">
        <f>G211*F217</f>
        <v>79.983593760331246</v>
      </c>
      <c r="H220" s="108">
        <f>H211*F217</f>
        <v>44.091970313811103</v>
      </c>
      <c r="I220" s="107"/>
      <c r="J220" s="107"/>
      <c r="K220" s="107"/>
      <c r="L220" s="107"/>
      <c r="M220" s="107"/>
      <c r="N220" s="107"/>
      <c r="O220" s="107"/>
      <c r="P220" s="92" t="s">
        <v>448</v>
      </c>
      <c r="Q220" s="108">
        <f>Q211*S217</f>
        <v>7.5481547354379799E-2</v>
      </c>
      <c r="R220" s="108">
        <f>R211*S217</f>
        <v>3.2876407292129834</v>
      </c>
      <c r="S220" s="108">
        <f>S211*S217</f>
        <v>13.024760337927946</v>
      </c>
      <c r="T220" s="108">
        <f>T211*S217</f>
        <v>5.2920951534015135</v>
      </c>
      <c r="U220" s="108">
        <f>U211*S217</f>
        <v>5.7869186305024449</v>
      </c>
      <c r="V220" s="107"/>
      <c r="W220" s="107"/>
      <c r="X220" s="107"/>
      <c r="Y220" s="107"/>
      <c r="Z220" s="107"/>
      <c r="AA220" s="107"/>
      <c r="AB220" s="107"/>
      <c r="AC220" s="92" t="s">
        <v>448</v>
      </c>
      <c r="AD220" s="108">
        <f>AD211*AF217</f>
        <v>5.7382531614182997E-2</v>
      </c>
      <c r="AE220" s="108">
        <f>AE211*AF217</f>
        <v>0.63120784775601313</v>
      </c>
      <c r="AF220" s="108">
        <f>AF211*AF217</f>
        <v>1.7469792958095771</v>
      </c>
      <c r="AG220" s="108">
        <f>AG211*AF217</f>
        <v>1.6959726010414156</v>
      </c>
      <c r="AH220" s="108">
        <f>AH211*AF217</f>
        <v>0.19127510538060988</v>
      </c>
      <c r="AI220" s="107"/>
      <c r="AJ220" s="107"/>
      <c r="AK220" s="107"/>
      <c r="AL220" s="107"/>
      <c r="AM220" s="107"/>
      <c r="AN220" s="107"/>
    </row>
    <row r="221" spans="2:40" x14ac:dyDescent="0.3">
      <c r="B221" s="107"/>
      <c r="C221" s="124" t="s">
        <v>449</v>
      </c>
      <c r="D221" s="108">
        <f>D211*G217</f>
        <v>10.410383800484368</v>
      </c>
      <c r="E221" s="108">
        <f>E211*G217</f>
        <v>30.802049560214488</v>
      </c>
      <c r="F221" s="108">
        <f>F211*G217</f>
        <v>151.58488956798467</v>
      </c>
      <c r="G221" s="108">
        <f>G211*G217</f>
        <v>259.30810832066658</v>
      </c>
      <c r="H221" s="108">
        <f>H211*G217</f>
        <v>142.94688293783403</v>
      </c>
      <c r="I221" s="107"/>
      <c r="J221" s="107"/>
      <c r="K221" s="107"/>
      <c r="L221" s="107"/>
      <c r="M221" s="107"/>
      <c r="N221" s="107"/>
      <c r="O221" s="107"/>
      <c r="P221" s="124" t="s">
        <v>449</v>
      </c>
      <c r="Q221" s="108">
        <f>Q211*T217</f>
        <v>1.0479118924650282E-2</v>
      </c>
      <c r="R221" s="108">
        <f>R211*T217</f>
        <v>0.45642384649587853</v>
      </c>
      <c r="S221" s="108">
        <f>S211*T217</f>
        <v>1.8082301877757605</v>
      </c>
      <c r="T221" s="108">
        <f>T211*T217</f>
        <v>0.73470267127270272</v>
      </c>
      <c r="U221" s="108">
        <f>U211*T217</f>
        <v>0.80339911755652071</v>
      </c>
      <c r="V221" s="107"/>
      <c r="W221" s="107"/>
      <c r="X221" s="107"/>
      <c r="Y221" s="107"/>
      <c r="Z221" s="107"/>
      <c r="AA221" s="107"/>
      <c r="AB221" s="107"/>
      <c r="AC221" s="124" t="s">
        <v>449</v>
      </c>
      <c r="AD221" s="108">
        <f>AD211*AG217</f>
        <v>3.0625774857426236E-2</v>
      </c>
      <c r="AE221" s="108">
        <f>AE211*AG217</f>
        <v>0.3368835234316887</v>
      </c>
      <c r="AF221" s="108">
        <f>AF211*AG217</f>
        <v>0.93238470121497974</v>
      </c>
      <c r="AG221" s="108">
        <f>AG211*AG217</f>
        <v>0.90516179023060139</v>
      </c>
      <c r="AH221" s="108">
        <f>AH211*AG217</f>
        <v>0.10208591619142074</v>
      </c>
      <c r="AI221" s="107"/>
      <c r="AJ221" s="107"/>
      <c r="AK221" s="107"/>
      <c r="AL221" s="107"/>
      <c r="AM221" s="107"/>
      <c r="AN221" s="107"/>
    </row>
    <row r="222" spans="2:40" x14ac:dyDescent="0.3">
      <c r="B222" s="107"/>
      <c r="C222" s="123" t="s">
        <v>450</v>
      </c>
      <c r="D222" s="125">
        <f>D211*H217</f>
        <v>2.9129728613101711</v>
      </c>
      <c r="E222" s="125">
        <f>E211*H217</f>
        <v>8.6188498100772222</v>
      </c>
      <c r="F222" s="125">
        <f>F211*H217</f>
        <v>42.415599459041445</v>
      </c>
      <c r="G222" s="125">
        <f>G211*H217</f>
        <v>72.558082077688141</v>
      </c>
      <c r="H222" s="125">
        <f>H211*H217</f>
        <v>39.998562837560172</v>
      </c>
      <c r="I222" s="107"/>
      <c r="J222" s="107"/>
      <c r="K222" s="107"/>
      <c r="L222" s="107"/>
      <c r="M222" s="107"/>
      <c r="N222" s="107"/>
      <c r="O222" s="107"/>
      <c r="P222" s="123" t="s">
        <v>450</v>
      </c>
      <c r="Q222" s="125">
        <f>Q211*U217</f>
        <v>3.006259192119577E-3</v>
      </c>
      <c r="R222" s="125">
        <f>R211*U217</f>
        <v>0.13093928925676368</v>
      </c>
      <c r="S222" s="125">
        <f>S211*U217</f>
        <v>0.51874672504018793</v>
      </c>
      <c r="T222" s="125">
        <f>T211*U217</f>
        <v>0.2107721722474947</v>
      </c>
      <c r="U222" s="125">
        <f>U211*U217</f>
        <v>0.23047987139583401</v>
      </c>
      <c r="V222" s="107"/>
      <c r="W222" s="107"/>
      <c r="X222" s="107"/>
      <c r="Y222" s="107"/>
      <c r="Z222" s="107"/>
      <c r="AA222" s="107"/>
      <c r="AB222" s="107"/>
      <c r="AC222" s="123" t="s">
        <v>450</v>
      </c>
      <c r="AD222" s="125">
        <f>AD211*AH217</f>
        <v>8.7310934787999007E-4</v>
      </c>
      <c r="AE222" s="125">
        <f>AE211*AH217</f>
        <v>9.6042028266798939E-3</v>
      </c>
      <c r="AF222" s="125">
        <f>AF211*AH217</f>
        <v>2.6581329035457565E-2</v>
      </c>
      <c r="AG222" s="125">
        <f>AG211*AH217</f>
        <v>2.5805231837342034E-2</v>
      </c>
      <c r="AH222" s="125">
        <f>AH211*AH217</f>
        <v>2.9103644929332987E-3</v>
      </c>
      <c r="AI222" s="107"/>
      <c r="AJ222" s="107"/>
      <c r="AK222" s="107"/>
      <c r="AL222" s="107"/>
      <c r="AM222" s="107"/>
      <c r="AN222" s="107"/>
    </row>
    <row r="223" spans="2:40" x14ac:dyDescent="0.3">
      <c r="B223" s="107"/>
      <c r="C223" s="107" t="s">
        <v>36</v>
      </c>
      <c r="D223" s="108">
        <f>SUM(D218:D222)</f>
        <v>16.740000000000006</v>
      </c>
      <c r="E223" s="108">
        <f>SUM(E218:E222)</f>
        <v>49.529999999999994</v>
      </c>
      <c r="F223" s="108">
        <f>SUM(F218:F222)</f>
        <v>243.74999999999994</v>
      </c>
      <c r="G223" s="108">
        <f t="shared" ref="G223:H223" si="134">SUM(G218:G222)</f>
        <v>416.96999999999929</v>
      </c>
      <c r="H223" s="108">
        <f t="shared" si="134"/>
        <v>229.86000000000055</v>
      </c>
      <c r="I223" s="107"/>
      <c r="J223" s="107"/>
      <c r="K223" s="107"/>
      <c r="L223" s="107"/>
      <c r="M223" s="107"/>
      <c r="N223" s="107"/>
      <c r="O223" s="107"/>
      <c r="P223" s="107" t="s">
        <v>36</v>
      </c>
      <c r="Q223" s="108">
        <f>SUM(Q218:Q222)</f>
        <v>9.0000000000000094E-2</v>
      </c>
      <c r="R223" s="108">
        <f>SUM(R218:R222)</f>
        <v>3.9199999999999995</v>
      </c>
      <c r="S223" s="108">
        <f>SUM(S218:S222)</f>
        <v>15.529999999999974</v>
      </c>
      <c r="T223" s="108">
        <f t="shared" ref="T223:U223" si="135">SUM(T218:T222)</f>
        <v>6.3100000000000023</v>
      </c>
      <c r="U223" s="108">
        <f t="shared" si="135"/>
        <v>6.8999999999999986</v>
      </c>
      <c r="V223" s="107"/>
      <c r="W223" s="107"/>
      <c r="X223" s="107"/>
      <c r="Y223" s="107"/>
      <c r="Z223" s="107"/>
      <c r="AA223" s="107"/>
      <c r="AB223" s="107"/>
      <c r="AC223" s="107" t="s">
        <v>36</v>
      </c>
      <c r="AD223" s="108">
        <f>SUM(AD218:AD222)</f>
        <v>0.09</v>
      </c>
      <c r="AE223" s="108">
        <f>SUM(AE218:AE222)</f>
        <v>0.99000000000000032</v>
      </c>
      <c r="AF223" s="108">
        <f>SUM(AF218:AF222)</f>
        <v>2.74000000000001</v>
      </c>
      <c r="AG223" s="108">
        <f t="shared" ref="AG223:AH223" si="136">SUM(AG218:AG222)</f>
        <v>2.6600000000000112</v>
      </c>
      <c r="AH223" s="108">
        <f t="shared" si="136"/>
        <v>0.29999999999999988</v>
      </c>
      <c r="AI223" s="107"/>
      <c r="AJ223" s="107"/>
      <c r="AK223" s="107"/>
      <c r="AL223" s="107"/>
      <c r="AM223" s="107"/>
      <c r="AN223" s="107"/>
    </row>
    <row r="224" spans="2:40" x14ac:dyDescent="0.3">
      <c r="B224" s="107" t="s">
        <v>650</v>
      </c>
      <c r="C224" s="211" t="s">
        <v>451</v>
      </c>
      <c r="D224" s="125">
        <f>I209*D217</f>
        <v>2.8973957683504614</v>
      </c>
      <c r="E224" s="125">
        <f>I209*E217</f>
        <v>2.0952352524931759</v>
      </c>
      <c r="F224" s="125">
        <f>I209*F217</f>
        <v>77.990573784865518</v>
      </c>
      <c r="G224" s="125">
        <f>I209*G217</f>
        <v>252.84670523302944</v>
      </c>
      <c r="H224" s="125">
        <f>I209*H217</f>
        <v>70.750089961259448</v>
      </c>
      <c r="I224" s="226">
        <f>SUM(D224:H224)</f>
        <v>406.57999999999805</v>
      </c>
      <c r="J224" s="107"/>
      <c r="K224" s="140"/>
      <c r="L224" s="140"/>
      <c r="M224" s="107"/>
      <c r="N224" s="107"/>
      <c r="O224" s="107" t="s">
        <v>650</v>
      </c>
      <c r="P224" s="211" t="s">
        <v>451</v>
      </c>
      <c r="Q224" s="125">
        <f>V209*Q217</f>
        <v>9.7373875568629951E-3</v>
      </c>
      <c r="R224" s="125">
        <f>V209*R217</f>
        <v>6.9579779047098694E-2</v>
      </c>
      <c r="S224" s="125">
        <f>V209*S217</f>
        <v>5.7953054690974453</v>
      </c>
      <c r="T224" s="125">
        <f>V209*T217</f>
        <v>0.80456346410371382</v>
      </c>
      <c r="U224" s="125">
        <f>V209*U217</f>
        <v>0.23081390019496117</v>
      </c>
      <c r="V224" s="226">
        <f>SUM(Q224:U224)</f>
        <v>6.9100000000000819</v>
      </c>
      <c r="W224" s="107"/>
      <c r="X224" s="140"/>
      <c r="Y224" s="140"/>
      <c r="Z224" s="107"/>
      <c r="AA224" s="107"/>
      <c r="AB224" s="107" t="s">
        <v>650</v>
      </c>
      <c r="AC224" s="211" t="s">
        <v>451</v>
      </c>
      <c r="AD224" s="125">
        <f>AI209*AD217</f>
        <v>5.3072774609471858E-2</v>
      </c>
      <c r="AE224" s="125">
        <f>AI209*AE217</f>
        <v>1.1292707041904291</v>
      </c>
      <c r="AF224" s="125">
        <f>AI209*AF217</f>
        <v>60.653335916191423</v>
      </c>
      <c r="AG224" s="125">
        <f>AI209*AG217</f>
        <v>32.371444024299535</v>
      </c>
      <c r="AH224" s="125">
        <f>AI209*AH217</f>
        <v>0.92287658070914957</v>
      </c>
      <c r="AI224" s="226">
        <f>SUM(AD224:AH224)</f>
        <v>95.13000000000001</v>
      </c>
      <c r="AJ224" s="107"/>
      <c r="AK224" s="140"/>
      <c r="AL224" s="140"/>
      <c r="AM224" s="107"/>
      <c r="AN224" s="107"/>
    </row>
    <row r="225" spans="2:40" x14ac:dyDescent="0.3">
      <c r="B225" s="107" t="s">
        <v>651</v>
      </c>
      <c r="C225" s="107" t="s">
        <v>652</v>
      </c>
      <c r="D225" s="108">
        <f>SUM(D218:H218)+D224</f>
        <v>9.7161599499288762</v>
      </c>
      <c r="E225" s="108">
        <f>SUM(D219:H219)+E224</f>
        <v>7.0261857452574645</v>
      </c>
      <c r="F225" s="108">
        <f>SUM(D220:H220)+F224</f>
        <v>261.53447787766129</v>
      </c>
      <c r="G225" s="108">
        <f>SUM(D221:H221)+G224</f>
        <v>847.89901942021356</v>
      </c>
      <c r="H225" s="108">
        <f>SUM(D222:H222)+H224</f>
        <v>237.25415700693659</v>
      </c>
      <c r="I225" s="107"/>
      <c r="J225" s="107"/>
      <c r="K225" s="108">
        <f>D225+E225+G225+H225</f>
        <v>1101.8955221223366</v>
      </c>
      <c r="L225" s="108">
        <f>F225</f>
        <v>261.53447787766129</v>
      </c>
      <c r="M225" s="107"/>
      <c r="N225" s="107"/>
      <c r="O225" s="107" t="s">
        <v>651</v>
      </c>
      <c r="P225" s="107" t="s">
        <v>652</v>
      </c>
      <c r="Q225" s="108">
        <f>SUM(Q218:U218)+Q224</f>
        <v>5.5887813387146504E-2</v>
      </c>
      <c r="R225" s="108">
        <f>SUM(Q219:U219)+R224</f>
        <v>0.39935369565960999</v>
      </c>
      <c r="S225" s="108">
        <f>SUM(Q220:U220)+S224</f>
        <v>33.262201867496714</v>
      </c>
      <c r="T225" s="108">
        <f>SUM(Q221:U221)+T224</f>
        <v>4.6177984061292268</v>
      </c>
      <c r="U225" s="108">
        <f>SUM(Q222:U222)+U224</f>
        <v>1.3247582173273611</v>
      </c>
      <c r="V225" s="107"/>
      <c r="W225" s="107"/>
      <c r="X225" s="108">
        <f>Q225+R225+T225+U225</f>
        <v>6.3977981325033451</v>
      </c>
      <c r="Y225" s="108">
        <f>S225</f>
        <v>33.262201867496714</v>
      </c>
      <c r="Z225" s="107"/>
      <c r="AA225" s="107"/>
      <c r="AB225" s="107" t="s">
        <v>651</v>
      </c>
      <c r="AC225" s="107" t="s">
        <v>652</v>
      </c>
      <c r="AD225" s="108">
        <f>SUM(AD218:AH218)+AD224</f>
        <v>5.6855318621373677E-2</v>
      </c>
      <c r="AE225" s="108">
        <f>SUM(AD219:AH219)+AE224</f>
        <v>1.20975483511034</v>
      </c>
      <c r="AF225" s="108">
        <f>SUM(AD220:AH220)+AF224</f>
        <v>64.976153297793218</v>
      </c>
      <c r="AG225" s="108">
        <f>SUM(AD221:AH221)+AG224</f>
        <v>34.678585730225649</v>
      </c>
      <c r="AH225" s="108">
        <f>SUM(AD222:AH222)+AH224</f>
        <v>0.98865081824944234</v>
      </c>
      <c r="AI225" s="107"/>
      <c r="AJ225" s="107"/>
      <c r="AK225" s="108">
        <f>AD225+AE225+AG225+AH225</f>
        <v>36.9338467022068</v>
      </c>
      <c r="AL225" s="108">
        <f>AF225</f>
        <v>64.976153297793218</v>
      </c>
      <c r="AM225" s="107"/>
      <c r="AN225" s="107"/>
    </row>
    <row r="226" spans="2:40" x14ac:dyDescent="0.3">
      <c r="B226" s="107" t="s">
        <v>651</v>
      </c>
      <c r="C226" s="107" t="s">
        <v>653</v>
      </c>
      <c r="D226" s="145">
        <f>D225/$N$2</f>
        <v>3.9247776594834275E-4</v>
      </c>
      <c r="E226" s="145">
        <f t="shared" ref="E226:H226" si="137">E225/$N$2</f>
        <v>2.8381806172889606E-4</v>
      </c>
      <c r="F226" s="145">
        <f t="shared" si="137"/>
        <v>1.0564509860363318E-2</v>
      </c>
      <c r="G226" s="145">
        <f t="shared" si="137"/>
        <v>3.4250312325732342E-2</v>
      </c>
      <c r="H226" s="145">
        <f t="shared" si="137"/>
        <v>9.583722580104443E-3</v>
      </c>
      <c r="I226" s="107"/>
      <c r="J226" s="107"/>
      <c r="K226" s="151">
        <f>K225/$N$2</f>
        <v>4.4510330733514028E-2</v>
      </c>
      <c r="L226" s="146">
        <f>L225/$N$2</f>
        <v>1.0564509860363318E-2</v>
      </c>
      <c r="M226" s="107"/>
      <c r="N226" s="107"/>
      <c r="O226" s="107" t="s">
        <v>651</v>
      </c>
      <c r="P226" s="107" t="s">
        <v>653</v>
      </c>
      <c r="Q226" s="145">
        <f>Q225/$N$3</f>
        <v>3.805101812899759E-5</v>
      </c>
      <c r="R226" s="145">
        <f t="shared" ref="R226:U226" si="138">R225/$N$3</f>
        <v>2.7189853731011873E-4</v>
      </c>
      <c r="S226" s="145">
        <f t="shared" si="138"/>
        <v>2.2646451338201416E-2</v>
      </c>
      <c r="T226" s="145">
        <f t="shared" si="138"/>
        <v>3.1440115513284858E-3</v>
      </c>
      <c r="U226" s="145">
        <f t="shared" si="138"/>
        <v>9.0195690060143325E-4</v>
      </c>
      <c r="V226" s="107"/>
      <c r="W226" s="107"/>
      <c r="X226" s="151">
        <f>X225/$N$3</f>
        <v>4.3559180073690362E-3</v>
      </c>
      <c r="Y226" s="151">
        <f>Y225/$N$3</f>
        <v>2.2646451338201416E-2</v>
      </c>
      <c r="Z226" s="107"/>
      <c r="AA226" s="107"/>
      <c r="AB226" s="107" t="s">
        <v>651</v>
      </c>
      <c r="AC226" s="107" t="s">
        <v>653</v>
      </c>
      <c r="AD226" s="145">
        <f>AD225/$N$4</f>
        <v>1.3609239203718238E-4</v>
      </c>
      <c r="AE226" s="145">
        <f t="shared" ref="AE226:AH226" si="139">AE225/$N$4</f>
        <v>2.8957436750133808E-3</v>
      </c>
      <c r="AF226" s="145">
        <f t="shared" si="139"/>
        <v>0.15553092203315994</v>
      </c>
      <c r="AG226" s="145">
        <f t="shared" si="139"/>
        <v>8.3008798454234742E-2</v>
      </c>
      <c r="AH226" s="145">
        <f t="shared" si="139"/>
        <v>2.3664954837576712E-3</v>
      </c>
      <c r="AI226" s="107"/>
      <c r="AJ226" s="107"/>
      <c r="AK226" s="151">
        <f>AK225/$N$4</f>
        <v>8.8407130005042966E-2</v>
      </c>
      <c r="AL226" s="151">
        <f>AL225/$N$4</f>
        <v>0.15553092203315994</v>
      </c>
      <c r="AM226" s="107"/>
      <c r="AN226" s="107"/>
    </row>
    <row r="227" spans="2:40" x14ac:dyDescent="0.3">
      <c r="J227">
        <f>181156.627*30*30/10000</f>
        <v>16304.096430000001</v>
      </c>
    </row>
    <row r="228" spans="2:40" x14ac:dyDescent="0.3">
      <c r="J228">
        <f>177369.69*30*30/10000</f>
        <v>15963.2721</v>
      </c>
    </row>
    <row r="229" spans="2:40" x14ac:dyDescent="0.3">
      <c r="D229" t="s">
        <v>436</v>
      </c>
      <c r="E229" t="s">
        <v>437</v>
      </c>
      <c r="F229" t="s">
        <v>438</v>
      </c>
      <c r="G229" t="s">
        <v>439</v>
      </c>
      <c r="H229" t="s">
        <v>440</v>
      </c>
      <c r="Q229" t="s">
        <v>436</v>
      </c>
      <c r="R229" t="s">
        <v>437</v>
      </c>
      <c r="S229" t="s">
        <v>438</v>
      </c>
      <c r="T229" t="s">
        <v>439</v>
      </c>
      <c r="U229" t="s">
        <v>440</v>
      </c>
      <c r="AD229" t="s">
        <v>436</v>
      </c>
      <c r="AE229" t="s">
        <v>437</v>
      </c>
      <c r="AF229" t="s">
        <v>438</v>
      </c>
      <c r="AG229" t="s">
        <v>439</v>
      </c>
      <c r="AH229" t="s">
        <v>440</v>
      </c>
    </row>
    <row r="230" spans="2:40" x14ac:dyDescent="0.3">
      <c r="B230" s="118" t="s">
        <v>352</v>
      </c>
      <c r="C230" s="8">
        <v>20</v>
      </c>
      <c r="D230" s="90" t="s">
        <v>447</v>
      </c>
      <c r="E230" s="91" t="s">
        <v>446</v>
      </c>
      <c r="F230" s="92" t="s">
        <v>448</v>
      </c>
      <c r="G230" s="124" t="s">
        <v>449</v>
      </c>
      <c r="H230" s="123" t="s">
        <v>450</v>
      </c>
      <c r="I230" s="211" t="s">
        <v>451</v>
      </c>
      <c r="J230" s="212" t="s">
        <v>514</v>
      </c>
      <c r="K230" s="213" t="s">
        <v>515</v>
      </c>
      <c r="L230" s="214" t="s">
        <v>448</v>
      </c>
      <c r="Q230" s="90" t="s">
        <v>447</v>
      </c>
      <c r="R230" s="91" t="s">
        <v>446</v>
      </c>
      <c r="S230" s="92" t="s">
        <v>448</v>
      </c>
      <c r="T230" s="124" t="s">
        <v>449</v>
      </c>
      <c r="U230" s="123" t="s">
        <v>450</v>
      </c>
      <c r="V230" s="211" t="s">
        <v>451</v>
      </c>
      <c r="W230" s="212" t="s">
        <v>514</v>
      </c>
      <c r="X230" s="213" t="s">
        <v>515</v>
      </c>
      <c r="Y230" s="214" t="s">
        <v>448</v>
      </c>
      <c r="AD230" s="90" t="s">
        <v>447</v>
      </c>
      <c r="AE230" s="91" t="s">
        <v>446</v>
      </c>
      <c r="AF230" s="92" t="s">
        <v>448</v>
      </c>
      <c r="AG230" s="124" t="s">
        <v>449</v>
      </c>
      <c r="AH230" s="123" t="s">
        <v>450</v>
      </c>
      <c r="AI230" s="211" t="s">
        <v>451</v>
      </c>
      <c r="AJ230" s="212" t="s">
        <v>514</v>
      </c>
      <c r="AK230" s="213" t="s">
        <v>515</v>
      </c>
      <c r="AL230" s="214" t="s">
        <v>448</v>
      </c>
    </row>
    <row r="231" spans="2:40" x14ac:dyDescent="0.3">
      <c r="B231" s="119" t="s">
        <v>673</v>
      </c>
      <c r="C231" s="107"/>
      <c r="D231" s="116"/>
      <c r="E231" s="116"/>
      <c r="F231" s="116"/>
      <c r="G231" s="116"/>
      <c r="H231" s="116"/>
      <c r="I231" s="107"/>
      <c r="J231" s="107"/>
      <c r="K231" s="107"/>
      <c r="L231" s="107"/>
      <c r="M231" s="107"/>
      <c r="N231" s="141"/>
      <c r="O231" s="119" t="s">
        <v>710</v>
      </c>
      <c r="P231" s="107"/>
      <c r="Q231" s="116"/>
      <c r="R231" s="116"/>
      <c r="S231" s="116"/>
      <c r="T231" s="116"/>
      <c r="U231" s="116"/>
      <c r="V231" s="107"/>
      <c r="W231" s="107"/>
      <c r="X231" s="107"/>
      <c r="Y231" s="107"/>
      <c r="Z231" s="107"/>
      <c r="AA231" s="141"/>
      <c r="AB231" s="119" t="s">
        <v>778</v>
      </c>
      <c r="AC231" s="107"/>
      <c r="AD231" s="116"/>
      <c r="AE231" s="116"/>
      <c r="AF231" s="116"/>
      <c r="AG231" s="116"/>
      <c r="AH231" s="116"/>
      <c r="AI231" s="107"/>
      <c r="AJ231" s="107"/>
      <c r="AK231" s="107"/>
      <c r="AL231" s="107"/>
      <c r="AM231" s="107"/>
      <c r="AN231" s="107"/>
    </row>
    <row r="232" spans="2:40" x14ac:dyDescent="0.3">
      <c r="B232" s="115" t="s">
        <v>375</v>
      </c>
      <c r="C232" s="122" t="s">
        <v>9</v>
      </c>
      <c r="D232" s="135">
        <f>'19M_Seeds'!AL127</f>
        <v>185.14</v>
      </c>
      <c r="E232" s="135">
        <f>'19M_Seeds'!AM127</f>
        <v>124.18</v>
      </c>
      <c r="F232" s="135">
        <f>'19M_Seeds'!AN127</f>
        <v>4084.66</v>
      </c>
      <c r="G232" s="135">
        <f>'19M_Seeds'!AO127</f>
        <v>15998.6</v>
      </c>
      <c r="H232" s="135">
        <f>'19M_Seeds'!AP127</f>
        <v>4255.21</v>
      </c>
      <c r="I232" s="108">
        <f>$N$2-N232</f>
        <v>108.15999999999985</v>
      </c>
      <c r="J232" s="108"/>
      <c r="K232" s="108">
        <f>D232+E232+G232+H232</f>
        <v>20563.13</v>
      </c>
      <c r="L232" s="108">
        <f>F232</f>
        <v>4084.66</v>
      </c>
      <c r="M232" s="115" t="s">
        <v>36</v>
      </c>
      <c r="N232" s="136">
        <f>SUM(D232:H232)</f>
        <v>24647.79</v>
      </c>
      <c r="O232" s="115" t="s">
        <v>375</v>
      </c>
      <c r="P232" s="122" t="s">
        <v>9</v>
      </c>
      <c r="Q232" s="135">
        <f>'19M_Seeds'!AL132</f>
        <v>0</v>
      </c>
      <c r="R232" s="135">
        <f>'19M_Seeds'!AM132</f>
        <v>12.41</v>
      </c>
      <c r="S232" s="135">
        <f>'19M_Seeds'!AN132</f>
        <v>1132.43</v>
      </c>
      <c r="T232" s="135">
        <f>'19M_Seeds'!AO132</f>
        <v>292.58</v>
      </c>
      <c r="U232" s="135">
        <f>'19M_Seeds'!AP132</f>
        <v>24.89</v>
      </c>
      <c r="V232" s="108">
        <f>$N$3-AA232</f>
        <v>6.4499999999998181</v>
      </c>
      <c r="W232" s="108"/>
      <c r="X232" s="108">
        <f>Q232+R232+T232+U232</f>
        <v>329.88</v>
      </c>
      <c r="Y232" s="108">
        <f>S232</f>
        <v>1132.43</v>
      </c>
      <c r="Z232" s="115" t="s">
        <v>36</v>
      </c>
      <c r="AA232" s="136">
        <f>SUM(Q232:U232)</f>
        <v>1462.3100000000002</v>
      </c>
      <c r="AB232" s="115" t="s">
        <v>375</v>
      </c>
      <c r="AC232" s="122" t="s">
        <v>9</v>
      </c>
      <c r="AD232" s="135">
        <v>0</v>
      </c>
      <c r="AE232" s="135">
        <v>2.13</v>
      </c>
      <c r="AF232" s="135">
        <v>286.95999999999998</v>
      </c>
      <c r="AG232" s="135">
        <v>123.75</v>
      </c>
      <c r="AH232" s="135">
        <v>3.06</v>
      </c>
      <c r="AI232" s="108">
        <f>$N$4-AN232</f>
        <v>1.8700000000000045</v>
      </c>
      <c r="AJ232" s="108"/>
      <c r="AK232" s="108">
        <f>AD232+AE232+AG232+AH232</f>
        <v>128.94</v>
      </c>
      <c r="AL232" s="108">
        <f>AF232</f>
        <v>286.95999999999998</v>
      </c>
      <c r="AM232" s="115" t="s">
        <v>36</v>
      </c>
      <c r="AN232" s="136">
        <f>SUM(AD232:AH232)</f>
        <v>415.9</v>
      </c>
    </row>
    <row r="233" spans="2:40" x14ac:dyDescent="0.3">
      <c r="B233" s="107"/>
      <c r="C233" s="140" t="s">
        <v>456</v>
      </c>
      <c r="D233" s="150">
        <f t="shared" ref="D233:I233" si="140">D232/$N$2</f>
        <v>7.4786061532682033E-3</v>
      </c>
      <c r="E233" s="150">
        <f t="shared" si="140"/>
        <v>5.0161678303599746E-3</v>
      </c>
      <c r="F233" s="150">
        <f t="shared" si="140"/>
        <v>0.16499710170686238</v>
      </c>
      <c r="G233" s="150">
        <f t="shared" si="140"/>
        <v>0.64625271904330073</v>
      </c>
      <c r="H233" s="150">
        <f t="shared" si="140"/>
        <v>0.17188635459354215</v>
      </c>
      <c r="I233" s="150">
        <f t="shared" si="140"/>
        <v>4.369050672666565E-3</v>
      </c>
      <c r="J233" s="150"/>
      <c r="K233" s="150">
        <f>K232/$N$2</f>
        <v>0.8306338476204711</v>
      </c>
      <c r="L233" s="150">
        <f>L232/$N$2</f>
        <v>0.16499710170686238</v>
      </c>
      <c r="M233" s="144">
        <f>SUM(D233:I233)</f>
        <v>1</v>
      </c>
      <c r="N233" s="141"/>
      <c r="O233" s="107"/>
      <c r="P233" s="140" t="s">
        <v>455</v>
      </c>
      <c r="Q233" s="150">
        <f t="shared" ref="Q233:V233" si="141">Q232/$N$3</f>
        <v>0</v>
      </c>
      <c r="R233" s="150">
        <f t="shared" si="141"/>
        <v>8.4493041749502985E-3</v>
      </c>
      <c r="S233" s="150">
        <f t="shared" si="141"/>
        <v>0.77101092077670963</v>
      </c>
      <c r="T233" s="150">
        <f t="shared" si="141"/>
        <v>0.19920204798605626</v>
      </c>
      <c r="U233" s="150">
        <f t="shared" si="141"/>
        <v>1.6946267599880171E-2</v>
      </c>
      <c r="V233" s="150">
        <f t="shared" si="141"/>
        <v>4.3914594624035368E-3</v>
      </c>
      <c r="W233" s="150"/>
      <c r="X233" s="150">
        <f>X232/$N$3</f>
        <v>0.22459761976088674</v>
      </c>
      <c r="Y233" s="150">
        <f>Y232/$N$3</f>
        <v>0.77101092077670963</v>
      </c>
      <c r="Z233" s="144">
        <f>SUM(Q233:V233)</f>
        <v>0.99999999999999978</v>
      </c>
      <c r="AA233" s="141"/>
      <c r="AB233" s="107"/>
      <c r="AC233" s="140" t="s">
        <v>455</v>
      </c>
      <c r="AD233" s="150">
        <f>AD232/$N$4</f>
        <v>0</v>
      </c>
      <c r="AE233" s="150">
        <f t="shared" ref="AE233:AI233" si="142">AE232/$N$4</f>
        <v>5.0984991741867538E-3</v>
      </c>
      <c r="AF233" s="150">
        <f t="shared" si="142"/>
        <v>0.68688512818057779</v>
      </c>
      <c r="AG233" s="150">
        <f t="shared" si="142"/>
        <v>0.29621562103549803</v>
      </c>
      <c r="AH233" s="150">
        <f t="shared" si="142"/>
        <v>7.3246044474232237E-3</v>
      </c>
      <c r="AI233" s="150">
        <f t="shared" si="142"/>
        <v>4.4761471623142035E-3</v>
      </c>
      <c r="AJ233" s="150"/>
      <c r="AK233" s="150">
        <f t="shared" ref="AK233:AL233" si="143">AK232/$N$4</f>
        <v>0.30863872465710801</v>
      </c>
      <c r="AL233" s="150">
        <f t="shared" si="143"/>
        <v>0.68688512818057779</v>
      </c>
      <c r="AM233" s="144">
        <f>SUM(AD233:AI233)</f>
        <v>1</v>
      </c>
      <c r="AN233" s="107"/>
    </row>
    <row r="234" spans="2:40" x14ac:dyDescent="0.3">
      <c r="B234" s="107" t="s">
        <v>513</v>
      </c>
      <c r="C234" s="107" t="s">
        <v>9</v>
      </c>
      <c r="D234" s="108">
        <v>174.37</v>
      </c>
      <c r="E234" s="108">
        <v>77.03</v>
      </c>
      <c r="F234" s="108">
        <v>3908.06</v>
      </c>
      <c r="G234" s="108">
        <v>15568.88</v>
      </c>
      <c r="H234" s="108">
        <v>4027.58</v>
      </c>
      <c r="I234" s="108">
        <f>I232</f>
        <v>108.15999999999985</v>
      </c>
      <c r="J234" s="108">
        <f>SUM(D232:H232)-SUM(D234:H234)</f>
        <v>891.87000000000262</v>
      </c>
      <c r="K234" s="108">
        <f>D234+E234+G234+H234</f>
        <v>19847.86</v>
      </c>
      <c r="L234" s="108">
        <f>F234</f>
        <v>3908.06</v>
      </c>
      <c r="M234" s="115" t="s">
        <v>524</v>
      </c>
      <c r="N234" s="195">
        <f>SUM(D234:H234)</f>
        <v>23755.919999999998</v>
      </c>
      <c r="O234" s="107" t="s">
        <v>513</v>
      </c>
      <c r="P234" s="122" t="s">
        <v>9</v>
      </c>
      <c r="Q234" s="108">
        <v>0</v>
      </c>
      <c r="R234" s="108">
        <v>9.33</v>
      </c>
      <c r="S234" s="108">
        <v>1111.3499999999999</v>
      </c>
      <c r="T234" s="108">
        <v>277.01</v>
      </c>
      <c r="U234" s="108">
        <v>18.8</v>
      </c>
      <c r="V234" s="108">
        <f>V232</f>
        <v>6.4499999999998181</v>
      </c>
      <c r="W234" s="108">
        <f>SUM(Q232:U232)-SUM(Q234:U234)</f>
        <v>45.820000000000391</v>
      </c>
      <c r="X234" s="108">
        <f>Q234+R234+T234+U234</f>
        <v>305.14</v>
      </c>
      <c r="Y234" s="108">
        <f>S234</f>
        <v>1111.3499999999999</v>
      </c>
      <c r="Z234" s="115" t="s">
        <v>524</v>
      </c>
      <c r="AA234" s="195">
        <f>SUM(Q234:U234)</f>
        <v>1416.4899999999998</v>
      </c>
      <c r="AB234" s="107" t="s">
        <v>513</v>
      </c>
      <c r="AC234" s="122" t="s">
        <v>9</v>
      </c>
      <c r="AD234" s="108">
        <v>0</v>
      </c>
      <c r="AE234" s="108">
        <v>1.55</v>
      </c>
      <c r="AF234" s="108">
        <v>283.41000000000003</v>
      </c>
      <c r="AG234" s="108">
        <v>120.14</v>
      </c>
      <c r="AH234" s="108">
        <v>2.46</v>
      </c>
      <c r="AI234" s="108">
        <f>AI232</f>
        <v>1.8700000000000045</v>
      </c>
      <c r="AJ234" s="108">
        <f>SUM(AD232:AH232)-SUM(AD234:AH234)</f>
        <v>8.339999999999975</v>
      </c>
      <c r="AK234" s="108">
        <f>AD234+AE234+AG234+AH234</f>
        <v>124.14999999999999</v>
      </c>
      <c r="AL234" s="108">
        <f>AF234</f>
        <v>283.41000000000003</v>
      </c>
      <c r="AM234" s="115" t="s">
        <v>524</v>
      </c>
      <c r="AN234" s="195">
        <f>SUM(AD234:AH234)</f>
        <v>407.56</v>
      </c>
    </row>
    <row r="235" spans="2:40" x14ac:dyDescent="0.3">
      <c r="B235" s="107"/>
      <c r="C235" s="140" t="s">
        <v>455</v>
      </c>
      <c r="D235" s="150">
        <f t="shared" ref="D235:L235" si="144">D234/$N$2</f>
        <v>7.0435592251559724E-3</v>
      </c>
      <c r="E235" s="150">
        <f t="shared" si="144"/>
        <v>3.1115751970738348E-3</v>
      </c>
      <c r="F235" s="150">
        <f t="shared" si="144"/>
        <v>0.15786346312704622</v>
      </c>
      <c r="G235" s="150">
        <f t="shared" si="144"/>
        <v>0.62889446779461089</v>
      </c>
      <c r="H235" s="150">
        <f t="shared" si="144"/>
        <v>0.16269139338219699</v>
      </c>
      <c r="I235" s="150">
        <f t="shared" si="144"/>
        <v>4.369050672666565E-3</v>
      </c>
      <c r="J235" s="150">
        <f t="shared" si="144"/>
        <v>3.6026490601249503E-2</v>
      </c>
      <c r="K235" s="150">
        <f t="shared" si="144"/>
        <v>0.80174099559903778</v>
      </c>
      <c r="L235" s="150">
        <f t="shared" si="144"/>
        <v>0.15786346312704622</v>
      </c>
      <c r="M235" s="144">
        <f>SUM(D235:J235)</f>
        <v>1</v>
      </c>
      <c r="N235" s="194">
        <f>N234/N232</f>
        <v>0.96381541712258978</v>
      </c>
      <c r="O235" s="107"/>
      <c r="P235" s="140" t="s">
        <v>455</v>
      </c>
      <c r="Q235" s="150">
        <f t="shared" ref="Q235:Y235" si="145">Q234/$N$3</f>
        <v>0</v>
      </c>
      <c r="R235" s="150">
        <f t="shared" si="145"/>
        <v>6.3522971758490157E-3</v>
      </c>
      <c r="S235" s="150">
        <f t="shared" si="145"/>
        <v>0.75665867806857479</v>
      </c>
      <c r="T235" s="150">
        <f t="shared" si="145"/>
        <v>0.1886012690977423</v>
      </c>
      <c r="U235" s="150">
        <f t="shared" si="145"/>
        <v>1.2799912851657181E-2</v>
      </c>
      <c r="V235" s="150">
        <f t="shared" si="145"/>
        <v>4.3914594624035368E-3</v>
      </c>
      <c r="W235" s="150">
        <f t="shared" si="145"/>
        <v>3.1196383343773244E-2</v>
      </c>
      <c r="X235" s="150">
        <f t="shared" si="145"/>
        <v>0.2077534791252485</v>
      </c>
      <c r="Y235" s="150">
        <f t="shared" si="145"/>
        <v>0.75665867806857479</v>
      </c>
      <c r="Z235" s="144">
        <f>SUM(Q235:W235)</f>
        <v>1</v>
      </c>
      <c r="AA235" s="194">
        <f>AA234/AA232</f>
        <v>0.96866601473011849</v>
      </c>
      <c r="AB235" s="107"/>
      <c r="AC235" s="140" t="s">
        <v>455</v>
      </c>
      <c r="AD235" s="150">
        <f t="shared" ref="AD235:AL235" si="146">AD234/$N$4</f>
        <v>0</v>
      </c>
      <c r="AE235" s="150">
        <f t="shared" si="146"/>
        <v>3.7101754553941165E-3</v>
      </c>
      <c r="AF235" s="150">
        <f t="shared" si="146"/>
        <v>0.67838762955693332</v>
      </c>
      <c r="AG235" s="150">
        <f t="shared" si="146"/>
        <v>0.2875745027168059</v>
      </c>
      <c r="AH235" s="150">
        <f t="shared" si="146"/>
        <v>5.8884074969480817E-3</v>
      </c>
      <c r="AI235" s="150">
        <f t="shared" si="146"/>
        <v>4.4761471623142035E-3</v>
      </c>
      <c r="AJ235" s="150">
        <f t="shared" si="146"/>
        <v>1.9963137611604412E-2</v>
      </c>
      <c r="AK235" s="150">
        <f t="shared" si="146"/>
        <v>0.29717308566914807</v>
      </c>
      <c r="AL235" s="150">
        <f t="shared" si="146"/>
        <v>0.67838762955693332</v>
      </c>
      <c r="AM235" s="144">
        <f>SUM(AD235:AJ235)</f>
        <v>1.0000000000000002</v>
      </c>
      <c r="AN235" s="194">
        <f>AN234/AN232</f>
        <v>0.97994710266891083</v>
      </c>
    </row>
    <row r="236" spans="2:40" x14ac:dyDescent="0.3">
      <c r="B236" s="107"/>
      <c r="C236" s="107" t="s">
        <v>516</v>
      </c>
      <c r="D236" s="112">
        <f>D232-D234</f>
        <v>10.769999999999982</v>
      </c>
      <c r="E236" s="112">
        <f>E232-E234</f>
        <v>47.150000000000006</v>
      </c>
      <c r="F236" s="112">
        <f>F232-F234</f>
        <v>176.59999999999991</v>
      </c>
      <c r="G236" s="112">
        <f>G232-G234</f>
        <v>429.72000000000116</v>
      </c>
      <c r="H236" s="112">
        <f>H232-H234</f>
        <v>227.63000000000011</v>
      </c>
      <c r="I236" s="146"/>
      <c r="J236" s="146"/>
      <c r="K236" s="112">
        <f>K232-K234</f>
        <v>715.27000000000044</v>
      </c>
      <c r="L236" s="108">
        <f>F236</f>
        <v>176.59999999999991</v>
      </c>
      <c r="M236" s="144"/>
      <c r="N236" s="107"/>
      <c r="O236" s="107"/>
      <c r="P236" s="107" t="s">
        <v>516</v>
      </c>
      <c r="Q236" s="112">
        <f>Q232-Q234</f>
        <v>0</v>
      </c>
      <c r="R236" s="112">
        <f>R232-R234</f>
        <v>3.08</v>
      </c>
      <c r="S236" s="112">
        <f>S232-S234</f>
        <v>21.080000000000155</v>
      </c>
      <c r="T236" s="112">
        <f>T232-T234</f>
        <v>15.569999999999993</v>
      </c>
      <c r="U236" s="112">
        <f>U232-U234</f>
        <v>6.09</v>
      </c>
      <c r="V236" s="146"/>
      <c r="W236" s="146"/>
      <c r="X236" s="112">
        <f>X232-X234</f>
        <v>24.740000000000009</v>
      </c>
      <c r="Y236" s="108">
        <f>S236</f>
        <v>21.080000000000155</v>
      </c>
      <c r="Z236" s="144"/>
      <c r="AA236" s="107"/>
      <c r="AB236" s="107"/>
      <c r="AC236" s="107" t="s">
        <v>516</v>
      </c>
      <c r="AD236" s="112">
        <f>AD232-AD234</f>
        <v>0</v>
      </c>
      <c r="AE236" s="112">
        <f>AE232-AE234</f>
        <v>0.57999999999999985</v>
      </c>
      <c r="AF236" s="112">
        <f>AF232-AF234</f>
        <v>3.5499999999999545</v>
      </c>
      <c r="AG236" s="112">
        <f>AG232-AG234</f>
        <v>3.6099999999999994</v>
      </c>
      <c r="AH236" s="112">
        <f>AH232-AH234</f>
        <v>0.60000000000000009</v>
      </c>
      <c r="AI236" s="146"/>
      <c r="AJ236" s="146"/>
      <c r="AK236" s="112">
        <f>AK232-AK234</f>
        <v>4.7900000000000063</v>
      </c>
      <c r="AL236" s="108">
        <f>AF236</f>
        <v>3.5499999999999545</v>
      </c>
      <c r="AM236" s="144"/>
      <c r="AN236" s="107"/>
    </row>
    <row r="237" spans="2:40" x14ac:dyDescent="0.3">
      <c r="B237" s="107"/>
      <c r="C237" s="107" t="s">
        <v>517</v>
      </c>
      <c r="D237" s="146">
        <f>D236/D232</f>
        <v>5.817219401533965E-2</v>
      </c>
      <c r="E237" s="146">
        <f>E236/E232</f>
        <v>0.37969077146078278</v>
      </c>
      <c r="F237" s="146">
        <f>F236/F232</f>
        <v>4.3234932650453139E-2</v>
      </c>
      <c r="G237" s="146">
        <f>G236/G232</f>
        <v>2.6859850236895799E-2</v>
      </c>
      <c r="H237" s="146">
        <f>H236/H232</f>
        <v>5.3494422131927712E-2</v>
      </c>
      <c r="I237" s="146"/>
      <c r="J237" s="146"/>
      <c r="K237" s="150">
        <f>K236/K232</f>
        <v>3.4784101447590927E-2</v>
      </c>
      <c r="L237" s="150">
        <f>L236/$N$2</f>
        <v>7.1336385798161615E-3</v>
      </c>
      <c r="M237" s="144"/>
      <c r="N237" s="107"/>
      <c r="O237" s="107"/>
      <c r="P237" s="107" t="s">
        <v>517</v>
      </c>
      <c r="Q237" s="146" t="s">
        <v>527</v>
      </c>
      <c r="R237" s="146">
        <f>R236/R232</f>
        <v>0.24818694601128122</v>
      </c>
      <c r="S237" s="146">
        <f>S236/S232</f>
        <v>1.8614837120175334E-2</v>
      </c>
      <c r="T237" s="146">
        <f>T236/T232</f>
        <v>5.3216214368719643E-2</v>
      </c>
      <c r="U237" s="146">
        <f>U236/U232</f>
        <v>0.24467657693852951</v>
      </c>
      <c r="V237" s="146"/>
      <c r="W237" s="146"/>
      <c r="X237" s="150">
        <f>X236/X232</f>
        <v>7.4996968594640501E-2</v>
      </c>
      <c r="Y237" s="150">
        <f>Y236/$N$3</f>
        <v>1.4352242708134859E-2</v>
      </c>
      <c r="Z237" s="144"/>
      <c r="AA237" s="107"/>
      <c r="AB237" s="107"/>
      <c r="AC237" s="107" t="s">
        <v>517</v>
      </c>
      <c r="AD237" s="146" t="s">
        <v>527</v>
      </c>
      <c r="AE237" s="146">
        <f>AE236/AE232</f>
        <v>0.27230046948356801</v>
      </c>
      <c r="AF237" s="146">
        <f>AF236/AF232</f>
        <v>1.2371062168943249E-2</v>
      </c>
      <c r="AG237" s="146">
        <f>AG236/AG232</f>
        <v>2.9171717171717168E-2</v>
      </c>
      <c r="AH237" s="146">
        <f>AH236/AH232</f>
        <v>0.19607843137254904</v>
      </c>
      <c r="AI237" s="146"/>
      <c r="AJ237" s="146"/>
      <c r="AK237" s="150">
        <f t="shared" ref="AK237:AL237" si="147">AK236/$N$4</f>
        <v>1.1465638987959898E-2</v>
      </c>
      <c r="AL237" s="150">
        <f t="shared" si="147"/>
        <v>8.4974986236444807E-3</v>
      </c>
      <c r="AM237" s="144"/>
      <c r="AN237" s="107"/>
    </row>
    <row r="238" spans="2:40" x14ac:dyDescent="0.3">
      <c r="B238" s="115" t="s">
        <v>376</v>
      </c>
      <c r="C238" s="122" t="s">
        <v>9</v>
      </c>
      <c r="D238" s="135">
        <f>'19M_Seeds'!AL129</f>
        <v>184.64399999999995</v>
      </c>
      <c r="E238" s="135">
        <f>'19M_Seeds'!AM129</f>
        <v>116.90649999999998</v>
      </c>
      <c r="F238" s="135">
        <f>'19M_Seeds'!AN129</f>
        <v>4083.0325000000003</v>
      </c>
      <c r="G238" s="135">
        <f>'19M_Seeds'!AO129</f>
        <v>15958.811999999996</v>
      </c>
      <c r="H238" s="135">
        <f>'19M_Seeds'!AP129</f>
        <v>4304.4009999999998</v>
      </c>
      <c r="I238" s="108">
        <f>$N$2-N238</f>
        <v>108.15400000000591</v>
      </c>
      <c r="J238" s="108"/>
      <c r="K238" s="108"/>
      <c r="L238" s="108"/>
      <c r="M238" s="115" t="s">
        <v>36</v>
      </c>
      <c r="N238" s="136">
        <f>SUM(D238:H238)</f>
        <v>24647.795999999995</v>
      </c>
      <c r="O238" s="115" t="s">
        <v>376</v>
      </c>
      <c r="P238" s="122" t="s">
        <v>9</v>
      </c>
      <c r="Q238" s="135">
        <f>'19M_Seeds'!AL134</f>
        <v>0</v>
      </c>
      <c r="R238" s="135">
        <f>'19M_Seeds'!AM134</f>
        <v>13.386499999999998</v>
      </c>
      <c r="S238" s="135">
        <f>'19M_Seeds'!AN134</f>
        <v>1126.1655000000001</v>
      </c>
      <c r="T238" s="135">
        <f>'19M_Seeds'!AO134</f>
        <v>296.73550000000006</v>
      </c>
      <c r="U238" s="135">
        <f>'19M_Seeds'!AP134</f>
        <v>26.028499999999998</v>
      </c>
      <c r="V238" s="108">
        <f>$N$3-AA238</f>
        <v>6.44399999999996</v>
      </c>
      <c r="W238" s="108"/>
      <c r="X238" s="108"/>
      <c r="Y238" s="108"/>
      <c r="Z238" s="115" t="s">
        <v>36</v>
      </c>
      <c r="AA238" s="136">
        <f>SUM(Q238:U238)</f>
        <v>1462.316</v>
      </c>
      <c r="AB238" s="115" t="s">
        <v>376</v>
      </c>
      <c r="AC238" s="122"/>
      <c r="AD238" s="138"/>
      <c r="AE238" s="135"/>
      <c r="AF238" s="135"/>
      <c r="AG238" s="135"/>
      <c r="AH238" s="135"/>
      <c r="AI238" s="108"/>
      <c r="AJ238" s="108"/>
      <c r="AK238" s="108"/>
      <c r="AL238" s="108"/>
      <c r="AM238" s="115"/>
      <c r="AN238" s="136"/>
    </row>
    <row r="239" spans="2:40" x14ac:dyDescent="0.3">
      <c r="B239" s="115"/>
      <c r="C239" s="140" t="s">
        <v>455</v>
      </c>
      <c r="D239" s="150">
        <f t="shared" ref="D239:I239" si="148">D238/$N$2</f>
        <v>7.4585705658639619E-3</v>
      </c>
      <c r="E239" s="150">
        <f t="shared" si="148"/>
        <v>4.7223596751488021E-3</v>
      </c>
      <c r="F239" s="150">
        <f t="shared" si="148"/>
        <v>0.16493135993569225</v>
      </c>
      <c r="G239" s="150">
        <f t="shared" si="148"/>
        <v>0.64464550946338139</v>
      </c>
      <c r="H239" s="150">
        <f t="shared" si="148"/>
        <v>0.17387339205322355</v>
      </c>
      <c r="I239" s="145">
        <f t="shared" si="148"/>
        <v>4.3688083066901456E-3</v>
      </c>
      <c r="J239" s="145"/>
      <c r="K239" s="145"/>
      <c r="L239" s="145"/>
      <c r="M239" s="144">
        <f>SUM(D239:I239)</f>
        <v>1.0000000000000002</v>
      </c>
      <c r="N239" s="136"/>
      <c r="O239" s="115"/>
      <c r="P239" s="140" t="s">
        <v>455</v>
      </c>
      <c r="Q239" s="150">
        <f t="shared" ref="Q239:V239" si="149">Q238/$N$3</f>
        <v>0</v>
      </c>
      <c r="R239" s="150">
        <f t="shared" si="149"/>
        <v>9.1141507121653628E-3</v>
      </c>
      <c r="S239" s="150">
        <f t="shared" si="149"/>
        <v>0.76674575832675185</v>
      </c>
      <c r="T239" s="150">
        <f t="shared" si="149"/>
        <v>0.20203130531877234</v>
      </c>
      <c r="U239" s="150">
        <f t="shared" si="149"/>
        <v>1.7721411258476535E-2</v>
      </c>
      <c r="V239" s="146">
        <f t="shared" si="149"/>
        <v>4.3873743838339554E-3</v>
      </c>
      <c r="W239" s="146"/>
      <c r="X239" s="146"/>
      <c r="Y239" s="145"/>
      <c r="Z239" s="144">
        <f>SUM(Q239:V239)</f>
        <v>1</v>
      </c>
      <c r="AA239" s="136"/>
      <c r="AB239" s="115"/>
      <c r="AC239" s="140"/>
      <c r="AD239" s="150"/>
      <c r="AE239" s="150"/>
      <c r="AF239" s="150"/>
      <c r="AG239" s="150"/>
      <c r="AH239" s="150"/>
      <c r="AI239" s="146"/>
      <c r="AJ239" s="146"/>
      <c r="AK239" s="146"/>
      <c r="AL239" s="146"/>
      <c r="AM239" s="144"/>
      <c r="AN239" s="136"/>
    </row>
    <row r="240" spans="2:40" x14ac:dyDescent="0.3">
      <c r="B240" s="107"/>
      <c r="C240" s="147" t="s">
        <v>368</v>
      </c>
      <c r="D240" s="108">
        <f>'19M_Seeds'!AL130</f>
        <v>3.3858340650110819</v>
      </c>
      <c r="E240" s="108">
        <f>'19M_Seeds'!AM130</f>
        <v>3.680568196624022</v>
      </c>
      <c r="F240" s="108">
        <f>'19M_Seeds'!AN130</f>
        <v>7.6566734866767572</v>
      </c>
      <c r="G240" s="108">
        <f>'19M_Seeds'!AO130</f>
        <v>14.893564463252341</v>
      </c>
      <c r="H240" s="108">
        <f>'19M_Seeds'!AP130</f>
        <v>16.995821156668899</v>
      </c>
      <c r="I240" s="107"/>
      <c r="J240" s="107"/>
      <c r="K240" s="107"/>
      <c r="L240" s="107"/>
      <c r="M240" s="107"/>
      <c r="N240" s="141"/>
      <c r="O240" s="107"/>
      <c r="P240" s="147" t="s">
        <v>368</v>
      </c>
      <c r="Q240" s="108">
        <f>'19M_Seeds'!AL135</f>
        <v>0</v>
      </c>
      <c r="R240" s="108">
        <f>'19M_Seeds'!AM135</f>
        <v>0.19041405714362244</v>
      </c>
      <c r="S240" s="108">
        <f>'19M_Seeds'!AN135</f>
        <v>0.61144672057773275</v>
      </c>
      <c r="T240" s="108">
        <f>'19M_Seeds'!AO135</f>
        <v>0.60647925941887204</v>
      </c>
      <c r="U240" s="108">
        <f>'19M_Seeds'!AP135</f>
        <v>0.41015996558467405</v>
      </c>
      <c r="V240" s="107"/>
      <c r="W240" s="107"/>
      <c r="X240" s="107"/>
      <c r="Y240" s="107"/>
      <c r="Z240" s="107"/>
      <c r="AA240" s="107"/>
      <c r="AB240" s="107"/>
      <c r="AC240" s="147"/>
      <c r="AD240" s="108"/>
      <c r="AE240" s="108"/>
      <c r="AF240" s="108"/>
      <c r="AG240" s="108"/>
      <c r="AH240" s="108"/>
      <c r="AI240" s="107"/>
      <c r="AJ240" s="107"/>
      <c r="AK240" s="107"/>
      <c r="AL240" s="107"/>
      <c r="AM240" s="107"/>
      <c r="AN240" s="107"/>
    </row>
    <row r="241" spans="2:40" x14ac:dyDescent="0.3">
      <c r="B241" s="107"/>
      <c r="C241" s="128" t="s">
        <v>458</v>
      </c>
      <c r="D241" s="125">
        <f>1.96*D240</f>
        <v>6.6362347674217199</v>
      </c>
      <c r="E241" s="125">
        <f>1.96*E240</f>
        <v>7.2139136653830827</v>
      </c>
      <c r="F241" s="125">
        <f>1.96*F240</f>
        <v>15.007080033886444</v>
      </c>
      <c r="G241" s="125">
        <f>1.96*G240</f>
        <v>29.191386347974589</v>
      </c>
      <c r="H241" s="125">
        <f>1.96*H240</f>
        <v>33.311809467071043</v>
      </c>
      <c r="I241" s="107"/>
      <c r="J241" s="107"/>
      <c r="K241" s="107"/>
      <c r="L241" s="107"/>
      <c r="M241" s="107"/>
      <c r="N241" s="107"/>
      <c r="O241" s="107"/>
      <c r="P241" s="128" t="s">
        <v>458</v>
      </c>
      <c r="Q241" s="125">
        <f>1.96*Q240</f>
        <v>0</v>
      </c>
      <c r="R241" s="125">
        <f>1.96*R240</f>
        <v>0.37321155200149997</v>
      </c>
      <c r="S241" s="125">
        <f>1.96*S240</f>
        <v>1.1984355723323561</v>
      </c>
      <c r="T241" s="125">
        <f>1.96*T240</f>
        <v>1.1886993484609891</v>
      </c>
      <c r="U241" s="125">
        <f>1.96*U240</f>
        <v>0.8039135325459611</v>
      </c>
      <c r="V241" s="107"/>
      <c r="W241" s="107"/>
      <c r="X241" s="107"/>
      <c r="Y241" s="107"/>
      <c r="Z241" s="107"/>
      <c r="AA241" s="107"/>
      <c r="AB241" s="107"/>
      <c r="AC241" s="128"/>
      <c r="AD241" s="125"/>
      <c r="AE241" s="125"/>
      <c r="AF241" s="125"/>
      <c r="AG241" s="125"/>
      <c r="AH241" s="125"/>
      <c r="AI241" s="107"/>
      <c r="AJ241" s="107"/>
      <c r="AK241" s="107"/>
      <c r="AL241" s="107"/>
      <c r="AM241" s="107"/>
      <c r="AN241" s="107"/>
    </row>
    <row r="242" spans="2:40" x14ac:dyDescent="0.3">
      <c r="B242" s="115" t="s">
        <v>375</v>
      </c>
      <c r="C242" s="107" t="s">
        <v>367</v>
      </c>
      <c r="D242" s="145">
        <f>D232/SUM(D232:H232)</f>
        <v>7.5114239451082622E-3</v>
      </c>
      <c r="E242" s="145">
        <f>E232/SUM(D232:H232)</f>
        <v>5.0381798936131802E-3</v>
      </c>
      <c r="F242" s="145">
        <f>F232/SUM(D232:H232)</f>
        <v>0.1657211457903528</v>
      </c>
      <c r="G242" s="145">
        <f>G232/SUM(D232:H232)</f>
        <v>0.64908862011563717</v>
      </c>
      <c r="H242" s="145">
        <f>H232/SUM(D232:H232)</f>
        <v>0.17264063025528861</v>
      </c>
      <c r="I242" s="151">
        <f>SUM(D242:H242)</f>
        <v>1</v>
      </c>
      <c r="J242" s="107"/>
      <c r="K242" s="107"/>
      <c r="L242" s="107"/>
      <c r="M242" s="107"/>
      <c r="N242" s="107"/>
      <c r="O242" s="115" t="s">
        <v>375</v>
      </c>
      <c r="P242" s="107" t="s">
        <v>367</v>
      </c>
      <c r="Q242" s="145">
        <f>Q232/SUM(Q232:U232)</f>
        <v>0</v>
      </c>
      <c r="R242" s="145">
        <f>R232/SUM(Q232:U232)</f>
        <v>8.4865726145618905E-3</v>
      </c>
      <c r="S242" s="145">
        <f>S232/SUM(Q232:U232)</f>
        <v>0.77441171844547319</v>
      </c>
      <c r="T242" s="145">
        <f>T232/SUM(Q232:U232)</f>
        <v>0.20008069424403851</v>
      </c>
      <c r="U242" s="145">
        <f>U232/SUM(Q232:U232)</f>
        <v>1.7021014695926307E-2</v>
      </c>
      <c r="V242" s="151">
        <f>SUM(Q242:U242)</f>
        <v>0.99999999999999989</v>
      </c>
      <c r="W242" s="107"/>
      <c r="X242" s="107"/>
      <c r="Y242" s="107"/>
      <c r="Z242" s="107"/>
      <c r="AA242" s="107"/>
      <c r="AB242" s="115" t="s">
        <v>375</v>
      </c>
      <c r="AC242" s="107" t="s">
        <v>367</v>
      </c>
      <c r="AD242" s="145">
        <f>AD232/SUM(AD232:AH232)</f>
        <v>0</v>
      </c>
      <c r="AE242" s="145">
        <f>AE232/SUM(AD232:AH232)</f>
        <v>5.1214234190911281E-3</v>
      </c>
      <c r="AF242" s="145">
        <f>AF232/SUM(AD232:AH232)</f>
        <v>0.68997355133445537</v>
      </c>
      <c r="AG242" s="145">
        <f>AG232/SUM(AD232:AH232)</f>
        <v>0.29754748737677328</v>
      </c>
      <c r="AH242" s="145">
        <f>AH232/SUM(AD232:AH232)</f>
        <v>7.3575378696802123E-3</v>
      </c>
      <c r="AI242" s="151">
        <f>SUM(AD242:AH242)</f>
        <v>1</v>
      </c>
      <c r="AJ242" s="107"/>
      <c r="AK242" s="107"/>
      <c r="AL242" s="107"/>
      <c r="AM242" s="107"/>
      <c r="AN242" s="107"/>
    </row>
    <row r="243" spans="2:40" x14ac:dyDescent="0.3">
      <c r="B243" s="147" t="s">
        <v>648</v>
      </c>
      <c r="C243" s="90" t="s">
        <v>447</v>
      </c>
      <c r="D243" s="108">
        <f>D236*D242</f>
        <v>8.0898035888815847E-2</v>
      </c>
      <c r="E243" s="108">
        <f>E236*D242</f>
        <v>0.3541636390118546</v>
      </c>
      <c r="F243" s="108">
        <f>F236*D242</f>
        <v>1.3265174687061185</v>
      </c>
      <c r="G243" s="108">
        <f>G236*D242</f>
        <v>3.2278090976919311</v>
      </c>
      <c r="H243" s="108">
        <f>H236*D242</f>
        <v>1.7098254326249946</v>
      </c>
      <c r="I243" s="107"/>
      <c r="J243" s="107"/>
      <c r="K243" s="107"/>
      <c r="L243" s="107"/>
      <c r="M243" s="107"/>
      <c r="N243" s="107"/>
      <c r="O243" s="147" t="s">
        <v>648</v>
      </c>
      <c r="P243" s="90" t="s">
        <v>447</v>
      </c>
      <c r="Q243" s="108">
        <f>Q236*Q242</f>
        <v>0</v>
      </c>
      <c r="R243" s="108">
        <f>R236*Q242</f>
        <v>0</v>
      </c>
      <c r="S243" s="108">
        <f>S236*Q242</f>
        <v>0</v>
      </c>
      <c r="T243" s="108">
        <f>T236*Q242</f>
        <v>0</v>
      </c>
      <c r="U243" s="108">
        <f>U236*Q242</f>
        <v>0</v>
      </c>
      <c r="V243" s="107"/>
      <c r="W243" s="107"/>
      <c r="X243" s="107"/>
      <c r="Y243" s="107"/>
      <c r="Z243" s="107"/>
      <c r="AA243" s="107"/>
      <c r="AB243" s="147" t="s">
        <v>648</v>
      </c>
      <c r="AC243" s="90" t="s">
        <v>447</v>
      </c>
      <c r="AD243" s="108">
        <f>AD236*AD242</f>
        <v>0</v>
      </c>
      <c r="AE243" s="108">
        <f>AE236*AD242</f>
        <v>0</v>
      </c>
      <c r="AF243" s="108">
        <f>AF236*AD242</f>
        <v>0</v>
      </c>
      <c r="AG243" s="108">
        <f>AG236*AD242</f>
        <v>0</v>
      </c>
      <c r="AH243" s="108">
        <f>AH236*AD242</f>
        <v>0</v>
      </c>
      <c r="AI243" s="107"/>
      <c r="AJ243" s="107"/>
      <c r="AK243" s="107"/>
      <c r="AL243" s="107"/>
      <c r="AM243" s="107"/>
      <c r="AN243" s="107"/>
    </row>
    <row r="244" spans="2:40" x14ac:dyDescent="0.3">
      <c r="B244" s="107" t="s">
        <v>649</v>
      </c>
      <c r="C244" s="91" t="s">
        <v>446</v>
      </c>
      <c r="D244" s="108">
        <f>D236*E242</f>
        <v>5.4261197454213858E-2</v>
      </c>
      <c r="E244" s="108">
        <f>E236*E242</f>
        <v>0.23755018198386146</v>
      </c>
      <c r="F244" s="108">
        <f>F236*E242</f>
        <v>0.88974256921208716</v>
      </c>
      <c r="G244" s="108">
        <f>G236*E242</f>
        <v>2.1650066638834615</v>
      </c>
      <c r="H244" s="108">
        <f>H236*E242</f>
        <v>1.1468408891831687</v>
      </c>
      <c r="I244" s="107"/>
      <c r="J244" s="107"/>
      <c r="K244" s="107"/>
      <c r="L244" s="107"/>
      <c r="M244" s="107"/>
      <c r="N244" s="107"/>
      <c r="O244" s="107" t="s">
        <v>649</v>
      </c>
      <c r="P244" s="91" t="s">
        <v>446</v>
      </c>
      <c r="Q244" s="108">
        <f>Q236*R242</f>
        <v>0</v>
      </c>
      <c r="R244" s="108">
        <f>R236*R242</f>
        <v>2.6138643652850624E-2</v>
      </c>
      <c r="S244" s="108">
        <f>S236*R242</f>
        <v>0.17889695071496597</v>
      </c>
      <c r="T244" s="108">
        <f>T236*R242</f>
        <v>0.13213593560872858</v>
      </c>
      <c r="U244" s="108">
        <f>U236*R242</f>
        <v>5.1683227222681913E-2</v>
      </c>
      <c r="V244" s="107"/>
      <c r="W244" s="107"/>
      <c r="X244" s="107"/>
      <c r="Y244" s="107"/>
      <c r="Z244" s="107"/>
      <c r="AA244" s="107"/>
      <c r="AB244" s="107" t="s">
        <v>649</v>
      </c>
      <c r="AC244" s="91" t="s">
        <v>446</v>
      </c>
      <c r="AD244" s="108">
        <f>AD236*AE242</f>
        <v>0</v>
      </c>
      <c r="AE244" s="108">
        <f>AE236*AE242</f>
        <v>2.9704255830728535E-3</v>
      </c>
      <c r="AF244" s="108">
        <f>AF236*AE242</f>
        <v>1.8181053137773271E-2</v>
      </c>
      <c r="AG244" s="108">
        <f>AG236*AE242</f>
        <v>1.848833854291897E-2</v>
      </c>
      <c r="AH244" s="108">
        <f>AH236*AE242</f>
        <v>3.0728540514546772E-3</v>
      </c>
      <c r="AI244" s="107"/>
      <c r="AJ244" s="107"/>
      <c r="AK244" s="107"/>
      <c r="AL244" s="107"/>
      <c r="AM244" s="107"/>
      <c r="AN244" s="107"/>
    </row>
    <row r="245" spans="2:40" x14ac:dyDescent="0.3">
      <c r="B245" s="107"/>
      <c r="C245" s="92" t="s">
        <v>448</v>
      </c>
      <c r="D245" s="108">
        <f>D236*F242</f>
        <v>1.7848167401620967</v>
      </c>
      <c r="E245" s="108">
        <f>E236*F242</f>
        <v>7.8137520240151357</v>
      </c>
      <c r="F245" s="108">
        <f>F236*F242</f>
        <v>29.266354346576289</v>
      </c>
      <c r="G245" s="108">
        <f>G236*F242</f>
        <v>71.213690769030592</v>
      </c>
      <c r="H245" s="108">
        <f>H236*F242</f>
        <v>37.723104416258025</v>
      </c>
      <c r="I245" s="107"/>
      <c r="J245" s="107"/>
      <c r="K245" s="107"/>
      <c r="L245" s="107"/>
      <c r="M245" s="107"/>
      <c r="N245" s="107"/>
      <c r="O245" s="107"/>
      <c r="P245" s="92" t="s">
        <v>448</v>
      </c>
      <c r="Q245" s="108">
        <f>Q236*S242</f>
        <v>0</v>
      </c>
      <c r="R245" s="108">
        <f>R236*S242</f>
        <v>2.3851880928120575</v>
      </c>
      <c r="S245" s="108">
        <f>S236*S242</f>
        <v>16.324599024830693</v>
      </c>
      <c r="T245" s="108">
        <f>T236*S242</f>
        <v>12.057590456196012</v>
      </c>
      <c r="U245" s="108">
        <f>U236*S242</f>
        <v>4.7161673653329315</v>
      </c>
      <c r="V245" s="107"/>
      <c r="W245" s="107"/>
      <c r="X245" s="107"/>
      <c r="Y245" s="107"/>
      <c r="Z245" s="107"/>
      <c r="AA245" s="107"/>
      <c r="AB245" s="107"/>
      <c r="AC245" s="92" t="s">
        <v>448</v>
      </c>
      <c r="AD245" s="108">
        <f>AD236*AF242</f>
        <v>0</v>
      </c>
      <c r="AE245" s="108">
        <f>AE236*AF242</f>
        <v>0.40018465977398399</v>
      </c>
      <c r="AF245" s="108">
        <f>AF236*AF242</f>
        <v>2.449406107237285</v>
      </c>
      <c r="AG245" s="108">
        <f>AG236*AF242</f>
        <v>2.4908045203173836</v>
      </c>
      <c r="AH245" s="108">
        <f>AH236*AF242</f>
        <v>0.41398413080067331</v>
      </c>
      <c r="AI245" s="107"/>
      <c r="AJ245" s="107"/>
      <c r="AK245" s="107"/>
      <c r="AL245" s="107"/>
      <c r="AM245" s="107"/>
      <c r="AN245" s="107"/>
    </row>
    <row r="246" spans="2:40" x14ac:dyDescent="0.3">
      <c r="B246" s="107"/>
      <c r="C246" s="124" t="s">
        <v>449</v>
      </c>
      <c r="D246" s="108">
        <f>D236*G242</f>
        <v>6.9906844386454008</v>
      </c>
      <c r="E246" s="108">
        <f>E236*G242</f>
        <v>30.604528438452295</v>
      </c>
      <c r="F246" s="108">
        <f>F236*G242</f>
        <v>114.62905031242147</v>
      </c>
      <c r="G246" s="108">
        <f>G236*G242</f>
        <v>278.92636183609238</v>
      </c>
      <c r="H246" s="108">
        <f>H236*G242</f>
        <v>147.75204259692256</v>
      </c>
      <c r="I246" s="107"/>
      <c r="J246" s="107"/>
      <c r="K246" s="107"/>
      <c r="L246" s="107"/>
      <c r="M246" s="107"/>
      <c r="N246" s="107"/>
      <c r="O246" s="107"/>
      <c r="P246" s="124" t="s">
        <v>449</v>
      </c>
      <c r="Q246" s="108">
        <f>Q236*T242</f>
        <v>0</v>
      </c>
      <c r="R246" s="108">
        <f>R236*T242</f>
        <v>0.61624853827163861</v>
      </c>
      <c r="S246" s="108">
        <f>S236*T242</f>
        <v>4.2177010346643629</v>
      </c>
      <c r="T246" s="108">
        <f>T236*T242</f>
        <v>3.1152564093796782</v>
      </c>
      <c r="U246" s="108">
        <f>U236*T242</f>
        <v>1.2184914279461945</v>
      </c>
      <c r="V246" s="107"/>
      <c r="W246" s="107"/>
      <c r="X246" s="107"/>
      <c r="Y246" s="107"/>
      <c r="Z246" s="107"/>
      <c r="AA246" s="107"/>
      <c r="AB246" s="107"/>
      <c r="AC246" s="124" t="s">
        <v>449</v>
      </c>
      <c r="AD246" s="108">
        <f>AD236*AG242</f>
        <v>0</v>
      </c>
      <c r="AE246" s="108">
        <f>AE236*AG242</f>
        <v>0.17257754267852846</v>
      </c>
      <c r="AF246" s="108">
        <f>AF236*AG242</f>
        <v>1.0562935801875315</v>
      </c>
      <c r="AG246" s="108">
        <f>AG236*AG242</f>
        <v>1.0741464294301513</v>
      </c>
      <c r="AH246" s="108">
        <f>AH236*AG242</f>
        <v>0.178528492426064</v>
      </c>
      <c r="AI246" s="107"/>
      <c r="AJ246" s="107"/>
      <c r="AK246" s="107"/>
      <c r="AL246" s="107"/>
      <c r="AM246" s="107"/>
      <c r="AN246" s="107"/>
    </row>
    <row r="247" spans="2:40" x14ac:dyDescent="0.3">
      <c r="B247" s="107"/>
      <c r="C247" s="123" t="s">
        <v>450</v>
      </c>
      <c r="D247" s="125">
        <f>D236*H242</f>
        <v>1.8593395878494552</v>
      </c>
      <c r="E247" s="125">
        <f>E236*H242</f>
        <v>8.1400057165368587</v>
      </c>
      <c r="F247" s="125">
        <f>F236*H242</f>
        <v>30.488335303083954</v>
      </c>
      <c r="G247" s="125">
        <f>G236*H242</f>
        <v>74.187131633302826</v>
      </c>
      <c r="H247" s="125">
        <f>H236*H242</f>
        <v>39.298186665011364</v>
      </c>
      <c r="I247" s="107"/>
      <c r="J247" s="107"/>
      <c r="K247" s="107"/>
      <c r="L247" s="107"/>
      <c r="M247" s="107"/>
      <c r="N247" s="107"/>
      <c r="O247" s="107"/>
      <c r="P247" s="123" t="s">
        <v>450</v>
      </c>
      <c r="Q247" s="125">
        <f>Q236*U242</f>
        <v>0</v>
      </c>
      <c r="R247" s="125">
        <f>R236*U242</f>
        <v>5.2424725263453029E-2</v>
      </c>
      <c r="S247" s="125">
        <f>S236*U242</f>
        <v>0.3588029897901292</v>
      </c>
      <c r="T247" s="125">
        <f>T236*U242</f>
        <v>0.26501719881557251</v>
      </c>
      <c r="U247" s="125">
        <f>U236*U242</f>
        <v>0.10365797949819121</v>
      </c>
      <c r="V247" s="107"/>
      <c r="W247" s="107"/>
      <c r="X247" s="107"/>
      <c r="Y247" s="107"/>
      <c r="Z247" s="107"/>
      <c r="AA247" s="107"/>
      <c r="AB247" s="107"/>
      <c r="AC247" s="123" t="s">
        <v>450</v>
      </c>
      <c r="AD247" s="125">
        <f>AD236*AH242</f>
        <v>0</v>
      </c>
      <c r="AE247" s="125">
        <f>AE236*AH242</f>
        <v>4.267371964414522E-3</v>
      </c>
      <c r="AF247" s="125">
        <f>AF236*AH242</f>
        <v>2.6119259437364418E-2</v>
      </c>
      <c r="AG247" s="125">
        <f>AG236*AH242</f>
        <v>2.6560711709545562E-2</v>
      </c>
      <c r="AH247" s="125">
        <f>AH236*AH242</f>
        <v>4.4145227218081277E-3</v>
      </c>
      <c r="AI247" s="107"/>
      <c r="AJ247" s="107"/>
      <c r="AK247" s="107"/>
      <c r="AL247" s="107"/>
      <c r="AM247" s="107"/>
      <c r="AN247" s="107"/>
    </row>
    <row r="248" spans="2:40" x14ac:dyDescent="0.3">
      <c r="B248" s="107"/>
      <c r="C248" s="107" t="s">
        <v>36</v>
      </c>
      <c r="D248" s="108">
        <f>SUM(D243:D247)</f>
        <v>10.769999999999982</v>
      </c>
      <c r="E248" s="108">
        <f>SUM(E243:E247)</f>
        <v>47.150000000000006</v>
      </c>
      <c r="F248" s="108">
        <f>SUM(F243:F247)</f>
        <v>176.59999999999991</v>
      </c>
      <c r="G248" s="108">
        <f t="shared" ref="G248:H248" si="150">SUM(G243:G247)</f>
        <v>429.72000000000122</v>
      </c>
      <c r="H248" s="108">
        <f t="shared" si="150"/>
        <v>227.63000000000011</v>
      </c>
      <c r="I248" s="107"/>
      <c r="J248" s="107"/>
      <c r="K248" s="107"/>
      <c r="L248" s="107"/>
      <c r="M248" s="107"/>
      <c r="N248" s="107"/>
      <c r="O248" s="107"/>
      <c r="P248" s="107" t="s">
        <v>36</v>
      </c>
      <c r="Q248" s="108">
        <f>SUM(Q243:Q247)</f>
        <v>0</v>
      </c>
      <c r="R248" s="108">
        <f>SUM(R243:R247)</f>
        <v>3.0799999999999996</v>
      </c>
      <c r="S248" s="108">
        <f>SUM(S243:S247)</f>
        <v>21.080000000000148</v>
      </c>
      <c r="T248" s="108">
        <f t="shared" ref="T248:U248" si="151">SUM(T243:T247)</f>
        <v>15.569999999999991</v>
      </c>
      <c r="U248" s="108">
        <f t="shared" si="151"/>
        <v>6.089999999999999</v>
      </c>
      <c r="V248" s="107"/>
      <c r="W248" s="107"/>
      <c r="X248" s="107"/>
      <c r="Y248" s="107"/>
      <c r="Z248" s="107"/>
      <c r="AA248" s="107"/>
      <c r="AB248" s="107"/>
      <c r="AC248" s="107" t="s">
        <v>36</v>
      </c>
      <c r="AD248" s="108">
        <f>SUM(AD243:AD247)</f>
        <v>0</v>
      </c>
      <c r="AE248" s="108">
        <f>SUM(AE243:AE247)</f>
        <v>0.57999999999999985</v>
      </c>
      <c r="AF248" s="108">
        <f>SUM(AF243:AF247)</f>
        <v>3.5499999999999541</v>
      </c>
      <c r="AG248" s="108">
        <f t="shared" ref="AG248:AH248" si="152">SUM(AG243:AG247)</f>
        <v>3.6099999999999994</v>
      </c>
      <c r="AH248" s="108">
        <f t="shared" si="152"/>
        <v>0.60000000000000009</v>
      </c>
      <c r="AI248" s="107"/>
      <c r="AJ248" s="107"/>
      <c r="AK248" s="107"/>
      <c r="AL248" s="107"/>
      <c r="AM248" s="107"/>
      <c r="AN248" s="107"/>
    </row>
    <row r="249" spans="2:40" x14ac:dyDescent="0.3">
      <c r="B249" s="107" t="s">
        <v>650</v>
      </c>
      <c r="C249" s="211" t="s">
        <v>451</v>
      </c>
      <c r="D249" s="125">
        <f>I234*D242</f>
        <v>0.81243561390290853</v>
      </c>
      <c r="E249" s="125">
        <f>I234*E242</f>
        <v>0.54492953729320082</v>
      </c>
      <c r="F249" s="125">
        <f>I234*F242</f>
        <v>17.924399128684534</v>
      </c>
      <c r="G249" s="125">
        <f>I234*G242</f>
        <v>70.205425151707217</v>
      </c>
      <c r="H249" s="125">
        <f>I234*H242</f>
        <v>18.67281056841199</v>
      </c>
      <c r="I249" s="226">
        <f>SUM(D249:H249)</f>
        <v>108.15999999999985</v>
      </c>
      <c r="J249" s="107"/>
      <c r="K249" s="140"/>
      <c r="L249" s="140"/>
      <c r="M249" s="107"/>
      <c r="N249" s="107"/>
      <c r="O249" s="107" t="s">
        <v>650</v>
      </c>
      <c r="P249" s="211" t="s">
        <v>451</v>
      </c>
      <c r="Q249" s="125">
        <f>V234*Q242</f>
        <v>0</v>
      </c>
      <c r="R249" s="125">
        <f>V234*R242</f>
        <v>5.4738393363922652E-2</v>
      </c>
      <c r="S249" s="125">
        <f>V234*S242</f>
        <v>4.9949555839731614</v>
      </c>
      <c r="T249" s="125">
        <f>V234*T242</f>
        <v>1.290520477874012</v>
      </c>
      <c r="U249" s="125">
        <f>V234*U242</f>
        <v>0.10978554478872159</v>
      </c>
      <c r="V249" s="226">
        <f>SUM(Q249:U249)</f>
        <v>6.4499999999998172</v>
      </c>
      <c r="W249" s="107"/>
      <c r="X249" s="140"/>
      <c r="Y249" s="140"/>
      <c r="Z249" s="107"/>
      <c r="AA249" s="107"/>
      <c r="AB249" s="107" t="s">
        <v>650</v>
      </c>
      <c r="AC249" s="211" t="s">
        <v>451</v>
      </c>
      <c r="AD249" s="125">
        <f>AI234*AD242</f>
        <v>0</v>
      </c>
      <c r="AE249" s="125">
        <f>AI234*AE242</f>
        <v>9.5770617937004331E-3</v>
      </c>
      <c r="AF249" s="125">
        <f>AI234*AF242</f>
        <v>1.2902505409954348</v>
      </c>
      <c r="AG249" s="125">
        <f>AI234*AG242</f>
        <v>0.55641380139456742</v>
      </c>
      <c r="AH249" s="125">
        <f>AI234*AH242</f>
        <v>1.375859581630203E-2</v>
      </c>
      <c r="AI249" s="226">
        <f>SUM(AD249:AH249)</f>
        <v>1.8700000000000045</v>
      </c>
      <c r="AJ249" s="107"/>
      <c r="AK249" s="140"/>
      <c r="AL249" s="140"/>
      <c r="AM249" s="107"/>
      <c r="AN249" s="107"/>
    </row>
    <row r="250" spans="2:40" x14ac:dyDescent="0.3">
      <c r="B250" s="107" t="s">
        <v>651</v>
      </c>
      <c r="C250" s="107" t="s">
        <v>652</v>
      </c>
      <c r="D250" s="108">
        <f>SUM(D243:H243)+D249</f>
        <v>7.5116492878266232</v>
      </c>
      <c r="E250" s="108">
        <f>SUM(D244:H244)+E249</f>
        <v>5.0383310390099938</v>
      </c>
      <c r="F250" s="108">
        <f>SUM(D245:H245)+F249</f>
        <v>165.72611742472668</v>
      </c>
      <c r="G250" s="108">
        <f>SUM(D246:H246)+G249</f>
        <v>649.1080927742413</v>
      </c>
      <c r="H250" s="108">
        <f>SUM(D247:H247)+H249</f>
        <v>172.64580947419645</v>
      </c>
      <c r="I250" s="107"/>
      <c r="J250" s="107"/>
      <c r="K250" s="108">
        <f>D250+E250+G250+H250</f>
        <v>834.30388257527432</v>
      </c>
      <c r="L250" s="108">
        <f>F250</f>
        <v>165.72611742472668</v>
      </c>
      <c r="M250" s="107"/>
      <c r="N250" s="107"/>
      <c r="O250" s="107" t="s">
        <v>651</v>
      </c>
      <c r="P250" s="107" t="s">
        <v>652</v>
      </c>
      <c r="Q250" s="108">
        <f>SUM(Q243:U243)+Q249</f>
        <v>0</v>
      </c>
      <c r="R250" s="108">
        <f>SUM(Q244:U244)+R249</f>
        <v>0.4435931505631498</v>
      </c>
      <c r="S250" s="108">
        <f>SUM(Q245:U245)+S249</f>
        <v>40.478500523144852</v>
      </c>
      <c r="T250" s="108">
        <f>SUM(Q246:U246)+T249</f>
        <v>10.458217888135886</v>
      </c>
      <c r="U250" s="108">
        <f>SUM(Q247:U247)+U249</f>
        <v>0.88968843815606757</v>
      </c>
      <c r="V250" s="107"/>
      <c r="W250" s="107"/>
      <c r="X250" s="108">
        <f>Q250+R250+T250+U250</f>
        <v>11.791499476855103</v>
      </c>
      <c r="Y250" s="108">
        <f>S250</f>
        <v>40.478500523144852</v>
      </c>
      <c r="Z250" s="107"/>
      <c r="AA250" s="107"/>
      <c r="AB250" s="107" t="s">
        <v>651</v>
      </c>
      <c r="AC250" s="107" t="s">
        <v>652</v>
      </c>
      <c r="AD250" s="108">
        <f>SUM(AD243:AH243)+AD249</f>
        <v>0</v>
      </c>
      <c r="AE250" s="108">
        <f>SUM(AD244:AH244)+AE249</f>
        <v>5.2289733108920211E-2</v>
      </c>
      <c r="AF250" s="108">
        <f>SUM(AD245:AH245)+AF249</f>
        <v>7.0446299591247605</v>
      </c>
      <c r="AG250" s="108">
        <f>SUM(AD246:AH246)+AG249</f>
        <v>3.0379598461168422</v>
      </c>
      <c r="AH250" s="108">
        <f>SUM(AD247:AH247)+AH249</f>
        <v>7.5120461649434658E-2</v>
      </c>
      <c r="AI250" s="107"/>
      <c r="AJ250" s="107"/>
      <c r="AK250" s="108">
        <f>AD250+AE250+AG250+AH250</f>
        <v>3.1653700408751972</v>
      </c>
      <c r="AL250" s="108">
        <f>AF250</f>
        <v>7.0446299591247605</v>
      </c>
      <c r="AM250" s="107"/>
      <c r="AN250" s="107"/>
    </row>
    <row r="251" spans="2:40" x14ac:dyDescent="0.3">
      <c r="B251" s="107" t="s">
        <v>651</v>
      </c>
      <c r="C251" s="107" t="s">
        <v>653</v>
      </c>
      <c r="D251" s="145">
        <f>D250/$N$2</f>
        <v>3.034280360005018E-4</v>
      </c>
      <c r="E251" s="145">
        <f t="shared" ref="E251:H251" si="153">E250/$N$2</f>
        <v>2.0352000383786498E-4</v>
      </c>
      <c r="F251" s="145">
        <f t="shared" si="153"/>
        <v>6.6943953847348487E-3</v>
      </c>
      <c r="G251" s="145">
        <f t="shared" si="153"/>
        <v>2.622028614431041E-2</v>
      </c>
      <c r="H251" s="145">
        <f t="shared" si="153"/>
        <v>6.9739117050323842E-3</v>
      </c>
      <c r="I251" s="107"/>
      <c r="J251" s="107"/>
      <c r="K251" s="151">
        <f>K250/$N$2</f>
        <v>3.3701145889181161E-2</v>
      </c>
      <c r="L251" s="146">
        <f>L250/$N$2</f>
        <v>6.6943953847348487E-3</v>
      </c>
      <c r="M251" s="107"/>
      <c r="N251" s="107"/>
      <c r="O251" s="107" t="s">
        <v>651</v>
      </c>
      <c r="P251" s="107" t="s">
        <v>653</v>
      </c>
      <c r="Q251" s="145">
        <f>Q250/$N$3</f>
        <v>0</v>
      </c>
      <c r="R251" s="145">
        <f t="shared" ref="R251:U251" si="154">R250/$N$3</f>
        <v>3.0201881217023187E-4</v>
      </c>
      <c r="S251" s="145">
        <f t="shared" si="154"/>
        <v>2.7559642503298599E-2</v>
      </c>
      <c r="T251" s="145">
        <f t="shared" si="154"/>
        <v>7.1204402953075289E-3</v>
      </c>
      <c r="U251" s="145">
        <f t="shared" si="154"/>
        <v>6.0574119540024755E-4</v>
      </c>
      <c r="V251" s="107"/>
      <c r="W251" s="107"/>
      <c r="X251" s="151">
        <f>X250/$N$3</f>
        <v>8.0282003028780084E-3</v>
      </c>
      <c r="Y251" s="151">
        <f>Y250/$N$3</f>
        <v>2.7559642503298599E-2</v>
      </c>
      <c r="Z251" s="107"/>
      <c r="AA251" s="107"/>
      <c r="AB251" s="107" t="s">
        <v>651</v>
      </c>
      <c r="AC251" s="107" t="s">
        <v>653</v>
      </c>
      <c r="AD251" s="145">
        <f>AD250/$N$4</f>
        <v>0</v>
      </c>
      <c r="AE251" s="145">
        <f t="shared" ref="AE251:AH251" si="155">AE250/$N$4</f>
        <v>1.2516392538698378E-4</v>
      </c>
      <c r="AF251" s="145">
        <f t="shared" si="155"/>
        <v>1.6862460107534675E-2</v>
      </c>
      <c r="AG251" s="145">
        <f t="shared" si="155"/>
        <v>7.2718477777648999E-3</v>
      </c>
      <c r="AH251" s="145">
        <f t="shared" si="155"/>
        <v>1.7981296323200485E-4</v>
      </c>
      <c r="AI251" s="107"/>
      <c r="AJ251" s="107"/>
      <c r="AK251" s="151">
        <f>AK250/$N$4</f>
        <v>7.5768246663838893E-3</v>
      </c>
      <c r="AL251" s="151">
        <f>AL250/$N$4</f>
        <v>1.6862460107534675E-2</v>
      </c>
      <c r="AM251" s="107"/>
      <c r="AN251" s="107"/>
    </row>
    <row r="254" spans="2:40" x14ac:dyDescent="0.3">
      <c r="D254" t="s">
        <v>441</v>
      </c>
      <c r="E254" t="s">
        <v>442</v>
      </c>
      <c r="F254" t="s">
        <v>443</v>
      </c>
      <c r="G254" t="s">
        <v>444</v>
      </c>
      <c r="H254" t="s">
        <v>445</v>
      </c>
      <c r="Q254" t="s">
        <v>441</v>
      </c>
      <c r="R254" t="s">
        <v>442</v>
      </c>
      <c r="S254" t="s">
        <v>443</v>
      </c>
      <c r="T254" t="s">
        <v>444</v>
      </c>
      <c r="U254" t="s">
        <v>445</v>
      </c>
      <c r="AD254" t="s">
        <v>441</v>
      </c>
      <c r="AE254" t="s">
        <v>442</v>
      </c>
      <c r="AF254" t="s">
        <v>443</v>
      </c>
      <c r="AG254" t="s">
        <v>444</v>
      </c>
      <c r="AH254" t="s">
        <v>445</v>
      </c>
    </row>
    <row r="255" spans="2:40" x14ac:dyDescent="0.3">
      <c r="B255" s="118" t="s">
        <v>352</v>
      </c>
      <c r="C255" s="8">
        <v>20</v>
      </c>
      <c r="D255" s="90" t="s">
        <v>447</v>
      </c>
      <c r="E255" s="91" t="s">
        <v>446</v>
      </c>
      <c r="F255" s="92" t="s">
        <v>448</v>
      </c>
      <c r="G255" s="124" t="s">
        <v>449</v>
      </c>
      <c r="H255" s="123" t="s">
        <v>450</v>
      </c>
      <c r="I255" s="211" t="s">
        <v>451</v>
      </c>
      <c r="J255" s="212" t="s">
        <v>514</v>
      </c>
      <c r="K255" s="213" t="s">
        <v>515</v>
      </c>
      <c r="L255" s="214" t="s">
        <v>448</v>
      </c>
      <c r="Q255" s="90" t="s">
        <v>447</v>
      </c>
      <c r="R255" s="91" t="s">
        <v>446</v>
      </c>
      <c r="S255" s="92" t="s">
        <v>448</v>
      </c>
      <c r="T255" s="124" t="s">
        <v>449</v>
      </c>
      <c r="U255" s="123" t="s">
        <v>450</v>
      </c>
      <c r="V255" s="211" t="s">
        <v>451</v>
      </c>
      <c r="W255" s="212" t="s">
        <v>514</v>
      </c>
      <c r="X255" s="213" t="s">
        <v>515</v>
      </c>
      <c r="Y255" s="214" t="s">
        <v>448</v>
      </c>
      <c r="AD255" s="90" t="s">
        <v>447</v>
      </c>
      <c r="AE255" s="91" t="s">
        <v>446</v>
      </c>
      <c r="AF255" s="92" t="s">
        <v>448</v>
      </c>
      <c r="AG255" s="124" t="s">
        <v>449</v>
      </c>
      <c r="AH255" s="123" t="s">
        <v>450</v>
      </c>
      <c r="AI255" s="211" t="s">
        <v>451</v>
      </c>
      <c r="AJ255" s="212" t="s">
        <v>514</v>
      </c>
      <c r="AK255" s="213" t="s">
        <v>515</v>
      </c>
      <c r="AL255" s="214" t="s">
        <v>448</v>
      </c>
    </row>
    <row r="256" spans="2:40" x14ac:dyDescent="0.3">
      <c r="B256" s="119" t="s">
        <v>675</v>
      </c>
      <c r="C256" s="107"/>
      <c r="D256" s="116"/>
      <c r="E256" s="116"/>
      <c r="F256" s="116"/>
      <c r="G256" s="116"/>
      <c r="H256" s="116"/>
      <c r="I256" s="107"/>
      <c r="J256" s="107"/>
      <c r="K256" s="107"/>
      <c r="L256" s="107"/>
      <c r="M256" s="107"/>
      <c r="N256" s="141"/>
      <c r="O256" s="119" t="s">
        <v>712</v>
      </c>
      <c r="P256" s="107"/>
      <c r="Q256" s="116"/>
      <c r="R256" s="116"/>
      <c r="S256" s="116"/>
      <c r="T256" s="116"/>
      <c r="U256" s="116"/>
      <c r="V256" s="107"/>
      <c r="W256" s="107"/>
      <c r="X256" s="107"/>
      <c r="Y256" s="107"/>
      <c r="Z256" s="107"/>
      <c r="AA256" s="141"/>
      <c r="AB256" s="119" t="s">
        <v>779</v>
      </c>
      <c r="AC256" s="107"/>
      <c r="AD256" s="116"/>
      <c r="AE256" s="116"/>
      <c r="AF256" s="116"/>
      <c r="AG256" s="116"/>
      <c r="AH256" s="116"/>
      <c r="AI256" s="107"/>
      <c r="AJ256" s="107"/>
      <c r="AK256" s="107"/>
      <c r="AL256" s="107"/>
      <c r="AM256" s="107"/>
      <c r="AN256" s="107"/>
    </row>
    <row r="257" spans="2:40" x14ac:dyDescent="0.3">
      <c r="B257" s="115" t="s">
        <v>375</v>
      </c>
      <c r="C257" s="122" t="s">
        <v>9</v>
      </c>
      <c r="D257" s="135">
        <f>'24M_Seeds'!AL127</f>
        <v>226.16</v>
      </c>
      <c r="E257" s="135">
        <f>'24M_Seeds'!AM127</f>
        <v>137.78</v>
      </c>
      <c r="F257" s="135">
        <f>'24M_Seeds'!AN127</f>
        <v>4246.3</v>
      </c>
      <c r="G257" s="135">
        <f>'24M_Seeds'!AO127</f>
        <v>15462.81</v>
      </c>
      <c r="H257" s="135">
        <f>'24M_Seeds'!AP127</f>
        <v>4574.74</v>
      </c>
      <c r="I257" s="108">
        <f>$N$2-N257</f>
        <v>108.15999999999985</v>
      </c>
      <c r="J257" s="108"/>
      <c r="K257" s="108">
        <f>D257+E257+G257+H257</f>
        <v>20401.489999999998</v>
      </c>
      <c r="L257" s="108">
        <f>F257</f>
        <v>4246.3</v>
      </c>
      <c r="M257" s="115" t="s">
        <v>36</v>
      </c>
      <c r="N257" s="136">
        <f>SUM(D257:H257)</f>
        <v>24647.79</v>
      </c>
      <c r="O257" s="115" t="s">
        <v>375</v>
      </c>
      <c r="P257" s="122" t="s">
        <v>9</v>
      </c>
      <c r="Q257" s="135">
        <f>'24M_Seeds'!AL132</f>
        <v>0.06</v>
      </c>
      <c r="R257" s="135">
        <f>'24M_Seeds'!AM132</f>
        <v>18.98</v>
      </c>
      <c r="S257" s="135">
        <f>'24M_Seeds'!AN132</f>
        <v>1179.93</v>
      </c>
      <c r="T257" s="135">
        <f>'24M_Seeds'!AO132</f>
        <v>230.11</v>
      </c>
      <c r="U257" s="135">
        <f>'24M_Seeds'!AP132</f>
        <v>33.24</v>
      </c>
      <c r="V257" s="108">
        <f>$N$3-AA257</f>
        <v>6.4400000000000546</v>
      </c>
      <c r="W257" s="108"/>
      <c r="X257" s="108">
        <f>Q257+R257+T257+U257</f>
        <v>282.39</v>
      </c>
      <c r="Y257" s="108">
        <f>S257</f>
        <v>1179.93</v>
      </c>
      <c r="Z257" s="115" t="s">
        <v>36</v>
      </c>
      <c r="AA257" s="136">
        <f>SUM(Q257:U257)</f>
        <v>1462.32</v>
      </c>
      <c r="AB257" s="115" t="s">
        <v>375</v>
      </c>
      <c r="AC257" s="122" t="s">
        <v>9</v>
      </c>
      <c r="AD257" s="135">
        <v>0</v>
      </c>
      <c r="AE257" s="135">
        <v>2.8</v>
      </c>
      <c r="AF257" s="135">
        <v>293.85000000000002</v>
      </c>
      <c r="AG257" s="135">
        <v>113.31</v>
      </c>
      <c r="AH257" s="135">
        <v>5.95</v>
      </c>
      <c r="AI257" s="108">
        <f>$N$4-AN257</f>
        <v>1.8599999999999568</v>
      </c>
      <c r="AJ257" s="108"/>
      <c r="AK257" s="108">
        <f>AD257+AE257+AG257+AH257</f>
        <v>122.06</v>
      </c>
      <c r="AL257" s="108">
        <f>AF257</f>
        <v>293.85000000000002</v>
      </c>
      <c r="AM257" s="115" t="s">
        <v>36</v>
      </c>
      <c r="AN257" s="136">
        <f>SUM(AD257:AH257)</f>
        <v>415.91</v>
      </c>
    </row>
    <row r="258" spans="2:40" x14ac:dyDescent="0.3">
      <c r="B258" s="107"/>
      <c r="C258" s="140" t="s">
        <v>456</v>
      </c>
      <c r="D258" s="150">
        <f t="shared" ref="D258:I258" si="156">D257/$N$2</f>
        <v>9.1355815470624234E-3</v>
      </c>
      <c r="E258" s="150">
        <f t="shared" si="156"/>
        <v>5.5655307107988182E-3</v>
      </c>
      <c r="F258" s="150">
        <f t="shared" si="156"/>
        <v>0.17152644111819584</v>
      </c>
      <c r="G258" s="150">
        <f t="shared" si="156"/>
        <v>0.62460984127048236</v>
      </c>
      <c r="H258" s="150">
        <f t="shared" si="156"/>
        <v>0.18479355468079389</v>
      </c>
      <c r="I258" s="150">
        <f t="shared" si="156"/>
        <v>4.369050672666565E-3</v>
      </c>
      <c r="J258" s="150"/>
      <c r="K258" s="150">
        <f>K257/$N$2</f>
        <v>0.8241045082091375</v>
      </c>
      <c r="L258" s="150">
        <f>L257/$N$2</f>
        <v>0.17152644111819584</v>
      </c>
      <c r="M258" s="144">
        <f>SUM(D258:I258)</f>
        <v>1</v>
      </c>
      <c r="N258" s="141"/>
      <c r="O258" s="107"/>
      <c r="P258" s="140" t="s">
        <v>455</v>
      </c>
      <c r="Q258" s="150">
        <f t="shared" ref="Q258:V258" si="157">Q257/$N$3</f>
        <v>4.0850785696778231E-5</v>
      </c>
      <c r="R258" s="150">
        <f t="shared" si="157"/>
        <v>1.2922465208747515E-2</v>
      </c>
      <c r="S258" s="150">
        <f t="shared" si="157"/>
        <v>0.80335112611999238</v>
      </c>
      <c r="T258" s="150">
        <f t="shared" si="157"/>
        <v>0.15666957161142733</v>
      </c>
      <c r="U258" s="150">
        <f t="shared" si="157"/>
        <v>2.2631335276015144E-2</v>
      </c>
      <c r="V258" s="150">
        <f t="shared" si="157"/>
        <v>4.3846509981209014E-3</v>
      </c>
      <c r="W258" s="150"/>
      <c r="X258" s="150">
        <f>X257/$N$3</f>
        <v>0.19226422288188674</v>
      </c>
      <c r="Y258" s="150">
        <f>Y257/$N$3</f>
        <v>0.80335112611999238</v>
      </c>
      <c r="Z258" s="144">
        <f>SUM(Q258:V258)</f>
        <v>1</v>
      </c>
      <c r="AA258" s="141"/>
      <c r="AB258" s="107"/>
      <c r="AC258" s="140" t="s">
        <v>455</v>
      </c>
      <c r="AD258" s="150">
        <f>AD257/$N$4</f>
        <v>0</v>
      </c>
      <c r="AE258" s="150">
        <f t="shared" ref="AE258:AI258" si="158">AE257/$N$4</f>
        <v>6.7022524355506621E-3</v>
      </c>
      <c r="AF258" s="150">
        <f t="shared" si="158"/>
        <v>0.70337745649520078</v>
      </c>
      <c r="AG258" s="150">
        <f t="shared" si="158"/>
        <v>0.27122579409723058</v>
      </c>
      <c r="AH258" s="150">
        <f t="shared" si="158"/>
        <v>1.4242286425545158E-2</v>
      </c>
      <c r="AI258" s="150">
        <f t="shared" si="158"/>
        <v>4.4522105464728364E-3</v>
      </c>
      <c r="AJ258" s="150"/>
      <c r="AK258" s="150">
        <f t="shared" ref="AK258:AL258" si="159">AK257/$N$4</f>
        <v>0.2921703329583264</v>
      </c>
      <c r="AL258" s="150">
        <f t="shared" si="159"/>
        <v>0.70337745649520078</v>
      </c>
      <c r="AM258" s="144">
        <f>SUM(AD258:AI258)</f>
        <v>1</v>
      </c>
      <c r="AN258" s="107"/>
    </row>
    <row r="259" spans="2:40" x14ac:dyDescent="0.3">
      <c r="B259" s="107" t="s">
        <v>513</v>
      </c>
      <c r="C259" s="107" t="s">
        <v>9</v>
      </c>
      <c r="D259" s="108">
        <v>221.89</v>
      </c>
      <c r="E259" s="108">
        <v>93.07</v>
      </c>
      <c r="F259" s="108">
        <v>4029.74</v>
      </c>
      <c r="G259" s="108">
        <v>15059.21</v>
      </c>
      <c r="H259" s="108">
        <v>4317.68</v>
      </c>
      <c r="I259" s="108">
        <f>I257</f>
        <v>108.15999999999985</v>
      </c>
      <c r="J259" s="108">
        <f>SUM(D257:H257)-SUM(D259:H259)</f>
        <v>926.20000000000073</v>
      </c>
      <c r="K259" s="108">
        <f>D259+E259+G259+H259</f>
        <v>19691.849999999999</v>
      </c>
      <c r="L259" s="108">
        <f>F259</f>
        <v>4029.74</v>
      </c>
      <c r="M259" s="144"/>
      <c r="N259" s="107"/>
      <c r="O259" s="107" t="s">
        <v>513</v>
      </c>
      <c r="P259" s="107" t="s">
        <v>9</v>
      </c>
      <c r="Q259" s="108">
        <v>0</v>
      </c>
      <c r="R259" s="108">
        <v>14.3</v>
      </c>
      <c r="S259" s="108">
        <v>1163.03</v>
      </c>
      <c r="T259" s="108">
        <v>219.37</v>
      </c>
      <c r="U259" s="108">
        <v>27.33</v>
      </c>
      <c r="V259" s="108">
        <f>V257</f>
        <v>6.4400000000000546</v>
      </c>
      <c r="W259" s="108">
        <f>SUM(Q257:U257)-SUM(Q259:U259)</f>
        <v>38.290000000000191</v>
      </c>
      <c r="X259" s="108">
        <f>Q259+R259+T259+U259</f>
        <v>261</v>
      </c>
      <c r="Y259" s="108">
        <f>S259</f>
        <v>1163.03</v>
      </c>
      <c r="Z259" s="115" t="s">
        <v>524</v>
      </c>
      <c r="AA259" s="195">
        <f>SUM(Q259:U259)</f>
        <v>1424.0299999999997</v>
      </c>
      <c r="AB259" s="107" t="s">
        <v>513</v>
      </c>
      <c r="AC259" s="122" t="s">
        <v>9</v>
      </c>
      <c r="AD259" s="108">
        <v>0</v>
      </c>
      <c r="AE259" s="108">
        <v>1.81</v>
      </c>
      <c r="AF259" s="108">
        <v>289.3</v>
      </c>
      <c r="AG259" s="108">
        <v>110.51</v>
      </c>
      <c r="AH259" s="108">
        <v>4.49</v>
      </c>
      <c r="AI259" s="108">
        <f>AI257</f>
        <v>1.8599999999999568</v>
      </c>
      <c r="AJ259" s="108">
        <f>SUM(AD257:AH257)-SUM(AD259:AH259)</f>
        <v>9.8000000000000114</v>
      </c>
      <c r="AK259" s="108">
        <f>AD259+AE259+AG259+AH259</f>
        <v>116.81</v>
      </c>
      <c r="AL259" s="108">
        <f>AF259</f>
        <v>289.3</v>
      </c>
      <c r="AM259" s="115" t="s">
        <v>524</v>
      </c>
      <c r="AN259" s="195">
        <f>SUM(AD259:AH259)</f>
        <v>406.11</v>
      </c>
    </row>
    <row r="260" spans="2:40" x14ac:dyDescent="0.3">
      <c r="B260" s="107"/>
      <c r="C260" s="140" t="s">
        <v>455</v>
      </c>
      <c r="D260" s="150">
        <f t="shared" ref="D260:L260" si="160">D259/$N$2</f>
        <v>8.9630977603364029E-3</v>
      </c>
      <c r="E260" s="150">
        <f t="shared" si="160"/>
        <v>3.7595002413561181E-3</v>
      </c>
      <c r="F260" s="150">
        <f t="shared" si="160"/>
        <v>0.16277864513379611</v>
      </c>
      <c r="G260" s="150">
        <f t="shared" si="160"/>
        <v>0.60830668990687087</v>
      </c>
      <c r="H260" s="150">
        <f t="shared" si="160"/>
        <v>0.17440978835391088</v>
      </c>
      <c r="I260" s="150">
        <f t="shared" si="160"/>
        <v>4.369050672666565E-3</v>
      </c>
      <c r="J260" s="150">
        <f t="shared" si="160"/>
        <v>3.7413227931063067E-2</v>
      </c>
      <c r="K260" s="150">
        <f t="shared" si="160"/>
        <v>0.79543907626247423</v>
      </c>
      <c r="L260" s="150">
        <f t="shared" si="160"/>
        <v>0.16277864513379611</v>
      </c>
      <c r="M260" s="144">
        <f>SUM(D260:J260)</f>
        <v>1</v>
      </c>
      <c r="N260" s="107"/>
      <c r="O260" s="107"/>
      <c r="P260" s="140" t="s">
        <v>455</v>
      </c>
      <c r="Q260" s="150">
        <f t="shared" ref="Q260:Y260" si="161">Q259/$N$3</f>
        <v>0</v>
      </c>
      <c r="R260" s="150">
        <f t="shared" si="161"/>
        <v>9.7361039243988139E-3</v>
      </c>
      <c r="S260" s="150">
        <f t="shared" si="161"/>
        <v>0.79184482148206647</v>
      </c>
      <c r="T260" s="150">
        <f t="shared" si="161"/>
        <v>0.14935728097170403</v>
      </c>
      <c r="U260" s="150">
        <f t="shared" si="161"/>
        <v>1.8607532884882486E-2</v>
      </c>
      <c r="V260" s="150">
        <f t="shared" si="161"/>
        <v>4.3846509981209014E-3</v>
      </c>
      <c r="W260" s="150">
        <f t="shared" si="161"/>
        <v>2.6069609738827441E-2</v>
      </c>
      <c r="X260" s="150">
        <f t="shared" si="161"/>
        <v>0.17770091778098532</v>
      </c>
      <c r="Y260" s="150">
        <f t="shared" si="161"/>
        <v>0.79184482148206647</v>
      </c>
      <c r="Z260" s="144">
        <f>SUM(Q260:W260)</f>
        <v>1.0000000000000002</v>
      </c>
      <c r="AA260" s="194">
        <f>AA259/AA257</f>
        <v>0.9738155807210459</v>
      </c>
      <c r="AB260" s="107"/>
      <c r="AC260" s="140" t="s">
        <v>455</v>
      </c>
      <c r="AD260" s="150">
        <f t="shared" ref="AD260:AL260" si="162">AD259/$N$4</f>
        <v>0</v>
      </c>
      <c r="AE260" s="150">
        <f t="shared" si="162"/>
        <v>4.3325274672666786E-3</v>
      </c>
      <c r="AF260" s="150">
        <f t="shared" si="162"/>
        <v>0.69248629628743097</v>
      </c>
      <c r="AG260" s="150">
        <f t="shared" si="162"/>
        <v>0.26452354166167991</v>
      </c>
      <c r="AH260" s="150">
        <f t="shared" si="162"/>
        <v>1.0747540512722312E-2</v>
      </c>
      <c r="AI260" s="150">
        <f t="shared" si="162"/>
        <v>4.4522105464728364E-3</v>
      </c>
      <c r="AJ260" s="150">
        <f t="shared" si="162"/>
        <v>2.3457883524427344E-2</v>
      </c>
      <c r="AK260" s="150">
        <f t="shared" si="162"/>
        <v>0.27960360964166886</v>
      </c>
      <c r="AL260" s="150">
        <f t="shared" si="162"/>
        <v>0.69248629628743097</v>
      </c>
      <c r="AM260" s="144">
        <f>SUM(AD260:AJ260)</f>
        <v>1</v>
      </c>
      <c r="AN260" s="194">
        <f>AN259/AN257</f>
        <v>0.97643720997331152</v>
      </c>
    </row>
    <row r="261" spans="2:40" x14ac:dyDescent="0.3">
      <c r="B261" s="107"/>
      <c r="C261" s="107" t="s">
        <v>516</v>
      </c>
      <c r="D261" s="112">
        <f>D257-D259</f>
        <v>4.2700000000000102</v>
      </c>
      <c r="E261" s="112">
        <f>E257-E259</f>
        <v>44.710000000000008</v>
      </c>
      <c r="F261" s="112">
        <f>F257-F259</f>
        <v>216.5600000000004</v>
      </c>
      <c r="G261" s="112">
        <f>G257-G259</f>
        <v>403.60000000000036</v>
      </c>
      <c r="H261" s="112">
        <f>H257-H259</f>
        <v>257.05999999999949</v>
      </c>
      <c r="I261" s="146"/>
      <c r="J261" s="146"/>
      <c r="K261" s="112">
        <f>K257-K259</f>
        <v>709.63999999999942</v>
      </c>
      <c r="L261" s="108">
        <f>F261</f>
        <v>216.5600000000004</v>
      </c>
      <c r="M261" s="144"/>
      <c r="N261" s="107"/>
      <c r="O261" s="107"/>
      <c r="P261" s="107" t="s">
        <v>516</v>
      </c>
      <c r="Q261" s="112">
        <f>Q257-Q259</f>
        <v>0.06</v>
      </c>
      <c r="R261" s="112">
        <f>R257-R259</f>
        <v>4.68</v>
      </c>
      <c r="S261" s="112">
        <f>S257-S259</f>
        <v>16.900000000000091</v>
      </c>
      <c r="T261" s="112">
        <f>T257-T259</f>
        <v>10.740000000000009</v>
      </c>
      <c r="U261" s="112">
        <f>U257-U259</f>
        <v>5.9100000000000037</v>
      </c>
      <c r="V261" s="146"/>
      <c r="W261" s="146"/>
      <c r="X261" s="112">
        <f>X257-X259</f>
        <v>21.389999999999986</v>
      </c>
      <c r="Y261" s="108">
        <f>S261</f>
        <v>16.900000000000091</v>
      </c>
      <c r="Z261" s="144"/>
      <c r="AA261" s="107"/>
      <c r="AB261" s="107"/>
      <c r="AC261" s="107" t="s">
        <v>516</v>
      </c>
      <c r="AD261" s="112">
        <f>AD257-AD259</f>
        <v>0</v>
      </c>
      <c r="AE261" s="112">
        <f>AE257-AE259</f>
        <v>0.98999999999999977</v>
      </c>
      <c r="AF261" s="112">
        <f>AF257-AF259</f>
        <v>4.5500000000000114</v>
      </c>
      <c r="AG261" s="112">
        <f>AG257-AG259</f>
        <v>2.7999999999999972</v>
      </c>
      <c r="AH261" s="112">
        <f>AH257-AH259</f>
        <v>1.46</v>
      </c>
      <c r="AI261" s="146"/>
      <c r="AJ261" s="146"/>
      <c r="AK261" s="112">
        <f>AK257-AK259</f>
        <v>5.25</v>
      </c>
      <c r="AL261" s="108">
        <f>AF261</f>
        <v>4.5500000000000114</v>
      </c>
      <c r="AM261" s="144"/>
      <c r="AN261" s="107"/>
    </row>
    <row r="262" spans="2:40" x14ac:dyDescent="0.3">
      <c r="B262" s="107"/>
      <c r="C262" s="107" t="s">
        <v>517</v>
      </c>
      <c r="D262" s="146">
        <f>D261/D257</f>
        <v>1.8880438627520386E-2</v>
      </c>
      <c r="E262" s="146">
        <f>E261/E257</f>
        <v>0.32450283059950652</v>
      </c>
      <c r="F262" s="146">
        <f>F261/F257</f>
        <v>5.0999693851117536E-2</v>
      </c>
      <c r="G262" s="146">
        <f>G261/G257</f>
        <v>2.6101336044354186E-2</v>
      </c>
      <c r="H262" s="146">
        <f>H261/H257</f>
        <v>5.619117152013E-2</v>
      </c>
      <c r="I262" s="146"/>
      <c r="J262" s="146"/>
      <c r="K262" s="150">
        <f>K261/K257</f>
        <v>3.4783733933158777E-2</v>
      </c>
      <c r="L262" s="150">
        <f>L261/$N$2</f>
        <v>8.7477959843997258E-3</v>
      </c>
      <c r="M262" s="144"/>
      <c r="N262" s="107"/>
      <c r="O262" s="107"/>
      <c r="P262" s="107" t="s">
        <v>517</v>
      </c>
      <c r="Q262" s="146">
        <f>Q261/Q257</f>
        <v>1</v>
      </c>
      <c r="R262" s="146">
        <f>R261/R257</f>
        <v>0.24657534246575341</v>
      </c>
      <c r="S262" s="146">
        <f>S261/S257</f>
        <v>1.4322883560889281E-2</v>
      </c>
      <c r="T262" s="146">
        <f>T261/T257</f>
        <v>4.6673330146451732E-2</v>
      </c>
      <c r="U262" s="146">
        <f>U261/U257</f>
        <v>0.17779783393501816</v>
      </c>
      <c r="V262" s="146"/>
      <c r="W262" s="146"/>
      <c r="X262" s="150">
        <f>X261/X257</f>
        <v>7.5746308297035964E-2</v>
      </c>
      <c r="Y262" s="150">
        <f>Y261/$N$3</f>
        <v>1.1506304637925931E-2</v>
      </c>
      <c r="Z262" s="144"/>
      <c r="AA262" s="107"/>
      <c r="AB262" s="107"/>
      <c r="AC262" s="107" t="s">
        <v>517</v>
      </c>
      <c r="AD262" s="146" t="s">
        <v>527</v>
      </c>
      <c r="AE262" s="146">
        <f>AE261/AE257</f>
        <v>0.35357142857142854</v>
      </c>
      <c r="AF262" s="146">
        <f>AF261/AF257</f>
        <v>1.5484090522375399E-2</v>
      </c>
      <c r="AG262" s="146">
        <f>AG261/AG257</f>
        <v>2.4710969905568769E-2</v>
      </c>
      <c r="AH262" s="146">
        <f>AH261/AH257</f>
        <v>0.24537815126050419</v>
      </c>
      <c r="AI262" s="146"/>
      <c r="AJ262" s="146"/>
      <c r="AK262" s="150">
        <f t="shared" ref="AK262:AL262" si="163">AK261/$N$4</f>
        <v>1.2566723316657492E-2</v>
      </c>
      <c r="AL262" s="150">
        <f t="shared" si="163"/>
        <v>1.0891160207769854E-2</v>
      </c>
      <c r="AM262" s="144"/>
      <c r="AN262" s="107"/>
    </row>
    <row r="263" spans="2:40" x14ac:dyDescent="0.3">
      <c r="B263" s="115" t="s">
        <v>376</v>
      </c>
      <c r="C263" s="122" t="s">
        <v>9</v>
      </c>
      <c r="D263" s="135">
        <f>'24M_Seeds'!AL129</f>
        <v>225.02000000000004</v>
      </c>
      <c r="E263" s="135">
        <f>'24M_Seeds'!AM129</f>
        <v>145.392</v>
      </c>
      <c r="F263" s="135">
        <f>'24M_Seeds'!AN129</f>
        <v>4247.0959999999995</v>
      </c>
      <c r="G263" s="135">
        <f>'24M_Seeds'!AO129</f>
        <v>15445.788500000001</v>
      </c>
      <c r="H263" s="135">
        <f>'24M_Seeds'!AP129</f>
        <v>4584.4985000000006</v>
      </c>
      <c r="I263" s="108">
        <f>$N$2-N263</f>
        <v>108.15499999999884</v>
      </c>
      <c r="J263" s="108"/>
      <c r="K263" s="108"/>
      <c r="L263" s="108"/>
      <c r="M263" s="115" t="s">
        <v>36</v>
      </c>
      <c r="N263" s="136">
        <f>SUM(D263:H263)</f>
        <v>24647.795000000002</v>
      </c>
      <c r="O263" s="115" t="s">
        <v>376</v>
      </c>
      <c r="P263" s="122" t="s">
        <v>9</v>
      </c>
      <c r="Q263" s="135">
        <f>'24M_Seeds'!AL134</f>
        <v>3.7500000000000012E-2</v>
      </c>
      <c r="R263" s="135">
        <f>'24M_Seeds'!AM134</f>
        <v>19.704999999999998</v>
      </c>
      <c r="S263" s="135">
        <f>'24M_Seeds'!AN134</f>
        <v>1176.607</v>
      </c>
      <c r="T263" s="135">
        <f>'24M_Seeds'!AO134</f>
        <v>232.40949999999998</v>
      </c>
      <c r="U263" s="135">
        <f>'24M_Seeds'!AP134</f>
        <v>33.556500000000007</v>
      </c>
      <c r="V263" s="108">
        <f>$N$3-AA263</f>
        <v>6.4445000000000618</v>
      </c>
      <c r="W263" s="108"/>
      <c r="X263" s="108"/>
      <c r="Y263" s="108"/>
      <c r="Z263" s="115" t="s">
        <v>36</v>
      </c>
      <c r="AA263" s="136">
        <f>SUM(Q263:U263)</f>
        <v>1462.3154999999999</v>
      </c>
      <c r="AB263" s="115" t="s">
        <v>376</v>
      </c>
      <c r="AC263" s="122"/>
      <c r="AD263" s="138"/>
      <c r="AE263" s="135"/>
      <c r="AF263" s="135"/>
      <c r="AG263" s="135"/>
      <c r="AH263" s="135"/>
      <c r="AI263" s="108"/>
      <c r="AJ263" s="108"/>
      <c r="AK263" s="108"/>
      <c r="AL263" s="108"/>
      <c r="AM263" s="115"/>
      <c r="AN263" s="136"/>
    </row>
    <row r="264" spans="2:40" x14ac:dyDescent="0.3">
      <c r="B264" s="115"/>
      <c r="C264" s="140" t="s">
        <v>455</v>
      </c>
      <c r="D264" s="150">
        <f t="shared" ref="D264:I264" si="164">D263/$N$2</f>
        <v>9.0895320114962267E-3</v>
      </c>
      <c r="E264" s="150">
        <f t="shared" si="164"/>
        <v>5.8730123465267946E-3</v>
      </c>
      <c r="F264" s="150">
        <f t="shared" si="164"/>
        <v>0.17155859500443327</v>
      </c>
      <c r="G264" s="150">
        <f t="shared" si="164"/>
        <v>0.6239222691918509</v>
      </c>
      <c r="H264" s="150">
        <f t="shared" si="164"/>
        <v>0.18518774274467353</v>
      </c>
      <c r="I264" s="145">
        <f t="shared" si="164"/>
        <v>4.3688487010193041E-3</v>
      </c>
      <c r="J264" s="145"/>
      <c r="K264" s="145"/>
      <c r="L264" s="145"/>
      <c r="M264" s="144">
        <f>SUM(D264:I264)</f>
        <v>1</v>
      </c>
      <c r="N264" s="136"/>
      <c r="O264" s="115"/>
      <c r="P264" s="140" t="s">
        <v>455</v>
      </c>
      <c r="Q264" s="150">
        <f t="shared" ref="Q264:V264" si="165">Q263/$N$3</f>
        <v>2.5531741060486406E-5</v>
      </c>
      <c r="R264" s="150">
        <f t="shared" si="165"/>
        <v>1.3416078869250251E-2</v>
      </c>
      <c r="S264" s="150">
        <f t="shared" si="165"/>
        <v>0.80108867343881918</v>
      </c>
      <c r="T264" s="150">
        <f t="shared" si="165"/>
        <v>0.15823517797325634</v>
      </c>
      <c r="U264" s="150">
        <f t="shared" si="165"/>
        <v>2.2846823170565651E-2</v>
      </c>
      <c r="V264" s="146">
        <f t="shared" si="165"/>
        <v>4.3877148070481644E-3</v>
      </c>
      <c r="W264" s="146"/>
      <c r="X264" s="146"/>
      <c r="Y264" s="145"/>
      <c r="Z264" s="144">
        <f>SUM(Q264:V264)</f>
        <v>1</v>
      </c>
      <c r="AA264" s="136"/>
      <c r="AB264" s="115"/>
      <c r="AC264" s="140"/>
      <c r="AD264" s="150"/>
      <c r="AE264" s="150"/>
      <c r="AF264" s="150"/>
      <c r="AG264" s="150"/>
      <c r="AH264" s="150"/>
      <c r="AI264" s="146"/>
      <c r="AJ264" s="146"/>
      <c r="AK264" s="146"/>
      <c r="AL264" s="146"/>
      <c r="AM264" s="144"/>
      <c r="AN264" s="136"/>
    </row>
    <row r="265" spans="2:40" x14ac:dyDescent="0.3">
      <c r="B265" s="107"/>
      <c r="C265" s="147" t="s">
        <v>368</v>
      </c>
      <c r="D265" s="108">
        <f>'24M_Seeds'!AL130</f>
        <v>0.38222134672822311</v>
      </c>
      <c r="E265" s="108">
        <f>'24M_Seeds'!AM130</f>
        <v>3.4091888678749105</v>
      </c>
      <c r="F265" s="108">
        <f>'24M_Seeds'!AN130</f>
        <v>13.842032049636265</v>
      </c>
      <c r="G265" s="108">
        <f>'24M_Seeds'!AO130</f>
        <v>17.920324307964787</v>
      </c>
      <c r="H265" s="108">
        <f>'24M_Seeds'!AP130</f>
        <v>14.561576896877769</v>
      </c>
      <c r="I265" s="107"/>
      <c r="J265" s="107"/>
      <c r="K265" s="107"/>
      <c r="L265" s="107"/>
      <c r="M265" s="107"/>
      <c r="N265" s="141"/>
      <c r="O265" s="107"/>
      <c r="P265" s="147" t="s">
        <v>368</v>
      </c>
      <c r="Q265" s="108">
        <f>'24M_Seeds'!AL135</f>
        <v>7.7417188353953916E-3</v>
      </c>
      <c r="R265" s="108">
        <f>'24M_Seeds'!AM135</f>
        <v>0.29747136085061326</v>
      </c>
      <c r="S265" s="108">
        <f>'24M_Seeds'!AN135</f>
        <v>0.79484295039301267</v>
      </c>
      <c r="T265" s="108">
        <f>'24M_Seeds'!AO135</f>
        <v>0.77971130791095311</v>
      </c>
      <c r="U265" s="108">
        <f>'24M_Seeds'!AP135</f>
        <v>0.37270015816301555</v>
      </c>
      <c r="V265" s="107"/>
      <c r="W265" s="107"/>
      <c r="X265" s="107"/>
      <c r="Y265" s="107"/>
      <c r="Z265" s="107"/>
      <c r="AA265" s="107"/>
      <c r="AB265" s="107"/>
      <c r="AC265" s="147"/>
      <c r="AD265" s="108"/>
      <c r="AE265" s="108"/>
      <c r="AF265" s="108"/>
      <c r="AG265" s="108"/>
      <c r="AH265" s="108"/>
      <c r="AI265" s="107"/>
      <c r="AJ265" s="107"/>
      <c r="AK265" s="107"/>
      <c r="AL265" s="107"/>
      <c r="AM265" s="107"/>
      <c r="AN265" s="107"/>
    </row>
    <row r="266" spans="2:40" x14ac:dyDescent="0.3">
      <c r="B266" s="107"/>
      <c r="C266" s="128" t="s">
        <v>458</v>
      </c>
      <c r="D266" s="125">
        <f>1.96*D265</f>
        <v>0.74915383958731729</v>
      </c>
      <c r="E266" s="125">
        <f>1.96*E265</f>
        <v>6.6820101810348245</v>
      </c>
      <c r="F266" s="125">
        <f>1.96*F265</f>
        <v>27.130382817287078</v>
      </c>
      <c r="G266" s="125">
        <f>1.96*G265</f>
        <v>35.123835643610981</v>
      </c>
      <c r="H266" s="125">
        <f>1.96*H265</f>
        <v>28.540690717880427</v>
      </c>
      <c r="I266" s="107"/>
      <c r="J266" s="107"/>
      <c r="K266" s="107"/>
      <c r="L266" s="107"/>
      <c r="M266" s="107"/>
      <c r="N266" s="107"/>
      <c r="O266" s="107"/>
      <c r="P266" s="128" t="s">
        <v>458</v>
      </c>
      <c r="Q266" s="125">
        <f>1.96*Q265</f>
        <v>1.5173768917374967E-2</v>
      </c>
      <c r="R266" s="125">
        <f>1.96*R265</f>
        <v>0.58304386726720203</v>
      </c>
      <c r="S266" s="125">
        <f>1.96*S265</f>
        <v>1.5578921827703047</v>
      </c>
      <c r="T266" s="125">
        <f>1.96*T265</f>
        <v>1.5282341635054681</v>
      </c>
      <c r="U266" s="125">
        <f>1.96*U265</f>
        <v>0.73049230999951043</v>
      </c>
      <c r="V266" s="107"/>
      <c r="W266" s="107"/>
      <c r="X266" s="107"/>
      <c r="Y266" s="107"/>
      <c r="Z266" s="107"/>
      <c r="AA266" s="107"/>
      <c r="AB266" s="107"/>
      <c r="AC266" s="128"/>
      <c r="AD266" s="125"/>
      <c r="AE266" s="125"/>
      <c r="AF266" s="125"/>
      <c r="AG266" s="125"/>
      <c r="AH266" s="125"/>
      <c r="AI266" s="107"/>
      <c r="AJ266" s="107"/>
      <c r="AK266" s="107"/>
      <c r="AL266" s="107"/>
      <c r="AM266" s="107"/>
      <c r="AN266" s="107"/>
    </row>
    <row r="267" spans="2:40" x14ac:dyDescent="0.3">
      <c r="B267" s="115" t="s">
        <v>375</v>
      </c>
      <c r="C267" s="107" t="s">
        <v>367</v>
      </c>
      <c r="D267" s="145">
        <f>D257/SUM(D257:H257)</f>
        <v>9.1756705165047248E-3</v>
      </c>
      <c r="E267" s="145">
        <f>E257/SUM(D257:H257)</f>
        <v>5.5899535009021088E-3</v>
      </c>
      <c r="F267" s="145">
        <f>F257/SUM(D257:H257)</f>
        <v>0.17227913739933681</v>
      </c>
      <c r="G267" s="145">
        <f>G257/SUM(D257:H257)</f>
        <v>0.62735076856789185</v>
      </c>
      <c r="H267" s="145">
        <f>H257/SUM(D257:H257)</f>
        <v>0.18560447001536445</v>
      </c>
      <c r="I267" s="151">
        <f>SUM(D267:H267)</f>
        <v>1</v>
      </c>
      <c r="J267" s="107"/>
      <c r="K267" s="107"/>
      <c r="L267" s="107"/>
      <c r="M267" s="107"/>
      <c r="N267" s="107"/>
      <c r="O267" s="115" t="s">
        <v>375</v>
      </c>
      <c r="P267" s="107" t="s">
        <v>367</v>
      </c>
      <c r="Q267" s="145">
        <f>Q257/SUM(Q257:U257)</f>
        <v>4.1030690956835711E-5</v>
      </c>
      <c r="R267" s="145">
        <f>R257/SUM(Q257:U257)</f>
        <v>1.2979375239345697E-2</v>
      </c>
      <c r="S267" s="145">
        <f>S257/SUM(Q257:U257)</f>
        <v>0.80688905301165281</v>
      </c>
      <c r="T267" s="145">
        <f>T257/SUM(Q257:U257)</f>
        <v>0.15735953826795779</v>
      </c>
      <c r="U267" s="145">
        <f>U257/SUM(Q257:U257)</f>
        <v>2.2731002790086989E-2</v>
      </c>
      <c r="V267" s="151">
        <f>SUM(Q267:U267)</f>
        <v>1</v>
      </c>
      <c r="W267" s="107"/>
      <c r="X267" s="107"/>
      <c r="Y267" s="107"/>
      <c r="Z267" s="107"/>
      <c r="AA267" s="107"/>
      <c r="AB267" s="115" t="s">
        <v>375</v>
      </c>
      <c r="AC267" s="107" t="s">
        <v>367</v>
      </c>
      <c r="AD267" s="145">
        <f>AD257/SUM(AD257:AH257)</f>
        <v>0</v>
      </c>
      <c r="AE267" s="145">
        <f>AE257/SUM(AD257:AH257)</f>
        <v>6.7322257219109899E-3</v>
      </c>
      <c r="AF267" s="145">
        <f>AF257/SUM(AD257:AH257)</f>
        <v>0.70652304585126591</v>
      </c>
      <c r="AG267" s="145">
        <f>AG257/SUM(AD257:AH257)</f>
        <v>0.27243874876776225</v>
      </c>
      <c r="AH267" s="145">
        <f>AH257/SUM(AD257:AH257)</f>
        <v>1.4305979659060854E-2</v>
      </c>
      <c r="AI267" s="151">
        <f>SUM(AD267:AH267)</f>
        <v>1</v>
      </c>
      <c r="AJ267" s="107"/>
      <c r="AK267" s="107"/>
      <c r="AL267" s="107"/>
      <c r="AM267" s="107"/>
      <c r="AN267" s="107"/>
    </row>
    <row r="268" spans="2:40" x14ac:dyDescent="0.3">
      <c r="B268" s="147" t="s">
        <v>648</v>
      </c>
      <c r="C268" s="90" t="s">
        <v>447</v>
      </c>
      <c r="D268" s="108">
        <f>D261*D267</f>
        <v>3.918011310547527E-2</v>
      </c>
      <c r="E268" s="108">
        <f>E261*D267</f>
        <v>0.41024422879292632</v>
      </c>
      <c r="F268" s="108">
        <f>F261*D267</f>
        <v>1.9870832070542668</v>
      </c>
      <c r="G268" s="108">
        <f>G261*D267</f>
        <v>3.7033006204613104</v>
      </c>
      <c r="H268" s="108">
        <f>H261*D267</f>
        <v>2.3586978629726998</v>
      </c>
      <c r="I268" s="107"/>
      <c r="J268" s="107"/>
      <c r="K268" s="107"/>
      <c r="L268" s="107"/>
      <c r="M268" s="107"/>
      <c r="N268" s="107"/>
      <c r="O268" s="147" t="s">
        <v>648</v>
      </c>
      <c r="P268" s="90" t="s">
        <v>447</v>
      </c>
      <c r="Q268" s="108">
        <f>Q261*Q267</f>
        <v>2.4618414574101425E-6</v>
      </c>
      <c r="R268" s="108">
        <f>R261*Q267</f>
        <v>1.9202363367799112E-4</v>
      </c>
      <c r="S268" s="108">
        <f>S261*Q267</f>
        <v>6.9341867717052723E-4</v>
      </c>
      <c r="T268" s="108">
        <f>T261*Q267</f>
        <v>4.406696208764159E-4</v>
      </c>
      <c r="U268" s="108">
        <f>U261*Q267</f>
        <v>2.4249138355489919E-4</v>
      </c>
      <c r="V268" s="107"/>
      <c r="W268" s="107"/>
      <c r="X268" s="107"/>
      <c r="Y268" s="107"/>
      <c r="Z268" s="107"/>
      <c r="AA268" s="107"/>
      <c r="AB268" s="147" t="s">
        <v>648</v>
      </c>
      <c r="AC268" s="90" t="s">
        <v>447</v>
      </c>
      <c r="AD268" s="108">
        <f>AD261*AD267</f>
        <v>0</v>
      </c>
      <c r="AE268" s="108">
        <f>AE261*AD267</f>
        <v>0</v>
      </c>
      <c r="AF268" s="108">
        <f>AF261*AD267</f>
        <v>0</v>
      </c>
      <c r="AG268" s="108">
        <f>AG261*AD267</f>
        <v>0</v>
      </c>
      <c r="AH268" s="108">
        <f>AH261*AD267</f>
        <v>0</v>
      </c>
      <c r="AI268" s="107"/>
      <c r="AJ268" s="107"/>
      <c r="AK268" s="107"/>
      <c r="AL268" s="107"/>
      <c r="AM268" s="107"/>
      <c r="AN268" s="107"/>
    </row>
    <row r="269" spans="2:40" x14ac:dyDescent="0.3">
      <c r="B269" s="107" t="s">
        <v>649</v>
      </c>
      <c r="C269" s="91" t="s">
        <v>446</v>
      </c>
      <c r="D269" s="108">
        <f>D261*E267</f>
        <v>2.3869101448852063E-2</v>
      </c>
      <c r="E269" s="108">
        <f>E261*E267</f>
        <v>0.24992682102533334</v>
      </c>
      <c r="F269" s="108">
        <f>F261*E267</f>
        <v>1.2105603301553629</v>
      </c>
      <c r="G269" s="108">
        <f>G261*E267</f>
        <v>2.2561052329640932</v>
      </c>
      <c r="H269" s="108">
        <f>H261*E267</f>
        <v>1.4369534469418932</v>
      </c>
      <c r="I269" s="107"/>
      <c r="J269" s="107"/>
      <c r="K269" s="107"/>
      <c r="L269" s="107"/>
      <c r="M269" s="107"/>
      <c r="N269" s="107"/>
      <c r="O269" s="107" t="s">
        <v>649</v>
      </c>
      <c r="P269" s="91" t="s">
        <v>446</v>
      </c>
      <c r="Q269" s="108">
        <f>Q261*R267</f>
        <v>7.7876251436074183E-4</v>
      </c>
      <c r="R269" s="108">
        <f>R261*R267</f>
        <v>6.0743476120137863E-2</v>
      </c>
      <c r="S269" s="108">
        <f>S261*R267</f>
        <v>0.21935144154494346</v>
      </c>
      <c r="T269" s="108">
        <f>T261*R267</f>
        <v>0.13939849007057289</v>
      </c>
      <c r="U269" s="108">
        <f>U261*R267</f>
        <v>7.6708107664533121E-2</v>
      </c>
      <c r="V269" s="107"/>
      <c r="W269" s="107"/>
      <c r="X269" s="107"/>
      <c r="Y269" s="107"/>
      <c r="Z269" s="107"/>
      <c r="AA269" s="107"/>
      <c r="AB269" s="107" t="s">
        <v>649</v>
      </c>
      <c r="AC269" s="91" t="s">
        <v>446</v>
      </c>
      <c r="AD269" s="108">
        <f>AD261*AE267</f>
        <v>0</v>
      </c>
      <c r="AE269" s="108">
        <f>AE261*AE267</f>
        <v>6.6649034646918785E-3</v>
      </c>
      <c r="AF269" s="108">
        <f>AF261*AE267</f>
        <v>3.0631627034695082E-2</v>
      </c>
      <c r="AG269" s="108">
        <f>AG261*AE267</f>
        <v>1.8850232021350753E-2</v>
      </c>
      <c r="AH269" s="108">
        <f>AH261*AE267</f>
        <v>9.8290495539900442E-3</v>
      </c>
      <c r="AI269" s="107"/>
      <c r="AJ269" s="107"/>
      <c r="AK269" s="107"/>
      <c r="AL269" s="107"/>
      <c r="AM269" s="107"/>
      <c r="AN269" s="107"/>
    </row>
    <row r="270" spans="2:40" x14ac:dyDescent="0.3">
      <c r="B270" s="107"/>
      <c r="C270" s="92" t="s">
        <v>448</v>
      </c>
      <c r="D270" s="108">
        <f>D261*F267</f>
        <v>0.73563191669516992</v>
      </c>
      <c r="E270" s="108">
        <f>E261*F267</f>
        <v>7.7026002331243504</v>
      </c>
      <c r="F270" s="108">
        <f>F261*F267</f>
        <v>37.30876999520045</v>
      </c>
      <c r="G270" s="108">
        <f>G261*F267</f>
        <v>69.531859854372399</v>
      </c>
      <c r="H270" s="108">
        <f>H261*F267</f>
        <v>44.286075059873433</v>
      </c>
      <c r="I270" s="107"/>
      <c r="J270" s="107"/>
      <c r="K270" s="107"/>
      <c r="L270" s="107"/>
      <c r="M270" s="107"/>
      <c r="N270" s="107"/>
      <c r="O270" s="107"/>
      <c r="P270" s="92" t="s">
        <v>448</v>
      </c>
      <c r="Q270" s="108">
        <f>Q261*S267</f>
        <v>4.8413343180699168E-2</v>
      </c>
      <c r="R270" s="108">
        <f>R261*S267</f>
        <v>3.7762407680945351</v>
      </c>
      <c r="S270" s="108">
        <f>S261*S267</f>
        <v>13.636424995897006</v>
      </c>
      <c r="T270" s="108">
        <f>T261*S267</f>
        <v>8.665988429345159</v>
      </c>
      <c r="U270" s="108">
        <f>U261*S267</f>
        <v>4.7687143032988715</v>
      </c>
      <c r="V270" s="107"/>
      <c r="W270" s="107"/>
      <c r="X270" s="107"/>
      <c r="Y270" s="107"/>
      <c r="Z270" s="107"/>
      <c r="AA270" s="107"/>
      <c r="AB270" s="107"/>
      <c r="AC270" s="92" t="s">
        <v>448</v>
      </c>
      <c r="AD270" s="108">
        <f>AD261*AF267</f>
        <v>0</v>
      </c>
      <c r="AE270" s="108">
        <f>AE261*AF267</f>
        <v>0.69945781539275309</v>
      </c>
      <c r="AF270" s="108">
        <f>AF261*AF267</f>
        <v>3.2146798586232679</v>
      </c>
      <c r="AG270" s="108">
        <f>AG261*AF267</f>
        <v>1.9782645283835425</v>
      </c>
      <c r="AH270" s="108">
        <f>AH261*AF267</f>
        <v>1.0315236469428481</v>
      </c>
      <c r="AI270" s="107"/>
      <c r="AJ270" s="107"/>
      <c r="AK270" s="107"/>
      <c r="AL270" s="107"/>
      <c r="AM270" s="107"/>
      <c r="AN270" s="107"/>
    </row>
    <row r="271" spans="2:40" x14ac:dyDescent="0.3">
      <c r="B271" s="107"/>
      <c r="C271" s="124" t="s">
        <v>449</v>
      </c>
      <c r="D271" s="108">
        <f>D261*G267</f>
        <v>2.6787877817849046</v>
      </c>
      <c r="E271" s="108">
        <f>E261*G267</f>
        <v>28.048852862670451</v>
      </c>
      <c r="F271" s="108">
        <f>F261*G267</f>
        <v>135.8590824410629</v>
      </c>
      <c r="G271" s="108">
        <f>G261*G267</f>
        <v>253.19877019400138</v>
      </c>
      <c r="H271" s="108">
        <f>H261*G267</f>
        <v>161.26678856806197</v>
      </c>
      <c r="I271" s="107"/>
      <c r="J271" s="107"/>
      <c r="K271" s="107"/>
      <c r="L271" s="107"/>
      <c r="M271" s="107"/>
      <c r="N271" s="107"/>
      <c r="O271" s="107"/>
      <c r="P271" s="124" t="s">
        <v>449</v>
      </c>
      <c r="Q271" s="108">
        <f>Q261*T267</f>
        <v>9.4415722960774669E-3</v>
      </c>
      <c r="R271" s="108">
        <f>R261*T267</f>
        <v>0.73644263909404239</v>
      </c>
      <c r="S271" s="108">
        <f>S261*T267</f>
        <v>2.659376196728501</v>
      </c>
      <c r="T271" s="108">
        <f>T261*T267</f>
        <v>1.6900414409978681</v>
      </c>
      <c r="U271" s="108">
        <f>U261*T267</f>
        <v>0.92999487116363111</v>
      </c>
      <c r="V271" s="107"/>
      <c r="W271" s="107"/>
      <c r="X271" s="107"/>
      <c r="Y271" s="107"/>
      <c r="Z271" s="107"/>
      <c r="AA271" s="107"/>
      <c r="AB271" s="107"/>
      <c r="AC271" s="124" t="s">
        <v>449</v>
      </c>
      <c r="AD271" s="108">
        <f>AD261*AG267</f>
        <v>0</v>
      </c>
      <c r="AE271" s="108">
        <f>AE261*AG267</f>
        <v>0.26971436128008458</v>
      </c>
      <c r="AF271" s="108">
        <f>AF261*AG267</f>
        <v>1.2395963068933213</v>
      </c>
      <c r="AG271" s="108">
        <f>AG261*AG267</f>
        <v>0.7628284965497335</v>
      </c>
      <c r="AH271" s="108">
        <f>AH261*AG267</f>
        <v>0.39776057320093289</v>
      </c>
      <c r="AI271" s="107"/>
      <c r="AJ271" s="107"/>
      <c r="AK271" s="107"/>
      <c r="AL271" s="107"/>
      <c r="AM271" s="107"/>
      <c r="AN271" s="107"/>
    </row>
    <row r="272" spans="2:40" x14ac:dyDescent="0.3">
      <c r="B272" s="107"/>
      <c r="C272" s="123" t="s">
        <v>450</v>
      </c>
      <c r="D272" s="125">
        <f>D261*H267</f>
        <v>0.79253108696560814</v>
      </c>
      <c r="E272" s="125">
        <f>E261*H267</f>
        <v>8.298375854386947</v>
      </c>
      <c r="F272" s="125">
        <f>F261*H267</f>
        <v>40.194504026527397</v>
      </c>
      <c r="G272" s="125">
        <f>G261*H267</f>
        <v>74.909964098201158</v>
      </c>
      <c r="H272" s="125">
        <f>H261*H267</f>
        <v>47.711485062149492</v>
      </c>
      <c r="I272" s="107"/>
      <c r="J272" s="107"/>
      <c r="K272" s="107"/>
      <c r="L272" s="107"/>
      <c r="M272" s="107"/>
      <c r="N272" s="107"/>
      <c r="O272" s="107"/>
      <c r="P272" s="123" t="s">
        <v>450</v>
      </c>
      <c r="Q272" s="125">
        <f>Q261*U267</f>
        <v>1.3638601674052192E-3</v>
      </c>
      <c r="R272" s="125">
        <f>R261*U267</f>
        <v>0.1063810930576071</v>
      </c>
      <c r="S272" s="125">
        <f>S261*U267</f>
        <v>0.3841539471524722</v>
      </c>
      <c r="T272" s="125">
        <f>T261*U267</f>
        <v>0.24413096996553446</v>
      </c>
      <c r="U272" s="125">
        <f>U261*U267</f>
        <v>0.13434022648941418</v>
      </c>
      <c r="V272" s="107"/>
      <c r="W272" s="107"/>
      <c r="X272" s="107"/>
      <c r="Y272" s="107"/>
      <c r="Z272" s="107"/>
      <c r="AA272" s="107"/>
      <c r="AB272" s="107"/>
      <c r="AC272" s="123" t="s">
        <v>450</v>
      </c>
      <c r="AD272" s="125">
        <f>AD261*AH267</f>
        <v>0</v>
      </c>
      <c r="AE272" s="125">
        <f>AE261*AH267</f>
        <v>1.4162919862470242E-2</v>
      </c>
      <c r="AF272" s="125">
        <f>AF261*AH267</f>
        <v>6.5092207448727055E-2</v>
      </c>
      <c r="AG272" s="125">
        <f>AG261*AH267</f>
        <v>4.0056743045370352E-2</v>
      </c>
      <c r="AH272" s="125">
        <f>AH261*AH267</f>
        <v>2.0886730302228845E-2</v>
      </c>
      <c r="AI272" s="107"/>
      <c r="AJ272" s="107"/>
      <c r="AK272" s="107"/>
      <c r="AL272" s="107"/>
      <c r="AM272" s="107"/>
      <c r="AN272" s="107"/>
    </row>
    <row r="273" spans="2:40" x14ac:dyDescent="0.3">
      <c r="B273" s="107"/>
      <c r="C273" s="107" t="s">
        <v>36</v>
      </c>
      <c r="D273" s="108">
        <f>SUM(D268:D272)</f>
        <v>4.2700000000000102</v>
      </c>
      <c r="E273" s="108">
        <f>SUM(E268:E272)</f>
        <v>44.710000000000008</v>
      </c>
      <c r="F273" s="108">
        <f>SUM(F268:F272)</f>
        <v>216.56000000000037</v>
      </c>
      <c r="G273" s="108">
        <f t="shared" ref="G273:H273" si="166">SUM(G268:G272)</f>
        <v>403.60000000000036</v>
      </c>
      <c r="H273" s="108">
        <f t="shared" si="166"/>
        <v>257.05999999999949</v>
      </c>
      <c r="I273" s="107"/>
      <c r="J273" s="107"/>
      <c r="K273" s="107"/>
      <c r="L273" s="107"/>
      <c r="M273" s="107"/>
      <c r="N273" s="107"/>
      <c r="O273" s="107"/>
      <c r="P273" s="107" t="s">
        <v>36</v>
      </c>
      <c r="Q273" s="108">
        <f>SUM(Q268:Q272)</f>
        <v>6.0000000000000005E-2</v>
      </c>
      <c r="R273" s="108">
        <f>SUM(R268:R272)</f>
        <v>4.68</v>
      </c>
      <c r="S273" s="108">
        <f>SUM(S268:S272)</f>
        <v>16.900000000000095</v>
      </c>
      <c r="T273" s="108">
        <f t="shared" ref="T273:U273" si="167">SUM(T268:T272)</f>
        <v>10.740000000000011</v>
      </c>
      <c r="U273" s="108">
        <f t="shared" si="167"/>
        <v>5.9100000000000037</v>
      </c>
      <c r="V273" s="107"/>
      <c r="W273" s="107"/>
      <c r="X273" s="107"/>
      <c r="Y273" s="107"/>
      <c r="Z273" s="107"/>
      <c r="AA273" s="107"/>
      <c r="AB273" s="107"/>
      <c r="AC273" s="107" t="s">
        <v>36</v>
      </c>
      <c r="AD273" s="108">
        <f>SUM(AD268:AD272)</f>
        <v>0</v>
      </c>
      <c r="AE273" s="108">
        <f>SUM(AE268:AE272)</f>
        <v>0.98999999999999977</v>
      </c>
      <c r="AF273" s="108">
        <f>SUM(AF268:AF272)</f>
        <v>4.5500000000000114</v>
      </c>
      <c r="AG273" s="108">
        <f t="shared" ref="AG273:AH273" si="168">SUM(AG268:AG272)</f>
        <v>2.7999999999999972</v>
      </c>
      <c r="AH273" s="108">
        <f t="shared" si="168"/>
        <v>1.46</v>
      </c>
      <c r="AI273" s="107"/>
      <c r="AJ273" s="107"/>
      <c r="AK273" s="107"/>
      <c r="AL273" s="107"/>
      <c r="AM273" s="107"/>
      <c r="AN273" s="107"/>
    </row>
    <row r="274" spans="2:40" x14ac:dyDescent="0.3">
      <c r="B274" s="107" t="s">
        <v>650</v>
      </c>
      <c r="C274" s="211" t="s">
        <v>451</v>
      </c>
      <c r="D274" s="125">
        <f>I259*D267</f>
        <v>0.99244052306514974</v>
      </c>
      <c r="E274" s="125">
        <f>I259*E267</f>
        <v>0.60460937065757125</v>
      </c>
      <c r="F274" s="125">
        <f>I259*F267</f>
        <v>18.633711501112245</v>
      </c>
      <c r="G274" s="125">
        <f>I259*G267</f>
        <v>67.854259128303084</v>
      </c>
      <c r="H274" s="125">
        <f>I259*H267</f>
        <v>20.074979476861792</v>
      </c>
      <c r="I274" s="226">
        <f>SUM(D274:H274)</f>
        <v>108.15999999999983</v>
      </c>
      <c r="J274" s="107"/>
      <c r="K274" s="140"/>
      <c r="L274" s="140"/>
      <c r="M274" s="107"/>
      <c r="N274" s="107"/>
      <c r="O274" s="107" t="s">
        <v>650</v>
      </c>
      <c r="P274" s="211" t="s">
        <v>451</v>
      </c>
      <c r="Q274" s="125">
        <f>V259*Q267</f>
        <v>2.642376497620242E-4</v>
      </c>
      <c r="R274" s="125">
        <f>V259*R267</f>
        <v>8.3587176541387004E-2</v>
      </c>
      <c r="S274" s="125">
        <f>V259*S267</f>
        <v>5.1963655013950882</v>
      </c>
      <c r="T274" s="125">
        <f>V259*T267</f>
        <v>1.0133954264456568</v>
      </c>
      <c r="U274" s="125">
        <f>V259*U267</f>
        <v>0.14638765796816144</v>
      </c>
      <c r="V274" s="226">
        <f>SUM(Q274:U274)</f>
        <v>6.4400000000000555</v>
      </c>
      <c r="W274" s="107"/>
      <c r="X274" s="140"/>
      <c r="Y274" s="140"/>
      <c r="Z274" s="107"/>
      <c r="AA274" s="107"/>
      <c r="AB274" s="107" t="s">
        <v>650</v>
      </c>
      <c r="AC274" s="211" t="s">
        <v>451</v>
      </c>
      <c r="AD274" s="125">
        <f>AI259*AD267</f>
        <v>0</v>
      </c>
      <c r="AE274" s="125">
        <f>AI259*AE267</f>
        <v>1.252193984275415E-2</v>
      </c>
      <c r="AF274" s="125">
        <f>AI259*AF267</f>
        <v>1.314132865283324</v>
      </c>
      <c r="AG274" s="125">
        <f>AI259*AG267</f>
        <v>0.50673607270802601</v>
      </c>
      <c r="AH274" s="125">
        <f>AI259*AH267</f>
        <v>2.660912216585257E-2</v>
      </c>
      <c r="AI274" s="226">
        <f>SUM(AD274:AH274)</f>
        <v>1.8599999999999568</v>
      </c>
      <c r="AJ274" s="107"/>
      <c r="AK274" s="140"/>
      <c r="AL274" s="140"/>
      <c r="AM274" s="107"/>
      <c r="AN274" s="107"/>
    </row>
    <row r="275" spans="2:40" x14ac:dyDescent="0.3">
      <c r="B275" s="107" t="s">
        <v>651</v>
      </c>
      <c r="C275" s="107" t="s">
        <v>652</v>
      </c>
      <c r="D275" s="108">
        <f>SUM(D268:H268)+D274</f>
        <v>9.4909465554518295</v>
      </c>
      <c r="E275" s="108">
        <f>SUM(D269:H269)+E274</f>
        <v>5.782024303193106</v>
      </c>
      <c r="F275" s="108">
        <f>SUM(D270:H270)+F274</f>
        <v>178.19864856037805</v>
      </c>
      <c r="G275" s="108">
        <f>SUM(D271:H271)+G274</f>
        <v>648.9065409758847</v>
      </c>
      <c r="H275" s="108">
        <f>SUM(D272:H272)+H274</f>
        <v>191.9818396050924</v>
      </c>
      <c r="I275" s="107"/>
      <c r="J275" s="107"/>
      <c r="K275" s="108">
        <f>D275+E275+G275+H275</f>
        <v>856.16135143962208</v>
      </c>
      <c r="L275" s="108">
        <f>F275</f>
        <v>178.19864856037805</v>
      </c>
      <c r="M275" s="107"/>
      <c r="N275" s="107"/>
      <c r="O275" s="107" t="s">
        <v>651</v>
      </c>
      <c r="P275" s="107" t="s">
        <v>652</v>
      </c>
      <c r="Q275" s="108">
        <f>SUM(Q268:U268)+Q274</f>
        <v>1.835302806499268E-3</v>
      </c>
      <c r="R275" s="108">
        <f>SUM(Q269:U269)+R274</f>
        <v>0.58056745445593505</v>
      </c>
      <c r="S275" s="108">
        <f>SUM(Q270:U270)+S274</f>
        <v>36.092147341211358</v>
      </c>
      <c r="T275" s="108">
        <f>SUM(Q271:U271)+T274</f>
        <v>7.0386921467257766</v>
      </c>
      <c r="U275" s="108">
        <f>SUM(Q272:U272)+U274</f>
        <v>1.0167577548005946</v>
      </c>
      <c r="V275" s="107"/>
      <c r="W275" s="107"/>
      <c r="X275" s="108">
        <f>Q275+R275+T275+U275</f>
        <v>8.6378526587888054</v>
      </c>
      <c r="Y275" s="108">
        <f>S275</f>
        <v>36.092147341211358</v>
      </c>
      <c r="Z275" s="107"/>
      <c r="AA275" s="107"/>
      <c r="AB275" s="107" t="s">
        <v>651</v>
      </c>
      <c r="AC275" s="107" t="s">
        <v>652</v>
      </c>
      <c r="AD275" s="108">
        <f>SUM(AD268:AH268)+AD274</f>
        <v>0</v>
      </c>
      <c r="AE275" s="108">
        <f>SUM(AD269:AH269)+AE274</f>
        <v>7.8497751917481901E-2</v>
      </c>
      <c r="AF275" s="108">
        <f>SUM(AD270:AH270)+AF274</f>
        <v>8.2380587146257369</v>
      </c>
      <c r="AG275" s="108">
        <f>SUM(AD271:AH271)+AG274</f>
        <v>3.176635810632098</v>
      </c>
      <c r="AH275" s="108">
        <f>SUM(AD272:AH272)+AH274</f>
        <v>0.16680772282464906</v>
      </c>
      <c r="AI275" s="107"/>
      <c r="AJ275" s="107"/>
      <c r="AK275" s="108">
        <f>AD275+AE275+AG275+AH275</f>
        <v>3.421941285374229</v>
      </c>
      <c r="AL275" s="108">
        <f>AF275</f>
        <v>8.2380587146257369</v>
      </c>
      <c r="AM275" s="107"/>
      <c r="AN275" s="107"/>
    </row>
    <row r="276" spans="2:40" x14ac:dyDescent="0.3">
      <c r="B276" s="107" t="s">
        <v>651</v>
      </c>
      <c r="C276" s="107" t="s">
        <v>653</v>
      </c>
      <c r="D276" s="145">
        <f>D275/$N$2</f>
        <v>3.8338042189662804E-4</v>
      </c>
      <c r="E276" s="145">
        <f t="shared" ref="E276:H276" si="169">E275/$N$2</f>
        <v>2.3356099455658561E-4</v>
      </c>
      <c r="F276" s="145">
        <f t="shared" si="169"/>
        <v>7.1982149164293045E-3</v>
      </c>
      <c r="G276" s="145">
        <f t="shared" si="169"/>
        <v>2.6212144594567555E-2</v>
      </c>
      <c r="H276" s="145">
        <f t="shared" si="169"/>
        <v>7.7549776762795364E-3</v>
      </c>
      <c r="I276" s="107"/>
      <c r="J276" s="107"/>
      <c r="K276" s="151">
        <f>K275/$N$2</f>
        <v>3.4584063687300305E-2</v>
      </c>
      <c r="L276" s="146">
        <f>L275/$N$2</f>
        <v>7.1982149164293045E-3</v>
      </c>
      <c r="M276" s="107"/>
      <c r="N276" s="107"/>
      <c r="O276" s="107" t="s">
        <v>651</v>
      </c>
      <c r="P276" s="107" t="s">
        <v>653</v>
      </c>
      <c r="Q276" s="145">
        <f>Q275/$N$3</f>
        <v>1.2495593606166208E-6</v>
      </c>
      <c r="R276" s="145">
        <f t="shared" ref="R276:U276" si="170">R275/$N$3</f>
        <v>3.9527727774172434E-4</v>
      </c>
      <c r="S276" s="145">
        <f t="shared" si="170"/>
        <v>2.457320960620616E-2</v>
      </c>
      <c r="T276" s="145">
        <f t="shared" si="170"/>
        <v>4.7922684078581775E-3</v>
      </c>
      <c r="U276" s="145">
        <f t="shared" si="170"/>
        <v>6.9225588578160802E-4</v>
      </c>
      <c r="V276" s="107"/>
      <c r="W276" s="107"/>
      <c r="X276" s="151">
        <f>X275/$N$3</f>
        <v>5.8810511307421263E-3</v>
      </c>
      <c r="Y276" s="151">
        <f>Y275/$N$3</f>
        <v>2.457320960620616E-2</v>
      </c>
      <c r="Z276" s="107"/>
      <c r="AA276" s="107"/>
      <c r="AB276" s="107" t="s">
        <v>651</v>
      </c>
      <c r="AC276" s="107" t="s">
        <v>653</v>
      </c>
      <c r="AD276" s="145">
        <f>AD275/$N$4</f>
        <v>0</v>
      </c>
      <c r="AE276" s="145">
        <f t="shared" ref="AE276:AH276" si="171">AE275/$N$4</f>
        <v>1.8789705320506955E-4</v>
      </c>
      <c r="AF276" s="145">
        <f t="shared" si="171"/>
        <v>1.9719124672967752E-2</v>
      </c>
      <c r="AG276" s="145">
        <f t="shared" si="171"/>
        <v>7.6037911066665822E-3</v>
      </c>
      <c r="AH276" s="145">
        <f t="shared" si="171"/>
        <v>3.9928123806077284E-4</v>
      </c>
      <c r="AI276" s="107"/>
      <c r="AJ276" s="107"/>
      <c r="AK276" s="151">
        <f>AK275/$N$4</f>
        <v>8.1909693979324242E-3</v>
      </c>
      <c r="AL276" s="151">
        <f>AL275/$N$4</f>
        <v>1.9719124672967752E-2</v>
      </c>
      <c r="AM276" s="107"/>
      <c r="AN276" s="107"/>
    </row>
    <row r="279" spans="2:40" x14ac:dyDescent="0.3">
      <c r="D279" s="153" t="s">
        <v>447</v>
      </c>
      <c r="E279" s="154" t="s">
        <v>446</v>
      </c>
      <c r="F279" s="155" t="s">
        <v>448</v>
      </c>
      <c r="G279" s="156" t="s">
        <v>449</v>
      </c>
      <c r="H279" s="157" t="s">
        <v>450</v>
      </c>
      <c r="Q279" s="153" t="s">
        <v>447</v>
      </c>
      <c r="R279" s="154" t="s">
        <v>446</v>
      </c>
      <c r="S279" s="155" t="s">
        <v>448</v>
      </c>
      <c r="T279" s="156" t="s">
        <v>449</v>
      </c>
      <c r="U279" s="157" t="s">
        <v>450</v>
      </c>
      <c r="AD279" s="153" t="s">
        <v>447</v>
      </c>
      <c r="AE279" s="154" t="s">
        <v>446</v>
      </c>
      <c r="AF279" s="155" t="s">
        <v>448</v>
      </c>
      <c r="AG279" s="156" t="s">
        <v>449</v>
      </c>
      <c r="AH279" s="157" t="s">
        <v>450</v>
      </c>
    </row>
    <row r="280" spans="2:40" x14ac:dyDescent="0.3">
      <c r="B280" s="131" t="s">
        <v>681</v>
      </c>
      <c r="C280" s="169">
        <v>1977</v>
      </c>
      <c r="D280" s="202">
        <f>D12*100*D8</f>
        <v>7.2709792999259221E-3</v>
      </c>
      <c r="E280" s="202">
        <f>E12*100*E8</f>
        <v>5.372445816056344E-2</v>
      </c>
      <c r="F280" s="202">
        <f>F12*100*F8</f>
        <v>0.44219672442382457</v>
      </c>
      <c r="G280" s="202">
        <f>G12*100*G8</f>
        <v>1.1730513270547067</v>
      </c>
      <c r="H280" s="202">
        <f>H12*100*H8</f>
        <v>0.67474687903312114</v>
      </c>
      <c r="O280" s="131" t="s">
        <v>718</v>
      </c>
      <c r="P280" s="169">
        <v>1977</v>
      </c>
      <c r="Q280" s="202" t="s">
        <v>527</v>
      </c>
      <c r="R280" s="202" t="s">
        <v>527</v>
      </c>
      <c r="S280" s="202" t="s">
        <v>527</v>
      </c>
      <c r="T280" s="202" t="s">
        <v>527</v>
      </c>
      <c r="U280" s="202" t="s">
        <v>527</v>
      </c>
      <c r="AB280" s="131" t="s">
        <v>767</v>
      </c>
      <c r="AC280" s="169">
        <v>1977</v>
      </c>
      <c r="AD280" s="202" t="s">
        <v>527</v>
      </c>
      <c r="AE280" s="202" t="s">
        <v>527</v>
      </c>
      <c r="AF280" s="202">
        <f>AF12*100*AF8</f>
        <v>0.70373650573282243</v>
      </c>
      <c r="AG280" s="202">
        <f>AG12*100*AG8</f>
        <v>1.754553941163798</v>
      </c>
      <c r="AH280" s="202">
        <f>AH12*100*AH8</f>
        <v>0.39016683821241327</v>
      </c>
    </row>
    <row r="281" spans="2:40" x14ac:dyDescent="0.3">
      <c r="B281" s="116" t="s">
        <v>463</v>
      </c>
      <c r="C281" s="170">
        <v>1988</v>
      </c>
      <c r="D281" s="23">
        <f>D37*100*D33</f>
        <v>0.19659920140410672</v>
      </c>
      <c r="E281" s="23">
        <f>E37*100*E33</f>
        <v>3.8172641324610859E-2</v>
      </c>
      <c r="F281" s="23">
        <f>F37*100*F33</f>
        <v>0.82303446242216516</v>
      </c>
      <c r="G281" s="23">
        <f>G37*100*G33</f>
        <v>2.037893920451447</v>
      </c>
      <c r="H281" s="23">
        <f>H37*100*H33</f>
        <v>1.4691417618794667</v>
      </c>
      <c r="O281" s="116" t="s">
        <v>463</v>
      </c>
      <c r="P281" s="170">
        <v>1988</v>
      </c>
      <c r="Q281" s="23" t="s">
        <v>527</v>
      </c>
      <c r="R281" s="23">
        <f>R37*100*R33</f>
        <v>2.4510471418066899E-2</v>
      </c>
      <c r="S281" s="23">
        <f>S37*100*S33</f>
        <v>0.90348321032707735</v>
      </c>
      <c r="T281" s="23">
        <f>T37*100*T33</f>
        <v>0.48544350336338299</v>
      </c>
      <c r="U281" s="23">
        <f>U37*100*U33</f>
        <v>0.46910318908467014</v>
      </c>
      <c r="AB281" s="116" t="s">
        <v>463</v>
      </c>
      <c r="AC281" s="170">
        <v>1988</v>
      </c>
      <c r="AD281" s="23">
        <f t="shared" ref="AD281" si="172">AD37*100*AD33</f>
        <v>8.6171817028508513E-2</v>
      </c>
      <c r="AE281" s="23" t="s">
        <v>527</v>
      </c>
      <c r="AF281" s="23">
        <f>AF37*100*AF33</f>
        <v>2.2308925964047255</v>
      </c>
      <c r="AG281" s="23">
        <f>AG37*100*AG33</f>
        <v>0.94070900256121959</v>
      </c>
      <c r="AH281" s="23">
        <f>AH37*100*AH33</f>
        <v>2.0872729013572058</v>
      </c>
    </row>
    <row r="282" spans="2:40" x14ac:dyDescent="0.3">
      <c r="B282" s="115" t="s">
        <v>525</v>
      </c>
      <c r="C282" s="170" t="s">
        <v>369</v>
      </c>
      <c r="D282" s="23">
        <f>D62*100*D58</f>
        <v>0.22241117791884374</v>
      </c>
      <c r="E282" s="23">
        <f>E62*100*E58</f>
        <v>0.14065305512412168</v>
      </c>
      <c r="F282" s="23">
        <f>F62*100*F58</f>
        <v>1.3640761109955386</v>
      </c>
      <c r="G282" s="23">
        <f>G62*100*G58</f>
        <v>2.5813996231209031</v>
      </c>
      <c r="H282" s="23">
        <f>H62*100*H58</f>
        <v>1.4249099711382516</v>
      </c>
      <c r="O282" s="115" t="s">
        <v>525</v>
      </c>
      <c r="P282" s="170" t="s">
        <v>369</v>
      </c>
      <c r="Q282" s="23">
        <f>Q62*100*Q58</f>
        <v>0</v>
      </c>
      <c r="R282" s="23">
        <f>R62*100*R58</f>
        <v>0.21787085704948389</v>
      </c>
      <c r="S282" s="23">
        <f>S62*100*S58</f>
        <v>1.0335248781284783</v>
      </c>
      <c r="T282" s="23">
        <f>T62*100*T58</f>
        <v>0.65565511043329039</v>
      </c>
      <c r="U282" s="23">
        <f>U62*100*U58</f>
        <v>0.3063808927258368</v>
      </c>
      <c r="AB282" s="115" t="s">
        <v>525</v>
      </c>
      <c r="AC282" s="170" t="s">
        <v>369</v>
      </c>
      <c r="AD282" s="23" t="s">
        <v>527</v>
      </c>
      <c r="AE282" s="23">
        <f>AE62*100*AE58</f>
        <v>5.7447878019005666E-2</v>
      </c>
      <c r="AF282" s="23">
        <f>AF62*100*AF58</f>
        <v>2.5516432486775016</v>
      </c>
      <c r="AG282" s="23">
        <f>AG62*100*AG58</f>
        <v>2.1710510568015877</v>
      </c>
      <c r="AH282" s="23">
        <f>AH62*100*AH58</f>
        <v>0.3231443138569069</v>
      </c>
    </row>
    <row r="283" spans="2:40" x14ac:dyDescent="0.3">
      <c r="B283" t="s">
        <v>526</v>
      </c>
      <c r="C283" s="170" t="s">
        <v>371</v>
      </c>
      <c r="D283" s="23">
        <f>D87*100*D83</f>
        <v>3.6718445464625687E-2</v>
      </c>
      <c r="E283" s="23">
        <f>E87*100*E83</f>
        <v>0.2218456573066272</v>
      </c>
      <c r="F283" s="23">
        <f>F87*100*F83</f>
        <v>0.81976252173719866</v>
      </c>
      <c r="G283" s="23">
        <f>G87*100*G83</f>
        <v>1.8001732916733133</v>
      </c>
      <c r="H283" s="23">
        <f>H87*100*H83</f>
        <v>1.2601818956654876</v>
      </c>
      <c r="O283" t="s">
        <v>526</v>
      </c>
      <c r="P283" s="170" t="s">
        <v>371</v>
      </c>
      <c r="Q283" s="23">
        <f>Q87*100*Q83</f>
        <v>6.1276178545167335E-3</v>
      </c>
      <c r="R283" s="23">
        <f>R87*100*R83</f>
        <v>0.3370189819984204</v>
      </c>
      <c r="S283" s="23">
        <f>S87*100*S83</f>
        <v>0.57191099975490145</v>
      </c>
      <c r="T283" s="23">
        <f>T87*100*T83</f>
        <v>0.31114681772379377</v>
      </c>
      <c r="U283" s="23">
        <f>U87*100*U83</f>
        <v>0.2750619570249736</v>
      </c>
      <c r="AB283" t="s">
        <v>526</v>
      </c>
      <c r="AC283" s="170" t="s">
        <v>371</v>
      </c>
      <c r="AD283" s="23" t="s">
        <v>527</v>
      </c>
      <c r="AE283" s="23" t="s">
        <v>527</v>
      </c>
      <c r="AF283" s="23">
        <f>AF87*100*AF83</f>
        <v>1.0268808195897243</v>
      </c>
      <c r="AG283" s="23">
        <f>AG87*100*AG83</f>
        <v>0.92874069464059072</v>
      </c>
      <c r="AH283" s="23">
        <f>AH87*100*AH83</f>
        <v>0.39734782296478932</v>
      </c>
    </row>
    <row r="284" spans="2:40" x14ac:dyDescent="0.3">
      <c r="C284" s="170" t="s">
        <v>373</v>
      </c>
      <c r="D284" s="23">
        <f>D112*100*D108</f>
        <v>3.0659296048020791E-2</v>
      </c>
      <c r="E284" s="23">
        <f>E112*100*E108</f>
        <v>0.1580630111144998</v>
      </c>
      <c r="F284" s="23">
        <f>F112*100*F108</f>
        <v>1.0441126274693542</v>
      </c>
      <c r="G284" s="23">
        <f>G112*100*G108</f>
        <v>1.4248291824793617</v>
      </c>
      <c r="H284" s="23">
        <f>H112*100*H108</f>
        <v>0.95540668001026008</v>
      </c>
      <c r="P284" s="170" t="s">
        <v>373</v>
      </c>
      <c r="Q284" s="23">
        <f>Q112*100*Q108</f>
        <v>6.1276178545167335E-3</v>
      </c>
      <c r="R284" s="23">
        <f>R112*100*R108</f>
        <v>0.42825240338789183</v>
      </c>
      <c r="S284" s="23">
        <f>S112*100*S108</f>
        <v>0.78433508537814089</v>
      </c>
      <c r="T284" s="23">
        <f>T112*100*T108</f>
        <v>0.42484817124649416</v>
      </c>
      <c r="U284" s="23">
        <f>U112*100*U108</f>
        <v>0.19336038563141683</v>
      </c>
      <c r="AC284" s="170" t="s">
        <v>373</v>
      </c>
      <c r="AD284" s="23" t="s">
        <v>527</v>
      </c>
      <c r="AE284" s="23">
        <f>AE112*100*AE108</f>
        <v>0.13404504871101325</v>
      </c>
      <c r="AF284" s="23">
        <f>AF112*100*AF108</f>
        <v>0.93592167939297355</v>
      </c>
      <c r="AG284" s="23">
        <f>AG112*100*AG108</f>
        <v>0.86889915503746673</v>
      </c>
      <c r="AH284" s="23">
        <f>AH112*100*AH108</f>
        <v>0.17234363405701705</v>
      </c>
    </row>
    <row r="285" spans="2:40" x14ac:dyDescent="0.3">
      <c r="C285" s="170" t="s">
        <v>378</v>
      </c>
      <c r="D285" s="23">
        <f>D137*100*D133</f>
        <v>1.4380381282075631E-2</v>
      </c>
      <c r="E285" s="23">
        <f>E137*100*E133</f>
        <v>0.19801300293464802</v>
      </c>
      <c r="F285" s="23">
        <f>F137*100*F133</f>
        <v>0.89788515488195841</v>
      </c>
      <c r="G285" s="23">
        <f>G137*100*G133</f>
        <v>1.0595836556464182</v>
      </c>
      <c r="H285" s="23">
        <f>H137*100*H133</f>
        <v>0.60955043131045306</v>
      </c>
      <c r="P285" s="170" t="s">
        <v>378</v>
      </c>
      <c r="Q285" s="23">
        <f>Q137*100*Q133</f>
        <v>0</v>
      </c>
      <c r="R285" s="23">
        <f>R137*100*R133</f>
        <v>0.36016776055992816</v>
      </c>
      <c r="S285" s="23">
        <f>S137*100*S133</f>
        <v>0.85786649963233663</v>
      </c>
      <c r="T285" s="23">
        <f>T137*100*T133</f>
        <v>0.6304637925869474</v>
      </c>
      <c r="U285" s="23">
        <f>U137*100*U133</f>
        <v>0.30025327487132003</v>
      </c>
      <c r="AC285" s="170" t="s">
        <v>378</v>
      </c>
      <c r="AD285" s="23" t="s">
        <v>527</v>
      </c>
      <c r="AE285" s="23">
        <f>AE137*100*AE133</f>
        <v>0.37341120712353681</v>
      </c>
      <c r="AF285" s="23">
        <f>AF137*100*AF133</f>
        <v>0.72527945998994692</v>
      </c>
      <c r="AG285" s="23">
        <f>AG137*100*AG133</f>
        <v>0.80187663068195614</v>
      </c>
      <c r="AH285" s="23">
        <f>AH137*100*AH133</f>
        <v>0.22021686573952182</v>
      </c>
    </row>
    <row r="286" spans="2:40" x14ac:dyDescent="0.3">
      <c r="C286" s="170" t="s">
        <v>380</v>
      </c>
      <c r="D286" s="23">
        <f>D162*100*D158</f>
        <v>9.638087005346184E-2</v>
      </c>
      <c r="E286" s="23">
        <f>E162*100*E158</f>
        <v>0.39998465015481116</v>
      </c>
      <c r="F286" s="23">
        <f>F162*100*F158</f>
        <v>0.74079160767411611</v>
      </c>
      <c r="G286" s="23">
        <f>G162*100*G158</f>
        <v>1.5060621789913138</v>
      </c>
      <c r="H286" s="23">
        <f>H162*100*H158</f>
        <v>0.71845354349156343</v>
      </c>
      <c r="P286" s="170" t="s">
        <v>380</v>
      </c>
      <c r="Q286" s="23">
        <f>Q162*100*Q158</f>
        <v>5.4467714262370955E-3</v>
      </c>
      <c r="R286" s="23">
        <f>R162*100*R158</f>
        <v>0.32544459271766657</v>
      </c>
      <c r="S286" s="23">
        <f>S162*100*S158</f>
        <v>0.77616492823879268</v>
      </c>
      <c r="T286" s="23">
        <f>T162*100*T158</f>
        <v>0.58280454260736958</v>
      </c>
      <c r="U286" s="23">
        <f>U162*100*U158</f>
        <v>9.0552574961191748E-2</v>
      </c>
      <c r="AC286" s="170" t="s">
        <v>380</v>
      </c>
      <c r="AD286" s="23" t="s">
        <v>527</v>
      </c>
      <c r="AE286" s="23">
        <f>AE162*100*AE158</f>
        <v>0.9263470330564666</v>
      </c>
      <c r="AF286" s="23">
        <f>AF162*100*AF158</f>
        <v>1.1657131914689778</v>
      </c>
      <c r="AG286" s="23">
        <f>AG162*100*AG158</f>
        <v>0.91677238671996863</v>
      </c>
      <c r="AH286" s="23">
        <f>AH162*100*AH158</f>
        <v>2.1542954257127093E-2</v>
      </c>
    </row>
    <row r="287" spans="2:40" x14ac:dyDescent="0.3">
      <c r="C287" s="170" t="s">
        <v>452</v>
      </c>
      <c r="D287" s="23">
        <f>D187*100*D183</f>
        <v>4.7503731426182472E-2</v>
      </c>
      <c r="E287" s="23">
        <f>E187*100*E183</f>
        <v>0.2277432294054561</v>
      </c>
      <c r="F287" s="23">
        <f>F187*100*F183</f>
        <v>0.83838430761089833</v>
      </c>
      <c r="G287" s="23">
        <f>G187*100*G183</f>
        <v>1.5001646068924885</v>
      </c>
      <c r="H287" s="23">
        <f>H187*100*H183</f>
        <v>0.72447229857872519</v>
      </c>
      <c r="P287" s="170" t="s">
        <v>452</v>
      </c>
      <c r="Q287" s="23">
        <f>Q187*100*Q183</f>
        <v>0</v>
      </c>
      <c r="R287" s="23">
        <f>R187*100*R183</f>
        <v>0.84288787821019062</v>
      </c>
      <c r="S287" s="23">
        <f>S187*100*S183</f>
        <v>1.4822026743647694</v>
      </c>
      <c r="T287" s="23">
        <f>T187*100*T183</f>
        <v>0.71693128897846004</v>
      </c>
      <c r="U287" s="23">
        <f>U187*100*U183</f>
        <v>0.40918870339606184</v>
      </c>
      <c r="AC287" s="170" t="s">
        <v>452</v>
      </c>
      <c r="AD287" s="23" t="s">
        <v>527</v>
      </c>
      <c r="AE287" s="23">
        <f>AE187*100*AE183</f>
        <v>0.30399502118390509</v>
      </c>
      <c r="AF287" s="23">
        <f>AF187*100*AF183</f>
        <v>1.2566723316657493</v>
      </c>
      <c r="AG287" s="23">
        <f>AG187*100*AG183</f>
        <v>0.97661392632309596</v>
      </c>
      <c r="AH287" s="23">
        <f>AH187*100*AH183</f>
        <v>0.11250209445388616</v>
      </c>
    </row>
    <row r="288" spans="2:40" x14ac:dyDescent="0.3">
      <c r="C288" s="170" t="s">
        <v>453</v>
      </c>
      <c r="D288" s="23">
        <f>D212*100*D208</f>
        <v>6.7620107489310688E-2</v>
      </c>
      <c r="E288" s="23">
        <f>E212*100*E208</f>
        <v>0.20007311373629372</v>
      </c>
      <c r="F288" s="23">
        <f>F212*100*F208</f>
        <v>0.98461178019829565</v>
      </c>
      <c r="G288" s="23">
        <f>G212*100*G208</f>
        <v>1.6843223548278268</v>
      </c>
      <c r="H288" s="23">
        <f>H212*100*H208</f>
        <v>0.92850405660053681</v>
      </c>
      <c r="P288" s="170" t="s">
        <v>453</v>
      </c>
      <c r="Q288" s="23">
        <f>Q212*100*Q208</f>
        <v>6.1276178545167405E-3</v>
      </c>
      <c r="R288" s="23">
        <f>R212*100*R208</f>
        <v>0.26689179988561779</v>
      </c>
      <c r="S288" s="23">
        <f>S212*100*S208</f>
        <v>1.0573545031182747</v>
      </c>
      <c r="T288" s="23">
        <f>T212*100*T208</f>
        <v>0.42961409624445124</v>
      </c>
      <c r="U288" s="23">
        <f>U212*100*U208</f>
        <v>0.46978403551294967</v>
      </c>
      <c r="AC288" s="170" t="s">
        <v>453</v>
      </c>
      <c r="AD288" s="23">
        <f>AD212*100*AD208</f>
        <v>2.1542954257127128E-2</v>
      </c>
      <c r="AE288" s="23">
        <f>AE212*100*AE208</f>
        <v>0.23697249682839852</v>
      </c>
      <c r="AF288" s="23">
        <f>AF212*100*AF208</f>
        <v>0.65586327405031697</v>
      </c>
      <c r="AG288" s="23">
        <f>AG212*100*AG208</f>
        <v>0.63671398137731539</v>
      </c>
      <c r="AH288" s="23">
        <f>AH212*100*AH208</f>
        <v>7.1809847523757048E-2</v>
      </c>
    </row>
    <row r="289" spans="2:34" x14ac:dyDescent="0.3">
      <c r="C289" s="170" t="s">
        <v>454</v>
      </c>
      <c r="D289" s="23">
        <f>D237*100*D233</f>
        <v>4.3504692811223086E-2</v>
      </c>
      <c r="E289" s="23">
        <f>E237*100*E233</f>
        <v>0.19045926332861396</v>
      </c>
      <c r="F289" s="23">
        <f>F237*100*F233</f>
        <v>0.71336385798161617</v>
      </c>
      <c r="G289" s="23">
        <f>G237*100*G233</f>
        <v>1.7358251248689753</v>
      </c>
      <c r="H289" s="23">
        <f>H237*100*H233</f>
        <v>0.91949612113451551</v>
      </c>
      <c r="P289" s="170" t="s">
        <v>454</v>
      </c>
      <c r="Q289" s="23" t="s">
        <v>527</v>
      </c>
      <c r="R289" s="23">
        <f>R237*100*R233</f>
        <v>0.20970069991012827</v>
      </c>
      <c r="S289" s="23">
        <f>S237*100*S233</f>
        <v>1.4352242708134857</v>
      </c>
      <c r="T289" s="23">
        <f>T237*100*T233</f>
        <v>1.0600778888313946</v>
      </c>
      <c r="U289" s="23">
        <f>U237*100*U233</f>
        <v>0.41463547482229901</v>
      </c>
      <c r="AC289" s="170" t="s">
        <v>454</v>
      </c>
      <c r="AD289" s="23" t="s">
        <v>527</v>
      </c>
      <c r="AE289" s="23">
        <f>AE237*100*AE233</f>
        <v>0.13883237187926367</v>
      </c>
      <c r="AF289" s="23">
        <f>AF237*100*AF233</f>
        <v>0.84974986236444794</v>
      </c>
      <c r="AG289" s="23">
        <f>AG237*100*AG233</f>
        <v>0.86411183186921037</v>
      </c>
      <c r="AH289" s="23">
        <f>AH237*100*AH233</f>
        <v>0.14361969504751421</v>
      </c>
    </row>
    <row r="290" spans="2:34" x14ac:dyDescent="0.3">
      <c r="C290" s="171" t="s">
        <v>388</v>
      </c>
      <c r="D290" s="203">
        <f>D262*100*D258</f>
        <v>1.7248378672601983E-2</v>
      </c>
      <c r="E290" s="203">
        <f>E262*100*E258</f>
        <v>0.18060304694426998</v>
      </c>
      <c r="F290" s="203">
        <f>F262*100*F258</f>
        <v>0.87477959843997266</v>
      </c>
      <c r="G290" s="203">
        <f>G262*100*G258</f>
        <v>1.6303151363611588</v>
      </c>
      <c r="H290" s="203">
        <f>H262*100*H258</f>
        <v>1.038376632688301</v>
      </c>
      <c r="P290" s="171" t="s">
        <v>388</v>
      </c>
      <c r="Q290" s="203">
        <f>Q262*100*Q258</f>
        <v>4.0850785696778229E-3</v>
      </c>
      <c r="R290" s="203">
        <f>R262*100*R258</f>
        <v>0.31863612843487021</v>
      </c>
      <c r="S290" s="203">
        <f>S262*100*S258</f>
        <v>1.150630463792593</v>
      </c>
      <c r="T290" s="203">
        <f>T262*100*T258</f>
        <v>0.73122906397233101</v>
      </c>
      <c r="U290" s="203">
        <f>U262*100*U258</f>
        <v>0.40238023911326587</v>
      </c>
      <c r="AC290" s="171" t="s">
        <v>388</v>
      </c>
      <c r="AD290" s="203" t="s">
        <v>527</v>
      </c>
      <c r="AE290" s="203">
        <f>AE262*100*AE258</f>
        <v>0.23697249682839838</v>
      </c>
      <c r="AF290" s="203">
        <f>AF262*100*AF258</f>
        <v>1.0891160207769854</v>
      </c>
      <c r="AG290" s="203">
        <f>AG262*100*AG258</f>
        <v>0.67022524355506552</v>
      </c>
      <c r="AH290" s="203">
        <f>AH262*100*AH258</f>
        <v>0.34947459128228453</v>
      </c>
    </row>
    <row r="292" spans="2:34" x14ac:dyDescent="0.3">
      <c r="D292" s="153" t="s">
        <v>447</v>
      </c>
      <c r="E292" s="154" t="s">
        <v>446</v>
      </c>
      <c r="F292" s="155" t="s">
        <v>448</v>
      </c>
      <c r="G292" s="156" t="s">
        <v>449</v>
      </c>
      <c r="H292" s="157" t="s">
        <v>450</v>
      </c>
      <c r="Q292" s="153" t="s">
        <v>447</v>
      </c>
      <c r="R292" s="154" t="s">
        <v>446</v>
      </c>
      <c r="S292" s="155" t="s">
        <v>448</v>
      </c>
      <c r="T292" s="156" t="s">
        <v>449</v>
      </c>
      <c r="U292" s="157" t="s">
        <v>450</v>
      </c>
      <c r="AD292" s="153" t="s">
        <v>447</v>
      </c>
      <c r="AE292" s="154" t="s">
        <v>446</v>
      </c>
      <c r="AF292" s="155" t="s">
        <v>448</v>
      </c>
      <c r="AG292" s="156" t="s">
        <v>449</v>
      </c>
      <c r="AH292" s="157" t="s">
        <v>450</v>
      </c>
    </row>
    <row r="293" spans="2:34" x14ac:dyDescent="0.3">
      <c r="B293" s="131" t="s">
        <v>681</v>
      </c>
      <c r="C293" s="169">
        <v>1977</v>
      </c>
      <c r="D293" s="202">
        <f>D12*100</f>
        <v>1.308805351559668</v>
      </c>
      <c r="E293" s="202">
        <f>E12*100</f>
        <v>27.835914608622865</v>
      </c>
      <c r="F293" s="202">
        <f>F12*100</f>
        <v>4.9816379745798489</v>
      </c>
      <c r="G293" s="202">
        <f>G12*100</f>
        <v>2.4299974143622527</v>
      </c>
      <c r="H293" s="202">
        <f>H12*100</f>
        <v>3.6022747122644247</v>
      </c>
      <c r="O293" s="131" t="s">
        <v>718</v>
      </c>
      <c r="P293" s="169">
        <v>1977</v>
      </c>
      <c r="Q293" s="202" t="s">
        <v>527</v>
      </c>
      <c r="R293" s="202" t="s">
        <v>527</v>
      </c>
      <c r="S293" s="202" t="s">
        <v>527</v>
      </c>
      <c r="T293" s="202" t="s">
        <v>527</v>
      </c>
      <c r="U293" s="202" t="s">
        <v>527</v>
      </c>
      <c r="AB293" s="131" t="s">
        <v>767</v>
      </c>
      <c r="AC293" s="169">
        <v>1977</v>
      </c>
      <c r="AD293" s="202" t="s">
        <v>527</v>
      </c>
      <c r="AE293" s="202" t="s">
        <v>527</v>
      </c>
      <c r="AF293" s="202">
        <f>AF12*100</f>
        <v>2.5036191773822805</v>
      </c>
      <c r="AG293" s="202">
        <f>AG12*100</f>
        <v>5.6782090014718403</v>
      </c>
      <c r="AH293" s="202">
        <f>AH12*100</f>
        <v>5.7394366197183064</v>
      </c>
    </row>
    <row r="294" spans="2:34" x14ac:dyDescent="0.3">
      <c r="B294" s="116" t="s">
        <v>463</v>
      </c>
      <c r="C294" s="170">
        <v>1988</v>
      </c>
      <c r="D294" s="23">
        <f>D37*100</f>
        <v>5.8059359641169968</v>
      </c>
      <c r="E294" s="23">
        <f>E37*100</f>
        <v>8.4586466165413565</v>
      </c>
      <c r="F294" s="23">
        <f>F37*100</f>
        <v>7.3200261544983576</v>
      </c>
      <c r="G294" s="23">
        <f>G37*100</f>
        <v>4.5561151735342538</v>
      </c>
      <c r="H294" s="23">
        <f>H37*100</f>
        <v>5.3592321135443992</v>
      </c>
      <c r="O294" s="116" t="s">
        <v>463</v>
      </c>
      <c r="P294" s="170">
        <v>1988</v>
      </c>
      <c r="Q294" s="23">
        <f>Q37*100</f>
        <v>33.467741935483872</v>
      </c>
      <c r="R294" s="23">
        <f>R37*100</f>
        <v>8.3526682134570631</v>
      </c>
      <c r="S294" s="23">
        <f>S37*100</f>
        <v>1.1819193943442423</v>
      </c>
      <c r="T294" s="23">
        <f>T37*100</f>
        <v>2.8981383627347466</v>
      </c>
      <c r="U294" s="23">
        <f>U37*100</f>
        <v>7.9671600370027758</v>
      </c>
      <c r="AB294" s="116" t="s">
        <v>463</v>
      </c>
      <c r="AC294" s="170">
        <v>1988</v>
      </c>
      <c r="AD294" s="23">
        <f>AD37*100</f>
        <v>50</v>
      </c>
      <c r="AE294" s="23" t="s">
        <v>527</v>
      </c>
      <c r="AF294" s="23">
        <f>AF37*100</f>
        <v>6.1372316607401691</v>
      </c>
      <c r="AG294" s="23">
        <f>AG37*100</f>
        <v>2.563266370988786</v>
      </c>
      <c r="AH294" s="23">
        <f>AH37*100</f>
        <v>7.9380974055530267</v>
      </c>
    </row>
    <row r="295" spans="2:34" x14ac:dyDescent="0.3">
      <c r="B295" s="115" t="s">
        <v>525</v>
      </c>
      <c r="C295" s="170" t="s">
        <v>369</v>
      </c>
      <c r="D295" s="23">
        <f>D62*100</f>
        <v>11.673168249660787</v>
      </c>
      <c r="E295" s="23">
        <f>E62*100</f>
        <v>28.519944303382754</v>
      </c>
      <c r="F295" s="23">
        <f>F62*100</f>
        <v>8.9441747251379287</v>
      </c>
      <c r="G295" s="23">
        <f>G62*100</f>
        <v>4.1841237041852972</v>
      </c>
      <c r="H295" s="23">
        <f>H62*100</f>
        <v>7.0483322776653301</v>
      </c>
      <c r="O295" s="115" t="s">
        <v>525</v>
      </c>
      <c r="P295" s="170" t="s">
        <v>369</v>
      </c>
      <c r="Q295" s="23">
        <f>Q62*100</f>
        <v>0</v>
      </c>
      <c r="R295" s="23">
        <f>R62*100</f>
        <v>25.579536370903273</v>
      </c>
      <c r="S295" s="23">
        <f>S62*100</f>
        <v>1.3403145059466379</v>
      </c>
      <c r="T295" s="23">
        <f>T62*100</f>
        <v>3.3171437428955239</v>
      </c>
      <c r="U295" s="23">
        <f>U62*100</f>
        <v>17.489312087057911</v>
      </c>
      <c r="AB295" s="115" t="s">
        <v>525</v>
      </c>
      <c r="AC295" s="170" t="s">
        <v>369</v>
      </c>
      <c r="AD295" s="23" t="s">
        <v>527</v>
      </c>
      <c r="AE295" s="23">
        <f>AE62*100</f>
        <v>57.142857142857139</v>
      </c>
      <c r="AF295" s="23">
        <f>AF62*100</f>
        <v>4.9088229876588674</v>
      </c>
      <c r="AG295" s="23">
        <f>AG62*100</f>
        <v>4.7422357000941089</v>
      </c>
      <c r="AH295" s="23">
        <f>AH62*100</f>
        <v>19.17613636363636</v>
      </c>
    </row>
    <row r="296" spans="2:34" x14ac:dyDescent="0.3">
      <c r="C296" s="170" t="s">
        <v>371</v>
      </c>
      <c r="D296" s="23">
        <f>D87*100</f>
        <v>4.756671899529044</v>
      </c>
      <c r="E296" s="23">
        <f>E87*100</f>
        <v>33.828149060671379</v>
      </c>
      <c r="F296" s="23">
        <f>F87*100</f>
        <v>5.7631469838186611</v>
      </c>
      <c r="G296" s="23">
        <f>G87*100</f>
        <v>3.5878233790992455</v>
      </c>
      <c r="H296" s="23">
        <f>H87*100</f>
        <v>6.3290189077335119</v>
      </c>
      <c r="P296" s="170" t="s">
        <v>371</v>
      </c>
      <c r="Q296" s="23">
        <f>Q87*100</f>
        <v>14.999999999999996</v>
      </c>
      <c r="R296" s="23">
        <f>R87*100</f>
        <v>16.751269035532992</v>
      </c>
      <c r="S296" s="23">
        <f>S87*100</f>
        <v>0.81635826465558337</v>
      </c>
      <c r="T296" s="23">
        <f>T87*100</f>
        <v>6.8076865782809373</v>
      </c>
      <c r="U296" s="23">
        <f>U87*100</f>
        <v>15.936883629191332</v>
      </c>
      <c r="AC296" s="170" t="s">
        <v>371</v>
      </c>
      <c r="AD296" s="23" t="s">
        <v>527</v>
      </c>
      <c r="AE296" s="23" t="s">
        <v>527</v>
      </c>
      <c r="AF296" s="23">
        <f>AF87*100</f>
        <v>1.6948482932996174</v>
      </c>
      <c r="AG296" s="23">
        <f>AG87*100</f>
        <v>2.557511040801526</v>
      </c>
      <c r="AH296" s="23">
        <f>AH87*100</f>
        <v>15.02262443438914</v>
      </c>
    </row>
    <row r="297" spans="2:34" x14ac:dyDescent="0.3">
      <c r="C297" s="170" t="s">
        <v>373</v>
      </c>
      <c r="D297" s="23">
        <f>D112*100</f>
        <v>4.0742927693381308</v>
      </c>
      <c r="E297" s="23">
        <f>E112*100</f>
        <v>58.806732792305397</v>
      </c>
      <c r="F297" s="23">
        <f>F112*100</f>
        <v>5.5603120038892841</v>
      </c>
      <c r="G297" s="23">
        <f>G112*100</f>
        <v>2.2580254872074215</v>
      </c>
      <c r="H297" s="23">
        <f>H112*100</f>
        <v>5.7343881452459513</v>
      </c>
      <c r="P297" s="170" t="s">
        <v>373</v>
      </c>
      <c r="Q297" s="23">
        <f>Q112*100</f>
        <v>10.112359550561795</v>
      </c>
      <c r="R297" s="23">
        <f>R112*100</f>
        <v>29.82456140350877</v>
      </c>
      <c r="S297" s="23">
        <f>S112*100</f>
        <v>0.9380649153950118</v>
      </c>
      <c r="T297" s="23">
        <f>T112*100</f>
        <v>3.19852375826542</v>
      </c>
      <c r="U297" s="23">
        <f>U112*100</f>
        <v>16.627634660421535</v>
      </c>
      <c r="AC297" s="170" t="s">
        <v>373</v>
      </c>
      <c r="AD297" s="23" t="s">
        <v>527</v>
      </c>
      <c r="AE297" s="23">
        <f>AE112*100</f>
        <v>67.46987951807229</v>
      </c>
      <c r="AF297" s="23">
        <f>AF112*100</f>
        <v>1.4679381288481848</v>
      </c>
      <c r="AG297" s="23">
        <f>AG112*100</f>
        <v>2.4972482113373857</v>
      </c>
      <c r="AH297" s="23">
        <f>AH112*100</f>
        <v>21.621621621621628</v>
      </c>
    </row>
    <row r="298" spans="2:34" x14ac:dyDescent="0.3">
      <c r="C298" s="170" t="s">
        <v>378</v>
      </c>
      <c r="D298" s="23">
        <f>D137*100</f>
        <v>1.6099127210238331</v>
      </c>
      <c r="E298" s="23">
        <f>E137*100</f>
        <v>38.174596994003579</v>
      </c>
      <c r="F298" s="23">
        <f>F137*100</f>
        <v>5.6776790686031653</v>
      </c>
      <c r="G298" s="23">
        <f>G137*100</f>
        <v>1.9718494084677254</v>
      </c>
      <c r="H298" s="23">
        <f>H137*100</f>
        <v>6.4137165978824999</v>
      </c>
      <c r="P298" s="170" t="s">
        <v>378</v>
      </c>
      <c r="Q298" s="23">
        <f>Q137*100</f>
        <v>0</v>
      </c>
      <c r="R298" s="23">
        <f>R137*100</f>
        <v>36.558396682791987</v>
      </c>
      <c r="S298" s="23">
        <f>S137*100</f>
        <v>1.0996491595538487</v>
      </c>
      <c r="T298" s="23">
        <f>T137*100</f>
        <v>3.4379060701689426</v>
      </c>
      <c r="U298" s="23">
        <f>U137*100</f>
        <v>17.782258064516128</v>
      </c>
      <c r="AC298" s="170" t="s">
        <v>378</v>
      </c>
      <c r="AD298" s="23" t="s">
        <v>527</v>
      </c>
      <c r="AE298" s="23">
        <f>AE137*100</f>
        <v>46.706586826347305</v>
      </c>
      <c r="AF298" s="23">
        <f>AF137*100</f>
        <v>1.6008030431107361</v>
      </c>
      <c r="AG298" s="23">
        <f>AG137*100</f>
        <v>2.7450016388069551</v>
      </c>
      <c r="AH298" s="23">
        <f>AH137*100</f>
        <v>21.100917431192666</v>
      </c>
    </row>
    <row r="299" spans="2:34" x14ac:dyDescent="0.3">
      <c r="C299" s="170" t="s">
        <v>380</v>
      </c>
      <c r="D299" s="23">
        <f>D162*100</f>
        <v>10.717333692673938</v>
      </c>
      <c r="E299" s="23">
        <f>E162*100</f>
        <v>31.136406515313496</v>
      </c>
      <c r="F299" s="23">
        <f>F162*100</f>
        <v>4.2609101744652156</v>
      </c>
      <c r="G299" s="23">
        <f>G162*100</f>
        <v>2.4622008842632197</v>
      </c>
      <c r="H299" s="23">
        <f>H162*100</f>
        <v>4.0978545360710665</v>
      </c>
      <c r="P299" s="170" t="s">
        <v>380</v>
      </c>
      <c r="Q299" s="23">
        <f>Q162*100</f>
        <v>13.559322033898299</v>
      </c>
      <c r="R299" s="23">
        <f>R162*100</f>
        <v>34.167262330235879</v>
      </c>
      <c r="S299" s="23">
        <f>S162*100</f>
        <v>0.9725634725634803</v>
      </c>
      <c r="T299" s="23">
        <f>T162*100</f>
        <v>3.2789397073469706</v>
      </c>
      <c r="U299" s="23">
        <f>U162*100</f>
        <v>9.2297015961138094</v>
      </c>
      <c r="AC299" s="170" t="s">
        <v>380</v>
      </c>
      <c r="AD299" s="23" t="s">
        <v>527</v>
      </c>
      <c r="AE299" s="23">
        <f>AE162*100</f>
        <v>57.761194029850749</v>
      </c>
      <c r="AF299" s="23">
        <f>AF162*100</f>
        <v>1.8203565955219783</v>
      </c>
      <c r="AG299" s="23">
        <f>AG162*100</f>
        <v>2.7492642308520656</v>
      </c>
      <c r="AH299" s="23">
        <f>AH162*100</f>
        <v>3.84615384615384</v>
      </c>
    </row>
    <row r="300" spans="2:34" x14ac:dyDescent="0.3">
      <c r="C300" s="170" t="s">
        <v>452</v>
      </c>
      <c r="D300" s="23">
        <f>D187*100</f>
        <v>7.0834839176002999</v>
      </c>
      <c r="E300" s="23">
        <f>E187*100</f>
        <v>42.930023604660022</v>
      </c>
      <c r="F300" s="23">
        <f>F187*100</f>
        <v>4.8101881894873504</v>
      </c>
      <c r="G300" s="23">
        <f>G187*100</f>
        <v>3.0513916870158595</v>
      </c>
      <c r="H300" s="23">
        <f>H187*100</f>
        <v>4.2741764435324914</v>
      </c>
      <c r="P300" s="170" t="s">
        <v>452</v>
      </c>
      <c r="Q300" s="23">
        <f>Q187*100</f>
        <v>0</v>
      </c>
      <c r="R300" s="23">
        <f>R187*100</f>
        <v>29.896160347742086</v>
      </c>
      <c r="S300" s="23">
        <f>S187*100</f>
        <v>1.9375394939435191</v>
      </c>
      <c r="T300" s="23">
        <f>T187*100</f>
        <v>3.9758353785161522</v>
      </c>
      <c r="U300" s="23">
        <f>U187*100</f>
        <v>19.031032298923364</v>
      </c>
      <c r="AC300" s="170" t="s">
        <v>452</v>
      </c>
      <c r="AD300" s="23" t="s">
        <v>527</v>
      </c>
      <c r="AE300" s="23">
        <f>AE187*100</f>
        <v>38.368580060422964</v>
      </c>
      <c r="AF300" s="23">
        <f>AF187*100</f>
        <v>1.7580872011251758</v>
      </c>
      <c r="AG300" s="23">
        <f>AG187*100</f>
        <v>3.6572248117604857</v>
      </c>
      <c r="AH300" s="23">
        <f>AH187*100</f>
        <v>19.665271966527204</v>
      </c>
    </row>
    <row r="301" spans="2:34" x14ac:dyDescent="0.3">
      <c r="C301" s="170" t="s">
        <v>453</v>
      </c>
      <c r="D301" s="23">
        <f>D212*100</f>
        <v>9.6473029045643202</v>
      </c>
      <c r="E301" s="23">
        <f>E212*100</f>
        <v>39.472425884603126</v>
      </c>
      <c r="F301" s="23">
        <f>F212*100</f>
        <v>5.218681488078925</v>
      </c>
      <c r="G301" s="23">
        <f>G212*100</f>
        <v>2.753631323654202</v>
      </c>
      <c r="H301" s="23">
        <f>H212*100</f>
        <v>5.4249368671969167</v>
      </c>
      <c r="P301" s="170" t="s">
        <v>453</v>
      </c>
      <c r="Q301" s="23">
        <f>Q212*100</f>
        <v>4.3689320388349548</v>
      </c>
      <c r="R301" s="23">
        <f>R212*100</f>
        <v>26.630434782608692</v>
      </c>
      <c r="S301" s="23">
        <f>S212*100</f>
        <v>1.2666900483674928</v>
      </c>
      <c r="T301" s="23">
        <f>T212*100</f>
        <v>3.7071852417601794</v>
      </c>
      <c r="U301" s="23">
        <f>U212*100</f>
        <v>14.130657382756501</v>
      </c>
      <c r="AC301" s="170" t="s">
        <v>453</v>
      </c>
      <c r="AD301" s="23">
        <f>AD212*100</f>
        <v>50</v>
      </c>
      <c r="AE301" s="23">
        <f>AE212*100</f>
        <v>25.848563968668415</v>
      </c>
      <c r="AF301" s="23">
        <f>AF212*100</f>
        <v>1.3319721938651543</v>
      </c>
      <c r="AG301" s="23">
        <f>AG212*100</f>
        <v>2.4228071773385649</v>
      </c>
      <c r="AH301" s="23">
        <f>AH212*100</f>
        <v>9.584664536741208</v>
      </c>
    </row>
    <row r="302" spans="2:34" x14ac:dyDescent="0.3">
      <c r="C302" s="170" t="s">
        <v>454</v>
      </c>
      <c r="D302" s="23">
        <f>D237*100</f>
        <v>5.8172194015339649</v>
      </c>
      <c r="E302" s="23">
        <f>E237*100</f>
        <v>37.969077146078277</v>
      </c>
      <c r="F302" s="23">
        <f>F237*100</f>
        <v>4.3234932650453137</v>
      </c>
      <c r="G302" s="23">
        <f>G237*100</f>
        <v>2.6859850236895797</v>
      </c>
      <c r="H302" s="23">
        <f>H237*100</f>
        <v>5.3494422131927708</v>
      </c>
      <c r="P302" s="170" t="s">
        <v>454</v>
      </c>
      <c r="Q302" s="23" t="s">
        <v>527</v>
      </c>
      <c r="R302" s="23">
        <f>R237*100</f>
        <v>24.818694601128122</v>
      </c>
      <c r="S302" s="23">
        <f>S237*100</f>
        <v>1.8614837120175334</v>
      </c>
      <c r="T302" s="23">
        <f>T237*100</f>
        <v>5.3216214368719639</v>
      </c>
      <c r="U302" s="23">
        <f>U237*100</f>
        <v>24.467657693852949</v>
      </c>
      <c r="AC302" s="170" t="s">
        <v>454</v>
      </c>
      <c r="AD302" s="23" t="s">
        <v>527</v>
      </c>
      <c r="AE302" s="23">
        <f>AE237*100</f>
        <v>27.230046948356801</v>
      </c>
      <c r="AF302" s="23">
        <f>AF237*100</f>
        <v>1.2371062168943248</v>
      </c>
      <c r="AG302" s="23">
        <f>AG237*100</f>
        <v>2.9171717171717169</v>
      </c>
      <c r="AH302" s="23">
        <f>AH237*100</f>
        <v>19.607843137254903</v>
      </c>
    </row>
    <row r="303" spans="2:34" x14ac:dyDescent="0.3">
      <c r="C303" s="171" t="s">
        <v>388</v>
      </c>
      <c r="D303" s="203">
        <f>D262*100</f>
        <v>1.8880438627520386</v>
      </c>
      <c r="E303" s="203">
        <f>E262*100</f>
        <v>32.45028305995065</v>
      </c>
      <c r="F303" s="203">
        <f>F262*100</f>
        <v>5.0999693851117538</v>
      </c>
      <c r="G303" s="203">
        <f>G262*100</f>
        <v>2.6101336044354184</v>
      </c>
      <c r="H303" s="203">
        <f>H262*100</f>
        <v>5.6191171520129997</v>
      </c>
      <c r="P303" s="171" t="s">
        <v>388</v>
      </c>
      <c r="Q303" s="203">
        <f>Q262*100</f>
        <v>100</v>
      </c>
      <c r="R303" s="203">
        <f>R262*100</f>
        <v>24.657534246575342</v>
      </c>
      <c r="S303" s="203">
        <f>S262*100</f>
        <v>1.4322883560889281</v>
      </c>
      <c r="T303" s="203">
        <f>T262*100</f>
        <v>4.6673330146451733</v>
      </c>
      <c r="U303" s="203">
        <f>U262*100</f>
        <v>17.779783393501816</v>
      </c>
      <c r="AC303" s="171" t="s">
        <v>388</v>
      </c>
      <c r="AD303" s="203" t="s">
        <v>527</v>
      </c>
      <c r="AE303" s="203">
        <f>AE262*100</f>
        <v>35.357142857142854</v>
      </c>
      <c r="AF303" s="203">
        <f>AF262*100</f>
        <v>1.54840905223754</v>
      </c>
      <c r="AG303" s="203">
        <f>AG262*100</f>
        <v>2.4710969905568767</v>
      </c>
      <c r="AH303" s="203">
        <f>AH262*100</f>
        <v>24.537815126050418</v>
      </c>
    </row>
    <row r="305" spans="2:34" x14ac:dyDescent="0.3">
      <c r="B305" s="131" t="s">
        <v>681</v>
      </c>
      <c r="C305" s="169">
        <v>1977</v>
      </c>
      <c r="D305" s="180">
        <f>L10</f>
        <v>8.434335987914017E-2</v>
      </c>
      <c r="E305" s="46">
        <f>D305*F307*F313</f>
        <v>9.9224818805757189E-2</v>
      </c>
      <c r="G305" s="169" t="s">
        <v>627</v>
      </c>
      <c r="H305" s="180">
        <f>E305</f>
        <v>9.9224818805757189E-2</v>
      </c>
      <c r="O305" s="131" t="s">
        <v>718</v>
      </c>
      <c r="P305" s="169">
        <v>1977</v>
      </c>
      <c r="Q305" s="219" t="s">
        <v>527</v>
      </c>
      <c r="R305" s="172" t="s">
        <v>527</v>
      </c>
      <c r="T305" s="169" t="s">
        <v>627</v>
      </c>
      <c r="U305" s="219" t="str">
        <f>R305</f>
        <v>-</v>
      </c>
      <c r="AB305" s="131" t="s">
        <v>767</v>
      </c>
      <c r="AC305" s="169">
        <v>1977</v>
      </c>
      <c r="AD305" s="180">
        <f>AL10</f>
        <v>0.27405031476649833</v>
      </c>
      <c r="AE305" s="46">
        <f>AD305*AF307*AF313</f>
        <v>0.55436643214949755</v>
      </c>
      <c r="AG305" s="169" t="s">
        <v>627</v>
      </c>
      <c r="AH305" s="180">
        <f>AE305</f>
        <v>0.55436643214949755</v>
      </c>
    </row>
    <row r="306" spans="2:34" x14ac:dyDescent="0.3">
      <c r="B306" s="116" t="s">
        <v>463</v>
      </c>
      <c r="C306" s="170">
        <v>1988</v>
      </c>
      <c r="D306" s="180">
        <f>L35</f>
        <v>0.10420565561006545</v>
      </c>
      <c r="E306" s="46">
        <f>D306*F307*F313</f>
        <v>0.12259159833400374</v>
      </c>
      <c r="G306" s="170" t="s">
        <v>628</v>
      </c>
      <c r="H306" s="180">
        <f>E306</f>
        <v>0.12259159833400374</v>
      </c>
      <c r="O306" s="116" t="s">
        <v>463</v>
      </c>
      <c r="P306" s="170">
        <v>1988</v>
      </c>
      <c r="Q306" s="180">
        <f>Y35</f>
        <v>0.75538549524769194</v>
      </c>
      <c r="R306" s="46">
        <f>Q306*S307*S313</f>
        <v>0.69845753018343226</v>
      </c>
      <c r="T306" s="170" t="s">
        <v>628</v>
      </c>
      <c r="U306" s="180">
        <f>R306</f>
        <v>0.69845753018343226</v>
      </c>
      <c r="AB306" s="116" t="s">
        <v>463</v>
      </c>
      <c r="AC306" s="170">
        <v>1988</v>
      </c>
      <c r="AD306" s="180">
        <f>AL35</f>
        <v>0.34119252220121121</v>
      </c>
      <c r="AE306" s="46">
        <f>AD306*AF307*AF313</f>
        <v>0.69018596592356862</v>
      </c>
      <c r="AG306" s="170" t="s">
        <v>628</v>
      </c>
      <c r="AH306" s="180">
        <f>AE306</f>
        <v>0.69018596592356862</v>
      </c>
    </row>
    <row r="307" spans="2:34" x14ac:dyDescent="0.3">
      <c r="B307" s="115" t="s">
        <v>532</v>
      </c>
      <c r="C307" s="170" t="s">
        <v>369</v>
      </c>
      <c r="D307" s="180">
        <f>L60</f>
        <v>0.13886924153587318</v>
      </c>
      <c r="E307" s="180">
        <f>D307*F313</f>
        <v>0.12259159833400374</v>
      </c>
      <c r="F307" s="134">
        <f>D307/D306</f>
        <v>1.3326459175643774</v>
      </c>
      <c r="G307" s="170" t="s">
        <v>632</v>
      </c>
      <c r="H307" s="180">
        <f>E308</f>
        <v>0.11833242963941254</v>
      </c>
      <c r="O307" s="115" t="s">
        <v>532</v>
      </c>
      <c r="P307" s="170" t="s">
        <v>369</v>
      </c>
      <c r="Q307" s="180">
        <f>Y60</f>
        <v>0.76077099049538388</v>
      </c>
      <c r="R307" s="180">
        <f>Q307*S313</f>
        <v>0.69845753018343226</v>
      </c>
      <c r="S307" s="134">
        <f>Q307/Q306</f>
        <v>1.0071294660561705</v>
      </c>
      <c r="T307" s="170" t="s">
        <v>632</v>
      </c>
      <c r="U307" s="180">
        <f>R308</f>
        <v>0.637931086732478</v>
      </c>
      <c r="AB307" s="115" t="s">
        <v>532</v>
      </c>
      <c r="AC307" s="170" t="s">
        <v>369</v>
      </c>
      <c r="AD307" s="180">
        <f>AL60</f>
        <v>0.49429111712186136</v>
      </c>
      <c r="AE307" s="180">
        <f>AD307*AF313</f>
        <v>0.69018596592356862</v>
      </c>
      <c r="AF307" s="134">
        <f>AD307/AD306</f>
        <v>1.4487161498526731</v>
      </c>
      <c r="AG307" s="170" t="s">
        <v>632</v>
      </c>
      <c r="AH307" s="180">
        <f>AE308</f>
        <v>0.83166573317560089</v>
      </c>
    </row>
    <row r="308" spans="2:34" x14ac:dyDescent="0.3">
      <c r="C308" s="170" t="s">
        <v>371</v>
      </c>
      <c r="D308" s="180">
        <f>L85</f>
        <v>0.13404454282707792</v>
      </c>
      <c r="E308" s="46">
        <f>D308*F$313</f>
        <v>0.11833242963941254</v>
      </c>
      <c r="G308" s="170" t="s">
        <v>631</v>
      </c>
      <c r="H308" s="180">
        <f>E309</f>
        <v>0.15655155073359336</v>
      </c>
      <c r="P308" s="170" t="s">
        <v>371</v>
      </c>
      <c r="Q308" s="180">
        <f>Y85</f>
        <v>0.69484463084506654</v>
      </c>
      <c r="R308" s="46">
        <f>Q308*S$313</f>
        <v>0.637931086732478</v>
      </c>
      <c r="T308" s="170" t="s">
        <v>631</v>
      </c>
      <c r="U308" s="180">
        <f>R309</f>
        <v>0.76043415796575287</v>
      </c>
      <c r="AC308" s="170" t="s">
        <v>371</v>
      </c>
      <c r="AD308" s="180">
        <f>AL85</f>
        <v>0.59561481197788257</v>
      </c>
      <c r="AE308" s="46">
        <f>AD308*AF$313</f>
        <v>0.83166573317560089</v>
      </c>
      <c r="AG308" s="170" t="s">
        <v>631</v>
      </c>
      <c r="AH308" s="180">
        <f>AE309</f>
        <v>0.87718792618227881</v>
      </c>
    </row>
    <row r="309" spans="2:34" x14ac:dyDescent="0.3">
      <c r="C309" s="170" t="s">
        <v>373</v>
      </c>
      <c r="D309" s="180">
        <f>L110</f>
        <v>0.17733837723860324</v>
      </c>
      <c r="E309" s="46">
        <f>D309*F$313</f>
        <v>0.15655155073359336</v>
      </c>
      <c r="G309" s="170" t="s">
        <v>630</v>
      </c>
      <c r="H309" s="180">
        <f>E310</f>
        <v>0.14693918039439371</v>
      </c>
      <c r="P309" s="170" t="s">
        <v>373</v>
      </c>
      <c r="Q309" s="180">
        <f>Y110</f>
        <v>0.8282769138593099</v>
      </c>
      <c r="R309" s="46">
        <f>Q309*S$313</f>
        <v>0.76043415796575287</v>
      </c>
      <c r="T309" s="170" t="s">
        <v>630</v>
      </c>
      <c r="U309" s="180">
        <f>R310</f>
        <v>0.72556722606764046</v>
      </c>
      <c r="AC309" s="170" t="s">
        <v>373</v>
      </c>
      <c r="AD309" s="180">
        <f>AL110</f>
        <v>0.62821648275366826</v>
      </c>
      <c r="AE309" s="46">
        <f>AD309*AF$313</f>
        <v>0.87718792618227881</v>
      </c>
      <c r="AG309" s="170" t="s">
        <v>630</v>
      </c>
      <c r="AH309" s="180">
        <f>AE310</f>
        <v>0.87788981021542156</v>
      </c>
    </row>
    <row r="310" spans="2:34" x14ac:dyDescent="0.3">
      <c r="C310" s="170" t="s">
        <v>380</v>
      </c>
      <c r="D310" s="180">
        <f>L160</f>
        <v>0.16644968179366978</v>
      </c>
      <c r="E310" s="46">
        <f>D310*F$313</f>
        <v>0.14693918039439371</v>
      </c>
      <c r="G310" s="170" t="s">
        <v>629</v>
      </c>
      <c r="H310" s="180">
        <f>E311</f>
        <v>0.14646241310163849</v>
      </c>
      <c r="P310" s="170" t="s">
        <v>380</v>
      </c>
      <c r="Q310" s="180">
        <f>Y160</f>
        <v>0.7902993000898717</v>
      </c>
      <c r="R310" s="46">
        <f>Q310*S$313</f>
        <v>0.72556722606764046</v>
      </c>
      <c r="T310" s="170" t="s">
        <v>629</v>
      </c>
      <c r="U310" s="180">
        <f>R311</f>
        <v>0.68872504309749438</v>
      </c>
      <c r="AC310" s="170" t="s">
        <v>380</v>
      </c>
      <c r="AD310" s="180">
        <f>AL160</f>
        <v>0.62871915168633463</v>
      </c>
      <c r="AE310" s="46">
        <f>AD310*AF$313</f>
        <v>0.87788981021542156</v>
      </c>
      <c r="AG310" s="170" t="s">
        <v>629</v>
      </c>
      <c r="AH310" s="180">
        <f>AE311</f>
        <v>0.98053199430022919</v>
      </c>
    </row>
    <row r="311" spans="2:34" x14ac:dyDescent="0.3">
      <c r="C311" s="170" t="s">
        <v>382</v>
      </c>
      <c r="D311" s="180">
        <f>L185</f>
        <v>0.16590960960900308</v>
      </c>
      <c r="E311" s="46">
        <f>D311*F$313</f>
        <v>0.14646241310163849</v>
      </c>
      <c r="G311" s="170" t="s">
        <v>454</v>
      </c>
      <c r="H311" s="180">
        <f>E313</f>
        <v>0.15786346312704622</v>
      </c>
      <c r="P311" s="170" t="s">
        <v>382</v>
      </c>
      <c r="Q311" s="180">
        <f>Y185</f>
        <v>0.75017021160706987</v>
      </c>
      <c r="R311" s="46">
        <f>Q311*S$313</f>
        <v>0.68872504309749438</v>
      </c>
      <c r="T311" s="170" t="s">
        <v>454</v>
      </c>
      <c r="U311" s="180">
        <f>R312</f>
        <v>0.75665867806857479</v>
      </c>
      <c r="AC311" s="170" t="s">
        <v>382</v>
      </c>
      <c r="AD311" s="180">
        <f>AL185</f>
        <v>0.70222849893482064</v>
      </c>
      <c r="AE311" s="46">
        <f>AD311*AF$313</f>
        <v>0.98053199430022919</v>
      </c>
      <c r="AG311" s="170" t="s">
        <v>454</v>
      </c>
      <c r="AH311" s="180">
        <f>AE312</f>
        <v>0.67838762955693332</v>
      </c>
    </row>
    <row r="312" spans="2:34" x14ac:dyDescent="0.3">
      <c r="C312" s="170" t="s">
        <v>453</v>
      </c>
      <c r="D312" s="180">
        <f>L210</f>
        <v>0.1788244846188492</v>
      </c>
      <c r="E312" s="46">
        <f>D312*F$313</f>
        <v>0.15786346312704622</v>
      </c>
      <c r="G312" s="171" t="s">
        <v>388</v>
      </c>
      <c r="H312" s="180">
        <f>E314</f>
        <v>0.16277864513379611</v>
      </c>
      <c r="P312" s="170" t="s">
        <v>453</v>
      </c>
      <c r="Q312" s="180">
        <f>Y210</f>
        <v>0.82416460143250092</v>
      </c>
      <c r="R312" s="46">
        <f>Q312*S$313</f>
        <v>0.75665867806857479</v>
      </c>
      <c r="T312" s="171" t="s">
        <v>388</v>
      </c>
      <c r="U312" s="180">
        <f>R314</f>
        <v>0.79184482148206647</v>
      </c>
      <c r="AC312" s="170" t="s">
        <v>453</v>
      </c>
      <c r="AD312" s="180">
        <f>AL210</f>
        <v>0.48584149172989927</v>
      </c>
      <c r="AE312" s="46">
        <f>AD312*AF$313</f>
        <v>0.67838762955693332</v>
      </c>
      <c r="AG312" s="171" t="s">
        <v>388</v>
      </c>
      <c r="AH312" s="180">
        <f>AE314</f>
        <v>0.69248629628743097</v>
      </c>
    </row>
    <row r="313" spans="2:34" x14ac:dyDescent="0.3">
      <c r="C313" s="170" t="s">
        <v>454</v>
      </c>
      <c r="D313" s="180">
        <f>L235</f>
        <v>0.15786346312704622</v>
      </c>
      <c r="E313" s="180">
        <f>D313</f>
        <v>0.15786346312704622</v>
      </c>
      <c r="F313" s="134">
        <f>D313/D312</f>
        <v>0.8827843875156145</v>
      </c>
      <c r="P313" s="170" t="s">
        <v>454</v>
      </c>
      <c r="Q313" s="180">
        <f>Y235</f>
        <v>0.75665867806857479</v>
      </c>
      <c r="R313" s="180">
        <f>Q313</f>
        <v>0.75665867806857479</v>
      </c>
      <c r="S313" s="134">
        <f>Q313/Q312</f>
        <v>0.91809169764560083</v>
      </c>
      <c r="AC313" s="170" t="s">
        <v>454</v>
      </c>
      <c r="AD313" s="180">
        <f>AL235</f>
        <v>0.67838762955693332</v>
      </c>
      <c r="AE313" s="180">
        <f>AD313</f>
        <v>0.67838762955693332</v>
      </c>
      <c r="AF313" s="134">
        <f>AD313/AD312</f>
        <v>1.3963147263142337</v>
      </c>
    </row>
    <row r="314" spans="2:34" x14ac:dyDescent="0.3">
      <c r="C314" s="171" t="s">
        <v>388</v>
      </c>
      <c r="D314" s="180">
        <f>L260</f>
        <v>0.16277864513379611</v>
      </c>
      <c r="E314" s="180">
        <f>D314</f>
        <v>0.16277864513379611</v>
      </c>
      <c r="P314" s="171" t="s">
        <v>388</v>
      </c>
      <c r="Q314" s="180">
        <f>Y260</f>
        <v>0.79184482148206647</v>
      </c>
      <c r="R314" s="180">
        <f>Q314</f>
        <v>0.79184482148206647</v>
      </c>
      <c r="AC314" s="171" t="s">
        <v>388</v>
      </c>
      <c r="AD314" s="180">
        <f>AL260</f>
        <v>0.69248629628743097</v>
      </c>
      <c r="AE314" s="180">
        <f>AD314</f>
        <v>0.69248629628743097</v>
      </c>
    </row>
    <row r="316" spans="2:34" x14ac:dyDescent="0.3">
      <c r="B316" s="131" t="s">
        <v>681</v>
      </c>
      <c r="C316" s="169">
        <v>1977</v>
      </c>
      <c r="D316" s="180">
        <f>L440</f>
        <v>2.9794261671374136E-2</v>
      </c>
      <c r="G316" s="169" t="s">
        <v>627</v>
      </c>
      <c r="H316" s="180">
        <f>D316</f>
        <v>2.9794261671374136E-2</v>
      </c>
      <c r="O316" s="131" t="s">
        <v>718</v>
      </c>
      <c r="P316" s="169">
        <v>1977</v>
      </c>
      <c r="Q316" s="219" t="s">
        <v>527</v>
      </c>
      <c r="T316" s="169" t="s">
        <v>627</v>
      </c>
      <c r="U316" s="219" t="str">
        <f>Q316</f>
        <v>-</v>
      </c>
      <c r="AB316" s="131" t="s">
        <v>767</v>
      </c>
      <c r="AC316" s="169">
        <v>1977</v>
      </c>
      <c r="AD316" s="180">
        <f>AL440</f>
        <v>0.15822173160460185</v>
      </c>
      <c r="AG316" s="169" t="s">
        <v>627</v>
      </c>
      <c r="AH316" s="180">
        <f>AD316</f>
        <v>0.15822173160460185</v>
      </c>
    </row>
    <row r="317" spans="2:34" x14ac:dyDescent="0.3">
      <c r="B317" s="116" t="s">
        <v>463</v>
      </c>
      <c r="C317" s="170">
        <v>1988</v>
      </c>
      <c r="D317" s="180">
        <f t="shared" ref="D317:D319" si="173">L441</f>
        <v>2.2354565316384866E-2</v>
      </c>
      <c r="G317" s="170" t="s">
        <v>628</v>
      </c>
      <c r="H317" s="180">
        <f>D317</f>
        <v>2.2354565316384866E-2</v>
      </c>
      <c r="O317" s="116" t="s">
        <v>463</v>
      </c>
      <c r="P317" s="170">
        <v>1988</v>
      </c>
      <c r="Q317" s="180">
        <f t="shared" ref="Q317:Q318" si="174">Y441</f>
        <v>1.8404144567011785E-2</v>
      </c>
      <c r="T317" s="170" t="s">
        <v>628</v>
      </c>
      <c r="U317" s="180">
        <f>Q317</f>
        <v>1.8404144567011785E-2</v>
      </c>
      <c r="AB317" s="116" t="s">
        <v>463</v>
      </c>
      <c r="AC317" s="170">
        <v>1988</v>
      </c>
      <c r="AD317" s="180">
        <f t="shared" ref="AD317:AD319" si="175">AL441</f>
        <v>2.128986232789909E-2</v>
      </c>
      <c r="AG317" s="170" t="s">
        <v>628</v>
      </c>
      <c r="AH317" s="180">
        <f>AD317</f>
        <v>2.128986232789909E-2</v>
      </c>
    </row>
    <row r="318" spans="2:34" x14ac:dyDescent="0.3">
      <c r="B318" s="115" t="s">
        <v>654</v>
      </c>
      <c r="C318" s="170" t="s">
        <v>369</v>
      </c>
      <c r="D318" s="180">
        <f t="shared" si="173"/>
        <v>9.4553177087186267E-3</v>
      </c>
      <c r="G318" s="170" t="s">
        <v>632</v>
      </c>
      <c r="H318" s="180">
        <f>D319</f>
        <v>3.0528041009861631E-2</v>
      </c>
      <c r="O318" s="115" t="s">
        <v>654</v>
      </c>
      <c r="P318" s="170" t="s">
        <v>369</v>
      </c>
      <c r="Q318" s="180">
        <f t="shared" si="174"/>
        <v>2.0598552674476779E-2</v>
      </c>
      <c r="T318" s="170" t="s">
        <v>632</v>
      </c>
      <c r="U318" s="180">
        <f>Q319</f>
        <v>0.20636270909666807</v>
      </c>
      <c r="AB318" s="115" t="s">
        <v>654</v>
      </c>
      <c r="AC318" s="170" t="s">
        <v>369</v>
      </c>
      <c r="AD318" s="180">
        <f t="shared" si="175"/>
        <v>2.9010130870482917E-2</v>
      </c>
      <c r="AG318" s="170" t="s">
        <v>632</v>
      </c>
      <c r="AH318" s="180">
        <f>AD319</f>
        <v>1.7074531183121692E-2</v>
      </c>
    </row>
    <row r="319" spans="2:34" x14ac:dyDescent="0.3">
      <c r="C319" s="170" t="s">
        <v>371</v>
      </c>
      <c r="D319" s="180">
        <f t="shared" si="173"/>
        <v>3.0528041009861631E-2</v>
      </c>
      <c r="G319" s="170" t="s">
        <v>631</v>
      </c>
      <c r="H319" s="180">
        <f>D320</f>
        <v>7.6426785523481802E-3</v>
      </c>
      <c r="P319" s="170" t="s">
        <v>371</v>
      </c>
      <c r="Q319" s="180">
        <f>Y443</f>
        <v>0.20636270909666807</v>
      </c>
      <c r="T319" s="170" t="s">
        <v>631</v>
      </c>
      <c r="U319" s="180">
        <f>Q320</f>
        <v>1.9173109523139695E-2</v>
      </c>
      <c r="AC319" s="170" t="s">
        <v>371</v>
      </c>
      <c r="AD319" s="180">
        <f t="shared" si="175"/>
        <v>1.7074531183121692E-2</v>
      </c>
      <c r="AG319" s="170" t="s">
        <v>631</v>
      </c>
      <c r="AH319" s="180">
        <f>AD320</f>
        <v>1.641924531632874E-2</v>
      </c>
    </row>
    <row r="320" spans="2:34" x14ac:dyDescent="0.3">
      <c r="C320" s="170" t="s">
        <v>373</v>
      </c>
      <c r="D320" s="180">
        <f>L444</f>
        <v>7.6426785523481802E-3</v>
      </c>
      <c r="G320" s="170" t="s">
        <v>630</v>
      </c>
      <c r="H320" s="180">
        <f>D321</f>
        <v>9.1860874378388562E-3</v>
      </c>
      <c r="P320" s="170" t="s">
        <v>373</v>
      </c>
      <c r="Q320" s="180">
        <f>Y444</f>
        <v>1.9173109523139695E-2</v>
      </c>
      <c r="T320" s="170" t="s">
        <v>630</v>
      </c>
      <c r="U320" s="180">
        <f>Q321</f>
        <v>1.7847363268253487E-2</v>
      </c>
      <c r="AC320" s="170" t="s">
        <v>373</v>
      </c>
      <c r="AD320" s="180">
        <f>AL444</f>
        <v>1.641924531632874E-2</v>
      </c>
      <c r="AG320" s="170" t="s">
        <v>630</v>
      </c>
      <c r="AH320" s="180">
        <f>AD321</f>
        <v>2.2404239026630062E-2</v>
      </c>
    </row>
    <row r="321" spans="3:34" x14ac:dyDescent="0.3">
      <c r="C321" s="170" t="s">
        <v>380</v>
      </c>
      <c r="D321" s="180">
        <f>L446</f>
        <v>9.1860874378388562E-3</v>
      </c>
      <c r="G321" s="170" t="s">
        <v>629</v>
      </c>
      <c r="H321" s="180">
        <f>D322</f>
        <v>3.8243564843174635E-2</v>
      </c>
      <c r="P321" s="170" t="s">
        <v>380</v>
      </c>
      <c r="Q321" s="180">
        <f>Y446</f>
        <v>1.7847363268253487E-2</v>
      </c>
      <c r="T321" s="170" t="s">
        <v>629</v>
      </c>
      <c r="U321" s="180">
        <f>Q322</f>
        <v>2.9941120898915159E-2</v>
      </c>
      <c r="AC321" s="170" t="s">
        <v>380</v>
      </c>
      <c r="AD321" s="180">
        <f>AL446</f>
        <v>2.2404239026630062E-2</v>
      </c>
      <c r="AG321" s="170" t="s">
        <v>629</v>
      </c>
      <c r="AH321" s="180">
        <f>AD322</f>
        <v>2.2275045879530501E-2</v>
      </c>
    </row>
    <row r="322" spans="3:34" x14ac:dyDescent="0.3">
      <c r="C322" s="170" t="s">
        <v>382</v>
      </c>
      <c r="D322" s="180">
        <f>L447</f>
        <v>3.8243564843174635E-2</v>
      </c>
      <c r="G322" s="170" t="s">
        <v>454</v>
      </c>
      <c r="H322" s="180">
        <f>D324</f>
        <v>6.6943953847348487E-3</v>
      </c>
      <c r="P322" s="170" t="s">
        <v>382</v>
      </c>
      <c r="Q322" s="180">
        <f>Y447</f>
        <v>2.9941120898915159E-2</v>
      </c>
      <c r="T322" s="170" t="s">
        <v>454</v>
      </c>
      <c r="U322" s="180">
        <f>Q324</f>
        <v>2.7559642503298599E-2</v>
      </c>
      <c r="AC322" s="170" t="s">
        <v>382</v>
      </c>
      <c r="AD322" s="180">
        <f>AL447</f>
        <v>2.2275045879530501E-2</v>
      </c>
      <c r="AG322" s="170" t="s">
        <v>454</v>
      </c>
      <c r="AH322" s="180">
        <f>AD324</f>
        <v>1.6862460107534675E-2</v>
      </c>
    </row>
    <row r="323" spans="3:34" x14ac:dyDescent="0.3">
      <c r="C323" s="170" t="s">
        <v>453</v>
      </c>
      <c r="D323" s="180">
        <f>L448</f>
        <v>1.0564509860363318E-2</v>
      </c>
      <c r="G323" s="171" t="s">
        <v>388</v>
      </c>
      <c r="H323" s="180">
        <f>D325</f>
        <v>7.1982149164293045E-3</v>
      </c>
      <c r="P323" s="170" t="s">
        <v>453</v>
      </c>
      <c r="Q323" s="180">
        <f>Y448</f>
        <v>2.2646451338201416E-2</v>
      </c>
      <c r="T323" s="171" t="s">
        <v>388</v>
      </c>
      <c r="U323" s="180">
        <f>Q325</f>
        <v>2.457320960620616E-2</v>
      </c>
      <c r="AC323" s="170" t="s">
        <v>453</v>
      </c>
      <c r="AD323" s="180">
        <f>AL448</f>
        <v>0.15553092203315994</v>
      </c>
      <c r="AG323" s="171" t="s">
        <v>388</v>
      </c>
      <c r="AH323" s="180">
        <f>AD325</f>
        <v>1.9719124672967752E-2</v>
      </c>
    </row>
    <row r="324" spans="3:34" x14ac:dyDescent="0.3">
      <c r="C324" s="170" t="s">
        <v>454</v>
      </c>
      <c r="D324" s="180">
        <f>L449</f>
        <v>6.6943953847348487E-3</v>
      </c>
      <c r="P324" s="170" t="s">
        <v>454</v>
      </c>
      <c r="Q324" s="180">
        <f>Y449</f>
        <v>2.7559642503298599E-2</v>
      </c>
      <c r="AC324" s="170" t="s">
        <v>454</v>
      </c>
      <c r="AD324" s="180">
        <f>AL449</f>
        <v>1.6862460107534675E-2</v>
      </c>
    </row>
    <row r="325" spans="3:34" x14ac:dyDescent="0.3">
      <c r="C325" s="171" t="s">
        <v>388</v>
      </c>
      <c r="D325" s="180">
        <f>L450</f>
        <v>7.1982149164293045E-3</v>
      </c>
      <c r="P325" s="171" t="s">
        <v>388</v>
      </c>
      <c r="Q325" s="180">
        <f>Y450</f>
        <v>2.457320960620616E-2</v>
      </c>
      <c r="AC325" s="171" t="s">
        <v>388</v>
      </c>
      <c r="AD325" s="180">
        <f>AL450</f>
        <v>1.9719124672967752E-2</v>
      </c>
    </row>
    <row r="342" spans="2:39" x14ac:dyDescent="0.3">
      <c r="D342" s="153" t="s">
        <v>447</v>
      </c>
      <c r="E342" s="154" t="s">
        <v>446</v>
      </c>
      <c r="F342" s="155" t="s">
        <v>448</v>
      </c>
      <c r="G342" s="156" t="s">
        <v>449</v>
      </c>
      <c r="H342" s="157" t="s">
        <v>450</v>
      </c>
      <c r="I342" s="153" t="s">
        <v>533</v>
      </c>
      <c r="J342" s="154" t="s">
        <v>534</v>
      </c>
      <c r="K342" s="155" t="s">
        <v>535</v>
      </c>
      <c r="L342" s="156" t="s">
        <v>536</v>
      </c>
      <c r="M342" s="157" t="s">
        <v>537</v>
      </c>
      <c r="Q342" s="153" t="s">
        <v>447</v>
      </c>
      <c r="R342" s="154" t="s">
        <v>446</v>
      </c>
      <c r="S342" s="155" t="s">
        <v>448</v>
      </c>
      <c r="T342" s="156" t="s">
        <v>449</v>
      </c>
      <c r="U342" s="157" t="s">
        <v>450</v>
      </c>
      <c r="V342" s="153" t="s">
        <v>533</v>
      </c>
      <c r="W342" s="154" t="s">
        <v>534</v>
      </c>
      <c r="X342" s="155" t="s">
        <v>535</v>
      </c>
      <c r="Y342" s="156" t="s">
        <v>536</v>
      </c>
      <c r="Z342" s="157" t="s">
        <v>537</v>
      </c>
      <c r="AD342" s="153" t="s">
        <v>447</v>
      </c>
      <c r="AE342" s="154" t="s">
        <v>446</v>
      </c>
      <c r="AF342" s="155" t="s">
        <v>448</v>
      </c>
      <c r="AG342" s="156" t="s">
        <v>449</v>
      </c>
      <c r="AH342" s="157" t="s">
        <v>450</v>
      </c>
      <c r="AI342" s="153" t="s">
        <v>533</v>
      </c>
      <c r="AJ342" s="154" t="s">
        <v>534</v>
      </c>
      <c r="AK342" s="155" t="s">
        <v>535</v>
      </c>
      <c r="AL342" s="156" t="s">
        <v>536</v>
      </c>
      <c r="AM342" s="157" t="s">
        <v>537</v>
      </c>
    </row>
    <row r="343" spans="2:39" x14ac:dyDescent="0.3">
      <c r="B343" s="131" t="s">
        <v>681</v>
      </c>
      <c r="C343" s="169">
        <v>1977</v>
      </c>
      <c r="D343" s="217">
        <f>D8</f>
        <v>5.5554321284378098E-3</v>
      </c>
      <c r="E343" s="217">
        <f>E8</f>
        <v>1.9300410608358799E-3</v>
      </c>
      <c r="F343" s="217">
        <f>F8</f>
        <v>8.876532712337841E-2</v>
      </c>
      <c r="G343" s="217">
        <f>G8</f>
        <v>0.48273768528373984</v>
      </c>
      <c r="H343" s="217">
        <f>H8</f>
        <v>0.18731133323504046</v>
      </c>
      <c r="I343" s="217">
        <f>D10</f>
        <v>5.4827223354385508E-3</v>
      </c>
      <c r="J343" s="217">
        <f>E10</f>
        <v>1.3927964792302455E-3</v>
      </c>
      <c r="K343" s="217">
        <f>F10</f>
        <v>8.434335987914017E-2</v>
      </c>
      <c r="L343" s="217">
        <f>G10</f>
        <v>0.47100717201319275</v>
      </c>
      <c r="M343" s="217">
        <f>H10</f>
        <v>0.18056386444470923</v>
      </c>
      <c r="O343" s="131" t="s">
        <v>718</v>
      </c>
      <c r="P343" s="169">
        <v>1977</v>
      </c>
      <c r="Q343" s="217" t="s">
        <v>527</v>
      </c>
      <c r="R343" s="217" t="s">
        <v>527</v>
      </c>
      <c r="S343" s="217" t="s">
        <v>527</v>
      </c>
      <c r="T343" s="217" t="s">
        <v>527</v>
      </c>
      <c r="U343" s="217" t="s">
        <v>527</v>
      </c>
      <c r="V343" s="217" t="s">
        <v>527</v>
      </c>
      <c r="W343" s="217" t="s">
        <v>527</v>
      </c>
      <c r="X343" s="217" t="s">
        <v>527</v>
      </c>
      <c r="Y343" s="217" t="s">
        <v>527</v>
      </c>
      <c r="Z343" s="217" t="s">
        <v>527</v>
      </c>
      <c r="AB343" s="131" t="s">
        <v>767</v>
      </c>
      <c r="AC343" s="169">
        <v>1977</v>
      </c>
      <c r="AD343" s="217">
        <f>AD8</f>
        <v>0</v>
      </c>
      <c r="AE343" s="217">
        <f>AE8</f>
        <v>0</v>
      </c>
      <c r="AF343" s="217">
        <f>AF8</f>
        <v>0.28108767982382654</v>
      </c>
      <c r="AG343" s="217">
        <f>AG8</f>
        <v>0.30899777389472677</v>
      </c>
      <c r="AH343" s="217">
        <f>AH8</f>
        <v>6.7979988989156706E-2</v>
      </c>
      <c r="AI343" s="217">
        <f>AD10</f>
        <v>0</v>
      </c>
      <c r="AJ343" s="217">
        <f>AE10</f>
        <v>0</v>
      </c>
      <c r="AK343" s="217">
        <f>AF10</f>
        <v>0.27405031476649833</v>
      </c>
      <c r="AL343" s="217">
        <f>AG10</f>
        <v>0.29145223448308882</v>
      </c>
      <c r="AM343" s="217">
        <f>AH10</f>
        <v>6.4078320607032585E-2</v>
      </c>
    </row>
    <row r="344" spans="2:39" x14ac:dyDescent="0.3">
      <c r="B344" s="116" t="s">
        <v>463</v>
      </c>
      <c r="C344" s="170">
        <v>1988</v>
      </c>
      <c r="D344" s="49">
        <f>D33</f>
        <v>3.3861758486343686E-2</v>
      </c>
      <c r="E344" s="49">
        <f>E33</f>
        <v>4.5128544854873267E-3</v>
      </c>
      <c r="F344" s="49">
        <f>F33</f>
        <v>0.11243600023428711</v>
      </c>
      <c r="G344" s="49">
        <f>G33</f>
        <v>0.44728762176365683</v>
      </c>
      <c r="H344" s="49">
        <f>H33</f>
        <v>0.27413288522557205</v>
      </c>
      <c r="I344" s="49">
        <f>D35</f>
        <v>3.189576647230262E-2</v>
      </c>
      <c r="J344" s="49">
        <f>E35</f>
        <v>4.1311280722412186E-3</v>
      </c>
      <c r="K344" s="49">
        <f>F35</f>
        <v>0.10420565561006545</v>
      </c>
      <c r="L344" s="49">
        <f>G35</f>
        <v>0.42690868255914238</v>
      </c>
      <c r="M344" s="49">
        <f>H35</f>
        <v>0.25944146760677739</v>
      </c>
      <c r="O344" s="116" t="s">
        <v>463</v>
      </c>
      <c r="P344" s="170">
        <v>1988</v>
      </c>
      <c r="Q344" s="49">
        <f>Q33</f>
        <v>1.6884991421335003E-3</v>
      </c>
      <c r="R344" s="49">
        <f>R33</f>
        <v>2.9344481058852364E-3</v>
      </c>
      <c r="S344" s="49">
        <f>S33</f>
        <v>0.76442032735096277</v>
      </c>
      <c r="T344" s="49">
        <f>T33</f>
        <v>0.16750183828535636</v>
      </c>
      <c r="U344" s="49">
        <f>U33</f>
        <v>5.8879599117623034E-2</v>
      </c>
      <c r="V344" s="49">
        <f>Q35</f>
        <v>1.1233966066614015E-3</v>
      </c>
      <c r="W344" s="49">
        <f>R35</f>
        <v>2.6893433917045671E-3</v>
      </c>
      <c r="X344" s="49">
        <f>S35</f>
        <v>0.75538549524769194</v>
      </c>
      <c r="Y344" s="49">
        <f>T35</f>
        <v>0.16264740325172253</v>
      </c>
      <c r="Z344" s="49">
        <f>U35</f>
        <v>5.4188567226776334E-2</v>
      </c>
      <c r="AB344" s="116" t="s">
        <v>463</v>
      </c>
      <c r="AC344" s="170">
        <v>1988</v>
      </c>
      <c r="AD344" s="49">
        <f>AD33</f>
        <v>1.7234363405701702E-3</v>
      </c>
      <c r="AE344" s="49">
        <f>AE33</f>
        <v>0</v>
      </c>
      <c r="AF344" s="49">
        <f>AF33</f>
        <v>0.36350144816525842</v>
      </c>
      <c r="AG344" s="49">
        <f>AG33</f>
        <v>0.36699619407808126</v>
      </c>
      <c r="AH344" s="49">
        <f>AH33</f>
        <v>0.2629437250161572</v>
      </c>
      <c r="AI344" s="49">
        <f>AD35</f>
        <v>8.6171817028508511E-4</v>
      </c>
      <c r="AJ344" s="49">
        <f>AE35</f>
        <v>0</v>
      </c>
      <c r="AK344" s="49">
        <f>AF35</f>
        <v>0.34119252220121121</v>
      </c>
      <c r="AL344" s="49">
        <f>AG35</f>
        <v>0.35758910405246902</v>
      </c>
      <c r="AM344" s="49">
        <f>AH35</f>
        <v>0.24207099600258516</v>
      </c>
    </row>
    <row r="345" spans="2:39" x14ac:dyDescent="0.3">
      <c r="B345" s="115" t="s">
        <v>538</v>
      </c>
      <c r="C345" s="170" t="s">
        <v>369</v>
      </c>
      <c r="D345" s="49">
        <f>D58</f>
        <v>1.9053197312161319E-2</v>
      </c>
      <c r="E345" s="49">
        <f t="shared" ref="E345:H345" si="176">E58</f>
        <v>4.9317436818219458E-3</v>
      </c>
      <c r="F345" s="49">
        <f t="shared" si="176"/>
        <v>0.15251000264582859</v>
      </c>
      <c r="G345" s="49">
        <f t="shared" si="176"/>
        <v>0.61695107640789382</v>
      </c>
      <c r="H345" s="49">
        <f t="shared" si="176"/>
        <v>0.20216271239843348</v>
      </c>
      <c r="I345" s="49">
        <f>D60</f>
        <v>1.6829085532972882E-2</v>
      </c>
      <c r="J345" s="49">
        <f t="shared" ref="J345:M345" si="177">E60</f>
        <v>3.5252131305807287E-3</v>
      </c>
      <c r="K345" s="49">
        <f t="shared" si="177"/>
        <v>0.13886924153587318</v>
      </c>
      <c r="L345" s="49">
        <f t="shared" si="177"/>
        <v>0.59113708017668476</v>
      </c>
      <c r="M345" s="49">
        <f t="shared" si="177"/>
        <v>0.18791361268705098</v>
      </c>
      <c r="O345" s="115" t="s">
        <v>538</v>
      </c>
      <c r="P345" s="170" t="s">
        <v>369</v>
      </c>
      <c r="Q345" s="49">
        <f>Q58</f>
        <v>7.4212260682480461E-4</v>
      </c>
      <c r="R345" s="49">
        <f t="shared" ref="R345:U345" si="178">R58</f>
        <v>8.5173888177782625E-3</v>
      </c>
      <c r="S345" s="49">
        <f t="shared" si="178"/>
        <v>0.77110623927666877</v>
      </c>
      <c r="T345" s="49">
        <f t="shared" si="178"/>
        <v>0.19765652659386149</v>
      </c>
      <c r="U345" s="49">
        <f t="shared" si="178"/>
        <v>1.7518178599635066E-2</v>
      </c>
      <c r="V345" s="49">
        <f>Q60</f>
        <v>7.4212260682480461E-4</v>
      </c>
      <c r="W345" s="49">
        <f t="shared" ref="W345:Z345" si="179">R60</f>
        <v>6.3386802472834231E-3</v>
      </c>
      <c r="X345" s="49">
        <f t="shared" si="179"/>
        <v>0.76077099049538388</v>
      </c>
      <c r="Y345" s="49">
        <f t="shared" si="179"/>
        <v>0.19109997548952859</v>
      </c>
      <c r="Z345" s="49">
        <f t="shared" si="179"/>
        <v>1.4454369672376699E-2</v>
      </c>
      <c r="AB345" s="115" t="s">
        <v>538</v>
      </c>
      <c r="AC345" s="170" t="s">
        <v>369</v>
      </c>
      <c r="AD345" s="49">
        <f>AD58</f>
        <v>0</v>
      </c>
      <c r="AE345" s="49">
        <f t="shared" ref="AE345:AH345" si="180">AE58</f>
        <v>1.0053378653325992E-3</v>
      </c>
      <c r="AF345" s="49">
        <f t="shared" si="180"/>
        <v>0.5198075496086364</v>
      </c>
      <c r="AG345" s="49">
        <f t="shared" si="180"/>
        <v>0.45781171457979269</v>
      </c>
      <c r="AH345" s="49">
        <f t="shared" si="180"/>
        <v>1.6851377552241666E-2</v>
      </c>
      <c r="AI345" s="49">
        <f>AD60</f>
        <v>0</v>
      </c>
      <c r="AJ345" s="49">
        <f t="shared" ref="AJ345:AM345" si="181">AE60</f>
        <v>4.3085908514254256E-4</v>
      </c>
      <c r="AK345" s="49">
        <f t="shared" si="181"/>
        <v>0.49429111712186136</v>
      </c>
      <c r="AL345" s="49">
        <f t="shared" si="181"/>
        <v>0.43610120401177682</v>
      </c>
      <c r="AM345" s="49">
        <f t="shared" si="181"/>
        <v>1.3619934413672596E-2</v>
      </c>
    </row>
    <row r="346" spans="2:39" x14ac:dyDescent="0.3">
      <c r="B346" s="115" t="s">
        <v>539</v>
      </c>
      <c r="C346" s="170" t="s">
        <v>371</v>
      </c>
      <c r="D346" s="49">
        <f>D83</f>
        <v>7.7193563567546381E-3</v>
      </c>
      <c r="E346" s="49">
        <f t="shared" ref="E346:H346" si="182">E83</f>
        <v>6.5580193852386994E-3</v>
      </c>
      <c r="F346" s="49">
        <f t="shared" si="182"/>
        <v>0.14224216804444992</v>
      </c>
      <c r="G346" s="49">
        <f t="shared" si="182"/>
        <v>0.50174523700362939</v>
      </c>
      <c r="H346" s="49">
        <f t="shared" si="182"/>
        <v>0.19911172869552571</v>
      </c>
      <c r="I346" s="49">
        <f>D85</f>
        <v>7.3521719021083813E-3</v>
      </c>
      <c r="J346" s="49">
        <f t="shared" ref="J346:M346" si="183">E85</f>
        <v>4.3395628121724273E-3</v>
      </c>
      <c r="K346" s="49">
        <f t="shared" si="183"/>
        <v>0.13404454282707792</v>
      </c>
      <c r="L346" s="49">
        <f t="shared" si="183"/>
        <v>0.48374350408689631</v>
      </c>
      <c r="M346" s="49">
        <f t="shared" si="183"/>
        <v>0.18650990973887083</v>
      </c>
      <c r="O346" s="115" t="s">
        <v>539</v>
      </c>
      <c r="P346" s="170" t="s">
        <v>371</v>
      </c>
      <c r="Q346" s="49">
        <f>Q83</f>
        <v>4.0850785696778234E-4</v>
      </c>
      <c r="R346" s="49">
        <f t="shared" ref="R346:U346" si="184">R83</f>
        <v>2.011901195566328E-2</v>
      </c>
      <c r="S346" s="49">
        <f t="shared" si="184"/>
        <v>0.70056374084261552</v>
      </c>
      <c r="T346" s="49">
        <f t="shared" si="184"/>
        <v>4.5705220730412048E-2</v>
      </c>
      <c r="U346" s="49">
        <f t="shared" si="184"/>
        <v>1.7259456956888804E-2</v>
      </c>
      <c r="V346" s="49">
        <f>Q85</f>
        <v>3.47231678422615E-4</v>
      </c>
      <c r="W346" s="49">
        <f t="shared" ref="W346:Z346" si="185">R85</f>
        <v>1.6748822135679076E-2</v>
      </c>
      <c r="X346" s="49">
        <f t="shared" si="185"/>
        <v>0.69484463084506654</v>
      </c>
      <c r="Y346" s="49">
        <f t="shared" si="185"/>
        <v>4.2593752553174109E-2</v>
      </c>
      <c r="Z346" s="49">
        <f t="shared" si="185"/>
        <v>1.4508837386639068E-2</v>
      </c>
      <c r="AB346" s="115" t="s">
        <v>539</v>
      </c>
      <c r="AC346" s="170" t="s">
        <v>371</v>
      </c>
      <c r="AD346" s="49">
        <f>AD83</f>
        <v>0</v>
      </c>
      <c r="AE346" s="49">
        <f t="shared" ref="AE346:AH346" si="186">AE83</f>
        <v>0</v>
      </c>
      <c r="AF346" s="49">
        <f t="shared" si="186"/>
        <v>0.60588362017377984</v>
      </c>
      <c r="AG346" s="49">
        <f t="shared" si="186"/>
        <v>0.36314239892763966</v>
      </c>
      <c r="AH346" s="49">
        <f t="shared" si="186"/>
        <v>2.6449960504583866E-2</v>
      </c>
      <c r="AI346" s="49">
        <f>AD85</f>
        <v>0</v>
      </c>
      <c r="AJ346" s="49">
        <f t="shared" ref="AJ346:AM346" si="187">AE85</f>
        <v>0</v>
      </c>
      <c r="AK346" s="49">
        <f t="shared" si="187"/>
        <v>0.59561481197788257</v>
      </c>
      <c r="AL346" s="49">
        <f t="shared" si="187"/>
        <v>0.35385499198123371</v>
      </c>
      <c r="AM346" s="49">
        <f t="shared" si="187"/>
        <v>2.2476482274935972E-2</v>
      </c>
    </row>
    <row r="347" spans="2:39" x14ac:dyDescent="0.3">
      <c r="C347" s="170" t="s">
        <v>373</v>
      </c>
      <c r="D347" s="49">
        <f>D108</f>
        <v>7.5250596321288412E-3</v>
      </c>
      <c r="E347" s="49">
        <f t="shared" ref="E347:H347" si="188">E108</f>
        <v>2.6878386812059325E-3</v>
      </c>
      <c r="F347" s="49">
        <f t="shared" si="188"/>
        <v>0.18777950351329678</v>
      </c>
      <c r="G347" s="49">
        <f t="shared" si="188"/>
        <v>0.63100668728123943</v>
      </c>
      <c r="H347" s="49">
        <f t="shared" si="188"/>
        <v>0.16661004728156262</v>
      </c>
      <c r="I347" s="49">
        <f>D110</f>
        <v>7.2184666716486332E-3</v>
      </c>
      <c r="J347" s="49">
        <f t="shared" ref="J347:M347" si="189">E110</f>
        <v>1.1072085700609348E-3</v>
      </c>
      <c r="K347" s="49">
        <f t="shared" si="189"/>
        <v>0.17733837723860324</v>
      </c>
      <c r="L347" s="49">
        <f t="shared" si="189"/>
        <v>0.61675839545644584</v>
      </c>
      <c r="M347" s="49">
        <f t="shared" si="189"/>
        <v>0.15705598048146002</v>
      </c>
      <c r="P347" s="170" t="s">
        <v>373</v>
      </c>
      <c r="Q347" s="49">
        <f>Q108</f>
        <v>6.059533211688772E-4</v>
      </c>
      <c r="R347" s="49">
        <f t="shared" ref="R347:U347" si="190">R108</f>
        <v>1.435905117241755E-2</v>
      </c>
      <c r="S347" s="49">
        <f t="shared" si="190"/>
        <v>0.83612026471309131</v>
      </c>
      <c r="T347" s="49">
        <f t="shared" si="190"/>
        <v>0.13282632969307442</v>
      </c>
      <c r="U347" s="49">
        <f t="shared" si="190"/>
        <v>1.1628856995016203E-2</v>
      </c>
      <c r="V347" s="49">
        <f>Q110</f>
        <v>5.4467714262370986E-4</v>
      </c>
      <c r="W347" s="49">
        <f t="shared" ref="W347:Z347" si="191">R110</f>
        <v>1.0076527138538632E-2</v>
      </c>
      <c r="X347" s="49">
        <f t="shared" si="191"/>
        <v>0.8282769138593099</v>
      </c>
      <c r="Y347" s="49">
        <f t="shared" si="191"/>
        <v>0.12857784798060948</v>
      </c>
      <c r="Z347" s="49">
        <f t="shared" si="191"/>
        <v>9.6952531387020351E-3</v>
      </c>
      <c r="AC347" s="170" t="s">
        <v>373</v>
      </c>
      <c r="AD347" s="49">
        <f>AD108</f>
        <v>0</v>
      </c>
      <c r="AE347" s="49">
        <f t="shared" ref="AE347:AH347" si="192">AE108</f>
        <v>1.9867391148239463E-3</v>
      </c>
      <c r="AF347" s="49">
        <f t="shared" si="192"/>
        <v>0.63757569954759807</v>
      </c>
      <c r="AG347" s="49">
        <f t="shared" si="192"/>
        <v>0.34794264786844442</v>
      </c>
      <c r="AH347" s="49">
        <f t="shared" si="192"/>
        <v>7.9708930751370369E-3</v>
      </c>
      <c r="AI347" s="49">
        <f>AD110</f>
        <v>0</v>
      </c>
      <c r="AJ347" s="49">
        <f t="shared" ref="AJ347:AM347" si="193">AE110</f>
        <v>6.4628862771381394E-4</v>
      </c>
      <c r="AK347" s="49">
        <f t="shared" si="193"/>
        <v>0.62821648275366826</v>
      </c>
      <c r="AL347" s="49">
        <f t="shared" si="193"/>
        <v>0.33925365631806975</v>
      </c>
      <c r="AM347" s="49">
        <f t="shared" si="193"/>
        <v>6.2474567345668667E-3</v>
      </c>
    </row>
    <row r="348" spans="2:39" x14ac:dyDescent="0.3">
      <c r="C348" s="170" t="s">
        <v>378</v>
      </c>
      <c r="D348" s="49">
        <f>D133</f>
        <v>8.9323980699589391E-3</v>
      </c>
      <c r="E348" s="49">
        <f t="shared" ref="E348:H348" si="194">E133</f>
        <v>5.1870358439082319E-3</v>
      </c>
      <c r="F348" s="49">
        <f t="shared" si="194"/>
        <v>0.15814299188679892</v>
      </c>
      <c r="G348" s="49">
        <f t="shared" si="194"/>
        <v>0.53735526206831086</v>
      </c>
      <c r="H348" s="49">
        <f t="shared" si="194"/>
        <v>9.5038566486036688E-2</v>
      </c>
      <c r="I348" s="49">
        <f>D135</f>
        <v>8.7885942571381825E-3</v>
      </c>
      <c r="J348" s="49">
        <f t="shared" ref="J348:M348" si="195">E135</f>
        <v>3.2069058145617517E-3</v>
      </c>
      <c r="K348" s="49">
        <f t="shared" si="195"/>
        <v>0.14916414033797934</v>
      </c>
      <c r="L348" s="49">
        <f t="shared" si="195"/>
        <v>0.52675942551184662</v>
      </c>
      <c r="M348" s="49">
        <f t="shared" si="195"/>
        <v>8.8943062172932158E-2</v>
      </c>
      <c r="P348" s="170" t="s">
        <v>378</v>
      </c>
      <c r="Q348" s="49">
        <f>Q133</f>
        <v>1.0757373566818269E-3</v>
      </c>
      <c r="R348" s="49">
        <f t="shared" ref="R348:U348" si="196">R133</f>
        <v>9.8518478172063516E-3</v>
      </c>
      <c r="S348" s="49">
        <f t="shared" si="196"/>
        <v>0.78012745445137388</v>
      </c>
      <c r="T348" s="49">
        <f t="shared" si="196"/>
        <v>0.18338598545712032</v>
      </c>
      <c r="U348" s="49">
        <f t="shared" si="196"/>
        <v>1.6884991421335004E-2</v>
      </c>
      <c r="V348" s="49">
        <f>Q135</f>
        <v>1.0757373566818269E-3</v>
      </c>
      <c r="W348" s="49">
        <f t="shared" ref="W348:Z348" si="197">R135</f>
        <v>6.2501702116070697E-3</v>
      </c>
      <c r="X348" s="49">
        <f t="shared" si="197"/>
        <v>0.77154878945505057</v>
      </c>
      <c r="Y348" s="49">
        <f t="shared" si="197"/>
        <v>0.17708134753125085</v>
      </c>
      <c r="Z348" s="49">
        <f t="shared" si="197"/>
        <v>1.3882458672621804E-2</v>
      </c>
      <c r="AC348" s="170" t="s">
        <v>378</v>
      </c>
      <c r="AD348" s="49">
        <f>AD133</f>
        <v>0</v>
      </c>
      <c r="AE348" s="49">
        <f t="shared" ref="AE348:AH348" si="198">AE133</f>
        <v>7.9948296909782886E-3</v>
      </c>
      <c r="AF348" s="49">
        <f t="shared" si="198"/>
        <v>0.45307226464322475</v>
      </c>
      <c r="AG348" s="49">
        <f t="shared" si="198"/>
        <v>0.29212245972664386</v>
      </c>
      <c r="AH348" s="49">
        <f t="shared" si="198"/>
        <v>1.0436364506786032E-2</v>
      </c>
      <c r="AI348" s="49">
        <f>AD135</f>
        <v>0</v>
      </c>
      <c r="AJ348" s="49">
        <f t="shared" ref="AJ348:AM348" si="199">AE135</f>
        <v>4.2607176197429208E-3</v>
      </c>
      <c r="AK348" s="49">
        <f t="shared" si="199"/>
        <v>0.44581947004332528</v>
      </c>
      <c r="AL348" s="49">
        <f t="shared" si="199"/>
        <v>0.28410369341982433</v>
      </c>
      <c r="AM348" s="49">
        <f t="shared" si="199"/>
        <v>8.2341958493908126E-3</v>
      </c>
    </row>
    <row r="349" spans="2:39" x14ac:dyDescent="0.3">
      <c r="C349" s="170" t="s">
        <v>380</v>
      </c>
      <c r="D349" s="49">
        <f>D158</f>
        <v>8.9929895641249879E-3</v>
      </c>
      <c r="E349" s="49">
        <f t="shared" ref="E349:H349" si="200">E158</f>
        <v>1.2846204649791261E-2</v>
      </c>
      <c r="F349" s="49">
        <f t="shared" si="200"/>
        <v>0.17385759787041097</v>
      </c>
      <c r="G349" s="49">
        <f t="shared" si="200"/>
        <v>0.61167315332273653</v>
      </c>
      <c r="H349" s="49">
        <f t="shared" si="200"/>
        <v>0.17532431597252376</v>
      </c>
      <c r="I349" s="49">
        <f>D160</f>
        <v>8.0291808635903697E-3</v>
      </c>
      <c r="J349" s="49">
        <f t="shared" ref="J349:M349" si="201">E160</f>
        <v>8.846358148243149E-3</v>
      </c>
      <c r="K349" s="49">
        <f t="shared" si="201"/>
        <v>0.16644968179366978</v>
      </c>
      <c r="L349" s="49">
        <f t="shared" si="201"/>
        <v>0.59661253153282334</v>
      </c>
      <c r="M349" s="49">
        <f t="shared" si="201"/>
        <v>0.16813978053760811</v>
      </c>
      <c r="P349" s="170" t="s">
        <v>380</v>
      </c>
      <c r="Q349" s="49">
        <f>Q158</f>
        <v>4.0169939268498597E-4</v>
      </c>
      <c r="R349" s="49">
        <f t="shared" ref="R349:U349" si="202">R158</f>
        <v>9.5250415316321252E-3</v>
      </c>
      <c r="S349" s="49">
        <f t="shared" si="202"/>
        <v>0.79806094937225969</v>
      </c>
      <c r="T349" s="49">
        <f t="shared" si="202"/>
        <v>0.17774176856668211</v>
      </c>
      <c r="U349" s="49">
        <f t="shared" si="202"/>
        <v>9.8109970315095728E-3</v>
      </c>
      <c r="V349" s="49">
        <f>Q160</f>
        <v>3.47231678422615E-4</v>
      </c>
      <c r="W349" s="49">
        <f t="shared" ref="W349:Z349" si="203">R160</f>
        <v>6.27059560445546E-3</v>
      </c>
      <c r="X349" s="49">
        <f t="shared" si="203"/>
        <v>0.7902993000898717</v>
      </c>
      <c r="Y349" s="49">
        <f t="shared" si="203"/>
        <v>0.1719137231406084</v>
      </c>
      <c r="Z349" s="49">
        <f t="shared" si="203"/>
        <v>8.9054712818976561E-3</v>
      </c>
      <c r="AC349" s="170" t="s">
        <v>380</v>
      </c>
      <c r="AD349" s="49">
        <f>AD158</f>
        <v>0</v>
      </c>
      <c r="AE349" s="49">
        <f t="shared" ref="AE349:AH349" si="204">AE158</f>
        <v>1.6037532613639084E-2</v>
      </c>
      <c r="AF349" s="49">
        <f t="shared" si="204"/>
        <v>0.6403762836010245</v>
      </c>
      <c r="AG349" s="49">
        <f t="shared" si="204"/>
        <v>0.33346099528448669</v>
      </c>
      <c r="AH349" s="49">
        <f t="shared" si="204"/>
        <v>5.6011681068530534E-3</v>
      </c>
      <c r="AI349" s="49">
        <f>AD160</f>
        <v>0</v>
      </c>
      <c r="AJ349" s="49">
        <f t="shared" ref="AJ349:AM349" si="205">AE160</f>
        <v>6.7740622830744198E-3</v>
      </c>
      <c r="AK349" s="49">
        <f t="shared" si="205"/>
        <v>0.62871915168633463</v>
      </c>
      <c r="AL349" s="49">
        <f t="shared" si="205"/>
        <v>0.32429327141728703</v>
      </c>
      <c r="AM349" s="49">
        <f t="shared" si="205"/>
        <v>5.385738564281782E-3</v>
      </c>
    </row>
    <row r="350" spans="2:39" x14ac:dyDescent="0.3">
      <c r="C350" s="170" t="s">
        <v>452</v>
      </c>
      <c r="D350" s="49">
        <f>D183</f>
        <v>6.7062665742983005E-3</v>
      </c>
      <c r="E350" s="49">
        <f t="shared" ref="E350:H350" si="206">E183</f>
        <v>5.3049872858848077E-3</v>
      </c>
      <c r="F350" s="49">
        <f t="shared" si="206"/>
        <v>0.17429345268511207</v>
      </c>
      <c r="G350" s="49">
        <f t="shared" si="206"/>
        <v>0.49163292057061031</v>
      </c>
      <c r="H350" s="49">
        <f t="shared" si="206"/>
        <v>0.1694998576099887</v>
      </c>
      <c r="I350" s="49">
        <f>D185</f>
        <v>6.2312292600364754E-3</v>
      </c>
      <c r="J350" s="49">
        <f t="shared" ref="J350:M350" si="207">E185</f>
        <v>3.0275549918302468E-3</v>
      </c>
      <c r="K350" s="49">
        <f t="shared" si="207"/>
        <v>0.16590960960900308</v>
      </c>
      <c r="L350" s="49">
        <f t="shared" si="207"/>
        <v>0.47663127450168541</v>
      </c>
      <c r="M350" s="49">
        <f t="shared" si="207"/>
        <v>0.16225513462420146</v>
      </c>
      <c r="P350" s="170" t="s">
        <v>452</v>
      </c>
      <c r="Q350" s="49">
        <f>Q183</f>
        <v>5.3786867834091344E-4</v>
      </c>
      <c r="R350" s="49">
        <f t="shared" ref="R350:U350" si="208">R183</f>
        <v>2.8193850595059775E-2</v>
      </c>
      <c r="S350" s="49">
        <f t="shared" si="208"/>
        <v>0.76499223835071761</v>
      </c>
      <c r="T350" s="49">
        <f t="shared" si="208"/>
        <v>0.18032217652986193</v>
      </c>
      <c r="U350" s="49">
        <f t="shared" si="208"/>
        <v>2.1501130205070943E-2</v>
      </c>
      <c r="V350" s="49">
        <f>Q185</f>
        <v>5.3786867834091344E-4</v>
      </c>
      <c r="W350" s="49">
        <f t="shared" ref="W350:Z350" si="209">R185</f>
        <v>1.976497181295787E-2</v>
      </c>
      <c r="X350" s="49">
        <f t="shared" si="209"/>
        <v>0.75017021160706987</v>
      </c>
      <c r="Y350" s="49">
        <f t="shared" si="209"/>
        <v>0.17315286364007734</v>
      </c>
      <c r="Z350" s="49">
        <f t="shared" si="209"/>
        <v>1.7409243171110325E-2</v>
      </c>
      <c r="AC350" s="170" t="s">
        <v>452</v>
      </c>
      <c r="AD350" s="49">
        <f>AD183</f>
        <v>0</v>
      </c>
      <c r="AE350" s="49">
        <f t="shared" ref="AE350:AH350" si="210">AE183</f>
        <v>7.9230198434545335E-3</v>
      </c>
      <c r="AF350" s="49">
        <f t="shared" si="210"/>
        <v>0.71479522225147818</v>
      </c>
      <c r="AG350" s="49">
        <f t="shared" si="210"/>
        <v>0.26703688632501138</v>
      </c>
      <c r="AH350" s="49">
        <f t="shared" si="210"/>
        <v>5.7208511860593154E-3</v>
      </c>
      <c r="AI350" s="49">
        <f>AD185</f>
        <v>0</v>
      </c>
      <c r="AJ350" s="49">
        <f t="shared" ref="AJ350:AM350" si="211">AE185</f>
        <v>4.8830696316154824E-3</v>
      </c>
      <c r="AK350" s="49">
        <f t="shared" si="211"/>
        <v>0.70222849893482064</v>
      </c>
      <c r="AL350" s="49">
        <f t="shared" si="211"/>
        <v>0.25727074706178044</v>
      </c>
      <c r="AM350" s="49">
        <f t="shared" si="211"/>
        <v>4.5958302415204542E-3</v>
      </c>
    </row>
    <row r="351" spans="2:39" x14ac:dyDescent="0.3">
      <c r="C351" s="170" t="s">
        <v>453</v>
      </c>
      <c r="D351" s="49">
        <f>D208</f>
        <v>7.0092240451285447E-3</v>
      </c>
      <c r="E351" s="49">
        <f t="shared" ref="E351:H351" si="212">E208</f>
        <v>5.0686804586372166E-3</v>
      </c>
      <c r="F351" s="49">
        <f t="shared" si="212"/>
        <v>0.18867060242083217</v>
      </c>
      <c r="G351" s="49">
        <f t="shared" si="212"/>
        <v>0.61167315332273653</v>
      </c>
      <c r="H351" s="49">
        <f t="shared" si="212"/>
        <v>0.17115481328731075</v>
      </c>
      <c r="I351" s="49">
        <f>D210</f>
        <v>6.3330229702354378E-3</v>
      </c>
      <c r="J351" s="49">
        <f t="shared" ref="J351:M351" si="213">E210</f>
        <v>3.0679493212742797E-3</v>
      </c>
      <c r="K351" s="49">
        <f t="shared" si="213"/>
        <v>0.1788244846188492</v>
      </c>
      <c r="L351" s="49">
        <f t="shared" si="213"/>
        <v>0.59482992977445825</v>
      </c>
      <c r="M351" s="49">
        <f t="shared" si="213"/>
        <v>0.16186977272130537</v>
      </c>
      <c r="P351" s="170" t="s">
        <v>453</v>
      </c>
      <c r="Q351" s="49">
        <f>Q208</f>
        <v>1.4025436422560528E-3</v>
      </c>
      <c r="R351" s="49">
        <f t="shared" ref="R351:U351" si="214">R208</f>
        <v>1.0022059424276262E-2</v>
      </c>
      <c r="S351" s="49">
        <f t="shared" si="214"/>
        <v>0.83473814646368361</v>
      </c>
      <c r="T351" s="49">
        <f t="shared" si="214"/>
        <v>0.11588687055747707</v>
      </c>
      <c r="U351" s="49">
        <f t="shared" si="214"/>
        <v>3.3245731092894686E-2</v>
      </c>
      <c r="V351" s="49">
        <f>Q210</f>
        <v>1.3412674637108854E-3</v>
      </c>
      <c r="W351" s="49">
        <f t="shared" ref="W351:Z351" si="215">R210</f>
        <v>7.3531414254200825E-3</v>
      </c>
      <c r="X351" s="49">
        <f t="shared" si="215"/>
        <v>0.82416460143250092</v>
      </c>
      <c r="Y351" s="49">
        <f t="shared" si="215"/>
        <v>0.11159072959503255</v>
      </c>
      <c r="Z351" s="49">
        <f t="shared" si="215"/>
        <v>2.8547890737765189E-2</v>
      </c>
      <c r="AC351" s="170" t="s">
        <v>453</v>
      </c>
      <c r="AD351" s="49">
        <f>AD208</f>
        <v>4.3085908514254256E-4</v>
      </c>
      <c r="AE351" s="49">
        <f t="shared" ref="AE351:AH351" si="216">AE208</f>
        <v>9.1677238671996567E-3</v>
      </c>
      <c r="AF351" s="49">
        <f t="shared" si="216"/>
        <v>0.49240012447040243</v>
      </c>
      <c r="AG351" s="49">
        <f t="shared" si="216"/>
        <v>0.2628001053211097</v>
      </c>
      <c r="AH351" s="49">
        <f t="shared" si="216"/>
        <v>7.4921607583119899E-3</v>
      </c>
      <c r="AI351" s="49">
        <f>AD210</f>
        <v>2.1542954257127128E-4</v>
      </c>
      <c r="AJ351" s="49">
        <f t="shared" ref="AJ351:AM351" si="217">AE210</f>
        <v>6.7979988989156715E-3</v>
      </c>
      <c r="AK351" s="49">
        <f t="shared" si="217"/>
        <v>0.48584149172989927</v>
      </c>
      <c r="AL351" s="49">
        <f t="shared" si="217"/>
        <v>0.25643296550733657</v>
      </c>
      <c r="AM351" s="49">
        <f t="shared" si="217"/>
        <v>6.7740622830744198E-3</v>
      </c>
    </row>
    <row r="352" spans="2:39" x14ac:dyDescent="0.3">
      <c r="C352" s="170" t="s">
        <v>454</v>
      </c>
      <c r="D352" s="49">
        <f>D233</f>
        <v>7.4786061532682033E-3</v>
      </c>
      <c r="E352" s="49">
        <f t="shared" ref="E352:H352" si="218">E233</f>
        <v>5.0161678303599746E-3</v>
      </c>
      <c r="F352" s="49">
        <f t="shared" si="218"/>
        <v>0.16499710170686238</v>
      </c>
      <c r="G352" s="49">
        <f t="shared" si="218"/>
        <v>0.64625271904330073</v>
      </c>
      <c r="H352" s="49">
        <f t="shared" si="218"/>
        <v>0.17188635459354215</v>
      </c>
      <c r="I352" s="49">
        <f>D235</f>
        <v>7.0435592251559724E-3</v>
      </c>
      <c r="J352" s="49">
        <f t="shared" ref="J352:M352" si="219">E235</f>
        <v>3.1115751970738348E-3</v>
      </c>
      <c r="K352" s="49">
        <f t="shared" si="219"/>
        <v>0.15786346312704622</v>
      </c>
      <c r="L352" s="49">
        <f t="shared" si="219"/>
        <v>0.62889446779461089</v>
      </c>
      <c r="M352" s="49">
        <f t="shared" si="219"/>
        <v>0.16269139338219699</v>
      </c>
      <c r="P352" s="170" t="s">
        <v>454</v>
      </c>
      <c r="Q352" s="49">
        <f>Q233</f>
        <v>0</v>
      </c>
      <c r="R352" s="49">
        <f t="shared" ref="R352:U352" si="220">R233</f>
        <v>8.4493041749502985E-3</v>
      </c>
      <c r="S352" s="49">
        <f t="shared" si="220"/>
        <v>0.77101092077670963</v>
      </c>
      <c r="T352" s="49">
        <f t="shared" si="220"/>
        <v>0.19920204798605626</v>
      </c>
      <c r="U352" s="49">
        <f t="shared" si="220"/>
        <v>1.6946267599880171E-2</v>
      </c>
      <c r="V352" s="49">
        <f>Q235</f>
        <v>0</v>
      </c>
      <c r="W352" s="49">
        <f t="shared" ref="W352:Z352" si="221">R235</f>
        <v>6.3522971758490157E-3</v>
      </c>
      <c r="X352" s="49">
        <f t="shared" si="221"/>
        <v>0.75665867806857479</v>
      </c>
      <c r="Y352" s="49">
        <f t="shared" si="221"/>
        <v>0.1886012690977423</v>
      </c>
      <c r="Z352" s="49">
        <f t="shared" si="221"/>
        <v>1.2799912851657181E-2</v>
      </c>
      <c r="AC352" s="170" t="s">
        <v>454</v>
      </c>
      <c r="AD352" s="49">
        <f>AD233</f>
        <v>0</v>
      </c>
      <c r="AE352" s="49">
        <f t="shared" ref="AE352:AH352" si="222">AE233</f>
        <v>5.0984991741867538E-3</v>
      </c>
      <c r="AF352" s="49">
        <f t="shared" si="222"/>
        <v>0.68688512818057779</v>
      </c>
      <c r="AG352" s="49">
        <f t="shared" si="222"/>
        <v>0.29621562103549803</v>
      </c>
      <c r="AH352" s="49">
        <f t="shared" si="222"/>
        <v>7.3246044474232237E-3</v>
      </c>
      <c r="AI352" s="49">
        <f>AD235</f>
        <v>0</v>
      </c>
      <c r="AJ352" s="49">
        <f t="shared" ref="AJ352:AM352" si="223">AE235</f>
        <v>3.7101754553941165E-3</v>
      </c>
      <c r="AK352" s="49">
        <f t="shared" si="223"/>
        <v>0.67838762955693332</v>
      </c>
      <c r="AL352" s="49">
        <f t="shared" si="223"/>
        <v>0.2875745027168059</v>
      </c>
      <c r="AM352" s="49">
        <f t="shared" si="223"/>
        <v>5.8884074969480817E-3</v>
      </c>
    </row>
    <row r="353" spans="2:39" x14ac:dyDescent="0.3">
      <c r="C353" s="171" t="s">
        <v>388</v>
      </c>
      <c r="D353" s="218">
        <f>D258</f>
        <v>9.1355815470624234E-3</v>
      </c>
      <c r="E353" s="218">
        <f t="shared" ref="E353:H353" si="224">E258</f>
        <v>5.5655307107988182E-3</v>
      </c>
      <c r="F353" s="218">
        <f t="shared" si="224"/>
        <v>0.17152644111819584</v>
      </c>
      <c r="G353" s="218">
        <f t="shared" si="224"/>
        <v>0.62460984127048236</v>
      </c>
      <c r="H353" s="218">
        <f t="shared" si="224"/>
        <v>0.18479355468079389</v>
      </c>
      <c r="I353" s="218">
        <f>D260</f>
        <v>8.9630977603364029E-3</v>
      </c>
      <c r="J353" s="218">
        <f t="shared" ref="J353:M353" si="225">E260</f>
        <v>3.7595002413561181E-3</v>
      </c>
      <c r="K353" s="218">
        <f t="shared" si="225"/>
        <v>0.16277864513379611</v>
      </c>
      <c r="L353" s="218">
        <f t="shared" si="225"/>
        <v>0.60830668990687087</v>
      </c>
      <c r="M353" s="218">
        <f t="shared" si="225"/>
        <v>0.17440978835391088</v>
      </c>
      <c r="P353" s="171" t="s">
        <v>388</v>
      </c>
      <c r="Q353" s="218">
        <f>Q258</f>
        <v>4.0850785696778231E-5</v>
      </c>
      <c r="R353" s="218">
        <f t="shared" ref="R353:U353" si="226">R258</f>
        <v>1.2922465208747515E-2</v>
      </c>
      <c r="S353" s="218">
        <f t="shared" si="226"/>
        <v>0.80335112611999238</v>
      </c>
      <c r="T353" s="218">
        <f t="shared" si="226"/>
        <v>0.15666957161142733</v>
      </c>
      <c r="U353" s="218">
        <f t="shared" si="226"/>
        <v>2.2631335276015144E-2</v>
      </c>
      <c r="V353" s="218">
        <f>Q260</f>
        <v>0</v>
      </c>
      <c r="W353" s="218">
        <f t="shared" ref="W353:Z353" si="227">R260</f>
        <v>9.7361039243988139E-3</v>
      </c>
      <c r="X353" s="218">
        <f t="shared" si="227"/>
        <v>0.79184482148206647</v>
      </c>
      <c r="Y353" s="218">
        <f t="shared" si="227"/>
        <v>0.14935728097170403</v>
      </c>
      <c r="Z353" s="218">
        <f t="shared" si="227"/>
        <v>1.8607532884882486E-2</v>
      </c>
      <c r="AC353" s="171" t="s">
        <v>388</v>
      </c>
      <c r="AD353" s="218">
        <f>AD258</f>
        <v>0</v>
      </c>
      <c r="AE353" s="218">
        <f t="shared" ref="AE353:AH353" si="228">AE258</f>
        <v>6.7022524355506621E-3</v>
      </c>
      <c r="AF353" s="218">
        <f t="shared" si="228"/>
        <v>0.70337745649520078</v>
      </c>
      <c r="AG353" s="218">
        <f t="shared" si="228"/>
        <v>0.27122579409723058</v>
      </c>
      <c r="AH353" s="218">
        <f t="shared" si="228"/>
        <v>1.4242286425545158E-2</v>
      </c>
      <c r="AI353" s="218">
        <f>AD260</f>
        <v>0</v>
      </c>
      <c r="AJ353" s="218">
        <f t="shared" ref="AJ353:AM353" si="229">AE260</f>
        <v>4.3325274672666786E-3</v>
      </c>
      <c r="AK353" s="218">
        <f t="shared" si="229"/>
        <v>0.69248629628743097</v>
      </c>
      <c r="AL353" s="218">
        <f t="shared" si="229"/>
        <v>0.26452354166167991</v>
      </c>
      <c r="AM353" s="218">
        <f t="shared" si="229"/>
        <v>1.0747540512722312E-2</v>
      </c>
    </row>
    <row r="355" spans="2:39" x14ac:dyDescent="0.3">
      <c r="D355" s="153" t="s">
        <v>447</v>
      </c>
      <c r="E355" s="154" t="s">
        <v>446</v>
      </c>
      <c r="F355" s="155" t="s">
        <v>448</v>
      </c>
      <c r="G355" s="156" t="s">
        <v>449</v>
      </c>
      <c r="H355" s="157" t="s">
        <v>450</v>
      </c>
      <c r="I355" s="153" t="s">
        <v>533</v>
      </c>
      <c r="J355" s="154" t="s">
        <v>534</v>
      </c>
      <c r="K355" s="155" t="s">
        <v>535</v>
      </c>
      <c r="L355" s="156" t="s">
        <v>536</v>
      </c>
      <c r="M355" s="157" t="s">
        <v>537</v>
      </c>
      <c r="Q355" s="153" t="s">
        <v>447</v>
      </c>
      <c r="R355" s="154" t="s">
        <v>446</v>
      </c>
      <c r="S355" s="155" t="s">
        <v>448</v>
      </c>
      <c r="T355" s="156" t="s">
        <v>449</v>
      </c>
      <c r="U355" s="157" t="s">
        <v>450</v>
      </c>
      <c r="V355" s="153" t="s">
        <v>533</v>
      </c>
      <c r="W355" s="154" t="s">
        <v>534</v>
      </c>
      <c r="X355" s="155" t="s">
        <v>535</v>
      </c>
      <c r="Y355" s="156" t="s">
        <v>536</v>
      </c>
      <c r="Z355" s="157" t="s">
        <v>537</v>
      </c>
      <c r="AD355" s="153" t="s">
        <v>447</v>
      </c>
      <c r="AE355" s="154" t="s">
        <v>446</v>
      </c>
      <c r="AF355" s="155" t="s">
        <v>448</v>
      </c>
      <c r="AG355" s="156" t="s">
        <v>449</v>
      </c>
      <c r="AH355" s="157" t="s">
        <v>450</v>
      </c>
      <c r="AI355" s="153" t="s">
        <v>533</v>
      </c>
      <c r="AJ355" s="154" t="s">
        <v>534</v>
      </c>
      <c r="AK355" s="155" t="s">
        <v>535</v>
      </c>
      <c r="AL355" s="156" t="s">
        <v>536</v>
      </c>
      <c r="AM355" s="157" t="s">
        <v>537</v>
      </c>
    </row>
    <row r="356" spans="2:39" x14ac:dyDescent="0.3">
      <c r="B356" s="131" t="s">
        <v>681</v>
      </c>
      <c r="C356" s="169">
        <v>1977</v>
      </c>
      <c r="D356" s="215">
        <f>D7</f>
        <v>137.53</v>
      </c>
      <c r="E356" s="215">
        <f>E7</f>
        <v>47.78</v>
      </c>
      <c r="F356" s="215">
        <f>F7</f>
        <v>2197.4699999999998</v>
      </c>
      <c r="G356" s="215">
        <f>G7</f>
        <v>11950.63</v>
      </c>
      <c r="H356" s="215">
        <f>H7</f>
        <v>4637.07</v>
      </c>
      <c r="I356" s="215">
        <f>D9</f>
        <v>135.72999999999999</v>
      </c>
      <c r="J356" s="215">
        <f>E9</f>
        <v>34.479999999999997</v>
      </c>
      <c r="K356" s="215">
        <f>F9</f>
        <v>2088</v>
      </c>
      <c r="L356" s="215">
        <f>G9</f>
        <v>11660.23</v>
      </c>
      <c r="M356" s="215">
        <f>H9</f>
        <v>4470.03</v>
      </c>
      <c r="O356" s="131" t="s">
        <v>718</v>
      </c>
      <c r="P356" s="169">
        <v>1977</v>
      </c>
      <c r="Q356" s="215" t="str">
        <f>Q7</f>
        <v>-</v>
      </c>
      <c r="R356" s="215" t="str">
        <f>R7</f>
        <v>-</v>
      </c>
      <c r="S356" s="215" t="str">
        <f>S7</f>
        <v>-</v>
      </c>
      <c r="T356" s="215" t="str">
        <f>T7</f>
        <v>-</v>
      </c>
      <c r="U356" s="215" t="str">
        <f>U7</f>
        <v>-</v>
      </c>
      <c r="V356" s="215" t="str">
        <f>Q9</f>
        <v>-</v>
      </c>
      <c r="W356" s="215" t="str">
        <f>R9</f>
        <v>-</v>
      </c>
      <c r="X356" s="215" t="str">
        <f>S9</f>
        <v>-</v>
      </c>
      <c r="Y356" s="215" t="str">
        <f>T9</f>
        <v>-</v>
      </c>
      <c r="Z356" s="215" t="str">
        <f>U9</f>
        <v>-</v>
      </c>
      <c r="AB356" s="131" t="s">
        <v>767</v>
      </c>
      <c r="AC356" s="169">
        <v>1977</v>
      </c>
      <c r="AD356" s="215">
        <f>AD7</f>
        <v>0</v>
      </c>
      <c r="AE356" s="215">
        <f>AE7</f>
        <v>0</v>
      </c>
      <c r="AF356" s="215">
        <f>AF7</f>
        <v>117.43</v>
      </c>
      <c r="AG356" s="215">
        <f>AG7</f>
        <v>129.09</v>
      </c>
      <c r="AH356" s="215">
        <f>AH7</f>
        <v>28.4</v>
      </c>
      <c r="AI356" s="215">
        <f>AD9</f>
        <v>0</v>
      </c>
      <c r="AJ356" s="215">
        <f>AE9</f>
        <v>0</v>
      </c>
      <c r="AK356" s="215">
        <f>AF9</f>
        <v>114.49</v>
      </c>
      <c r="AL356" s="215">
        <f>AG9</f>
        <v>121.76</v>
      </c>
      <c r="AM356" s="215">
        <f>AH9</f>
        <v>26.77</v>
      </c>
    </row>
    <row r="357" spans="2:39" x14ac:dyDescent="0.3">
      <c r="B357" s="116" t="s">
        <v>463</v>
      </c>
      <c r="C357" s="170">
        <v>1988</v>
      </c>
      <c r="D357" s="57">
        <f>D32</f>
        <v>838.28</v>
      </c>
      <c r="E357" s="57">
        <f>E32</f>
        <v>111.72</v>
      </c>
      <c r="F357" s="57">
        <f>F32</f>
        <v>2783.46</v>
      </c>
      <c r="G357" s="57">
        <f>G32</f>
        <v>11073.03</v>
      </c>
      <c r="H357" s="57">
        <f>H32</f>
        <v>6786.42</v>
      </c>
      <c r="I357" s="57">
        <f>D34</f>
        <v>789.61</v>
      </c>
      <c r="J357" s="57">
        <f>E34</f>
        <v>102.27</v>
      </c>
      <c r="K357" s="57">
        <f>F34</f>
        <v>2579.71</v>
      </c>
      <c r="L357" s="57">
        <f>G34</f>
        <v>10568.53</v>
      </c>
      <c r="M357" s="57">
        <f>H34</f>
        <v>6422.72</v>
      </c>
      <c r="O357" s="116" t="s">
        <v>463</v>
      </c>
      <c r="P357" s="170">
        <v>1988</v>
      </c>
      <c r="Q357" s="57">
        <f>Q32</f>
        <v>2.48</v>
      </c>
      <c r="R357" s="57">
        <f>R32</f>
        <v>4.3099999999999996</v>
      </c>
      <c r="S357" s="57">
        <f>S32</f>
        <v>1122.75</v>
      </c>
      <c r="T357" s="57">
        <f>T32</f>
        <v>246.02</v>
      </c>
      <c r="U357" s="57">
        <f>U32</f>
        <v>86.48</v>
      </c>
      <c r="V357" s="57">
        <f>Q34</f>
        <v>1.65</v>
      </c>
      <c r="W357" s="57">
        <f>R34</f>
        <v>3.95</v>
      </c>
      <c r="X357" s="57">
        <f>S34</f>
        <v>1109.48</v>
      </c>
      <c r="Y357" s="57">
        <f>T34</f>
        <v>238.89</v>
      </c>
      <c r="Z357" s="57">
        <f>U34</f>
        <v>79.59</v>
      </c>
      <c r="AB357" s="116" t="s">
        <v>463</v>
      </c>
      <c r="AC357" s="170">
        <v>1988</v>
      </c>
      <c r="AD357" s="57">
        <f>AD32</f>
        <v>0.72</v>
      </c>
      <c r="AE357" s="57">
        <f>AE32</f>
        <v>0</v>
      </c>
      <c r="AF357" s="57">
        <f>AF32</f>
        <v>151.86000000000001</v>
      </c>
      <c r="AG357" s="57">
        <f>AG32</f>
        <v>153.32</v>
      </c>
      <c r="AH357" s="57">
        <f>AH32</f>
        <v>109.85</v>
      </c>
      <c r="AI357" s="57">
        <f>AD34</f>
        <v>0.36</v>
      </c>
      <c r="AJ357" s="57">
        <f>AE34</f>
        <v>0</v>
      </c>
      <c r="AK357" s="57">
        <f>AF34</f>
        <v>142.54</v>
      </c>
      <c r="AL357" s="57">
        <f>AG34</f>
        <v>149.38999999999999</v>
      </c>
      <c r="AM357" s="57">
        <f>AH34</f>
        <v>101.13</v>
      </c>
    </row>
    <row r="358" spans="2:39" x14ac:dyDescent="0.3">
      <c r="B358" s="115" t="s">
        <v>540</v>
      </c>
      <c r="C358" s="170" t="s">
        <v>369</v>
      </c>
      <c r="D358" s="57">
        <f>D57</f>
        <v>471.68</v>
      </c>
      <c r="E358" s="57">
        <f t="shared" ref="E358:H358" si="230">E57</f>
        <v>122.09</v>
      </c>
      <c r="F358" s="57">
        <f t="shared" si="230"/>
        <v>3775.53</v>
      </c>
      <c r="G358" s="57">
        <f t="shared" si="230"/>
        <v>15273.21</v>
      </c>
      <c r="H358" s="57">
        <f t="shared" si="230"/>
        <v>5004.7299999999996</v>
      </c>
      <c r="I358" s="57">
        <f>D59</f>
        <v>416.62</v>
      </c>
      <c r="J358" s="57">
        <f t="shared" ref="J358:M358" si="231">E59</f>
        <v>87.27</v>
      </c>
      <c r="K358" s="57">
        <f t="shared" si="231"/>
        <v>3437.84</v>
      </c>
      <c r="L358" s="57">
        <f t="shared" si="231"/>
        <v>14634.16</v>
      </c>
      <c r="M358" s="57">
        <f t="shared" si="231"/>
        <v>4651.9799999999996</v>
      </c>
      <c r="O358" s="115" t="s">
        <v>540</v>
      </c>
      <c r="P358" s="170" t="s">
        <v>369</v>
      </c>
      <c r="Q358" s="57">
        <f>Q57</f>
        <v>1.0900000000000001</v>
      </c>
      <c r="R358" s="57">
        <f t="shared" ref="R358:U358" si="232">R57</f>
        <v>12.51</v>
      </c>
      <c r="S358" s="57">
        <f t="shared" si="232"/>
        <v>1132.57</v>
      </c>
      <c r="T358" s="57">
        <f t="shared" si="232"/>
        <v>290.31</v>
      </c>
      <c r="U358" s="57">
        <f t="shared" si="232"/>
        <v>25.73</v>
      </c>
      <c r="V358" s="57">
        <f>Q59</f>
        <v>1.0900000000000001</v>
      </c>
      <c r="W358" s="57">
        <f t="shared" ref="W358:Z358" si="233">R59</f>
        <v>9.31</v>
      </c>
      <c r="X358" s="57">
        <f t="shared" si="233"/>
        <v>1117.3900000000001</v>
      </c>
      <c r="Y358" s="57">
        <f t="shared" si="233"/>
        <v>280.68</v>
      </c>
      <c r="Z358" s="57">
        <f t="shared" si="233"/>
        <v>21.23</v>
      </c>
      <c r="AB358" s="115" t="s">
        <v>540</v>
      </c>
      <c r="AC358" s="170" t="s">
        <v>369</v>
      </c>
      <c r="AD358" s="57">
        <f>AD57</f>
        <v>0</v>
      </c>
      <c r="AE358" s="57">
        <f t="shared" ref="AE358:AH358" si="234">AE57</f>
        <v>0.42</v>
      </c>
      <c r="AF358" s="57">
        <f t="shared" si="234"/>
        <v>217.16</v>
      </c>
      <c r="AG358" s="57">
        <f t="shared" si="234"/>
        <v>191.26</v>
      </c>
      <c r="AH358" s="57">
        <f t="shared" si="234"/>
        <v>7.04</v>
      </c>
      <c r="AI358" s="57">
        <f>AD59</f>
        <v>0</v>
      </c>
      <c r="AJ358" s="57">
        <f t="shared" ref="AJ358:AM358" si="235">AE59</f>
        <v>0.18</v>
      </c>
      <c r="AK358" s="57">
        <f t="shared" si="235"/>
        <v>206.5</v>
      </c>
      <c r="AL358" s="57">
        <f t="shared" si="235"/>
        <v>182.19</v>
      </c>
      <c r="AM358" s="57">
        <f t="shared" si="235"/>
        <v>5.69</v>
      </c>
    </row>
    <row r="359" spans="2:39" x14ac:dyDescent="0.3">
      <c r="B359" s="115" t="s">
        <v>541</v>
      </c>
      <c r="C359" s="170" t="s">
        <v>371</v>
      </c>
      <c r="D359" s="57">
        <f>D82</f>
        <v>191.1</v>
      </c>
      <c r="E359" s="57">
        <f t="shared" ref="E359:H359" si="236">E82</f>
        <v>162.35</v>
      </c>
      <c r="F359" s="57">
        <f t="shared" si="236"/>
        <v>3521.34</v>
      </c>
      <c r="G359" s="57">
        <f t="shared" si="236"/>
        <v>12421.18</v>
      </c>
      <c r="H359" s="57">
        <f t="shared" si="236"/>
        <v>4929.2</v>
      </c>
      <c r="I359" s="57">
        <f>D84</f>
        <v>182.01</v>
      </c>
      <c r="J359" s="57">
        <f t="shared" ref="J359:M359" si="237">E84</f>
        <v>107.43</v>
      </c>
      <c r="K359" s="57">
        <f t="shared" si="237"/>
        <v>3318.4</v>
      </c>
      <c r="L359" s="57">
        <f t="shared" si="237"/>
        <v>11975.53</v>
      </c>
      <c r="M359" s="57">
        <f t="shared" si="237"/>
        <v>4617.2299999999996</v>
      </c>
      <c r="O359" s="115" t="s">
        <v>541</v>
      </c>
      <c r="P359" s="170" t="s">
        <v>371</v>
      </c>
      <c r="Q359" s="57">
        <f>Q82</f>
        <v>0.6</v>
      </c>
      <c r="R359" s="57">
        <f t="shared" ref="R359:U359" si="238">R82</f>
        <v>29.55</v>
      </c>
      <c r="S359" s="57">
        <f t="shared" si="238"/>
        <v>1028.96</v>
      </c>
      <c r="T359" s="57">
        <f t="shared" si="238"/>
        <v>67.13</v>
      </c>
      <c r="U359" s="57">
        <f t="shared" si="238"/>
        <v>25.35</v>
      </c>
      <c r="V359" s="57">
        <f>Q84</f>
        <v>0.51</v>
      </c>
      <c r="W359" s="57">
        <f t="shared" ref="W359:Z359" si="239">R84</f>
        <v>24.6</v>
      </c>
      <c r="X359" s="57">
        <f t="shared" si="239"/>
        <v>1020.56</v>
      </c>
      <c r="Y359" s="57">
        <f t="shared" si="239"/>
        <v>62.56</v>
      </c>
      <c r="Z359" s="57">
        <f t="shared" si="239"/>
        <v>21.31</v>
      </c>
      <c r="AB359" s="115" t="s">
        <v>541</v>
      </c>
      <c r="AC359" s="170" t="s">
        <v>371</v>
      </c>
      <c r="AD359" s="57">
        <f>AD82</f>
        <v>0</v>
      </c>
      <c r="AE359" s="57">
        <f t="shared" ref="AE359:AH359" si="240">AE82</f>
        <v>0</v>
      </c>
      <c r="AF359" s="57">
        <f t="shared" si="240"/>
        <v>253.12</v>
      </c>
      <c r="AG359" s="57">
        <f t="shared" si="240"/>
        <v>151.71</v>
      </c>
      <c r="AH359" s="57">
        <f t="shared" si="240"/>
        <v>11.05</v>
      </c>
      <c r="AI359" s="57">
        <f>AD84</f>
        <v>0</v>
      </c>
      <c r="AJ359" s="57">
        <f t="shared" ref="AJ359:AM359" si="241">AE84</f>
        <v>0</v>
      </c>
      <c r="AK359" s="57">
        <f t="shared" si="241"/>
        <v>248.83</v>
      </c>
      <c r="AL359" s="57">
        <f t="shared" si="241"/>
        <v>147.83000000000001</v>
      </c>
      <c r="AM359" s="57">
        <f t="shared" si="241"/>
        <v>9.39</v>
      </c>
    </row>
    <row r="360" spans="2:39" x14ac:dyDescent="0.3">
      <c r="C360" s="170" t="s">
        <v>373</v>
      </c>
      <c r="D360" s="57">
        <f>D107</f>
        <v>186.29</v>
      </c>
      <c r="E360" s="57">
        <f t="shared" ref="E360:H360" si="242">E107</f>
        <v>66.540000000000006</v>
      </c>
      <c r="F360" s="57">
        <f t="shared" si="242"/>
        <v>4648.66</v>
      </c>
      <c r="G360" s="57">
        <f t="shared" si="242"/>
        <v>15621.17</v>
      </c>
      <c r="H360" s="57">
        <f t="shared" si="242"/>
        <v>4124.59</v>
      </c>
      <c r="I360" s="57">
        <f>D109</f>
        <v>178.7</v>
      </c>
      <c r="J360" s="57">
        <f t="shared" ref="J360:M360" si="243">E109</f>
        <v>27.41</v>
      </c>
      <c r="K360" s="57">
        <f t="shared" si="243"/>
        <v>4390.18</v>
      </c>
      <c r="L360" s="57">
        <f t="shared" si="243"/>
        <v>15268.44</v>
      </c>
      <c r="M360" s="57">
        <f t="shared" si="243"/>
        <v>3888.07</v>
      </c>
      <c r="P360" s="170" t="s">
        <v>373</v>
      </c>
      <c r="Q360" s="57">
        <f>Q107</f>
        <v>0.89</v>
      </c>
      <c r="R360" s="57">
        <f t="shared" ref="R360:U360" si="244">R107</f>
        <v>21.09</v>
      </c>
      <c r="S360" s="57">
        <f t="shared" si="244"/>
        <v>1228.06</v>
      </c>
      <c r="T360" s="57">
        <f t="shared" si="244"/>
        <v>195.09</v>
      </c>
      <c r="U360" s="57">
        <f t="shared" si="244"/>
        <v>17.079999999999998</v>
      </c>
      <c r="V360" s="57">
        <f>Q109</f>
        <v>0.8</v>
      </c>
      <c r="W360" s="57">
        <f t="shared" ref="W360:Z360" si="245">R109</f>
        <v>14.8</v>
      </c>
      <c r="X360" s="57">
        <f t="shared" si="245"/>
        <v>1216.54</v>
      </c>
      <c r="Y360" s="57">
        <f t="shared" si="245"/>
        <v>188.85</v>
      </c>
      <c r="Z360" s="57">
        <f t="shared" si="245"/>
        <v>14.24</v>
      </c>
      <c r="AC360" s="170" t="s">
        <v>373</v>
      </c>
      <c r="AD360" s="57">
        <f>AD107</f>
        <v>0</v>
      </c>
      <c r="AE360" s="57">
        <f t="shared" ref="AE360:AH360" si="246">AE107</f>
        <v>0.83</v>
      </c>
      <c r="AF360" s="57">
        <f t="shared" si="246"/>
        <v>266.36</v>
      </c>
      <c r="AG360" s="57">
        <f t="shared" si="246"/>
        <v>145.36000000000001</v>
      </c>
      <c r="AH360" s="57">
        <f t="shared" si="246"/>
        <v>3.33</v>
      </c>
      <c r="AI360" s="57">
        <f>AD109</f>
        <v>0</v>
      </c>
      <c r="AJ360" s="57">
        <f t="shared" ref="AJ360:AM360" si="247">AE109</f>
        <v>0.27</v>
      </c>
      <c r="AK360" s="57">
        <f t="shared" si="247"/>
        <v>262.45</v>
      </c>
      <c r="AL360" s="57">
        <f t="shared" si="247"/>
        <v>141.72999999999999</v>
      </c>
      <c r="AM360" s="57">
        <f t="shared" si="247"/>
        <v>2.61</v>
      </c>
    </row>
    <row r="361" spans="2:39" x14ac:dyDescent="0.3">
      <c r="C361" s="170" t="s">
        <v>378</v>
      </c>
      <c r="D361" s="57">
        <f>D132</f>
        <v>221.13</v>
      </c>
      <c r="E361" s="57">
        <f t="shared" ref="E361:H361" si="248">E132</f>
        <v>128.41</v>
      </c>
      <c r="F361" s="57">
        <f t="shared" si="248"/>
        <v>3914.98</v>
      </c>
      <c r="G361" s="57">
        <f t="shared" si="248"/>
        <v>13302.74</v>
      </c>
      <c r="H361" s="57">
        <f t="shared" si="248"/>
        <v>2352.77</v>
      </c>
      <c r="I361" s="57">
        <f>D134</f>
        <v>217.57</v>
      </c>
      <c r="J361" s="57">
        <f t="shared" ref="J361:M361" si="249">E134</f>
        <v>79.39</v>
      </c>
      <c r="K361" s="57">
        <f t="shared" si="249"/>
        <v>3692.7</v>
      </c>
      <c r="L361" s="57">
        <f t="shared" si="249"/>
        <v>13040.43</v>
      </c>
      <c r="M361" s="57">
        <f t="shared" si="249"/>
        <v>2201.87</v>
      </c>
      <c r="P361" s="170" t="s">
        <v>378</v>
      </c>
      <c r="Q361" s="57">
        <f>Q132</f>
        <v>1.58</v>
      </c>
      <c r="R361" s="57">
        <f t="shared" ref="R361:U361" si="250">R132</f>
        <v>14.47</v>
      </c>
      <c r="S361" s="57">
        <f t="shared" si="250"/>
        <v>1145.82</v>
      </c>
      <c r="T361" s="57">
        <f t="shared" si="250"/>
        <v>269.35000000000002</v>
      </c>
      <c r="U361" s="57">
        <f t="shared" si="250"/>
        <v>24.8</v>
      </c>
      <c r="V361" s="57">
        <f>Q134</f>
        <v>1.58</v>
      </c>
      <c r="W361" s="57">
        <f t="shared" ref="W361:Z361" si="251">R134</f>
        <v>9.18</v>
      </c>
      <c r="X361" s="57">
        <f t="shared" si="251"/>
        <v>1133.22</v>
      </c>
      <c r="Y361" s="57">
        <f t="shared" si="251"/>
        <v>260.08999999999997</v>
      </c>
      <c r="Z361" s="57">
        <f t="shared" si="251"/>
        <v>20.39</v>
      </c>
      <c r="AC361" s="170" t="s">
        <v>378</v>
      </c>
      <c r="AD361" s="57">
        <f>AD132</f>
        <v>0</v>
      </c>
      <c r="AE361" s="57">
        <f t="shared" ref="AE361:AH361" si="252">AE132</f>
        <v>3.34</v>
      </c>
      <c r="AF361" s="57">
        <f t="shared" si="252"/>
        <v>189.28</v>
      </c>
      <c r="AG361" s="57">
        <f t="shared" si="252"/>
        <v>122.04</v>
      </c>
      <c r="AH361" s="57">
        <f t="shared" si="252"/>
        <v>4.3600000000000003</v>
      </c>
      <c r="AI361" s="57">
        <f>AD134</f>
        <v>0</v>
      </c>
      <c r="AJ361" s="57">
        <f t="shared" ref="AJ361:AM361" si="253">AE134</f>
        <v>1.78</v>
      </c>
      <c r="AK361" s="57">
        <f t="shared" si="253"/>
        <v>186.25</v>
      </c>
      <c r="AL361" s="57">
        <f t="shared" si="253"/>
        <v>118.69</v>
      </c>
      <c r="AM361" s="57">
        <f t="shared" si="253"/>
        <v>3.44</v>
      </c>
    </row>
    <row r="362" spans="2:39" x14ac:dyDescent="0.3">
      <c r="C362" s="170" t="s">
        <v>380</v>
      </c>
      <c r="D362" s="57">
        <f>D157</f>
        <v>222.63</v>
      </c>
      <c r="E362" s="57">
        <f t="shared" ref="E362:H362" si="254">E157</f>
        <v>318.02</v>
      </c>
      <c r="F362" s="57">
        <f t="shared" si="254"/>
        <v>4304.01</v>
      </c>
      <c r="G362" s="57">
        <f t="shared" si="254"/>
        <v>15142.55</v>
      </c>
      <c r="H362" s="57">
        <f t="shared" si="254"/>
        <v>4340.32</v>
      </c>
      <c r="I362" s="57">
        <f>D159</f>
        <v>198.77</v>
      </c>
      <c r="J362" s="57">
        <f t="shared" ref="J362:M362" si="255">E159</f>
        <v>219</v>
      </c>
      <c r="K362" s="57">
        <f t="shared" si="255"/>
        <v>4120.62</v>
      </c>
      <c r="L362" s="57">
        <f t="shared" si="255"/>
        <v>14769.71</v>
      </c>
      <c r="M362" s="57">
        <f t="shared" si="255"/>
        <v>4162.46</v>
      </c>
      <c r="P362" s="170" t="s">
        <v>380</v>
      </c>
      <c r="Q362" s="57">
        <f>Q157</f>
        <v>0.59</v>
      </c>
      <c r="R362" s="57">
        <f t="shared" ref="R362:U362" si="256">R157</f>
        <v>13.99</v>
      </c>
      <c r="S362" s="57">
        <f t="shared" si="256"/>
        <v>1172.1600000000001</v>
      </c>
      <c r="T362" s="57">
        <f t="shared" si="256"/>
        <v>261.06</v>
      </c>
      <c r="U362" s="57">
        <f t="shared" si="256"/>
        <v>14.41</v>
      </c>
      <c r="V362" s="57">
        <f>Q159</f>
        <v>0.51</v>
      </c>
      <c r="W362" s="57">
        <f t="shared" ref="W362:Z362" si="257">R159</f>
        <v>9.2100000000000009</v>
      </c>
      <c r="X362" s="57">
        <f t="shared" si="257"/>
        <v>1160.76</v>
      </c>
      <c r="Y362" s="57">
        <f t="shared" si="257"/>
        <v>252.5</v>
      </c>
      <c r="Z362" s="57">
        <f t="shared" si="257"/>
        <v>13.08</v>
      </c>
      <c r="AC362" s="170" t="s">
        <v>380</v>
      </c>
      <c r="AD362" s="57">
        <f>AD157</f>
        <v>0</v>
      </c>
      <c r="AE362" s="57">
        <f t="shared" ref="AE362:AH362" si="258">AE157</f>
        <v>6.7</v>
      </c>
      <c r="AF362" s="57">
        <f t="shared" si="258"/>
        <v>267.52999999999997</v>
      </c>
      <c r="AG362" s="57">
        <f t="shared" si="258"/>
        <v>139.31</v>
      </c>
      <c r="AH362" s="57">
        <f t="shared" si="258"/>
        <v>2.34</v>
      </c>
      <c r="AI362" s="57">
        <f>AD159</f>
        <v>0</v>
      </c>
      <c r="AJ362" s="57">
        <f t="shared" ref="AJ362:AM362" si="259">AE159</f>
        <v>2.83</v>
      </c>
      <c r="AK362" s="57">
        <f t="shared" si="259"/>
        <v>262.66000000000003</v>
      </c>
      <c r="AL362" s="57">
        <f t="shared" si="259"/>
        <v>135.47999999999999</v>
      </c>
      <c r="AM362" s="57">
        <f t="shared" si="259"/>
        <v>2.25</v>
      </c>
    </row>
    <row r="363" spans="2:39" x14ac:dyDescent="0.3">
      <c r="C363" s="170" t="s">
        <v>452</v>
      </c>
      <c r="D363" s="57">
        <f>D182</f>
        <v>166.02</v>
      </c>
      <c r="E363" s="57">
        <f t="shared" ref="E363:H363" si="260">E182</f>
        <v>131.33000000000001</v>
      </c>
      <c r="F363" s="57">
        <f t="shared" si="260"/>
        <v>4314.8</v>
      </c>
      <c r="G363" s="57">
        <f t="shared" si="260"/>
        <v>12170.84</v>
      </c>
      <c r="H363" s="57">
        <f t="shared" si="260"/>
        <v>4196.13</v>
      </c>
      <c r="I363" s="57">
        <f>D184</f>
        <v>154.26</v>
      </c>
      <c r="J363" s="57">
        <f t="shared" ref="J363:M363" si="261">E184</f>
        <v>74.95</v>
      </c>
      <c r="K363" s="57">
        <f t="shared" si="261"/>
        <v>4107.25</v>
      </c>
      <c r="L363" s="57">
        <f t="shared" si="261"/>
        <v>11799.46</v>
      </c>
      <c r="M363" s="57">
        <f t="shared" si="261"/>
        <v>4016.78</v>
      </c>
      <c r="P363" s="170" t="s">
        <v>452</v>
      </c>
      <c r="Q363" s="57">
        <f>Q182</f>
        <v>0.79</v>
      </c>
      <c r="R363" s="57">
        <f t="shared" ref="R363:U363" si="262">R182</f>
        <v>41.41</v>
      </c>
      <c r="S363" s="57">
        <f t="shared" si="262"/>
        <v>1123.5899999999999</v>
      </c>
      <c r="T363" s="57">
        <f t="shared" si="262"/>
        <v>264.85000000000002</v>
      </c>
      <c r="U363" s="57">
        <f t="shared" si="262"/>
        <v>31.58</v>
      </c>
      <c r="V363" s="57">
        <f>Q184</f>
        <v>0.79</v>
      </c>
      <c r="W363" s="57">
        <f t="shared" ref="W363:Z363" si="263">R184</f>
        <v>29.03</v>
      </c>
      <c r="X363" s="57">
        <f t="shared" si="263"/>
        <v>1101.82</v>
      </c>
      <c r="Y363" s="57">
        <f t="shared" si="263"/>
        <v>254.32</v>
      </c>
      <c r="Z363" s="57">
        <f t="shared" si="263"/>
        <v>25.57</v>
      </c>
      <c r="AC363" s="170" t="s">
        <v>452</v>
      </c>
      <c r="AD363" s="57">
        <f>AD182</f>
        <v>0</v>
      </c>
      <c r="AE363" s="57">
        <f t="shared" ref="AE363:AH363" si="264">AE182</f>
        <v>3.31</v>
      </c>
      <c r="AF363" s="57">
        <f t="shared" si="264"/>
        <v>298.62</v>
      </c>
      <c r="AG363" s="57">
        <f t="shared" si="264"/>
        <v>111.56</v>
      </c>
      <c r="AH363" s="57">
        <f t="shared" si="264"/>
        <v>2.39</v>
      </c>
      <c r="AI363" s="57">
        <f>AD184</f>
        <v>0</v>
      </c>
      <c r="AJ363" s="57">
        <f t="shared" ref="AJ363:AM363" si="265">AE184</f>
        <v>2.04</v>
      </c>
      <c r="AK363" s="57">
        <f t="shared" si="265"/>
        <v>293.37</v>
      </c>
      <c r="AL363" s="57">
        <f t="shared" si="265"/>
        <v>107.48</v>
      </c>
      <c r="AM363" s="57">
        <f t="shared" si="265"/>
        <v>1.92</v>
      </c>
    </row>
    <row r="364" spans="2:39" x14ac:dyDescent="0.3">
      <c r="C364" s="170" t="s">
        <v>453</v>
      </c>
      <c r="D364" s="57">
        <f>D207</f>
        <v>173.52</v>
      </c>
      <c r="E364" s="57">
        <f t="shared" ref="E364:H364" si="266">E207</f>
        <v>125.48</v>
      </c>
      <c r="F364" s="57">
        <f t="shared" si="266"/>
        <v>4670.72</v>
      </c>
      <c r="G364" s="57">
        <f t="shared" si="266"/>
        <v>15142.55</v>
      </c>
      <c r="H364" s="57">
        <f t="shared" si="266"/>
        <v>4237.1000000000004</v>
      </c>
      <c r="I364" s="57">
        <f>D209</f>
        <v>156.78</v>
      </c>
      <c r="J364" s="57">
        <f t="shared" ref="J364:M364" si="267">E209</f>
        <v>75.95</v>
      </c>
      <c r="K364" s="57">
        <f t="shared" si="267"/>
        <v>4426.97</v>
      </c>
      <c r="L364" s="57">
        <f t="shared" si="267"/>
        <v>14725.58</v>
      </c>
      <c r="M364" s="57">
        <f t="shared" si="267"/>
        <v>4007.24</v>
      </c>
      <c r="P364" s="170" t="s">
        <v>453</v>
      </c>
      <c r="Q364" s="57">
        <f>Q207</f>
        <v>2.06</v>
      </c>
      <c r="R364" s="57">
        <f t="shared" ref="R364:U364" si="268">R207</f>
        <v>14.72</v>
      </c>
      <c r="S364" s="57">
        <f t="shared" si="268"/>
        <v>1226.03</v>
      </c>
      <c r="T364" s="57">
        <f t="shared" si="268"/>
        <v>170.21</v>
      </c>
      <c r="U364" s="57">
        <f t="shared" si="268"/>
        <v>48.83</v>
      </c>
      <c r="V364" s="57">
        <f>Q209</f>
        <v>1.97</v>
      </c>
      <c r="W364" s="57">
        <f t="shared" ref="W364:Z364" si="269">R209</f>
        <v>10.8</v>
      </c>
      <c r="X364" s="57">
        <f t="shared" si="269"/>
        <v>1210.5</v>
      </c>
      <c r="Y364" s="57">
        <f t="shared" si="269"/>
        <v>163.9</v>
      </c>
      <c r="Z364" s="57">
        <f t="shared" si="269"/>
        <v>41.93</v>
      </c>
      <c r="AC364" s="170" t="s">
        <v>453</v>
      </c>
      <c r="AD364" s="57">
        <f>AD207</f>
        <v>0.18</v>
      </c>
      <c r="AE364" s="57">
        <f t="shared" ref="AE364:AH364" si="270">AE207</f>
        <v>3.83</v>
      </c>
      <c r="AF364" s="57">
        <f t="shared" si="270"/>
        <v>205.71</v>
      </c>
      <c r="AG364" s="57">
        <f t="shared" si="270"/>
        <v>109.79</v>
      </c>
      <c r="AH364" s="57">
        <f t="shared" si="270"/>
        <v>3.13</v>
      </c>
      <c r="AI364" s="57">
        <f>AD209</f>
        <v>0.09</v>
      </c>
      <c r="AJ364" s="57">
        <f t="shared" ref="AJ364:AM364" si="271">AE209</f>
        <v>2.84</v>
      </c>
      <c r="AK364" s="57">
        <f t="shared" si="271"/>
        <v>202.97</v>
      </c>
      <c r="AL364" s="57">
        <f t="shared" si="271"/>
        <v>107.13</v>
      </c>
      <c r="AM364" s="57">
        <f t="shared" si="271"/>
        <v>2.83</v>
      </c>
    </row>
    <row r="365" spans="2:39" x14ac:dyDescent="0.3">
      <c r="C365" s="170" t="s">
        <v>454</v>
      </c>
      <c r="D365" s="57">
        <f>D232</f>
        <v>185.14</v>
      </c>
      <c r="E365" s="57">
        <f t="shared" ref="E365:H365" si="272">E232</f>
        <v>124.18</v>
      </c>
      <c r="F365" s="57">
        <f t="shared" si="272"/>
        <v>4084.66</v>
      </c>
      <c r="G365" s="57">
        <f t="shared" si="272"/>
        <v>15998.6</v>
      </c>
      <c r="H365" s="57">
        <f t="shared" si="272"/>
        <v>4255.21</v>
      </c>
      <c r="I365" s="57">
        <f>D234</f>
        <v>174.37</v>
      </c>
      <c r="J365" s="57">
        <f t="shared" ref="J365:M365" si="273">E234</f>
        <v>77.03</v>
      </c>
      <c r="K365" s="57">
        <f t="shared" si="273"/>
        <v>3908.06</v>
      </c>
      <c r="L365" s="57">
        <f t="shared" si="273"/>
        <v>15568.88</v>
      </c>
      <c r="M365" s="57">
        <f t="shared" si="273"/>
        <v>4027.58</v>
      </c>
      <c r="P365" s="170" t="s">
        <v>454</v>
      </c>
      <c r="Q365" s="57">
        <f>Q232</f>
        <v>0</v>
      </c>
      <c r="R365" s="57">
        <f t="shared" ref="R365:U365" si="274">R232</f>
        <v>12.41</v>
      </c>
      <c r="S365" s="57">
        <f t="shared" si="274"/>
        <v>1132.43</v>
      </c>
      <c r="T365" s="57">
        <f t="shared" si="274"/>
        <v>292.58</v>
      </c>
      <c r="U365" s="57">
        <f t="shared" si="274"/>
        <v>24.89</v>
      </c>
      <c r="V365" s="57">
        <f>Q234</f>
        <v>0</v>
      </c>
      <c r="W365" s="57">
        <f t="shared" ref="W365:Z365" si="275">R234</f>
        <v>9.33</v>
      </c>
      <c r="X365" s="57">
        <f t="shared" si="275"/>
        <v>1111.3499999999999</v>
      </c>
      <c r="Y365" s="57">
        <f t="shared" si="275"/>
        <v>277.01</v>
      </c>
      <c r="Z365" s="57">
        <f t="shared" si="275"/>
        <v>18.8</v>
      </c>
      <c r="AC365" s="170" t="s">
        <v>454</v>
      </c>
      <c r="AD365" s="57">
        <f>AD232</f>
        <v>0</v>
      </c>
      <c r="AE365" s="57">
        <f t="shared" ref="AE365:AH365" si="276">AE232</f>
        <v>2.13</v>
      </c>
      <c r="AF365" s="57">
        <f t="shared" si="276"/>
        <v>286.95999999999998</v>
      </c>
      <c r="AG365" s="57">
        <f t="shared" si="276"/>
        <v>123.75</v>
      </c>
      <c r="AH365" s="57">
        <f t="shared" si="276"/>
        <v>3.06</v>
      </c>
      <c r="AI365" s="57">
        <f>AD234</f>
        <v>0</v>
      </c>
      <c r="AJ365" s="57">
        <f t="shared" ref="AJ365:AM365" si="277">AE234</f>
        <v>1.55</v>
      </c>
      <c r="AK365" s="57">
        <f t="shared" si="277"/>
        <v>283.41000000000003</v>
      </c>
      <c r="AL365" s="57">
        <f t="shared" si="277"/>
        <v>120.14</v>
      </c>
      <c r="AM365" s="57">
        <f t="shared" si="277"/>
        <v>2.46</v>
      </c>
    </row>
    <row r="366" spans="2:39" x14ac:dyDescent="0.3">
      <c r="C366" s="171" t="s">
        <v>388</v>
      </c>
      <c r="D366" s="216">
        <f>D257</f>
        <v>226.16</v>
      </c>
      <c r="E366" s="216">
        <f t="shared" ref="E366:H366" si="278">E257</f>
        <v>137.78</v>
      </c>
      <c r="F366" s="216">
        <f t="shared" si="278"/>
        <v>4246.3</v>
      </c>
      <c r="G366" s="216">
        <f t="shared" si="278"/>
        <v>15462.81</v>
      </c>
      <c r="H366" s="216">
        <f t="shared" si="278"/>
        <v>4574.74</v>
      </c>
      <c r="I366" s="216">
        <f>D259</f>
        <v>221.89</v>
      </c>
      <c r="J366" s="216">
        <f t="shared" ref="J366:M366" si="279">E259</f>
        <v>93.07</v>
      </c>
      <c r="K366" s="216">
        <f t="shared" si="279"/>
        <v>4029.74</v>
      </c>
      <c r="L366" s="216">
        <f t="shared" si="279"/>
        <v>15059.21</v>
      </c>
      <c r="M366" s="216">
        <f t="shared" si="279"/>
        <v>4317.68</v>
      </c>
      <c r="P366" s="171" t="s">
        <v>388</v>
      </c>
      <c r="Q366" s="216">
        <f>Q257</f>
        <v>0.06</v>
      </c>
      <c r="R366" s="216">
        <f t="shared" ref="R366:U366" si="280">R257</f>
        <v>18.98</v>
      </c>
      <c r="S366" s="216">
        <f t="shared" si="280"/>
        <v>1179.93</v>
      </c>
      <c r="T366" s="216">
        <f t="shared" si="280"/>
        <v>230.11</v>
      </c>
      <c r="U366" s="216">
        <f t="shared" si="280"/>
        <v>33.24</v>
      </c>
      <c r="V366" s="216">
        <f>Q259</f>
        <v>0</v>
      </c>
      <c r="W366" s="216">
        <f t="shared" ref="W366:Z366" si="281">R259</f>
        <v>14.3</v>
      </c>
      <c r="X366" s="216">
        <f t="shared" si="281"/>
        <v>1163.03</v>
      </c>
      <c r="Y366" s="216">
        <f t="shared" si="281"/>
        <v>219.37</v>
      </c>
      <c r="Z366" s="216">
        <f t="shared" si="281"/>
        <v>27.33</v>
      </c>
      <c r="AC366" s="171" t="s">
        <v>388</v>
      </c>
      <c r="AD366" s="216">
        <f>AD257</f>
        <v>0</v>
      </c>
      <c r="AE366" s="216">
        <f t="shared" ref="AE366:AH366" si="282">AE257</f>
        <v>2.8</v>
      </c>
      <c r="AF366" s="216">
        <f t="shared" si="282"/>
        <v>293.85000000000002</v>
      </c>
      <c r="AG366" s="216">
        <f t="shared" si="282"/>
        <v>113.31</v>
      </c>
      <c r="AH366" s="216">
        <f t="shared" si="282"/>
        <v>5.95</v>
      </c>
      <c r="AI366" s="216">
        <f>AD259</f>
        <v>0</v>
      </c>
      <c r="AJ366" s="216">
        <f t="shared" ref="AJ366:AM366" si="283">AE259</f>
        <v>1.81</v>
      </c>
      <c r="AK366" s="216">
        <f t="shared" si="283"/>
        <v>289.3</v>
      </c>
      <c r="AL366" s="216">
        <f t="shared" si="283"/>
        <v>110.51</v>
      </c>
      <c r="AM366" s="216">
        <f t="shared" si="283"/>
        <v>4.49</v>
      </c>
    </row>
    <row r="368" spans="2:39" x14ac:dyDescent="0.3">
      <c r="I368" s="153" t="s">
        <v>533</v>
      </c>
      <c r="J368" s="154" t="s">
        <v>534</v>
      </c>
      <c r="K368" s="155" t="s">
        <v>535</v>
      </c>
      <c r="L368" s="156" t="s">
        <v>536</v>
      </c>
      <c r="M368" s="157" t="s">
        <v>537</v>
      </c>
      <c r="V368" s="153" t="s">
        <v>533</v>
      </c>
      <c r="W368" s="154" t="s">
        <v>534</v>
      </c>
      <c r="X368" s="155" t="s">
        <v>535</v>
      </c>
      <c r="Y368" s="156" t="s">
        <v>536</v>
      </c>
      <c r="Z368" s="157" t="s">
        <v>537</v>
      </c>
      <c r="AI368" s="153" t="s">
        <v>533</v>
      </c>
      <c r="AJ368" s="154" t="s">
        <v>534</v>
      </c>
      <c r="AK368" s="155" t="s">
        <v>535</v>
      </c>
      <c r="AL368" s="156" t="s">
        <v>536</v>
      </c>
      <c r="AM368" s="157" t="s">
        <v>537</v>
      </c>
    </row>
    <row r="369" spans="7:39" x14ac:dyDescent="0.3">
      <c r="G369" s="131" t="s">
        <v>681</v>
      </c>
      <c r="H369" s="169">
        <v>1977</v>
      </c>
      <c r="I369" s="219">
        <f>D26</f>
        <v>1.8646920356883531E-3</v>
      </c>
      <c r="J369" s="219">
        <f t="shared" ref="J369:M369" si="284">E26</f>
        <v>6.478221876331674E-4</v>
      </c>
      <c r="K369" s="219">
        <f t="shared" si="284"/>
        <v>2.9794261671374136E-2</v>
      </c>
      <c r="L369" s="219">
        <f t="shared" si="284"/>
        <v>0.16203188091658768</v>
      </c>
      <c r="M369" s="219">
        <f t="shared" si="284"/>
        <v>6.2871428037005683E-2</v>
      </c>
      <c r="T369" s="131" t="s">
        <v>718</v>
      </c>
      <c r="U369" s="169">
        <v>1977</v>
      </c>
      <c r="V369" s="219" t="s">
        <v>527</v>
      </c>
      <c r="W369" s="219" t="s">
        <v>527</v>
      </c>
      <c r="X369" s="219" t="s">
        <v>527</v>
      </c>
      <c r="Y369" s="219" t="s">
        <v>527</v>
      </c>
      <c r="Z369" s="219" t="s">
        <v>527</v>
      </c>
      <c r="AG369" s="131" t="s">
        <v>767</v>
      </c>
      <c r="AH369" s="169">
        <v>1977</v>
      </c>
      <c r="AI369" s="219">
        <f>AD26</f>
        <v>0</v>
      </c>
      <c r="AJ369" s="219">
        <f t="shared" ref="AJ369:AM369" si="285">AE26</f>
        <v>0</v>
      </c>
      <c r="AK369" s="219">
        <f t="shared" si="285"/>
        <v>0.15822173160460185</v>
      </c>
      <c r="AL369" s="219">
        <f t="shared" si="285"/>
        <v>0.1739320730038155</v>
      </c>
      <c r="AM369" s="219">
        <f t="shared" si="285"/>
        <v>3.8265325534962889E-2</v>
      </c>
    </row>
    <row r="370" spans="7:39" x14ac:dyDescent="0.3">
      <c r="G370" s="116" t="s">
        <v>463</v>
      </c>
      <c r="H370" s="170">
        <v>1988</v>
      </c>
      <c r="I370" s="219">
        <f>D51</f>
        <v>6.732406793494107E-3</v>
      </c>
      <c r="J370" s="219">
        <f t="shared" ref="J370:M370" si="286">E51</f>
        <v>8.9724732424626785E-4</v>
      </c>
      <c r="K370" s="219">
        <f t="shared" si="286"/>
        <v>2.2354565316384866E-2</v>
      </c>
      <c r="L370" s="219">
        <f t="shared" si="286"/>
        <v>8.8929883089855458E-2</v>
      </c>
      <c r="M370" s="219">
        <f t="shared" si="286"/>
        <v>5.4503197155490138E-2</v>
      </c>
      <c r="T370" s="116" t="s">
        <v>463</v>
      </c>
      <c r="U370" s="170">
        <v>1988</v>
      </c>
      <c r="V370" s="219">
        <f>Q51</f>
        <v>4.0652218682867275E-5</v>
      </c>
      <c r="W370" s="219">
        <f t="shared" ref="W370:Z370" si="287">R51</f>
        <v>7.0649621985144345E-5</v>
      </c>
      <c r="X370" s="219">
        <f t="shared" si="287"/>
        <v>1.8404144567011785E-2</v>
      </c>
      <c r="Y370" s="219">
        <f t="shared" si="287"/>
        <v>4.0327656614350836E-3</v>
      </c>
      <c r="Z370" s="219">
        <f t="shared" si="287"/>
        <v>1.4175822063283718E-3</v>
      </c>
      <c r="AG370" s="116" t="s">
        <v>463</v>
      </c>
      <c r="AH370" s="170">
        <v>1988</v>
      </c>
      <c r="AI370" s="219">
        <f>AD51</f>
        <v>1.0093968705444057E-4</v>
      </c>
      <c r="AJ370" s="219">
        <f t="shared" ref="AJ370:AM370" si="288">AE51</f>
        <v>0</v>
      </c>
      <c r="AK370" s="219">
        <f t="shared" si="288"/>
        <v>2.128986232789909E-2</v>
      </c>
      <c r="AL370" s="219">
        <f t="shared" si="288"/>
        <v>2.1494545582203924E-2</v>
      </c>
      <c r="AM370" s="219">
        <f t="shared" si="288"/>
        <v>1.5400311976292075E-2</v>
      </c>
    </row>
    <row r="371" spans="7:39" x14ac:dyDescent="0.3">
      <c r="G371" s="115" t="s">
        <v>654</v>
      </c>
      <c r="H371" s="170" t="s">
        <v>369</v>
      </c>
      <c r="I371" s="219">
        <f>D76</f>
        <v>1.1812604473672311E-3</v>
      </c>
      <c r="J371" s="219">
        <f t="shared" ref="J371:M371" si="289">E76</f>
        <v>3.0575832772020275E-4</v>
      </c>
      <c r="K371" s="219">
        <f t="shared" si="289"/>
        <v>9.4553177087186267E-3</v>
      </c>
      <c r="L371" s="219">
        <f t="shared" si="289"/>
        <v>3.8249743210086631E-2</v>
      </c>
      <c r="M371" s="219">
        <f t="shared" si="289"/>
        <v>1.2533687242944794E-2</v>
      </c>
      <c r="T371" s="115" t="s">
        <v>654</v>
      </c>
      <c r="U371" s="170" t="s">
        <v>369</v>
      </c>
      <c r="V371" s="219">
        <f>Q76</f>
        <v>1.9824313212587033E-5</v>
      </c>
      <c r="W371" s="219">
        <f t="shared" ref="W371:Z371" si="290">R76</f>
        <v>2.2752491586189332E-4</v>
      </c>
      <c r="X371" s="219">
        <f t="shared" si="290"/>
        <v>2.0598552674476779E-2</v>
      </c>
      <c r="Y371" s="219">
        <f t="shared" si="290"/>
        <v>5.2799966685744409E-3</v>
      </c>
      <c r="Z371" s="219">
        <f t="shared" si="290"/>
        <v>4.6796291647693974E-4</v>
      </c>
      <c r="AG371" s="115" t="s">
        <v>654</v>
      </c>
      <c r="AH371" s="170" t="s">
        <v>369</v>
      </c>
      <c r="AI371" s="219">
        <f>AD76</f>
        <v>0</v>
      </c>
      <c r="AJ371" s="219">
        <f t="shared" ref="AJ371:AM371" si="291">AE76</f>
        <v>5.6107270978093686E-5</v>
      </c>
      <c r="AK371" s="219">
        <f t="shared" si="291"/>
        <v>2.9010130870482917E-2</v>
      </c>
      <c r="AL371" s="219">
        <f t="shared" si="291"/>
        <v>2.5550182493500478E-2</v>
      </c>
      <c r="AM371" s="219">
        <f t="shared" si="291"/>
        <v>9.4046473258518957E-4</v>
      </c>
    </row>
    <row r="372" spans="7:39" x14ac:dyDescent="0.3">
      <c r="H372" s="170" t="s">
        <v>371</v>
      </c>
      <c r="I372" s="219">
        <f>D101</f>
        <v>1.6567297213516889E-3</v>
      </c>
      <c r="J372" s="219">
        <f t="shared" ref="J372:M372" si="292">E101</f>
        <v>1.4074833608657595E-3</v>
      </c>
      <c r="K372" s="219">
        <f t="shared" si="292"/>
        <v>3.0528041009861631E-2</v>
      </c>
      <c r="L372" s="219">
        <f t="shared" si="292"/>
        <v>0.10768465766749961</v>
      </c>
      <c r="M372" s="219">
        <f t="shared" si="292"/>
        <v>4.2733396873295373E-2</v>
      </c>
      <c r="U372" s="170" t="s">
        <v>371</v>
      </c>
      <c r="V372" s="219">
        <f>Q101</f>
        <v>1.2033278791984219E-4</v>
      </c>
      <c r="W372" s="219">
        <f t="shared" ref="W372:Z372" si="293">R101</f>
        <v>5.9263898050522278E-3</v>
      </c>
      <c r="X372" s="219">
        <f t="shared" si="293"/>
        <v>0.20636270909666807</v>
      </c>
      <c r="Y372" s="219">
        <f t="shared" si="293"/>
        <v>1.3463233421765012E-2</v>
      </c>
      <c r="Z372" s="219">
        <f t="shared" si="293"/>
        <v>5.0840602896133338E-3</v>
      </c>
      <c r="AH372" s="170" t="s">
        <v>371</v>
      </c>
      <c r="AI372" s="219">
        <f>AD101</f>
        <v>0</v>
      </c>
      <c r="AJ372" s="219">
        <f t="shared" ref="AJ372:AM372" si="294">AE101</f>
        <v>0</v>
      </c>
      <c r="AK372" s="219">
        <f t="shared" si="294"/>
        <v>1.7074531183121692E-2</v>
      </c>
      <c r="AL372" s="219">
        <f t="shared" si="294"/>
        <v>1.0233790794055751E-2</v>
      </c>
      <c r="AM372" s="219">
        <f t="shared" si="294"/>
        <v>7.4539178877012753E-4</v>
      </c>
    </row>
    <row r="373" spans="7:39" x14ac:dyDescent="0.3">
      <c r="H373" s="170" t="s">
        <v>373</v>
      </c>
      <c r="I373" s="219">
        <f>D126</f>
        <v>3.0627204130156689E-4</v>
      </c>
      <c r="J373" s="219">
        <f t="shared" ref="J373:M373" si="295">E126</f>
        <v>1.0939578951208474E-4</v>
      </c>
      <c r="K373" s="219">
        <f t="shared" si="295"/>
        <v>7.6426785523481802E-3</v>
      </c>
      <c r="L373" s="219">
        <f t="shared" si="295"/>
        <v>2.5682149462766646E-2</v>
      </c>
      <c r="M373" s="219">
        <f t="shared" si="295"/>
        <v>6.7810757358528649E-3</v>
      </c>
      <c r="U373" s="170" t="s">
        <v>373</v>
      </c>
      <c r="V373" s="219">
        <f>Q126</f>
        <v>1.3895141504156418E-5</v>
      </c>
      <c r="W373" s="219">
        <f t="shared" ref="W373:Z373" si="296">R126</f>
        <v>3.2926801609287515E-4</v>
      </c>
      <c r="X373" s="219">
        <f t="shared" si="296"/>
        <v>1.9173109523139695E-2</v>
      </c>
      <c r="Y373" s="219">
        <f t="shared" si="296"/>
        <v>3.0458462427481754E-3</v>
      </c>
      <c r="Z373" s="219">
        <f t="shared" si="296"/>
        <v>2.666618167314512E-4</v>
      </c>
      <c r="AH373" s="170" t="s">
        <v>373</v>
      </c>
      <c r="AI373" s="219">
        <f>AD126</f>
        <v>0</v>
      </c>
      <c r="AJ373" s="219">
        <f t="shared" ref="AJ373:AM373" si="297">AE126</f>
        <v>5.1163739347322634E-5</v>
      </c>
      <c r="AK373" s="219">
        <f t="shared" si="297"/>
        <v>1.641924531632874E-2</v>
      </c>
      <c r="AL373" s="219">
        <f t="shared" si="297"/>
        <v>8.9604351223214682E-3</v>
      </c>
      <c r="AM373" s="219">
        <f t="shared" si="297"/>
        <v>2.0527138798383661E-4</v>
      </c>
    </row>
    <row r="374" spans="7:39" x14ac:dyDescent="0.3">
      <c r="H374" s="170" t="s">
        <v>378</v>
      </c>
      <c r="I374" s="219">
        <f>D151</f>
        <v>2.4770282782943828E-3</v>
      </c>
      <c r="J374" s="219">
        <f t="shared" ref="J374:M374" si="298">E151</f>
        <v>1.4384081816839944E-3</v>
      </c>
      <c r="K374" s="219">
        <f t="shared" si="298"/>
        <v>4.3854366973983372E-2</v>
      </c>
      <c r="L374" s="219">
        <f t="shared" si="298"/>
        <v>0.14901308352009143</v>
      </c>
      <c r="M374" s="219">
        <f t="shared" si="298"/>
        <v>2.6354984951488605E-2</v>
      </c>
      <c r="U374" s="170" t="s">
        <v>378</v>
      </c>
      <c r="V374" s="219">
        <f>Q151</f>
        <v>3.2729746089342967E-5</v>
      </c>
      <c r="W374" s="219">
        <f t="shared" ref="W374:Z374" si="299">R151</f>
        <v>2.9974647209670427E-4</v>
      </c>
      <c r="X374" s="219">
        <f t="shared" si="299"/>
        <v>2.3735694724108202E-2</v>
      </c>
      <c r="Y374" s="219">
        <f t="shared" si="299"/>
        <v>5.579593107066157E-3</v>
      </c>
      <c r="Z374" s="219">
        <f t="shared" si="299"/>
        <v>5.1373272342766178E-4</v>
      </c>
      <c r="AH374" s="170" t="s">
        <v>378</v>
      </c>
      <c r="AI374" s="219">
        <f>AD151</f>
        <v>0</v>
      </c>
      <c r="AJ374" s="219">
        <f t="shared" ref="AJ374:AM374" si="300">AE151</f>
        <v>2.696770180697678E-3</v>
      </c>
      <c r="AK374" s="219">
        <f t="shared" si="300"/>
        <v>0.15282774245582534</v>
      </c>
      <c r="AL374" s="219">
        <f t="shared" si="300"/>
        <v>9.8537075704294805E-2</v>
      </c>
      <c r="AM374" s="219">
        <f t="shared" si="300"/>
        <v>3.5203347268987655E-3</v>
      </c>
    </row>
    <row r="375" spans="7:39" x14ac:dyDescent="0.3">
      <c r="H375" s="170" t="s">
        <v>380</v>
      </c>
      <c r="I375" s="219">
        <f>D176</f>
        <v>4.7516122088147195E-4</v>
      </c>
      <c r="J375" s="219">
        <f t="shared" ref="J375:M375" si="301">E176</f>
        <v>6.7875295990983112E-4</v>
      </c>
      <c r="K375" s="219">
        <f t="shared" si="301"/>
        <v>9.1860874378388562E-3</v>
      </c>
      <c r="L375" s="219">
        <f t="shared" si="301"/>
        <v>3.2318881306466936E-2</v>
      </c>
      <c r="M375" s="219">
        <f t="shared" si="301"/>
        <v>9.2635841989681094E-3</v>
      </c>
      <c r="U375" s="170" t="s">
        <v>380</v>
      </c>
      <c r="V375" s="219">
        <f>Q176</f>
        <v>8.9833677384227024E-6</v>
      </c>
      <c r="W375" s="219">
        <f t="shared" ref="W375:Z375" si="302">R176</f>
        <v>2.13012397729718E-4</v>
      </c>
      <c r="X375" s="219">
        <f t="shared" si="302"/>
        <v>1.7847363268253487E-2</v>
      </c>
      <c r="Y375" s="219">
        <f t="shared" si="302"/>
        <v>3.9749118335468316E-3</v>
      </c>
      <c r="Z375" s="219">
        <f t="shared" si="302"/>
        <v>2.1940733747571382E-4</v>
      </c>
      <c r="AH375" s="170" t="s">
        <v>380</v>
      </c>
      <c r="AI375" s="219">
        <f>AD176</f>
        <v>0</v>
      </c>
      <c r="AJ375" s="219">
        <f t="shared" ref="AJ375:AM375" si="303">AE176</f>
        <v>5.6108997674437036E-4</v>
      </c>
      <c r="AK375" s="219">
        <f t="shared" si="303"/>
        <v>2.2404239026630062E-2</v>
      </c>
      <c r="AL375" s="219">
        <f t="shared" si="303"/>
        <v>1.1666484277650484E-2</v>
      </c>
      <c r="AM375" s="219">
        <f t="shared" si="303"/>
        <v>1.9596276799728756E-4</v>
      </c>
    </row>
    <row r="376" spans="7:39" x14ac:dyDescent="0.3">
      <c r="H376" s="170" t="s">
        <v>452</v>
      </c>
      <c r="I376" s="219">
        <f>D201</f>
        <v>1.4714926845424709E-3</v>
      </c>
      <c r="J376" s="219">
        <f t="shared" ref="J376:M376" si="304">E201</f>
        <v>1.1640232156424689E-3</v>
      </c>
      <c r="K376" s="219">
        <f t="shared" si="304"/>
        <v>3.8243564843174635E-2</v>
      </c>
      <c r="L376" s="219">
        <f t="shared" si="304"/>
        <v>0.10787436468339287</v>
      </c>
      <c r="M376" s="219">
        <f t="shared" si="304"/>
        <v>3.7191751586490775E-2</v>
      </c>
      <c r="U376" s="170" t="s">
        <v>452</v>
      </c>
      <c r="V376" s="219">
        <f>Q201</f>
        <v>2.105170525738301E-5</v>
      </c>
      <c r="W376" s="219">
        <f t="shared" ref="W376:Z376" si="305">R201</f>
        <v>1.1034824236813043E-3</v>
      </c>
      <c r="X376" s="219">
        <f t="shared" si="305"/>
        <v>2.9941120898915159E-2</v>
      </c>
      <c r="Y376" s="219">
        <f t="shared" si="305"/>
        <v>7.0576508068580903E-3</v>
      </c>
      <c r="Z376" s="219">
        <f t="shared" si="305"/>
        <v>8.4153525573184241E-4</v>
      </c>
      <c r="AH376" s="170" t="s">
        <v>452</v>
      </c>
      <c r="AI376" s="219">
        <f>AD201</f>
        <v>0</v>
      </c>
      <c r="AJ376" s="219">
        <f t="shared" ref="AJ376:AM376" si="306">AE201</f>
        <v>2.4690376351632832E-4</v>
      </c>
      <c r="AK376" s="219">
        <f t="shared" si="306"/>
        <v>2.2275045879530501E-2</v>
      </c>
      <c r="AL376" s="219">
        <f t="shared" si="306"/>
        <v>8.3216265431666422E-3</v>
      </c>
      <c r="AM376" s="219">
        <f t="shared" si="306"/>
        <v>1.7827794404955428E-4</v>
      </c>
    </row>
    <row r="377" spans="7:39" x14ac:dyDescent="0.3">
      <c r="H377" s="170" t="s">
        <v>453</v>
      </c>
      <c r="I377" s="219">
        <f>D226</f>
        <v>3.9247776594834275E-4</v>
      </c>
      <c r="J377" s="219">
        <f t="shared" ref="J377:M377" si="307">E226</f>
        <v>2.8381806172889606E-4</v>
      </c>
      <c r="K377" s="219">
        <f t="shared" si="307"/>
        <v>1.0564509860363318E-2</v>
      </c>
      <c r="L377" s="219">
        <f t="shared" si="307"/>
        <v>3.4250312325732342E-2</v>
      </c>
      <c r="M377" s="219">
        <f t="shared" si="307"/>
        <v>9.583722580104443E-3</v>
      </c>
      <c r="U377" s="170" t="s">
        <v>453</v>
      </c>
      <c r="V377" s="219">
        <f>Q226</f>
        <v>3.805101812899759E-5</v>
      </c>
      <c r="W377" s="219">
        <f t="shared" ref="W377:Z377" si="308">R226</f>
        <v>2.7189853731011873E-4</v>
      </c>
      <c r="X377" s="219">
        <f t="shared" si="308"/>
        <v>2.2646451338201416E-2</v>
      </c>
      <c r="Y377" s="219">
        <f t="shared" si="308"/>
        <v>3.1440115513284858E-3</v>
      </c>
      <c r="Z377" s="219">
        <f t="shared" si="308"/>
        <v>9.0195690060143325E-4</v>
      </c>
      <c r="AH377" s="170" t="s">
        <v>453</v>
      </c>
      <c r="AI377" s="219">
        <f>AD226</f>
        <v>1.3609239203718238E-4</v>
      </c>
      <c r="AJ377" s="219">
        <f t="shared" ref="AJ377:AM377" si="309">AE226</f>
        <v>2.8957436750133808E-3</v>
      </c>
      <c r="AK377" s="219">
        <f t="shared" si="309"/>
        <v>0.15553092203315994</v>
      </c>
      <c r="AL377" s="219">
        <f t="shared" si="309"/>
        <v>8.3008798454234742E-2</v>
      </c>
      <c r="AM377" s="219">
        <f t="shared" si="309"/>
        <v>2.3664954837576712E-3</v>
      </c>
    </row>
    <row r="378" spans="7:39" x14ac:dyDescent="0.3">
      <c r="H378" s="170" t="s">
        <v>454</v>
      </c>
      <c r="I378" s="219">
        <f>D251</f>
        <v>3.034280360005018E-4</v>
      </c>
      <c r="J378" s="219">
        <f t="shared" ref="J378:M378" si="310">E251</f>
        <v>2.0352000383786498E-4</v>
      </c>
      <c r="K378" s="219">
        <f t="shared" si="310"/>
        <v>6.6943953847348487E-3</v>
      </c>
      <c r="L378" s="219">
        <f t="shared" si="310"/>
        <v>2.622028614431041E-2</v>
      </c>
      <c r="M378" s="219">
        <f t="shared" si="310"/>
        <v>6.9739117050323842E-3</v>
      </c>
      <c r="U378" s="170" t="s">
        <v>454</v>
      </c>
      <c r="V378" s="219">
        <f>Q251</f>
        <v>0</v>
      </c>
      <c r="W378" s="219">
        <f t="shared" ref="W378:Z378" si="311">R251</f>
        <v>3.0201881217023187E-4</v>
      </c>
      <c r="X378" s="219">
        <f t="shared" si="311"/>
        <v>2.7559642503298599E-2</v>
      </c>
      <c r="Y378" s="219">
        <f t="shared" si="311"/>
        <v>7.1204402953075289E-3</v>
      </c>
      <c r="Z378" s="219">
        <f t="shared" si="311"/>
        <v>6.0574119540024755E-4</v>
      </c>
      <c r="AH378" s="170" t="s">
        <v>454</v>
      </c>
      <c r="AI378" s="219">
        <f>AD251</f>
        <v>0</v>
      </c>
      <c r="AJ378" s="219">
        <f t="shared" ref="AJ378:AM378" si="312">AE251</f>
        <v>1.2516392538698378E-4</v>
      </c>
      <c r="AK378" s="219">
        <f t="shared" si="312"/>
        <v>1.6862460107534675E-2</v>
      </c>
      <c r="AL378" s="219">
        <f t="shared" si="312"/>
        <v>7.2718477777648999E-3</v>
      </c>
      <c r="AM378" s="219">
        <f t="shared" si="312"/>
        <v>1.7981296323200485E-4</v>
      </c>
    </row>
    <row r="379" spans="7:39" x14ac:dyDescent="0.3">
      <c r="H379" s="171" t="s">
        <v>388</v>
      </c>
      <c r="I379" s="219">
        <f>D276</f>
        <v>3.8338042189662804E-4</v>
      </c>
      <c r="J379" s="219">
        <f t="shared" ref="J379:M379" si="313">E276</f>
        <v>2.3356099455658561E-4</v>
      </c>
      <c r="K379" s="219">
        <f t="shared" si="313"/>
        <v>7.1982149164293045E-3</v>
      </c>
      <c r="L379" s="219">
        <f t="shared" si="313"/>
        <v>2.6212144594567555E-2</v>
      </c>
      <c r="M379" s="219">
        <f t="shared" si="313"/>
        <v>7.7549776762795364E-3</v>
      </c>
      <c r="U379" s="171" t="s">
        <v>388</v>
      </c>
      <c r="V379" s="219">
        <f>Q276</f>
        <v>1.2495593606166208E-6</v>
      </c>
      <c r="W379" s="219">
        <f t="shared" ref="W379:Z379" si="314">R276</f>
        <v>3.9527727774172434E-4</v>
      </c>
      <c r="X379" s="219">
        <f t="shared" si="314"/>
        <v>2.457320960620616E-2</v>
      </c>
      <c r="Y379" s="219">
        <f t="shared" si="314"/>
        <v>4.7922684078581775E-3</v>
      </c>
      <c r="Z379" s="219">
        <f t="shared" si="314"/>
        <v>6.9225588578160802E-4</v>
      </c>
      <c r="AH379" s="171" t="s">
        <v>388</v>
      </c>
      <c r="AI379" s="219">
        <f>AD276</f>
        <v>0</v>
      </c>
      <c r="AJ379" s="219">
        <f t="shared" ref="AJ379:AM379" si="315">AE276</f>
        <v>1.8789705320506955E-4</v>
      </c>
      <c r="AK379" s="219">
        <f t="shared" si="315"/>
        <v>1.9719124672967752E-2</v>
      </c>
      <c r="AL379" s="219">
        <f t="shared" si="315"/>
        <v>7.6037911066665822E-3</v>
      </c>
      <c r="AM379" s="219">
        <f t="shared" si="315"/>
        <v>3.9928123806077284E-4</v>
      </c>
    </row>
    <row r="382" spans="7:39" x14ac:dyDescent="0.3">
      <c r="G382" s="131" t="s">
        <v>681</v>
      </c>
      <c r="H382" s="169">
        <v>1977</v>
      </c>
      <c r="I382" s="57">
        <f>D25</f>
        <v>46.162222800899087</v>
      </c>
      <c r="J382" s="57">
        <f t="shared" ref="J382:M382" si="316">E25</f>
        <v>16.037453685937312</v>
      </c>
      <c r="K382" s="57">
        <f t="shared" si="316"/>
        <v>737.58525222345452</v>
      </c>
      <c r="L382" s="57">
        <f t="shared" si="316"/>
        <v>4011.2531423769988</v>
      </c>
      <c r="M382" s="57">
        <f t="shared" si="316"/>
        <v>1556.4419289127109</v>
      </c>
      <c r="T382" s="131" t="s">
        <v>718</v>
      </c>
      <c r="U382" s="169">
        <v>1977</v>
      </c>
      <c r="V382" s="57" t="s">
        <v>527</v>
      </c>
      <c r="W382" s="57" t="s">
        <v>527</v>
      </c>
      <c r="X382" s="57" t="s">
        <v>527</v>
      </c>
      <c r="Y382" s="57" t="s">
        <v>527</v>
      </c>
      <c r="Z382" s="57" t="s">
        <v>527</v>
      </c>
      <c r="AG382" s="131" t="s">
        <v>767</v>
      </c>
      <c r="AH382" s="169">
        <v>1977</v>
      </c>
      <c r="AI382" s="57">
        <f>AD25</f>
        <v>0</v>
      </c>
      <c r="AJ382" s="57">
        <f t="shared" ref="AJ382:AM382" si="317">AE25</f>
        <v>0</v>
      </c>
      <c r="AK382" s="57">
        <f t="shared" si="317"/>
        <v>66.100292812454512</v>
      </c>
      <c r="AL382" s="57">
        <f t="shared" si="317"/>
        <v>72.663602138803995</v>
      </c>
      <c r="AM382" s="57">
        <f t="shared" si="317"/>
        <v>15.986105048741447</v>
      </c>
    </row>
    <row r="383" spans="7:39" x14ac:dyDescent="0.3">
      <c r="G383" s="116" t="s">
        <v>463</v>
      </c>
      <c r="H383" s="170">
        <v>1988</v>
      </c>
      <c r="I383" s="57">
        <f>D50</f>
        <v>166.66712595940044</v>
      </c>
      <c r="J383" s="57">
        <f t="shared" ref="J383:M383" si="318">E50</f>
        <v>22.212209896674395</v>
      </c>
      <c r="K383" s="57">
        <f t="shared" si="318"/>
        <v>553.40850124415795</v>
      </c>
      <c r="L383" s="57">
        <f t="shared" si="318"/>
        <v>2201.5437392783074</v>
      </c>
      <c r="M383" s="57">
        <f t="shared" si="318"/>
        <v>1349.2784236214561</v>
      </c>
      <c r="T383" s="116" t="s">
        <v>463</v>
      </c>
      <c r="U383" s="170">
        <v>1988</v>
      </c>
      <c r="V383" s="57">
        <f>Q50</f>
        <v>5.9708352712648141E-2</v>
      </c>
      <c r="W383" s="57">
        <f t="shared" ref="W383:Z383" si="319">R50</f>
        <v>0.1037673387869006</v>
      </c>
      <c r="X383" s="57">
        <f t="shared" si="319"/>
        <v>27.031271374244231</v>
      </c>
      <c r="Y383" s="57">
        <f t="shared" si="319"/>
        <v>5.9231648928893934</v>
      </c>
      <c r="Z383" s="57">
        <f t="shared" si="319"/>
        <v>2.0820880413668594</v>
      </c>
      <c r="AG383" s="116" t="s">
        <v>463</v>
      </c>
      <c r="AH383" s="170">
        <v>1988</v>
      </c>
      <c r="AI383" s="57">
        <f>AD50</f>
        <v>4.2169573060733635E-2</v>
      </c>
      <c r="AJ383" s="57">
        <f t="shared" ref="AJ383:AM383" si="320">AE50</f>
        <v>0</v>
      </c>
      <c r="AK383" s="57">
        <f t="shared" si="320"/>
        <v>8.8942657847264019</v>
      </c>
      <c r="AL383" s="57">
        <f t="shared" si="320"/>
        <v>8.9797763078773336</v>
      </c>
      <c r="AM383" s="57">
        <f t="shared" si="320"/>
        <v>6.4337883343355395</v>
      </c>
    </row>
    <row r="384" spans="7:39" x14ac:dyDescent="0.3">
      <c r="G384" s="115" t="s">
        <v>655</v>
      </c>
      <c r="H384" s="170" t="s">
        <v>369</v>
      </c>
      <c r="I384" s="57">
        <f>D75</f>
        <v>29.243224572000805</v>
      </c>
      <c r="J384" s="57">
        <f t="shared" ref="J384:M384" si="321">E75</f>
        <v>7.5693378731249537</v>
      </c>
      <c r="K384" s="57">
        <f t="shared" si="321"/>
        <v>234.07537243115291</v>
      </c>
      <c r="L384" s="57">
        <f t="shared" si="321"/>
        <v>946.90873042174417</v>
      </c>
      <c r="M384" s="57">
        <f t="shared" si="321"/>
        <v>310.28333470197919</v>
      </c>
      <c r="T384" s="115" t="s">
        <v>655</v>
      </c>
      <c r="U384" s="170" t="s">
        <v>369</v>
      </c>
      <c r="V384" s="57">
        <f>Q75</f>
        <v>2.9117158274119329E-2</v>
      </c>
      <c r="W384" s="57">
        <f t="shared" ref="W384:Z384" si="322">R75</f>
        <v>0.33417949542131442</v>
      </c>
      <c r="X384" s="57">
        <f t="shared" si="322"/>
        <v>30.254330226164512</v>
      </c>
      <c r="Y384" s="57">
        <f t="shared" si="322"/>
        <v>7.7550479069353964</v>
      </c>
      <c r="Z384" s="57">
        <f t="shared" si="322"/>
        <v>0.68732521320466999</v>
      </c>
      <c r="AG384" s="115" t="s">
        <v>655</v>
      </c>
      <c r="AH384" s="170" t="s">
        <v>369</v>
      </c>
      <c r="AI384" s="57">
        <f>AD75</f>
        <v>0</v>
      </c>
      <c r="AJ384" s="57">
        <f t="shared" ref="AJ384:AM384" si="323">AE75</f>
        <v>2.3439934596518198E-2</v>
      </c>
      <c r="AK384" s="57">
        <f t="shared" si="323"/>
        <v>12.119562373761648</v>
      </c>
      <c r="AL384" s="57">
        <f t="shared" si="323"/>
        <v>10.674099740309694</v>
      </c>
      <c r="AM384" s="57">
        <f t="shared" si="323"/>
        <v>0.39289795133211464</v>
      </c>
    </row>
    <row r="385" spans="8:39" x14ac:dyDescent="0.3">
      <c r="H385" s="170" t="s">
        <v>371</v>
      </c>
      <c r="I385" s="57">
        <f>D100</f>
        <v>41.013918145296344</v>
      </c>
      <c r="J385" s="57">
        <f t="shared" ref="J385:M385" si="324">E100</f>
        <v>34.843587707424703</v>
      </c>
      <c r="K385" s="57">
        <f t="shared" si="324"/>
        <v>755.75065683808407</v>
      </c>
      <c r="L385" s="57">
        <f t="shared" si="324"/>
        <v>2665.836000983737</v>
      </c>
      <c r="M385" s="57">
        <f t="shared" si="324"/>
        <v>1057.9058363254567</v>
      </c>
      <c r="U385" s="170" t="s">
        <v>371</v>
      </c>
      <c r="V385" s="57">
        <f>Q100</f>
        <v>0.17673998558514742</v>
      </c>
      <c r="W385" s="57">
        <f t="shared" ref="W385:Z385" si="325">R100</f>
        <v>8.7044442900685102</v>
      </c>
      <c r="X385" s="57">
        <f t="shared" si="325"/>
        <v>303.09729261282217</v>
      </c>
      <c r="Y385" s="57">
        <f t="shared" si="325"/>
        <v>19.774258720551579</v>
      </c>
      <c r="Z385" s="57">
        <f t="shared" si="325"/>
        <v>7.4672643909724803</v>
      </c>
      <c r="AH385" s="170" t="s">
        <v>371</v>
      </c>
      <c r="AI385" s="57">
        <f>AD100</f>
        <v>0</v>
      </c>
      <c r="AJ385" s="57">
        <f t="shared" ref="AJ385:AM385" si="326">AE100</f>
        <v>0</v>
      </c>
      <c r="AK385" s="57">
        <f t="shared" si="326"/>
        <v>7.1332268923727487</v>
      </c>
      <c r="AL385" s="57">
        <f t="shared" si="326"/>
        <v>4.275370780032671</v>
      </c>
      <c r="AM385" s="57">
        <f t="shared" si="326"/>
        <v>0.31140232759449615</v>
      </c>
    </row>
    <row r="386" spans="8:39" x14ac:dyDescent="0.3">
      <c r="H386" s="170" t="s">
        <v>373</v>
      </c>
      <c r="I386" s="57">
        <f>D125</f>
        <v>7.582055340859525</v>
      </c>
      <c r="J386" s="57">
        <f t="shared" ref="J386:M386" si="327">E125</f>
        <v>2.7081966953716945</v>
      </c>
      <c r="K386" s="57">
        <f t="shared" si="327"/>
        <v>189.20176810800393</v>
      </c>
      <c r="L386" s="57">
        <f t="shared" si="327"/>
        <v>635.78600799277797</v>
      </c>
      <c r="M386" s="57">
        <f t="shared" si="327"/>
        <v>167.87197186298673</v>
      </c>
      <c r="U386" s="170" t="s">
        <v>373</v>
      </c>
      <c r="V386" s="57">
        <f>Q125</f>
        <v>2.040862803564478E-2</v>
      </c>
      <c r="W386" s="57">
        <f t="shared" ref="W386:Z386" si="328">R125</f>
        <v>0.48361569131657134</v>
      </c>
      <c r="X386" s="57">
        <f t="shared" si="328"/>
        <v>28.160696343206659</v>
      </c>
      <c r="Y386" s="57">
        <f t="shared" si="328"/>
        <v>4.4736171274988097</v>
      </c>
      <c r="Z386" s="57">
        <f t="shared" si="328"/>
        <v>0.39166220994248624</v>
      </c>
      <c r="AH386" s="170" t="s">
        <v>373</v>
      </c>
      <c r="AI386" s="57">
        <f>AD125</f>
        <v>0</v>
      </c>
      <c r="AJ386" s="57">
        <f t="shared" ref="AJ386:AM386" si="329">AE125</f>
        <v>2.1374675387130976E-2</v>
      </c>
      <c r="AK386" s="57">
        <f t="shared" si="329"/>
        <v>6.8594681158026578</v>
      </c>
      <c r="AL386" s="57">
        <f t="shared" si="329"/>
        <v>3.7434009810522393</v>
      </c>
      <c r="AM386" s="57">
        <f t="shared" si="329"/>
        <v>8.5756227758007411E-2</v>
      </c>
    </row>
    <row r="387" spans="8:39" x14ac:dyDescent="0.3">
      <c r="H387" s="170" t="s">
        <v>378</v>
      </c>
      <c r="I387" s="57">
        <f>D150</f>
        <v>61.321188206041825</v>
      </c>
      <c r="J387" s="57">
        <f t="shared" ref="J387:M387" si="330">E150</f>
        <v>35.609161025359882</v>
      </c>
      <c r="K387" s="57">
        <f t="shared" si="330"/>
        <v>1085.6565160895836</v>
      </c>
      <c r="L387" s="57">
        <f t="shared" si="330"/>
        <v>3688.9604449692079</v>
      </c>
      <c r="M387" s="57">
        <f t="shared" si="330"/>
        <v>652.44268970980431</v>
      </c>
      <c r="U387" s="170" t="s">
        <v>378</v>
      </c>
      <c r="V387" s="57">
        <f>Q150</f>
        <v>4.8072141866183374E-2</v>
      </c>
      <c r="W387" s="57">
        <f t="shared" ref="W387:Z387" si="331">R150</f>
        <v>0.44025562835675536</v>
      </c>
      <c r="X387" s="57">
        <f t="shared" si="331"/>
        <v>34.862038982981161</v>
      </c>
      <c r="Y387" s="57">
        <f t="shared" si="331"/>
        <v>8.1950831719344883</v>
      </c>
      <c r="Z387" s="57">
        <f t="shared" si="331"/>
        <v>0.75455007486161252</v>
      </c>
      <c r="AH387" s="170" t="s">
        <v>378</v>
      </c>
      <c r="AI387" s="57">
        <f>AD150</f>
        <v>0</v>
      </c>
      <c r="AJ387" s="57">
        <f t="shared" ref="AJ387:AM387" si="332">AE150</f>
        <v>1.1266296783900689</v>
      </c>
      <c r="AK387" s="57">
        <f t="shared" si="332"/>
        <v>63.846845965770143</v>
      </c>
      <c r="AL387" s="57">
        <f t="shared" si="332"/>
        <v>41.165834116983241</v>
      </c>
      <c r="AM387" s="57">
        <f t="shared" si="332"/>
        <v>1.4706902388564973</v>
      </c>
    </row>
    <row r="388" spans="8:39" x14ac:dyDescent="0.3">
      <c r="H388" s="170" t="s">
        <v>380</v>
      </c>
      <c r="I388" s="57">
        <f>D175</f>
        <v>11.763067426080676</v>
      </c>
      <c r="J388" s="57">
        <f t="shared" ref="J388:M388" si="333">E175</f>
        <v>16.803174337879785</v>
      </c>
      <c r="K388" s="57">
        <f t="shared" si="333"/>
        <v>227.41032130676683</v>
      </c>
      <c r="L388" s="57">
        <f t="shared" si="333"/>
        <v>800.08460967883013</v>
      </c>
      <c r="M388" s="57">
        <f t="shared" si="333"/>
        <v>229.32882725044459</v>
      </c>
      <c r="U388" s="170" t="s">
        <v>380</v>
      </c>
      <c r="V388" s="57">
        <f>Q175</f>
        <v>1.3194411199485728E-2</v>
      </c>
      <c r="W388" s="57">
        <f t="shared" ref="W388:Z388" si="334">R175</f>
        <v>0.3128640892895006</v>
      </c>
      <c r="X388" s="57">
        <f t="shared" si="334"/>
        <v>26.21349327387999</v>
      </c>
      <c r="Y388" s="57">
        <f t="shared" si="334"/>
        <v>5.8381915046402444</v>
      </c>
      <c r="Z388" s="57">
        <f t="shared" si="334"/>
        <v>0.32225672099082942</v>
      </c>
      <c r="AH388" s="170" t="s">
        <v>380</v>
      </c>
      <c r="AI388" s="57">
        <f>AD175</f>
        <v>0</v>
      </c>
      <c r="AJ388" s="57">
        <f t="shared" ref="AJ388:AM388" si="335">AE175</f>
        <v>0.23440655958449561</v>
      </c>
      <c r="AK388" s="57">
        <f t="shared" si="335"/>
        <v>9.3598189381552412</v>
      </c>
      <c r="AL388" s="57">
        <f t="shared" si="335"/>
        <v>4.8739071366740427</v>
      </c>
      <c r="AM388" s="57">
        <f t="shared" si="335"/>
        <v>8.1867365586226815E-2</v>
      </c>
    </row>
    <row r="389" spans="8:39" x14ac:dyDescent="0.3">
      <c r="H389" s="170" t="s">
        <v>452</v>
      </c>
      <c r="I389" s="57">
        <f>D200</f>
        <v>36.428199323899186</v>
      </c>
      <c r="J389" s="57">
        <f t="shared" ref="J389:M389" si="336">E200</f>
        <v>28.81650052528418</v>
      </c>
      <c r="K389" s="57">
        <f t="shared" si="336"/>
        <v>946.75577907938919</v>
      </c>
      <c r="L389" s="57">
        <f t="shared" si="336"/>
        <v>2670.5323783838398</v>
      </c>
      <c r="M389" s="57">
        <f t="shared" si="336"/>
        <v>920.71714268758626</v>
      </c>
      <c r="U389" s="170" t="s">
        <v>452</v>
      </c>
      <c r="V389" s="57">
        <f>Q200</f>
        <v>3.0919902613833872E-2</v>
      </c>
      <c r="W389" s="57">
        <f t="shared" ref="W389:Z389" si="337">R200</f>
        <v>1.6207508446061525</v>
      </c>
      <c r="X389" s="57">
        <f t="shared" si="337"/>
        <v>43.976320731490631</v>
      </c>
      <c r="Y389" s="57">
        <f t="shared" si="337"/>
        <v>10.365995199080889</v>
      </c>
      <c r="Z389" s="57">
        <f t="shared" si="337"/>
        <v>1.2360133222087009</v>
      </c>
      <c r="AH389" s="170" t="s">
        <v>452</v>
      </c>
      <c r="AI389" s="57">
        <f>AD200</f>
        <v>0</v>
      </c>
      <c r="AJ389" s="57">
        <f t="shared" ref="AJ389:AM389" si="338">AE200</f>
        <v>0.10314898528421647</v>
      </c>
      <c r="AK389" s="57">
        <f t="shared" si="338"/>
        <v>9.3058459170914567</v>
      </c>
      <c r="AL389" s="57">
        <f t="shared" si="338"/>
        <v>3.476525920938728</v>
      </c>
      <c r="AM389" s="57">
        <f t="shared" si="338"/>
        <v>7.4479176685582293E-2</v>
      </c>
    </row>
    <row r="390" spans="8:39" x14ac:dyDescent="0.3">
      <c r="H390" s="170" t="s">
        <v>453</v>
      </c>
      <c r="I390" s="57">
        <f>D225</f>
        <v>9.7161599499288762</v>
      </c>
      <c r="J390" s="57">
        <f t="shared" ref="J390:M390" si="339">E225</f>
        <v>7.0261857452574645</v>
      </c>
      <c r="K390" s="57">
        <f t="shared" si="339"/>
        <v>261.53447787766129</v>
      </c>
      <c r="L390" s="57">
        <f t="shared" si="339"/>
        <v>847.89901942021356</v>
      </c>
      <c r="M390" s="57">
        <f t="shared" si="339"/>
        <v>237.25415700693659</v>
      </c>
      <c r="U390" s="170" t="s">
        <v>453</v>
      </c>
      <c r="V390" s="57">
        <f>Q225</f>
        <v>5.5887813387146504E-2</v>
      </c>
      <c r="W390" s="57">
        <f t="shared" ref="W390:Z390" si="340">R225</f>
        <v>0.39935369565960999</v>
      </c>
      <c r="X390" s="57">
        <f t="shared" si="340"/>
        <v>33.262201867496714</v>
      </c>
      <c r="Y390" s="57">
        <f t="shared" si="340"/>
        <v>4.6177984061292268</v>
      </c>
      <c r="Z390" s="57">
        <f t="shared" si="340"/>
        <v>1.3247582173273611</v>
      </c>
      <c r="AH390" s="170" t="s">
        <v>453</v>
      </c>
      <c r="AI390" s="57">
        <f>AD225</f>
        <v>5.6855318621373677E-2</v>
      </c>
      <c r="AJ390" s="57">
        <f t="shared" ref="AJ390:AM390" si="341">AE225</f>
        <v>1.20975483511034</v>
      </c>
      <c r="AK390" s="57">
        <f t="shared" si="341"/>
        <v>64.976153297793218</v>
      </c>
      <c r="AL390" s="57">
        <f t="shared" si="341"/>
        <v>34.678585730225649</v>
      </c>
      <c r="AM390" s="57">
        <f t="shared" si="341"/>
        <v>0.98865081824944234</v>
      </c>
    </row>
    <row r="391" spans="8:39" x14ac:dyDescent="0.3">
      <c r="H391" s="170" t="s">
        <v>454</v>
      </c>
      <c r="I391" s="57">
        <f>D250</f>
        <v>7.5116492878266232</v>
      </c>
      <c r="J391" s="57">
        <f t="shared" ref="J391:M391" si="342">E250</f>
        <v>5.0383310390099938</v>
      </c>
      <c r="K391" s="57">
        <f t="shared" si="342"/>
        <v>165.72611742472668</v>
      </c>
      <c r="L391" s="57">
        <f t="shared" si="342"/>
        <v>649.1080927742413</v>
      </c>
      <c r="M391" s="57">
        <f t="shared" si="342"/>
        <v>172.64580947419645</v>
      </c>
      <c r="U391" s="170" t="s">
        <v>454</v>
      </c>
      <c r="V391" s="57">
        <f>Q250</f>
        <v>0</v>
      </c>
      <c r="W391" s="57">
        <f t="shared" ref="W391:Z391" si="343">R250</f>
        <v>0.4435931505631498</v>
      </c>
      <c r="X391" s="57">
        <f t="shared" si="343"/>
        <v>40.478500523144852</v>
      </c>
      <c r="Y391" s="57">
        <f t="shared" si="343"/>
        <v>10.458217888135886</v>
      </c>
      <c r="Z391" s="57">
        <f t="shared" si="343"/>
        <v>0.88968843815606757</v>
      </c>
      <c r="AH391" s="170" t="s">
        <v>454</v>
      </c>
      <c r="AI391" s="57">
        <f>AD250</f>
        <v>0</v>
      </c>
      <c r="AJ391" s="57">
        <f t="shared" ref="AJ391:AM391" si="344">AE250</f>
        <v>5.2289733108920211E-2</v>
      </c>
      <c r="AK391" s="57">
        <f t="shared" si="344"/>
        <v>7.0446299591247605</v>
      </c>
      <c r="AL391" s="57">
        <f t="shared" si="344"/>
        <v>3.0379598461168422</v>
      </c>
      <c r="AM391" s="57">
        <f t="shared" si="344"/>
        <v>7.5120461649434658E-2</v>
      </c>
    </row>
    <row r="392" spans="8:39" x14ac:dyDescent="0.3">
      <c r="H392" s="171" t="s">
        <v>388</v>
      </c>
      <c r="I392" s="57">
        <f>D275</f>
        <v>9.4909465554518295</v>
      </c>
      <c r="J392" s="57">
        <f t="shared" ref="J392:M392" si="345">E275</f>
        <v>5.782024303193106</v>
      </c>
      <c r="K392" s="57">
        <f t="shared" si="345"/>
        <v>178.19864856037805</v>
      </c>
      <c r="L392" s="57">
        <f t="shared" si="345"/>
        <v>648.9065409758847</v>
      </c>
      <c r="M392" s="57">
        <f t="shared" si="345"/>
        <v>191.9818396050924</v>
      </c>
      <c r="U392" s="171" t="s">
        <v>388</v>
      </c>
      <c r="V392" s="57">
        <f>Q275</f>
        <v>1.835302806499268E-3</v>
      </c>
      <c r="W392" s="57">
        <f t="shared" ref="W392:Z392" si="346">R275</f>
        <v>0.58056745445593505</v>
      </c>
      <c r="X392" s="57">
        <f t="shared" si="346"/>
        <v>36.092147341211358</v>
      </c>
      <c r="Y392" s="57">
        <f t="shared" si="346"/>
        <v>7.0386921467257766</v>
      </c>
      <c r="Z392" s="57">
        <f t="shared" si="346"/>
        <v>1.0167577548005946</v>
      </c>
      <c r="AH392" s="171" t="s">
        <v>388</v>
      </c>
      <c r="AI392" s="57">
        <f>AD275</f>
        <v>0</v>
      </c>
      <c r="AJ392" s="57">
        <f t="shared" ref="AJ392:AM392" si="347">AE275</f>
        <v>7.8497751917481901E-2</v>
      </c>
      <c r="AK392" s="57">
        <f t="shared" si="347"/>
        <v>8.2380587146257369</v>
      </c>
      <c r="AL392" s="57">
        <f t="shared" si="347"/>
        <v>3.176635810632098</v>
      </c>
      <c r="AM392" s="57">
        <f t="shared" si="347"/>
        <v>0.16680772282464906</v>
      </c>
    </row>
    <row r="439" spans="2:38" x14ac:dyDescent="0.3">
      <c r="D439" s="213" t="s">
        <v>515</v>
      </c>
      <c r="E439" s="214" t="s">
        <v>448</v>
      </c>
      <c r="F439" s="213" t="s">
        <v>542</v>
      </c>
      <c r="G439" s="92" t="s">
        <v>535</v>
      </c>
      <c r="H439" s="211" t="s">
        <v>451</v>
      </c>
      <c r="I439" s="227"/>
      <c r="K439" s="213" t="s">
        <v>542</v>
      </c>
      <c r="L439" s="92" t="s">
        <v>535</v>
      </c>
      <c r="Q439" s="213" t="s">
        <v>515</v>
      </c>
      <c r="R439" s="214" t="s">
        <v>448</v>
      </c>
      <c r="S439" s="213" t="s">
        <v>542</v>
      </c>
      <c r="T439" s="92" t="s">
        <v>535</v>
      </c>
      <c r="U439" s="211" t="s">
        <v>451</v>
      </c>
      <c r="V439" s="227"/>
      <c r="X439" s="213" t="s">
        <v>542</v>
      </c>
      <c r="Y439" s="92" t="s">
        <v>535</v>
      </c>
      <c r="AD439" s="213" t="s">
        <v>515</v>
      </c>
      <c r="AE439" s="214" t="s">
        <v>448</v>
      </c>
      <c r="AF439" s="213" t="s">
        <v>542</v>
      </c>
      <c r="AG439" s="92" t="s">
        <v>535</v>
      </c>
      <c r="AH439" s="211" t="s">
        <v>451</v>
      </c>
      <c r="AI439" s="227"/>
      <c r="AK439" s="213" t="s">
        <v>542</v>
      </c>
      <c r="AL439" s="92" t="s">
        <v>535</v>
      </c>
    </row>
    <row r="440" spans="2:38" x14ac:dyDescent="0.3">
      <c r="B440" s="131" t="s">
        <v>681</v>
      </c>
      <c r="C440" s="169">
        <v>1977</v>
      </c>
      <c r="D440" s="219">
        <f>K8</f>
        <v>0.67753449170805391</v>
      </c>
      <c r="E440" s="219">
        <f>L8</f>
        <v>8.876532712337841E-2</v>
      </c>
      <c r="F440" s="219">
        <f>K10</f>
        <v>0.65844655527257068</v>
      </c>
      <c r="G440" s="219">
        <f>L10</f>
        <v>8.434335987914017E-2</v>
      </c>
      <c r="H440" s="172">
        <f>I8</f>
        <v>0.23370018116856758</v>
      </c>
      <c r="I440" s="131" t="s">
        <v>681</v>
      </c>
      <c r="J440" s="169">
        <v>1977</v>
      </c>
      <c r="K440" s="219">
        <f>K26</f>
        <v>0.22741582317691486</v>
      </c>
      <c r="L440" s="219">
        <f>L26</f>
        <v>2.9794261671374136E-2</v>
      </c>
      <c r="O440" s="131" t="s">
        <v>718</v>
      </c>
      <c r="P440" s="169">
        <v>1977</v>
      </c>
      <c r="Q440" s="219" t="s">
        <v>527</v>
      </c>
      <c r="R440" s="219" t="s">
        <v>527</v>
      </c>
      <c r="S440" s="219" t="s">
        <v>527</v>
      </c>
      <c r="T440" s="219" t="s">
        <v>527</v>
      </c>
      <c r="U440" s="172">
        <f>V8</f>
        <v>1</v>
      </c>
      <c r="V440" s="131" t="s">
        <v>718</v>
      </c>
      <c r="W440" s="169">
        <v>1977</v>
      </c>
      <c r="X440" s="219" t="s">
        <v>527</v>
      </c>
      <c r="Y440" s="219" t="s">
        <v>527</v>
      </c>
      <c r="AB440" s="131" t="s">
        <v>767</v>
      </c>
      <c r="AC440" s="169">
        <v>1977</v>
      </c>
      <c r="AD440" s="219">
        <f>AK8</f>
        <v>0.37697776288388352</v>
      </c>
      <c r="AE440" s="219">
        <f>AL8</f>
        <v>0.28108767982382654</v>
      </c>
      <c r="AF440" s="219">
        <f>AK10</f>
        <v>0.35553055509012138</v>
      </c>
      <c r="AG440" s="219">
        <f>AL10</f>
        <v>0.27405031476649833</v>
      </c>
      <c r="AH440" s="172">
        <f>AI8</f>
        <v>0.34193455729228994</v>
      </c>
      <c r="AI440" s="131" t="s">
        <v>767</v>
      </c>
      <c r="AJ440" s="169">
        <v>1977</v>
      </c>
      <c r="AK440" s="219">
        <f>AK26</f>
        <v>0.21219739853877839</v>
      </c>
      <c r="AL440" s="219">
        <f>AL26</f>
        <v>0.15822173160460185</v>
      </c>
    </row>
    <row r="441" spans="2:38" x14ac:dyDescent="0.3">
      <c r="B441" s="116" t="s">
        <v>463</v>
      </c>
      <c r="C441" s="170">
        <v>1988</v>
      </c>
      <c r="D441" s="219">
        <f>K33</f>
        <v>0.75979511996105986</v>
      </c>
      <c r="E441" s="219">
        <f>L33</f>
        <v>0.11243600023428711</v>
      </c>
      <c r="F441" s="219">
        <f>K35</f>
        <v>0.7223770447104636</v>
      </c>
      <c r="G441" s="219">
        <f>L35</f>
        <v>0.10420565561006545</v>
      </c>
      <c r="H441" s="219">
        <f>I33</f>
        <v>0.1277688798046529</v>
      </c>
      <c r="I441" s="116" t="s">
        <v>463</v>
      </c>
      <c r="J441" s="170">
        <v>1988</v>
      </c>
      <c r="K441" s="219">
        <f>K51</f>
        <v>0.15106273436308598</v>
      </c>
      <c r="L441" s="219">
        <f>L51</f>
        <v>2.2354565316384866E-2</v>
      </c>
      <c r="O441" s="116" t="s">
        <v>463</v>
      </c>
      <c r="P441" s="170">
        <v>1988</v>
      </c>
      <c r="Q441" s="219">
        <f>X33</f>
        <v>0.23100438465099812</v>
      </c>
      <c r="R441" s="219">
        <f>Y33</f>
        <v>0.76442032735096277</v>
      </c>
      <c r="S441" s="219">
        <f>X35</f>
        <v>0.22064871047686482</v>
      </c>
      <c r="T441" s="219">
        <f>Y35</f>
        <v>0.75538549524769194</v>
      </c>
      <c r="U441" s="219">
        <f>V33</f>
        <v>4.5752879980391807E-3</v>
      </c>
      <c r="V441" s="116" t="s">
        <v>463</v>
      </c>
      <c r="W441" s="170">
        <v>1988</v>
      </c>
      <c r="X441" s="219">
        <f>X51</f>
        <v>5.5616497084314664E-3</v>
      </c>
      <c r="Y441" s="219">
        <f>Y51</f>
        <v>1.8404144567011785E-2</v>
      </c>
      <c r="AB441" s="116" t="s">
        <v>463</v>
      </c>
      <c r="AC441" s="170">
        <v>1988</v>
      </c>
      <c r="AD441" s="219">
        <f>AK33</f>
        <v>0.63166335543480867</v>
      </c>
      <c r="AE441" s="219">
        <f>AL33</f>
        <v>0.36350144816525842</v>
      </c>
      <c r="AF441" s="219">
        <f>AK35</f>
        <v>0.60052181822533934</v>
      </c>
      <c r="AG441" s="219">
        <f>AL35</f>
        <v>0.34119252220121121</v>
      </c>
      <c r="AH441" s="219">
        <f>AI33</f>
        <v>4.8351963999329339E-3</v>
      </c>
      <c r="AI441" s="116" t="s">
        <v>463</v>
      </c>
      <c r="AJ441" s="170">
        <v>1988</v>
      </c>
      <c r="AK441" s="219">
        <f>AK51</f>
        <v>3.6995797245550445E-2</v>
      </c>
      <c r="AL441" s="219">
        <f>AL51</f>
        <v>2.128986232789909E-2</v>
      </c>
    </row>
    <row r="442" spans="2:38" x14ac:dyDescent="0.3">
      <c r="B442" s="115" t="s">
        <v>538</v>
      </c>
      <c r="C442" s="170" t="s">
        <v>369</v>
      </c>
      <c r="D442" s="219">
        <f>K58</f>
        <v>0.84309872980031053</v>
      </c>
      <c r="E442" s="219">
        <f>L58</f>
        <v>0.15251000264582859</v>
      </c>
      <c r="F442" s="219">
        <f>K60</f>
        <v>0.79940499152728928</v>
      </c>
      <c r="G442" s="219">
        <f>L60</f>
        <v>0.13886924153587318</v>
      </c>
      <c r="H442" s="219">
        <f>I58</f>
        <v>4.3912675538609006E-3</v>
      </c>
      <c r="I442" s="115" t="s">
        <v>654</v>
      </c>
      <c r="J442" s="170" t="s">
        <v>369</v>
      </c>
      <c r="K442" s="219">
        <f>K76</f>
        <v>5.2270449228118861E-2</v>
      </c>
      <c r="L442" s="219">
        <f>L76</f>
        <v>9.4553177087186267E-3</v>
      </c>
      <c r="O442" s="115" t="s">
        <v>538</v>
      </c>
      <c r="P442" s="170" t="s">
        <v>369</v>
      </c>
      <c r="Q442" s="219">
        <f>X58</f>
        <v>0.22443421661809965</v>
      </c>
      <c r="R442" s="219">
        <f>Y58</f>
        <v>0.77110623927666877</v>
      </c>
      <c r="S442" s="219">
        <f>X60</f>
        <v>0.21263514801601352</v>
      </c>
      <c r="T442" s="219">
        <f>Y60</f>
        <v>0.76077099049538388</v>
      </c>
      <c r="U442" s="219">
        <f>V58</f>
        <v>4.459544105231748E-3</v>
      </c>
      <c r="V442" s="115" t="s">
        <v>654</v>
      </c>
      <c r="W442" s="170" t="s">
        <v>369</v>
      </c>
      <c r="X442" s="219">
        <f>X76</f>
        <v>5.9953088141258609E-3</v>
      </c>
      <c r="Y442" s="219">
        <f>Y76</f>
        <v>2.0598552674476779E-2</v>
      </c>
      <c r="AB442" s="115" t="s">
        <v>538</v>
      </c>
      <c r="AC442" s="170" t="s">
        <v>369</v>
      </c>
      <c r="AD442" s="219">
        <f>AK58</f>
        <v>0.47566842999736691</v>
      </c>
      <c r="AE442" s="219">
        <f>AL58</f>
        <v>0.5198075496086364</v>
      </c>
      <c r="AF442" s="219">
        <f>AK60</f>
        <v>0.45015199751059198</v>
      </c>
      <c r="AG442" s="219">
        <f>AL60</f>
        <v>0.49429111712186136</v>
      </c>
      <c r="AH442" s="219">
        <f>AI58</f>
        <v>4.5240203939966644E-3</v>
      </c>
      <c r="AI442" s="115" t="s">
        <v>654</v>
      </c>
      <c r="AJ442" s="170" t="s">
        <v>369</v>
      </c>
      <c r="AK442" s="219">
        <f>AK76</f>
        <v>2.6546754497063764E-2</v>
      </c>
      <c r="AL442" s="219">
        <f>AL76</f>
        <v>2.9010130870482917E-2</v>
      </c>
    </row>
    <row r="443" spans="2:38" x14ac:dyDescent="0.3">
      <c r="B443" s="115" t="s">
        <v>539</v>
      </c>
      <c r="C443" s="170" t="s">
        <v>371</v>
      </c>
      <c r="D443" s="219">
        <f>K83</f>
        <v>0.71513434144114851</v>
      </c>
      <c r="E443" s="219">
        <f>L83</f>
        <v>0.14224216804444992</v>
      </c>
      <c r="F443" s="219">
        <f>K85</f>
        <v>0.68194514854004795</v>
      </c>
      <c r="G443" s="219">
        <f>L85</f>
        <v>0.13404454282707792</v>
      </c>
      <c r="H443" s="219">
        <f>I83</f>
        <v>0.14262349051440154</v>
      </c>
      <c r="J443" s="170" t="s">
        <v>371</v>
      </c>
      <c r="K443" s="219">
        <f>K101</f>
        <v>0.15348226762301245</v>
      </c>
      <c r="L443" s="219">
        <f>L101</f>
        <v>3.0528041009861631E-2</v>
      </c>
      <c r="O443" s="115" t="s">
        <v>539</v>
      </c>
      <c r="P443" s="170" t="s">
        <v>371</v>
      </c>
      <c r="Q443" s="219">
        <f>X83</f>
        <v>8.3492197499931919E-2</v>
      </c>
      <c r="R443" s="219">
        <f>Y83</f>
        <v>0.70056374084261552</v>
      </c>
      <c r="S443" s="219">
        <f>X85</f>
        <v>7.419864375391487E-2</v>
      </c>
      <c r="T443" s="219">
        <f>Y85</f>
        <v>0.69484463084506654</v>
      </c>
      <c r="U443" s="219">
        <f>V83</f>
        <v>0.21594406165745245</v>
      </c>
      <c r="W443" s="170" t="s">
        <v>371</v>
      </c>
      <c r="X443" s="219">
        <f>X101</f>
        <v>2.4594016304350416E-2</v>
      </c>
      <c r="Y443" s="219">
        <f>Y101</f>
        <v>0.20636270909666807</v>
      </c>
      <c r="AB443" s="115" t="s">
        <v>539</v>
      </c>
      <c r="AC443" s="170" t="s">
        <v>371</v>
      </c>
      <c r="AD443" s="219">
        <f>AK83</f>
        <v>0.38959235943222353</v>
      </c>
      <c r="AE443" s="219">
        <f>AL83</f>
        <v>0.60588362017377984</v>
      </c>
      <c r="AF443" s="219">
        <f>AK85</f>
        <v>0.37633147425616975</v>
      </c>
      <c r="AG443" s="219">
        <f>AL85</f>
        <v>0.59561481197788257</v>
      </c>
      <c r="AH443" s="219">
        <f>AI83</f>
        <v>4.5240203939965282E-3</v>
      </c>
      <c r="AJ443" s="170" t="s">
        <v>371</v>
      </c>
      <c r="AK443" s="219">
        <f>AK101</f>
        <v>1.0979182582825878E-2</v>
      </c>
      <c r="AL443" s="219">
        <f>AL101</f>
        <v>1.7074531183121692E-2</v>
      </c>
    </row>
    <row r="444" spans="2:38" x14ac:dyDescent="0.3">
      <c r="C444" s="170" t="s">
        <v>373</v>
      </c>
      <c r="D444" s="219">
        <f>K108</f>
        <v>0.80782963287613685</v>
      </c>
      <c r="E444" s="219">
        <f>L108</f>
        <v>0.18777950351329678</v>
      </c>
      <c r="F444" s="219">
        <f>K110</f>
        <v>0.78214005117961549</v>
      </c>
      <c r="G444" s="219">
        <f>L110</f>
        <v>0.17733837723860324</v>
      </c>
      <c r="H444" s="219">
        <f>I108</f>
        <v>4.3908636105663779E-3</v>
      </c>
      <c r="J444" s="170" t="s">
        <v>373</v>
      </c>
      <c r="K444" s="219">
        <f>K126</f>
        <v>3.2878893029433164E-2</v>
      </c>
      <c r="L444" s="219">
        <f>L126</f>
        <v>7.6426785523481802E-3</v>
      </c>
      <c r="P444" s="170" t="s">
        <v>373</v>
      </c>
      <c r="Q444" s="219">
        <f>X108</f>
        <v>0.15942019118167705</v>
      </c>
      <c r="R444" s="219">
        <f>Y108</f>
        <v>0.83612026471309131</v>
      </c>
      <c r="S444" s="219">
        <f>X110</f>
        <v>0.14889430540047388</v>
      </c>
      <c r="T444" s="219">
        <f>Y110</f>
        <v>0.8282769138593099</v>
      </c>
      <c r="U444" s="219">
        <f>V108</f>
        <v>4.459544105231748E-3</v>
      </c>
      <c r="W444" s="170" t="s">
        <v>373</v>
      </c>
      <c r="X444" s="219">
        <f>X126</f>
        <v>3.655671217076658E-3</v>
      </c>
      <c r="Y444" s="219">
        <f>Y126</f>
        <v>1.9173109523139695E-2</v>
      </c>
      <c r="AC444" s="170" t="s">
        <v>373</v>
      </c>
      <c r="AD444" s="219">
        <f>AK108</f>
        <v>0.35790028005840546</v>
      </c>
      <c r="AE444" s="219">
        <f>AL108</f>
        <v>0.63757569954759807</v>
      </c>
      <c r="AF444" s="219">
        <f>AK110</f>
        <v>0.34614740168035046</v>
      </c>
      <c r="AG444" s="219">
        <f>AL110</f>
        <v>0.62821648275366826</v>
      </c>
      <c r="AH444" s="219">
        <f>AI108</f>
        <v>4.5240203939966644E-3</v>
      </c>
      <c r="AJ444" s="170" t="s">
        <v>373</v>
      </c>
      <c r="AK444" s="219">
        <f>AK126</f>
        <v>9.216870249652627E-3</v>
      </c>
      <c r="AL444" s="219">
        <f>AL126</f>
        <v>1.641924531632874E-2</v>
      </c>
    </row>
    <row r="445" spans="2:38" x14ac:dyDescent="0.3">
      <c r="C445" s="170" t="s">
        <v>378</v>
      </c>
      <c r="D445" s="219">
        <f>K133</f>
        <v>0.64651326246821461</v>
      </c>
      <c r="E445" s="219">
        <f>L133</f>
        <v>0.15814299188679892</v>
      </c>
      <c r="F445" s="219">
        <f>K135</f>
        <v>0.62769798775647867</v>
      </c>
      <c r="G445" s="219">
        <f>L135</f>
        <v>0.14916414033797934</v>
      </c>
      <c r="H445" s="219">
        <f>I133</f>
        <v>0.19534374564498627</v>
      </c>
      <c r="J445" s="170" t="s">
        <v>378</v>
      </c>
      <c r="K445" s="219">
        <f>K151</f>
        <v>0.17928350493155842</v>
      </c>
      <c r="L445" s="219">
        <f>L151</f>
        <v>4.3854366973983372E-2</v>
      </c>
      <c r="P445" s="170" t="s">
        <v>378</v>
      </c>
      <c r="Q445" s="219">
        <f>X133</f>
        <v>0.2111985620523435</v>
      </c>
      <c r="R445" s="219">
        <f>Y133</f>
        <v>0.78012745445137388</v>
      </c>
      <c r="S445" s="219">
        <f>X135</f>
        <v>0.19828971377216151</v>
      </c>
      <c r="T445" s="219">
        <f>Y135</f>
        <v>0.77154878945505057</v>
      </c>
      <c r="U445" s="219">
        <f>V133</f>
        <v>8.6739834962827403E-3</v>
      </c>
      <c r="W445" s="170" t="s">
        <v>378</v>
      </c>
      <c r="X445" s="219">
        <f>X151</f>
        <v>6.4258020486798652E-3</v>
      </c>
      <c r="Y445" s="219">
        <f>Y151</f>
        <v>2.3735694724108202E-2</v>
      </c>
      <c r="AC445" s="170" t="s">
        <v>378</v>
      </c>
      <c r="AD445" s="219">
        <f>AK133</f>
        <v>0.3105536539244082</v>
      </c>
      <c r="AE445" s="219">
        <f>AL133</f>
        <v>0.45307226464322475</v>
      </c>
      <c r="AF445" s="219">
        <f>AK135</f>
        <v>0.29659860688895806</v>
      </c>
      <c r="AG445" s="219">
        <f>AL135</f>
        <v>0.44581947004332528</v>
      </c>
      <c r="AH445" s="219">
        <f>AI133</f>
        <v>0.23637408143236696</v>
      </c>
      <c r="AJ445" s="170" t="s">
        <v>378</v>
      </c>
      <c r="AK445" s="219">
        <f>AK151</f>
        <v>0.10475418061189125</v>
      </c>
      <c r="AL445" s="219">
        <f>AL151</f>
        <v>0.15282774245582534</v>
      </c>
    </row>
    <row r="446" spans="2:38" x14ac:dyDescent="0.3">
      <c r="C446" s="170" t="s">
        <v>380</v>
      </c>
      <c r="D446" s="219">
        <f>K158</f>
        <v>0.80883666350917638</v>
      </c>
      <c r="E446" s="219">
        <f>L158</f>
        <v>0.17385759787041097</v>
      </c>
      <c r="F446" s="219">
        <f>K160</f>
        <v>0.78162785108226496</v>
      </c>
      <c r="G446" s="219">
        <f>L160</f>
        <v>0.16644968179366978</v>
      </c>
      <c r="H446" s="219">
        <f>I158</f>
        <v>1.7305738620412542E-2</v>
      </c>
      <c r="J446" s="170" t="s">
        <v>380</v>
      </c>
      <c r="K446" s="219">
        <f>K176</f>
        <v>4.2736379686226351E-2</v>
      </c>
      <c r="L446" s="219">
        <f>L176</f>
        <v>9.1860874378388562E-3</v>
      </c>
      <c r="P446" s="170" t="s">
        <v>380</v>
      </c>
      <c r="Q446" s="219">
        <f>X158</f>
        <v>0.19747950652250879</v>
      </c>
      <c r="R446" s="219">
        <f>Y158</f>
        <v>0.79806094937225969</v>
      </c>
      <c r="S446" s="219">
        <f>X160</f>
        <v>0.18743702170538415</v>
      </c>
      <c r="T446" s="219">
        <f>Y160</f>
        <v>0.7902993000898717</v>
      </c>
      <c r="U446" s="219">
        <f>V158</f>
        <v>4.4595441052315927E-3</v>
      </c>
      <c r="W446" s="170" t="s">
        <v>380</v>
      </c>
      <c r="X446" s="219">
        <f>X176</f>
        <v>4.4163149364906855E-3</v>
      </c>
      <c r="Y446" s="219">
        <f>Y176</f>
        <v>1.7847363268253487E-2</v>
      </c>
      <c r="AC446" s="170" t="s">
        <v>380</v>
      </c>
      <c r="AD446" s="219">
        <f>AK158</f>
        <v>0.35509969600497882</v>
      </c>
      <c r="AE446" s="219">
        <f>AL158</f>
        <v>0.6403762836010245</v>
      </c>
      <c r="AF446" s="219">
        <f>AK160</f>
        <v>0.33645307226464327</v>
      </c>
      <c r="AG446" s="219">
        <f>AL160</f>
        <v>0.62871915168633463</v>
      </c>
      <c r="AH446" s="219">
        <f>AI158</f>
        <v>4.5240203939968006E-3</v>
      </c>
      <c r="AJ446" s="170" t="s">
        <v>380</v>
      </c>
      <c r="AK446" s="219">
        <f>AK176</f>
        <v>1.2423537022392144E-2</v>
      </c>
      <c r="AL446" s="219">
        <f>AL176</f>
        <v>2.2404239026630062E-2</v>
      </c>
    </row>
    <row r="447" spans="2:38" x14ac:dyDescent="0.3">
      <c r="C447" s="170" t="s">
        <v>452</v>
      </c>
      <c r="D447" s="219">
        <f>K183</f>
        <v>0.6731440320407821</v>
      </c>
      <c r="E447" s="219">
        <f>L183</f>
        <v>0.17429345268511207</v>
      </c>
      <c r="F447" s="219">
        <f>K185</f>
        <v>0.64814519337775356</v>
      </c>
      <c r="G447" s="219">
        <f>L185</f>
        <v>0.16590960960900308</v>
      </c>
      <c r="H447" s="219">
        <f>I183</f>
        <v>0.15256251527410575</v>
      </c>
      <c r="J447" s="170" t="s">
        <v>452</v>
      </c>
      <c r="K447" s="219">
        <f>K201</f>
        <v>0.14770163217006857</v>
      </c>
      <c r="L447" s="219">
        <f>L201</f>
        <v>3.8243564843174635E-2</v>
      </c>
      <c r="P447" s="170" t="s">
        <v>452</v>
      </c>
      <c r="Q447" s="219">
        <f>X183</f>
        <v>0.23055502600833355</v>
      </c>
      <c r="R447" s="219">
        <f>Y183</f>
        <v>0.76499223835071761</v>
      </c>
      <c r="S447" s="219">
        <f>X185</f>
        <v>0.21086494730248645</v>
      </c>
      <c r="T447" s="219">
        <f>Y185</f>
        <v>0.75017021160706987</v>
      </c>
      <c r="U447" s="219">
        <f>V183</f>
        <v>4.4527356409489573E-3</v>
      </c>
      <c r="W447" s="170" t="s">
        <v>452</v>
      </c>
      <c r="X447" s="219">
        <f>X201</f>
        <v>9.0237201915286201E-3</v>
      </c>
      <c r="Y447" s="219">
        <f>Y201</f>
        <v>2.9941120898915159E-2</v>
      </c>
      <c r="AC447" s="170" t="s">
        <v>452</v>
      </c>
      <c r="AD447" s="219">
        <f>AK183</f>
        <v>0.28068075735452525</v>
      </c>
      <c r="AE447" s="219">
        <f>AL183</f>
        <v>0.71479522225147818</v>
      </c>
      <c r="AF447" s="219">
        <f>AK185</f>
        <v>0.26674964693491637</v>
      </c>
      <c r="AG447" s="219">
        <f>AL185</f>
        <v>0.70222849893482064</v>
      </c>
      <c r="AH447" s="219">
        <f>AI183</f>
        <v>4.5240203939966644E-3</v>
      </c>
      <c r="AJ447" s="170" t="s">
        <v>452</v>
      </c>
      <c r="AK447" s="219">
        <f>AK201</f>
        <v>8.746808250732525E-3</v>
      </c>
      <c r="AL447" s="219">
        <f>AL201</f>
        <v>2.2275045879530501E-2</v>
      </c>
    </row>
    <row r="448" spans="2:38" x14ac:dyDescent="0.3">
      <c r="C448" s="170" t="s">
        <v>453</v>
      </c>
      <c r="D448" s="219">
        <f>K208</f>
        <v>0.79490587111381306</v>
      </c>
      <c r="E448" s="219">
        <f>L208</f>
        <v>0.18867060242083217</v>
      </c>
      <c r="F448" s="219">
        <f>K210</f>
        <v>0.76610067478727328</v>
      </c>
      <c r="G448" s="219">
        <f>L210</f>
        <v>0.1788244846188492</v>
      </c>
      <c r="H448" s="219">
        <f>I208</f>
        <v>1.6423526465354717E-2</v>
      </c>
      <c r="J448" s="170" t="s">
        <v>453</v>
      </c>
      <c r="K448" s="219">
        <f>K226</f>
        <v>4.4510330733514028E-2</v>
      </c>
      <c r="L448" s="219">
        <f>L226</f>
        <v>1.0564509860363318E-2</v>
      </c>
      <c r="P448" s="170" t="s">
        <v>453</v>
      </c>
      <c r="Q448" s="219">
        <f>X208</f>
        <v>0.16055720471690405</v>
      </c>
      <c r="R448" s="219">
        <f>Y208</f>
        <v>0.83473814646368361</v>
      </c>
      <c r="S448" s="219">
        <f>X210</f>
        <v>0.14883302922192873</v>
      </c>
      <c r="T448" s="219">
        <f>Y210</f>
        <v>0.82416460143250092</v>
      </c>
      <c r="U448" s="219">
        <f>V208</f>
        <v>4.7046488194123492E-3</v>
      </c>
      <c r="W448" s="170" t="s">
        <v>453</v>
      </c>
      <c r="X448" s="219">
        <f>X226</f>
        <v>4.3559180073690362E-3</v>
      </c>
      <c r="Y448" s="219">
        <f>Y226</f>
        <v>2.2646451338201416E-2</v>
      </c>
      <c r="AC448" s="170" t="s">
        <v>453</v>
      </c>
      <c r="AD448" s="219">
        <f>AK208</f>
        <v>0.27989084903176392</v>
      </c>
      <c r="AE448" s="219">
        <f>AL208</f>
        <v>0.49240012447040243</v>
      </c>
      <c r="AF448" s="219">
        <f>AK210</f>
        <v>0.27022045623189794</v>
      </c>
      <c r="AG448" s="219">
        <f>AL210</f>
        <v>0.48584149172989927</v>
      </c>
      <c r="AH448" s="219">
        <f>AI208</f>
        <v>0.22770902649783373</v>
      </c>
      <c r="AJ448" s="170" t="s">
        <v>453</v>
      </c>
      <c r="AK448" s="219">
        <f>AK226</f>
        <v>8.8407130005042966E-2</v>
      </c>
      <c r="AL448" s="219">
        <f>AL226</f>
        <v>0.15553092203315994</v>
      </c>
    </row>
    <row r="449" spans="2:38" x14ac:dyDescent="0.3">
      <c r="C449" s="170" t="s">
        <v>454</v>
      </c>
      <c r="D449" s="219">
        <f>K233</f>
        <v>0.8306338476204711</v>
      </c>
      <c r="E449" s="219">
        <f>L233</f>
        <v>0.16499710170686238</v>
      </c>
      <c r="F449" s="219">
        <f>K235</f>
        <v>0.80174099559903778</v>
      </c>
      <c r="G449" s="219">
        <f>L235</f>
        <v>0.15786346312704622</v>
      </c>
      <c r="H449" s="219">
        <f>I233</f>
        <v>4.369050672666565E-3</v>
      </c>
      <c r="J449" s="170" t="s">
        <v>454</v>
      </c>
      <c r="K449" s="219">
        <f>K251</f>
        <v>3.3701145889181161E-2</v>
      </c>
      <c r="L449" s="219">
        <f>L251</f>
        <v>6.6943953847348487E-3</v>
      </c>
      <c r="P449" s="170" t="s">
        <v>454</v>
      </c>
      <c r="Q449" s="219">
        <f>X233</f>
        <v>0.22459761976088674</v>
      </c>
      <c r="R449" s="219">
        <f>Y233</f>
        <v>0.77101092077670963</v>
      </c>
      <c r="S449" s="219">
        <f>X235</f>
        <v>0.2077534791252485</v>
      </c>
      <c r="T449" s="219">
        <f>Y235</f>
        <v>0.75665867806857479</v>
      </c>
      <c r="U449" s="219">
        <f>V233</f>
        <v>4.3914594624035368E-3</v>
      </c>
      <c r="W449" s="170" t="s">
        <v>454</v>
      </c>
      <c r="X449" s="219">
        <f>X251</f>
        <v>8.0282003028780084E-3</v>
      </c>
      <c r="Y449" s="219">
        <f>Y251</f>
        <v>2.7559642503298599E-2</v>
      </c>
      <c r="AC449" s="170" t="s">
        <v>454</v>
      </c>
      <c r="AD449" s="219">
        <f>AK233</f>
        <v>0.30863872465710801</v>
      </c>
      <c r="AE449" s="219">
        <f>AL233</f>
        <v>0.68688512818057779</v>
      </c>
      <c r="AF449" s="219">
        <f>AK235</f>
        <v>0.29717308566914807</v>
      </c>
      <c r="AG449" s="219">
        <f>AL235</f>
        <v>0.67838762955693332</v>
      </c>
      <c r="AH449" s="219">
        <f>AI233</f>
        <v>4.4761471623142035E-3</v>
      </c>
      <c r="AJ449" s="170" t="s">
        <v>454</v>
      </c>
      <c r="AK449" s="219">
        <f>AK251</f>
        <v>7.5768246663838893E-3</v>
      </c>
      <c r="AL449" s="219">
        <f>AL251</f>
        <v>1.6862460107534675E-2</v>
      </c>
    </row>
    <row r="450" spans="2:38" x14ac:dyDescent="0.3">
      <c r="C450" s="171" t="s">
        <v>388</v>
      </c>
      <c r="D450" s="219">
        <f>K258</f>
        <v>0.8241045082091375</v>
      </c>
      <c r="E450" s="219">
        <f>L258</f>
        <v>0.17152644111819584</v>
      </c>
      <c r="F450" s="219">
        <f>K260</f>
        <v>0.79543907626247423</v>
      </c>
      <c r="G450" s="219">
        <f>L260</f>
        <v>0.16277864513379611</v>
      </c>
      <c r="H450" s="219">
        <f>I258</f>
        <v>4.369050672666565E-3</v>
      </c>
      <c r="J450" s="171" t="s">
        <v>388</v>
      </c>
      <c r="K450" s="219">
        <f>K276</f>
        <v>3.4584063687300305E-2</v>
      </c>
      <c r="L450" s="219">
        <f>L276</f>
        <v>7.1982149164293045E-3</v>
      </c>
      <c r="P450" s="171" t="s">
        <v>388</v>
      </c>
      <c r="Q450" s="219">
        <f>X258</f>
        <v>0.19226422288188674</v>
      </c>
      <c r="R450" s="219">
        <f>Y258</f>
        <v>0.80335112611999238</v>
      </c>
      <c r="S450" s="219">
        <f>X260</f>
        <v>0.17770091778098532</v>
      </c>
      <c r="T450" s="219">
        <f>Y260</f>
        <v>0.79184482148206647</v>
      </c>
      <c r="U450" s="219">
        <f>V258</f>
        <v>4.3846509981209014E-3</v>
      </c>
      <c r="W450" s="171" t="s">
        <v>388</v>
      </c>
      <c r="X450" s="219">
        <f>X276</f>
        <v>5.8810511307421263E-3</v>
      </c>
      <c r="Y450" s="219">
        <f>Y276</f>
        <v>2.457320960620616E-2</v>
      </c>
      <c r="AC450" s="171" t="s">
        <v>388</v>
      </c>
      <c r="AD450" s="219">
        <f>AK258</f>
        <v>0.2921703329583264</v>
      </c>
      <c r="AE450" s="219">
        <f>AL258</f>
        <v>0.70337745649520078</v>
      </c>
      <c r="AF450" s="219">
        <f>AK260</f>
        <v>0.27960360964166886</v>
      </c>
      <c r="AG450" s="219">
        <f>AL260</f>
        <v>0.69248629628743097</v>
      </c>
      <c r="AH450" s="219">
        <f>AI258</f>
        <v>4.4522105464728364E-3</v>
      </c>
      <c r="AJ450" s="171" t="s">
        <v>388</v>
      </c>
      <c r="AK450" s="219">
        <f>AK276</f>
        <v>8.1909693979324242E-3</v>
      </c>
      <c r="AL450" s="219">
        <f>AL276</f>
        <v>1.9719124672967752E-2</v>
      </c>
    </row>
    <row r="452" spans="2:38" x14ac:dyDescent="0.3">
      <c r="D452" s="213" t="s">
        <v>515</v>
      </c>
      <c r="E452" s="214" t="s">
        <v>448</v>
      </c>
      <c r="F452" s="213" t="s">
        <v>542</v>
      </c>
      <c r="G452" s="92" t="s">
        <v>535</v>
      </c>
      <c r="H452" s="211" t="s">
        <v>451</v>
      </c>
      <c r="K452" s="213" t="s">
        <v>542</v>
      </c>
      <c r="L452" s="92" t="s">
        <v>535</v>
      </c>
      <c r="Q452" s="213" t="s">
        <v>515</v>
      </c>
      <c r="R452" s="214" t="s">
        <v>448</v>
      </c>
      <c r="S452" s="213" t="s">
        <v>542</v>
      </c>
      <c r="T452" s="92" t="s">
        <v>535</v>
      </c>
      <c r="U452" s="211" t="s">
        <v>451</v>
      </c>
      <c r="X452" s="213" t="s">
        <v>542</v>
      </c>
      <c r="Y452" s="92" t="s">
        <v>535</v>
      </c>
      <c r="AD452" s="213" t="s">
        <v>515</v>
      </c>
      <c r="AE452" s="214" t="s">
        <v>448</v>
      </c>
      <c r="AF452" s="213" t="s">
        <v>542</v>
      </c>
      <c r="AG452" s="92" t="s">
        <v>535</v>
      </c>
      <c r="AH452" s="211" t="s">
        <v>451</v>
      </c>
      <c r="AK452" s="213" t="s">
        <v>542</v>
      </c>
      <c r="AL452" s="92" t="s">
        <v>535</v>
      </c>
    </row>
    <row r="453" spans="2:38" x14ac:dyDescent="0.3">
      <c r="B453" s="131" t="s">
        <v>681</v>
      </c>
      <c r="C453" s="169">
        <v>1977</v>
      </c>
      <c r="D453" s="57">
        <f>K7</f>
        <v>16773.009999999998</v>
      </c>
      <c r="E453" s="57">
        <f>L7</f>
        <v>2197.4699999999998</v>
      </c>
      <c r="F453" s="57">
        <f>K9</f>
        <v>16300.469999999998</v>
      </c>
      <c r="G453" s="57">
        <f>L9</f>
        <v>2088</v>
      </c>
      <c r="H453" s="57">
        <f>I7</f>
        <v>5785.4700000000012</v>
      </c>
      <c r="I453" s="131" t="s">
        <v>681</v>
      </c>
      <c r="J453" s="169">
        <v>1977</v>
      </c>
      <c r="K453" s="57">
        <f>K25</f>
        <v>5629.894747776546</v>
      </c>
      <c r="L453" s="57">
        <f>L25</f>
        <v>737.58525222345452</v>
      </c>
      <c r="O453" s="131" t="s">
        <v>718</v>
      </c>
      <c r="P453" s="169">
        <v>1977</v>
      </c>
      <c r="Q453" s="57" t="s">
        <v>527</v>
      </c>
      <c r="R453" s="57" t="s">
        <v>527</v>
      </c>
      <c r="S453" s="57" t="s">
        <v>527</v>
      </c>
      <c r="T453" s="57" t="s">
        <v>527</v>
      </c>
      <c r="U453" s="57">
        <f>V7</f>
        <v>1468.76</v>
      </c>
      <c r="V453" s="131" t="s">
        <v>718</v>
      </c>
      <c r="W453" s="169">
        <v>1977</v>
      </c>
      <c r="X453" s="57" t="s">
        <v>527</v>
      </c>
      <c r="Y453" s="57" t="s">
        <v>527</v>
      </c>
      <c r="AB453" s="131" t="s">
        <v>767</v>
      </c>
      <c r="AC453" s="169">
        <v>1977</v>
      </c>
      <c r="AD453" s="57">
        <f>AK7</f>
        <v>157.49</v>
      </c>
      <c r="AE453" s="57">
        <f>AL7</f>
        <v>117.43</v>
      </c>
      <c r="AF453" s="57">
        <f>AK9</f>
        <v>148.53</v>
      </c>
      <c r="AG453" s="57">
        <f>AL9</f>
        <v>114.49</v>
      </c>
      <c r="AH453" s="57">
        <f>AI7</f>
        <v>142.84999999999997</v>
      </c>
      <c r="AI453" s="131" t="s">
        <v>767</v>
      </c>
      <c r="AJ453" s="169">
        <v>1977</v>
      </c>
      <c r="AK453" s="57">
        <f>AK25</f>
        <v>88.649707187545445</v>
      </c>
      <c r="AL453" s="57">
        <f>AL25</f>
        <v>66.100292812454512</v>
      </c>
    </row>
    <row r="454" spans="2:38" x14ac:dyDescent="0.3">
      <c r="B454" s="116" t="s">
        <v>463</v>
      </c>
      <c r="C454" s="170">
        <v>1988</v>
      </c>
      <c r="D454" s="57">
        <f>K32</f>
        <v>18809.45</v>
      </c>
      <c r="E454" s="57">
        <f>L32</f>
        <v>2783.46</v>
      </c>
      <c r="F454" s="57">
        <f>K34</f>
        <v>17883.13</v>
      </c>
      <c r="G454" s="57">
        <f>L34</f>
        <v>2579.71</v>
      </c>
      <c r="H454" s="57">
        <f>I32</f>
        <v>3163.0399999999972</v>
      </c>
      <c r="I454" s="116" t="s">
        <v>463</v>
      </c>
      <c r="J454" s="170">
        <v>1988</v>
      </c>
      <c r="K454" s="57">
        <f>K50</f>
        <v>3739.7014987558382</v>
      </c>
      <c r="L454" s="57">
        <f>L50</f>
        <v>553.40850124415795</v>
      </c>
      <c r="O454" s="116" t="s">
        <v>463</v>
      </c>
      <c r="P454" s="170">
        <v>1988</v>
      </c>
      <c r="Q454" s="57">
        <f>X32</f>
        <v>339.29</v>
      </c>
      <c r="R454" s="57">
        <f>Y32</f>
        <v>1122.75</v>
      </c>
      <c r="S454" s="57">
        <f>X34</f>
        <v>324.08</v>
      </c>
      <c r="T454" s="57">
        <f>Y34</f>
        <v>1109.48</v>
      </c>
      <c r="U454" s="57">
        <f>V32</f>
        <v>6.7200000000000273</v>
      </c>
      <c r="V454" s="116" t="s">
        <v>463</v>
      </c>
      <c r="W454" s="170">
        <v>1988</v>
      </c>
      <c r="X454" s="57">
        <f>X50</f>
        <v>8.1687286257558007</v>
      </c>
      <c r="Y454" s="57">
        <f>Y50</f>
        <v>27.031271374244231</v>
      </c>
      <c r="AB454" s="116" t="s">
        <v>463</v>
      </c>
      <c r="AC454" s="170">
        <v>1988</v>
      </c>
      <c r="AD454" s="57">
        <f>AK32</f>
        <v>263.89</v>
      </c>
      <c r="AE454" s="57">
        <f>AL32</f>
        <v>151.86000000000001</v>
      </c>
      <c r="AF454" s="57">
        <f>AK34</f>
        <v>250.88</v>
      </c>
      <c r="AG454" s="57">
        <f>AL34</f>
        <v>142.54</v>
      </c>
      <c r="AH454" s="57">
        <f>AI32</f>
        <v>2.0199999999999818</v>
      </c>
      <c r="AI454" s="116" t="s">
        <v>463</v>
      </c>
      <c r="AJ454" s="170">
        <v>1988</v>
      </c>
      <c r="AK454" s="57">
        <f>AK50</f>
        <v>15.455734215273608</v>
      </c>
      <c r="AL454" s="57">
        <f>AL50</f>
        <v>8.8942657847264019</v>
      </c>
    </row>
    <row r="455" spans="2:38" x14ac:dyDescent="0.3">
      <c r="B455" s="115" t="s">
        <v>540</v>
      </c>
      <c r="C455" s="170" t="s">
        <v>369</v>
      </c>
      <c r="D455" s="57">
        <f>K57</f>
        <v>20871.71</v>
      </c>
      <c r="E455" s="57">
        <f>L57</f>
        <v>3775.53</v>
      </c>
      <c r="F455" s="57">
        <f>K59</f>
        <v>19790.03</v>
      </c>
      <c r="G455" s="57">
        <f>L59</f>
        <v>3437.84</v>
      </c>
      <c r="H455" s="57">
        <f>I57</f>
        <v>108.71000000000276</v>
      </c>
      <c r="I455" s="115" t="s">
        <v>655</v>
      </c>
      <c r="J455" s="170" t="s">
        <v>369</v>
      </c>
      <c r="K455" s="57">
        <f>K75</f>
        <v>1294.0046275688492</v>
      </c>
      <c r="L455" s="57">
        <f>L75</f>
        <v>234.07537243115291</v>
      </c>
      <c r="O455" s="115" t="s">
        <v>540</v>
      </c>
      <c r="P455" s="170" t="s">
        <v>369</v>
      </c>
      <c r="Q455" s="57">
        <f>X57</f>
        <v>329.64000000000004</v>
      </c>
      <c r="R455" s="57">
        <f>Y57</f>
        <v>1132.57</v>
      </c>
      <c r="S455" s="57">
        <f>X59</f>
        <v>312.31</v>
      </c>
      <c r="T455" s="57">
        <f>Y59</f>
        <v>1117.3900000000001</v>
      </c>
      <c r="U455" s="57">
        <f>V57</f>
        <v>6.5500000000001819</v>
      </c>
      <c r="V455" s="115" t="s">
        <v>655</v>
      </c>
      <c r="W455" s="170" t="s">
        <v>369</v>
      </c>
      <c r="X455" s="57">
        <f>X75</f>
        <v>8.8056697738354988</v>
      </c>
      <c r="Y455" s="57">
        <f>Y75</f>
        <v>30.254330226164512</v>
      </c>
      <c r="AB455" s="115" t="s">
        <v>540</v>
      </c>
      <c r="AC455" s="170" t="s">
        <v>369</v>
      </c>
      <c r="AD455" s="57">
        <f>AK57</f>
        <v>198.71999999999997</v>
      </c>
      <c r="AE455" s="57">
        <f>AL57</f>
        <v>217.16</v>
      </c>
      <c r="AF455" s="57">
        <f>AK59</f>
        <v>188.06</v>
      </c>
      <c r="AG455" s="57">
        <f>AL59</f>
        <v>206.5</v>
      </c>
      <c r="AH455" s="57">
        <f>AI57</f>
        <v>1.8899999999999864</v>
      </c>
      <c r="AI455" s="115" t="s">
        <v>655</v>
      </c>
      <c r="AJ455" s="170" t="s">
        <v>369</v>
      </c>
      <c r="AK455" s="57">
        <f>AK75</f>
        <v>11.090437626238328</v>
      </c>
      <c r="AL455" s="57">
        <f>AL75</f>
        <v>12.119562373761648</v>
      </c>
    </row>
    <row r="456" spans="2:38" x14ac:dyDescent="0.3">
      <c r="B456" s="115" t="s">
        <v>541</v>
      </c>
      <c r="C456" s="170" t="s">
        <v>371</v>
      </c>
      <c r="D456" s="57">
        <f>K82</f>
        <v>17703.830000000002</v>
      </c>
      <c r="E456" s="57">
        <f>L82</f>
        <v>3521.34</v>
      </c>
      <c r="F456" s="57">
        <f>K84</f>
        <v>16882.2</v>
      </c>
      <c r="G456" s="57">
        <f>L84</f>
        <v>3318.4</v>
      </c>
      <c r="H456" s="57">
        <f>I82</f>
        <v>3530.7799999999988</v>
      </c>
      <c r="J456" s="170" t="s">
        <v>371</v>
      </c>
      <c r="K456" s="57">
        <f>K100</f>
        <v>3799.5993431619149</v>
      </c>
      <c r="L456" s="57">
        <f>L100</f>
        <v>755.75065683808407</v>
      </c>
      <c r="O456" s="115" t="s">
        <v>541</v>
      </c>
      <c r="P456" s="170" t="s">
        <v>371</v>
      </c>
      <c r="Q456" s="57">
        <f>X82</f>
        <v>122.63</v>
      </c>
      <c r="R456" s="57">
        <f>Y82</f>
        <v>1028.96</v>
      </c>
      <c r="S456" s="57">
        <f>X84</f>
        <v>108.98</v>
      </c>
      <c r="T456" s="57">
        <f>Y84</f>
        <v>1020.56</v>
      </c>
      <c r="U456" s="57">
        <f>V82</f>
        <v>317.16999999999985</v>
      </c>
      <c r="W456" s="170" t="s">
        <v>371</v>
      </c>
      <c r="X456" s="57">
        <f>X100</f>
        <v>36.122707387177719</v>
      </c>
      <c r="Y456" s="57">
        <f>Y100</f>
        <v>303.09729261282217</v>
      </c>
      <c r="AB456" s="115" t="s">
        <v>541</v>
      </c>
      <c r="AC456" s="170" t="s">
        <v>371</v>
      </c>
      <c r="AD456" s="57">
        <f>AK82</f>
        <v>162.76000000000002</v>
      </c>
      <c r="AE456" s="57">
        <f>AL82</f>
        <v>253.12</v>
      </c>
      <c r="AF456" s="57">
        <f>AK84</f>
        <v>157.22000000000003</v>
      </c>
      <c r="AG456" s="57">
        <f>AL84</f>
        <v>248.83</v>
      </c>
      <c r="AH456" s="57">
        <f>AI82</f>
        <v>1.8899999999999295</v>
      </c>
      <c r="AJ456" s="170" t="s">
        <v>371</v>
      </c>
      <c r="AK456" s="57">
        <f>AK100</f>
        <v>4.5867731076271667</v>
      </c>
      <c r="AL456" s="57">
        <f>AL100</f>
        <v>7.1332268923727487</v>
      </c>
    </row>
    <row r="457" spans="2:38" x14ac:dyDescent="0.3">
      <c r="C457" s="170" t="s">
        <v>373</v>
      </c>
      <c r="D457" s="57">
        <f>K107</f>
        <v>19998.59</v>
      </c>
      <c r="E457" s="57">
        <f>L107</f>
        <v>4648.66</v>
      </c>
      <c r="F457" s="57">
        <f>K109</f>
        <v>19362.620000000003</v>
      </c>
      <c r="G457" s="57">
        <f>L109</f>
        <v>4390.18</v>
      </c>
      <c r="H457" s="57">
        <f>I107</f>
        <v>108.70000000000073</v>
      </c>
      <c r="J457" s="170" t="s">
        <v>373</v>
      </c>
      <c r="K457" s="57">
        <f>K125</f>
        <v>813.94823189199587</v>
      </c>
      <c r="L457" s="57">
        <f>L125</f>
        <v>189.20176810800393</v>
      </c>
      <c r="P457" s="170" t="s">
        <v>373</v>
      </c>
      <c r="Q457" s="57">
        <f>X107</f>
        <v>234.14999999999998</v>
      </c>
      <c r="R457" s="57">
        <f>Y107</f>
        <v>1228.06</v>
      </c>
      <c r="S457" s="57">
        <f>X109</f>
        <v>218.69</v>
      </c>
      <c r="T457" s="57">
        <f>Y109</f>
        <v>1216.54</v>
      </c>
      <c r="U457" s="57">
        <f>V107</f>
        <v>6.5500000000001819</v>
      </c>
      <c r="W457" s="170" t="s">
        <v>373</v>
      </c>
      <c r="X457" s="57">
        <f>X125</f>
        <v>5.3693036567935124</v>
      </c>
      <c r="Y457" s="57">
        <f>Y125</f>
        <v>28.160696343206659</v>
      </c>
      <c r="AC457" s="170" t="s">
        <v>373</v>
      </c>
      <c r="AD457" s="57">
        <f>AK107</f>
        <v>149.52000000000004</v>
      </c>
      <c r="AE457" s="57">
        <f>AL107</f>
        <v>266.36</v>
      </c>
      <c r="AF457" s="57">
        <f>AK109</f>
        <v>144.61000000000001</v>
      </c>
      <c r="AG457" s="57">
        <f>AL109</f>
        <v>262.45</v>
      </c>
      <c r="AH457" s="57">
        <f>AI107</f>
        <v>1.8899999999999864</v>
      </c>
      <c r="AJ457" s="170" t="s">
        <v>373</v>
      </c>
      <c r="AK457" s="57">
        <f>AK125</f>
        <v>3.8505318841973777</v>
      </c>
      <c r="AL457" s="57">
        <f>AL125</f>
        <v>6.8594681158026578</v>
      </c>
    </row>
    <row r="458" spans="2:38" x14ac:dyDescent="0.3">
      <c r="C458" s="170" t="s">
        <v>378</v>
      </c>
      <c r="D458" s="57">
        <f>K132</f>
        <v>16005.05</v>
      </c>
      <c r="E458" s="57">
        <f>L132</f>
        <v>3914.98</v>
      </c>
      <c r="F458" s="57">
        <f>K134</f>
        <v>15539.259999999998</v>
      </c>
      <c r="G458" s="57">
        <f>L134</f>
        <v>3692.7</v>
      </c>
      <c r="H458" s="57">
        <f>I132</f>
        <v>4835.9199999999983</v>
      </c>
      <c r="J458" s="170" t="s">
        <v>378</v>
      </c>
      <c r="K458" s="57">
        <f>K150</f>
        <v>4438.3334839104136</v>
      </c>
      <c r="L458" s="57">
        <f>L150</f>
        <v>1085.6565160895836</v>
      </c>
      <c r="P458" s="170" t="s">
        <v>378</v>
      </c>
      <c r="Q458" s="57">
        <f>X132</f>
        <v>310.20000000000005</v>
      </c>
      <c r="R458" s="57">
        <f>Y132</f>
        <v>1145.82</v>
      </c>
      <c r="S458" s="57">
        <f>X134</f>
        <v>291.23999999999995</v>
      </c>
      <c r="T458" s="57">
        <f>Y134</f>
        <v>1133.22</v>
      </c>
      <c r="U458" s="57">
        <f>V132</f>
        <v>12.740000000000236</v>
      </c>
      <c r="W458" s="170" t="s">
        <v>378</v>
      </c>
      <c r="X458" s="57">
        <f>X150</f>
        <v>9.4379610170190382</v>
      </c>
      <c r="Y458" s="57">
        <f>Y150</f>
        <v>34.862038982981161</v>
      </c>
      <c r="AC458" s="170" t="s">
        <v>378</v>
      </c>
      <c r="AD458" s="57">
        <f>AK132</f>
        <v>129.74</v>
      </c>
      <c r="AE458" s="57">
        <f>AL132</f>
        <v>189.28</v>
      </c>
      <c r="AF458" s="57">
        <f>AK134</f>
        <v>123.91</v>
      </c>
      <c r="AG458" s="57">
        <f>AL134</f>
        <v>186.25</v>
      </c>
      <c r="AH458" s="57">
        <f>AI132</f>
        <v>98.749999999999943</v>
      </c>
      <c r="AJ458" s="170" t="s">
        <v>378</v>
      </c>
      <c r="AK458" s="57">
        <f>AK150</f>
        <v>43.763154034229807</v>
      </c>
      <c r="AL458" s="57">
        <f>AL150</f>
        <v>63.846845965770143</v>
      </c>
    </row>
    <row r="459" spans="2:38" x14ac:dyDescent="0.3">
      <c r="C459" s="170" t="s">
        <v>380</v>
      </c>
      <c r="D459" s="57">
        <f>K157</f>
        <v>20023.519999999997</v>
      </c>
      <c r="E459" s="57">
        <f>L157</f>
        <v>4304.01</v>
      </c>
      <c r="F459" s="57">
        <f>K159</f>
        <v>19349.939999999999</v>
      </c>
      <c r="G459" s="57">
        <f>L159</f>
        <v>4120.62</v>
      </c>
      <c r="H459" s="57">
        <f>I157</f>
        <v>428.42000000000189</v>
      </c>
      <c r="J459" s="170" t="s">
        <v>380</v>
      </c>
      <c r="K459" s="57">
        <f>K175</f>
        <v>1057.9796786932352</v>
      </c>
      <c r="L459" s="57">
        <f>L175</f>
        <v>227.41032130676683</v>
      </c>
      <c r="P459" s="170" t="s">
        <v>380</v>
      </c>
      <c r="Q459" s="57">
        <f>X157</f>
        <v>290.05</v>
      </c>
      <c r="R459" s="57">
        <f>Y157</f>
        <v>1172.1600000000001</v>
      </c>
      <c r="S459" s="57">
        <f>X159</f>
        <v>275.3</v>
      </c>
      <c r="T459" s="57">
        <f>Y159</f>
        <v>1160.76</v>
      </c>
      <c r="U459" s="57">
        <f>V157</f>
        <v>6.5499999999999545</v>
      </c>
      <c r="W459" s="170" t="s">
        <v>380</v>
      </c>
      <c r="X459" s="57">
        <f>X175</f>
        <v>6.4865067261200595</v>
      </c>
      <c r="Y459" s="57">
        <f>Y175</f>
        <v>26.21349327387999</v>
      </c>
      <c r="AC459" s="170" t="s">
        <v>380</v>
      </c>
      <c r="AD459" s="57">
        <f>AK157</f>
        <v>148.35</v>
      </c>
      <c r="AE459" s="57">
        <f>AL157</f>
        <v>267.52999999999997</v>
      </c>
      <c r="AF459" s="57">
        <f>AK159</f>
        <v>140.56</v>
      </c>
      <c r="AG459" s="57">
        <f>AL159</f>
        <v>262.66000000000003</v>
      </c>
      <c r="AH459" s="57">
        <f>AI157</f>
        <v>1.8900000000000432</v>
      </c>
      <c r="AJ459" s="170" t="s">
        <v>380</v>
      </c>
      <c r="AK459" s="57">
        <f>AK175</f>
        <v>5.1901810618447657</v>
      </c>
      <c r="AL459" s="57">
        <f>AL175</f>
        <v>9.3598189381552412</v>
      </c>
    </row>
    <row r="460" spans="2:38" x14ac:dyDescent="0.3">
      <c r="C460" s="170" t="s">
        <v>452</v>
      </c>
      <c r="D460" s="57">
        <f>K182</f>
        <v>16664.32</v>
      </c>
      <c r="E460" s="57">
        <f>L182</f>
        <v>4314.8</v>
      </c>
      <c r="F460" s="57">
        <f>K184</f>
        <v>16045.449999999999</v>
      </c>
      <c r="G460" s="57">
        <f>L184</f>
        <v>4107.25</v>
      </c>
      <c r="H460" s="57">
        <f>I182</f>
        <v>3776.8299999999981</v>
      </c>
      <c r="J460" s="170" t="s">
        <v>452</v>
      </c>
      <c r="K460" s="57">
        <f>K200</f>
        <v>3656.4942209206092</v>
      </c>
      <c r="L460" s="57">
        <f>L200</f>
        <v>946.75577907938919</v>
      </c>
      <c r="P460" s="170" t="s">
        <v>452</v>
      </c>
      <c r="Q460" s="57">
        <f>X182</f>
        <v>338.63</v>
      </c>
      <c r="R460" s="57">
        <f>Y182</f>
        <v>1123.5899999999999</v>
      </c>
      <c r="S460" s="57">
        <f>X184</f>
        <v>309.70999999999998</v>
      </c>
      <c r="T460" s="57">
        <f>Y184</f>
        <v>1101.82</v>
      </c>
      <c r="U460" s="57">
        <f>V182</f>
        <v>6.540000000000191</v>
      </c>
      <c r="W460" s="170" t="s">
        <v>452</v>
      </c>
      <c r="X460" s="57">
        <f>X200</f>
        <v>13.253679268509575</v>
      </c>
      <c r="Y460" s="57">
        <f>Y200</f>
        <v>43.976320731490631</v>
      </c>
      <c r="AC460" s="170" t="s">
        <v>452</v>
      </c>
      <c r="AD460" s="57">
        <f>AK182</f>
        <v>117.26</v>
      </c>
      <c r="AE460" s="57">
        <f>AL182</f>
        <v>298.62</v>
      </c>
      <c r="AF460" s="57">
        <f>AK184</f>
        <v>111.44000000000001</v>
      </c>
      <c r="AG460" s="57">
        <f>AL184</f>
        <v>293.37</v>
      </c>
      <c r="AH460" s="57">
        <f>AI182</f>
        <v>1.8899999999999864</v>
      </c>
      <c r="AJ460" s="170" t="s">
        <v>452</v>
      </c>
      <c r="AK460" s="57">
        <f>AK200</f>
        <v>3.6541540829085268</v>
      </c>
      <c r="AL460" s="57">
        <f>AL200</f>
        <v>9.3058459170914567</v>
      </c>
    </row>
    <row r="461" spans="2:38" x14ac:dyDescent="0.3">
      <c r="C461" s="170" t="s">
        <v>453</v>
      </c>
      <c r="D461" s="57">
        <f>K207</f>
        <v>19678.650000000001</v>
      </c>
      <c r="E461" s="57">
        <f>L207</f>
        <v>4670.72</v>
      </c>
      <c r="F461" s="57">
        <f>K209</f>
        <v>18965.55</v>
      </c>
      <c r="G461" s="57">
        <f>L209</f>
        <v>4426.97</v>
      </c>
      <c r="H461" s="57">
        <f>I207</f>
        <v>406.57999999999811</v>
      </c>
      <c r="J461" s="170" t="s">
        <v>453</v>
      </c>
      <c r="K461" s="57">
        <f>K225</f>
        <v>1101.8955221223366</v>
      </c>
      <c r="L461" s="57">
        <f>L225</f>
        <v>261.53447787766129</v>
      </c>
      <c r="P461" s="170" t="s">
        <v>453</v>
      </c>
      <c r="Q461" s="57">
        <f>X207</f>
        <v>235.82</v>
      </c>
      <c r="R461" s="57">
        <f>Y207</f>
        <v>1226.03</v>
      </c>
      <c r="S461" s="57">
        <f>X209</f>
        <v>218.60000000000002</v>
      </c>
      <c r="T461" s="57">
        <f>Y209</f>
        <v>1210.5</v>
      </c>
      <c r="U461" s="57">
        <f>V207</f>
        <v>6.9100000000000819</v>
      </c>
      <c r="W461" s="170" t="s">
        <v>453</v>
      </c>
      <c r="X461" s="57">
        <f>X225</f>
        <v>6.3977981325033451</v>
      </c>
      <c r="Y461" s="57">
        <f>Y225</f>
        <v>33.262201867496714</v>
      </c>
      <c r="AC461" s="170" t="s">
        <v>453</v>
      </c>
      <c r="AD461" s="57">
        <f>AK207</f>
        <v>116.93</v>
      </c>
      <c r="AE461" s="57">
        <f>AL207</f>
        <v>205.71</v>
      </c>
      <c r="AF461" s="57">
        <f>AK209</f>
        <v>112.89</v>
      </c>
      <c r="AG461" s="57">
        <f>AL209</f>
        <v>202.97</v>
      </c>
      <c r="AH461" s="57">
        <f>AI207</f>
        <v>95.13</v>
      </c>
      <c r="AJ461" s="170" t="s">
        <v>453</v>
      </c>
      <c r="AK461" s="57">
        <f>AK225</f>
        <v>36.9338467022068</v>
      </c>
      <c r="AL461" s="57">
        <f>AL225</f>
        <v>64.976153297793218</v>
      </c>
    </row>
    <row r="462" spans="2:38" x14ac:dyDescent="0.3">
      <c r="C462" s="170" t="s">
        <v>454</v>
      </c>
      <c r="D462" s="57">
        <f>K232</f>
        <v>20563.13</v>
      </c>
      <c r="E462" s="57">
        <f>L232</f>
        <v>4084.66</v>
      </c>
      <c r="F462" s="57">
        <f>K234</f>
        <v>19847.86</v>
      </c>
      <c r="G462" s="57">
        <f>L234</f>
        <v>3908.06</v>
      </c>
      <c r="H462" s="57">
        <f>I232</f>
        <v>108.15999999999985</v>
      </c>
      <c r="J462" s="170" t="s">
        <v>454</v>
      </c>
      <c r="K462" s="57">
        <f>K250</f>
        <v>834.30388257527432</v>
      </c>
      <c r="L462" s="57">
        <f>L250</f>
        <v>165.72611742472668</v>
      </c>
      <c r="P462" s="170" t="s">
        <v>454</v>
      </c>
      <c r="Q462" s="57">
        <f>X232</f>
        <v>329.88</v>
      </c>
      <c r="R462" s="57">
        <f>Y232</f>
        <v>1132.43</v>
      </c>
      <c r="S462" s="57">
        <f>X234</f>
        <v>305.14</v>
      </c>
      <c r="T462" s="57">
        <f>Y234</f>
        <v>1111.3499999999999</v>
      </c>
      <c r="U462" s="57">
        <f>V232</f>
        <v>6.4499999999998181</v>
      </c>
      <c r="W462" s="170" t="s">
        <v>454</v>
      </c>
      <c r="X462" s="57">
        <f>X250</f>
        <v>11.791499476855103</v>
      </c>
      <c r="Y462" s="57">
        <f>Y250</f>
        <v>40.478500523144852</v>
      </c>
      <c r="AC462" s="170" t="s">
        <v>454</v>
      </c>
      <c r="AD462" s="57">
        <f>AK232</f>
        <v>128.94</v>
      </c>
      <c r="AE462" s="57">
        <f>AL232</f>
        <v>286.95999999999998</v>
      </c>
      <c r="AF462" s="57">
        <f>AK234</f>
        <v>124.14999999999999</v>
      </c>
      <c r="AG462" s="57">
        <f>AL234</f>
        <v>283.41000000000003</v>
      </c>
      <c r="AH462" s="57">
        <f>AI232</f>
        <v>1.8700000000000045</v>
      </c>
      <c r="AJ462" s="170" t="s">
        <v>454</v>
      </c>
      <c r="AK462" s="57">
        <f>AK250</f>
        <v>3.1653700408751972</v>
      </c>
      <c r="AL462" s="57">
        <f>AL250</f>
        <v>7.0446299591247605</v>
      </c>
    </row>
    <row r="463" spans="2:38" x14ac:dyDescent="0.3">
      <c r="C463" s="171" t="s">
        <v>388</v>
      </c>
      <c r="D463" s="57">
        <f>K257</f>
        <v>20401.489999999998</v>
      </c>
      <c r="E463" s="57">
        <f>L257</f>
        <v>4246.3</v>
      </c>
      <c r="F463" s="57">
        <f>K259</f>
        <v>19691.849999999999</v>
      </c>
      <c r="G463" s="57">
        <f>L259</f>
        <v>4029.74</v>
      </c>
      <c r="H463" s="57">
        <f>I257</f>
        <v>108.15999999999985</v>
      </c>
      <c r="J463" s="171" t="s">
        <v>388</v>
      </c>
      <c r="K463" s="57">
        <f>K275</f>
        <v>856.16135143962208</v>
      </c>
      <c r="L463" s="57">
        <f>L275</f>
        <v>178.19864856037805</v>
      </c>
      <c r="P463" s="171" t="s">
        <v>388</v>
      </c>
      <c r="Q463" s="57">
        <f>X257</f>
        <v>282.39</v>
      </c>
      <c r="R463" s="57">
        <f>Y257</f>
        <v>1179.93</v>
      </c>
      <c r="S463" s="57">
        <f>X259</f>
        <v>261</v>
      </c>
      <c r="T463" s="57">
        <f>Y259</f>
        <v>1163.03</v>
      </c>
      <c r="U463" s="57">
        <f>V257</f>
        <v>6.4400000000000546</v>
      </c>
      <c r="W463" s="171" t="s">
        <v>388</v>
      </c>
      <c r="X463" s="57">
        <f>X275</f>
        <v>8.6378526587888054</v>
      </c>
      <c r="Y463" s="57">
        <f>Y275</f>
        <v>36.092147341211358</v>
      </c>
      <c r="AC463" s="171" t="s">
        <v>388</v>
      </c>
      <c r="AD463" s="57">
        <f>AK257</f>
        <v>122.06</v>
      </c>
      <c r="AE463" s="57">
        <f>AL257</f>
        <v>293.85000000000002</v>
      </c>
      <c r="AF463" s="57">
        <f>AK259</f>
        <v>116.81</v>
      </c>
      <c r="AG463" s="57">
        <f>AL259</f>
        <v>289.3</v>
      </c>
      <c r="AH463" s="57">
        <f>AI257</f>
        <v>1.8599999999999568</v>
      </c>
      <c r="AJ463" s="171" t="s">
        <v>388</v>
      </c>
      <c r="AK463" s="57">
        <f>AK275</f>
        <v>3.421941285374229</v>
      </c>
      <c r="AL463" s="57">
        <f>AL275</f>
        <v>8.2380587146257369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DD1B-F647-4EF8-9250-D3CC68F5F319}">
  <dimension ref="A1:Y105"/>
  <sheetViews>
    <sheetView tabSelected="1" topLeftCell="F88" zoomScale="85" zoomScaleNormal="85" workbookViewId="0">
      <selection activeCell="P106" sqref="P106"/>
    </sheetView>
  </sheetViews>
  <sheetFormatPr baseColWidth="10" defaultRowHeight="14.4" x14ac:dyDescent="0.3"/>
  <cols>
    <col min="2" max="2" width="18" customWidth="1"/>
    <col min="3" max="3" width="12.77734375" customWidth="1"/>
    <col min="10" max="10" width="16.109375" customWidth="1"/>
    <col min="18" max="18" width="15.77734375" customWidth="1"/>
  </cols>
  <sheetData>
    <row r="1" spans="1:24" x14ac:dyDescent="0.3">
      <c r="B1" s="16" t="s">
        <v>780</v>
      </c>
      <c r="C1" s="244">
        <v>1</v>
      </c>
      <c r="D1" s="245">
        <v>2</v>
      </c>
    </row>
    <row r="2" spans="1:24" x14ac:dyDescent="0.3">
      <c r="B2" s="244">
        <v>1</v>
      </c>
      <c r="C2" s="246">
        <v>101</v>
      </c>
      <c r="D2" s="247">
        <v>102</v>
      </c>
      <c r="J2" s="130" t="s">
        <v>636</v>
      </c>
      <c r="K2" s="137">
        <f>RRB_all!K3</f>
        <v>24755.95</v>
      </c>
    </row>
    <row r="3" spans="1:24" x14ac:dyDescent="0.3">
      <c r="B3" s="245">
        <v>2</v>
      </c>
      <c r="C3" s="248">
        <v>201</v>
      </c>
      <c r="D3" s="249">
        <v>202</v>
      </c>
      <c r="J3" s="130" t="s">
        <v>714</v>
      </c>
      <c r="K3" s="137">
        <f>RRB_all!K4</f>
        <v>1468.76</v>
      </c>
    </row>
    <row r="4" spans="1:24" x14ac:dyDescent="0.3">
      <c r="J4" s="130" t="s">
        <v>768</v>
      </c>
      <c r="K4" s="137">
        <f>RRB_PA_HC!N4</f>
        <v>417.77</v>
      </c>
    </row>
    <row r="6" spans="1:24" x14ac:dyDescent="0.3">
      <c r="A6" t="s">
        <v>781</v>
      </c>
      <c r="B6" s="118" t="s">
        <v>782</v>
      </c>
      <c r="C6" s="119" t="s">
        <v>816</v>
      </c>
      <c r="D6" s="119"/>
      <c r="E6" s="115"/>
      <c r="F6" s="115"/>
      <c r="G6" s="115"/>
      <c r="H6" s="115"/>
      <c r="J6" s="118" t="s">
        <v>782</v>
      </c>
      <c r="K6" s="119" t="s">
        <v>821</v>
      </c>
      <c r="L6" s="119"/>
      <c r="M6" s="115"/>
      <c r="N6" s="115"/>
      <c r="O6" s="115"/>
      <c r="P6" s="115"/>
      <c r="R6" s="118" t="s">
        <v>782</v>
      </c>
      <c r="S6" s="119" t="s">
        <v>826</v>
      </c>
      <c r="T6" s="119"/>
      <c r="U6" s="115"/>
      <c r="V6" s="115"/>
      <c r="W6" s="115"/>
      <c r="X6" s="115"/>
    </row>
    <row r="7" spans="1:24" x14ac:dyDescent="0.3">
      <c r="A7" t="s">
        <v>783</v>
      </c>
      <c r="B7" s="119" t="s">
        <v>817</v>
      </c>
      <c r="C7" s="107" t="s">
        <v>784</v>
      </c>
      <c r="D7" s="250" t="s">
        <v>785</v>
      </c>
      <c r="E7" s="251" t="s">
        <v>786</v>
      </c>
      <c r="F7" s="115"/>
      <c r="G7" s="115"/>
      <c r="H7" s="252" t="s">
        <v>787</v>
      </c>
      <c r="J7" s="119" t="s">
        <v>822</v>
      </c>
      <c r="K7" s="107" t="s">
        <v>784</v>
      </c>
      <c r="L7" s="250" t="s">
        <v>785</v>
      </c>
      <c r="M7" s="251" t="s">
        <v>786</v>
      </c>
      <c r="N7" s="115"/>
      <c r="O7" s="115"/>
      <c r="P7" s="252" t="s">
        <v>787</v>
      </c>
      <c r="R7" s="119" t="s">
        <v>827</v>
      </c>
      <c r="S7" s="107" t="s">
        <v>784</v>
      </c>
      <c r="T7" s="250" t="s">
        <v>785</v>
      </c>
      <c r="U7" s="251" t="s">
        <v>786</v>
      </c>
      <c r="V7" s="115"/>
      <c r="W7" s="115"/>
      <c r="X7" s="252" t="s">
        <v>787</v>
      </c>
    </row>
    <row r="8" spans="1:24" x14ac:dyDescent="0.3">
      <c r="B8" s="107"/>
      <c r="C8" s="213" t="s">
        <v>785</v>
      </c>
      <c r="D8" s="253">
        <v>13358.12</v>
      </c>
      <c r="E8" s="254">
        <v>1206.18</v>
      </c>
      <c r="F8" s="116">
        <f>D8+E8</f>
        <v>14564.300000000001</v>
      </c>
      <c r="G8" s="116"/>
      <c r="H8" s="255">
        <f>E8-D9</f>
        <v>212.60000000000002</v>
      </c>
      <c r="J8" s="115"/>
      <c r="K8" s="213" t="s">
        <v>785</v>
      </c>
      <c r="L8" s="253">
        <v>0</v>
      </c>
      <c r="M8" s="254">
        <v>0</v>
      </c>
      <c r="N8" s="116">
        <f>L8+M8</f>
        <v>0</v>
      </c>
      <c r="O8" s="116"/>
      <c r="P8" s="255">
        <f>M8-L9</f>
        <v>0</v>
      </c>
      <c r="R8" s="115"/>
      <c r="S8" s="213" t="s">
        <v>785</v>
      </c>
      <c r="T8" s="253">
        <v>86.32</v>
      </c>
      <c r="U8" s="254">
        <v>46.07</v>
      </c>
      <c r="V8" s="116">
        <f>T8+U8</f>
        <v>132.38999999999999</v>
      </c>
      <c r="W8" s="116"/>
      <c r="X8" s="255">
        <f>U8-T9</f>
        <v>6.740000000000002</v>
      </c>
    </row>
    <row r="9" spans="1:24" x14ac:dyDescent="0.3">
      <c r="B9" s="107"/>
      <c r="C9" s="256" t="s">
        <v>786</v>
      </c>
      <c r="D9" s="257">
        <v>993.58</v>
      </c>
      <c r="E9" s="258">
        <v>899.12</v>
      </c>
      <c r="F9" s="116">
        <f>D9+E9</f>
        <v>1892.7</v>
      </c>
      <c r="G9" s="116"/>
      <c r="H9" s="115"/>
      <c r="J9" s="107"/>
      <c r="K9" s="256" t="s">
        <v>786</v>
      </c>
      <c r="L9" s="257">
        <v>0</v>
      </c>
      <c r="M9" s="258">
        <v>0</v>
      </c>
      <c r="N9" s="116">
        <f>L9+M9</f>
        <v>0</v>
      </c>
      <c r="O9" s="116"/>
      <c r="P9" s="115"/>
      <c r="R9" s="107"/>
      <c r="S9" s="256" t="s">
        <v>786</v>
      </c>
      <c r="T9" s="257">
        <v>39.33</v>
      </c>
      <c r="U9" s="258">
        <v>72.73</v>
      </c>
      <c r="V9" s="116">
        <f>T9+U9</f>
        <v>112.06</v>
      </c>
      <c r="W9" s="116"/>
      <c r="X9" s="115"/>
    </row>
    <row r="10" spans="1:24" x14ac:dyDescent="0.3">
      <c r="B10" s="107"/>
      <c r="C10" s="107"/>
      <c r="D10" s="116">
        <f>D8+D9</f>
        <v>14351.7</v>
      </c>
      <c r="E10" s="116">
        <f>E8+E9</f>
        <v>2105.3000000000002</v>
      </c>
      <c r="F10" s="259">
        <f>SUM(D8:E9)</f>
        <v>16457</v>
      </c>
      <c r="G10" s="260"/>
      <c r="H10" s="261">
        <f>F10/$K$2</f>
        <v>0.6647694796604452</v>
      </c>
      <c r="J10" s="107"/>
      <c r="K10" s="107"/>
      <c r="L10" s="116">
        <f>L8+L9</f>
        <v>0</v>
      </c>
      <c r="M10" s="116">
        <f>M8+M9</f>
        <v>0</v>
      </c>
      <c r="N10" s="259">
        <f>SUM(L8:M9)</f>
        <v>0</v>
      </c>
      <c r="O10" s="260"/>
      <c r="P10" s="261">
        <f>N10/$K$3</f>
        <v>0</v>
      </c>
      <c r="R10" s="107"/>
      <c r="S10" s="107"/>
      <c r="T10" s="116">
        <f>T8+T9</f>
        <v>125.64999999999999</v>
      </c>
      <c r="U10" s="116">
        <f>U8+U9</f>
        <v>118.80000000000001</v>
      </c>
      <c r="V10" s="259">
        <f>SUM(T8:U9)</f>
        <v>244.45</v>
      </c>
      <c r="W10" s="260"/>
      <c r="X10" s="261">
        <f>V10/$K$4</f>
        <v>0.58513057423941406</v>
      </c>
    </row>
    <row r="11" spans="1:24" x14ac:dyDescent="0.3">
      <c r="B11" s="107" t="s">
        <v>788</v>
      </c>
      <c r="C11" s="107"/>
      <c r="D11" s="262" t="s">
        <v>789</v>
      </c>
      <c r="E11" s="263"/>
      <c r="F11" s="125">
        <f>$K$2-F10</f>
        <v>8298.9500000000007</v>
      </c>
      <c r="G11" s="125"/>
      <c r="H11" s="150">
        <f>F11/$K$2</f>
        <v>0.33523052033955475</v>
      </c>
      <c r="J11" s="107" t="s">
        <v>788</v>
      </c>
      <c r="K11" s="107"/>
      <c r="L11" s="262" t="s">
        <v>789</v>
      </c>
      <c r="M11" s="263"/>
      <c r="N11" s="125">
        <f>$K$3-N10</f>
        <v>1468.76</v>
      </c>
      <c r="O11" s="125"/>
      <c r="P11" s="150">
        <f>N11/$K$3</f>
        <v>1</v>
      </c>
      <c r="R11" s="107" t="s">
        <v>788</v>
      </c>
      <c r="S11" s="107"/>
      <c r="T11" s="262" t="s">
        <v>789</v>
      </c>
      <c r="U11" s="263"/>
      <c r="V11" s="125">
        <f>$K$4-V10</f>
        <v>173.32</v>
      </c>
      <c r="W11" s="125"/>
      <c r="X11" s="150">
        <f>V11/$K$4</f>
        <v>0.414869425760586</v>
      </c>
    </row>
    <row r="12" spans="1:24" x14ac:dyDescent="0.3">
      <c r="B12" s="107"/>
      <c r="C12" s="107" t="s">
        <v>790</v>
      </c>
      <c r="D12" s="264" t="s">
        <v>785</v>
      </c>
      <c r="E12" s="265" t="s">
        <v>786</v>
      </c>
      <c r="F12" s="115"/>
      <c r="G12" s="115"/>
      <c r="H12" s="252" t="s">
        <v>787</v>
      </c>
      <c r="J12" s="107"/>
      <c r="K12" s="107" t="s">
        <v>790</v>
      </c>
      <c r="L12" s="264" t="s">
        <v>785</v>
      </c>
      <c r="M12" s="265" t="s">
        <v>786</v>
      </c>
      <c r="N12" s="115"/>
      <c r="O12" s="115"/>
      <c r="P12" s="252" t="s">
        <v>787</v>
      </c>
      <c r="R12" s="107"/>
      <c r="S12" s="107" t="s">
        <v>790</v>
      </c>
      <c r="T12" s="264" t="s">
        <v>785</v>
      </c>
      <c r="U12" s="265" t="s">
        <v>786</v>
      </c>
      <c r="V12" s="115"/>
      <c r="W12" s="115"/>
      <c r="X12" s="252" t="s">
        <v>787</v>
      </c>
    </row>
    <row r="13" spans="1:24" x14ac:dyDescent="0.3">
      <c r="B13" s="107"/>
      <c r="C13" s="213" t="s">
        <v>785</v>
      </c>
      <c r="D13" s="266">
        <f>D8/$F$10</f>
        <v>0.81169836543719998</v>
      </c>
      <c r="E13" s="267">
        <f>E8/$F$10</f>
        <v>7.3292823722428152E-2</v>
      </c>
      <c r="F13" s="145">
        <f>D13+E13</f>
        <v>0.88499118915962816</v>
      </c>
      <c r="G13" s="145"/>
      <c r="H13" s="268">
        <f>E13-D14</f>
        <v>1.2918514917664221E-2</v>
      </c>
      <c r="J13" s="107"/>
      <c r="K13" s="213" t="s">
        <v>785</v>
      </c>
      <c r="L13" s="266" t="e">
        <f>L8/$N$10</f>
        <v>#DIV/0!</v>
      </c>
      <c r="M13" s="267" t="e">
        <f>M8/$N$10</f>
        <v>#DIV/0!</v>
      </c>
      <c r="N13" s="145" t="e">
        <f>L13+M13</f>
        <v>#DIV/0!</v>
      </c>
      <c r="O13" s="145"/>
      <c r="P13" s="268" t="e">
        <f>M13-L14</f>
        <v>#DIV/0!</v>
      </c>
      <c r="R13" s="107"/>
      <c r="S13" s="213" t="s">
        <v>785</v>
      </c>
      <c r="T13" s="266">
        <f>T8/$V$10</f>
        <v>0.35311924728983429</v>
      </c>
      <c r="U13" s="267">
        <f>U8/$V$10</f>
        <v>0.1884638985477603</v>
      </c>
      <c r="V13" s="145">
        <f>T13+U13</f>
        <v>0.54158314583759459</v>
      </c>
      <c r="W13" s="145"/>
      <c r="X13" s="268">
        <f>U13-T14</f>
        <v>2.757210063407653E-2</v>
      </c>
    </row>
    <row r="14" spans="1:24" x14ac:dyDescent="0.3">
      <c r="B14" s="107"/>
      <c r="C14" s="269" t="s">
        <v>786</v>
      </c>
      <c r="D14" s="270">
        <f>D9/$F$10</f>
        <v>6.0374308804763931E-2</v>
      </c>
      <c r="E14" s="271">
        <f>E9/$F$10</f>
        <v>5.4634502035607949E-2</v>
      </c>
      <c r="F14" s="145">
        <f>D14+E14</f>
        <v>0.11500881084037187</v>
      </c>
      <c r="G14" s="145"/>
      <c r="H14" s="272">
        <f>F13+F14</f>
        <v>1</v>
      </c>
      <c r="J14" s="107"/>
      <c r="K14" s="269" t="s">
        <v>786</v>
      </c>
      <c r="L14" s="270" t="e">
        <f>L9/$N$10</f>
        <v>#DIV/0!</v>
      </c>
      <c r="M14" s="271" t="e">
        <f>M9/$N$10</f>
        <v>#DIV/0!</v>
      </c>
      <c r="N14" s="145" t="e">
        <f>L14+M14</f>
        <v>#DIV/0!</v>
      </c>
      <c r="O14" s="145"/>
      <c r="P14" s="272" t="e">
        <f>N13+N14</f>
        <v>#DIV/0!</v>
      </c>
      <c r="R14" s="107"/>
      <c r="S14" s="269" t="s">
        <v>786</v>
      </c>
      <c r="T14" s="270">
        <f>T9/$V$10</f>
        <v>0.16089179791368377</v>
      </c>
      <c r="U14" s="271">
        <f>U9/$V$10</f>
        <v>0.29752505624872166</v>
      </c>
      <c r="V14" s="145">
        <f>T14+U14</f>
        <v>0.45841685416240541</v>
      </c>
      <c r="W14" s="145"/>
      <c r="X14" s="272">
        <f>V13+V14</f>
        <v>1</v>
      </c>
    </row>
    <row r="15" spans="1:24" x14ac:dyDescent="0.3">
      <c r="B15" s="107"/>
      <c r="C15" s="107"/>
      <c r="D15" s="107"/>
      <c r="E15" s="107"/>
      <c r="F15" s="107"/>
      <c r="G15" s="107"/>
      <c r="H15" s="107"/>
      <c r="J15" s="107"/>
      <c r="K15" s="107"/>
      <c r="L15" s="107"/>
      <c r="M15" s="107"/>
      <c r="N15" s="107"/>
      <c r="O15" s="107"/>
      <c r="P15" s="107"/>
      <c r="R15" s="107"/>
      <c r="S15" s="107"/>
      <c r="T15" s="107"/>
      <c r="U15" s="107"/>
      <c r="V15" s="107"/>
      <c r="W15" s="107"/>
      <c r="X15" s="107"/>
    </row>
    <row r="16" spans="1:24" x14ac:dyDescent="0.3">
      <c r="B16" s="107"/>
      <c r="C16" s="107" t="s">
        <v>791</v>
      </c>
      <c r="D16" s="264" t="s">
        <v>785</v>
      </c>
      <c r="E16" s="265" t="s">
        <v>786</v>
      </c>
      <c r="F16" s="115"/>
      <c r="G16" s="115"/>
      <c r="H16" s="252" t="s">
        <v>787</v>
      </c>
      <c r="J16" s="107"/>
      <c r="K16" s="107" t="s">
        <v>791</v>
      </c>
      <c r="L16" s="264" t="s">
        <v>785</v>
      </c>
      <c r="M16" s="265" t="s">
        <v>786</v>
      </c>
      <c r="N16" s="115"/>
      <c r="O16" s="115"/>
      <c r="P16" s="252" t="s">
        <v>787</v>
      </c>
      <c r="R16" s="107"/>
      <c r="S16" s="107" t="s">
        <v>791</v>
      </c>
      <c r="T16" s="264" t="s">
        <v>785</v>
      </c>
      <c r="U16" s="265" t="s">
        <v>786</v>
      </c>
      <c r="V16" s="115"/>
      <c r="W16" s="115"/>
      <c r="X16" s="252" t="s">
        <v>787</v>
      </c>
    </row>
    <row r="17" spans="1:24" x14ac:dyDescent="0.3">
      <c r="B17" s="107"/>
      <c r="C17" s="213" t="s">
        <v>785</v>
      </c>
      <c r="D17" s="266">
        <f>D8/$K$2</f>
        <v>0.53959230003292136</v>
      </c>
      <c r="E17" s="267">
        <f>E8/$K$2</f>
        <v>4.8722832288803301E-2</v>
      </c>
      <c r="F17" s="145">
        <f>D17+E17</f>
        <v>0.58831513232172461</v>
      </c>
      <c r="G17" s="145"/>
      <c r="H17" s="268">
        <f>E17-D18</f>
        <v>8.5878344398013437E-3</v>
      </c>
      <c r="J17" s="107"/>
      <c r="K17" s="213" t="s">
        <v>785</v>
      </c>
      <c r="L17" s="266">
        <f>L8/$K$3</f>
        <v>0</v>
      </c>
      <c r="M17" s="267">
        <f>M8/$K$3</f>
        <v>0</v>
      </c>
      <c r="N17" s="145">
        <f>L17+M17</f>
        <v>0</v>
      </c>
      <c r="O17" s="145"/>
      <c r="P17" s="268">
        <f>M17-L18</f>
        <v>0</v>
      </c>
      <c r="R17" s="107"/>
      <c r="S17" s="213" t="s">
        <v>785</v>
      </c>
      <c r="T17" s="266">
        <f>T8/$K$4</f>
        <v>0.20662086794169041</v>
      </c>
      <c r="U17" s="267">
        <f>U8/$K$4</f>
        <v>0.11027598918064964</v>
      </c>
      <c r="V17" s="145">
        <f>T17+U17</f>
        <v>0.31689685712234006</v>
      </c>
      <c r="W17" s="145"/>
      <c r="X17" s="268">
        <f>U17-T18</f>
        <v>1.6133279077004098E-2</v>
      </c>
    </row>
    <row r="18" spans="1:24" x14ac:dyDescent="0.3">
      <c r="B18" s="107"/>
      <c r="C18" s="269" t="s">
        <v>786</v>
      </c>
      <c r="D18" s="270">
        <f>D9/$K$2</f>
        <v>4.0134997849001958E-2</v>
      </c>
      <c r="E18" s="273">
        <f>E9/$K$2</f>
        <v>3.6319349489718634E-2</v>
      </c>
      <c r="F18" s="145">
        <f>D18+E18</f>
        <v>7.6454347338720585E-2</v>
      </c>
      <c r="G18" s="145"/>
      <c r="H18" s="272">
        <f>F17+F18</f>
        <v>0.6647694796604452</v>
      </c>
      <c r="J18" s="107"/>
      <c r="K18" s="269" t="s">
        <v>786</v>
      </c>
      <c r="L18" s="270">
        <f>L9/$K$3</f>
        <v>0</v>
      </c>
      <c r="M18" s="273">
        <f>M9/$K$3</f>
        <v>0</v>
      </c>
      <c r="N18" s="145">
        <f>L18+M18</f>
        <v>0</v>
      </c>
      <c r="O18" s="145"/>
      <c r="P18" s="272">
        <f>N17+N18</f>
        <v>0</v>
      </c>
      <c r="R18" s="107"/>
      <c r="S18" s="269" t="s">
        <v>786</v>
      </c>
      <c r="T18" s="270">
        <f>T9/$K$4</f>
        <v>9.4142710103645541E-2</v>
      </c>
      <c r="U18" s="273">
        <f>U9/$K$4</f>
        <v>0.17409100701342844</v>
      </c>
      <c r="V18" s="145">
        <f>T18+U18</f>
        <v>0.268233717117074</v>
      </c>
      <c r="W18" s="145"/>
      <c r="X18" s="272">
        <f>V17+V18</f>
        <v>0.58513057423941406</v>
      </c>
    </row>
    <row r="19" spans="1:24" x14ac:dyDescent="0.3">
      <c r="B19" s="107"/>
      <c r="C19" s="107"/>
      <c r="D19" s="107"/>
      <c r="E19" s="107"/>
      <c r="F19" s="107"/>
      <c r="G19" s="107"/>
      <c r="H19" s="107"/>
      <c r="J19" s="107"/>
      <c r="K19" s="107"/>
      <c r="L19" s="107"/>
      <c r="M19" s="107"/>
      <c r="N19" s="107"/>
      <c r="O19" s="107"/>
      <c r="P19" s="107"/>
      <c r="R19" s="107"/>
      <c r="S19" s="107"/>
      <c r="T19" s="107"/>
      <c r="U19" s="107"/>
      <c r="V19" s="107"/>
      <c r="W19" s="107"/>
      <c r="X19" s="107"/>
    </row>
    <row r="22" spans="1:24" x14ac:dyDescent="0.3">
      <c r="A22" t="s">
        <v>792</v>
      </c>
      <c r="B22" s="118" t="s">
        <v>793</v>
      </c>
      <c r="C22" s="274" t="s">
        <v>369</v>
      </c>
      <c r="D22" s="274" t="s">
        <v>373</v>
      </c>
      <c r="E22" s="274" t="s">
        <v>380</v>
      </c>
      <c r="F22" s="274" t="s">
        <v>384</v>
      </c>
      <c r="G22" s="274"/>
      <c r="H22" s="119"/>
      <c r="J22" s="118" t="s">
        <v>793</v>
      </c>
      <c r="K22" s="274" t="s">
        <v>369</v>
      </c>
      <c r="L22" s="274" t="s">
        <v>373</v>
      </c>
      <c r="M22" s="274" t="s">
        <v>380</v>
      </c>
      <c r="N22" s="274" t="s">
        <v>384</v>
      </c>
      <c r="O22" s="274"/>
      <c r="P22" s="119"/>
      <c r="R22" s="118" t="s">
        <v>793</v>
      </c>
      <c r="S22" s="274" t="s">
        <v>369</v>
      </c>
      <c r="T22" s="274" t="s">
        <v>373</v>
      </c>
      <c r="U22" s="274" t="s">
        <v>380</v>
      </c>
      <c r="V22" s="274" t="s">
        <v>384</v>
      </c>
      <c r="W22" s="274"/>
      <c r="X22" s="119"/>
    </row>
    <row r="23" spans="1:24" x14ac:dyDescent="0.3">
      <c r="A23" t="s">
        <v>794</v>
      </c>
      <c r="B23" s="119" t="s">
        <v>818</v>
      </c>
      <c r="C23" s="119"/>
      <c r="D23" s="119"/>
      <c r="E23" s="107" t="s">
        <v>790</v>
      </c>
      <c r="F23" s="107" t="s">
        <v>791</v>
      </c>
      <c r="G23" s="107"/>
      <c r="H23" s="119"/>
      <c r="J23" s="119" t="s">
        <v>823</v>
      </c>
      <c r="K23" s="119"/>
      <c r="L23" s="119"/>
      <c r="M23" s="107" t="s">
        <v>790</v>
      </c>
      <c r="N23" s="107" t="s">
        <v>791</v>
      </c>
      <c r="O23" s="107"/>
      <c r="P23" s="119"/>
      <c r="R23" s="119" t="s">
        <v>828</v>
      </c>
      <c r="S23" s="119"/>
      <c r="T23" s="119"/>
      <c r="U23" s="107" t="s">
        <v>790</v>
      </c>
      <c r="V23" s="107" t="s">
        <v>791</v>
      </c>
      <c r="W23" s="107"/>
      <c r="X23" s="119"/>
    </row>
    <row r="24" spans="1:24" x14ac:dyDescent="0.3">
      <c r="B24" s="119" t="s">
        <v>795</v>
      </c>
      <c r="C24" s="275">
        <v>1111</v>
      </c>
      <c r="D24" s="276">
        <v>15401.24</v>
      </c>
      <c r="E24" s="277">
        <f>D24/D$40</f>
        <v>0.75300566860052942</v>
      </c>
      <c r="F24" s="277">
        <f>D24/$K$2</f>
        <v>0.62212276240661335</v>
      </c>
      <c r="G24" s="278"/>
      <c r="H24" s="119"/>
      <c r="J24" s="119" t="s">
        <v>795</v>
      </c>
      <c r="K24" s="279">
        <v>1111</v>
      </c>
      <c r="L24" s="280">
        <v>117.1</v>
      </c>
      <c r="M24" s="277">
        <f>L24/L$40</f>
        <v>8.6346107051475843E-2</v>
      </c>
      <c r="N24" s="277">
        <f>L24/$K$3</f>
        <v>7.9727116751545521E-2</v>
      </c>
      <c r="O24" s="278"/>
      <c r="P24" s="119"/>
      <c r="R24" s="281" t="s">
        <v>795</v>
      </c>
      <c r="S24" s="279">
        <v>1111</v>
      </c>
      <c r="T24" s="280">
        <v>94.07</v>
      </c>
      <c r="U24" s="277">
        <f>T24/T$40</f>
        <v>0.32830768156912016</v>
      </c>
      <c r="V24" s="277">
        <f>T24/$K$4</f>
        <v>0.22517174521866098</v>
      </c>
      <c r="W24" s="278"/>
      <c r="X24" s="119"/>
    </row>
    <row r="25" spans="1:24" x14ac:dyDescent="0.3">
      <c r="B25" s="119" t="s">
        <v>796</v>
      </c>
      <c r="C25" s="247">
        <v>1112</v>
      </c>
      <c r="D25" s="282">
        <v>398.38</v>
      </c>
      <c r="E25" s="277">
        <f t="shared" ref="E25:E39" si="0">D25/D$40</f>
        <v>1.9477808167204645E-2</v>
      </c>
      <c r="F25" s="277">
        <f t="shared" ref="F25:F39" si="1">D25/$K$2</f>
        <v>1.6092292963913724E-2</v>
      </c>
      <c r="G25" s="278"/>
      <c r="H25" s="119"/>
      <c r="J25" s="119" t="s">
        <v>796</v>
      </c>
      <c r="K25" s="247">
        <v>1112</v>
      </c>
      <c r="L25" s="283">
        <v>56.59</v>
      </c>
      <c r="M25" s="277">
        <f t="shared" ref="M25:M39" si="2">L25/L$40</f>
        <v>4.1727806985849859E-2</v>
      </c>
      <c r="N25" s="277">
        <f t="shared" ref="N25:N39" si="3">L25/$K$3</f>
        <v>3.8529099376344675E-2</v>
      </c>
      <c r="O25" s="278"/>
      <c r="P25" s="119"/>
      <c r="R25" s="281" t="s">
        <v>796</v>
      </c>
      <c r="S25" s="284">
        <v>1112</v>
      </c>
      <c r="T25" s="283">
        <v>9.74</v>
      </c>
      <c r="U25" s="277">
        <f t="shared" ref="U25:U39" si="4">T25/T$40</f>
        <v>3.3992950127386318E-2</v>
      </c>
      <c r="V25" s="277">
        <f t="shared" ref="V25:V39" si="5">T25/$K$4</f>
        <v>2.3314263829379803E-2</v>
      </c>
      <c r="W25" s="278"/>
      <c r="X25" s="119"/>
    </row>
    <row r="26" spans="1:24" x14ac:dyDescent="0.3">
      <c r="B26" s="119" t="s">
        <v>797</v>
      </c>
      <c r="C26" s="285">
        <v>1121</v>
      </c>
      <c r="D26" s="286">
        <v>180.72</v>
      </c>
      <c r="E26" s="277">
        <f t="shared" si="0"/>
        <v>8.8358589587258993E-3</v>
      </c>
      <c r="F26" s="277">
        <f t="shared" si="1"/>
        <v>7.3000632171255795E-3</v>
      </c>
      <c r="G26" s="278"/>
      <c r="H26" s="119"/>
      <c r="J26" s="119" t="s">
        <v>797</v>
      </c>
      <c r="K26" s="279">
        <v>1121</v>
      </c>
      <c r="L26" s="280">
        <v>0.49</v>
      </c>
      <c r="M26" s="277">
        <f t="shared" si="2"/>
        <v>3.6131163497201676E-4</v>
      </c>
      <c r="N26" s="277">
        <f t="shared" si="3"/>
        <v>3.3361474985702227E-4</v>
      </c>
      <c r="O26" s="278"/>
      <c r="P26" s="119"/>
      <c r="R26" s="281" t="s">
        <v>797</v>
      </c>
      <c r="S26" s="279">
        <v>1121</v>
      </c>
      <c r="T26" s="280">
        <v>1.72</v>
      </c>
      <c r="U26" s="277">
        <f t="shared" si="4"/>
        <v>6.0028618294768439E-3</v>
      </c>
      <c r="V26" s="277">
        <f t="shared" si="5"/>
        <v>4.1170979246954063E-3</v>
      </c>
      <c r="W26" s="278"/>
      <c r="X26" s="119"/>
    </row>
    <row r="27" spans="1:24" x14ac:dyDescent="0.3">
      <c r="B27" s="119" t="s">
        <v>796</v>
      </c>
      <c r="C27" s="247">
        <v>1122</v>
      </c>
      <c r="D27" s="282">
        <v>266.66000000000003</v>
      </c>
      <c r="E27" s="277">
        <f t="shared" si="0"/>
        <v>1.3037683432568883E-2</v>
      </c>
      <c r="F27" s="277">
        <f t="shared" si="1"/>
        <v>1.0771551889545747E-2</v>
      </c>
      <c r="G27" s="278"/>
      <c r="H27" s="119"/>
      <c r="J27" s="119" t="s">
        <v>796</v>
      </c>
      <c r="K27" s="247">
        <v>1122</v>
      </c>
      <c r="L27" s="283">
        <v>8.2799999999999994</v>
      </c>
      <c r="M27" s="277">
        <f t="shared" si="2"/>
        <v>6.1054292603434663E-3</v>
      </c>
      <c r="N27" s="277">
        <f t="shared" si="3"/>
        <v>5.6374084261553957E-3</v>
      </c>
      <c r="O27" s="278"/>
      <c r="P27" s="119"/>
      <c r="R27" s="281" t="s">
        <v>796</v>
      </c>
      <c r="S27" s="284">
        <v>1122</v>
      </c>
      <c r="T27" s="283">
        <v>6.2</v>
      </c>
      <c r="U27" s="277">
        <f t="shared" si="4"/>
        <v>2.1638222873695601E-2</v>
      </c>
      <c r="V27" s="277">
        <f t="shared" si="5"/>
        <v>1.4840701821576466E-2</v>
      </c>
      <c r="W27" s="278"/>
      <c r="X27" s="119"/>
    </row>
    <row r="28" spans="1:24" x14ac:dyDescent="0.3">
      <c r="B28" s="119" t="s">
        <v>797</v>
      </c>
      <c r="C28" s="246">
        <v>1211</v>
      </c>
      <c r="D28" s="287">
        <v>276.14</v>
      </c>
      <c r="E28" s="277">
        <f t="shared" si="0"/>
        <v>1.3501184666127543E-2</v>
      </c>
      <c r="F28" s="277">
        <f t="shared" si="1"/>
        <v>1.1154490132675174E-2</v>
      </c>
      <c r="G28" s="278"/>
      <c r="H28" s="119"/>
      <c r="J28" s="281" t="s">
        <v>797</v>
      </c>
      <c r="K28" s="279">
        <v>1211</v>
      </c>
      <c r="L28" s="280">
        <v>6.25</v>
      </c>
      <c r="M28" s="277">
        <f t="shared" si="2"/>
        <v>4.6085667726022544E-3</v>
      </c>
      <c r="N28" s="277">
        <f t="shared" si="3"/>
        <v>4.2552901767477329E-3</v>
      </c>
      <c r="O28" s="278"/>
      <c r="P28" s="119"/>
      <c r="R28" s="281" t="s">
        <v>797</v>
      </c>
      <c r="S28" s="288">
        <v>1211</v>
      </c>
      <c r="T28" s="280">
        <v>1.23</v>
      </c>
      <c r="U28" s="277">
        <f t="shared" si="4"/>
        <v>4.2927442152654177E-3</v>
      </c>
      <c r="V28" s="277">
        <f t="shared" si="5"/>
        <v>2.9442037484740408E-3</v>
      </c>
      <c r="W28" s="278"/>
      <c r="X28" s="119"/>
    </row>
    <row r="29" spans="1:24" x14ac:dyDescent="0.3">
      <c r="B29" s="119" t="s">
        <v>798</v>
      </c>
      <c r="C29" s="289">
        <v>1212</v>
      </c>
      <c r="D29" s="290">
        <v>111.32</v>
      </c>
      <c r="E29" s="277">
        <f t="shared" si="0"/>
        <v>5.4427170168513004E-3</v>
      </c>
      <c r="F29" s="277">
        <f t="shared" si="1"/>
        <v>4.4966967537097141E-3</v>
      </c>
      <c r="G29" s="278"/>
      <c r="H29" s="119"/>
      <c r="J29" s="281" t="s">
        <v>798</v>
      </c>
      <c r="K29" s="291">
        <v>1212</v>
      </c>
      <c r="L29" s="292">
        <v>18.52</v>
      </c>
      <c r="M29" s="277">
        <f t="shared" si="2"/>
        <v>1.3656105060575E-2</v>
      </c>
      <c r="N29" s="277">
        <f t="shared" si="3"/>
        <v>1.2609275851738882E-2</v>
      </c>
      <c r="O29" s="278"/>
      <c r="P29" s="119"/>
      <c r="R29" s="281" t="s">
        <v>798</v>
      </c>
      <c r="S29" s="293">
        <v>1212</v>
      </c>
      <c r="T29" s="292">
        <v>3.58</v>
      </c>
      <c r="U29" s="277">
        <f t="shared" si="4"/>
        <v>1.2494328691585524E-2</v>
      </c>
      <c r="V29" s="277">
        <f t="shared" si="5"/>
        <v>8.5693084711683468E-3</v>
      </c>
      <c r="W29" s="278"/>
      <c r="X29" s="119"/>
    </row>
    <row r="30" spans="1:24" x14ac:dyDescent="0.3">
      <c r="B30" s="119" t="s">
        <v>799</v>
      </c>
      <c r="C30" s="289">
        <v>1221</v>
      </c>
      <c r="D30" s="294">
        <v>91.39</v>
      </c>
      <c r="E30" s="277">
        <f t="shared" si="0"/>
        <v>4.4682887906040284E-3</v>
      </c>
      <c r="F30" s="277">
        <f t="shared" si="1"/>
        <v>3.6916377678901436E-3</v>
      </c>
      <c r="G30" s="278"/>
      <c r="H30" s="119"/>
      <c r="J30" s="281" t="s">
        <v>799</v>
      </c>
      <c r="K30" s="295">
        <v>1221</v>
      </c>
      <c r="L30" s="292">
        <v>2.44</v>
      </c>
      <c r="M30" s="277">
        <f t="shared" si="2"/>
        <v>1.7991844680239201E-3</v>
      </c>
      <c r="N30" s="277">
        <f t="shared" si="3"/>
        <v>1.6612652850023148E-3</v>
      </c>
      <c r="O30" s="278"/>
      <c r="P30" s="119"/>
      <c r="R30" s="281" t="s">
        <v>799</v>
      </c>
      <c r="S30" s="296">
        <v>1221</v>
      </c>
      <c r="T30" s="297">
        <v>1.92</v>
      </c>
      <c r="U30" s="277">
        <f t="shared" si="4"/>
        <v>6.7008690189508955E-3</v>
      </c>
      <c r="V30" s="277">
        <f t="shared" si="5"/>
        <v>4.5958302415204542E-3</v>
      </c>
      <c r="W30" s="278"/>
      <c r="X30" s="119"/>
    </row>
    <row r="31" spans="1:24" x14ac:dyDescent="0.3">
      <c r="B31" s="119" t="s">
        <v>796</v>
      </c>
      <c r="C31" s="247">
        <v>1222</v>
      </c>
      <c r="D31" s="298">
        <v>762.32</v>
      </c>
      <c r="E31" s="277">
        <f t="shared" si="0"/>
        <v>3.7271757422620233E-2</v>
      </c>
      <c r="F31" s="277">
        <f t="shared" si="1"/>
        <v>3.0793405221774969E-2</v>
      </c>
      <c r="G31" s="278"/>
      <c r="H31" s="119"/>
      <c r="J31" s="119" t="s">
        <v>796</v>
      </c>
      <c r="K31" s="247">
        <v>1222</v>
      </c>
      <c r="L31" s="283">
        <v>69.540000000000006</v>
      </c>
      <c r="M31" s="277">
        <f t="shared" si="2"/>
        <v>5.1276757338681728E-2</v>
      </c>
      <c r="N31" s="277">
        <f t="shared" si="3"/>
        <v>4.734606062256598E-2</v>
      </c>
      <c r="O31" s="278"/>
      <c r="P31" s="119"/>
      <c r="R31" s="119" t="s">
        <v>796</v>
      </c>
      <c r="S31" s="247">
        <v>1222</v>
      </c>
      <c r="T31" s="299">
        <v>25.95</v>
      </c>
      <c r="U31" s="277">
        <f t="shared" si="4"/>
        <v>9.0566432834258193E-2</v>
      </c>
      <c r="V31" s="277">
        <f t="shared" si="5"/>
        <v>6.2115518108049883E-2</v>
      </c>
      <c r="W31" s="278"/>
      <c r="X31" s="119"/>
    </row>
    <row r="32" spans="1:24" x14ac:dyDescent="0.3">
      <c r="B32" s="119" t="s">
        <v>800</v>
      </c>
      <c r="C32" s="300">
        <v>2111</v>
      </c>
      <c r="D32" s="301">
        <v>443.26</v>
      </c>
      <c r="E32" s="277">
        <f t="shared" si="0"/>
        <v>2.1672105146330469E-2</v>
      </c>
      <c r="F32" s="277">
        <f t="shared" si="1"/>
        <v>1.7905190469361908E-2</v>
      </c>
      <c r="G32" s="278"/>
      <c r="H32" s="119"/>
      <c r="J32" s="119" t="s">
        <v>800</v>
      </c>
      <c r="K32" s="248">
        <v>2111</v>
      </c>
      <c r="L32" s="302">
        <v>9.31</v>
      </c>
      <c r="M32" s="277">
        <f t="shared" si="2"/>
        <v>6.8649210644683191E-3</v>
      </c>
      <c r="N32" s="277">
        <f t="shared" si="3"/>
        <v>6.3386802472834231E-3</v>
      </c>
      <c r="O32" s="278"/>
      <c r="P32" s="119"/>
      <c r="R32" s="119" t="s">
        <v>800</v>
      </c>
      <c r="S32" s="248">
        <v>2111</v>
      </c>
      <c r="T32" s="302">
        <v>1.1000000000000001</v>
      </c>
      <c r="U32" s="277">
        <f t="shared" si="4"/>
        <v>3.8390395421072842E-3</v>
      </c>
      <c r="V32" s="277">
        <f t="shared" si="5"/>
        <v>2.6330277425377605E-3</v>
      </c>
      <c r="W32" s="278"/>
      <c r="X32" s="119"/>
    </row>
    <row r="33" spans="2:24" x14ac:dyDescent="0.3">
      <c r="B33" s="119" t="s">
        <v>799</v>
      </c>
      <c r="C33" s="303">
        <v>2112</v>
      </c>
      <c r="D33" s="304">
        <v>43.9</v>
      </c>
      <c r="E33" s="277">
        <f t="shared" si="0"/>
        <v>2.146382294644018E-3</v>
      </c>
      <c r="F33" s="277">
        <f t="shared" si="1"/>
        <v>1.773311062593033E-3</v>
      </c>
      <c r="G33" s="278"/>
      <c r="H33" s="119"/>
      <c r="J33" s="119" t="s">
        <v>799</v>
      </c>
      <c r="K33" s="295">
        <v>2112</v>
      </c>
      <c r="L33" s="292">
        <v>1.28</v>
      </c>
      <c r="M33" s="277">
        <f t="shared" si="2"/>
        <v>9.438344750289418E-4</v>
      </c>
      <c r="N33" s="277">
        <f t="shared" si="3"/>
        <v>8.714834281979357E-4</v>
      </c>
      <c r="O33" s="278"/>
      <c r="P33" s="119"/>
      <c r="R33" s="119" t="s">
        <v>799</v>
      </c>
      <c r="S33" s="305">
        <v>2112</v>
      </c>
      <c r="T33" s="292">
        <v>0.8</v>
      </c>
      <c r="U33" s="277">
        <f t="shared" si="4"/>
        <v>2.7920287578962069E-3</v>
      </c>
      <c r="V33" s="277">
        <f t="shared" si="5"/>
        <v>1.9149292673001893E-3</v>
      </c>
      <c r="W33" s="278"/>
      <c r="X33" s="119"/>
    </row>
    <row r="34" spans="2:24" x14ac:dyDescent="0.3">
      <c r="B34" s="119" t="s">
        <v>798</v>
      </c>
      <c r="C34" s="306">
        <v>2121</v>
      </c>
      <c r="D34" s="307">
        <v>31.63</v>
      </c>
      <c r="E34" s="277">
        <f t="shared" si="0"/>
        <v>1.5464708879177743E-3</v>
      </c>
      <c r="F34" s="277">
        <f t="shared" si="1"/>
        <v>1.2776726403147525E-3</v>
      </c>
      <c r="G34" s="278"/>
      <c r="H34" s="119"/>
      <c r="J34" s="119" t="s">
        <v>798</v>
      </c>
      <c r="K34" s="306">
        <v>2121</v>
      </c>
      <c r="L34" s="297">
        <v>1.32</v>
      </c>
      <c r="M34" s="277">
        <f t="shared" si="2"/>
        <v>9.733293023735962E-4</v>
      </c>
      <c r="N34" s="277">
        <f t="shared" si="3"/>
        <v>8.9871728532912116E-4</v>
      </c>
      <c r="O34" s="278"/>
      <c r="P34" s="119"/>
      <c r="R34" s="119" t="s">
        <v>798</v>
      </c>
      <c r="S34" s="291">
        <v>2121</v>
      </c>
      <c r="T34" s="308"/>
      <c r="U34" s="277">
        <f t="shared" si="4"/>
        <v>0</v>
      </c>
      <c r="V34" s="277">
        <f t="shared" si="5"/>
        <v>0</v>
      </c>
      <c r="W34" s="278"/>
      <c r="X34" s="119"/>
    </row>
    <row r="35" spans="2:24" x14ac:dyDescent="0.3">
      <c r="B35" s="119" t="s">
        <v>801</v>
      </c>
      <c r="C35" s="309">
        <v>2122</v>
      </c>
      <c r="D35" s="310">
        <v>95.91</v>
      </c>
      <c r="E35" s="277">
        <f t="shared" si="0"/>
        <v>4.6892830496425468E-3</v>
      </c>
      <c r="F35" s="277">
        <f t="shared" si="1"/>
        <v>3.8742201369771708E-3</v>
      </c>
      <c r="G35" s="278"/>
      <c r="H35" s="119"/>
      <c r="J35" s="119" t="s">
        <v>801</v>
      </c>
      <c r="K35" s="311">
        <v>2122</v>
      </c>
      <c r="L35" s="312">
        <v>2.5499999999999998</v>
      </c>
      <c r="M35" s="277">
        <f t="shared" si="2"/>
        <v>1.8802952432217198E-3</v>
      </c>
      <c r="N35" s="277">
        <f t="shared" si="3"/>
        <v>1.7361583921130749E-3</v>
      </c>
      <c r="O35" s="278"/>
      <c r="P35" s="119"/>
      <c r="R35" s="119" t="s">
        <v>801</v>
      </c>
      <c r="S35" s="313">
        <v>2122</v>
      </c>
      <c r="T35" s="312">
        <v>1.42</v>
      </c>
      <c r="U35" s="277">
        <f t="shared" si="4"/>
        <v>4.9558510452657667E-3</v>
      </c>
      <c r="V35" s="277">
        <f t="shared" si="5"/>
        <v>3.3989994494578357E-3</v>
      </c>
      <c r="W35" s="278"/>
      <c r="X35" s="119"/>
    </row>
    <row r="36" spans="2:24" x14ac:dyDescent="0.3">
      <c r="B36" s="119" t="s">
        <v>800</v>
      </c>
      <c r="C36" s="300">
        <v>2211</v>
      </c>
      <c r="D36" s="301">
        <v>174.46</v>
      </c>
      <c r="E36" s="277">
        <f t="shared" si="0"/>
        <v>8.5297916884645893E-3</v>
      </c>
      <c r="F36" s="277">
        <f t="shared" si="1"/>
        <v>7.0471947148059355E-3</v>
      </c>
      <c r="G36" s="278"/>
      <c r="H36" s="119"/>
      <c r="J36" s="119" t="s">
        <v>800</v>
      </c>
      <c r="K36" s="314">
        <v>2211</v>
      </c>
      <c r="L36" s="302">
        <v>13.8</v>
      </c>
      <c r="M36" s="277">
        <f t="shared" si="2"/>
        <v>1.0175715433905779E-2</v>
      </c>
      <c r="N36" s="277">
        <f t="shared" si="3"/>
        <v>9.395680710258994E-3</v>
      </c>
      <c r="O36" s="278"/>
      <c r="P36" s="119"/>
      <c r="R36" s="119" t="s">
        <v>800</v>
      </c>
      <c r="S36" s="248">
        <v>2211</v>
      </c>
      <c r="T36" s="302">
        <v>0.62</v>
      </c>
      <c r="U36" s="277">
        <f t="shared" si="4"/>
        <v>2.1638222873695601E-3</v>
      </c>
      <c r="V36" s="277">
        <f t="shared" si="5"/>
        <v>1.4840701821576467E-3</v>
      </c>
      <c r="W36" s="278"/>
      <c r="X36" s="119"/>
    </row>
    <row r="37" spans="2:24" x14ac:dyDescent="0.3">
      <c r="B37" s="119" t="s">
        <v>801</v>
      </c>
      <c r="C37" s="309">
        <v>2212</v>
      </c>
      <c r="D37" s="310">
        <v>125.61</v>
      </c>
      <c r="E37" s="277">
        <f t="shared" si="0"/>
        <v>6.1413913446522811E-3</v>
      </c>
      <c r="F37" s="277">
        <f t="shared" si="1"/>
        <v>5.0739317214649401E-3</v>
      </c>
      <c r="G37" s="278"/>
      <c r="H37" s="119"/>
      <c r="J37" s="119" t="s">
        <v>801</v>
      </c>
      <c r="K37" s="311">
        <v>2212</v>
      </c>
      <c r="L37" s="315">
        <v>13.64</v>
      </c>
      <c r="M37" s="277">
        <f t="shared" si="2"/>
        <v>1.0057736124527161E-2</v>
      </c>
      <c r="N37" s="277">
        <f t="shared" si="3"/>
        <v>9.286745281734253E-3</v>
      </c>
      <c r="O37" s="278"/>
      <c r="P37" s="119"/>
      <c r="R37" s="119" t="s">
        <v>801</v>
      </c>
      <c r="S37" s="313">
        <v>2212</v>
      </c>
      <c r="T37" s="312">
        <v>2.65</v>
      </c>
      <c r="U37" s="277">
        <f t="shared" si="4"/>
        <v>9.2485952605311835E-3</v>
      </c>
      <c r="V37" s="277">
        <f t="shared" si="5"/>
        <v>6.3432031979318761E-3</v>
      </c>
      <c r="W37" s="278"/>
      <c r="X37" s="119"/>
    </row>
    <row r="38" spans="2:24" x14ac:dyDescent="0.3">
      <c r="B38" s="119" t="s">
        <v>800</v>
      </c>
      <c r="C38" s="300">
        <v>2221</v>
      </c>
      <c r="D38" s="301">
        <v>113.49</v>
      </c>
      <c r="E38" s="277">
        <f t="shared" si="0"/>
        <v>5.5488138182038637E-3</v>
      </c>
      <c r="F38" s="277">
        <f t="shared" si="1"/>
        <v>4.5843524486032647E-3</v>
      </c>
      <c r="G38" s="278"/>
      <c r="H38" s="119"/>
      <c r="J38" s="119" t="s">
        <v>800</v>
      </c>
      <c r="K38" s="314">
        <v>2221</v>
      </c>
      <c r="L38" s="302">
        <v>38.979999999999997</v>
      </c>
      <c r="M38" s="277">
        <f t="shared" si="2"/>
        <v>2.8742709247365741E-2</v>
      </c>
      <c r="N38" s="277">
        <f t="shared" si="3"/>
        <v>2.6539393774340257E-2</v>
      </c>
      <c r="O38" s="278"/>
      <c r="P38" s="119"/>
      <c r="R38" s="119" t="s">
        <v>800</v>
      </c>
      <c r="S38" s="248">
        <v>2221</v>
      </c>
      <c r="T38" s="302">
        <v>4.3899999999999997</v>
      </c>
      <c r="U38" s="277">
        <f t="shared" si="4"/>
        <v>1.5321257808955432E-2</v>
      </c>
      <c r="V38" s="277">
        <f t="shared" si="5"/>
        <v>1.0508174354309787E-2</v>
      </c>
      <c r="W38" s="278"/>
      <c r="X38" s="119"/>
    </row>
    <row r="39" spans="2:24" x14ac:dyDescent="0.3">
      <c r="B39" s="119" t="s">
        <v>802</v>
      </c>
      <c r="C39" s="316">
        <v>2222</v>
      </c>
      <c r="D39" s="317">
        <v>1936.59</v>
      </c>
      <c r="E39" s="277">
        <f t="shared" si="0"/>
        <v>9.4684794714912507E-2</v>
      </c>
      <c r="F39" s="277">
        <f t="shared" si="1"/>
        <v>7.8227254458019174E-2</v>
      </c>
      <c r="G39" s="278"/>
      <c r="H39" s="119"/>
      <c r="J39" s="119" t="s">
        <v>802</v>
      </c>
      <c r="K39" s="318">
        <v>2222</v>
      </c>
      <c r="L39" s="312">
        <v>996.08</v>
      </c>
      <c r="M39" s="277">
        <f t="shared" si="2"/>
        <v>0.73448019053658464</v>
      </c>
      <c r="N39" s="277">
        <f t="shared" si="3"/>
        <v>0.6781775102807811</v>
      </c>
      <c r="O39" s="278"/>
      <c r="P39" s="119"/>
      <c r="R39" s="119" t="s">
        <v>802</v>
      </c>
      <c r="S39" s="313">
        <v>2222</v>
      </c>
      <c r="T39" s="312">
        <v>131.13999999999999</v>
      </c>
      <c r="U39" s="277">
        <f t="shared" si="4"/>
        <v>0.45768331413813562</v>
      </c>
      <c r="V39" s="277">
        <f t="shared" si="5"/>
        <v>0.31390478014218348</v>
      </c>
      <c r="W39" s="278"/>
      <c r="X39" s="119"/>
    </row>
    <row r="40" spans="2:24" x14ac:dyDescent="0.3">
      <c r="B40" s="119"/>
      <c r="C40" s="119" t="s">
        <v>36</v>
      </c>
      <c r="D40" s="274">
        <f>SUM(D24:D39)</f>
        <v>20453.02</v>
      </c>
      <c r="E40" s="319">
        <f>SUM(E24:E39)</f>
        <v>1</v>
      </c>
      <c r="F40" s="320">
        <f>SUM(F24:F39)</f>
        <v>0.82618602800538854</v>
      </c>
      <c r="G40" s="320"/>
      <c r="H40" s="119"/>
      <c r="J40" s="119"/>
      <c r="K40" s="119" t="s">
        <v>36</v>
      </c>
      <c r="L40" s="274">
        <f>SUM(L24:L39)</f>
        <v>1356.17</v>
      </c>
      <c r="M40" s="319">
        <f>SUM(M24:M39)</f>
        <v>1</v>
      </c>
      <c r="N40" s="320">
        <f>SUM(N24:N39)</f>
        <v>0.92334350063999571</v>
      </c>
      <c r="O40" s="320"/>
      <c r="P40" s="119"/>
      <c r="R40" s="119"/>
      <c r="S40" s="119" t="s">
        <v>36</v>
      </c>
      <c r="T40" s="274">
        <f>SUM(T24:T39)</f>
        <v>286.52999999999997</v>
      </c>
      <c r="U40" s="319">
        <f>SUM(U24:U39)</f>
        <v>1</v>
      </c>
      <c r="V40" s="320">
        <f>SUM(V24:V39)</f>
        <v>0.68585585369940394</v>
      </c>
      <c r="W40" s="320"/>
      <c r="X40" s="119"/>
    </row>
    <row r="41" spans="2:24" x14ac:dyDescent="0.3">
      <c r="B41" s="107" t="s">
        <v>788</v>
      </c>
      <c r="C41" s="107"/>
      <c r="D41" s="107"/>
      <c r="E41" s="321"/>
      <c r="F41" s="125">
        <f>$K$2-D40</f>
        <v>4302.93</v>
      </c>
      <c r="G41" s="125"/>
      <c r="H41" s="150">
        <f>F41/$K$2</f>
        <v>0.1738139719946114</v>
      </c>
      <c r="J41" s="107" t="s">
        <v>788</v>
      </c>
      <c r="K41" s="107"/>
      <c r="L41" s="107"/>
      <c r="M41" s="321"/>
      <c r="N41" s="125">
        <f>$K$3-L40</f>
        <v>112.58999999999992</v>
      </c>
      <c r="O41" s="125"/>
      <c r="P41" s="150">
        <f>N41/$K$3</f>
        <v>7.6656499360004307E-2</v>
      </c>
      <c r="R41" s="107" t="s">
        <v>788</v>
      </c>
      <c r="S41" s="107"/>
      <c r="T41" s="107"/>
      <c r="U41" s="321"/>
      <c r="V41" s="125">
        <f>$K$4-T40</f>
        <v>131.24</v>
      </c>
      <c r="W41" s="125"/>
      <c r="X41" s="150">
        <f>V41/$K$4</f>
        <v>0.31414414630059606</v>
      </c>
    </row>
    <row r="42" spans="2:24" x14ac:dyDescent="0.3">
      <c r="B42" s="119"/>
      <c r="C42" s="246" t="s">
        <v>803</v>
      </c>
      <c r="D42" s="322">
        <f>D24+D26+D28</f>
        <v>15858.099999999999</v>
      </c>
      <c r="E42" s="323">
        <f t="shared" ref="E42:E45" si="6">D42/D$47</f>
        <v>0.77534271222538276</v>
      </c>
      <c r="F42" s="277">
        <f t="shared" ref="F42:F43" si="7">D42/$K$2</f>
        <v>0.64057731575641408</v>
      </c>
      <c r="G42" s="278"/>
      <c r="H42" s="119"/>
      <c r="J42" s="119"/>
      <c r="K42" s="246" t="s">
        <v>803</v>
      </c>
      <c r="L42" s="322">
        <f>L24+L26+L28</f>
        <v>123.83999999999999</v>
      </c>
      <c r="M42" s="323">
        <f t="shared" ref="M42:M45" si="8">L42/L$47</f>
        <v>9.1315985459050106E-2</v>
      </c>
      <c r="N42" s="277">
        <f t="shared" ref="N42:N43" si="9">L42/$K$3</f>
        <v>8.4316021678150263E-2</v>
      </c>
      <c r="O42" s="119"/>
      <c r="P42" s="119"/>
      <c r="R42" s="119"/>
      <c r="S42" s="246" t="s">
        <v>803</v>
      </c>
      <c r="T42" s="322">
        <f>T24+T26+T28</f>
        <v>97.02</v>
      </c>
      <c r="U42" s="323">
        <f t="shared" ref="U42:U45" si="10">T42/T$47</f>
        <v>0.33860328761386244</v>
      </c>
      <c r="V42" s="277">
        <f t="shared" ref="V42:V43" si="11">T42/$K$4</f>
        <v>0.23223304689183044</v>
      </c>
      <c r="W42" s="119"/>
      <c r="X42" s="119"/>
    </row>
    <row r="43" spans="2:24" x14ac:dyDescent="0.3">
      <c r="B43" s="119"/>
      <c r="C43" s="247" t="s">
        <v>796</v>
      </c>
      <c r="D43" s="299">
        <f>D25+D27+D31</f>
        <v>1427.3600000000001</v>
      </c>
      <c r="E43" s="277">
        <f t="shared" si="6"/>
        <v>6.9787249022393763E-2</v>
      </c>
      <c r="F43" s="277">
        <f t="shared" si="7"/>
        <v>5.7657250075234444E-2</v>
      </c>
      <c r="G43" s="278"/>
      <c r="H43" s="324" t="s">
        <v>787</v>
      </c>
      <c r="J43" s="119"/>
      <c r="K43" s="247" t="s">
        <v>796</v>
      </c>
      <c r="L43" s="283">
        <f>L25+L27+L31</f>
        <v>134.41000000000003</v>
      </c>
      <c r="M43" s="277">
        <f t="shared" si="8"/>
        <v>9.9109993584875072E-2</v>
      </c>
      <c r="N43" s="277">
        <f t="shared" si="9"/>
        <v>9.1512568425066054E-2</v>
      </c>
      <c r="O43" s="119"/>
      <c r="P43" s="324" t="s">
        <v>787</v>
      </c>
      <c r="R43" s="119"/>
      <c r="S43" s="247" t="s">
        <v>796</v>
      </c>
      <c r="T43" s="299">
        <f>T25+T27+T31</f>
        <v>41.89</v>
      </c>
      <c r="U43" s="277">
        <f t="shared" si="10"/>
        <v>0.14619760583534011</v>
      </c>
      <c r="V43" s="277">
        <f t="shared" si="11"/>
        <v>0.10027048375900616</v>
      </c>
      <c r="W43" s="119"/>
      <c r="X43" s="324" t="s">
        <v>787</v>
      </c>
    </row>
    <row r="44" spans="2:24" x14ac:dyDescent="0.3">
      <c r="B44" s="119"/>
      <c r="C44" s="325" t="s">
        <v>798</v>
      </c>
      <c r="D44" s="326">
        <f>D29+D30+D33+D34</f>
        <v>278.24</v>
      </c>
      <c r="E44" s="277">
        <f t="shared" si="6"/>
        <v>1.3603858990017122E-2</v>
      </c>
      <c r="F44" s="277">
        <f>D44/$K$2</f>
        <v>1.1239318224507643E-2</v>
      </c>
      <c r="G44" s="278"/>
      <c r="H44" s="255">
        <f>D43-D45</f>
        <v>696.15000000000009</v>
      </c>
      <c r="J44" s="119"/>
      <c r="K44" s="296" t="s">
        <v>798</v>
      </c>
      <c r="L44" s="326">
        <f>L29+L30+L33+L34</f>
        <v>23.560000000000002</v>
      </c>
      <c r="M44" s="277">
        <f t="shared" si="8"/>
        <v>1.737245330600146E-2</v>
      </c>
      <c r="N44" s="277">
        <f>L44/$K$3</f>
        <v>1.6040741850268256E-2</v>
      </c>
      <c r="O44" s="278"/>
      <c r="P44" s="255">
        <f>L43-L45</f>
        <v>72.320000000000022</v>
      </c>
      <c r="R44" s="119"/>
      <c r="S44" s="325" t="s">
        <v>798</v>
      </c>
      <c r="T44" s="326">
        <f>T29+T30+T33+T34</f>
        <v>6.3</v>
      </c>
      <c r="U44" s="277">
        <f>T44/T$47</f>
        <v>2.1987226468432625E-2</v>
      </c>
      <c r="V44" s="277">
        <f>T44/$K$4</f>
        <v>1.508006797998899E-2</v>
      </c>
      <c r="W44" s="278"/>
      <c r="X44" s="255">
        <f>T43-T45</f>
        <v>35.78</v>
      </c>
    </row>
    <row r="45" spans="2:24" x14ac:dyDescent="0.3">
      <c r="B45" s="119"/>
      <c r="C45" s="248" t="s">
        <v>800</v>
      </c>
      <c r="D45" s="302">
        <f>D32+D36+D38</f>
        <v>731.21</v>
      </c>
      <c r="E45" s="277">
        <f t="shared" si="6"/>
        <v>3.5750710652998924E-2</v>
      </c>
      <c r="F45" s="277">
        <f t="shared" ref="F45:F46" si="12">D45/$K$2</f>
        <v>2.9536737632771114E-2</v>
      </c>
      <c r="G45" s="115" t="s">
        <v>790</v>
      </c>
      <c r="H45" s="229">
        <f>E43-E45</f>
        <v>3.4036538369394839E-2</v>
      </c>
      <c r="J45" s="119"/>
      <c r="K45" s="248" t="s">
        <v>800</v>
      </c>
      <c r="L45" s="302">
        <f>L32+L36+L38</f>
        <v>62.089999999999996</v>
      </c>
      <c r="M45" s="277">
        <f t="shared" si="8"/>
        <v>4.5783345745739834E-2</v>
      </c>
      <c r="N45" s="277">
        <f t="shared" ref="N45:N46" si="13">L45/$K$3</f>
        <v>4.2273754731882676E-2</v>
      </c>
      <c r="O45" s="115" t="s">
        <v>790</v>
      </c>
      <c r="P45" s="229">
        <f>M43-M45</f>
        <v>5.3326647839135238E-2</v>
      </c>
      <c r="R45" s="119"/>
      <c r="S45" s="248" t="s">
        <v>800</v>
      </c>
      <c r="T45" s="302">
        <f>T32+T36+T38</f>
        <v>6.1099999999999994</v>
      </c>
      <c r="U45" s="277">
        <f t="shared" si="10"/>
        <v>2.1324119638432275E-2</v>
      </c>
      <c r="V45" s="277">
        <f t="shared" ref="V45:V46" si="14">T45/$K$4</f>
        <v>1.4625272279005194E-2</v>
      </c>
      <c r="W45" s="115" t="s">
        <v>790</v>
      </c>
      <c r="X45" s="229">
        <f>U43-U45</f>
        <v>0.12487348619690783</v>
      </c>
    </row>
    <row r="46" spans="2:24" x14ac:dyDescent="0.3">
      <c r="B46" s="119"/>
      <c r="C46" s="249" t="s">
        <v>804</v>
      </c>
      <c r="D46" s="327">
        <f>D35+D37+D39</f>
        <v>2158.1099999999997</v>
      </c>
      <c r="E46" s="277">
        <f>D46/D$47</f>
        <v>0.10551546910920732</v>
      </c>
      <c r="F46" s="277">
        <f t="shared" si="12"/>
        <v>8.7175406316461285E-2</v>
      </c>
      <c r="G46" s="115" t="s">
        <v>791</v>
      </c>
      <c r="H46" s="229">
        <f>H44/$K$2</f>
        <v>2.812051244246333E-2</v>
      </c>
      <c r="J46" s="119"/>
      <c r="K46" s="249" t="s">
        <v>804</v>
      </c>
      <c r="L46" s="327">
        <f>L35+L37+L39</f>
        <v>1012.2700000000001</v>
      </c>
      <c r="M46" s="277">
        <f>L46/L$47</f>
        <v>0.7464182219043336</v>
      </c>
      <c r="N46" s="277">
        <f t="shared" si="13"/>
        <v>0.6892004139546285</v>
      </c>
      <c r="O46" s="115" t="s">
        <v>791</v>
      </c>
      <c r="P46" s="229">
        <f>P44/$K$3</f>
        <v>4.9238813693183378E-2</v>
      </c>
      <c r="R46" s="119"/>
      <c r="S46" s="249" t="s">
        <v>804</v>
      </c>
      <c r="T46" s="327">
        <f>T35+T37+T39</f>
        <v>135.20999999999998</v>
      </c>
      <c r="U46" s="277">
        <f>T46/T$47</f>
        <v>0.47188776044393255</v>
      </c>
      <c r="V46" s="277">
        <f t="shared" si="14"/>
        <v>0.32364698278957316</v>
      </c>
      <c r="W46" s="115" t="s">
        <v>791</v>
      </c>
      <c r="X46" s="229">
        <f>X44/$K$4</f>
        <v>8.5645211480000968E-2</v>
      </c>
    </row>
    <row r="47" spans="2:24" x14ac:dyDescent="0.3">
      <c r="B47" s="119"/>
      <c r="C47" s="119" t="s">
        <v>36</v>
      </c>
      <c r="D47" s="274">
        <f>SUM(D42:D46)</f>
        <v>20453.02</v>
      </c>
      <c r="E47" s="319">
        <f>SUM(E42:E46)</f>
        <v>0.99999999999999989</v>
      </c>
      <c r="F47" s="320">
        <f>SUM(F42:F46)</f>
        <v>0.82618602800538854</v>
      </c>
      <c r="G47" s="119"/>
      <c r="H47" s="119"/>
      <c r="J47" s="119"/>
      <c r="K47" s="119" t="s">
        <v>36</v>
      </c>
      <c r="L47" s="274">
        <f>SUM(L42:L46)</f>
        <v>1356.17</v>
      </c>
      <c r="M47" s="319">
        <f>SUM(M42:M46)</f>
        <v>1</v>
      </c>
      <c r="N47" s="320">
        <f>SUM(N42:N46)</f>
        <v>0.92334350063999571</v>
      </c>
      <c r="O47" s="119"/>
      <c r="P47" s="119"/>
      <c r="R47" s="119"/>
      <c r="S47" s="119" t="s">
        <v>36</v>
      </c>
      <c r="T47" s="274">
        <f>SUM(T42:T46)</f>
        <v>286.52999999999997</v>
      </c>
      <c r="U47" s="319">
        <f>SUM(U42:U46)</f>
        <v>1</v>
      </c>
      <c r="V47" s="320">
        <f>SUM(V42:V46)</f>
        <v>0.68585585369940394</v>
      </c>
      <c r="W47" s="119"/>
      <c r="X47" s="119"/>
    </row>
    <row r="50" spans="1:24" x14ac:dyDescent="0.3">
      <c r="A50" t="s">
        <v>805</v>
      </c>
      <c r="B50" s="118" t="s">
        <v>782</v>
      </c>
      <c r="C50" s="119" t="s">
        <v>819</v>
      </c>
      <c r="D50" s="119"/>
      <c r="E50" s="115"/>
      <c r="F50" s="115"/>
      <c r="G50" s="115"/>
      <c r="H50" s="115"/>
      <c r="J50" s="118" t="s">
        <v>782</v>
      </c>
      <c r="K50" s="119" t="s">
        <v>824</v>
      </c>
      <c r="L50" s="119"/>
      <c r="M50" s="115"/>
      <c r="N50" s="115"/>
      <c r="O50" s="115"/>
      <c r="P50" s="115"/>
      <c r="R50" s="118" t="s">
        <v>782</v>
      </c>
      <c r="S50" s="119" t="s">
        <v>829</v>
      </c>
      <c r="T50" s="119"/>
      <c r="U50" s="115"/>
      <c r="V50" s="115"/>
      <c r="W50" s="115"/>
      <c r="X50" s="115"/>
    </row>
    <row r="51" spans="1:24" x14ac:dyDescent="0.3">
      <c r="A51" t="s">
        <v>806</v>
      </c>
      <c r="B51" s="119" t="s">
        <v>820</v>
      </c>
      <c r="C51" s="107" t="s">
        <v>784</v>
      </c>
      <c r="D51" s="250" t="s">
        <v>785</v>
      </c>
      <c r="E51" s="251" t="s">
        <v>786</v>
      </c>
      <c r="F51" s="115"/>
      <c r="G51" s="115"/>
      <c r="H51" s="252" t="s">
        <v>787</v>
      </c>
      <c r="J51" s="119" t="s">
        <v>825</v>
      </c>
      <c r="K51" s="107" t="s">
        <v>784</v>
      </c>
      <c r="L51" s="250" t="s">
        <v>785</v>
      </c>
      <c r="M51" s="251" t="s">
        <v>786</v>
      </c>
      <c r="N51" s="115"/>
      <c r="O51" s="115"/>
      <c r="P51" s="252" t="s">
        <v>787</v>
      </c>
      <c r="R51" s="119" t="s">
        <v>830</v>
      </c>
      <c r="S51" s="107" t="s">
        <v>784</v>
      </c>
      <c r="T51" s="250" t="s">
        <v>785</v>
      </c>
      <c r="U51" s="251" t="s">
        <v>786</v>
      </c>
      <c r="V51" s="115"/>
      <c r="W51" s="115"/>
      <c r="X51" s="252" t="s">
        <v>787</v>
      </c>
    </row>
    <row r="52" spans="1:24" x14ac:dyDescent="0.3">
      <c r="B52" s="107"/>
      <c r="C52" s="213" t="s">
        <v>785</v>
      </c>
      <c r="D52" s="253">
        <v>18644.59</v>
      </c>
      <c r="E52" s="254">
        <v>535.57000000000005</v>
      </c>
      <c r="F52" s="116">
        <f>D52+E52</f>
        <v>19180.16</v>
      </c>
      <c r="G52" s="116"/>
      <c r="H52" s="255">
        <f>E52-D53</f>
        <v>126.46000000000004</v>
      </c>
      <c r="J52" s="115"/>
      <c r="K52" s="213" t="s">
        <v>785</v>
      </c>
      <c r="L52" s="253">
        <v>217.06</v>
      </c>
      <c r="M52" s="254">
        <v>68.81</v>
      </c>
      <c r="N52" s="116">
        <f>L52+M52</f>
        <v>285.87</v>
      </c>
      <c r="O52" s="116"/>
      <c r="P52" s="255">
        <f>M52-L53</f>
        <v>36.31</v>
      </c>
      <c r="R52" s="115"/>
      <c r="S52" s="213" t="s">
        <v>785</v>
      </c>
      <c r="T52" s="253">
        <v>104.22</v>
      </c>
      <c r="U52" s="254">
        <v>15.46</v>
      </c>
      <c r="V52" s="116">
        <f>T52+U52</f>
        <v>119.68</v>
      </c>
      <c r="W52" s="116"/>
      <c r="X52" s="255">
        <f>U52-T53</f>
        <v>5.58</v>
      </c>
    </row>
    <row r="53" spans="1:24" x14ac:dyDescent="0.3">
      <c r="B53" s="107"/>
      <c r="C53" s="256" t="s">
        <v>786</v>
      </c>
      <c r="D53" s="257">
        <v>409.11</v>
      </c>
      <c r="E53" s="258">
        <v>3341.11</v>
      </c>
      <c r="F53" s="116">
        <f>D53+E53</f>
        <v>3750.2200000000003</v>
      </c>
      <c r="G53" s="116"/>
      <c r="H53" s="115"/>
      <c r="J53" s="107"/>
      <c r="K53" s="256" t="s">
        <v>786</v>
      </c>
      <c r="L53" s="257">
        <v>32.5</v>
      </c>
      <c r="M53" s="258">
        <v>1063.3800000000001</v>
      </c>
      <c r="N53" s="116">
        <f>L53+M53</f>
        <v>1095.8800000000001</v>
      </c>
      <c r="O53" s="116"/>
      <c r="P53" s="115"/>
      <c r="R53" s="107"/>
      <c r="S53" s="256" t="s">
        <v>786</v>
      </c>
      <c r="T53" s="257">
        <v>9.8800000000000008</v>
      </c>
      <c r="U53" s="258">
        <v>268.86</v>
      </c>
      <c r="V53" s="116">
        <f>T53+U53</f>
        <v>278.74</v>
      </c>
      <c r="W53" s="116"/>
      <c r="X53" s="115"/>
    </row>
    <row r="54" spans="1:24" x14ac:dyDescent="0.3">
      <c r="B54" s="107"/>
      <c r="C54" s="107"/>
      <c r="D54" s="116">
        <f>D52+D53</f>
        <v>19053.7</v>
      </c>
      <c r="E54" s="116">
        <f>E52+E53</f>
        <v>3876.6800000000003</v>
      </c>
      <c r="F54" s="259">
        <f>SUM(D52:E53)</f>
        <v>22930.38</v>
      </c>
      <c r="G54" s="260"/>
      <c r="H54" s="261">
        <f>F54/$K$2</f>
        <v>0.92625732399685734</v>
      </c>
      <c r="J54" s="107"/>
      <c r="K54" s="107"/>
      <c r="L54" s="116">
        <f>L52+L53</f>
        <v>249.56</v>
      </c>
      <c r="M54" s="116">
        <f>M52+M53</f>
        <v>1132.19</v>
      </c>
      <c r="N54" s="259">
        <f>SUM(L52:M53)</f>
        <v>1381.75</v>
      </c>
      <c r="O54" s="260"/>
      <c r="P54" s="261">
        <f>N54/$K$3</f>
        <v>0.94075955227538877</v>
      </c>
      <c r="R54" s="107"/>
      <c r="S54" s="107"/>
      <c r="T54" s="116">
        <f>T52+T53</f>
        <v>114.1</v>
      </c>
      <c r="U54" s="116">
        <f>U52+U53</f>
        <v>284.32</v>
      </c>
      <c r="V54" s="259">
        <f>SUM(T52:U53)</f>
        <v>398.42</v>
      </c>
      <c r="W54" s="260"/>
      <c r="X54" s="261">
        <f>V54/$K$4</f>
        <v>0.95368264834717675</v>
      </c>
    </row>
    <row r="55" spans="1:24" x14ac:dyDescent="0.3">
      <c r="B55" s="107" t="s">
        <v>788</v>
      </c>
      <c r="C55" s="107"/>
      <c r="D55" s="262" t="s">
        <v>789</v>
      </c>
      <c r="E55" s="263"/>
      <c r="F55" s="125">
        <f>$K$2-F54</f>
        <v>1825.5699999999997</v>
      </c>
      <c r="G55" s="125"/>
      <c r="H55" s="150">
        <f>F55/$K$2</f>
        <v>7.374267600314266E-2</v>
      </c>
      <c r="J55" s="107" t="s">
        <v>788</v>
      </c>
      <c r="K55" s="107"/>
      <c r="L55" s="262" t="s">
        <v>789</v>
      </c>
      <c r="M55" s="263"/>
      <c r="N55" s="125">
        <f>$K$3-N54</f>
        <v>87.009999999999991</v>
      </c>
      <c r="O55" s="125"/>
      <c r="P55" s="150">
        <f>N55/$K$3</f>
        <v>5.9240447724611234E-2</v>
      </c>
      <c r="R55" s="107" t="s">
        <v>788</v>
      </c>
      <c r="S55" s="107"/>
      <c r="T55" s="262" t="s">
        <v>789</v>
      </c>
      <c r="U55" s="263"/>
      <c r="V55" s="125">
        <f>$K$4-V54</f>
        <v>19.349999999999966</v>
      </c>
      <c r="W55" s="125"/>
      <c r="X55" s="150">
        <f>V55/$K$4</f>
        <v>4.6317351652823247E-2</v>
      </c>
    </row>
    <row r="56" spans="1:24" x14ac:dyDescent="0.3">
      <c r="B56" s="107"/>
      <c r="C56" s="107" t="s">
        <v>790</v>
      </c>
      <c r="D56" s="264" t="s">
        <v>785</v>
      </c>
      <c r="E56" s="265" t="s">
        <v>786</v>
      </c>
      <c r="F56" s="115"/>
      <c r="G56" s="115"/>
      <c r="H56" s="252" t="s">
        <v>787</v>
      </c>
      <c r="J56" s="107"/>
      <c r="K56" s="107" t="s">
        <v>790</v>
      </c>
      <c r="L56" s="264" t="s">
        <v>785</v>
      </c>
      <c r="M56" s="265" t="s">
        <v>786</v>
      </c>
      <c r="N56" s="115"/>
      <c r="O56" s="115"/>
      <c r="P56" s="252" t="s">
        <v>787</v>
      </c>
      <c r="R56" s="107"/>
      <c r="S56" s="107" t="s">
        <v>790</v>
      </c>
      <c r="T56" s="264" t="s">
        <v>785</v>
      </c>
      <c r="U56" s="265" t="s">
        <v>786</v>
      </c>
      <c r="V56" s="115"/>
      <c r="W56" s="115"/>
      <c r="X56" s="252" t="s">
        <v>787</v>
      </c>
    </row>
    <row r="57" spans="1:24" x14ac:dyDescent="0.3">
      <c r="B57" s="107"/>
      <c r="C57" s="213" t="s">
        <v>785</v>
      </c>
      <c r="D57" s="266">
        <f>D52/$F$54</f>
        <v>0.81309555271216605</v>
      </c>
      <c r="E57" s="267">
        <f>E52/$F$54</f>
        <v>2.3356350832389173E-2</v>
      </c>
      <c r="F57" s="145">
        <f>D57+E57</f>
        <v>0.83645190354455523</v>
      </c>
      <c r="G57" s="145"/>
      <c r="H57" s="268">
        <f>E57-D58</f>
        <v>5.5149543967435363E-3</v>
      </c>
      <c r="J57" s="107"/>
      <c r="K57" s="213" t="s">
        <v>785</v>
      </c>
      <c r="L57" s="266">
        <f>L52/$N$54</f>
        <v>0.15709064592002894</v>
      </c>
      <c r="M57" s="267">
        <f>M52/$N$54</f>
        <v>4.9799167722091552E-2</v>
      </c>
      <c r="N57" s="145">
        <f>L57+M57</f>
        <v>0.2068898136421205</v>
      </c>
      <c r="O57" s="145"/>
      <c r="P57" s="268">
        <f>M57-L58</f>
        <v>2.6278270309390266E-2</v>
      </c>
      <c r="R57" s="107"/>
      <c r="S57" s="213" t="s">
        <v>785</v>
      </c>
      <c r="T57" s="266">
        <f>T52/$V$54</f>
        <v>0.26158325385271824</v>
      </c>
      <c r="U57" s="267">
        <f>U52/$V$54</f>
        <v>3.880327292806586E-2</v>
      </c>
      <c r="V57" s="145">
        <f>T57+U57</f>
        <v>0.30038652678078409</v>
      </c>
      <c r="W57" s="145"/>
      <c r="X57" s="268">
        <f>U57-T58</f>
        <v>1.4005321018021183E-2</v>
      </c>
    </row>
    <row r="58" spans="1:24" x14ac:dyDescent="0.3">
      <c r="B58" s="107"/>
      <c r="C58" s="269" t="s">
        <v>786</v>
      </c>
      <c r="D58" s="270">
        <f>D53/$F$54</f>
        <v>1.7841396435645637E-2</v>
      </c>
      <c r="E58" s="271">
        <f>E53/$F$54</f>
        <v>0.14570670001979907</v>
      </c>
      <c r="F58" s="145">
        <f>D58+E58</f>
        <v>0.16354809645544471</v>
      </c>
      <c r="G58" s="145"/>
      <c r="H58" s="272">
        <f>F57+F58</f>
        <v>1</v>
      </c>
      <c r="J58" s="107"/>
      <c r="K58" s="269" t="s">
        <v>786</v>
      </c>
      <c r="L58" s="270">
        <f>L53/$N$54</f>
        <v>2.3520897412701285E-2</v>
      </c>
      <c r="M58" s="271">
        <f>M53/$N$54</f>
        <v>0.76958928894517831</v>
      </c>
      <c r="N58" s="145">
        <f>L58+M58</f>
        <v>0.79311018635787955</v>
      </c>
      <c r="O58" s="145"/>
      <c r="P58" s="272">
        <f>N57+N58</f>
        <v>1</v>
      </c>
      <c r="R58" s="107"/>
      <c r="S58" s="269" t="s">
        <v>786</v>
      </c>
      <c r="T58" s="270">
        <f>T53/$V$54</f>
        <v>2.4797951910044677E-2</v>
      </c>
      <c r="U58" s="271">
        <f>U53/$V$54</f>
        <v>0.67481552130917122</v>
      </c>
      <c r="V58" s="145">
        <f>T58+U58</f>
        <v>0.69961347321921585</v>
      </c>
      <c r="W58" s="145"/>
      <c r="X58" s="272">
        <f>V57+V58</f>
        <v>1</v>
      </c>
    </row>
    <row r="59" spans="1:24" x14ac:dyDescent="0.3">
      <c r="B59" s="107"/>
      <c r="C59" s="107"/>
      <c r="D59" s="107"/>
      <c r="E59" s="107"/>
      <c r="F59" s="107"/>
      <c r="G59" s="107"/>
      <c r="H59" s="107"/>
      <c r="J59" s="107"/>
      <c r="K59" s="107"/>
      <c r="L59" s="107"/>
      <c r="M59" s="107"/>
      <c r="N59" s="107"/>
      <c r="O59" s="107"/>
      <c r="P59" s="107"/>
      <c r="R59" s="107"/>
      <c r="S59" s="107"/>
      <c r="T59" s="107"/>
      <c r="U59" s="107"/>
      <c r="V59" s="107"/>
      <c r="W59" s="107"/>
      <c r="X59" s="107"/>
    </row>
    <row r="60" spans="1:24" x14ac:dyDescent="0.3">
      <c r="B60" s="107"/>
      <c r="C60" s="107" t="s">
        <v>791</v>
      </c>
      <c r="D60" s="264" t="s">
        <v>785</v>
      </c>
      <c r="E60" s="265" t="s">
        <v>786</v>
      </c>
      <c r="F60" s="115"/>
      <c r="G60" s="115"/>
      <c r="H60" s="252" t="s">
        <v>787</v>
      </c>
      <c r="J60" s="107"/>
      <c r="K60" s="107" t="s">
        <v>791</v>
      </c>
      <c r="L60" s="264" t="s">
        <v>785</v>
      </c>
      <c r="M60" s="265" t="s">
        <v>786</v>
      </c>
      <c r="N60" s="115"/>
      <c r="O60" s="115"/>
      <c r="P60" s="252" t="s">
        <v>787</v>
      </c>
      <c r="R60" s="107"/>
      <c r="S60" s="107" t="s">
        <v>791</v>
      </c>
      <c r="T60" s="264" t="s">
        <v>785</v>
      </c>
      <c r="U60" s="265" t="s">
        <v>786</v>
      </c>
      <c r="V60" s="115"/>
      <c r="W60" s="115"/>
      <c r="X60" s="252" t="s">
        <v>787</v>
      </c>
    </row>
    <row r="61" spans="1:24" x14ac:dyDescent="0.3">
      <c r="B61" s="107"/>
      <c r="C61" s="213" t="s">
        <v>785</v>
      </c>
      <c r="D61" s="266">
        <f>D52/$K$2</f>
        <v>0.75313571080891661</v>
      </c>
      <c r="E61" s="267">
        <f>E52/$K$2</f>
        <v>2.1633991020340564E-2</v>
      </c>
      <c r="F61" s="145">
        <f>D61+E61</f>
        <v>0.7747697018292572</v>
      </c>
      <c r="G61" s="145"/>
      <c r="H61" s="268">
        <f>E61-D62</f>
        <v>5.1082669014923671E-3</v>
      </c>
      <c r="J61" s="107"/>
      <c r="K61" s="213" t="s">
        <v>785</v>
      </c>
      <c r="L61" s="266">
        <f>L52/$K$3</f>
        <v>0.14778452572237807</v>
      </c>
      <c r="M61" s="267">
        <f>M52/$K$3</f>
        <v>4.6849042729921839E-2</v>
      </c>
      <c r="N61" s="145">
        <f>L61+M61</f>
        <v>0.1946335684522999</v>
      </c>
      <c r="O61" s="145"/>
      <c r="P61" s="268">
        <f>M61-L62</f>
        <v>2.472153381083363E-2</v>
      </c>
      <c r="R61" s="107"/>
      <c r="S61" s="213" t="s">
        <v>785</v>
      </c>
      <c r="T61" s="266">
        <f>T52/$K$4</f>
        <v>0.24946741029753214</v>
      </c>
      <c r="U61" s="267">
        <f>U52/$K$4</f>
        <v>3.7006008090576158E-2</v>
      </c>
      <c r="V61" s="145">
        <f>T61+U61</f>
        <v>0.2864734183881083</v>
      </c>
      <c r="W61" s="145"/>
      <c r="X61" s="268">
        <f>U61-T62</f>
        <v>1.3356631639418821E-2</v>
      </c>
    </row>
    <row r="62" spans="1:24" x14ac:dyDescent="0.3">
      <c r="B62" s="107"/>
      <c r="C62" s="269" t="s">
        <v>786</v>
      </c>
      <c r="D62" s="270">
        <f>D53/$K$2</f>
        <v>1.6525724118848197E-2</v>
      </c>
      <c r="E62" s="273">
        <f>E53/$K$2</f>
        <v>0.13496189804875192</v>
      </c>
      <c r="F62" s="145">
        <f>D62+E62</f>
        <v>0.15148762216760012</v>
      </c>
      <c r="G62" s="145"/>
      <c r="H62" s="272">
        <f>F61+F62</f>
        <v>0.92625732399685734</v>
      </c>
      <c r="J62" s="107"/>
      <c r="K62" s="269" t="s">
        <v>786</v>
      </c>
      <c r="L62" s="270">
        <f>L53/$K$3</f>
        <v>2.2127508919088209E-2</v>
      </c>
      <c r="M62" s="273">
        <f>M53/$K$3</f>
        <v>0.72399847490400071</v>
      </c>
      <c r="N62" s="145">
        <f>L62+M62</f>
        <v>0.74612598382308892</v>
      </c>
      <c r="O62" s="145"/>
      <c r="P62" s="272">
        <f>N61+N62</f>
        <v>0.94075955227538888</v>
      </c>
      <c r="R62" s="107"/>
      <c r="S62" s="269" t="s">
        <v>786</v>
      </c>
      <c r="T62" s="270">
        <f>T53/$K$4</f>
        <v>2.3649376451157337E-2</v>
      </c>
      <c r="U62" s="273">
        <f>U53/$K$4</f>
        <v>0.64355985350791112</v>
      </c>
      <c r="V62" s="145">
        <f>T62+U62</f>
        <v>0.66720922995906851</v>
      </c>
      <c r="W62" s="145"/>
      <c r="X62" s="272">
        <f>V61+V62</f>
        <v>0.95368264834717675</v>
      </c>
    </row>
    <row r="63" spans="1:24" x14ac:dyDescent="0.3">
      <c r="B63" s="107"/>
      <c r="C63" s="107"/>
      <c r="D63" s="107"/>
      <c r="E63" s="107"/>
      <c r="F63" s="107"/>
      <c r="G63" s="107"/>
      <c r="H63" s="107"/>
      <c r="J63" s="107"/>
      <c r="K63" s="107"/>
      <c r="L63" s="107"/>
      <c r="M63" s="107"/>
      <c r="N63" s="107"/>
      <c r="O63" s="107"/>
      <c r="P63" s="107"/>
      <c r="R63" s="107"/>
      <c r="S63" s="107"/>
      <c r="T63" s="107"/>
      <c r="U63" s="107"/>
      <c r="V63" s="107"/>
      <c r="W63" s="107"/>
      <c r="X63" s="107"/>
    </row>
    <row r="90" spans="1:25" ht="15" thickBot="1" x14ac:dyDescent="0.3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</row>
    <row r="91" spans="1:25" ht="15" thickTop="1" x14ac:dyDescent="0.3"/>
    <row r="92" spans="1:25" x14ac:dyDescent="0.3">
      <c r="B92" s="118" t="s">
        <v>807</v>
      </c>
      <c r="E92" s="172">
        <f>E93/$P$93</f>
        <v>0.14917127071823205</v>
      </c>
      <c r="F92" s="1"/>
      <c r="G92" s="1"/>
      <c r="H92" s="1"/>
      <c r="I92" s="172">
        <f>I93/$P$93</f>
        <v>0.68508287292817682</v>
      </c>
      <c r="J92" s="1"/>
      <c r="K92" s="1"/>
      <c r="L92" s="172">
        <f>L93/$P$93</f>
        <v>0.16574585635359115</v>
      </c>
    </row>
    <row r="93" spans="1:25" ht="15.6" x14ac:dyDescent="0.35">
      <c r="B93" s="107" t="s">
        <v>808</v>
      </c>
      <c r="C93" s="107"/>
      <c r="D93" s="328" t="s">
        <v>809</v>
      </c>
      <c r="E93" s="353">
        <f>9*6</f>
        <v>54</v>
      </c>
      <c r="F93" s="106"/>
      <c r="G93" s="106"/>
      <c r="H93" s="328" t="s">
        <v>810</v>
      </c>
      <c r="I93" s="353">
        <f>31*8</f>
        <v>248</v>
      </c>
      <c r="J93" s="106"/>
      <c r="K93" s="328" t="s">
        <v>811</v>
      </c>
      <c r="L93" s="353">
        <f>5*12</f>
        <v>60</v>
      </c>
      <c r="M93" s="106"/>
      <c r="N93" s="328" t="s">
        <v>812</v>
      </c>
      <c r="O93" s="328"/>
      <c r="P93" s="353">
        <f>E93+I93+L93</f>
        <v>362</v>
      </c>
    </row>
    <row r="95" spans="1:25" x14ac:dyDescent="0.3">
      <c r="B95" s="106" t="s">
        <v>633</v>
      </c>
      <c r="C95" s="107"/>
      <c r="D95" s="107"/>
      <c r="E95" s="107"/>
      <c r="F95" s="107"/>
      <c r="G95" s="107"/>
      <c r="H95" s="107"/>
      <c r="J95" s="106" t="s">
        <v>644</v>
      </c>
      <c r="K95" s="107"/>
      <c r="L95" s="107"/>
      <c r="M95" s="107"/>
      <c r="N95" s="107"/>
      <c r="O95" s="107"/>
      <c r="P95" s="107"/>
      <c r="R95" s="106" t="s">
        <v>634</v>
      </c>
      <c r="S95" s="107"/>
      <c r="T95" s="107"/>
      <c r="U95" s="107"/>
      <c r="V95" s="107"/>
      <c r="W95" s="107"/>
      <c r="X95" s="107"/>
    </row>
    <row r="96" spans="1:25" ht="18" customHeight="1" x14ac:dyDescent="0.3">
      <c r="B96" s="107"/>
      <c r="C96" s="107"/>
      <c r="D96" s="107"/>
      <c r="E96" s="107"/>
      <c r="F96" s="107"/>
      <c r="G96" s="107" t="s">
        <v>873</v>
      </c>
      <c r="H96" s="107"/>
      <c r="J96" s="107"/>
      <c r="K96" s="107"/>
      <c r="L96" s="107"/>
      <c r="M96" s="107"/>
      <c r="N96" s="107"/>
      <c r="O96" s="107" t="s">
        <v>873</v>
      </c>
      <c r="P96" s="107"/>
      <c r="R96" s="107"/>
      <c r="S96" s="107"/>
      <c r="T96" s="107"/>
      <c r="U96" s="107"/>
      <c r="V96" s="107"/>
      <c r="W96" s="107" t="s">
        <v>873</v>
      </c>
      <c r="X96" s="107"/>
    </row>
    <row r="97" spans="2:24" ht="18" customHeight="1" x14ac:dyDescent="0.3">
      <c r="B97" s="334"/>
      <c r="C97" s="330">
        <f>RRB_PA_HC!H305</f>
        <v>9.9224818805757189E-2</v>
      </c>
      <c r="D97" s="347"/>
      <c r="E97" s="331">
        <f>H17</f>
        <v>8.5878344398013437E-3</v>
      </c>
      <c r="F97" s="115" t="s">
        <v>813</v>
      </c>
      <c r="G97" s="331">
        <f>C$97*(1+E97)</f>
        <v>0.10007694512198033</v>
      </c>
      <c r="H97" s="107"/>
      <c r="J97" s="329"/>
      <c r="K97" s="330" t="str">
        <f>RRB_PA_HC!U305</f>
        <v>-</v>
      </c>
      <c r="L97" s="347"/>
      <c r="M97" s="331">
        <f>P17</f>
        <v>0</v>
      </c>
      <c r="N97" s="115" t="s">
        <v>813</v>
      </c>
      <c r="O97" s="331" t="s">
        <v>527</v>
      </c>
      <c r="P97" s="107"/>
      <c r="R97" s="329"/>
      <c r="S97" s="330">
        <f>RRB_PA_HC!AH305</f>
        <v>0.55436643214949755</v>
      </c>
      <c r="T97" s="347"/>
      <c r="U97" s="331">
        <f>X17</f>
        <v>1.6133279077004098E-2</v>
      </c>
      <c r="V97" s="115" t="s">
        <v>813</v>
      </c>
      <c r="W97" s="331">
        <f>S$97*(1+X17)</f>
        <v>0.56331018051028847</v>
      </c>
      <c r="X97" s="107"/>
    </row>
    <row r="98" spans="2:24" ht="18" customHeight="1" x14ac:dyDescent="0.35">
      <c r="B98" s="334"/>
      <c r="C98" s="330">
        <f>RRB_PA_HC!H306</f>
        <v>0.12259159833400374</v>
      </c>
      <c r="D98" s="347"/>
      <c r="E98" s="331">
        <f>H46</f>
        <v>2.812051244246333E-2</v>
      </c>
      <c r="F98" s="115" t="s">
        <v>814</v>
      </c>
      <c r="G98" s="331">
        <f>C$98*(1+E98+E99)</f>
        <v>0.12741678288562344</v>
      </c>
      <c r="H98" s="228" t="s">
        <v>910</v>
      </c>
      <c r="J98" s="329"/>
      <c r="K98" s="330">
        <f>RRB_PA_HC!U306</f>
        <v>0.69845753018343226</v>
      </c>
      <c r="L98" s="347"/>
      <c r="M98" s="331">
        <f>P46</f>
        <v>4.9238813693183378E-2</v>
      </c>
      <c r="N98" s="115" t="s">
        <v>814</v>
      </c>
      <c r="O98" s="331">
        <f>K$98*(1+N44+P46)</f>
        <v>0.74405252731978366</v>
      </c>
      <c r="P98" s="228" t="s">
        <v>908</v>
      </c>
      <c r="R98" s="329"/>
      <c r="S98" s="330">
        <f>RRB_PA_HC!AH306</f>
        <v>0.69018596592356862</v>
      </c>
      <c r="T98" s="347"/>
      <c r="U98" s="331">
        <f>X46</f>
        <v>8.5645211480000968E-2</v>
      </c>
      <c r="V98" s="115" t="s">
        <v>814</v>
      </c>
      <c r="W98" s="331">
        <f>S$98*(1+V44+X46)</f>
        <v>0.75970514022058322</v>
      </c>
      <c r="X98" s="228" t="s">
        <v>909</v>
      </c>
    </row>
    <row r="99" spans="2:24" ht="18" customHeight="1" x14ac:dyDescent="0.3">
      <c r="B99" s="107"/>
      <c r="C99" s="107"/>
      <c r="D99" s="347"/>
      <c r="E99" s="331">
        <f>F44</f>
        <v>1.1239318224507643E-2</v>
      </c>
      <c r="F99" s="115" t="s">
        <v>815</v>
      </c>
      <c r="G99" s="331">
        <f>C$100*(1+E100)</f>
        <v>0.15866987183069306</v>
      </c>
      <c r="H99" s="332">
        <f>100*(G97*$E$93+G98*$I$93+G99*$L$93)/$P$93</f>
        <v>12.851853453608602</v>
      </c>
      <c r="J99" s="107"/>
      <c r="K99" s="107"/>
      <c r="L99" s="347"/>
      <c r="M99" s="331">
        <f>N44</f>
        <v>1.6040741850268256E-2</v>
      </c>
      <c r="N99" s="115" t="s">
        <v>815</v>
      </c>
      <c r="O99" s="331">
        <f>K$100*(1+P61)</f>
        <v>0.77536444116170766</v>
      </c>
      <c r="P99" s="332">
        <f>100*(O98*$I$93+O99*$L$93)/($I$93+$L$93)</f>
        <v>75.015225079548316</v>
      </c>
      <c r="R99" s="107"/>
      <c r="S99" s="107"/>
      <c r="T99" s="347"/>
      <c r="U99" s="331">
        <f>V44</f>
        <v>1.508006797998899E-2</v>
      </c>
      <c r="V99" s="115" t="s">
        <v>815</v>
      </c>
      <c r="W99" s="331">
        <f>S$100*(1+X61)</f>
        <v>0.68744860323366386</v>
      </c>
      <c r="X99" s="332">
        <f>100*(W97*$E$93+W98*$I$93+W99*$L$93)/$P$93</f>
        <v>71.843243291790074</v>
      </c>
    </row>
    <row r="100" spans="2:24" x14ac:dyDescent="0.3">
      <c r="B100" s="334"/>
      <c r="C100" s="330">
        <f>RRB_PA_HC!H311</f>
        <v>0.15786346312704622</v>
      </c>
      <c r="D100" s="347"/>
      <c r="E100" s="331">
        <f>H61</f>
        <v>5.1082669014923671E-3</v>
      </c>
      <c r="F100" s="107"/>
      <c r="G100" s="107"/>
      <c r="H100" s="107"/>
      <c r="J100" s="329"/>
      <c r="K100" s="330">
        <f>RRB_PA_HC!U311</f>
        <v>0.75665867806857479</v>
      </c>
      <c r="L100" s="347"/>
      <c r="M100" s="331">
        <f>P61</f>
        <v>2.472153381083363E-2</v>
      </c>
      <c r="N100" s="107"/>
      <c r="O100" s="107"/>
      <c r="P100" s="107"/>
      <c r="R100" s="329"/>
      <c r="S100" s="330">
        <f>RRB_PA_HC!AH311</f>
        <v>0.67838762955693332</v>
      </c>
      <c r="T100" s="347"/>
      <c r="U100" s="331">
        <f>X61</f>
        <v>1.3356631639418821E-2</v>
      </c>
      <c r="V100" s="107"/>
      <c r="W100" s="107"/>
      <c r="X100" s="107"/>
    </row>
    <row r="102" spans="2:24" x14ac:dyDescent="0.3"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</row>
    <row r="103" spans="2:24" x14ac:dyDescent="0.3"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</row>
    <row r="104" spans="2:24" x14ac:dyDescent="0.3"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</row>
    <row r="105" spans="2:24" x14ac:dyDescent="0.3"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</row>
  </sheetData>
  <conditionalFormatting sqref="X99 P99 H99">
    <cfRule type="colorScale" priority="1">
      <colorScale>
        <cfvo type="num" val="0"/>
        <cfvo type="num" val="40"/>
        <cfvo type="num" val="80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C12C7-E386-440D-AD74-B6CA9B4895FB}">
  <dimension ref="B2:Z173"/>
  <sheetViews>
    <sheetView zoomScale="85" zoomScaleNormal="85" workbookViewId="0">
      <selection activeCell="F11" sqref="F11"/>
    </sheetView>
  </sheetViews>
  <sheetFormatPr baseColWidth="10" defaultRowHeight="14.4" x14ac:dyDescent="0.3"/>
  <cols>
    <col min="2" max="2" width="16.5546875" bestFit="1" customWidth="1"/>
    <col min="4" max="8" width="10.33203125" customWidth="1"/>
  </cols>
  <sheetData>
    <row r="2" spans="2:24" x14ac:dyDescent="0.3">
      <c r="B2" s="348" t="s">
        <v>682</v>
      </c>
      <c r="C2" s="348"/>
      <c r="D2" s="348"/>
      <c r="E2" s="348"/>
      <c r="F2" s="348"/>
      <c r="G2" s="348"/>
      <c r="H2" s="348"/>
      <c r="I2" s="348"/>
      <c r="J2" s="348"/>
      <c r="K2" s="348"/>
      <c r="L2" s="348"/>
      <c r="Q2" t="s">
        <v>574</v>
      </c>
      <c r="W2" t="s">
        <v>592</v>
      </c>
    </row>
    <row r="3" spans="2:24" x14ac:dyDescent="0.3">
      <c r="B3" t="s">
        <v>528</v>
      </c>
      <c r="J3" s="1" t="s">
        <v>53</v>
      </c>
      <c r="O3" s="169">
        <v>1977</v>
      </c>
      <c r="P3" t="s">
        <v>575</v>
      </c>
      <c r="Q3" s="223">
        <v>28132</v>
      </c>
    </row>
    <row r="4" spans="2:24" ht="15.6" x14ac:dyDescent="0.35">
      <c r="C4" s="1" t="s">
        <v>0</v>
      </c>
      <c r="D4" s="90" t="s">
        <v>447</v>
      </c>
      <c r="E4" s="91" t="s">
        <v>446</v>
      </c>
      <c r="F4" s="92" t="s">
        <v>448</v>
      </c>
      <c r="G4" s="124" t="s">
        <v>449</v>
      </c>
      <c r="H4" s="123" t="s">
        <v>450</v>
      </c>
      <c r="I4" s="1" t="s">
        <v>20</v>
      </c>
      <c r="J4" s="1" t="s">
        <v>1</v>
      </c>
      <c r="K4" s="1" t="s">
        <v>13</v>
      </c>
      <c r="M4" s="1" t="s">
        <v>51</v>
      </c>
      <c r="O4" s="170">
        <v>1988</v>
      </c>
      <c r="P4" t="s">
        <v>576</v>
      </c>
      <c r="Q4" s="223">
        <v>32224</v>
      </c>
      <c r="R4" s="223">
        <v>32249</v>
      </c>
    </row>
    <row r="5" spans="2:24" x14ac:dyDescent="0.3">
      <c r="B5" t="s">
        <v>3</v>
      </c>
      <c r="C5" s="197" t="s">
        <v>447</v>
      </c>
      <c r="D5" s="234">
        <f>'77_Seeds'!AL83+'88_Seeds'!AL83+'88T_Seeds'!AL83+'91T_Seeds'!AL83+'01T_Seeds'!AL83+'07E_Seeds'!AL83+'11E_Seeds'!AL83+'15O_Seeds'!AL83+'19O_Seeds'!AL83+'19M_Seeds'!AL83+'24M_Seeds'!AL83</f>
        <v>3415</v>
      </c>
      <c r="E5" s="236">
        <f>'77_Seeds'!AM83+'88_Seeds'!AM83+'88T_Seeds'!AM83+'91T_Seeds'!AM83+'01T_Seeds'!AM83+'07E_Seeds'!AM83+'11E_Seeds'!AM83+'15O_Seeds'!AM83+'19O_Seeds'!AM83+'19M_Seeds'!AM83+'24M_Seeds'!AM83</f>
        <v>213</v>
      </c>
      <c r="F5" s="235">
        <f>'77_Seeds'!AN83+'88_Seeds'!AN83+'88T_Seeds'!AN83+'91T_Seeds'!AN83+'01T_Seeds'!AN83+'07E_Seeds'!AN83+'11E_Seeds'!AN83+'15O_Seeds'!AN83+'19O_Seeds'!AN83+'19M_Seeds'!AN83+'24M_Seeds'!AN83</f>
        <v>410</v>
      </c>
      <c r="G5" s="236">
        <f>'77_Seeds'!AO83+'88_Seeds'!AO83+'88T_Seeds'!AO83+'91T_Seeds'!AO83+'01T_Seeds'!AO83+'07E_Seeds'!AO83+'11E_Seeds'!AO83+'15O_Seeds'!AO83+'19O_Seeds'!AO83+'19M_Seeds'!AO83+'24M_Seeds'!AO83</f>
        <v>142</v>
      </c>
      <c r="H5" s="4">
        <f>'77_Seeds'!AP83+'88_Seeds'!AP83+'88T_Seeds'!AP83+'91T_Seeds'!AP83+'01T_Seeds'!AP83+'07E_Seeds'!AP83+'11E_Seeds'!AP83+'15O_Seeds'!AP83+'19O_Seeds'!AP83+'19M_Seeds'!AP83+'24M_Seeds'!AP83</f>
        <v>0</v>
      </c>
      <c r="I5" s="1">
        <f>SUM(D5:H5)</f>
        <v>4180</v>
      </c>
      <c r="J5" s="10">
        <f>D5/I5</f>
        <v>0.81698564593301437</v>
      </c>
      <c r="K5" s="11">
        <f>1-J5</f>
        <v>0.18301435406698563</v>
      </c>
      <c r="L5">
        <f>I5-D10</f>
        <v>763</v>
      </c>
      <c r="M5" s="10">
        <f>2*(D11*J5)/(D11+J5)</f>
        <v>0.89903909437936025</v>
      </c>
      <c r="O5" s="170" t="s">
        <v>369</v>
      </c>
      <c r="P5" t="s">
        <v>577</v>
      </c>
      <c r="Q5" s="223">
        <v>32128</v>
      </c>
      <c r="R5" s="223">
        <v>32224</v>
      </c>
      <c r="S5" s="223">
        <v>32249</v>
      </c>
    </row>
    <row r="6" spans="2:24" x14ac:dyDescent="0.3">
      <c r="B6" t="s">
        <v>4</v>
      </c>
      <c r="C6" s="198" t="s">
        <v>446</v>
      </c>
      <c r="D6" s="1">
        <f>'77_Seeds'!AL84+'88_Seeds'!AL84+'88T_Seeds'!AL84+'91T_Seeds'!AL84+'01T_Seeds'!AL84+'07E_Seeds'!AL84+'11E_Seeds'!AL84+'15O_Seeds'!AL84+'19O_Seeds'!AL84+'19M_Seeds'!AL84+'24M_Seeds'!AL84</f>
        <v>0</v>
      </c>
      <c r="E6" s="183">
        <f>'77_Seeds'!AM84+'88_Seeds'!AM84+'88T_Seeds'!AM84+'91T_Seeds'!AM84+'01T_Seeds'!AM84+'07E_Seeds'!AM84+'11E_Seeds'!AM84+'15O_Seeds'!AM84+'19O_Seeds'!AM84+'19M_Seeds'!AM84+'24M_Seeds'!AM84</f>
        <v>511</v>
      </c>
      <c r="F6" s="186">
        <f>'77_Seeds'!AN84+'88_Seeds'!AN84+'88T_Seeds'!AN84+'91T_Seeds'!AN84+'01T_Seeds'!AN84+'07E_Seeds'!AN84+'11E_Seeds'!AN84+'15O_Seeds'!AN84+'19O_Seeds'!AN84+'19M_Seeds'!AN84+'24M_Seeds'!AN84</f>
        <v>35</v>
      </c>
      <c r="G6" s="186">
        <f>'77_Seeds'!AO84+'88_Seeds'!AO84+'88T_Seeds'!AO84+'91T_Seeds'!AO84+'01T_Seeds'!AO84+'07E_Seeds'!AO84+'11E_Seeds'!AO84+'15O_Seeds'!AO84+'19O_Seeds'!AO84+'19M_Seeds'!AO84+'24M_Seeds'!AO84</f>
        <v>1</v>
      </c>
      <c r="H6" s="187">
        <f>'77_Seeds'!AP84+'88_Seeds'!AP84+'88T_Seeds'!AP84+'91T_Seeds'!AP84+'01T_Seeds'!AP84+'07E_Seeds'!AP84+'11E_Seeds'!AP84+'15O_Seeds'!AP84+'19O_Seeds'!AP84+'19M_Seeds'!AP84+'24M_Seeds'!AP84</f>
        <v>1</v>
      </c>
      <c r="I6" s="1">
        <f>SUM(D6:H6)</f>
        <v>548</v>
      </c>
      <c r="J6" s="10">
        <f>E6/I6</f>
        <v>0.93248175182481752</v>
      </c>
      <c r="K6" s="11">
        <f>1-J6</f>
        <v>6.7518248175182483E-2</v>
      </c>
      <c r="L6">
        <f>I6-E10</f>
        <v>-293</v>
      </c>
      <c r="M6" s="10">
        <f>2*(E11*J6)/(E11+J6)</f>
        <v>0.73578113750899932</v>
      </c>
      <c r="O6" s="170" t="s">
        <v>371</v>
      </c>
      <c r="P6" t="s">
        <v>578</v>
      </c>
      <c r="Q6" s="223">
        <v>33313</v>
      </c>
      <c r="R6" s="223">
        <v>33320</v>
      </c>
    </row>
    <row r="7" spans="2:24" x14ac:dyDescent="0.3">
      <c r="B7" t="s">
        <v>5</v>
      </c>
      <c r="C7" s="199" t="s">
        <v>448</v>
      </c>
      <c r="D7" s="1">
        <f>'77_Seeds'!AL85+'88_Seeds'!AL85+'88T_Seeds'!AL85+'91T_Seeds'!AL85+'01T_Seeds'!AL85+'07E_Seeds'!AL85+'11E_Seeds'!AL85+'15O_Seeds'!AL85+'19O_Seeds'!AL85+'19M_Seeds'!AL85+'24M_Seeds'!AL85</f>
        <v>0</v>
      </c>
      <c r="E7" s="186">
        <f>'77_Seeds'!AM85+'88_Seeds'!AM85+'88T_Seeds'!AM85+'91T_Seeds'!AM85+'01T_Seeds'!AM85+'07E_Seeds'!AM85+'11E_Seeds'!AM85+'15O_Seeds'!AM85+'19O_Seeds'!AM85+'19M_Seeds'!AM85+'24M_Seeds'!AM85</f>
        <v>1</v>
      </c>
      <c r="F7" s="182">
        <f>'77_Seeds'!AN85+'88_Seeds'!AN85+'88T_Seeds'!AN85+'91T_Seeds'!AN85+'01T_Seeds'!AN85+'07E_Seeds'!AN85+'11E_Seeds'!AN85+'15O_Seeds'!AN85+'19O_Seeds'!AN85+'19M_Seeds'!AN85+'24M_Seeds'!AN85</f>
        <v>6809</v>
      </c>
      <c r="G7" s="186">
        <f>'77_Seeds'!AO85+'88_Seeds'!AO85+'88T_Seeds'!AO85+'91T_Seeds'!AO85+'01T_Seeds'!AO85+'07E_Seeds'!AO85+'11E_Seeds'!AO85+'15O_Seeds'!AO85+'19O_Seeds'!AO85+'19M_Seeds'!AO85+'24M_Seeds'!AO85</f>
        <v>49</v>
      </c>
      <c r="H7" s="187">
        <f>'77_Seeds'!AP85+'88_Seeds'!AP85+'88T_Seeds'!AP85+'91T_Seeds'!AP85+'01T_Seeds'!AP85+'07E_Seeds'!AP85+'11E_Seeds'!AP85+'15O_Seeds'!AP85+'19O_Seeds'!AP85+'19M_Seeds'!AP85+'24M_Seeds'!AP85</f>
        <v>20</v>
      </c>
      <c r="I7" s="1">
        <f>SUM(D7:H7)</f>
        <v>6879</v>
      </c>
      <c r="J7" s="10">
        <f>F7/I7</f>
        <v>0.98982410234045648</v>
      </c>
      <c r="K7" s="11">
        <f>1-J7</f>
        <v>1.017589765954352E-2</v>
      </c>
      <c r="L7">
        <f>I7-F10</f>
        <v>-783</v>
      </c>
      <c r="M7" s="10">
        <f>2*(F11*J7)/(F11+J7)</f>
        <v>0.93652431057011198</v>
      </c>
      <c r="O7" s="170" t="s">
        <v>373</v>
      </c>
      <c r="P7" t="s">
        <v>575</v>
      </c>
      <c r="Q7" s="223">
        <v>36920</v>
      </c>
      <c r="R7" s="223">
        <v>36921</v>
      </c>
    </row>
    <row r="8" spans="2:24" x14ac:dyDescent="0.3">
      <c r="B8" t="s">
        <v>6</v>
      </c>
      <c r="C8" s="200" t="s">
        <v>449</v>
      </c>
      <c r="D8" s="186">
        <f>'77_Seeds'!AL86+'88_Seeds'!AL86+'88T_Seeds'!AL86+'91T_Seeds'!AL86+'01T_Seeds'!AL86+'07E_Seeds'!AL86+'11E_Seeds'!AL86+'15O_Seeds'!AL86+'19O_Seeds'!AL86+'19M_Seeds'!AL86+'24M_Seeds'!AL86</f>
        <v>2</v>
      </c>
      <c r="E8" s="186">
        <f>'77_Seeds'!AM86+'88_Seeds'!AM86+'88T_Seeds'!AM86+'91T_Seeds'!AM86+'01T_Seeds'!AM86+'07E_Seeds'!AM86+'11E_Seeds'!AM86+'15O_Seeds'!AM86+'19O_Seeds'!AM86+'19M_Seeds'!AM86+'24M_Seeds'!AM86</f>
        <v>11</v>
      </c>
      <c r="F8" s="188">
        <f>'77_Seeds'!AN86+'88_Seeds'!AN86+'88T_Seeds'!AN86+'91T_Seeds'!AN86+'01T_Seeds'!AN86+'07E_Seeds'!AN86+'11E_Seeds'!AN86+'15O_Seeds'!AN86+'19O_Seeds'!AN86+'19M_Seeds'!AN86+'24M_Seeds'!AN86</f>
        <v>159</v>
      </c>
      <c r="G8" s="182">
        <f>'77_Seeds'!AO86+'88_Seeds'!AO86+'88T_Seeds'!AO86+'91T_Seeds'!AO86+'01T_Seeds'!AO86+'07E_Seeds'!AO86+'11E_Seeds'!AO86+'15O_Seeds'!AO86+'19O_Seeds'!AO86+'19M_Seeds'!AO86+'24M_Seeds'!AO86</f>
        <v>5084</v>
      </c>
      <c r="H8" s="191">
        <f>'77_Seeds'!AP86+'88_Seeds'!AP86+'88T_Seeds'!AP86+'91T_Seeds'!AP86+'01T_Seeds'!AP86+'07E_Seeds'!AP86+'11E_Seeds'!AP86+'15O_Seeds'!AP86+'19O_Seeds'!AP86+'19M_Seeds'!AP86+'24M_Seeds'!AP86</f>
        <v>113</v>
      </c>
      <c r="I8" s="1">
        <f>SUM(D8:H8)</f>
        <v>5369</v>
      </c>
      <c r="J8" s="10">
        <f>G8/I8</f>
        <v>0.94691748929037067</v>
      </c>
      <c r="K8" s="11">
        <f>1-J8</f>
        <v>5.3082510709629327E-2</v>
      </c>
      <c r="L8">
        <f>I8-G10</f>
        <v>-375</v>
      </c>
      <c r="M8" s="10">
        <f>2*(G11*J8)/(G11+J8)</f>
        <v>0.91496445604247278</v>
      </c>
      <c r="O8" s="170" t="s">
        <v>378</v>
      </c>
      <c r="P8" t="s">
        <v>579</v>
      </c>
      <c r="Q8" s="223">
        <v>39113</v>
      </c>
      <c r="R8" s="223">
        <v>39120</v>
      </c>
      <c r="S8" s="223">
        <v>39129</v>
      </c>
      <c r="T8" s="223">
        <v>39136</v>
      </c>
    </row>
    <row r="9" spans="2:24" x14ac:dyDescent="0.3">
      <c r="B9" t="s">
        <v>7</v>
      </c>
      <c r="C9" s="201" t="s">
        <v>450</v>
      </c>
      <c r="D9" s="8">
        <f>'77_Seeds'!AL87+'88_Seeds'!AL87+'88T_Seeds'!AL87+'91T_Seeds'!AL87+'01T_Seeds'!AL87+'07E_Seeds'!AL87+'11E_Seeds'!AL87+'15O_Seeds'!AL87+'19O_Seeds'!AL87+'19M_Seeds'!AL87+'24M_Seeds'!AL87</f>
        <v>0</v>
      </c>
      <c r="E9" s="190">
        <f>'77_Seeds'!AM87+'88_Seeds'!AM87+'88T_Seeds'!AM87+'91T_Seeds'!AM87+'01T_Seeds'!AM87+'07E_Seeds'!AM87+'11E_Seeds'!AM87+'15O_Seeds'!AM87+'19O_Seeds'!AM87+'19M_Seeds'!AM87+'24M_Seeds'!AM87</f>
        <v>105</v>
      </c>
      <c r="F9" s="193">
        <f>'77_Seeds'!AN87+'88_Seeds'!AN87+'88T_Seeds'!AN87+'91T_Seeds'!AN87+'01T_Seeds'!AN87+'07E_Seeds'!AN87+'11E_Seeds'!AN87+'15O_Seeds'!AN87+'19O_Seeds'!AN87+'19M_Seeds'!AN87+'24M_Seeds'!AN87</f>
        <v>249</v>
      </c>
      <c r="G9" s="222">
        <f>'77_Seeds'!AO87+'88_Seeds'!AO87+'88T_Seeds'!AO87+'91T_Seeds'!AO87+'01T_Seeds'!AO87+'07E_Seeds'!AO87+'11E_Seeds'!AO87+'15O_Seeds'!AO87+'19O_Seeds'!AO87+'19M_Seeds'!AO87+'24M_Seeds'!AO87</f>
        <v>468</v>
      </c>
      <c r="H9" s="210">
        <f>'77_Seeds'!AP87+'88_Seeds'!AP87+'88T_Seeds'!AP87+'91T_Seeds'!AP87+'01T_Seeds'!AP87+'07E_Seeds'!AP87+'11E_Seeds'!AP87+'15O_Seeds'!AP87+'19O_Seeds'!AP87+'19M_Seeds'!AP87+'24M_Seeds'!AP87</f>
        <v>8541</v>
      </c>
      <c r="I9" s="1">
        <f>SUM(D9:H9)</f>
        <v>9363</v>
      </c>
      <c r="J9" s="10">
        <f>H9/I9</f>
        <v>0.91220762576097403</v>
      </c>
      <c r="K9" s="11">
        <f>1-J9</f>
        <v>8.7792374239025972E-2</v>
      </c>
      <c r="L9">
        <f>I9-H10</f>
        <v>688</v>
      </c>
      <c r="M9" s="10">
        <f>2*(H11*J9)/(H11+J9)</f>
        <v>0.94700077613926159</v>
      </c>
      <c r="O9" s="170" t="s">
        <v>380</v>
      </c>
      <c r="P9" t="s">
        <v>579</v>
      </c>
      <c r="Q9" s="223">
        <v>40544</v>
      </c>
      <c r="R9" s="223">
        <v>40553</v>
      </c>
      <c r="S9" s="223">
        <v>40560</v>
      </c>
      <c r="T9" s="223">
        <v>40569</v>
      </c>
      <c r="U9" s="223">
        <v>40576</v>
      </c>
    </row>
    <row r="10" spans="2:24" ht="15.6" x14ac:dyDescent="0.35">
      <c r="C10" s="1" t="s">
        <v>19</v>
      </c>
      <c r="D10" s="1">
        <f>SUM(D5:D9)</f>
        <v>3417</v>
      </c>
      <c r="E10" s="1">
        <f>SUM(E5:E9)</f>
        <v>841</v>
      </c>
      <c r="F10" s="1">
        <f>SUM(F5:F9)</f>
        <v>7662</v>
      </c>
      <c r="G10" s="1">
        <f>SUM(G5:G9)</f>
        <v>5744</v>
      </c>
      <c r="H10" s="1">
        <f>SUM(H5:H9)</f>
        <v>8675</v>
      </c>
      <c r="I10" s="1">
        <f>SUM(I4:I9)</f>
        <v>26339</v>
      </c>
      <c r="J10" s="13" t="s">
        <v>12</v>
      </c>
      <c r="O10" s="170" t="s">
        <v>452</v>
      </c>
      <c r="P10" t="s">
        <v>580</v>
      </c>
      <c r="Q10" s="223">
        <v>42001</v>
      </c>
      <c r="R10" s="223">
        <v>42008</v>
      </c>
      <c r="S10" s="223">
        <v>42017</v>
      </c>
      <c r="T10" s="223">
        <v>42056</v>
      </c>
    </row>
    <row r="11" spans="2:24" x14ac:dyDescent="0.3">
      <c r="B11" s="1" t="s">
        <v>316</v>
      </c>
      <c r="C11" s="1" t="s">
        <v>2</v>
      </c>
      <c r="D11" s="10">
        <f>D5/D10</f>
        <v>0.99941469124963422</v>
      </c>
      <c r="E11" s="10">
        <f>E6/E10</f>
        <v>0.6076099881093936</v>
      </c>
      <c r="F11" s="10">
        <f>F7/F10</f>
        <v>0.88867136517880452</v>
      </c>
      <c r="G11" s="10">
        <f>G8/G10</f>
        <v>0.88509749303621166</v>
      </c>
      <c r="H11" s="10">
        <f>H9/H10</f>
        <v>0.98455331412103742</v>
      </c>
      <c r="I11" s="10"/>
      <c r="J11" s="14">
        <f>(D5+E6+F7+G8+H9)/I10</f>
        <v>0.92486426971411217</v>
      </c>
      <c r="O11" s="170" t="s">
        <v>453</v>
      </c>
      <c r="P11" t="s">
        <v>581</v>
      </c>
      <c r="Q11" s="223">
        <v>43464</v>
      </c>
      <c r="R11" s="223">
        <v>43521</v>
      </c>
    </row>
    <row r="12" spans="2:24" x14ac:dyDescent="0.3">
      <c r="C12" s="1" t="s">
        <v>14</v>
      </c>
      <c r="D12" s="11">
        <f>1-D11</f>
        <v>5.8530875036577612E-4</v>
      </c>
      <c r="E12" s="11">
        <f>1-E11</f>
        <v>0.3923900118906064</v>
      </c>
      <c r="F12" s="11">
        <f>1-F11</f>
        <v>0.11132863482119548</v>
      </c>
      <c r="G12" s="11">
        <f>1-G11</f>
        <v>0.11490250696378834</v>
      </c>
      <c r="H12" s="11">
        <f>1-H11</f>
        <v>1.5446685878962585E-2</v>
      </c>
      <c r="O12" s="170" t="s">
        <v>454</v>
      </c>
      <c r="P12" t="s">
        <v>581</v>
      </c>
      <c r="Q12" s="223">
        <v>43459</v>
      </c>
      <c r="R12" s="223">
        <v>43511</v>
      </c>
      <c r="T12" s="223"/>
      <c r="W12" s="224">
        <v>0.64659722222222227</v>
      </c>
      <c r="X12" s="224">
        <v>0.6369097222222222</v>
      </c>
    </row>
    <row r="13" spans="2:24" x14ac:dyDescent="0.3">
      <c r="D13" s="2"/>
      <c r="O13" s="171" t="s">
        <v>388</v>
      </c>
      <c r="P13" t="s">
        <v>575</v>
      </c>
      <c r="Q13" s="223">
        <v>45314</v>
      </c>
      <c r="R13" s="223">
        <v>45316</v>
      </c>
      <c r="W13" s="224">
        <v>0.64362268518518517</v>
      </c>
      <c r="X13" s="224">
        <v>0.63924768518518515</v>
      </c>
    </row>
    <row r="14" spans="2:24" x14ac:dyDescent="0.3">
      <c r="B14" s="1" t="s">
        <v>518</v>
      </c>
      <c r="C14" s="1" t="s">
        <v>519</v>
      </c>
      <c r="D14" s="1" t="s">
        <v>523</v>
      </c>
      <c r="E14" s="1" t="s">
        <v>520</v>
      </c>
      <c r="F14" s="1" t="s">
        <v>522</v>
      </c>
      <c r="G14" s="1" t="s">
        <v>521</v>
      </c>
    </row>
    <row r="15" spans="2:24" x14ac:dyDescent="0.3">
      <c r="B15" s="1">
        <f>_xlfn.QUARTILE.INC(D5:H9,1)</f>
        <v>1</v>
      </c>
      <c r="C15" s="1">
        <f>_xlfn.QUARTILE.EXC(D5:H9,2)</f>
        <v>105</v>
      </c>
      <c r="D15" s="1">
        <f>_xlfn.PERCENTILE.INC(D5:H9,0.7)</f>
        <v>241.7999999999999</v>
      </c>
      <c r="E15" s="1">
        <f>_xlfn.QUARTILE.EXC(D5:H9,3)</f>
        <v>439</v>
      </c>
      <c r="F15" s="1">
        <f>AVERAGE(D5:H9)</f>
        <v>1053.56</v>
      </c>
      <c r="G15" s="1">
        <f>MAX(D5:H9)</f>
        <v>8541</v>
      </c>
      <c r="O15" s="169">
        <v>1977</v>
      </c>
      <c r="P15" t="s">
        <v>575</v>
      </c>
      <c r="Q15" s="169">
        <v>1977</v>
      </c>
      <c r="R15" t="s">
        <v>587</v>
      </c>
    </row>
    <row r="16" spans="2:24" x14ac:dyDescent="0.3">
      <c r="B16" s="204">
        <v>0</v>
      </c>
      <c r="C16" s="204" t="s">
        <v>719</v>
      </c>
      <c r="D16" s="204" t="s">
        <v>720</v>
      </c>
      <c r="E16" s="204" t="s">
        <v>721</v>
      </c>
      <c r="F16" s="204" t="s">
        <v>722</v>
      </c>
      <c r="G16" s="204" t="s">
        <v>723</v>
      </c>
      <c r="O16" s="170" t="s">
        <v>373</v>
      </c>
      <c r="P16" t="s">
        <v>575</v>
      </c>
    </row>
    <row r="17" spans="2:25" x14ac:dyDescent="0.3">
      <c r="B17" s="204"/>
      <c r="C17" s="205"/>
      <c r="D17" s="206"/>
      <c r="E17" s="207"/>
      <c r="F17" s="208"/>
      <c r="G17" s="209"/>
      <c r="O17" s="171" t="s">
        <v>388</v>
      </c>
      <c r="P17" t="s">
        <v>575</v>
      </c>
      <c r="Q17" s="170">
        <v>1988</v>
      </c>
      <c r="R17" t="s">
        <v>588</v>
      </c>
    </row>
    <row r="18" spans="2:25" x14ac:dyDescent="0.3">
      <c r="C18" s="1" t="s">
        <v>2</v>
      </c>
      <c r="D18" s="1" t="s">
        <v>1</v>
      </c>
      <c r="E18" s="1" t="s">
        <v>491</v>
      </c>
      <c r="Q18" s="170" t="s">
        <v>371</v>
      </c>
      <c r="R18" t="s">
        <v>588</v>
      </c>
    </row>
    <row r="19" spans="2:25" x14ac:dyDescent="0.3">
      <c r="B19" s="197" t="s">
        <v>447</v>
      </c>
      <c r="C19" s="57">
        <f>D11*100</f>
        <v>99.941469124963419</v>
      </c>
      <c r="D19" s="57">
        <f>J5*100</f>
        <v>81.698564593301441</v>
      </c>
      <c r="E19" s="57">
        <f>Spectral!R119</f>
        <v>35.586582360774401</v>
      </c>
      <c r="F19" t="s">
        <v>549</v>
      </c>
      <c r="O19" s="170" t="s">
        <v>378</v>
      </c>
      <c r="P19" t="s">
        <v>579</v>
      </c>
      <c r="Q19" s="170" t="s">
        <v>373</v>
      </c>
      <c r="R19" t="s">
        <v>588</v>
      </c>
    </row>
    <row r="20" spans="2:25" x14ac:dyDescent="0.3">
      <c r="B20" s="198" t="s">
        <v>446</v>
      </c>
      <c r="C20" s="57">
        <f>E11*100</f>
        <v>60.760998810939363</v>
      </c>
      <c r="D20" s="57">
        <f t="shared" ref="D20:D23" si="0">J6*100</f>
        <v>93.248175182481745</v>
      </c>
      <c r="E20" s="57">
        <f>Spectral!S119</f>
        <v>30.190506429088394</v>
      </c>
      <c r="F20" t="s">
        <v>550</v>
      </c>
      <c r="O20" s="170" t="s">
        <v>380</v>
      </c>
      <c r="P20" t="s">
        <v>579</v>
      </c>
      <c r="Q20" s="170" t="s">
        <v>453</v>
      </c>
      <c r="R20" t="s">
        <v>588</v>
      </c>
    </row>
    <row r="21" spans="2:25" x14ac:dyDescent="0.3">
      <c r="B21" s="199" t="s">
        <v>448</v>
      </c>
      <c r="C21" s="57">
        <f>F11*100</f>
        <v>88.867136517880454</v>
      </c>
      <c r="D21" s="57">
        <f t="shared" si="0"/>
        <v>98.982410234045645</v>
      </c>
      <c r="E21" s="57">
        <f>Spectral!T119</f>
        <v>22.295866659711887</v>
      </c>
      <c r="F21" t="s">
        <v>551</v>
      </c>
      <c r="Q21" s="170" t="s">
        <v>454</v>
      </c>
      <c r="R21" t="s">
        <v>588</v>
      </c>
    </row>
    <row r="22" spans="2:25" x14ac:dyDescent="0.3">
      <c r="B22" s="200" t="s">
        <v>449</v>
      </c>
      <c r="C22" s="57">
        <f>G11*100</f>
        <v>88.509749303621163</v>
      </c>
      <c r="D22" s="57">
        <f t="shared" si="0"/>
        <v>94.691748929037061</v>
      </c>
      <c r="E22" s="57">
        <f>Spectral!U119</f>
        <v>29.124359925514199</v>
      </c>
      <c r="F22" t="s">
        <v>552</v>
      </c>
      <c r="O22" s="170" t="s">
        <v>452</v>
      </c>
      <c r="P22" t="s">
        <v>580</v>
      </c>
      <c r="Q22" s="171" t="s">
        <v>388</v>
      </c>
      <c r="R22" t="s">
        <v>588</v>
      </c>
    </row>
    <row r="23" spans="2:25" x14ac:dyDescent="0.3">
      <c r="B23" s="201" t="s">
        <v>450</v>
      </c>
      <c r="C23" s="57">
        <f>H11*100</f>
        <v>98.455331412103746</v>
      </c>
      <c r="D23" s="57">
        <f t="shared" si="0"/>
        <v>91.2207625760974</v>
      </c>
      <c r="E23" s="57">
        <f>Spectral!V119</f>
        <v>10.623491835239173</v>
      </c>
      <c r="F23" t="s">
        <v>553</v>
      </c>
      <c r="O23" s="170" t="s">
        <v>453</v>
      </c>
      <c r="P23" t="s">
        <v>581</v>
      </c>
    </row>
    <row r="24" spans="2:25" x14ac:dyDescent="0.3">
      <c r="O24" s="170" t="s">
        <v>454</v>
      </c>
      <c r="P24" t="s">
        <v>581</v>
      </c>
      <c r="Q24" s="170" t="s">
        <v>369</v>
      </c>
      <c r="R24" t="s">
        <v>589</v>
      </c>
    </row>
    <row r="26" spans="2:25" x14ac:dyDescent="0.3">
      <c r="B26" s="348" t="s">
        <v>683</v>
      </c>
      <c r="C26" s="348"/>
      <c r="D26" s="348"/>
      <c r="E26" s="348"/>
      <c r="F26" s="348"/>
      <c r="G26" s="348"/>
      <c r="H26" s="348"/>
      <c r="I26" s="348"/>
      <c r="J26" s="348"/>
      <c r="K26" s="348"/>
      <c r="L26" s="348"/>
      <c r="O26" s="170" t="s">
        <v>371</v>
      </c>
      <c r="P26" t="s">
        <v>578</v>
      </c>
      <c r="Q26" s="170" t="s">
        <v>378</v>
      </c>
      <c r="R26" t="s">
        <v>590</v>
      </c>
    </row>
    <row r="27" spans="2:25" x14ac:dyDescent="0.3">
      <c r="B27" t="s">
        <v>528</v>
      </c>
      <c r="J27" s="1" t="s">
        <v>53</v>
      </c>
      <c r="Q27" s="170" t="s">
        <v>452</v>
      </c>
      <c r="R27" t="s">
        <v>590</v>
      </c>
    </row>
    <row r="28" spans="2:25" ht="15.6" x14ac:dyDescent="0.35">
      <c r="C28" s="1" t="s">
        <v>0</v>
      </c>
      <c r="D28" s="90" t="s">
        <v>447</v>
      </c>
      <c r="E28" s="91" t="s">
        <v>446</v>
      </c>
      <c r="F28" s="92" t="s">
        <v>448</v>
      </c>
      <c r="G28" s="124" t="s">
        <v>449</v>
      </c>
      <c r="H28" s="123" t="s">
        <v>450</v>
      </c>
      <c r="I28" s="1" t="s">
        <v>20</v>
      </c>
      <c r="J28" s="1" t="s">
        <v>1</v>
      </c>
      <c r="K28" s="1" t="s">
        <v>13</v>
      </c>
      <c r="M28" s="1" t="s">
        <v>51</v>
      </c>
      <c r="O28" s="170">
        <v>1988</v>
      </c>
      <c r="P28" t="s">
        <v>576</v>
      </c>
    </row>
    <row r="29" spans="2:25" x14ac:dyDescent="0.3">
      <c r="B29" t="s">
        <v>3</v>
      </c>
      <c r="C29" s="197" t="s">
        <v>447</v>
      </c>
      <c r="D29" s="234">
        <f>'77_Seeds'!AL83+'88_Seeds'!AL83</f>
        <v>229</v>
      </c>
      <c r="E29" s="3">
        <f>'77_Seeds'!AM83+'88_Seeds'!AM83</f>
        <v>0</v>
      </c>
      <c r="F29" s="3">
        <f>'77_Seeds'!AN83+'88_Seeds'!AN83</f>
        <v>0</v>
      </c>
      <c r="G29" s="185">
        <f>'77_Seeds'!AO83+'88_Seeds'!AO83</f>
        <v>1</v>
      </c>
      <c r="H29" s="4">
        <f>'77_Seeds'!AP83+'88_Seeds'!AP83</f>
        <v>0</v>
      </c>
      <c r="I29" s="1">
        <f>SUM(D29:H29)</f>
        <v>230</v>
      </c>
      <c r="J29" s="10">
        <f>D29/I29</f>
        <v>0.9956521739130435</v>
      </c>
      <c r="K29" s="11">
        <f>1-J29</f>
        <v>4.3478260869564966E-3</v>
      </c>
      <c r="L29">
        <f>I29-D34</f>
        <v>1</v>
      </c>
      <c r="M29" s="10">
        <f>2*(D35*J29)/(D35+J29)</f>
        <v>0.9978213507625272</v>
      </c>
      <c r="Q29" s="170" t="s">
        <v>380</v>
      </c>
      <c r="R29" t="s">
        <v>591</v>
      </c>
    </row>
    <row r="30" spans="2:25" x14ac:dyDescent="0.3">
      <c r="B30" t="s">
        <v>4</v>
      </c>
      <c r="C30" s="198" t="s">
        <v>446</v>
      </c>
      <c r="D30" s="1">
        <f>'77_Seeds'!AL84+'88_Seeds'!AL84</f>
        <v>0</v>
      </c>
      <c r="E30" s="183">
        <f>'77_Seeds'!AM84+'88_Seeds'!AM84</f>
        <v>21</v>
      </c>
      <c r="F30" s="188">
        <f>'77_Seeds'!AN84+'88_Seeds'!AN84</f>
        <v>9</v>
      </c>
      <c r="G30" s="1">
        <f>'77_Seeds'!AO84+'88_Seeds'!AO84</f>
        <v>0</v>
      </c>
      <c r="H30" s="6">
        <f>'77_Seeds'!AP84+'88_Seeds'!AP84</f>
        <v>0</v>
      </c>
      <c r="I30" s="1">
        <f>SUM(D30:H30)</f>
        <v>30</v>
      </c>
      <c r="J30" s="10">
        <f>E30/I30</f>
        <v>0.7</v>
      </c>
      <c r="K30" s="11">
        <f>1-J30</f>
        <v>0.30000000000000004</v>
      </c>
      <c r="L30">
        <f>I30-E34</f>
        <v>9</v>
      </c>
      <c r="M30" s="10">
        <f>2*(E35*J30)/(E35+J30)</f>
        <v>0.82352941176470584</v>
      </c>
      <c r="O30" s="170" t="s">
        <v>369</v>
      </c>
      <c r="P30" t="s">
        <v>577</v>
      </c>
    </row>
    <row r="31" spans="2:25" x14ac:dyDescent="0.3">
      <c r="B31" t="s">
        <v>5</v>
      </c>
      <c r="C31" s="199" t="s">
        <v>448</v>
      </c>
      <c r="D31" s="1">
        <f>'77_Seeds'!AL85+'88_Seeds'!AL85</f>
        <v>0</v>
      </c>
      <c r="E31" s="1">
        <f>'77_Seeds'!AM85+'88_Seeds'!AM85</f>
        <v>0</v>
      </c>
      <c r="F31" s="182">
        <f>'77_Seeds'!AN85+'88_Seeds'!AN85</f>
        <v>318</v>
      </c>
      <c r="G31" s="1">
        <f>'77_Seeds'!AO85+'88_Seeds'!AO85</f>
        <v>0</v>
      </c>
      <c r="H31" s="191">
        <f>'77_Seeds'!AP85+'88_Seeds'!AP85</f>
        <v>2</v>
      </c>
      <c r="I31" s="1">
        <f>SUM(D31:H31)</f>
        <v>320</v>
      </c>
      <c r="J31" s="10">
        <f>F31/I31</f>
        <v>0.99375000000000002</v>
      </c>
      <c r="K31" s="11">
        <f>1-J31</f>
        <v>6.2499999999999778E-3</v>
      </c>
      <c r="L31">
        <f>I31-F34</f>
        <v>-27</v>
      </c>
      <c r="M31" s="10">
        <f>2*(F35*J31)/(F35+J31)</f>
        <v>0.95352323838080955</v>
      </c>
    </row>
    <row r="32" spans="2:25" x14ac:dyDescent="0.3">
      <c r="B32" t="s">
        <v>6</v>
      </c>
      <c r="C32" s="200" t="s">
        <v>449</v>
      </c>
      <c r="D32" s="1">
        <f>'77_Seeds'!AL86+'88_Seeds'!AL86</f>
        <v>0</v>
      </c>
      <c r="E32" s="1">
        <f>'77_Seeds'!AM86+'88_Seeds'!AM86</f>
        <v>0</v>
      </c>
      <c r="F32" s="188">
        <f>'77_Seeds'!AN86+'88_Seeds'!AN86</f>
        <v>6</v>
      </c>
      <c r="G32" s="182">
        <f>'77_Seeds'!AO86+'88_Seeds'!AO86</f>
        <v>265</v>
      </c>
      <c r="H32" s="192">
        <f>'77_Seeds'!AP86+'88_Seeds'!AP86</f>
        <v>17</v>
      </c>
      <c r="I32" s="1">
        <f>SUM(D32:H32)</f>
        <v>288</v>
      </c>
      <c r="J32" s="10">
        <f>G32/I32</f>
        <v>0.92013888888888884</v>
      </c>
      <c r="K32" s="11">
        <f>1-J32</f>
        <v>7.986111111111116E-2</v>
      </c>
      <c r="L32">
        <f>I32-G34</f>
        <v>-40</v>
      </c>
      <c r="M32" s="10">
        <f>2*(G35*J32)/(G35+J32)</f>
        <v>0.86038961038961037</v>
      </c>
      <c r="O32" s="348" t="s">
        <v>684</v>
      </c>
      <c r="P32" s="348"/>
      <c r="Q32" s="348"/>
      <c r="R32" s="348"/>
      <c r="S32" s="348"/>
      <c r="T32" s="348"/>
      <c r="U32" s="348"/>
      <c r="V32" s="348"/>
      <c r="W32" s="348"/>
      <c r="X32" s="348"/>
      <c r="Y32" s="348"/>
    </row>
    <row r="33" spans="2:26" x14ac:dyDescent="0.3">
      <c r="B33" t="s">
        <v>7</v>
      </c>
      <c r="C33" s="201" t="s">
        <v>450</v>
      </c>
      <c r="D33" s="8">
        <f>'77_Seeds'!AL87+'88_Seeds'!AL87</f>
        <v>0</v>
      </c>
      <c r="E33" s="8">
        <f>'77_Seeds'!AM87+'88_Seeds'!AM87</f>
        <v>0</v>
      </c>
      <c r="F33" s="193">
        <f>'77_Seeds'!AN87+'88_Seeds'!AN87</f>
        <v>14</v>
      </c>
      <c r="G33" s="237">
        <f>'77_Seeds'!AO87+'88_Seeds'!AO87</f>
        <v>62</v>
      </c>
      <c r="H33" s="210">
        <f>'77_Seeds'!AP87+'88_Seeds'!AP87</f>
        <v>412</v>
      </c>
      <c r="I33" s="1">
        <f>SUM(D33:H33)</f>
        <v>488</v>
      </c>
      <c r="J33" s="10">
        <f>H33/I33</f>
        <v>0.84426229508196726</v>
      </c>
      <c r="K33" s="11">
        <f>1-J33</f>
        <v>0.15573770491803274</v>
      </c>
      <c r="L33">
        <f>I33-H34</f>
        <v>57</v>
      </c>
      <c r="M33" s="10">
        <f>2*(H35*J33)/(H35+J33)</f>
        <v>0.89662676822633292</v>
      </c>
      <c r="O33" t="s">
        <v>528</v>
      </c>
      <c r="W33" s="1" t="s">
        <v>53</v>
      </c>
    </row>
    <row r="34" spans="2:26" ht="15.6" x14ac:dyDescent="0.35">
      <c r="C34" s="1" t="s">
        <v>19</v>
      </c>
      <c r="D34" s="1">
        <f>SUM(D29:D33)</f>
        <v>229</v>
      </c>
      <c r="E34" s="1">
        <f>SUM(E29:E33)</f>
        <v>21</v>
      </c>
      <c r="F34" s="1">
        <f>SUM(F29:F33)</f>
        <v>347</v>
      </c>
      <c r="G34" s="1">
        <f>SUM(G29:G33)</f>
        <v>328</v>
      </c>
      <c r="H34" s="1">
        <f>SUM(H29:H33)</f>
        <v>431</v>
      </c>
      <c r="I34" s="1">
        <f>SUM(I28:I33)</f>
        <v>1356</v>
      </c>
      <c r="J34" s="13" t="s">
        <v>12</v>
      </c>
      <c r="P34" s="1" t="s">
        <v>0</v>
      </c>
      <c r="Q34" s="90" t="s">
        <v>447</v>
      </c>
      <c r="R34" s="91" t="s">
        <v>446</v>
      </c>
      <c r="S34" s="92" t="s">
        <v>448</v>
      </c>
      <c r="T34" s="124" t="s">
        <v>449</v>
      </c>
      <c r="U34" s="123" t="s">
        <v>450</v>
      </c>
      <c r="V34" s="1" t="s">
        <v>20</v>
      </c>
      <c r="W34" s="1" t="s">
        <v>1</v>
      </c>
      <c r="X34" s="1" t="s">
        <v>13</v>
      </c>
      <c r="Z34" s="1" t="s">
        <v>51</v>
      </c>
    </row>
    <row r="35" spans="2:26" x14ac:dyDescent="0.3">
      <c r="B35" s="1" t="s">
        <v>316</v>
      </c>
      <c r="C35" s="1" t="s">
        <v>2</v>
      </c>
      <c r="D35" s="10">
        <f>D29/D34</f>
        <v>1</v>
      </c>
      <c r="E35" s="10">
        <f>E30/E34</f>
        <v>1</v>
      </c>
      <c r="F35" s="10">
        <f>F31/F34</f>
        <v>0.91642651296829969</v>
      </c>
      <c r="G35" s="10">
        <f>G32/G34</f>
        <v>0.80792682926829273</v>
      </c>
      <c r="H35" s="10">
        <f>H33/H34</f>
        <v>0.95591647331786544</v>
      </c>
      <c r="I35" s="10"/>
      <c r="J35" s="14">
        <f>(D29+E30+F31+G32+H33)/I34</f>
        <v>0.91814159292035402</v>
      </c>
      <c r="O35" t="s">
        <v>3</v>
      </c>
      <c r="P35" s="197" t="s">
        <v>447</v>
      </c>
      <c r="Q35" s="234">
        <f>'77_Seeds'!AL83+'01T_Seeds'!AL83+'24M_Seeds'!AL83</f>
        <v>1015</v>
      </c>
      <c r="R35" s="3">
        <f>'77_Seeds'!AM83+'01T_Seeds'!AM83+'24M_Seeds'!AM83</f>
        <v>0</v>
      </c>
      <c r="S35" s="3">
        <f>'77_Seeds'!AN83+'01T_Seeds'!AN83+'24M_Seeds'!AN83</f>
        <v>0</v>
      </c>
      <c r="T35" s="185">
        <f>'77_Seeds'!AO83+'01T_Seeds'!AO83+'24M_Seeds'!AO83</f>
        <v>1</v>
      </c>
      <c r="U35" s="4">
        <f>'77_Seeds'!AP83+'01T_Seeds'!AP83+'24M_Seeds'!AP83</f>
        <v>0</v>
      </c>
      <c r="V35" s="1">
        <f>SUM(Q35:U35)</f>
        <v>1016</v>
      </c>
      <c r="W35" s="10">
        <f>Q35/V35</f>
        <v>0.99901574803149606</v>
      </c>
      <c r="X35" s="11">
        <f>1-W35</f>
        <v>9.8425196850393526E-4</v>
      </c>
      <c r="Y35">
        <f>V35-Q40</f>
        <v>1</v>
      </c>
      <c r="Z35" s="10">
        <f>2*(Q41*W35)/(Q41+W35)</f>
        <v>0.99950763170851797</v>
      </c>
    </row>
    <row r="36" spans="2:26" x14ac:dyDescent="0.3">
      <c r="C36" s="1" t="s">
        <v>14</v>
      </c>
      <c r="D36" s="11">
        <f>1-D35</f>
        <v>0</v>
      </c>
      <c r="E36" s="11">
        <f>1-E35</f>
        <v>0</v>
      </c>
      <c r="F36" s="11">
        <f>1-F35</f>
        <v>8.3573487031700311E-2</v>
      </c>
      <c r="G36" s="11">
        <f>1-G35</f>
        <v>0.19207317073170727</v>
      </c>
      <c r="H36" s="11">
        <f>1-H35</f>
        <v>4.4083526682134555E-2</v>
      </c>
      <c r="O36" t="s">
        <v>4</v>
      </c>
      <c r="P36" s="198" t="s">
        <v>446</v>
      </c>
      <c r="Q36" s="1">
        <f>'77_Seeds'!AL84+'01T_Seeds'!AL84+'24M_Seeds'!AL84</f>
        <v>0</v>
      </c>
      <c r="R36" s="183">
        <f>'77_Seeds'!AM84+'01T_Seeds'!AM84+'24M_Seeds'!AM84</f>
        <v>123</v>
      </c>
      <c r="S36" s="188">
        <f>'77_Seeds'!AN84+'01T_Seeds'!AN84+'24M_Seeds'!AN84</f>
        <v>12</v>
      </c>
      <c r="T36" s="240">
        <f>'77_Seeds'!AO84+'01T_Seeds'!AO84+'24M_Seeds'!AO84</f>
        <v>0</v>
      </c>
      <c r="U36" s="187">
        <f>'77_Seeds'!AP84+'01T_Seeds'!AP84+'24M_Seeds'!AP84</f>
        <v>1</v>
      </c>
      <c r="V36" s="1">
        <f>SUM(Q36:U36)</f>
        <v>136</v>
      </c>
      <c r="W36" s="10">
        <f>R36/V36</f>
        <v>0.90441176470588236</v>
      </c>
      <c r="X36" s="11">
        <f>1-W36</f>
        <v>9.5588235294117641E-2</v>
      </c>
      <c r="Y36">
        <f>V36-R40</f>
        <v>11</v>
      </c>
      <c r="Z36" s="10">
        <f>2*(R41*W36)/(R41+W36)</f>
        <v>0.94252873563218398</v>
      </c>
    </row>
    <row r="37" spans="2:26" x14ac:dyDescent="0.3">
      <c r="D37" s="2"/>
      <c r="O37" t="s">
        <v>5</v>
      </c>
      <c r="P37" s="199" t="s">
        <v>448</v>
      </c>
      <c r="Q37" s="1">
        <f>'77_Seeds'!AL85+'01T_Seeds'!AL85+'24M_Seeds'!AL85</f>
        <v>0</v>
      </c>
      <c r="R37" s="240">
        <f>'77_Seeds'!AM85+'01T_Seeds'!AM85+'24M_Seeds'!AM85</f>
        <v>0</v>
      </c>
      <c r="S37" s="182">
        <f>'77_Seeds'!AN85+'01T_Seeds'!AN85+'24M_Seeds'!AN85</f>
        <v>1649</v>
      </c>
      <c r="T37" s="188">
        <f>'77_Seeds'!AO85+'01T_Seeds'!AO85+'24M_Seeds'!AO85</f>
        <v>10</v>
      </c>
      <c r="U37" s="191">
        <f>'77_Seeds'!AP85+'01T_Seeds'!AP85+'24M_Seeds'!AP85</f>
        <v>4</v>
      </c>
      <c r="V37" s="1">
        <f>SUM(Q37:U37)</f>
        <v>1663</v>
      </c>
      <c r="W37" s="10">
        <f>S37/V37</f>
        <v>0.99158147925435958</v>
      </c>
      <c r="X37" s="11">
        <f>1-W37</f>
        <v>8.4185207456404232E-3</v>
      </c>
      <c r="Y37">
        <f>V37-S40</f>
        <v>-95</v>
      </c>
      <c r="Z37" s="10">
        <f>2*(S41*W37)/(S41+W37)</f>
        <v>0.96404560070154921</v>
      </c>
    </row>
    <row r="38" spans="2:26" x14ac:dyDescent="0.3">
      <c r="B38" s="1" t="s">
        <v>518</v>
      </c>
      <c r="C38" s="1" t="s">
        <v>519</v>
      </c>
      <c r="D38" s="1" t="s">
        <v>523</v>
      </c>
      <c r="E38" s="1" t="s">
        <v>520</v>
      </c>
      <c r="F38" s="1" t="s">
        <v>522</v>
      </c>
      <c r="G38" s="1" t="s">
        <v>521</v>
      </c>
      <c r="O38" t="s">
        <v>6</v>
      </c>
      <c r="P38" s="200" t="s">
        <v>449</v>
      </c>
      <c r="Q38" s="1">
        <f>'77_Seeds'!AL86+'01T_Seeds'!AL86+'24M_Seeds'!AL86</f>
        <v>0</v>
      </c>
      <c r="R38" s="240">
        <f>'77_Seeds'!AM86+'01T_Seeds'!AM86+'24M_Seeds'!AM86</f>
        <v>0</v>
      </c>
      <c r="S38" s="184">
        <f>'77_Seeds'!AN86+'01T_Seeds'!AN86+'24M_Seeds'!AN86</f>
        <v>48</v>
      </c>
      <c r="T38" s="182">
        <f>'77_Seeds'!AO86+'01T_Seeds'!AO86+'24M_Seeds'!AO86</f>
        <v>1273</v>
      </c>
      <c r="U38" s="191">
        <f>'77_Seeds'!AP86+'01T_Seeds'!AP86+'24M_Seeds'!AP86</f>
        <v>23</v>
      </c>
      <c r="V38" s="1">
        <f>SUM(Q38:U38)</f>
        <v>1344</v>
      </c>
      <c r="W38" s="10">
        <f>T38/V38</f>
        <v>0.94717261904761907</v>
      </c>
      <c r="X38" s="11">
        <f>1-W38</f>
        <v>5.2827380952380931E-2</v>
      </c>
      <c r="Y38">
        <f>V38-T40</f>
        <v>-48</v>
      </c>
      <c r="Z38" s="10">
        <f>2*(T41*W38)/(T41+W38)</f>
        <v>0.93055555555555558</v>
      </c>
    </row>
    <row r="39" spans="2:26" x14ac:dyDescent="0.3">
      <c r="B39" s="1">
        <f>_xlfn.QUARTILE.INC(D29:H33,1)</f>
        <v>0</v>
      </c>
      <c r="C39" s="1">
        <f>_xlfn.QUARTILE.EXC(D29:H33,2)</f>
        <v>0</v>
      </c>
      <c r="D39" s="1">
        <f>_xlfn.PERCENTILE.INC(D29:H33,0.7)</f>
        <v>12.999999999999986</v>
      </c>
      <c r="E39" s="1">
        <f>_xlfn.QUARTILE.EXC(D29:H33,3)</f>
        <v>19</v>
      </c>
      <c r="F39" s="1">
        <f>AVERAGE(D29:H33)</f>
        <v>54.24</v>
      </c>
      <c r="G39" s="1">
        <f>MAX(D29:H33)</f>
        <v>412</v>
      </c>
      <c r="O39" t="s">
        <v>7</v>
      </c>
      <c r="P39" s="201" t="s">
        <v>450</v>
      </c>
      <c r="Q39" s="8">
        <f>'77_Seeds'!AL87+'01T_Seeds'!AL87+'24M_Seeds'!AL87</f>
        <v>0</v>
      </c>
      <c r="R39" s="190">
        <f>'77_Seeds'!AM87+'01T_Seeds'!AM87+'24M_Seeds'!AM87</f>
        <v>2</v>
      </c>
      <c r="S39" s="193">
        <f>'77_Seeds'!AN87+'01T_Seeds'!AN87+'24M_Seeds'!AN87</f>
        <v>49</v>
      </c>
      <c r="T39" s="222">
        <f>'77_Seeds'!AO87+'01T_Seeds'!AO87+'24M_Seeds'!AO87</f>
        <v>108</v>
      </c>
      <c r="U39" s="210">
        <f>'77_Seeds'!AP87+'01T_Seeds'!AP87+'24M_Seeds'!AP87</f>
        <v>2107</v>
      </c>
      <c r="V39" s="1">
        <f>SUM(Q39:U39)</f>
        <v>2266</v>
      </c>
      <c r="W39" s="10">
        <f>U39/V39</f>
        <v>0.92983230361871139</v>
      </c>
      <c r="X39" s="11">
        <f>1-W39</f>
        <v>7.0167696381288613E-2</v>
      </c>
      <c r="Y39">
        <f>V39-U40</f>
        <v>131</v>
      </c>
      <c r="Z39" s="10">
        <f>2*(U41*W39)/(U41+W39)</f>
        <v>0.95750965689616008</v>
      </c>
    </row>
    <row r="40" spans="2:26" ht="15.6" x14ac:dyDescent="0.35">
      <c r="B40" s="204">
        <v>0</v>
      </c>
      <c r="C40" s="220" t="s">
        <v>724</v>
      </c>
      <c r="D40" s="220" t="s">
        <v>725</v>
      </c>
      <c r="E40" s="204" t="s">
        <v>726</v>
      </c>
      <c r="F40" s="204" t="s">
        <v>727</v>
      </c>
      <c r="G40" s="204" t="s">
        <v>728</v>
      </c>
      <c r="P40" s="1" t="s">
        <v>19</v>
      </c>
      <c r="Q40" s="1">
        <f>SUM(Q35:Q39)</f>
        <v>1015</v>
      </c>
      <c r="R40" s="1">
        <f>SUM(R35:R39)</f>
        <v>125</v>
      </c>
      <c r="S40" s="1">
        <f>SUM(S35:S39)</f>
        <v>1758</v>
      </c>
      <c r="T40" s="1">
        <f>SUM(T35:T39)</f>
        <v>1392</v>
      </c>
      <c r="U40" s="1">
        <f>SUM(U35:U39)</f>
        <v>2135</v>
      </c>
      <c r="V40" s="1">
        <f>SUM(V34:V39)</f>
        <v>6425</v>
      </c>
      <c r="W40" s="13" t="s">
        <v>12</v>
      </c>
    </row>
    <row r="41" spans="2:26" x14ac:dyDescent="0.3">
      <c r="B41" s="174"/>
      <c r="C41" s="205"/>
      <c r="D41" s="206"/>
      <c r="E41" s="207"/>
      <c r="F41" s="208"/>
      <c r="G41" s="209"/>
      <c r="O41" s="1" t="s">
        <v>316</v>
      </c>
      <c r="P41" s="1" t="s">
        <v>2</v>
      </c>
      <c r="Q41" s="10">
        <f>Q35/Q40</f>
        <v>1</v>
      </c>
      <c r="R41" s="10">
        <f>R36/R40</f>
        <v>0.98399999999999999</v>
      </c>
      <c r="S41" s="10">
        <f>S37/S40</f>
        <v>0.93799772468714449</v>
      </c>
      <c r="T41" s="10">
        <f>T38/T40</f>
        <v>0.91451149425287359</v>
      </c>
      <c r="U41" s="10">
        <f>U39/U40</f>
        <v>0.9868852459016394</v>
      </c>
      <c r="V41" s="10"/>
      <c r="W41" s="14">
        <f>(Q35+R36+S37+T38+U39)/V40</f>
        <v>0.95984435797665368</v>
      </c>
    </row>
    <row r="42" spans="2:26" x14ac:dyDescent="0.3">
      <c r="C42" s="1" t="s">
        <v>2</v>
      </c>
      <c r="D42" s="1" t="s">
        <v>1</v>
      </c>
      <c r="E42" s="1" t="s">
        <v>491</v>
      </c>
      <c r="P42" s="1" t="s">
        <v>14</v>
      </c>
      <c r="Q42" s="11">
        <f>1-Q41</f>
        <v>0</v>
      </c>
      <c r="R42" s="11">
        <f>1-R41</f>
        <v>1.6000000000000014E-2</v>
      </c>
      <c r="S42" s="11">
        <f>1-S41</f>
        <v>6.2002275312855515E-2</v>
      </c>
      <c r="T42" s="11">
        <f>1-T41</f>
        <v>8.5488505747126409E-2</v>
      </c>
      <c r="U42" s="11">
        <f>1-U41</f>
        <v>1.3114754098360604E-2</v>
      </c>
    </row>
    <row r="43" spans="2:26" x14ac:dyDescent="0.3">
      <c r="B43" s="197" t="s">
        <v>447</v>
      </c>
      <c r="C43" s="57">
        <f>D35*100</f>
        <v>100</v>
      </c>
      <c r="D43" s="57">
        <f>J29*100</f>
        <v>99.565217391304344</v>
      </c>
      <c r="E43" s="57">
        <f>Spectral!R120</f>
        <v>17.801861453045113</v>
      </c>
      <c r="F43" t="s">
        <v>554</v>
      </c>
      <c r="Q43" s="2"/>
    </row>
    <row r="44" spans="2:26" x14ac:dyDescent="0.3">
      <c r="B44" s="198" t="s">
        <v>446</v>
      </c>
      <c r="C44" s="57">
        <f>E35*100</f>
        <v>100</v>
      </c>
      <c r="D44" s="57">
        <f t="shared" ref="D44:D47" si="1">J30*100</f>
        <v>70</v>
      </c>
      <c r="E44" s="57">
        <f>Spectral!S120</f>
        <v>20.964416608265484</v>
      </c>
      <c r="F44" t="s">
        <v>555</v>
      </c>
      <c r="O44" s="1" t="s">
        <v>518</v>
      </c>
      <c r="P44" s="1" t="s">
        <v>519</v>
      </c>
      <c r="Q44" s="1" t="s">
        <v>523</v>
      </c>
      <c r="R44" s="1" t="s">
        <v>520</v>
      </c>
      <c r="S44" s="1" t="s">
        <v>522</v>
      </c>
      <c r="T44" s="1" t="s">
        <v>521</v>
      </c>
    </row>
    <row r="45" spans="2:26" x14ac:dyDescent="0.3">
      <c r="B45" s="199" t="s">
        <v>448</v>
      </c>
      <c r="C45" s="57">
        <f>F35*100</f>
        <v>91.642651296829968</v>
      </c>
      <c r="D45" s="57">
        <f t="shared" si="1"/>
        <v>99.375</v>
      </c>
      <c r="E45" s="57">
        <f>Spectral!T120</f>
        <v>13.833743543673338</v>
      </c>
      <c r="F45" t="s">
        <v>556</v>
      </c>
      <c r="O45" s="1">
        <f>_xlfn.QUARTILE.INC(Q35:U39,1)</f>
        <v>0</v>
      </c>
      <c r="P45" s="1">
        <f>_xlfn.QUARTILE.EXC(Q35:U39,2)</f>
        <v>2</v>
      </c>
      <c r="Q45" s="1">
        <f>_xlfn.PERCENTILE.INC(Q35:U39,0.7)</f>
        <v>42.999999999999929</v>
      </c>
      <c r="R45" s="1">
        <f>_xlfn.QUARTILE.EXC(Q35:U39,3)</f>
        <v>78.5</v>
      </c>
      <c r="S45" s="1">
        <f>AVERAGE(Q35:U39)</f>
        <v>257</v>
      </c>
      <c r="T45" s="1">
        <f>MAX(Q35:U39)</f>
        <v>2107</v>
      </c>
    </row>
    <row r="46" spans="2:26" x14ac:dyDescent="0.3">
      <c r="B46" s="200" t="s">
        <v>449</v>
      </c>
      <c r="C46" s="57">
        <f>G35*100</f>
        <v>80.792682926829272</v>
      </c>
      <c r="D46" s="57">
        <f t="shared" si="1"/>
        <v>92.013888888888886</v>
      </c>
      <c r="E46" s="57">
        <f>Spectral!U120</f>
        <v>20.426739413023082</v>
      </c>
      <c r="F46" t="s">
        <v>557</v>
      </c>
      <c r="O46" s="204">
        <v>0</v>
      </c>
      <c r="P46" s="220" t="s">
        <v>614</v>
      </c>
      <c r="Q46" s="220" t="s">
        <v>744</v>
      </c>
      <c r="R46" s="204" t="s">
        <v>745</v>
      </c>
      <c r="S46" s="204" t="s">
        <v>746</v>
      </c>
      <c r="T46" s="204" t="s">
        <v>747</v>
      </c>
    </row>
    <row r="47" spans="2:26" x14ac:dyDescent="0.3">
      <c r="B47" s="201" t="s">
        <v>450</v>
      </c>
      <c r="C47" s="57">
        <f>H35*100</f>
        <v>95.591647331786547</v>
      </c>
      <c r="D47" s="57">
        <f t="shared" si="1"/>
        <v>84.426229508196727</v>
      </c>
      <c r="E47" s="57">
        <f>Spectral!V120</f>
        <v>8.7226263647970317</v>
      </c>
      <c r="F47" t="s">
        <v>558</v>
      </c>
      <c r="O47" s="204"/>
      <c r="P47" s="205"/>
      <c r="Q47" s="206"/>
      <c r="R47" s="207"/>
      <c r="S47" s="208"/>
      <c r="T47" s="209"/>
    </row>
    <row r="48" spans="2:26" x14ac:dyDescent="0.3">
      <c r="P48" s="1" t="s">
        <v>2</v>
      </c>
      <c r="Q48" s="1" t="s">
        <v>1</v>
      </c>
      <c r="R48" s="1" t="s">
        <v>491</v>
      </c>
    </row>
    <row r="49" spans="2:26" x14ac:dyDescent="0.3">
      <c r="O49" s="197" t="s">
        <v>447</v>
      </c>
      <c r="P49" s="57">
        <f>Q41*100</f>
        <v>100</v>
      </c>
      <c r="Q49" s="57">
        <f>W35*100</f>
        <v>99.9015748031496</v>
      </c>
      <c r="R49" s="57">
        <f>Spectral!R124</f>
        <v>30.566372212203284</v>
      </c>
      <c r="S49" t="s">
        <v>582</v>
      </c>
    </row>
    <row r="50" spans="2:26" x14ac:dyDescent="0.3">
      <c r="B50" s="348" t="s">
        <v>685</v>
      </c>
      <c r="C50" s="348"/>
      <c r="D50" s="348"/>
      <c r="E50" s="348"/>
      <c r="F50" s="348"/>
      <c r="G50" s="348"/>
      <c r="H50" s="348"/>
      <c r="I50" s="348"/>
      <c r="J50" s="348"/>
      <c r="K50" s="348"/>
      <c r="L50" s="348"/>
      <c r="O50" s="198" t="s">
        <v>446</v>
      </c>
      <c r="P50" s="57">
        <f>R41*100</f>
        <v>98.4</v>
      </c>
      <c r="Q50" s="57">
        <f t="shared" ref="Q50:Q53" si="2">W36*100</f>
        <v>90.441176470588232</v>
      </c>
      <c r="R50" s="57">
        <f>Spectral!S124</f>
        <v>30.17858623846314</v>
      </c>
      <c r="S50" t="s">
        <v>583</v>
      </c>
    </row>
    <row r="51" spans="2:26" x14ac:dyDescent="0.3">
      <c r="B51" t="s">
        <v>528</v>
      </c>
      <c r="J51" s="1" t="s">
        <v>53</v>
      </c>
      <c r="O51" s="199" t="s">
        <v>448</v>
      </c>
      <c r="P51" s="57">
        <f>S41*100</f>
        <v>93.799772468714451</v>
      </c>
      <c r="Q51" s="57">
        <f t="shared" si="2"/>
        <v>99.158147925435955</v>
      </c>
      <c r="R51" s="57">
        <f>Spectral!T124</f>
        <v>23.17713235243194</v>
      </c>
      <c r="S51" t="s">
        <v>584</v>
      </c>
    </row>
    <row r="52" spans="2:26" ht="15.6" x14ac:dyDescent="0.35">
      <c r="C52" s="1" t="s">
        <v>0</v>
      </c>
      <c r="D52" s="90" t="s">
        <v>447</v>
      </c>
      <c r="E52" s="91" t="s">
        <v>446</v>
      </c>
      <c r="F52" s="92" t="s">
        <v>448</v>
      </c>
      <c r="G52" s="124" t="s">
        <v>449</v>
      </c>
      <c r="H52" s="123" t="s">
        <v>450</v>
      </c>
      <c r="I52" s="1" t="s">
        <v>20</v>
      </c>
      <c r="J52" s="1" t="s">
        <v>1</v>
      </c>
      <c r="K52" s="1" t="s">
        <v>13</v>
      </c>
      <c r="M52" s="1" t="s">
        <v>51</v>
      </c>
      <c r="O52" s="200" t="s">
        <v>449</v>
      </c>
      <c r="P52" s="57">
        <f>T41*100</f>
        <v>91.451149425287355</v>
      </c>
      <c r="Q52" s="57">
        <f t="shared" si="2"/>
        <v>94.717261904761912</v>
      </c>
      <c r="R52" s="57">
        <f>Spectral!U124</f>
        <v>26.253022046799966</v>
      </c>
      <c r="S52" t="s">
        <v>585</v>
      </c>
    </row>
    <row r="53" spans="2:26" x14ac:dyDescent="0.3">
      <c r="B53" t="s">
        <v>3</v>
      </c>
      <c r="C53" s="197" t="s">
        <v>447</v>
      </c>
      <c r="D53" s="234">
        <f>'88T_Seeds'!AL83+'91T_Seeds'!AL83+'01T_Seeds'!AL83+'07E_Seeds'!AL83+'11E_Seeds'!AL83</f>
        <v>2116</v>
      </c>
      <c r="E53" s="3">
        <f>'88T_Seeds'!AM83+'91T_Seeds'!AM83+'01T_Seeds'!AM83+'07E_Seeds'!AM83+'11E_Seeds'!AM83</f>
        <v>0</v>
      </c>
      <c r="F53" s="3">
        <f>'88T_Seeds'!AN83+'91T_Seeds'!AN83+'01T_Seeds'!AN83+'07E_Seeds'!AN83+'11E_Seeds'!AN83</f>
        <v>0</v>
      </c>
      <c r="G53" s="236">
        <f>'88T_Seeds'!AO83+'91T_Seeds'!AO83+'01T_Seeds'!AO83+'07E_Seeds'!AO83+'11E_Seeds'!AO83</f>
        <v>32</v>
      </c>
      <c r="H53" s="4">
        <f>'88T_Seeds'!AP83+'91T_Seeds'!AP83+'01T_Seeds'!AP83+'07E_Seeds'!AP83+'11E_Seeds'!AP83</f>
        <v>0</v>
      </c>
      <c r="I53" s="1">
        <f>SUM(D53:H53)</f>
        <v>2148</v>
      </c>
      <c r="J53" s="10">
        <f>D53/I53</f>
        <v>0.98510242085661082</v>
      </c>
      <c r="K53" s="11">
        <f>1-J53</f>
        <v>1.4897579143389184E-2</v>
      </c>
      <c r="L53">
        <f>I53-D58</f>
        <v>32</v>
      </c>
      <c r="M53" s="10">
        <f>2*(D59*J53)/(D59+J53)</f>
        <v>0.99249530956848031</v>
      </c>
      <c r="O53" s="201" t="s">
        <v>450</v>
      </c>
      <c r="P53" s="57">
        <f>U41*100</f>
        <v>98.688524590163937</v>
      </c>
      <c r="Q53" s="57">
        <f t="shared" si="2"/>
        <v>92.983230361871136</v>
      </c>
      <c r="R53" s="57">
        <f>Spectral!V124</f>
        <v>10.173493001101924</v>
      </c>
      <c r="S53" t="s">
        <v>586</v>
      </c>
    </row>
    <row r="54" spans="2:26" x14ac:dyDescent="0.3">
      <c r="B54" t="s">
        <v>4</v>
      </c>
      <c r="C54" s="198" t="s">
        <v>446</v>
      </c>
      <c r="D54" s="1">
        <f>'88T_Seeds'!AL84+'91T_Seeds'!AL84+'01T_Seeds'!AL84+'07E_Seeds'!AL84+'11E_Seeds'!AL84</f>
        <v>0</v>
      </c>
      <c r="E54" s="183">
        <f>'88T_Seeds'!AM84+'91T_Seeds'!AM84+'01T_Seeds'!AM84+'07E_Seeds'!AM84+'11E_Seeds'!AM84</f>
        <v>269</v>
      </c>
      <c r="F54" s="186">
        <f>'88T_Seeds'!AN84+'91T_Seeds'!AN84+'01T_Seeds'!AN84+'07E_Seeds'!AN84+'11E_Seeds'!AN84</f>
        <v>7</v>
      </c>
      <c r="G54" s="1">
        <f>'88T_Seeds'!AO84+'91T_Seeds'!AO84+'01T_Seeds'!AO84+'07E_Seeds'!AO84+'11E_Seeds'!AO84</f>
        <v>0</v>
      </c>
      <c r="H54" s="6">
        <f>'88T_Seeds'!AP84+'91T_Seeds'!AP84+'01T_Seeds'!AP84+'07E_Seeds'!AP84+'11E_Seeds'!AP84</f>
        <v>0</v>
      </c>
      <c r="I54" s="1">
        <f>SUM(D54:H54)</f>
        <v>276</v>
      </c>
      <c r="J54" s="10">
        <f>E54/I54</f>
        <v>0.97463768115942029</v>
      </c>
      <c r="K54" s="11">
        <f>1-J54</f>
        <v>2.5362318840579712E-2</v>
      </c>
      <c r="L54">
        <f>I54-E58</f>
        <v>-103</v>
      </c>
      <c r="M54" s="10">
        <f>2*(E59*J54)/(E59+J54)</f>
        <v>0.82137404580152673</v>
      </c>
    </row>
    <row r="55" spans="2:26" x14ac:dyDescent="0.3">
      <c r="B55" t="s">
        <v>5</v>
      </c>
      <c r="C55" s="199" t="s">
        <v>448</v>
      </c>
      <c r="D55" s="1">
        <f>'88T_Seeds'!AL85+'91T_Seeds'!AL85+'01T_Seeds'!AL85+'07E_Seeds'!AL85+'11E_Seeds'!AL85</f>
        <v>0</v>
      </c>
      <c r="E55" s="238">
        <f>'88T_Seeds'!AM85+'91T_Seeds'!AM85+'01T_Seeds'!AM85+'07E_Seeds'!AM85+'11E_Seeds'!AM85</f>
        <v>1</v>
      </c>
      <c r="F55" s="182">
        <f>'88T_Seeds'!AN85+'91T_Seeds'!AN85+'01T_Seeds'!AN85+'07E_Seeds'!AN85+'11E_Seeds'!AN85</f>
        <v>3632</v>
      </c>
      <c r="G55" s="188">
        <f>'88T_Seeds'!AO85+'91T_Seeds'!AO85+'01T_Seeds'!AO85+'07E_Seeds'!AO85+'11E_Seeds'!AO85</f>
        <v>22</v>
      </c>
      <c r="H55" s="187">
        <f>'88T_Seeds'!AP85+'91T_Seeds'!AP85+'01T_Seeds'!AP85+'07E_Seeds'!AP85+'11E_Seeds'!AP85</f>
        <v>11</v>
      </c>
      <c r="I55" s="1">
        <f>SUM(D55:H55)</f>
        <v>3666</v>
      </c>
      <c r="J55" s="10">
        <f>F55/I55</f>
        <v>0.99072558647026732</v>
      </c>
      <c r="K55" s="11">
        <f>1-J55</f>
        <v>9.2744135297326835E-3</v>
      </c>
      <c r="L55">
        <f>I55-F58</f>
        <v>-238</v>
      </c>
      <c r="M55" s="10">
        <f>2*(F59*J55)/(F59+J55)</f>
        <v>0.95957727873183618</v>
      </c>
    </row>
    <row r="56" spans="2:26" x14ac:dyDescent="0.3">
      <c r="B56" t="s">
        <v>6</v>
      </c>
      <c r="C56" s="200" t="s">
        <v>449</v>
      </c>
      <c r="D56" s="1">
        <f>'88T_Seeds'!AL86+'91T_Seeds'!AL86+'01T_Seeds'!AL86+'07E_Seeds'!AL86+'11E_Seeds'!AL86</f>
        <v>0</v>
      </c>
      <c r="E56" s="186">
        <f>'88T_Seeds'!AM86+'91T_Seeds'!AM86+'01T_Seeds'!AM86+'07E_Seeds'!AM86+'11E_Seeds'!AM86</f>
        <v>6</v>
      </c>
      <c r="F56" s="188">
        <f>'88T_Seeds'!AN86+'91T_Seeds'!AN86+'01T_Seeds'!AN86+'07E_Seeds'!AN86+'11E_Seeds'!AN86</f>
        <v>46</v>
      </c>
      <c r="G56" s="182">
        <f>'88T_Seeds'!AO86+'91T_Seeds'!AO86+'01T_Seeds'!AO86+'07E_Seeds'!AO86+'11E_Seeds'!AO86</f>
        <v>2609</v>
      </c>
      <c r="H56" s="191">
        <f>'88T_Seeds'!AP86+'91T_Seeds'!AP86+'01T_Seeds'!AP86+'07E_Seeds'!AP86+'11E_Seeds'!AP86</f>
        <v>68</v>
      </c>
      <c r="I56" s="1">
        <f>SUM(D56:H56)</f>
        <v>2729</v>
      </c>
      <c r="J56" s="10">
        <f>G56/I56</f>
        <v>0.95602784902894833</v>
      </c>
      <c r="K56" s="11">
        <f>1-J56</f>
        <v>4.3972150971051671E-2</v>
      </c>
      <c r="L56">
        <f>I56-G58</f>
        <v>-138</v>
      </c>
      <c r="M56" s="10">
        <f>2*(G59*J56)/(G59+J56)</f>
        <v>0.93245175125089363</v>
      </c>
      <c r="O56" s="348" t="s">
        <v>686</v>
      </c>
      <c r="P56" s="348"/>
      <c r="Q56" s="348"/>
      <c r="R56" s="348"/>
      <c r="S56" s="348"/>
      <c r="T56" s="348"/>
      <c r="U56" s="348"/>
      <c r="V56" s="348"/>
      <c r="W56" s="348"/>
      <c r="X56" s="348"/>
      <c r="Y56" s="348"/>
    </row>
    <row r="57" spans="2:26" x14ac:dyDescent="0.3">
      <c r="B57" t="s">
        <v>7</v>
      </c>
      <c r="C57" s="201" t="s">
        <v>450</v>
      </c>
      <c r="D57" s="8">
        <f>'88T_Seeds'!AL87+'91T_Seeds'!AL87+'01T_Seeds'!AL87+'07E_Seeds'!AL87+'11E_Seeds'!AL87</f>
        <v>0</v>
      </c>
      <c r="E57" s="193">
        <f>'88T_Seeds'!AM87+'91T_Seeds'!AM87+'01T_Seeds'!AM87+'07E_Seeds'!AM87+'11E_Seeds'!AM87</f>
        <v>103</v>
      </c>
      <c r="F57" s="222">
        <f>'88T_Seeds'!AN87+'91T_Seeds'!AN87+'01T_Seeds'!AN87+'07E_Seeds'!AN87+'11E_Seeds'!AN87</f>
        <v>219</v>
      </c>
      <c r="G57" s="222">
        <f>'88T_Seeds'!AO87+'91T_Seeds'!AO87+'01T_Seeds'!AO87+'07E_Seeds'!AO87+'11E_Seeds'!AO87</f>
        <v>204</v>
      </c>
      <c r="H57" s="210">
        <f>'88T_Seeds'!AP87+'91T_Seeds'!AP87+'01T_Seeds'!AP87+'07E_Seeds'!AP87+'11E_Seeds'!AP87</f>
        <v>4305</v>
      </c>
      <c r="I57" s="1">
        <f>SUM(D57:H57)</f>
        <v>4831</v>
      </c>
      <c r="J57" s="10">
        <f>H57/I57</f>
        <v>0.89111985096253366</v>
      </c>
      <c r="K57" s="11">
        <f>1-J57</f>
        <v>0.10888014903746634</v>
      </c>
      <c r="L57">
        <f>I57-H58</f>
        <v>447</v>
      </c>
      <c r="M57" s="10">
        <f>2*(H59*J57)/(H59+J57)</f>
        <v>0.93434617471513848</v>
      </c>
      <c r="O57" t="s">
        <v>528</v>
      </c>
      <c r="W57" s="1" t="s">
        <v>53</v>
      </c>
    </row>
    <row r="58" spans="2:26" ht="15.6" x14ac:dyDescent="0.35">
      <c r="C58" s="1" t="s">
        <v>19</v>
      </c>
      <c r="D58" s="1">
        <f>SUM(D53:D57)</f>
        <v>2116</v>
      </c>
      <c r="E58" s="1">
        <f>SUM(E53:E57)</f>
        <v>379</v>
      </c>
      <c r="F58" s="1">
        <f>SUM(F53:F57)</f>
        <v>3904</v>
      </c>
      <c r="G58" s="1">
        <f>SUM(G53:G57)</f>
        <v>2867</v>
      </c>
      <c r="H58" s="1">
        <f>SUM(H53:H57)</f>
        <v>4384</v>
      </c>
      <c r="I58" s="1">
        <f>SUM(I52:I57)</f>
        <v>13650</v>
      </c>
      <c r="J58" s="13" t="s">
        <v>12</v>
      </c>
      <c r="P58" s="1" t="s">
        <v>0</v>
      </c>
      <c r="Q58" s="90" t="s">
        <v>447</v>
      </c>
      <c r="R58" s="91" t="s">
        <v>446</v>
      </c>
      <c r="S58" s="92" t="s">
        <v>448</v>
      </c>
      <c r="T58" s="124" t="s">
        <v>449</v>
      </c>
      <c r="U58" s="123" t="s">
        <v>450</v>
      </c>
      <c r="V58" s="1" t="s">
        <v>20</v>
      </c>
      <c r="W58" s="1" t="s">
        <v>1</v>
      </c>
      <c r="X58" s="1" t="s">
        <v>13</v>
      </c>
      <c r="Z58" s="1" t="s">
        <v>51</v>
      </c>
    </row>
    <row r="59" spans="2:26" x14ac:dyDescent="0.3">
      <c r="B59" s="1" t="s">
        <v>316</v>
      </c>
      <c r="C59" s="1" t="s">
        <v>2</v>
      </c>
      <c r="D59" s="10">
        <f>D53/D58</f>
        <v>1</v>
      </c>
      <c r="E59" s="10">
        <f>E54/E58</f>
        <v>0.70976253298153036</v>
      </c>
      <c r="F59" s="10">
        <f>F55/F58</f>
        <v>0.93032786885245899</v>
      </c>
      <c r="G59" s="10">
        <f>G56/G58</f>
        <v>0.91001046389954654</v>
      </c>
      <c r="H59" s="10">
        <f>H57/H58</f>
        <v>0.9819799270072993</v>
      </c>
      <c r="I59" s="10"/>
      <c r="J59" s="14">
        <f>(D53+E54+F55+G56+H57)/I58</f>
        <v>0.94732600732600736</v>
      </c>
      <c r="O59" t="s">
        <v>3</v>
      </c>
      <c r="P59" s="197" t="s">
        <v>447</v>
      </c>
      <c r="Q59" s="234">
        <f>'07E_Seeds'!AL83+'11E_Seeds'!AL83</f>
        <v>763</v>
      </c>
      <c r="R59" s="3">
        <f>'07E_Seeds'!AM83+'11E_Seeds'!AM83</f>
        <v>0</v>
      </c>
      <c r="S59" s="3">
        <f>'07E_Seeds'!AN83+'11E_Seeds'!AN83</f>
        <v>0</v>
      </c>
      <c r="T59" s="235">
        <f>'07E_Seeds'!AO83+'11E_Seeds'!AO83</f>
        <v>32</v>
      </c>
      <c r="U59" s="4">
        <f>'07E_Seeds'!AP83+'11E_Seeds'!AP83</f>
        <v>0</v>
      </c>
      <c r="V59" s="1">
        <f>SUM(Q59:U59)</f>
        <v>795</v>
      </c>
      <c r="W59" s="10">
        <f>Q59/V59</f>
        <v>0.95974842767295598</v>
      </c>
      <c r="X59" s="11">
        <f>1-W59</f>
        <v>4.0251572327044016E-2</v>
      </c>
      <c r="Y59">
        <f>V59-Q64</f>
        <v>32</v>
      </c>
      <c r="Z59" s="10">
        <f>2*(Q65*W59)/(Q65+W59)</f>
        <v>0.97946084724005134</v>
      </c>
    </row>
    <row r="60" spans="2:26" x14ac:dyDescent="0.3">
      <c r="C60" s="1" t="s">
        <v>14</v>
      </c>
      <c r="D60" s="11">
        <f>1-D59</f>
        <v>0</v>
      </c>
      <c r="E60" s="11">
        <f>1-E59</f>
        <v>0.29023746701846964</v>
      </c>
      <c r="F60" s="11">
        <f>1-F59</f>
        <v>6.9672131147541005E-2</v>
      </c>
      <c r="G60" s="11">
        <f>1-G59</f>
        <v>8.998953610045346E-2</v>
      </c>
      <c r="H60" s="11">
        <f>1-H59</f>
        <v>1.8020072992700698E-2</v>
      </c>
      <c r="O60" t="s">
        <v>4</v>
      </c>
      <c r="P60" s="198" t="s">
        <v>446</v>
      </c>
      <c r="Q60" s="1">
        <f>'07E_Seeds'!AL84+'11E_Seeds'!AL84</f>
        <v>0</v>
      </c>
      <c r="R60" s="183">
        <f>'07E_Seeds'!AM84+'11E_Seeds'!AM84</f>
        <v>104</v>
      </c>
      <c r="S60" s="186">
        <f>'07E_Seeds'!AN84+'11E_Seeds'!AN84</f>
        <v>1</v>
      </c>
      <c r="T60" s="1">
        <f>'07E_Seeds'!AO84+'11E_Seeds'!AO84</f>
        <v>0</v>
      </c>
      <c r="U60" s="241">
        <f>'07E_Seeds'!AP84+'11E_Seeds'!AP84</f>
        <v>0</v>
      </c>
      <c r="V60" s="1">
        <f>SUM(Q60:U60)</f>
        <v>105</v>
      </c>
      <c r="W60" s="10">
        <f>R60/V60</f>
        <v>0.99047619047619051</v>
      </c>
      <c r="X60" s="11">
        <f>1-W60</f>
        <v>9.52380952380949E-3</v>
      </c>
      <c r="Y60">
        <f>V60-R64</f>
        <v>-15</v>
      </c>
      <c r="Z60" s="10">
        <f>2*(R65*W60)/(R65+W60)</f>
        <v>0.92444444444444451</v>
      </c>
    </row>
    <row r="61" spans="2:26" x14ac:dyDescent="0.3">
      <c r="D61" s="2"/>
      <c r="O61" t="s">
        <v>5</v>
      </c>
      <c r="P61" s="199" t="s">
        <v>448</v>
      </c>
      <c r="Q61" s="1">
        <f>'07E_Seeds'!AL85+'11E_Seeds'!AL85</f>
        <v>0</v>
      </c>
      <c r="R61" s="240">
        <f>'07E_Seeds'!AM85+'11E_Seeds'!AM85</f>
        <v>0</v>
      </c>
      <c r="S61" s="182">
        <f>'07E_Seeds'!AN85+'11E_Seeds'!AN85</f>
        <v>1449</v>
      </c>
      <c r="T61" s="188">
        <f>'07E_Seeds'!AO85+'11E_Seeds'!AO85</f>
        <v>6</v>
      </c>
      <c r="U61" s="241">
        <f>'07E_Seeds'!AP85+'11E_Seeds'!AP85</f>
        <v>0</v>
      </c>
      <c r="V61" s="1">
        <f>SUM(Q61:U61)</f>
        <v>1455</v>
      </c>
      <c r="W61" s="10">
        <f>S61/V61</f>
        <v>0.99587628865979383</v>
      </c>
      <c r="X61" s="11">
        <f>1-W61</f>
        <v>4.1237113402061709E-3</v>
      </c>
      <c r="Y61">
        <f>V61-S64</f>
        <v>-166</v>
      </c>
      <c r="Z61" s="10">
        <f>2*(S65*W61)/(S65+W61)</f>
        <v>0.94213263979193762</v>
      </c>
    </row>
    <row r="62" spans="2:26" x14ac:dyDescent="0.3">
      <c r="B62" s="1" t="s">
        <v>518</v>
      </c>
      <c r="C62" s="1" t="s">
        <v>519</v>
      </c>
      <c r="D62" s="1" t="s">
        <v>523</v>
      </c>
      <c r="E62" s="1" t="s">
        <v>520</v>
      </c>
      <c r="F62" s="1" t="s">
        <v>522</v>
      </c>
      <c r="G62" s="1" t="s">
        <v>521</v>
      </c>
      <c r="O62" t="s">
        <v>6</v>
      </c>
      <c r="P62" s="200" t="s">
        <v>449</v>
      </c>
      <c r="Q62" s="1">
        <f>'07E_Seeds'!AL86+'11E_Seeds'!AL86</f>
        <v>0</v>
      </c>
      <c r="R62" s="240">
        <f>'07E_Seeds'!AM86+'11E_Seeds'!AM86</f>
        <v>0</v>
      </c>
      <c r="S62" s="188">
        <f>'07E_Seeds'!AN86+'11E_Seeds'!AN86</f>
        <v>13</v>
      </c>
      <c r="T62" s="182">
        <f>'07E_Seeds'!AO86+'11E_Seeds'!AO86</f>
        <v>957</v>
      </c>
      <c r="U62" s="191">
        <f>'07E_Seeds'!AP86+'11E_Seeds'!AP86</f>
        <v>13</v>
      </c>
      <c r="V62" s="1">
        <f>SUM(Q62:U62)</f>
        <v>983</v>
      </c>
      <c r="W62" s="10">
        <f>T62/V62</f>
        <v>0.9735503560528993</v>
      </c>
      <c r="X62" s="11">
        <f>1-W62</f>
        <v>2.6449643947100698E-2</v>
      </c>
      <c r="Y62">
        <f>V62-T64</f>
        <v>-79</v>
      </c>
      <c r="Z62" s="10">
        <f>2*(T65*W62)/(T65+W62)</f>
        <v>0.93594132029339849</v>
      </c>
    </row>
    <row r="63" spans="2:26" x14ac:dyDescent="0.3">
      <c r="B63" s="1">
        <f>_xlfn.QUARTILE.INC(D53:H57,1)</f>
        <v>0</v>
      </c>
      <c r="C63" s="1">
        <f>_xlfn.QUARTILE.EXC(D53:H57,2)</f>
        <v>11</v>
      </c>
      <c r="D63" s="1">
        <f>_xlfn.PERCENTILE.INC(D53:H57,0.7)</f>
        <v>95.999999999999901</v>
      </c>
      <c r="E63" s="1">
        <f>_xlfn.QUARTILE.EXC(D53:H57,3)</f>
        <v>211.5</v>
      </c>
      <c r="F63" s="1">
        <f>AVERAGE(D53:H57)</f>
        <v>546</v>
      </c>
      <c r="G63" s="1">
        <f>MAX(D53:H57)</f>
        <v>4305</v>
      </c>
      <c r="O63" t="s">
        <v>7</v>
      </c>
      <c r="P63" s="201" t="s">
        <v>450</v>
      </c>
      <c r="Q63" s="8">
        <f>'07E_Seeds'!AL87+'11E_Seeds'!AL87</f>
        <v>0</v>
      </c>
      <c r="R63" s="189">
        <f>'07E_Seeds'!AM87+'11E_Seeds'!AM87</f>
        <v>16</v>
      </c>
      <c r="S63" s="222">
        <f>'07E_Seeds'!AN87+'11E_Seeds'!AN87</f>
        <v>158</v>
      </c>
      <c r="T63" s="193">
        <f>'07E_Seeds'!AO87+'11E_Seeds'!AO87</f>
        <v>67</v>
      </c>
      <c r="U63" s="210">
        <f>'07E_Seeds'!AP87+'11E_Seeds'!AP87</f>
        <v>1563</v>
      </c>
      <c r="V63" s="1">
        <f>SUM(Q63:U63)</f>
        <v>1804</v>
      </c>
      <c r="W63" s="10">
        <f>U63/V63</f>
        <v>0.86640798226164084</v>
      </c>
      <c r="X63" s="11">
        <f>1-W63</f>
        <v>0.13359201773835916</v>
      </c>
      <c r="Y63">
        <f>V63-U64</f>
        <v>228</v>
      </c>
      <c r="Z63" s="10">
        <f>2*(U65*W63)/(U65+W63)</f>
        <v>0.92485207100591715</v>
      </c>
    </row>
    <row r="64" spans="2:26" ht="15.6" x14ac:dyDescent="0.35">
      <c r="B64" s="204">
        <v>0</v>
      </c>
      <c r="C64" s="220" t="s">
        <v>729</v>
      </c>
      <c r="D64" s="220" t="s">
        <v>730</v>
      </c>
      <c r="E64" s="204" t="s">
        <v>731</v>
      </c>
      <c r="F64" s="204" t="s">
        <v>732</v>
      </c>
      <c r="G64" s="204" t="s">
        <v>733</v>
      </c>
      <c r="P64" s="1" t="s">
        <v>19</v>
      </c>
      <c r="Q64" s="1">
        <f>SUM(Q59:Q63)</f>
        <v>763</v>
      </c>
      <c r="R64" s="1">
        <f>SUM(R59:R63)</f>
        <v>120</v>
      </c>
      <c r="S64" s="1">
        <f>SUM(S59:S63)</f>
        <v>1621</v>
      </c>
      <c r="T64" s="1">
        <f>SUM(T59:T63)</f>
        <v>1062</v>
      </c>
      <c r="U64" s="1">
        <f>SUM(U59:U63)</f>
        <v>1576</v>
      </c>
      <c r="V64" s="1">
        <f>SUM(V58:V63)</f>
        <v>5142</v>
      </c>
      <c r="W64" s="13" t="s">
        <v>12</v>
      </c>
    </row>
    <row r="65" spans="2:25" x14ac:dyDescent="0.3">
      <c r="B65" s="204"/>
      <c r="C65" s="205"/>
      <c r="D65" s="206"/>
      <c r="E65" s="207"/>
      <c r="F65" s="208"/>
      <c r="G65" s="209"/>
      <c r="O65" s="1" t="s">
        <v>316</v>
      </c>
      <c r="P65" s="1" t="s">
        <v>2</v>
      </c>
      <c r="Q65" s="10">
        <f>Q59/Q64</f>
        <v>1</v>
      </c>
      <c r="R65" s="10">
        <f>R60/R64</f>
        <v>0.8666666666666667</v>
      </c>
      <c r="S65" s="10">
        <f>S61/S64</f>
        <v>0.8938926588525602</v>
      </c>
      <c r="T65" s="10">
        <f>T62/T64</f>
        <v>0.90112994350282483</v>
      </c>
      <c r="U65" s="10">
        <f>U63/U64</f>
        <v>0.99175126903553301</v>
      </c>
      <c r="V65" s="10"/>
      <c r="W65" s="14">
        <f>(Q59+R60+S61+T62+U63)/V64</f>
        <v>0.94049008168028003</v>
      </c>
    </row>
    <row r="66" spans="2:25" x14ac:dyDescent="0.3">
      <c r="C66" s="1" t="s">
        <v>2</v>
      </c>
      <c r="D66" s="1" t="s">
        <v>1</v>
      </c>
      <c r="E66" s="1" t="s">
        <v>491</v>
      </c>
      <c r="P66" s="1" t="s">
        <v>14</v>
      </c>
      <c r="Q66" s="11">
        <f>1-Q65</f>
        <v>0</v>
      </c>
      <c r="R66" s="11">
        <f>1-R65</f>
        <v>0.1333333333333333</v>
      </c>
      <c r="S66" s="11">
        <f>1-S65</f>
        <v>0.1061073411474398</v>
      </c>
      <c r="T66" s="11">
        <f>1-T65</f>
        <v>9.8870056497175174E-2</v>
      </c>
      <c r="U66" s="11">
        <f>1-U65</f>
        <v>8.2487309644669882E-3</v>
      </c>
    </row>
    <row r="67" spans="2:25" x14ac:dyDescent="0.3">
      <c r="B67" s="197" t="s">
        <v>447</v>
      </c>
      <c r="C67" s="57">
        <f>D59*100</f>
        <v>100</v>
      </c>
      <c r="D67" s="57">
        <f>J53*100</f>
        <v>98.510242085661076</v>
      </c>
      <c r="E67" s="57">
        <f>Spectral!R121</f>
        <v>28.956187655266014</v>
      </c>
      <c r="F67" t="s">
        <v>559</v>
      </c>
      <c r="Q67" s="2"/>
    </row>
    <row r="68" spans="2:25" x14ac:dyDescent="0.3">
      <c r="B68" s="198" t="s">
        <v>446</v>
      </c>
      <c r="C68" s="57">
        <f>E59*100</f>
        <v>70.97625329815304</v>
      </c>
      <c r="D68" s="57">
        <f t="shared" ref="D68:D71" si="3">J54*100</f>
        <v>97.463768115942031</v>
      </c>
      <c r="E68" s="57">
        <f>Spectral!S121</f>
        <v>26.973643492477471</v>
      </c>
      <c r="F68" t="s">
        <v>560</v>
      </c>
      <c r="O68" s="1" t="s">
        <v>518</v>
      </c>
      <c r="P68" s="1" t="s">
        <v>519</v>
      </c>
      <c r="Q68" s="1" t="s">
        <v>523</v>
      </c>
      <c r="R68" s="1" t="s">
        <v>520</v>
      </c>
      <c r="S68" s="1" t="s">
        <v>522</v>
      </c>
      <c r="T68" s="1" t="s">
        <v>521</v>
      </c>
    </row>
    <row r="69" spans="2:25" x14ac:dyDescent="0.3">
      <c r="B69" s="199" t="s">
        <v>448</v>
      </c>
      <c r="C69" s="57">
        <f>F59*100</f>
        <v>93.032786885245898</v>
      </c>
      <c r="D69" s="57">
        <f t="shared" si="3"/>
        <v>99.072558647026739</v>
      </c>
      <c r="E69" s="57">
        <f>Spectral!T121</f>
        <v>20.022493861269226</v>
      </c>
      <c r="F69" t="s">
        <v>561</v>
      </c>
      <c r="O69" s="1">
        <f>_xlfn.QUARTILE.INC(Q59:U63,1)</f>
        <v>0</v>
      </c>
      <c r="P69" s="1">
        <f>_xlfn.QUARTILE.EXC(Q59:U63,2)</f>
        <v>1</v>
      </c>
      <c r="Q69" s="1">
        <f>_xlfn.PERCENTILE.INC(Q59:U63,0.7)</f>
        <v>28.799999999999955</v>
      </c>
      <c r="R69" s="1">
        <f>_xlfn.QUARTILE.EXC(Q59:U63,3)</f>
        <v>85.5</v>
      </c>
      <c r="S69" s="1">
        <f>AVERAGE(Q59:U63)</f>
        <v>205.68</v>
      </c>
      <c r="T69" s="1">
        <f>MAX(Q59:U63)</f>
        <v>1563</v>
      </c>
    </row>
    <row r="70" spans="2:25" x14ac:dyDescent="0.3">
      <c r="B70" s="200" t="s">
        <v>449</v>
      </c>
      <c r="C70" s="57">
        <f>G59*100</f>
        <v>91.001046389954652</v>
      </c>
      <c r="D70" s="57">
        <f t="shared" si="3"/>
        <v>95.60278490289484</v>
      </c>
      <c r="E70" s="57">
        <f>Spectral!U121</f>
        <v>29.324989716831062</v>
      </c>
      <c r="F70" t="s">
        <v>562</v>
      </c>
      <c r="O70" s="204">
        <v>0</v>
      </c>
      <c r="P70" s="220" t="s">
        <v>615</v>
      </c>
      <c r="Q70" s="220" t="s">
        <v>748</v>
      </c>
      <c r="R70" s="204" t="s">
        <v>749</v>
      </c>
      <c r="S70" s="204" t="s">
        <v>750</v>
      </c>
      <c r="T70" s="204" t="s">
        <v>751</v>
      </c>
    </row>
    <row r="71" spans="2:25" x14ac:dyDescent="0.3">
      <c r="B71" s="201" t="s">
        <v>450</v>
      </c>
      <c r="C71" s="57">
        <f>H59*100</f>
        <v>98.197992700729927</v>
      </c>
      <c r="D71" s="57">
        <f t="shared" si="3"/>
        <v>89.111985096253363</v>
      </c>
      <c r="E71" s="57">
        <f>Spectral!V121</f>
        <v>10.900423666210884</v>
      </c>
      <c r="F71" t="s">
        <v>563</v>
      </c>
      <c r="O71" s="204"/>
      <c r="P71" s="205"/>
      <c r="Q71" s="206"/>
      <c r="R71" s="207"/>
      <c r="S71" s="208"/>
      <c r="T71" s="209"/>
    </row>
    <row r="72" spans="2:25" x14ac:dyDescent="0.3">
      <c r="P72" s="1" t="s">
        <v>2</v>
      </c>
      <c r="Q72" s="1" t="s">
        <v>1</v>
      </c>
      <c r="R72" s="1" t="s">
        <v>491</v>
      </c>
    </row>
    <row r="73" spans="2:25" x14ac:dyDescent="0.3">
      <c r="O73" s="197" t="s">
        <v>447</v>
      </c>
      <c r="P73" s="57">
        <f>Q65*100</f>
        <v>100</v>
      </c>
      <c r="Q73" s="57">
        <f>W59*100</f>
        <v>95.974842767295598</v>
      </c>
      <c r="R73" s="57">
        <f>Spectral!R125</f>
        <v>40.482566646148207</v>
      </c>
      <c r="S73" t="s">
        <v>599</v>
      </c>
    </row>
    <row r="74" spans="2:25" x14ac:dyDescent="0.3">
      <c r="B74" s="348" t="s">
        <v>687</v>
      </c>
      <c r="C74" s="348"/>
      <c r="D74" s="348"/>
      <c r="E74" s="348"/>
      <c r="F74" s="348"/>
      <c r="G74" s="348"/>
      <c r="H74" s="348"/>
      <c r="I74" s="348"/>
      <c r="J74" s="348"/>
      <c r="K74" s="348"/>
      <c r="L74" s="348"/>
      <c r="O74" s="198" t="s">
        <v>446</v>
      </c>
      <c r="P74" s="57">
        <f>R65*100</f>
        <v>86.666666666666671</v>
      </c>
      <c r="Q74" s="57">
        <f t="shared" ref="Q74:Q77" si="4">W60*100</f>
        <v>99.047619047619051</v>
      </c>
      <c r="R74" s="57">
        <f>Spectral!S125</f>
        <v>30.927376529040796</v>
      </c>
      <c r="S74" t="s">
        <v>600</v>
      </c>
    </row>
    <row r="75" spans="2:25" x14ac:dyDescent="0.3">
      <c r="B75" t="s">
        <v>528</v>
      </c>
      <c r="J75" s="1" t="s">
        <v>53</v>
      </c>
      <c r="O75" s="199" t="s">
        <v>448</v>
      </c>
      <c r="P75" s="57">
        <f>S65*100</f>
        <v>89.389265885256023</v>
      </c>
      <c r="Q75" s="57">
        <f t="shared" si="4"/>
        <v>99.587628865979383</v>
      </c>
      <c r="R75" s="57">
        <f>Spectral!T125</f>
        <v>20.242277919432851</v>
      </c>
      <c r="S75" t="s">
        <v>601</v>
      </c>
    </row>
    <row r="76" spans="2:25" ht="15.6" x14ac:dyDescent="0.35">
      <c r="C76" s="1" t="s">
        <v>0</v>
      </c>
      <c r="D76" s="90" t="s">
        <v>447</v>
      </c>
      <c r="E76" s="91" t="s">
        <v>446</v>
      </c>
      <c r="F76" s="92" t="s">
        <v>448</v>
      </c>
      <c r="G76" s="124" t="s">
        <v>449</v>
      </c>
      <c r="H76" s="123" t="s">
        <v>450</v>
      </c>
      <c r="I76" s="1" t="s">
        <v>20</v>
      </c>
      <c r="J76" s="1" t="s">
        <v>1</v>
      </c>
      <c r="K76" s="1" t="s">
        <v>13</v>
      </c>
      <c r="M76" s="1" t="s">
        <v>51</v>
      </c>
      <c r="O76" s="200" t="s">
        <v>449</v>
      </c>
      <c r="P76" s="57">
        <f>T65*100</f>
        <v>90.112994350282477</v>
      </c>
      <c r="Q76" s="57">
        <f t="shared" si="4"/>
        <v>97.355035605289928</v>
      </c>
      <c r="R76" s="57">
        <f>Spectral!U125</f>
        <v>30.54354424535418</v>
      </c>
      <c r="S76" t="s">
        <v>602</v>
      </c>
    </row>
    <row r="77" spans="2:25" x14ac:dyDescent="0.3">
      <c r="B77" t="s">
        <v>3</v>
      </c>
      <c r="C77" s="197" t="s">
        <v>447</v>
      </c>
      <c r="D77" s="234">
        <f>'15O_Seeds'!AL83+'19O_Seeds'!AL83</f>
        <v>404</v>
      </c>
      <c r="E77" s="3">
        <f>'15O_Seeds'!AM83+'19O_Seeds'!AM83</f>
        <v>0</v>
      </c>
      <c r="F77" s="234">
        <f>'15O_Seeds'!AN83+'19O_Seeds'!AN83</f>
        <v>410</v>
      </c>
      <c r="G77" s="235">
        <f>'15O_Seeds'!AO83+'19O_Seeds'!AO83</f>
        <v>88</v>
      </c>
      <c r="H77" s="4">
        <f>'15O_Seeds'!AP83+'19O_Seeds'!AP83</f>
        <v>0</v>
      </c>
      <c r="I77" s="1">
        <f>SUM(D77:H77)</f>
        <v>902</v>
      </c>
      <c r="J77" s="10">
        <f>D77/I77</f>
        <v>0.44789356984478934</v>
      </c>
      <c r="K77" s="11">
        <f>1-J77</f>
        <v>0.55210643015521066</v>
      </c>
      <c r="L77">
        <f>I77-D82</f>
        <v>496</v>
      </c>
      <c r="M77" s="10">
        <f>2*(D83*J77)/(D83+J77)</f>
        <v>0.61773700305810397</v>
      </c>
      <c r="O77" s="201" t="s">
        <v>450</v>
      </c>
      <c r="P77" s="57">
        <f>U65*100</f>
        <v>99.175126903553306</v>
      </c>
      <c r="Q77" s="57">
        <f t="shared" si="4"/>
        <v>86.64079822616408</v>
      </c>
      <c r="R77" s="57">
        <f>Spectral!V125</f>
        <v>11.966602855228892</v>
      </c>
      <c r="S77" t="s">
        <v>603</v>
      </c>
    </row>
    <row r="78" spans="2:25" x14ac:dyDescent="0.3">
      <c r="B78" t="s">
        <v>4</v>
      </c>
      <c r="C78" s="198" t="s">
        <v>446</v>
      </c>
      <c r="D78" s="1">
        <f>'15O_Seeds'!AL84+'19O_Seeds'!AL84</f>
        <v>0</v>
      </c>
      <c r="E78" s="183">
        <f>'15O_Seeds'!AM84+'19O_Seeds'!AM84</f>
        <v>110</v>
      </c>
      <c r="F78" s="186">
        <f>'15O_Seeds'!AN84+'19O_Seeds'!AN84</f>
        <v>3</v>
      </c>
      <c r="G78" s="186">
        <f>'15O_Seeds'!AO84+'19O_Seeds'!AO84</f>
        <v>1</v>
      </c>
      <c r="H78" s="6">
        <f>'15O_Seeds'!AP84+'19O_Seeds'!AP84</f>
        <v>0</v>
      </c>
      <c r="I78" s="1">
        <f>SUM(D78:H78)</f>
        <v>114</v>
      </c>
      <c r="J78" s="10">
        <f>E78/I78</f>
        <v>0.96491228070175439</v>
      </c>
      <c r="K78" s="11">
        <f>1-J78</f>
        <v>3.5087719298245612E-2</v>
      </c>
      <c r="L78">
        <f>I78-E82</f>
        <v>-2</v>
      </c>
      <c r="M78" s="10">
        <f>2*(E83*J78)/(E83+J78)</f>
        <v>0.9565217391304347</v>
      </c>
    </row>
    <row r="79" spans="2:25" x14ac:dyDescent="0.3">
      <c r="B79" t="s">
        <v>5</v>
      </c>
      <c r="C79" s="199" t="s">
        <v>448</v>
      </c>
      <c r="D79" s="1">
        <f>'15O_Seeds'!AL85+'19O_Seeds'!AL85</f>
        <v>0</v>
      </c>
      <c r="E79" s="1">
        <f>'15O_Seeds'!AM85+'19O_Seeds'!AM85</f>
        <v>0</v>
      </c>
      <c r="F79" s="182">
        <f>'15O_Seeds'!AN85+'19O_Seeds'!AN85</f>
        <v>1394</v>
      </c>
      <c r="G79" s="186">
        <f>'15O_Seeds'!AO85+'19O_Seeds'!AO85</f>
        <v>3</v>
      </c>
      <c r="H79" s="6">
        <f>'15O_Seeds'!AP85+'19O_Seeds'!AP85</f>
        <v>0</v>
      </c>
      <c r="I79" s="1">
        <f>SUM(D79:H79)</f>
        <v>1397</v>
      </c>
      <c r="J79" s="10">
        <f>F79/I79</f>
        <v>0.99785254115962774</v>
      </c>
      <c r="K79" s="11">
        <f>1-J79</f>
        <v>2.1474588403722628E-3</v>
      </c>
      <c r="L79">
        <f>I79-F82</f>
        <v>-417</v>
      </c>
      <c r="M79" s="10">
        <f>2*(F83*J79)/(F83+J79)</f>
        <v>0.86826533790096538</v>
      </c>
    </row>
    <row r="80" spans="2:25" x14ac:dyDescent="0.3">
      <c r="B80" t="s">
        <v>6</v>
      </c>
      <c r="C80" s="200" t="s">
        <v>449</v>
      </c>
      <c r="D80" s="186">
        <f>'15O_Seeds'!AL86+'19O_Seeds'!AL86</f>
        <v>2</v>
      </c>
      <c r="E80" s="188">
        <f>'15O_Seeds'!AM86+'19O_Seeds'!AM86</f>
        <v>5</v>
      </c>
      <c r="F80" s="188">
        <f>'15O_Seeds'!AN86+'19O_Seeds'!AN86</f>
        <v>6</v>
      </c>
      <c r="G80" s="182">
        <f>'15O_Seeds'!AO86+'19O_Seeds'!AO86</f>
        <v>1093</v>
      </c>
      <c r="H80" s="191">
        <f>'15O_Seeds'!AP86+'19O_Seeds'!AP86</f>
        <v>10</v>
      </c>
      <c r="I80" s="1">
        <f>SUM(D80:H80)</f>
        <v>1116</v>
      </c>
      <c r="J80" s="10">
        <f>G80/I80</f>
        <v>0.97939068100358428</v>
      </c>
      <c r="K80" s="11">
        <f>1-J80</f>
        <v>2.0609318996415715E-2</v>
      </c>
      <c r="L80">
        <f>I80-G82</f>
        <v>-171</v>
      </c>
      <c r="M80" s="10">
        <f>2*(G83*J80)/(G83+J80)</f>
        <v>0.90969621306699966</v>
      </c>
      <c r="O80" s="348" t="s">
        <v>688</v>
      </c>
      <c r="P80" s="348"/>
      <c r="Q80" s="348"/>
      <c r="R80" s="348"/>
      <c r="S80" s="348"/>
      <c r="T80" s="348"/>
      <c r="U80" s="348"/>
      <c r="V80" s="348"/>
      <c r="W80" s="348"/>
      <c r="X80" s="348"/>
      <c r="Y80" s="348"/>
    </row>
    <row r="81" spans="2:26" x14ac:dyDescent="0.3">
      <c r="B81" t="s">
        <v>7</v>
      </c>
      <c r="C81" s="201" t="s">
        <v>450</v>
      </c>
      <c r="D81" s="8">
        <f>'15O_Seeds'!AL87+'19O_Seeds'!AL87</f>
        <v>0</v>
      </c>
      <c r="E81" s="190">
        <f>'15O_Seeds'!AM87+'19O_Seeds'!AM87</f>
        <v>1</v>
      </c>
      <c r="F81" s="190">
        <f>'15O_Seeds'!AN87+'19O_Seeds'!AN87</f>
        <v>1</v>
      </c>
      <c r="G81" s="239">
        <f>'15O_Seeds'!AO87+'19O_Seeds'!AO87</f>
        <v>102</v>
      </c>
      <c r="H81" s="210">
        <f>'15O_Seeds'!AP87+'19O_Seeds'!AP87</f>
        <v>1914</v>
      </c>
      <c r="I81" s="1">
        <f>SUM(D81:H81)</f>
        <v>2018</v>
      </c>
      <c r="J81" s="10">
        <f>H81/I81</f>
        <v>0.94846382556987119</v>
      </c>
      <c r="K81" s="11">
        <f>1-J81</f>
        <v>5.1536174430128812E-2</v>
      </c>
      <c r="L81">
        <f>I81-H82</f>
        <v>94</v>
      </c>
      <c r="M81" s="10">
        <f>2*(H83*J81)/(H83+J81)</f>
        <v>0.97108066971080687</v>
      </c>
      <c r="O81" t="s">
        <v>528</v>
      </c>
      <c r="W81" s="1" t="s">
        <v>53</v>
      </c>
    </row>
    <row r="82" spans="2:26" ht="15.6" x14ac:dyDescent="0.35">
      <c r="C82" s="1" t="s">
        <v>19</v>
      </c>
      <c r="D82" s="1">
        <f>SUM(D77:D81)</f>
        <v>406</v>
      </c>
      <c r="E82" s="1">
        <f>SUM(E77:E81)</f>
        <v>116</v>
      </c>
      <c r="F82" s="1">
        <f>SUM(F77:F81)</f>
        <v>1814</v>
      </c>
      <c r="G82" s="1">
        <f>SUM(G77:G81)</f>
        <v>1287</v>
      </c>
      <c r="H82" s="1">
        <f>SUM(H77:H81)</f>
        <v>1924</v>
      </c>
      <c r="I82" s="1">
        <f>SUM(I76:I81)</f>
        <v>5547</v>
      </c>
      <c r="J82" s="13" t="s">
        <v>12</v>
      </c>
      <c r="P82" s="1" t="s">
        <v>0</v>
      </c>
      <c r="Q82" s="90" t="s">
        <v>447</v>
      </c>
      <c r="R82" s="91" t="s">
        <v>446</v>
      </c>
      <c r="S82" s="92" t="s">
        <v>448</v>
      </c>
      <c r="T82" s="124" t="s">
        <v>449</v>
      </c>
      <c r="U82" s="123" t="s">
        <v>450</v>
      </c>
      <c r="V82" s="1" t="s">
        <v>20</v>
      </c>
      <c r="W82" s="1" t="s">
        <v>1</v>
      </c>
      <c r="X82" s="1" t="s">
        <v>13</v>
      </c>
      <c r="Z82" s="1" t="s">
        <v>51</v>
      </c>
    </row>
    <row r="83" spans="2:26" x14ac:dyDescent="0.3">
      <c r="B83" s="1" t="s">
        <v>316</v>
      </c>
      <c r="C83" s="1" t="s">
        <v>2</v>
      </c>
      <c r="D83" s="10">
        <f>D77/D82</f>
        <v>0.99507389162561577</v>
      </c>
      <c r="E83" s="10">
        <f>E78/E82</f>
        <v>0.94827586206896552</v>
      </c>
      <c r="F83" s="10">
        <f>F79/F82</f>
        <v>0.76846747519294378</v>
      </c>
      <c r="G83" s="10">
        <f>G80/G82</f>
        <v>0.84926184926184922</v>
      </c>
      <c r="H83" s="10">
        <f>H81/H82</f>
        <v>0.99480249480249483</v>
      </c>
      <c r="I83" s="10"/>
      <c r="J83" s="14">
        <f>(D77+E78+F79+G80+H81)/I82</f>
        <v>0.88606453939066165</v>
      </c>
      <c r="O83" t="s">
        <v>3</v>
      </c>
      <c r="P83" s="197" t="s">
        <v>447</v>
      </c>
      <c r="Q83" s="234">
        <f>'15O_Seeds'!AL83+'19O_Seeds'!AL83+'19M_Seeds'!AL83</f>
        <v>620</v>
      </c>
      <c r="R83" s="196">
        <f>'15O_Seeds'!AM83+'19O_Seeds'!AM83+'19M_Seeds'!AM83</f>
        <v>213</v>
      </c>
      <c r="S83" s="234">
        <f>'15O_Seeds'!AN83+'19O_Seeds'!AN83+'19M_Seeds'!AN83</f>
        <v>410</v>
      </c>
      <c r="T83" s="236">
        <f>'15O_Seeds'!AO83+'19O_Seeds'!AO83+'19M_Seeds'!AO83</f>
        <v>109</v>
      </c>
      <c r="U83" s="4">
        <f>'15O_Seeds'!AP83+'19O_Seeds'!AP83+'19M_Seeds'!AP83</f>
        <v>0</v>
      </c>
      <c r="V83" s="1">
        <f>SUM(Q83:U83)</f>
        <v>1352</v>
      </c>
      <c r="W83" s="10">
        <f>Q83/V83</f>
        <v>0.45857988165680474</v>
      </c>
      <c r="X83" s="11">
        <f>1-W83</f>
        <v>0.54142011834319526</v>
      </c>
      <c r="Y83">
        <f>V83-Q88</f>
        <v>730</v>
      </c>
      <c r="Z83" s="10">
        <f>2*(Q89*W83)/(Q89+W83)</f>
        <v>0.62816616008105364</v>
      </c>
    </row>
    <row r="84" spans="2:26" x14ac:dyDescent="0.3">
      <c r="C84" s="1" t="s">
        <v>14</v>
      </c>
      <c r="D84" s="11">
        <f>1-D83</f>
        <v>4.9261083743842304E-3</v>
      </c>
      <c r="E84" s="11">
        <f>1-E83</f>
        <v>5.1724137931034475E-2</v>
      </c>
      <c r="F84" s="11">
        <f>1-F83</f>
        <v>0.23153252480705622</v>
      </c>
      <c r="G84" s="11">
        <f>1-G83</f>
        <v>0.15073815073815078</v>
      </c>
      <c r="H84" s="11">
        <f>1-H83</f>
        <v>5.19750519750517E-3</v>
      </c>
      <c r="O84" t="s">
        <v>4</v>
      </c>
      <c r="P84" s="198" t="s">
        <v>446</v>
      </c>
      <c r="Q84" s="1">
        <f>'15O_Seeds'!AL84+'19O_Seeds'!AL84+'19M_Seeds'!AL84</f>
        <v>0</v>
      </c>
      <c r="R84" s="183">
        <f>'15O_Seeds'!AM84+'19O_Seeds'!AM84+'19M_Seeds'!AM84</f>
        <v>166</v>
      </c>
      <c r="S84" s="186">
        <f>'15O_Seeds'!AN84+'19O_Seeds'!AN84+'19M_Seeds'!AN84</f>
        <v>11</v>
      </c>
      <c r="T84" s="186">
        <f>'15O_Seeds'!AO84+'19O_Seeds'!AO84+'19M_Seeds'!AO84</f>
        <v>1</v>
      </c>
      <c r="U84" s="241">
        <f>'15O_Seeds'!AP84+'19O_Seeds'!AP84+'19M_Seeds'!AP84</f>
        <v>0</v>
      </c>
      <c r="V84" s="1">
        <f>SUM(Q84:U84)</f>
        <v>178</v>
      </c>
      <c r="W84" s="10">
        <f>R84/V84</f>
        <v>0.93258426966292129</v>
      </c>
      <c r="X84" s="11">
        <f>1-W84</f>
        <v>6.7415730337078705E-2</v>
      </c>
      <c r="Y84">
        <f>V84-R88</f>
        <v>-207</v>
      </c>
      <c r="Z84" s="10">
        <f>2*(R89*W84)/(R89+W84)</f>
        <v>0.58969804618117228</v>
      </c>
    </row>
    <row r="85" spans="2:26" x14ac:dyDescent="0.3">
      <c r="D85" s="2"/>
      <c r="O85" t="s">
        <v>5</v>
      </c>
      <c r="P85" s="199" t="s">
        <v>448</v>
      </c>
      <c r="Q85" s="1">
        <f>'15O_Seeds'!AL85+'19O_Seeds'!AL85+'19M_Seeds'!AL85</f>
        <v>0</v>
      </c>
      <c r="R85" s="240">
        <f>'15O_Seeds'!AM85+'19O_Seeds'!AM85+'19M_Seeds'!AM85</f>
        <v>0</v>
      </c>
      <c r="S85" s="182">
        <f>'15O_Seeds'!AN85+'19O_Seeds'!AN85+'19M_Seeds'!AN85</f>
        <v>2124</v>
      </c>
      <c r="T85" s="188">
        <f>'15O_Seeds'!AO85+'19O_Seeds'!AO85+'19M_Seeds'!AO85</f>
        <v>18</v>
      </c>
      <c r="U85" s="187">
        <f>'15O_Seeds'!AP85+'19O_Seeds'!AP85+'19M_Seeds'!AP85</f>
        <v>3</v>
      </c>
      <c r="V85" s="1">
        <f>SUM(Q85:U85)</f>
        <v>2145</v>
      </c>
      <c r="W85" s="10">
        <f>S85/V85</f>
        <v>0.99020979020979016</v>
      </c>
      <c r="X85" s="11">
        <f>1-W85</f>
        <v>9.7902097902098362E-3</v>
      </c>
      <c r="Y85">
        <f>V85-S88</f>
        <v>-469</v>
      </c>
      <c r="Z85" s="10">
        <f>2*(S89*W85)/(S89+W85)</f>
        <v>0.89262450094557677</v>
      </c>
    </row>
    <row r="86" spans="2:26" x14ac:dyDescent="0.3">
      <c r="B86" s="1" t="s">
        <v>518</v>
      </c>
      <c r="C86" s="1" t="s">
        <v>519</v>
      </c>
      <c r="D86" s="1" t="s">
        <v>523</v>
      </c>
      <c r="E86" s="1" t="s">
        <v>520</v>
      </c>
      <c r="F86" s="1" t="s">
        <v>522</v>
      </c>
      <c r="G86" s="1" t="s">
        <v>521</v>
      </c>
      <c r="O86" t="s">
        <v>6</v>
      </c>
      <c r="P86" s="200" t="s">
        <v>449</v>
      </c>
      <c r="Q86" s="186">
        <f>'15O_Seeds'!AL86+'19O_Seeds'!AL86+'19M_Seeds'!AL86</f>
        <v>2</v>
      </c>
      <c r="R86" s="186">
        <f>'15O_Seeds'!AM86+'19O_Seeds'!AM86+'19M_Seeds'!AM86</f>
        <v>5</v>
      </c>
      <c r="S86" s="188">
        <f>'15O_Seeds'!AN86+'19O_Seeds'!AN86+'19M_Seeds'!AN86</f>
        <v>64</v>
      </c>
      <c r="T86" s="182">
        <f>'15O_Seeds'!AO86+'19O_Seeds'!AO86+'19M_Seeds'!AO86</f>
        <v>1643</v>
      </c>
      <c r="U86" s="191">
        <f>'15O_Seeds'!AP86+'19O_Seeds'!AP86+'19M_Seeds'!AP86</f>
        <v>20</v>
      </c>
      <c r="V86" s="1">
        <f>SUM(Q86:U86)</f>
        <v>1734</v>
      </c>
      <c r="W86" s="10">
        <f>T86/V86</f>
        <v>0.94752018454440601</v>
      </c>
      <c r="X86" s="11">
        <f>1-W86</f>
        <v>5.2479815455593992E-2</v>
      </c>
      <c r="Y86">
        <f>V86-T88</f>
        <v>-199</v>
      </c>
      <c r="Z86" s="10">
        <f>2*(T89*W86)/(T89+W86)</f>
        <v>0.89610035451322601</v>
      </c>
    </row>
    <row r="87" spans="2:26" x14ac:dyDescent="0.3">
      <c r="B87" s="1">
        <f>_xlfn.QUARTILE.INC(D77:H81,1)</f>
        <v>0</v>
      </c>
      <c r="C87" s="1">
        <f>_xlfn.QUARTILE.EXC(D77:H81,2)</f>
        <v>3</v>
      </c>
      <c r="D87" s="1">
        <f>_xlfn.PERCENTILE.INC(D77:H81,0.7)</f>
        <v>72.399999999999778</v>
      </c>
      <c r="E87" s="1">
        <f>_xlfn.QUARTILE.EXC(D77:H81,3)</f>
        <v>106</v>
      </c>
      <c r="F87" s="1">
        <f>AVERAGE(D77:H81)</f>
        <v>221.88</v>
      </c>
      <c r="G87" s="1">
        <f>MAX(D77:H81)</f>
        <v>1914</v>
      </c>
      <c r="O87" t="s">
        <v>7</v>
      </c>
      <c r="P87" s="201" t="s">
        <v>450</v>
      </c>
      <c r="Q87" s="8">
        <f>'15O_Seeds'!AL87+'19O_Seeds'!AL87+'19M_Seeds'!AL87</f>
        <v>0</v>
      </c>
      <c r="R87" s="190">
        <f>'15O_Seeds'!AM87+'19O_Seeds'!AM87+'19M_Seeds'!AM87</f>
        <v>1</v>
      </c>
      <c r="S87" s="190">
        <f>'15O_Seeds'!AN87+'19O_Seeds'!AN87+'19M_Seeds'!AN87</f>
        <v>5</v>
      </c>
      <c r="T87" s="222">
        <f>'15O_Seeds'!AO87+'19O_Seeds'!AO87+'19M_Seeds'!AO87</f>
        <v>162</v>
      </c>
      <c r="U87" s="210">
        <f>'15O_Seeds'!AP87+'19O_Seeds'!AP87+'19M_Seeds'!AP87</f>
        <v>2863</v>
      </c>
      <c r="V87" s="1">
        <f>SUM(Q87:U87)</f>
        <v>3031</v>
      </c>
      <c r="W87" s="10">
        <f>U87/V87</f>
        <v>0.94457274826789839</v>
      </c>
      <c r="X87" s="11">
        <f>1-W87</f>
        <v>5.5427251732101612E-2</v>
      </c>
      <c r="Y87">
        <f>V87-U88</f>
        <v>145</v>
      </c>
      <c r="Z87" s="10">
        <f>2*(U89*W87)/(U89+W87)</f>
        <v>0.96772012844346789</v>
      </c>
    </row>
    <row r="88" spans="2:26" ht="15.6" x14ac:dyDescent="0.35">
      <c r="B88" s="204">
        <v>0</v>
      </c>
      <c r="C88" s="220" t="s">
        <v>734</v>
      </c>
      <c r="D88" s="220" t="s">
        <v>735</v>
      </c>
      <c r="E88" s="204" t="s">
        <v>736</v>
      </c>
      <c r="F88" s="204" t="s">
        <v>737</v>
      </c>
      <c r="G88" s="204" t="s">
        <v>738</v>
      </c>
      <c r="P88" s="1" t="s">
        <v>19</v>
      </c>
      <c r="Q88" s="1">
        <f>SUM(Q83:Q87)</f>
        <v>622</v>
      </c>
      <c r="R88" s="1">
        <f>SUM(R83:R87)</f>
        <v>385</v>
      </c>
      <c r="S88" s="1">
        <f>SUM(S83:S87)</f>
        <v>2614</v>
      </c>
      <c r="T88" s="1">
        <f>SUM(T83:T87)</f>
        <v>1933</v>
      </c>
      <c r="U88" s="1">
        <f>SUM(U83:U87)</f>
        <v>2886</v>
      </c>
      <c r="V88" s="1">
        <f>SUM(V82:V87)</f>
        <v>8440</v>
      </c>
      <c r="W88" s="13" t="s">
        <v>12</v>
      </c>
    </row>
    <row r="89" spans="2:26" x14ac:dyDescent="0.3">
      <c r="B89" s="204"/>
      <c r="C89" s="205"/>
      <c r="D89" s="206"/>
      <c r="E89" s="207"/>
      <c r="F89" s="208"/>
      <c r="G89" s="209"/>
      <c r="O89" s="1" t="s">
        <v>316</v>
      </c>
      <c r="P89" s="1" t="s">
        <v>2</v>
      </c>
      <c r="Q89" s="10">
        <f>Q83/Q88</f>
        <v>0.99678456591639875</v>
      </c>
      <c r="R89" s="10">
        <f>R84/R88</f>
        <v>0.43116883116883115</v>
      </c>
      <c r="S89" s="10">
        <f>S85/S88</f>
        <v>0.81254781943381793</v>
      </c>
      <c r="T89" s="10">
        <f>T86/T88</f>
        <v>0.84997413347128814</v>
      </c>
      <c r="U89" s="10">
        <f>U87/U88</f>
        <v>0.99203049203049198</v>
      </c>
      <c r="V89" s="10"/>
      <c r="W89" s="14">
        <f>(Q83+R84+S85+T86+U87)/V88</f>
        <v>0.87867298578199049</v>
      </c>
    </row>
    <row r="90" spans="2:26" x14ac:dyDescent="0.3">
      <c r="C90" s="1" t="s">
        <v>2</v>
      </c>
      <c r="D90" s="1" t="s">
        <v>1</v>
      </c>
      <c r="E90" s="1" t="s">
        <v>491</v>
      </c>
      <c r="P90" s="1" t="s">
        <v>14</v>
      </c>
      <c r="Q90" s="11">
        <f>1-Q89</f>
        <v>3.215434083601254E-3</v>
      </c>
      <c r="R90" s="11">
        <f>1-R89</f>
        <v>0.56883116883116891</v>
      </c>
      <c r="S90" s="11">
        <f>1-S89</f>
        <v>0.18745218056618207</v>
      </c>
      <c r="T90" s="11">
        <f>1-T89</f>
        <v>0.15002586652871186</v>
      </c>
      <c r="U90" s="11">
        <f>1-U89</f>
        <v>7.9695079695080162E-3</v>
      </c>
    </row>
    <row r="91" spans="2:26" x14ac:dyDescent="0.3">
      <c r="B91" s="197" t="s">
        <v>447</v>
      </c>
      <c r="C91" s="57">
        <f>D83*100</f>
        <v>99.50738916256158</v>
      </c>
      <c r="D91" s="57">
        <f>J77*100</f>
        <v>44.789356984478935</v>
      </c>
      <c r="E91" s="57">
        <f>Spectral!R122</f>
        <v>44.892092936198999</v>
      </c>
      <c r="F91" t="s">
        <v>564</v>
      </c>
      <c r="Q91" s="2"/>
    </row>
    <row r="92" spans="2:26" x14ac:dyDescent="0.3">
      <c r="B92" s="198" t="s">
        <v>446</v>
      </c>
      <c r="C92" s="57">
        <f>E83*100</f>
        <v>94.827586206896555</v>
      </c>
      <c r="D92" s="57">
        <f t="shared" ref="D92:D95" si="5">J78*100</f>
        <v>96.491228070175438</v>
      </c>
      <c r="E92" s="57">
        <f>Spectral!S122</f>
        <v>39.942051172015326</v>
      </c>
      <c r="F92" t="s">
        <v>565</v>
      </c>
      <c r="O92" s="1" t="s">
        <v>518</v>
      </c>
      <c r="P92" s="1" t="s">
        <v>519</v>
      </c>
      <c r="Q92" s="1" t="s">
        <v>523</v>
      </c>
      <c r="R92" s="1" t="s">
        <v>520</v>
      </c>
      <c r="S92" s="1" t="s">
        <v>522</v>
      </c>
      <c r="T92" s="1" t="s">
        <v>521</v>
      </c>
    </row>
    <row r="93" spans="2:26" x14ac:dyDescent="0.3">
      <c r="B93" s="199" t="s">
        <v>448</v>
      </c>
      <c r="C93" s="57">
        <f>F83*100</f>
        <v>76.846747519294382</v>
      </c>
      <c r="D93" s="57">
        <f t="shared" si="5"/>
        <v>99.785254115962772</v>
      </c>
      <c r="E93" s="57">
        <f>Spectral!T122</f>
        <v>31.738043896549971</v>
      </c>
      <c r="F93" t="s">
        <v>566</v>
      </c>
      <c r="O93" s="1">
        <f>_xlfn.QUARTILE.INC(Q83:U87,1)</f>
        <v>1</v>
      </c>
      <c r="P93" s="1">
        <f>_xlfn.QUARTILE.EXC(Q83:U87,2)</f>
        <v>11</v>
      </c>
      <c r="Q93" s="1">
        <f>_xlfn.PERCENTILE.INC(Q83:U87,0.7)</f>
        <v>151.39999999999986</v>
      </c>
      <c r="R93" s="1">
        <f>_xlfn.QUARTILE.EXC(Q83:U87,3)</f>
        <v>189.5</v>
      </c>
      <c r="S93" s="1">
        <f>AVERAGE(Q83:U87)</f>
        <v>337.6</v>
      </c>
      <c r="T93" s="1">
        <f>MAX(Q83:U87)</f>
        <v>2863</v>
      </c>
    </row>
    <row r="94" spans="2:26" x14ac:dyDescent="0.3">
      <c r="B94" s="200" t="s">
        <v>449</v>
      </c>
      <c r="C94" s="57">
        <f>G83*100</f>
        <v>84.926184926184916</v>
      </c>
      <c r="D94" s="57">
        <f t="shared" si="5"/>
        <v>97.939068100358426</v>
      </c>
      <c r="E94" s="57">
        <f>Spectral!U122</f>
        <v>43.604226289923353</v>
      </c>
      <c r="F94" t="s">
        <v>567</v>
      </c>
      <c r="O94" s="204">
        <v>0</v>
      </c>
      <c r="P94" s="220" t="s">
        <v>729</v>
      </c>
      <c r="Q94" s="220" t="s">
        <v>752</v>
      </c>
      <c r="R94" s="204" t="s">
        <v>753</v>
      </c>
      <c r="S94" s="204" t="s">
        <v>754</v>
      </c>
      <c r="T94" s="204" t="s">
        <v>755</v>
      </c>
    </row>
    <row r="95" spans="2:26" x14ac:dyDescent="0.3">
      <c r="B95" s="201" t="s">
        <v>450</v>
      </c>
      <c r="C95" s="57">
        <f>H83*100</f>
        <v>99.480249480249483</v>
      </c>
      <c r="D95" s="57">
        <f t="shared" si="5"/>
        <v>94.846382556987123</v>
      </c>
      <c r="E95" s="57">
        <f>Spectral!V122</f>
        <v>13.352874130711751</v>
      </c>
      <c r="F95" t="s">
        <v>568</v>
      </c>
      <c r="O95" s="204"/>
      <c r="P95" s="205"/>
      <c r="Q95" s="206"/>
      <c r="R95" s="207"/>
      <c r="S95" s="208"/>
      <c r="T95" s="209"/>
    </row>
    <row r="96" spans="2:26" x14ac:dyDescent="0.3">
      <c r="P96" s="1" t="s">
        <v>2</v>
      </c>
      <c r="Q96" s="1" t="s">
        <v>1</v>
      </c>
      <c r="R96" s="1" t="s">
        <v>491</v>
      </c>
    </row>
    <row r="97" spans="2:26" x14ac:dyDescent="0.3">
      <c r="O97" s="197" t="s">
        <v>447</v>
      </c>
      <c r="P97" s="57">
        <f>Q89*100</f>
        <v>99.678456591639872</v>
      </c>
      <c r="Q97" s="57">
        <f>W83*100</f>
        <v>45.857988165680474</v>
      </c>
      <c r="R97" s="57">
        <f>Spectral!R126</f>
        <v>43.303186155548083</v>
      </c>
      <c r="S97" t="s">
        <v>604</v>
      </c>
    </row>
    <row r="98" spans="2:26" x14ac:dyDescent="0.3">
      <c r="B98" s="348" t="s">
        <v>689</v>
      </c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O98" s="198" t="s">
        <v>446</v>
      </c>
      <c r="P98" s="57">
        <f>R89*100</f>
        <v>43.116883116883116</v>
      </c>
      <c r="Q98" s="57">
        <f t="shared" ref="Q98:Q101" si="6">W84*100</f>
        <v>93.258426966292134</v>
      </c>
      <c r="R98" s="57">
        <f>Spectral!S126</f>
        <v>33.839260273060404</v>
      </c>
      <c r="S98" t="s">
        <v>605</v>
      </c>
    </row>
    <row r="99" spans="2:26" x14ac:dyDescent="0.3">
      <c r="B99" t="s">
        <v>528</v>
      </c>
      <c r="J99" s="1" t="s">
        <v>53</v>
      </c>
      <c r="O99" s="199" t="s">
        <v>448</v>
      </c>
      <c r="P99" s="57">
        <f>S89*100</f>
        <v>81.254781943381786</v>
      </c>
      <c r="Q99" s="57">
        <f t="shared" si="6"/>
        <v>99.020979020979013</v>
      </c>
      <c r="R99" s="57">
        <f>Spectral!T126</f>
        <v>27.778546244638996</v>
      </c>
      <c r="S99" t="s">
        <v>606</v>
      </c>
    </row>
    <row r="100" spans="2:26" ht="15.6" x14ac:dyDescent="0.35">
      <c r="C100" s="1" t="s">
        <v>0</v>
      </c>
      <c r="D100" s="90" t="s">
        <v>447</v>
      </c>
      <c r="E100" s="91" t="s">
        <v>446</v>
      </c>
      <c r="F100" s="92" t="s">
        <v>448</v>
      </c>
      <c r="G100" s="124" t="s">
        <v>449</v>
      </c>
      <c r="H100" s="123" t="s">
        <v>450</v>
      </c>
      <c r="I100" s="1" t="s">
        <v>20</v>
      </c>
      <c r="J100" s="1" t="s">
        <v>1</v>
      </c>
      <c r="K100" s="1" t="s">
        <v>13</v>
      </c>
      <c r="M100" s="1" t="s">
        <v>51</v>
      </c>
      <c r="O100" s="200" t="s">
        <v>449</v>
      </c>
      <c r="P100" s="57">
        <f>T89*100</f>
        <v>84.997413347128813</v>
      </c>
      <c r="Q100" s="57">
        <f t="shared" si="6"/>
        <v>94.752018454440602</v>
      </c>
      <c r="R100" s="57">
        <f>Spectral!U126</f>
        <v>35.003500175715551</v>
      </c>
      <c r="S100" t="s">
        <v>607</v>
      </c>
    </row>
    <row r="101" spans="2:26" x14ac:dyDescent="0.3">
      <c r="B101" t="s">
        <v>3</v>
      </c>
      <c r="C101" s="197" t="s">
        <v>447</v>
      </c>
      <c r="D101" s="234">
        <f>'19M_Seeds'!AL83+'24M_Seeds'!AL83</f>
        <v>666</v>
      </c>
      <c r="E101" s="196">
        <f>'19M_Seeds'!AM83+'24M_Seeds'!AM83</f>
        <v>213</v>
      </c>
      <c r="F101" s="3">
        <f>'19M_Seeds'!AN83+'24M_Seeds'!AN83</f>
        <v>0</v>
      </c>
      <c r="G101" s="3">
        <f>'19M_Seeds'!AO83+'24M_Seeds'!AO83</f>
        <v>21</v>
      </c>
      <c r="H101" s="4">
        <f>'19M_Seeds'!AP83+'24M_Seeds'!AP83</f>
        <v>0</v>
      </c>
      <c r="I101" s="1">
        <f>SUM(D101:H101)</f>
        <v>900</v>
      </c>
      <c r="J101" s="10">
        <f>D101/I101</f>
        <v>0.74</v>
      </c>
      <c r="K101" s="11">
        <f>1-J101</f>
        <v>0.26</v>
      </c>
      <c r="L101">
        <f>I101-D106</f>
        <v>234</v>
      </c>
      <c r="M101" s="10">
        <f>2*(D107*J101)/(D107+J101)</f>
        <v>0.85057471264367812</v>
      </c>
      <c r="O101" s="201" t="s">
        <v>450</v>
      </c>
      <c r="P101" s="57">
        <f>U89*100</f>
        <v>99.203049203049204</v>
      </c>
      <c r="Q101" s="57">
        <f t="shared" si="6"/>
        <v>94.457274826789842</v>
      </c>
      <c r="R101" s="57">
        <f>Spectral!V126</f>
        <v>11.077585391094777</v>
      </c>
      <c r="S101" t="s">
        <v>608</v>
      </c>
    </row>
    <row r="102" spans="2:26" x14ac:dyDescent="0.3">
      <c r="B102" t="s">
        <v>4</v>
      </c>
      <c r="C102" s="198" t="s">
        <v>446</v>
      </c>
      <c r="D102" s="1">
        <f>'19M_Seeds'!AL84+'24M_Seeds'!AL84</f>
        <v>0</v>
      </c>
      <c r="E102" s="183">
        <f>'19M_Seeds'!AM84+'24M_Seeds'!AM84</f>
        <v>111</v>
      </c>
      <c r="F102" s="188">
        <f>'19M_Seeds'!AN84+'24M_Seeds'!AN84</f>
        <v>16</v>
      </c>
      <c r="G102" s="1">
        <f>'19M_Seeds'!AO84+'24M_Seeds'!AO84</f>
        <v>0</v>
      </c>
      <c r="H102" s="187">
        <f>'19M_Seeds'!AP84+'24M_Seeds'!AP84</f>
        <v>1</v>
      </c>
      <c r="I102" s="1">
        <f>SUM(D102:H102)</f>
        <v>128</v>
      </c>
      <c r="J102" s="10">
        <f>E102/I102</f>
        <v>0.8671875</v>
      </c>
      <c r="K102" s="11">
        <f>1-J102</f>
        <v>0.1328125</v>
      </c>
      <c r="L102">
        <f>I102-E106</f>
        <v>-197</v>
      </c>
      <c r="M102" s="10">
        <f>2*(E107*J102)/(E107+J102)</f>
        <v>0.49006622516556286</v>
      </c>
    </row>
    <row r="103" spans="2:26" x14ac:dyDescent="0.3">
      <c r="B103" t="s">
        <v>5</v>
      </c>
      <c r="C103" s="199" t="s">
        <v>448</v>
      </c>
      <c r="D103" s="1">
        <f>'19M_Seeds'!AL85+'24M_Seeds'!AL85</f>
        <v>0</v>
      </c>
      <c r="E103" s="240">
        <f>'19M_Seeds'!AM85+'24M_Seeds'!AM85</f>
        <v>0</v>
      </c>
      <c r="F103" s="182">
        <f>'19M_Seeds'!AN85+'24M_Seeds'!AN85</f>
        <v>1465</v>
      </c>
      <c r="G103" s="188">
        <f>'19M_Seeds'!AO85+'24M_Seeds'!AO85</f>
        <v>24</v>
      </c>
      <c r="H103" s="187">
        <f>'19M_Seeds'!AP85+'24M_Seeds'!AP85</f>
        <v>7</v>
      </c>
      <c r="I103" s="1">
        <f>SUM(D103:H103)</f>
        <v>1496</v>
      </c>
      <c r="J103" s="10">
        <f>F103/I103</f>
        <v>0.97927807486631013</v>
      </c>
      <c r="K103" s="11">
        <f>1-J103</f>
        <v>2.0721925133689867E-2</v>
      </c>
      <c r="L103">
        <f>I103-F106</f>
        <v>-101</v>
      </c>
      <c r="M103" s="10">
        <f>2*(F107*J103)/(F107+J103)</f>
        <v>0.94730035564177162</v>
      </c>
    </row>
    <row r="104" spans="2:26" x14ac:dyDescent="0.3">
      <c r="B104" t="s">
        <v>6</v>
      </c>
      <c r="C104" s="200" t="s">
        <v>449</v>
      </c>
      <c r="D104" s="1">
        <f>'19M_Seeds'!AL86+'24M_Seeds'!AL86</f>
        <v>0</v>
      </c>
      <c r="E104" s="1">
        <f>'19M_Seeds'!AM86+'24M_Seeds'!AM86</f>
        <v>0</v>
      </c>
      <c r="F104" s="184">
        <f>'19M_Seeds'!AN86+'24M_Seeds'!AN86</f>
        <v>101</v>
      </c>
      <c r="G104" s="182">
        <f>'19M_Seeds'!AO86+'24M_Seeds'!AO86</f>
        <v>1117</v>
      </c>
      <c r="H104" s="191">
        <f>'19M_Seeds'!AP86+'24M_Seeds'!AP86</f>
        <v>18</v>
      </c>
      <c r="I104" s="1">
        <f>SUM(D104:H104)</f>
        <v>1236</v>
      </c>
      <c r="J104" s="10">
        <f>G104/I104</f>
        <v>0.90372168284789645</v>
      </c>
      <c r="K104" s="11">
        <f>1-J104</f>
        <v>9.6278317152103554E-2</v>
      </c>
      <c r="L104">
        <f>I104-G106</f>
        <v>-26</v>
      </c>
      <c r="M104" s="10">
        <f>2*(G107*J104)/(G107+J104)</f>
        <v>0.89431545236188947</v>
      </c>
      <c r="O104" s="348" t="s">
        <v>690</v>
      </c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</row>
    <row r="105" spans="2:26" x14ac:dyDescent="0.3">
      <c r="B105" t="s">
        <v>7</v>
      </c>
      <c r="C105" s="201" t="s">
        <v>450</v>
      </c>
      <c r="D105" s="8">
        <f>'19M_Seeds'!AL87+'24M_Seeds'!AL87</f>
        <v>0</v>
      </c>
      <c r="E105" s="190">
        <f>'19M_Seeds'!AM87+'24M_Seeds'!AM87</f>
        <v>1</v>
      </c>
      <c r="F105" s="190">
        <f>'19M_Seeds'!AN87+'24M_Seeds'!AN87</f>
        <v>15</v>
      </c>
      <c r="G105" s="193">
        <f>'19M_Seeds'!AO87+'24M_Seeds'!AO87</f>
        <v>100</v>
      </c>
      <c r="H105" s="210">
        <f>'19M_Seeds'!AP87+'24M_Seeds'!AP87</f>
        <v>1910</v>
      </c>
      <c r="I105" s="1">
        <f>SUM(D105:H105)</f>
        <v>2026</v>
      </c>
      <c r="J105" s="10">
        <f>H105/I105</f>
        <v>0.9427443237907206</v>
      </c>
      <c r="K105" s="11">
        <f>1-J105</f>
        <v>5.7255676209279405E-2</v>
      </c>
      <c r="L105">
        <f>I105-H106</f>
        <v>90</v>
      </c>
      <c r="M105" s="10">
        <f>2*(H107*J105)/(H107+J105)</f>
        <v>0.96415951539626443</v>
      </c>
      <c r="O105" t="s">
        <v>528</v>
      </c>
      <c r="W105" s="1" t="s">
        <v>53</v>
      </c>
    </row>
    <row r="106" spans="2:26" ht="15.6" x14ac:dyDescent="0.35">
      <c r="C106" s="1" t="s">
        <v>19</v>
      </c>
      <c r="D106" s="1">
        <f>SUM(D101:D105)</f>
        <v>666</v>
      </c>
      <c r="E106" s="1">
        <f>SUM(E101:E105)</f>
        <v>325</v>
      </c>
      <c r="F106" s="1">
        <f>SUM(F101:F105)</f>
        <v>1597</v>
      </c>
      <c r="G106" s="1">
        <f>SUM(G101:G105)</f>
        <v>1262</v>
      </c>
      <c r="H106" s="1">
        <f>SUM(H101:H105)</f>
        <v>1936</v>
      </c>
      <c r="I106" s="1">
        <f>SUM(I100:I105)</f>
        <v>5786</v>
      </c>
      <c r="J106" s="13" t="s">
        <v>12</v>
      </c>
      <c r="P106" s="1" t="s">
        <v>0</v>
      </c>
      <c r="Q106" s="90" t="s">
        <v>447</v>
      </c>
      <c r="R106" s="91" t="s">
        <v>446</v>
      </c>
      <c r="S106" s="92" t="s">
        <v>448</v>
      </c>
      <c r="T106" s="124" t="s">
        <v>449</v>
      </c>
      <c r="U106" s="123" t="s">
        <v>450</v>
      </c>
      <c r="V106" s="1" t="s">
        <v>20</v>
      </c>
      <c r="W106" s="1" t="s">
        <v>1</v>
      </c>
      <c r="X106" s="1" t="s">
        <v>13</v>
      </c>
      <c r="Z106" s="1" t="s">
        <v>51</v>
      </c>
    </row>
    <row r="107" spans="2:26" x14ac:dyDescent="0.3">
      <c r="B107" s="1" t="s">
        <v>316</v>
      </c>
      <c r="C107" s="1" t="s">
        <v>2</v>
      </c>
      <c r="D107" s="10">
        <f>D101/D106</f>
        <v>1</v>
      </c>
      <c r="E107" s="10">
        <f>E102/E106</f>
        <v>0.34153846153846151</v>
      </c>
      <c r="F107" s="10">
        <f>F103/F106</f>
        <v>0.91734502191609268</v>
      </c>
      <c r="G107" s="10">
        <f>G104/G106</f>
        <v>0.88510301109350242</v>
      </c>
      <c r="H107" s="10">
        <f>H105/H106</f>
        <v>0.98657024793388426</v>
      </c>
      <c r="I107" s="10"/>
      <c r="J107" s="14">
        <f>(D101+E102+F103+G104+H105)/I106</f>
        <v>0.91064638783269958</v>
      </c>
      <c r="O107" t="s">
        <v>3</v>
      </c>
      <c r="P107" s="197" t="s">
        <v>447</v>
      </c>
      <c r="Q107" s="234">
        <f>'91T_Seeds'!AL83</f>
        <v>451</v>
      </c>
      <c r="R107" s="3">
        <f>'91T_Seeds'!AM83</f>
        <v>0</v>
      </c>
      <c r="S107" s="3">
        <f>'91T_Seeds'!AN83</f>
        <v>0</v>
      </c>
      <c r="T107" s="3">
        <f>'91T_Seeds'!AO83</f>
        <v>0</v>
      </c>
      <c r="U107" s="4">
        <f>'91T_Seeds'!AP83</f>
        <v>0</v>
      </c>
      <c r="V107" s="1">
        <f>SUM(Q107:U107)</f>
        <v>451</v>
      </c>
      <c r="W107" s="10">
        <f>Q107/V107</f>
        <v>1</v>
      </c>
      <c r="X107" s="11">
        <f>1-W107</f>
        <v>0</v>
      </c>
      <c r="Y107">
        <f>V107-Q112</f>
        <v>0</v>
      </c>
      <c r="Z107" s="10">
        <f>2*(Q113*W107)/(Q113+W107)</f>
        <v>1</v>
      </c>
    </row>
    <row r="108" spans="2:26" x14ac:dyDescent="0.3">
      <c r="C108" s="1" t="s">
        <v>14</v>
      </c>
      <c r="D108" s="11">
        <f>1-D107</f>
        <v>0</v>
      </c>
      <c r="E108" s="11">
        <f>1-E107</f>
        <v>0.65846153846153843</v>
      </c>
      <c r="F108" s="11">
        <f>1-F107</f>
        <v>8.2654978083907316E-2</v>
      </c>
      <c r="G108" s="11">
        <f>1-G107</f>
        <v>0.11489698890649758</v>
      </c>
      <c r="H108" s="11">
        <f>1-H107</f>
        <v>1.3429752066115741E-2</v>
      </c>
      <c r="O108" t="s">
        <v>4</v>
      </c>
      <c r="P108" s="198" t="s">
        <v>446</v>
      </c>
      <c r="Q108" s="1">
        <f>'91T_Seeds'!AL84</f>
        <v>0</v>
      </c>
      <c r="R108" s="183">
        <f>'91T_Seeds'!AM84</f>
        <v>55</v>
      </c>
      <c r="S108" s="186">
        <f>'91T_Seeds'!AN84</f>
        <v>2</v>
      </c>
      <c r="T108" s="1">
        <f>'91T_Seeds'!AO84</f>
        <v>0</v>
      </c>
      <c r="U108" s="6">
        <f>'91T_Seeds'!AP84</f>
        <v>0</v>
      </c>
      <c r="V108" s="1">
        <f>SUM(Q108:U108)</f>
        <v>57</v>
      </c>
      <c r="W108" s="10">
        <f>R108/V108</f>
        <v>0.96491228070175439</v>
      </c>
      <c r="X108" s="11">
        <f>1-W108</f>
        <v>3.5087719298245612E-2</v>
      </c>
      <c r="Y108">
        <f>V108-R112</f>
        <v>-85</v>
      </c>
      <c r="Z108" s="10">
        <f>2*(R113*W108)/(R113+W108)</f>
        <v>0.55276381909547734</v>
      </c>
    </row>
    <row r="109" spans="2:26" x14ac:dyDescent="0.3">
      <c r="D109" s="2"/>
      <c r="O109" t="s">
        <v>5</v>
      </c>
      <c r="P109" s="199" t="s">
        <v>448</v>
      </c>
      <c r="Q109" s="1">
        <f>'91T_Seeds'!AL85</f>
        <v>0</v>
      </c>
      <c r="R109" s="238">
        <f>'91T_Seeds'!AM85</f>
        <v>1</v>
      </c>
      <c r="S109" s="182">
        <f>'91T_Seeds'!AN85</f>
        <v>713</v>
      </c>
      <c r="T109" s="188">
        <f>'91T_Seeds'!AO85</f>
        <v>13</v>
      </c>
      <c r="U109" s="191">
        <f>'91T_Seeds'!AP85</f>
        <v>10</v>
      </c>
      <c r="V109" s="1">
        <f>SUM(Q109:U109)</f>
        <v>737</v>
      </c>
      <c r="W109" s="10">
        <f>S109/V109</f>
        <v>0.9674355495251018</v>
      </c>
      <c r="X109" s="11">
        <f>1-W109</f>
        <v>3.2564450474898199E-2</v>
      </c>
      <c r="Y109">
        <f>V109-S112</f>
        <v>3</v>
      </c>
      <c r="Z109" s="10">
        <f>2*(S113*W109)/(S113+W109)</f>
        <v>0.96940856560163147</v>
      </c>
    </row>
    <row r="110" spans="2:26" x14ac:dyDescent="0.3">
      <c r="B110" s="1" t="s">
        <v>518</v>
      </c>
      <c r="C110" s="1" t="s">
        <v>519</v>
      </c>
      <c r="D110" s="1" t="s">
        <v>523</v>
      </c>
      <c r="E110" s="1" t="s">
        <v>520</v>
      </c>
      <c r="F110" s="1" t="s">
        <v>522</v>
      </c>
      <c r="G110" s="1" t="s">
        <v>521</v>
      </c>
      <c r="O110" t="s">
        <v>6</v>
      </c>
      <c r="P110" s="200" t="s">
        <v>449</v>
      </c>
      <c r="Q110" s="1">
        <f>'91T_Seeds'!AL86</f>
        <v>0</v>
      </c>
      <c r="R110" s="1">
        <f>'91T_Seeds'!AM86</f>
        <v>0</v>
      </c>
      <c r="S110" s="188">
        <f>'91T_Seeds'!AN86</f>
        <v>10</v>
      </c>
      <c r="T110" s="182">
        <f>'91T_Seeds'!AO86</f>
        <v>551</v>
      </c>
      <c r="U110" s="192">
        <f>'91T_Seeds'!AP86</f>
        <v>21</v>
      </c>
      <c r="V110" s="1">
        <f>SUM(Q110:U110)</f>
        <v>582</v>
      </c>
      <c r="W110" s="10">
        <f>T110/V110</f>
        <v>0.9467353951890034</v>
      </c>
      <c r="X110" s="11">
        <f>1-W110</f>
        <v>5.3264604810996596E-2</v>
      </c>
      <c r="Y110">
        <f>V110-T112</f>
        <v>-35</v>
      </c>
      <c r="Z110" s="10">
        <f>2*(T113*W110)/(T113+W110)</f>
        <v>0.91909924937447884</v>
      </c>
    </row>
    <row r="111" spans="2:26" x14ac:dyDescent="0.3">
      <c r="B111" s="1">
        <f>_xlfn.QUARTILE.INC(D101:H105,1)</f>
        <v>0</v>
      </c>
      <c r="C111" s="1">
        <f>_xlfn.QUARTILE.EXC(D101:H105,2)</f>
        <v>15</v>
      </c>
      <c r="D111" s="1">
        <f>_xlfn.PERCENTILE.INC(D101:H105,0.7)</f>
        <v>84.799999999999784</v>
      </c>
      <c r="E111" s="1">
        <f>_xlfn.QUARTILE.EXC(D101:H105,3)</f>
        <v>106</v>
      </c>
      <c r="F111" s="1">
        <f>AVERAGE(D101:H105)</f>
        <v>231.44</v>
      </c>
      <c r="G111" s="1">
        <f>MAX(D101:H105)</f>
        <v>1910</v>
      </c>
      <c r="O111" t="s">
        <v>7</v>
      </c>
      <c r="P111" s="201" t="s">
        <v>450</v>
      </c>
      <c r="Q111" s="8">
        <f>'91T_Seeds'!AL87</f>
        <v>0</v>
      </c>
      <c r="R111" s="222">
        <f>'91T_Seeds'!AM87</f>
        <v>86</v>
      </c>
      <c r="S111" s="189">
        <f>'91T_Seeds'!AN87</f>
        <v>9</v>
      </c>
      <c r="T111" s="222">
        <f>'91T_Seeds'!AO87</f>
        <v>53</v>
      </c>
      <c r="U111" s="210">
        <f>'91T_Seeds'!AP87</f>
        <v>861</v>
      </c>
      <c r="V111" s="1">
        <f>SUM(Q111:U111)</f>
        <v>1009</v>
      </c>
      <c r="W111" s="10">
        <f>U111/V111</f>
        <v>0.85332011892963333</v>
      </c>
      <c r="X111" s="11">
        <f>1-W111</f>
        <v>0.14667988107036667</v>
      </c>
      <c r="Y111">
        <f>V111-U112</f>
        <v>117</v>
      </c>
      <c r="Z111" s="10">
        <f>2*(U113*W111)/(U113+W111)</f>
        <v>0.90583903208837457</v>
      </c>
    </row>
    <row r="112" spans="2:26" ht="15.6" x14ac:dyDescent="0.35">
      <c r="B112" s="204">
        <v>0</v>
      </c>
      <c r="C112" s="220" t="s">
        <v>739</v>
      </c>
      <c r="D112" s="204" t="s">
        <v>740</v>
      </c>
      <c r="E112" s="204" t="s">
        <v>741</v>
      </c>
      <c r="F112" s="204" t="s">
        <v>742</v>
      </c>
      <c r="G112" s="204" t="s">
        <v>743</v>
      </c>
      <c r="P112" s="1" t="s">
        <v>19</v>
      </c>
      <c r="Q112" s="1">
        <f>SUM(Q107:Q111)</f>
        <v>451</v>
      </c>
      <c r="R112" s="1">
        <f>SUM(R107:R111)</f>
        <v>142</v>
      </c>
      <c r="S112" s="1">
        <f>SUM(S107:S111)</f>
        <v>734</v>
      </c>
      <c r="T112" s="1">
        <f>SUM(T107:T111)</f>
        <v>617</v>
      </c>
      <c r="U112" s="1">
        <f>SUM(U107:U111)</f>
        <v>892</v>
      </c>
      <c r="V112" s="1">
        <f>SUM(V106:V111)</f>
        <v>2836</v>
      </c>
      <c r="W112" s="13" t="s">
        <v>12</v>
      </c>
    </row>
    <row r="113" spans="2:25" x14ac:dyDescent="0.3">
      <c r="B113" s="204"/>
      <c r="C113" s="205"/>
      <c r="D113" s="206"/>
      <c r="E113" s="207"/>
      <c r="F113" s="208"/>
      <c r="G113" s="209"/>
      <c r="O113" s="1" t="s">
        <v>316</v>
      </c>
      <c r="P113" s="1" t="s">
        <v>2</v>
      </c>
      <c r="Q113" s="10">
        <f>Q107/Q112</f>
        <v>1</v>
      </c>
      <c r="R113" s="10">
        <f>R108/R112</f>
        <v>0.38732394366197181</v>
      </c>
      <c r="S113" s="10">
        <f>S109/S112</f>
        <v>0.97138964577656672</v>
      </c>
      <c r="T113" s="10">
        <f>T110/T112</f>
        <v>0.89303079416531606</v>
      </c>
      <c r="U113" s="10">
        <f>U111/U112</f>
        <v>0.9652466367713004</v>
      </c>
      <c r="V113" s="10"/>
      <c r="W113" s="14">
        <f>(Q107+R108+S109+T110+U111)/V112</f>
        <v>0.92771509167842026</v>
      </c>
    </row>
    <row r="114" spans="2:25" x14ac:dyDescent="0.3">
      <c r="C114" s="1" t="s">
        <v>2</v>
      </c>
      <c r="D114" s="1" t="s">
        <v>1</v>
      </c>
      <c r="E114" s="1" t="s">
        <v>491</v>
      </c>
      <c r="P114" s="1" t="s">
        <v>14</v>
      </c>
      <c r="Q114" s="11">
        <f>1-Q113</f>
        <v>0</v>
      </c>
      <c r="R114" s="11">
        <f>1-R113</f>
        <v>0.61267605633802824</v>
      </c>
      <c r="S114" s="11">
        <f>1-S113</f>
        <v>2.8610354223433276E-2</v>
      </c>
      <c r="T114" s="11">
        <f>1-T113</f>
        <v>0.10696920583468394</v>
      </c>
      <c r="U114" s="11">
        <f>1-U113</f>
        <v>3.4753363228699596E-2</v>
      </c>
    </row>
    <row r="115" spans="2:25" x14ac:dyDescent="0.3">
      <c r="B115" s="197" t="s">
        <v>447</v>
      </c>
      <c r="C115" s="57">
        <f>D107*100</f>
        <v>100</v>
      </c>
      <c r="D115" s="57">
        <f>J101*100</f>
        <v>74</v>
      </c>
      <c r="E115" s="57">
        <f>Spectral!R123</f>
        <v>35.050798014168514</v>
      </c>
      <c r="F115" t="s">
        <v>569</v>
      </c>
      <c r="Q115" s="2"/>
    </row>
    <row r="116" spans="2:25" x14ac:dyDescent="0.3">
      <c r="B116" s="198" t="s">
        <v>446</v>
      </c>
      <c r="C116" s="57">
        <f>E107*100</f>
        <v>34.153846153846153</v>
      </c>
      <c r="D116" s="57">
        <f t="shared" ref="D116:D119" si="7">J102*100</f>
        <v>86.71875</v>
      </c>
      <c r="E116" s="57">
        <f>Spectral!S123</f>
        <v>33.550575880165532</v>
      </c>
      <c r="F116" t="s">
        <v>570</v>
      </c>
      <c r="O116" s="1" t="s">
        <v>518</v>
      </c>
      <c r="P116" s="1" t="s">
        <v>519</v>
      </c>
      <c r="Q116" s="1" t="s">
        <v>523</v>
      </c>
      <c r="R116" s="1" t="s">
        <v>520</v>
      </c>
      <c r="S116" s="1" t="s">
        <v>522</v>
      </c>
      <c r="T116" s="1" t="s">
        <v>521</v>
      </c>
    </row>
    <row r="117" spans="2:25" x14ac:dyDescent="0.3">
      <c r="B117" s="199" t="s">
        <v>448</v>
      </c>
      <c r="C117" s="57">
        <f>F107*100</f>
        <v>91.734502191609266</v>
      </c>
      <c r="D117" s="57">
        <f t="shared" si="7"/>
        <v>97.927807486631011</v>
      </c>
      <c r="E117" s="57">
        <f>Spectral!T123</f>
        <v>24.608607296767708</v>
      </c>
      <c r="F117" t="s">
        <v>571</v>
      </c>
      <c r="O117" s="1">
        <f>_xlfn.QUARTILE.INC(Q107:U111,1)</f>
        <v>0</v>
      </c>
      <c r="P117" s="1">
        <f>_xlfn.QUARTILE.EXC(Q107:U111,2)</f>
        <v>2</v>
      </c>
      <c r="Q117" s="1">
        <f>_xlfn.PERCENTILE.INC(Q107:U111,0.7)</f>
        <v>19.399999999999977</v>
      </c>
      <c r="R117" s="1">
        <f>_xlfn.QUARTILE.EXC(Q107:U111,3)</f>
        <v>54</v>
      </c>
      <c r="S117" s="1">
        <f>AVERAGE(Q107:U111)</f>
        <v>113.44</v>
      </c>
      <c r="T117" s="1">
        <f>MAX(Q107:U111)</f>
        <v>861</v>
      </c>
    </row>
    <row r="118" spans="2:25" x14ac:dyDescent="0.3">
      <c r="B118" s="200" t="s">
        <v>449</v>
      </c>
      <c r="C118" s="57">
        <f>G107*100</f>
        <v>88.510301109350237</v>
      </c>
      <c r="D118" s="57">
        <f t="shared" si="7"/>
        <v>90.372168284789637</v>
      </c>
      <c r="E118" s="57">
        <f>Spectral!U123</f>
        <v>22.853797468271136</v>
      </c>
      <c r="F118" t="s">
        <v>572</v>
      </c>
      <c r="O118" s="204">
        <v>0</v>
      </c>
      <c r="P118" s="220" t="s">
        <v>614</v>
      </c>
      <c r="Q118" s="220" t="s">
        <v>756</v>
      </c>
      <c r="R118" s="204" t="s">
        <v>727</v>
      </c>
      <c r="S118" s="204" t="s">
        <v>757</v>
      </c>
      <c r="T118" s="204" t="s">
        <v>758</v>
      </c>
    </row>
    <row r="119" spans="2:25" x14ac:dyDescent="0.3">
      <c r="B119" s="201" t="s">
        <v>450</v>
      </c>
      <c r="C119" s="57">
        <f>H107*100</f>
        <v>98.65702479338843</v>
      </c>
      <c r="D119" s="57">
        <f t="shared" si="7"/>
        <v>94.274432379072053</v>
      </c>
      <c r="E119" s="57">
        <f>Spectral!V123</f>
        <v>10.422247772696302</v>
      </c>
      <c r="F119" t="s">
        <v>573</v>
      </c>
      <c r="O119" s="204"/>
      <c r="P119" s="205"/>
      <c r="Q119" s="206"/>
      <c r="R119" s="207"/>
      <c r="S119" s="208"/>
      <c r="T119" s="209"/>
    </row>
    <row r="120" spans="2:25" x14ac:dyDescent="0.3">
      <c r="P120" s="1" t="s">
        <v>2</v>
      </c>
      <c r="Q120" s="1" t="s">
        <v>1</v>
      </c>
      <c r="R120" s="1" t="s">
        <v>491</v>
      </c>
    </row>
    <row r="121" spans="2:25" x14ac:dyDescent="0.3">
      <c r="O121" s="197" t="s">
        <v>447</v>
      </c>
      <c r="P121" s="57">
        <f>Q113*100</f>
        <v>100</v>
      </c>
      <c r="Q121" s="57">
        <f>W107*100</f>
        <v>100</v>
      </c>
      <c r="R121" s="57">
        <f>Spectral!R127</f>
        <v>23.793913630452469</v>
      </c>
      <c r="S121" t="s">
        <v>609</v>
      </c>
    </row>
    <row r="122" spans="2:25" x14ac:dyDescent="0.3">
      <c r="O122" s="198" t="s">
        <v>446</v>
      </c>
      <c r="P122" s="57">
        <f>R113*100</f>
        <v>38.732394366197184</v>
      </c>
      <c r="Q122" s="57">
        <f t="shared" ref="Q122:Q125" si="8">W108*100</f>
        <v>96.491228070175438</v>
      </c>
      <c r="R122" s="57">
        <f>Spectral!S127</f>
        <v>26.693652544688383</v>
      </c>
      <c r="S122" t="s">
        <v>610</v>
      </c>
    </row>
    <row r="123" spans="2:25" x14ac:dyDescent="0.3">
      <c r="O123" s="199" t="s">
        <v>448</v>
      </c>
      <c r="P123" s="57">
        <f>S113*100</f>
        <v>97.138964577656679</v>
      </c>
      <c r="Q123" s="57">
        <f t="shared" si="8"/>
        <v>96.743554952510181</v>
      </c>
      <c r="R123" s="57">
        <f>Spectral!T127</f>
        <v>18.722489423589579</v>
      </c>
      <c r="S123" t="s">
        <v>611</v>
      </c>
    </row>
    <row r="124" spans="2:25" x14ac:dyDescent="0.3">
      <c r="O124" s="200" t="s">
        <v>449</v>
      </c>
      <c r="P124" s="57">
        <f>T113*100</f>
        <v>89.303079416531602</v>
      </c>
      <c r="Q124" s="57">
        <f t="shared" si="8"/>
        <v>94.673539518900341</v>
      </c>
      <c r="R124" s="57">
        <f>Spectral!U127</f>
        <v>26.810378967744519</v>
      </c>
      <c r="S124" t="s">
        <v>612</v>
      </c>
    </row>
    <row r="125" spans="2:25" x14ac:dyDescent="0.3">
      <c r="O125" s="201" t="s">
        <v>450</v>
      </c>
      <c r="P125" s="57">
        <f>U113*100</f>
        <v>96.524663677130036</v>
      </c>
      <c r="Q125" s="57">
        <f t="shared" si="8"/>
        <v>85.332011892963337</v>
      </c>
      <c r="R125" s="57">
        <f>Spectral!V127</f>
        <v>10.138781233671398</v>
      </c>
      <c r="S125" t="s">
        <v>613</v>
      </c>
    </row>
    <row r="128" spans="2:25" x14ac:dyDescent="0.3">
      <c r="O128" s="348" t="s">
        <v>691</v>
      </c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</row>
    <row r="129" spans="15:26" x14ac:dyDescent="0.3">
      <c r="O129" t="s">
        <v>528</v>
      </c>
      <c r="W129" s="1" t="s">
        <v>53</v>
      </c>
    </row>
    <row r="130" spans="15:26" ht="15.6" x14ac:dyDescent="0.35">
      <c r="P130" s="1" t="s">
        <v>0</v>
      </c>
      <c r="Q130" s="90" t="s">
        <v>447</v>
      </c>
      <c r="R130" s="91" t="s">
        <v>446</v>
      </c>
      <c r="S130" s="92" t="s">
        <v>448</v>
      </c>
      <c r="T130" s="124" t="s">
        <v>449</v>
      </c>
      <c r="U130" s="123" t="s">
        <v>450</v>
      </c>
      <c r="V130" s="1" t="s">
        <v>20</v>
      </c>
      <c r="W130" s="1" t="s">
        <v>1</v>
      </c>
      <c r="X130" s="1" t="s">
        <v>13</v>
      </c>
      <c r="Z130" s="1" t="s">
        <v>51</v>
      </c>
    </row>
    <row r="131" spans="15:26" x14ac:dyDescent="0.3">
      <c r="O131" t="s">
        <v>3</v>
      </c>
      <c r="P131" s="197" t="s">
        <v>447</v>
      </c>
      <c r="Q131" s="234">
        <f>'88_Seeds'!AL83</f>
        <v>115</v>
      </c>
      <c r="R131" s="3">
        <f>'88_Seeds'!AM83</f>
        <v>0</v>
      </c>
      <c r="S131" s="3">
        <f>'88_Seeds'!AN83</f>
        <v>0</v>
      </c>
      <c r="T131" s="3">
        <f>'88_Seeds'!AO83</f>
        <v>0</v>
      </c>
      <c r="U131" s="4">
        <f>'88_Seeds'!AP83</f>
        <v>0</v>
      </c>
      <c r="V131" s="1">
        <f>SUM(Q131:U131)</f>
        <v>115</v>
      </c>
      <c r="W131" s="10">
        <f>Q131/V131</f>
        <v>1</v>
      </c>
      <c r="X131" s="11">
        <f>1-W131</f>
        <v>0</v>
      </c>
      <c r="Y131">
        <f>V131-Q136</f>
        <v>0</v>
      </c>
      <c r="Z131" s="10">
        <f>2*(Q137*W131)/(Q137+W131)</f>
        <v>1</v>
      </c>
    </row>
    <row r="132" spans="15:26" x14ac:dyDescent="0.3">
      <c r="O132" t="s">
        <v>4</v>
      </c>
      <c r="P132" s="198" t="s">
        <v>446</v>
      </c>
      <c r="Q132" s="1">
        <f>'88_Seeds'!AL84</f>
        <v>0</v>
      </c>
      <c r="R132" s="225">
        <f>'88_Seeds'!AM84</f>
        <v>6</v>
      </c>
      <c r="S132" s="184">
        <f>'88_Seeds'!AN84</f>
        <v>9</v>
      </c>
      <c r="T132" s="1">
        <f>'88_Seeds'!AO84</f>
        <v>0</v>
      </c>
      <c r="U132" s="6">
        <f>'88_Seeds'!AP84</f>
        <v>0</v>
      </c>
      <c r="V132" s="1">
        <f>SUM(Q132:U132)</f>
        <v>15</v>
      </c>
      <c r="W132" s="10">
        <f>R132/V132</f>
        <v>0.4</v>
      </c>
      <c r="X132" s="11">
        <f>1-W132</f>
        <v>0.6</v>
      </c>
      <c r="Y132">
        <f>V132-R136</f>
        <v>9</v>
      </c>
      <c r="Z132" s="10">
        <f>2*(R137*W132)/(R137+W132)</f>
        <v>0.57142857142857151</v>
      </c>
    </row>
    <row r="133" spans="15:26" x14ac:dyDescent="0.3">
      <c r="O133" t="s">
        <v>5</v>
      </c>
      <c r="P133" s="199" t="s">
        <v>448</v>
      </c>
      <c r="Q133" s="1">
        <f>'88_Seeds'!AL85</f>
        <v>0</v>
      </c>
      <c r="R133" s="240">
        <f>'88_Seeds'!AM85</f>
        <v>0</v>
      </c>
      <c r="S133" s="182">
        <f>'88_Seeds'!AN85</f>
        <v>140</v>
      </c>
      <c r="T133" s="1">
        <f>'88_Seeds'!AO85</f>
        <v>0</v>
      </c>
      <c r="U133" s="242">
        <f>'88_Seeds'!AP85</f>
        <v>2</v>
      </c>
      <c r="V133" s="1">
        <f>SUM(Q133:U133)</f>
        <v>142</v>
      </c>
      <c r="W133" s="10">
        <f>S133/V133</f>
        <v>0.9859154929577465</v>
      </c>
      <c r="X133" s="11">
        <f>1-W133</f>
        <v>1.4084507042253502E-2</v>
      </c>
      <c r="Y133">
        <f>V133-S136</f>
        <v>-23</v>
      </c>
      <c r="Z133" s="10">
        <f>2*(S137*W133)/(S137+W133)</f>
        <v>0.91205211726384361</v>
      </c>
    </row>
    <row r="134" spans="15:26" x14ac:dyDescent="0.3">
      <c r="O134" t="s">
        <v>6</v>
      </c>
      <c r="P134" s="200" t="s">
        <v>449</v>
      </c>
      <c r="Q134" s="1">
        <f>'88_Seeds'!AL86</f>
        <v>0</v>
      </c>
      <c r="R134" s="1">
        <f>'88_Seeds'!AM86</f>
        <v>0</v>
      </c>
      <c r="S134" s="188">
        <f>'88_Seeds'!AN86</f>
        <v>5</v>
      </c>
      <c r="T134" s="182">
        <f>'88_Seeds'!AO86</f>
        <v>126</v>
      </c>
      <c r="U134" s="221">
        <f>'88_Seeds'!AP86</f>
        <v>13</v>
      </c>
      <c r="V134" s="1">
        <f>SUM(Q134:U134)</f>
        <v>144</v>
      </c>
      <c r="W134" s="10">
        <f>T134/V134</f>
        <v>0.875</v>
      </c>
      <c r="X134" s="11">
        <f>1-W134</f>
        <v>0.125</v>
      </c>
      <c r="Y134">
        <f>V134-T136</f>
        <v>-3</v>
      </c>
      <c r="Z134" s="10">
        <f>2*(T137*W134)/(T137+W134)</f>
        <v>0.86597938144329889</v>
      </c>
    </row>
    <row r="135" spans="15:26" x14ac:dyDescent="0.3">
      <c r="O135" t="s">
        <v>7</v>
      </c>
      <c r="P135" s="201" t="s">
        <v>450</v>
      </c>
      <c r="Q135" s="8">
        <f>'88_Seeds'!AL87</f>
        <v>0</v>
      </c>
      <c r="R135" s="8">
        <f>'88_Seeds'!AM87</f>
        <v>0</v>
      </c>
      <c r="S135" s="193">
        <f>'88_Seeds'!AN87</f>
        <v>11</v>
      </c>
      <c r="T135" s="222">
        <f>'88_Seeds'!AO87</f>
        <v>21</v>
      </c>
      <c r="U135" s="210">
        <f>'88_Seeds'!AP87</f>
        <v>212</v>
      </c>
      <c r="V135" s="1">
        <f>SUM(Q135:U135)</f>
        <v>244</v>
      </c>
      <c r="W135" s="10">
        <f>U135/V135</f>
        <v>0.86885245901639341</v>
      </c>
      <c r="X135" s="11">
        <f>1-W135</f>
        <v>0.13114754098360659</v>
      </c>
      <c r="Y135">
        <f>V135-U136</f>
        <v>17</v>
      </c>
      <c r="Z135" s="10">
        <f>2*(U137*W135)/(U137+W135)</f>
        <v>0.9002123142250531</v>
      </c>
    </row>
    <row r="136" spans="15:26" ht="15.6" x14ac:dyDescent="0.35">
      <c r="P136" s="1" t="s">
        <v>19</v>
      </c>
      <c r="Q136" s="1">
        <f>SUM(Q131:Q135)</f>
        <v>115</v>
      </c>
      <c r="R136" s="1">
        <f>SUM(R131:R135)</f>
        <v>6</v>
      </c>
      <c r="S136" s="1">
        <f>SUM(S131:S135)</f>
        <v>165</v>
      </c>
      <c r="T136" s="1">
        <f>SUM(T131:T135)</f>
        <v>147</v>
      </c>
      <c r="U136" s="1">
        <f>SUM(U131:U135)</f>
        <v>227</v>
      </c>
      <c r="V136" s="1">
        <f>SUM(V130:V135)</f>
        <v>660</v>
      </c>
      <c r="W136" s="13" t="s">
        <v>12</v>
      </c>
    </row>
    <row r="137" spans="15:26" x14ac:dyDescent="0.3">
      <c r="O137" s="1" t="s">
        <v>316</v>
      </c>
      <c r="P137" s="1" t="s">
        <v>2</v>
      </c>
      <c r="Q137" s="10">
        <f>Q131/Q136</f>
        <v>1</v>
      </c>
      <c r="R137" s="10">
        <f>R132/R136</f>
        <v>1</v>
      </c>
      <c r="S137" s="10">
        <f>S133/S136</f>
        <v>0.84848484848484851</v>
      </c>
      <c r="T137" s="10">
        <f>T134/T136</f>
        <v>0.8571428571428571</v>
      </c>
      <c r="U137" s="10">
        <f>U135/U136</f>
        <v>0.93392070484581502</v>
      </c>
      <c r="V137" s="10"/>
      <c r="W137" s="14">
        <f>(Q131+R132+S133+T134+U135)/V136</f>
        <v>0.90757575757575759</v>
      </c>
    </row>
    <row r="138" spans="15:26" x14ac:dyDescent="0.3">
      <c r="P138" s="1" t="s">
        <v>14</v>
      </c>
      <c r="Q138" s="11">
        <f>1-Q137</f>
        <v>0</v>
      </c>
      <c r="R138" s="11">
        <f>1-R137</f>
        <v>0</v>
      </c>
      <c r="S138" s="11">
        <f>1-S137</f>
        <v>0.15151515151515149</v>
      </c>
      <c r="T138" s="11">
        <f>1-T137</f>
        <v>0.1428571428571429</v>
      </c>
      <c r="U138" s="11">
        <f>1-U137</f>
        <v>6.607929515418498E-2</v>
      </c>
    </row>
    <row r="139" spans="15:26" x14ac:dyDescent="0.3">
      <c r="Q139" s="2"/>
    </row>
    <row r="140" spans="15:26" x14ac:dyDescent="0.3">
      <c r="O140" s="1" t="s">
        <v>518</v>
      </c>
      <c r="P140" s="1" t="s">
        <v>519</v>
      </c>
      <c r="Q140" s="1" t="s">
        <v>523</v>
      </c>
      <c r="R140" s="1" t="s">
        <v>520</v>
      </c>
      <c r="S140" s="1" t="s">
        <v>522</v>
      </c>
      <c r="T140" s="1" t="s">
        <v>521</v>
      </c>
    </row>
    <row r="141" spans="15:26" x14ac:dyDescent="0.3">
      <c r="O141" s="1">
        <f>_xlfn.QUARTILE.INC(Q131:U135,1)</f>
        <v>0</v>
      </c>
      <c r="P141" s="1">
        <f>_xlfn.QUARTILE.EXC(Q131:U135,2)</f>
        <v>0</v>
      </c>
      <c r="Q141" s="1">
        <f>_xlfn.PERCENTILE.INC(Q131:U135,0.7)</f>
        <v>8.3999999999999915</v>
      </c>
      <c r="R141" s="1">
        <f>_xlfn.QUARTILE.EXC(Q131:U135,3)</f>
        <v>12</v>
      </c>
      <c r="S141" s="1">
        <f>AVERAGE(Q131:U135)</f>
        <v>26.4</v>
      </c>
      <c r="T141" s="1">
        <f>MAX(Q131:U135)</f>
        <v>212</v>
      </c>
    </row>
    <row r="142" spans="15:26" x14ac:dyDescent="0.3">
      <c r="O142" s="204">
        <v>0</v>
      </c>
      <c r="P142" s="220" t="s">
        <v>615</v>
      </c>
      <c r="Q142" s="220" t="s">
        <v>759</v>
      </c>
      <c r="R142" s="220" t="s">
        <v>762</v>
      </c>
      <c r="S142" s="204" t="s">
        <v>760</v>
      </c>
      <c r="T142" s="204" t="s">
        <v>761</v>
      </c>
    </row>
    <row r="143" spans="15:26" x14ac:dyDescent="0.3">
      <c r="O143" s="204"/>
      <c r="P143" s="205"/>
      <c r="Q143" s="206"/>
      <c r="R143" s="207"/>
      <c r="S143" s="208"/>
      <c r="T143" s="209"/>
    </row>
    <row r="144" spans="15:26" x14ac:dyDescent="0.3">
      <c r="P144" s="1" t="s">
        <v>2</v>
      </c>
      <c r="Q144" s="1" t="s">
        <v>1</v>
      </c>
      <c r="R144" s="1" t="s">
        <v>491</v>
      </c>
    </row>
    <row r="145" spans="15:26" x14ac:dyDescent="0.3">
      <c r="O145" s="197" t="s">
        <v>447</v>
      </c>
      <c r="P145" s="57">
        <f>Q137*100</f>
        <v>100</v>
      </c>
      <c r="Q145" s="57">
        <f>W131*100</f>
        <v>100</v>
      </c>
      <c r="R145" s="57">
        <f>Spectral!R128</f>
        <v>14.489049250543825</v>
      </c>
      <c r="S145" t="s">
        <v>616</v>
      </c>
    </row>
    <row r="146" spans="15:26" x14ac:dyDescent="0.3">
      <c r="O146" s="198" t="s">
        <v>446</v>
      </c>
      <c r="P146" s="57">
        <f>R137*100</f>
        <v>100</v>
      </c>
      <c r="Q146" s="57">
        <f t="shared" ref="Q146:Q149" si="9">W132*100</f>
        <v>40</v>
      </c>
      <c r="R146" s="57">
        <f>Spectral!S128</f>
        <v>15.535564527330074</v>
      </c>
      <c r="S146" t="s">
        <v>617</v>
      </c>
    </row>
    <row r="147" spans="15:26" x14ac:dyDescent="0.3">
      <c r="O147" s="199" t="s">
        <v>448</v>
      </c>
      <c r="P147" s="57">
        <f>S137*100</f>
        <v>84.848484848484844</v>
      </c>
      <c r="Q147" s="57">
        <f t="shared" si="9"/>
        <v>98.591549295774655</v>
      </c>
      <c r="R147" s="57">
        <f>Spectral!T128</f>
        <v>13.833743543673338</v>
      </c>
      <c r="S147" t="s">
        <v>618</v>
      </c>
    </row>
    <row r="148" spans="15:26" x14ac:dyDescent="0.3">
      <c r="O148" s="200" t="s">
        <v>449</v>
      </c>
      <c r="P148" s="57">
        <f>T137*100</f>
        <v>85.714285714285708</v>
      </c>
      <c r="Q148" s="57">
        <f t="shared" si="9"/>
        <v>87.5</v>
      </c>
      <c r="R148" s="57">
        <f>Spectral!U128</f>
        <v>18.710687326859361</v>
      </c>
      <c r="S148" t="s">
        <v>619</v>
      </c>
    </row>
    <row r="149" spans="15:26" x14ac:dyDescent="0.3">
      <c r="O149" s="201" t="s">
        <v>450</v>
      </c>
      <c r="P149" s="57">
        <f>U137*100</f>
        <v>93.392070484581495</v>
      </c>
      <c r="Q149" s="57">
        <f t="shared" si="9"/>
        <v>86.885245901639337</v>
      </c>
      <c r="R149" s="57">
        <f>Spectral!V128</f>
        <v>8.7226263647970317</v>
      </c>
      <c r="S149" t="s">
        <v>620</v>
      </c>
    </row>
    <row r="152" spans="15:26" x14ac:dyDescent="0.3">
      <c r="O152" s="348" t="s">
        <v>692</v>
      </c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</row>
    <row r="153" spans="15:26" x14ac:dyDescent="0.3">
      <c r="O153" t="s">
        <v>528</v>
      </c>
      <c r="W153" s="1" t="s">
        <v>53</v>
      </c>
    </row>
    <row r="154" spans="15:26" ht="15.6" x14ac:dyDescent="0.35">
      <c r="P154" s="1" t="s">
        <v>0</v>
      </c>
      <c r="Q154" s="90" t="s">
        <v>447</v>
      </c>
      <c r="R154" s="91" t="s">
        <v>446</v>
      </c>
      <c r="S154" s="92" t="s">
        <v>448</v>
      </c>
      <c r="T154" s="124" t="s">
        <v>449</v>
      </c>
      <c r="U154" s="123" t="s">
        <v>450</v>
      </c>
      <c r="V154" s="1" t="s">
        <v>20</v>
      </c>
      <c r="W154" s="1" t="s">
        <v>1</v>
      </c>
      <c r="X154" s="1" t="s">
        <v>13</v>
      </c>
      <c r="Z154" s="1" t="s">
        <v>51</v>
      </c>
    </row>
    <row r="155" spans="15:26" x14ac:dyDescent="0.3">
      <c r="O155" t="s">
        <v>3</v>
      </c>
      <c r="P155" s="197" t="s">
        <v>447</v>
      </c>
      <c r="Q155" s="234">
        <f>'88T_Seeds'!AL83</f>
        <v>451</v>
      </c>
      <c r="R155" s="3">
        <f>'88T_Seeds'!AM83</f>
        <v>0</v>
      </c>
      <c r="S155" s="3">
        <f>'88T_Seeds'!AN83</f>
        <v>0</v>
      </c>
      <c r="T155" s="3">
        <f>'88T_Seeds'!AO83</f>
        <v>0</v>
      </c>
      <c r="U155" s="4">
        <f>'88T_Seeds'!AP83</f>
        <v>0</v>
      </c>
      <c r="V155" s="1">
        <f>SUM(Q155:U155)</f>
        <v>451</v>
      </c>
      <c r="W155" s="10">
        <f>Q155/V155</f>
        <v>1</v>
      </c>
      <c r="X155" s="11">
        <f>1-W155</f>
        <v>0</v>
      </c>
      <c r="Y155">
        <f>V155-Q160</f>
        <v>0</v>
      </c>
      <c r="Z155" s="10">
        <f>2*(Q161*W155)/(Q161+W155)</f>
        <v>1</v>
      </c>
    </row>
    <row r="156" spans="15:26" x14ac:dyDescent="0.3">
      <c r="O156" t="s">
        <v>4</v>
      </c>
      <c r="P156" s="198" t="s">
        <v>446</v>
      </c>
      <c r="Q156" s="1">
        <f>'88T_Seeds'!AL84</f>
        <v>0</v>
      </c>
      <c r="R156" s="183">
        <f>'88T_Seeds'!AM84</f>
        <v>57</v>
      </c>
      <c r="S156" s="1">
        <f>'88T_Seeds'!AN84</f>
        <v>0</v>
      </c>
      <c r="T156" s="1">
        <f>'88T_Seeds'!AO84</f>
        <v>0</v>
      </c>
      <c r="U156" s="6">
        <f>'88T_Seeds'!AP84</f>
        <v>0</v>
      </c>
      <c r="V156" s="1">
        <f>SUM(Q156:U156)</f>
        <v>57</v>
      </c>
      <c r="W156" s="10">
        <f>R156/V156</f>
        <v>1</v>
      </c>
      <c r="X156" s="11">
        <f>1-W156</f>
        <v>0</v>
      </c>
      <c r="Y156">
        <f>V156-R160</f>
        <v>-6</v>
      </c>
      <c r="Z156" s="10">
        <f>2*(R161*W156)/(R161+W156)</f>
        <v>0.95000000000000007</v>
      </c>
    </row>
    <row r="157" spans="15:26" x14ac:dyDescent="0.3">
      <c r="O157" t="s">
        <v>5</v>
      </c>
      <c r="P157" s="199" t="s">
        <v>448</v>
      </c>
      <c r="Q157" s="1">
        <f>'88T_Seeds'!AL85</f>
        <v>0</v>
      </c>
      <c r="R157" s="240">
        <f>'88T_Seeds'!AM85</f>
        <v>0</v>
      </c>
      <c r="S157" s="182">
        <f>'88T_Seeds'!AN85</f>
        <v>734</v>
      </c>
      <c r="T157" s="188">
        <f>'88T_Seeds'!AO85</f>
        <v>2</v>
      </c>
      <c r="U157" s="187">
        <f>'88T_Seeds'!AP85</f>
        <v>1</v>
      </c>
      <c r="V157" s="1">
        <f>SUM(Q157:U157)</f>
        <v>737</v>
      </c>
      <c r="W157" s="10">
        <f>S157/V157</f>
        <v>0.99592944369063774</v>
      </c>
      <c r="X157" s="11">
        <f>1-W157</f>
        <v>4.070556309362261E-3</v>
      </c>
      <c r="Y157">
        <f>V157-S160</f>
        <v>-33</v>
      </c>
      <c r="Z157" s="10">
        <f>2*(S161*W157)/(S161+W157)</f>
        <v>0.97412076974120765</v>
      </c>
    </row>
    <row r="158" spans="15:26" x14ac:dyDescent="0.3">
      <c r="O158" t="s">
        <v>6</v>
      </c>
      <c r="P158" s="200" t="s">
        <v>449</v>
      </c>
      <c r="Q158" s="1">
        <f>'88T_Seeds'!AL86</f>
        <v>0</v>
      </c>
      <c r="R158" s="188">
        <f>'88T_Seeds'!AM86</f>
        <v>6</v>
      </c>
      <c r="S158" s="184">
        <f>'88T_Seeds'!AN86</f>
        <v>19</v>
      </c>
      <c r="T158" s="182">
        <f>'88T_Seeds'!AO86</f>
        <v>534</v>
      </c>
      <c r="U158" s="243">
        <f>'88T_Seeds'!AP86</f>
        <v>23</v>
      </c>
      <c r="V158" s="1">
        <f>SUM(Q158:U158)</f>
        <v>582</v>
      </c>
      <c r="W158" s="10">
        <f>T158/V158</f>
        <v>0.91752577319587625</v>
      </c>
      <c r="X158" s="11">
        <f>1-W158</f>
        <v>8.2474226804123751E-2</v>
      </c>
      <c r="Y158">
        <f>V158-T160</f>
        <v>-11</v>
      </c>
      <c r="Z158" s="10">
        <f>2*(T161*W158)/(T161+W158)</f>
        <v>0.90893617021276585</v>
      </c>
    </row>
    <row r="159" spans="15:26" x14ac:dyDescent="0.3">
      <c r="O159" t="s">
        <v>7</v>
      </c>
      <c r="P159" s="201" t="s">
        <v>450</v>
      </c>
      <c r="Q159" s="8">
        <f>'88T_Seeds'!AL87</f>
        <v>0</v>
      </c>
      <c r="R159" s="8">
        <f>'88T_Seeds'!AM87</f>
        <v>0</v>
      </c>
      <c r="S159" s="189">
        <f>'88T_Seeds'!AN87</f>
        <v>17</v>
      </c>
      <c r="T159" s="222">
        <f>'88T_Seeds'!AO87</f>
        <v>57</v>
      </c>
      <c r="U159" s="210">
        <f>'88T_Seeds'!AP87</f>
        <v>935</v>
      </c>
      <c r="V159" s="1">
        <f>SUM(Q159:U159)</f>
        <v>1009</v>
      </c>
      <c r="W159" s="10">
        <f>U159/V159</f>
        <v>0.92666005946481667</v>
      </c>
      <c r="X159" s="11">
        <f>1-W159</f>
        <v>7.3339940535183334E-2</v>
      </c>
      <c r="Y159">
        <f>V159-U160</f>
        <v>50</v>
      </c>
      <c r="Z159" s="10">
        <f>2*(U161*W159)/(U161+W159)</f>
        <v>0.95020325203252032</v>
      </c>
    </row>
    <row r="160" spans="15:26" ht="15.6" x14ac:dyDescent="0.35">
      <c r="P160" s="1" t="s">
        <v>19</v>
      </c>
      <c r="Q160" s="1">
        <f>SUM(Q155:Q159)</f>
        <v>451</v>
      </c>
      <c r="R160" s="1">
        <f>SUM(R155:R159)</f>
        <v>63</v>
      </c>
      <c r="S160" s="1">
        <f>SUM(S155:S159)</f>
        <v>770</v>
      </c>
      <c r="T160" s="1">
        <f>SUM(T155:T159)</f>
        <v>593</v>
      </c>
      <c r="U160" s="1">
        <f>SUM(U155:U159)</f>
        <v>959</v>
      </c>
      <c r="V160" s="1">
        <f>SUM(V154:V159)</f>
        <v>2836</v>
      </c>
      <c r="W160" s="13" t="s">
        <v>12</v>
      </c>
    </row>
    <row r="161" spans="15:23" x14ac:dyDescent="0.3">
      <c r="O161" s="1" t="s">
        <v>316</v>
      </c>
      <c r="P161" s="1" t="s">
        <v>2</v>
      </c>
      <c r="Q161" s="10">
        <f>Q155/Q160</f>
        <v>1</v>
      </c>
      <c r="R161" s="10">
        <f>R156/R160</f>
        <v>0.90476190476190477</v>
      </c>
      <c r="S161" s="10">
        <f>S157/S160</f>
        <v>0.95324675324675323</v>
      </c>
      <c r="T161" s="10">
        <f>T158/T160</f>
        <v>0.9005059021922428</v>
      </c>
      <c r="U161" s="10">
        <f>U159/U160</f>
        <v>0.97497393117831077</v>
      </c>
      <c r="V161" s="10"/>
      <c r="W161" s="14">
        <f>(Q155+R156+S157+T158+U159)/V160</f>
        <v>0.95592383638928069</v>
      </c>
    </row>
    <row r="162" spans="15:23" x14ac:dyDescent="0.3">
      <c r="P162" s="1" t="s">
        <v>14</v>
      </c>
      <c r="Q162" s="11">
        <f>1-Q161</f>
        <v>0</v>
      </c>
      <c r="R162" s="11">
        <f>1-R161</f>
        <v>9.5238095238095233E-2</v>
      </c>
      <c r="S162" s="11">
        <f>1-S161</f>
        <v>4.6753246753246769E-2</v>
      </c>
      <c r="T162" s="11">
        <f>1-T161</f>
        <v>9.9494097807757198E-2</v>
      </c>
      <c r="U162" s="11">
        <f>1-U161</f>
        <v>2.5026068821689229E-2</v>
      </c>
    </row>
    <row r="163" spans="15:23" x14ac:dyDescent="0.3">
      <c r="Q163" s="2"/>
    </row>
    <row r="164" spans="15:23" x14ac:dyDescent="0.3">
      <c r="O164" s="1" t="s">
        <v>518</v>
      </c>
      <c r="P164" s="1" t="s">
        <v>519</v>
      </c>
      <c r="Q164" s="1" t="s">
        <v>523</v>
      </c>
      <c r="R164" s="1" t="s">
        <v>520</v>
      </c>
      <c r="S164" s="1" t="s">
        <v>522</v>
      </c>
      <c r="T164" s="1" t="s">
        <v>521</v>
      </c>
    </row>
    <row r="165" spans="15:23" x14ac:dyDescent="0.3">
      <c r="O165" s="1">
        <f>_xlfn.QUARTILE.INC(Q155:U159,1)</f>
        <v>0</v>
      </c>
      <c r="P165" s="1">
        <f>_xlfn.QUARTILE.EXC(Q155:U159,2)</f>
        <v>0</v>
      </c>
      <c r="Q165" s="1">
        <f>_xlfn.PERCENTILE.INC(Q155:U159,0.7)</f>
        <v>18.599999999999994</v>
      </c>
      <c r="R165" s="1">
        <f>_xlfn.QUARTILE.EXC(Q155:U159,3)</f>
        <v>40</v>
      </c>
      <c r="S165" s="1">
        <f>AVERAGE(Q155:U159)</f>
        <v>113.44</v>
      </c>
      <c r="T165" s="1">
        <f>MAX(Q155:U159)</f>
        <v>935</v>
      </c>
    </row>
    <row r="166" spans="15:23" x14ac:dyDescent="0.3">
      <c r="O166" s="204">
        <v>0</v>
      </c>
      <c r="P166" s="220" t="s">
        <v>615</v>
      </c>
      <c r="Q166" s="220" t="s">
        <v>763</v>
      </c>
      <c r="R166" s="204" t="s">
        <v>764</v>
      </c>
      <c r="S166" s="204" t="s">
        <v>765</v>
      </c>
      <c r="T166" s="204" t="s">
        <v>766</v>
      </c>
    </row>
    <row r="167" spans="15:23" x14ac:dyDescent="0.3">
      <c r="O167" s="204"/>
      <c r="P167" s="205"/>
      <c r="Q167" s="206"/>
      <c r="R167" s="207"/>
      <c r="S167" s="208"/>
      <c r="T167" s="209"/>
    </row>
    <row r="168" spans="15:23" x14ac:dyDescent="0.3">
      <c r="P168" s="1" t="s">
        <v>2</v>
      </c>
      <c r="Q168" s="1" t="s">
        <v>1</v>
      </c>
      <c r="R168" s="1" t="s">
        <v>491</v>
      </c>
    </row>
    <row r="169" spans="15:23" x14ac:dyDescent="0.3">
      <c r="O169" s="197" t="s">
        <v>447</v>
      </c>
      <c r="P169" s="57">
        <f>Q161*100</f>
        <v>100</v>
      </c>
      <c r="Q169" s="57">
        <f>W155*100</f>
        <v>100</v>
      </c>
      <c r="R169" s="57">
        <f>Spectral!R129</f>
        <v>18.305885862161691</v>
      </c>
      <c r="S169" t="s">
        <v>622</v>
      </c>
    </row>
    <row r="170" spans="15:23" x14ac:dyDescent="0.3">
      <c r="O170" s="198" t="s">
        <v>446</v>
      </c>
      <c r="P170" s="57">
        <f>R161*100</f>
        <v>90.476190476190482</v>
      </c>
      <c r="Q170" s="57">
        <f t="shared" ref="Q170:Q173" si="10">W156*100</f>
        <v>100</v>
      </c>
      <c r="R170" s="57">
        <f>Spectral!S129</f>
        <v>25.031645960563637</v>
      </c>
      <c r="S170" t="s">
        <v>623</v>
      </c>
    </row>
    <row r="171" spans="15:23" x14ac:dyDescent="0.3">
      <c r="O171" s="199" t="s">
        <v>448</v>
      </c>
      <c r="P171" s="57">
        <f>S161*100</f>
        <v>95.324675324675326</v>
      </c>
      <c r="Q171" s="57">
        <f t="shared" si="10"/>
        <v>99.592944369063773</v>
      </c>
      <c r="R171" s="57">
        <f>Spectral!T129</f>
        <v>17.187966947000692</v>
      </c>
      <c r="S171" t="s">
        <v>624</v>
      </c>
    </row>
    <row r="172" spans="15:23" x14ac:dyDescent="0.3">
      <c r="O172" s="200" t="s">
        <v>449</v>
      </c>
      <c r="P172" s="57">
        <f>T161*100</f>
        <v>90.050590219224276</v>
      </c>
      <c r="Q172" s="57">
        <f t="shared" si="10"/>
        <v>91.75257731958763</v>
      </c>
      <c r="R172" s="57">
        <f>Spectral!U129</f>
        <v>27.72918571288767</v>
      </c>
      <c r="S172" t="s">
        <v>625</v>
      </c>
    </row>
    <row r="173" spans="15:23" x14ac:dyDescent="0.3">
      <c r="O173" s="201" t="s">
        <v>450</v>
      </c>
      <c r="P173" s="57">
        <f>U161*100</f>
        <v>97.497393117831081</v>
      </c>
      <c r="Q173" s="57">
        <f t="shared" si="10"/>
        <v>92.666005946481661</v>
      </c>
      <c r="R173" s="57">
        <f>Spectral!V129</f>
        <v>10.314278380487709</v>
      </c>
      <c r="S173" t="s">
        <v>626</v>
      </c>
    </row>
  </sheetData>
  <mergeCells count="11">
    <mergeCell ref="O152:Y152"/>
    <mergeCell ref="B2:L2"/>
    <mergeCell ref="B26:L26"/>
    <mergeCell ref="B50:L50"/>
    <mergeCell ref="B74:L74"/>
    <mergeCell ref="B98:L98"/>
    <mergeCell ref="O128:Y128"/>
    <mergeCell ref="O32:Y32"/>
    <mergeCell ref="O56:Y56"/>
    <mergeCell ref="O80:Y80"/>
    <mergeCell ref="O104:Y104"/>
  </mergeCells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26DDF-0E65-4E6F-931F-982157A78710}">
  <dimension ref="A1:BB133"/>
  <sheetViews>
    <sheetView topLeftCell="T85" zoomScale="85" zoomScaleNormal="85" workbookViewId="0">
      <selection activeCell="V122" sqref="V122"/>
    </sheetView>
  </sheetViews>
  <sheetFormatPr baseColWidth="10" defaultRowHeight="14.4" x14ac:dyDescent="0.3"/>
  <cols>
    <col min="1" max="1" width="10.21875" customWidth="1"/>
    <col min="2" max="2" width="7.109375" bestFit="1" customWidth="1"/>
    <col min="3" max="3" width="30.21875" bestFit="1" customWidth="1"/>
    <col min="4" max="4" width="11" customWidth="1"/>
    <col min="5" max="16" width="11.109375" customWidth="1"/>
    <col min="17" max="17" width="11" customWidth="1"/>
    <col min="18" max="22" width="11.109375" customWidth="1"/>
    <col min="53" max="53" width="16.6640625" bestFit="1" customWidth="1"/>
  </cols>
  <sheetData>
    <row r="1" spans="1:54" x14ac:dyDescent="0.3">
      <c r="A1" t="s">
        <v>476</v>
      </c>
    </row>
    <row r="2" spans="1:54" x14ac:dyDescent="0.3">
      <c r="BA2" s="130" t="s">
        <v>512</v>
      </c>
      <c r="BB2" s="130" t="s">
        <v>511</v>
      </c>
    </row>
    <row r="3" spans="1:54" x14ac:dyDescent="0.3">
      <c r="F3" t="s">
        <v>3</v>
      </c>
      <c r="G3" t="s">
        <v>4</v>
      </c>
      <c r="H3" t="s">
        <v>5</v>
      </c>
      <c r="I3" t="s">
        <v>6</v>
      </c>
      <c r="J3" t="s">
        <v>7</v>
      </c>
      <c r="BA3" s="174" t="s">
        <v>3</v>
      </c>
      <c r="BB3" s="175" t="s">
        <v>447</v>
      </c>
    </row>
    <row r="4" spans="1:54" x14ac:dyDescent="0.3">
      <c r="F4" t="s">
        <v>391</v>
      </c>
      <c r="G4" t="s">
        <v>392</v>
      </c>
      <c r="H4" t="s">
        <v>393</v>
      </c>
      <c r="I4" t="s">
        <v>394</v>
      </c>
      <c r="J4" t="s">
        <v>395</v>
      </c>
      <c r="L4" t="s">
        <v>391</v>
      </c>
      <c r="M4" t="s">
        <v>392</v>
      </c>
      <c r="N4" t="s">
        <v>393</v>
      </c>
      <c r="O4" t="s">
        <v>394</v>
      </c>
      <c r="P4" t="s">
        <v>395</v>
      </c>
      <c r="R4" t="s">
        <v>391</v>
      </c>
      <c r="S4" t="s">
        <v>392</v>
      </c>
      <c r="T4" t="s">
        <v>393</v>
      </c>
      <c r="U4" t="s">
        <v>394</v>
      </c>
      <c r="V4" t="s">
        <v>395</v>
      </c>
      <c r="BA4" s="174" t="s">
        <v>4</v>
      </c>
      <c r="BB4" s="176" t="s">
        <v>446</v>
      </c>
    </row>
    <row r="5" spans="1:54" x14ac:dyDescent="0.3">
      <c r="A5" s="1" t="s">
        <v>489</v>
      </c>
      <c r="B5" s="1" t="s">
        <v>490</v>
      </c>
      <c r="C5" s="1" t="s">
        <v>509</v>
      </c>
      <c r="D5" s="1" t="s">
        <v>874</v>
      </c>
      <c r="F5" s="90" t="s">
        <v>447</v>
      </c>
      <c r="G5" s="91" t="s">
        <v>446</v>
      </c>
      <c r="H5" s="92" t="s">
        <v>448</v>
      </c>
      <c r="I5" s="124" t="s">
        <v>449</v>
      </c>
      <c r="J5" s="123" t="s">
        <v>450</v>
      </c>
      <c r="L5" s="90" t="s">
        <v>447</v>
      </c>
      <c r="M5" s="91" t="s">
        <v>446</v>
      </c>
      <c r="N5" s="92" t="s">
        <v>448</v>
      </c>
      <c r="O5" s="124" t="s">
        <v>449</v>
      </c>
      <c r="P5" s="123" t="s">
        <v>450</v>
      </c>
      <c r="R5" s="90" t="s">
        <v>447</v>
      </c>
      <c r="S5" s="91" t="s">
        <v>446</v>
      </c>
      <c r="T5" s="92" t="s">
        <v>448</v>
      </c>
      <c r="U5" s="124" t="s">
        <v>449</v>
      </c>
      <c r="V5" s="123" t="s">
        <v>450</v>
      </c>
      <c r="BA5" s="174" t="s">
        <v>5</v>
      </c>
      <c r="BB5" s="177" t="s">
        <v>448</v>
      </c>
    </row>
    <row r="6" spans="1:54" x14ac:dyDescent="0.3">
      <c r="A6" t="s">
        <v>464</v>
      </c>
      <c r="B6" t="s">
        <v>469</v>
      </c>
      <c r="C6" t="s">
        <v>875</v>
      </c>
      <c r="D6" s="1">
        <v>0.55000000000000004</v>
      </c>
      <c r="E6" t="s">
        <v>73</v>
      </c>
      <c r="F6" s="49">
        <v>1.0934669123596599E-2</v>
      </c>
      <c r="G6" s="49">
        <v>6.7726821967329903E-2</v>
      </c>
      <c r="H6" s="49">
        <v>4.5383234373533497E-2</v>
      </c>
      <c r="I6" s="49">
        <v>2.4184574273370101E-2</v>
      </c>
      <c r="J6" s="49">
        <v>3.4549935251757098E-2</v>
      </c>
      <c r="K6" t="s">
        <v>468</v>
      </c>
      <c r="L6" s="49">
        <v>9.2512500468128998E-3</v>
      </c>
      <c r="M6" s="49">
        <v>2.2382679986788001E-2</v>
      </c>
      <c r="N6" s="49">
        <v>6.8954156433878597E-3</v>
      </c>
      <c r="O6" s="49">
        <v>6.94139657260282E-3</v>
      </c>
      <c r="P6" s="49">
        <v>3.2149479865272701E-3</v>
      </c>
      <c r="Q6" t="s">
        <v>491</v>
      </c>
      <c r="R6" s="172">
        <f t="shared" ref="R6:V9" si="0">L6/F6</f>
        <v>0.8460475522619203</v>
      </c>
      <c r="S6" s="172">
        <f t="shared" si="0"/>
        <v>0.33048472284119529</v>
      </c>
      <c r="T6" s="172">
        <f t="shared" si="0"/>
        <v>0.15193751037297409</v>
      </c>
      <c r="U6" s="172">
        <f t="shared" si="0"/>
        <v>0.28701752175336276</v>
      </c>
      <c r="V6" s="172">
        <f t="shared" si="0"/>
        <v>9.3052214515040754E-2</v>
      </c>
      <c r="BA6" s="174" t="s">
        <v>6</v>
      </c>
      <c r="BB6" s="178" t="s">
        <v>449</v>
      </c>
    </row>
    <row r="7" spans="1:54" x14ac:dyDescent="0.3">
      <c r="A7" t="s">
        <v>465</v>
      </c>
      <c r="B7" t="s">
        <v>470</v>
      </c>
      <c r="C7" t="s">
        <v>876</v>
      </c>
      <c r="D7" s="1">
        <v>0.65</v>
      </c>
      <c r="E7" t="s">
        <v>73</v>
      </c>
      <c r="F7" s="49">
        <v>2.3737617947397E-2</v>
      </c>
      <c r="G7" s="49">
        <v>8.6818923141337101E-2</v>
      </c>
      <c r="H7" s="49">
        <v>6.0051984581916198E-2</v>
      </c>
      <c r="I7" s="49">
        <v>3.4761348786188202E-2</v>
      </c>
      <c r="J7" s="49">
        <v>5.0239804965506098E-2</v>
      </c>
      <c r="K7" t="s">
        <v>468</v>
      </c>
      <c r="L7" s="49">
        <v>2.2192781668372002E-3</v>
      </c>
      <c r="M7" s="49">
        <v>3.6047773847767299E-2</v>
      </c>
      <c r="N7" s="49">
        <v>9.8774103214350692E-3</v>
      </c>
      <c r="O7" s="49">
        <v>6.9909660806753903E-3</v>
      </c>
      <c r="P7" s="49">
        <v>4.0746548121957599E-3</v>
      </c>
      <c r="Q7" t="s">
        <v>491</v>
      </c>
      <c r="R7" s="172">
        <f t="shared" si="0"/>
        <v>9.3492033267835117E-2</v>
      </c>
      <c r="S7" s="172">
        <f t="shared" si="0"/>
        <v>0.41520641518535339</v>
      </c>
      <c r="T7" s="172">
        <f t="shared" si="0"/>
        <v>0.16448099742584546</v>
      </c>
      <c r="U7" s="172">
        <f t="shared" si="0"/>
        <v>0.20111319971143138</v>
      </c>
      <c r="V7" s="172">
        <f t="shared" si="0"/>
        <v>8.1104112864159347E-2</v>
      </c>
      <c r="BA7" s="174" t="s">
        <v>7</v>
      </c>
      <c r="BB7" s="179" t="s">
        <v>450</v>
      </c>
    </row>
    <row r="8" spans="1:54" x14ac:dyDescent="0.3">
      <c r="A8" t="s">
        <v>466</v>
      </c>
      <c r="B8" t="s">
        <v>471</v>
      </c>
      <c r="C8" t="s">
        <v>877</v>
      </c>
      <c r="D8" s="1">
        <v>0.75</v>
      </c>
      <c r="E8" t="s">
        <v>73</v>
      </c>
      <c r="F8" s="49">
        <v>2.0504098842601699E-2</v>
      </c>
      <c r="G8" s="49">
        <v>0.122006028882583</v>
      </c>
      <c r="H8" s="49">
        <v>0.13392864786226899</v>
      </c>
      <c r="I8" s="49">
        <v>6.9768595303245196E-2</v>
      </c>
      <c r="J8" s="49">
        <v>8.2815970042829298E-2</v>
      </c>
      <c r="K8" t="s">
        <v>468</v>
      </c>
      <c r="L8" s="49">
        <v>3.6235266289440702E-3</v>
      </c>
      <c r="M8" s="49">
        <v>3.1049362481982801E-2</v>
      </c>
      <c r="N8" s="49">
        <v>1.4283975772908001E-2</v>
      </c>
      <c r="O8" s="49">
        <v>2.0497025856064801E-2</v>
      </c>
      <c r="P8" s="49">
        <v>6.2420651027667896E-3</v>
      </c>
      <c r="Q8" t="s">
        <v>491</v>
      </c>
      <c r="R8" s="172">
        <f t="shared" si="0"/>
        <v>0.17672206209889166</v>
      </c>
      <c r="S8" s="172">
        <f t="shared" si="0"/>
        <v>0.25449039499404003</v>
      </c>
      <c r="T8" s="172">
        <f t="shared" si="0"/>
        <v>0.10665362490329561</v>
      </c>
      <c r="U8" s="172">
        <f t="shared" si="0"/>
        <v>0.2937858468695787</v>
      </c>
      <c r="V8" s="172">
        <f t="shared" si="0"/>
        <v>7.537272218798656E-2</v>
      </c>
    </row>
    <row r="9" spans="1:54" x14ac:dyDescent="0.3">
      <c r="A9" t="s">
        <v>467</v>
      </c>
      <c r="B9" t="s">
        <v>472</v>
      </c>
      <c r="C9" t="s">
        <v>878</v>
      </c>
      <c r="D9" s="1">
        <v>0.95</v>
      </c>
      <c r="E9" t="s">
        <v>73</v>
      </c>
      <c r="F9" s="49">
        <v>1.8231736266761899E-2</v>
      </c>
      <c r="G9" s="49">
        <v>0.14094933698197301</v>
      </c>
      <c r="H9" s="49">
        <v>0.191573296221145</v>
      </c>
      <c r="I9" s="49">
        <v>9.3742023004867503E-2</v>
      </c>
      <c r="J9" s="49">
        <v>0.11071807401004299</v>
      </c>
      <c r="K9" t="s">
        <v>468</v>
      </c>
      <c r="L9" s="49">
        <v>4.1867700819084698E-3</v>
      </c>
      <c r="M9" s="49">
        <v>2.9060675586914698E-2</v>
      </c>
      <c r="N9" s="49">
        <v>2.3835719987153101E-2</v>
      </c>
      <c r="O9" s="49">
        <v>3.10817532608746E-2</v>
      </c>
      <c r="P9" s="49">
        <v>9.8772829151953304E-3</v>
      </c>
      <c r="Q9" t="s">
        <v>491</v>
      </c>
      <c r="R9" s="172">
        <f t="shared" si="0"/>
        <v>0.22964187396355276</v>
      </c>
      <c r="S9" s="172">
        <f t="shared" si="0"/>
        <v>0.20617816450340218</v>
      </c>
      <c r="T9" s="172">
        <f t="shared" si="0"/>
        <v>0.12442088984906353</v>
      </c>
      <c r="U9" s="172">
        <f t="shared" si="0"/>
        <v>0.33156691379767533</v>
      </c>
      <c r="V9" s="172">
        <f t="shared" si="0"/>
        <v>8.9211115741585092E-2</v>
      </c>
    </row>
    <row r="10" spans="1:54" x14ac:dyDescent="0.3">
      <c r="R10" s="103">
        <f>MEDIAN(R6:R9)*100</f>
        <v>20.31819680312222</v>
      </c>
      <c r="S10" s="103">
        <f>MEDIAN(S6:S9)*100</f>
        <v>29.248755891761768</v>
      </c>
      <c r="T10" s="103">
        <f>MEDIAN(T6:T9)*100</f>
        <v>13.817920011101881</v>
      </c>
      <c r="U10" s="103">
        <f>MEDIAN(U6:U9)*100</f>
        <v>29.040168431147073</v>
      </c>
      <c r="V10" s="103">
        <f>MEDIAN(V6:V9)*100</f>
        <v>8.5157614302872222</v>
      </c>
    </row>
    <row r="11" spans="1:54" x14ac:dyDescent="0.3">
      <c r="F11" s="49"/>
      <c r="G11" s="49"/>
      <c r="H11" s="49"/>
      <c r="I11" s="49"/>
      <c r="J11" s="49"/>
      <c r="R11" s="181">
        <f>_xlfn.STDEV.S(R6:R9)*100/SQRT(4)</f>
        <v>17.215284539335634</v>
      </c>
      <c r="S11" s="181">
        <f>_xlfn.STDEV.S(S6:S9)*100/SQRT(4)</f>
        <v>4.5703196416447405</v>
      </c>
      <c r="T11" s="181">
        <f>_xlfn.STDEV.S(T6:T9)*100/SQRT(4)</f>
        <v>1.3093912939568166</v>
      </c>
      <c r="U11" s="181">
        <f>_xlfn.STDEV.S(U6:U9)*100/SQRT(4)</f>
        <v>2.7554420081865585</v>
      </c>
      <c r="V11" s="181">
        <f>_xlfn.STDEV.S(V6:V9)*100/SQRT(4)</f>
        <v>0.39795024099319271</v>
      </c>
    </row>
    <row r="12" spans="1:54" x14ac:dyDescent="0.3">
      <c r="F12" t="s">
        <v>396</v>
      </c>
      <c r="G12" t="s">
        <v>397</v>
      </c>
      <c r="H12" t="s">
        <v>398</v>
      </c>
      <c r="I12" t="s">
        <v>399</v>
      </c>
      <c r="J12" t="s">
        <v>400</v>
      </c>
      <c r="L12" t="s">
        <v>396</v>
      </c>
      <c r="M12" t="s">
        <v>397</v>
      </c>
      <c r="N12" t="s">
        <v>398</v>
      </c>
      <c r="O12" t="s">
        <v>399</v>
      </c>
      <c r="P12" t="s">
        <v>400</v>
      </c>
      <c r="R12" t="s">
        <v>396</v>
      </c>
      <c r="S12" t="s">
        <v>397</v>
      </c>
      <c r="T12" t="s">
        <v>398</v>
      </c>
      <c r="U12" t="s">
        <v>399</v>
      </c>
      <c r="V12" t="s">
        <v>400</v>
      </c>
    </row>
    <row r="13" spans="1:54" x14ac:dyDescent="0.3">
      <c r="A13" s="1" t="s">
        <v>489</v>
      </c>
      <c r="B13" s="1" t="s">
        <v>490</v>
      </c>
      <c r="C13" s="1" t="s">
        <v>879</v>
      </c>
      <c r="D13" s="1" t="s">
        <v>874</v>
      </c>
      <c r="F13" s="90" t="s">
        <v>447</v>
      </c>
      <c r="G13" s="91" t="s">
        <v>446</v>
      </c>
      <c r="H13" s="92" t="s">
        <v>448</v>
      </c>
      <c r="I13" s="124" t="s">
        <v>449</v>
      </c>
      <c r="J13" s="123" t="s">
        <v>450</v>
      </c>
      <c r="L13" s="90" t="s">
        <v>447</v>
      </c>
      <c r="M13" s="91" t="s">
        <v>446</v>
      </c>
      <c r="N13" s="92" t="s">
        <v>448</v>
      </c>
      <c r="O13" s="124" t="s">
        <v>449</v>
      </c>
      <c r="P13" s="123" t="s">
        <v>450</v>
      </c>
      <c r="R13" s="90" t="s">
        <v>447</v>
      </c>
      <c r="S13" s="91" t="s">
        <v>446</v>
      </c>
      <c r="T13" s="92" t="s">
        <v>448</v>
      </c>
      <c r="U13" s="124" t="s">
        <v>449</v>
      </c>
      <c r="V13" s="123" t="s">
        <v>450</v>
      </c>
    </row>
    <row r="14" spans="1:54" x14ac:dyDescent="0.3">
      <c r="A14" t="s">
        <v>464</v>
      </c>
      <c r="B14" t="s">
        <v>473</v>
      </c>
      <c r="C14" t="s">
        <v>880</v>
      </c>
      <c r="D14" s="1">
        <v>0.55000000000000004</v>
      </c>
      <c r="E14" t="s">
        <v>73</v>
      </c>
      <c r="F14" s="49">
        <v>4.5516703861260097E-2</v>
      </c>
      <c r="G14" s="49">
        <v>9.0716215831412594E-2</v>
      </c>
      <c r="H14" s="49">
        <v>7.9937750486295395E-2</v>
      </c>
      <c r="I14" s="49">
        <v>5.3096658910701297E-2</v>
      </c>
      <c r="J14" s="49">
        <v>5.8845793612450598E-2</v>
      </c>
      <c r="K14" t="s">
        <v>468</v>
      </c>
      <c r="L14" s="49">
        <v>3.2460642153227201E-3</v>
      </c>
      <c r="M14" s="49">
        <v>1.5294109993658199E-2</v>
      </c>
      <c r="N14" s="49">
        <v>8.7690920807298196E-3</v>
      </c>
      <c r="O14" s="49">
        <v>8.4303092024604395E-3</v>
      </c>
      <c r="P14" s="49">
        <v>4.0520374057658E-3</v>
      </c>
      <c r="Q14" t="s">
        <v>491</v>
      </c>
      <c r="R14" s="172">
        <f t="shared" ref="R14:V17" si="1">L14/F14</f>
        <v>7.1315889331905039E-2</v>
      </c>
      <c r="S14" s="172">
        <f t="shared" si="1"/>
        <v>0.16859290098785468</v>
      </c>
      <c r="T14" s="172">
        <f t="shared" si="1"/>
        <v>0.10969900988436247</v>
      </c>
      <c r="U14" s="172">
        <f t="shared" si="1"/>
        <v>0.15877287526958431</v>
      </c>
      <c r="V14" s="172">
        <f t="shared" si="1"/>
        <v>6.8858573519322369E-2</v>
      </c>
    </row>
    <row r="15" spans="1:54" x14ac:dyDescent="0.3">
      <c r="A15" t="s">
        <v>465</v>
      </c>
      <c r="B15" t="s">
        <v>474</v>
      </c>
      <c r="C15" t="s">
        <v>876</v>
      </c>
      <c r="D15" s="1">
        <v>0.65</v>
      </c>
      <c r="E15" t="s">
        <v>73</v>
      </c>
      <c r="F15" s="49">
        <v>3.6904639503236102E-2</v>
      </c>
      <c r="G15" s="49">
        <v>9.3840972393809605E-2</v>
      </c>
      <c r="H15" s="49">
        <v>8.3755101290105494E-2</v>
      </c>
      <c r="I15" s="49">
        <v>4.41327776183243E-2</v>
      </c>
      <c r="J15" s="49">
        <v>5.8082558794768098E-2</v>
      </c>
      <c r="K15" t="s">
        <v>468</v>
      </c>
      <c r="L15" s="49">
        <v>4.0767011925234697E-3</v>
      </c>
      <c r="M15" s="49">
        <v>1.9998465360401198E-2</v>
      </c>
      <c r="N15" s="49">
        <v>1.28993593455383E-2</v>
      </c>
      <c r="O15" s="49">
        <v>8.1707124315802907E-3</v>
      </c>
      <c r="P15" s="49">
        <v>4.9692462562611096E-3</v>
      </c>
      <c r="Q15" t="s">
        <v>491</v>
      </c>
      <c r="R15" s="172">
        <f t="shared" si="1"/>
        <v>0.11046581804886595</v>
      </c>
      <c r="S15" s="172">
        <f t="shared" si="1"/>
        <v>0.21311016766190752</v>
      </c>
      <c r="T15" s="172">
        <f t="shared" si="1"/>
        <v>0.1540128200771716</v>
      </c>
      <c r="U15" s="172">
        <f t="shared" si="1"/>
        <v>0.18513931985526655</v>
      </c>
      <c r="V15" s="172">
        <f t="shared" si="1"/>
        <v>8.5554878424342493E-2</v>
      </c>
    </row>
    <row r="16" spans="1:54" x14ac:dyDescent="0.3">
      <c r="A16" t="s">
        <v>466</v>
      </c>
      <c r="B16" t="s">
        <v>475</v>
      </c>
      <c r="C16" t="s">
        <v>877</v>
      </c>
      <c r="D16" s="1">
        <v>0.75</v>
      </c>
      <c r="E16" t="s">
        <v>73</v>
      </c>
      <c r="F16" s="49">
        <v>3.5843539320683702E-2</v>
      </c>
      <c r="G16" s="49">
        <v>0.135030930207441</v>
      </c>
      <c r="H16" s="49">
        <v>0.13747219478946299</v>
      </c>
      <c r="I16" s="49">
        <v>9.4581520775312594E-2</v>
      </c>
      <c r="J16" s="49">
        <v>0.10397937127113201</v>
      </c>
      <c r="K16" t="s">
        <v>468</v>
      </c>
      <c r="L16" s="49">
        <v>6.4272902377977897E-3</v>
      </c>
      <c r="M16" s="49">
        <v>1.77856209648381E-2</v>
      </c>
      <c r="N16" s="49">
        <v>1.8476592799935201E-2</v>
      </c>
      <c r="O16" s="49">
        <v>1.78829468152964E-2</v>
      </c>
      <c r="P16" s="49">
        <v>9.2435216371506302E-3</v>
      </c>
      <c r="Q16" t="s">
        <v>491</v>
      </c>
      <c r="R16" s="172">
        <f t="shared" si="1"/>
        <v>0.17931516696201058</v>
      </c>
      <c r="S16" s="172">
        <f t="shared" si="1"/>
        <v>0.13171516287057325</v>
      </c>
      <c r="T16" s="172">
        <f t="shared" si="1"/>
        <v>0.13440239917775287</v>
      </c>
      <c r="U16" s="172">
        <f t="shared" si="1"/>
        <v>0.1890744266819207</v>
      </c>
      <c r="V16" s="172">
        <f t="shared" si="1"/>
        <v>8.8897648871598123E-2</v>
      </c>
    </row>
    <row r="17" spans="1:22" x14ac:dyDescent="0.3">
      <c r="A17" t="s">
        <v>467</v>
      </c>
      <c r="B17" t="s">
        <v>469</v>
      </c>
      <c r="C17" t="s">
        <v>878</v>
      </c>
      <c r="D17" s="1">
        <v>0.95</v>
      </c>
      <c r="E17" t="s">
        <v>73</v>
      </c>
      <c r="F17" s="49">
        <v>3.1208125739890399E-2</v>
      </c>
      <c r="G17" s="49">
        <v>0.163814705775436</v>
      </c>
      <c r="H17" s="49">
        <v>0.183774212228796</v>
      </c>
      <c r="I17" s="49">
        <v>0.127178976087193</v>
      </c>
      <c r="J17" s="49">
        <v>0.14101177568725701</v>
      </c>
      <c r="K17" t="s">
        <v>468</v>
      </c>
      <c r="L17" s="49">
        <v>1.02846144574069E-2</v>
      </c>
      <c r="M17" s="49">
        <v>2.3281082170844899E-2</v>
      </c>
      <c r="N17" s="49">
        <v>2.6146011407723501E-2</v>
      </c>
      <c r="O17" s="49">
        <v>2.63796652500447E-2</v>
      </c>
      <c r="P17" s="49">
        <v>1.33160855360913E-2</v>
      </c>
      <c r="Q17" t="s">
        <v>491</v>
      </c>
      <c r="R17" s="172">
        <f t="shared" si="1"/>
        <v>0.3295492508305633</v>
      </c>
      <c r="S17" s="172">
        <f t="shared" si="1"/>
        <v>0.14211838955874678</v>
      </c>
      <c r="T17" s="172">
        <f t="shared" si="1"/>
        <v>0.14227247169571391</v>
      </c>
      <c r="U17" s="172">
        <f t="shared" si="1"/>
        <v>0.20742158854903023</v>
      </c>
      <c r="V17" s="172">
        <f t="shared" si="1"/>
        <v>9.44324363776851E-2</v>
      </c>
    </row>
    <row r="18" spans="1:22" x14ac:dyDescent="0.3">
      <c r="R18" s="103">
        <f>MEDIAN(R14:R17)*100</f>
        <v>14.489049250543825</v>
      </c>
      <c r="S18" s="103">
        <f>MEDIAN(S14:S17)*100</f>
        <v>15.535564527330074</v>
      </c>
      <c r="T18" s="103">
        <f>MEDIAN(T14:T17)*100</f>
        <v>13.833743543673338</v>
      </c>
      <c r="U18" s="103">
        <f>MEDIAN(U14:U17)*100</f>
        <v>18.710687326859361</v>
      </c>
      <c r="V18" s="103">
        <f>MEDIAN(V14:V17)*100</f>
        <v>8.7226263647970317</v>
      </c>
    </row>
    <row r="19" spans="1:22" x14ac:dyDescent="0.3">
      <c r="R19" s="181">
        <f>_xlfn.STDEV.S(R14:R17)*100/SQRT(4)</f>
        <v>5.6860408970687466</v>
      </c>
      <c r="S19" s="181">
        <f>_xlfn.STDEV.S(S14:S17)*100/SQRT(4)</f>
        <v>1.8152055005873697</v>
      </c>
      <c r="T19" s="181">
        <f>_xlfn.STDEV.S(T14:T17)*100/SQRT(4)</f>
        <v>0.93756600436194282</v>
      </c>
      <c r="U19" s="181">
        <f>_xlfn.STDEV.S(U14:U17)*100/SQRT(4)</f>
        <v>1.0029823895810097</v>
      </c>
      <c r="V19" s="181">
        <f>_xlfn.STDEV.S(V14:V17)*100/SQRT(4)</f>
        <v>0.55056270876741065</v>
      </c>
    </row>
    <row r="20" spans="1:22" x14ac:dyDescent="0.3">
      <c r="F20" t="s">
        <v>401</v>
      </c>
      <c r="G20" t="s">
        <v>402</v>
      </c>
      <c r="H20" t="s">
        <v>403</v>
      </c>
      <c r="I20" t="s">
        <v>404</v>
      </c>
      <c r="J20" t="s">
        <v>405</v>
      </c>
      <c r="L20" t="s">
        <v>401</v>
      </c>
      <c r="M20" t="s">
        <v>402</v>
      </c>
      <c r="N20" t="s">
        <v>403</v>
      </c>
      <c r="O20" t="s">
        <v>404</v>
      </c>
      <c r="P20" t="s">
        <v>405</v>
      </c>
      <c r="R20" t="s">
        <v>401</v>
      </c>
      <c r="S20" t="s">
        <v>402</v>
      </c>
      <c r="T20" t="s">
        <v>403</v>
      </c>
      <c r="U20" t="s">
        <v>404</v>
      </c>
      <c r="V20" t="s">
        <v>405</v>
      </c>
    </row>
    <row r="21" spans="1:22" x14ac:dyDescent="0.3">
      <c r="A21" s="1" t="s">
        <v>489</v>
      </c>
      <c r="B21" s="1" t="s">
        <v>490</v>
      </c>
      <c r="C21" s="1" t="s">
        <v>879</v>
      </c>
      <c r="D21" s="1" t="s">
        <v>874</v>
      </c>
      <c r="F21" s="90" t="s">
        <v>447</v>
      </c>
      <c r="G21" s="91" t="s">
        <v>446</v>
      </c>
      <c r="H21" s="92" t="s">
        <v>448</v>
      </c>
      <c r="I21" s="124" t="s">
        <v>449</v>
      </c>
      <c r="J21" s="123" t="s">
        <v>450</v>
      </c>
      <c r="L21" s="90" t="s">
        <v>447</v>
      </c>
      <c r="M21" s="91" t="s">
        <v>446</v>
      </c>
      <c r="N21" s="92" t="s">
        <v>448</v>
      </c>
      <c r="O21" s="124" t="s">
        <v>449</v>
      </c>
      <c r="P21" s="123" t="s">
        <v>450</v>
      </c>
      <c r="R21" s="90" t="s">
        <v>447</v>
      </c>
      <c r="S21" s="91" t="s">
        <v>446</v>
      </c>
      <c r="T21" s="92" t="s">
        <v>448</v>
      </c>
      <c r="U21" s="124" t="s">
        <v>449</v>
      </c>
      <c r="V21" s="123" t="s">
        <v>450</v>
      </c>
    </row>
    <row r="22" spans="1:22" x14ac:dyDescent="0.3">
      <c r="A22" t="s">
        <v>483</v>
      </c>
      <c r="B22" t="s">
        <v>477</v>
      </c>
      <c r="C22" t="s">
        <v>881</v>
      </c>
      <c r="D22" s="1">
        <f>(0.52+0.45)/2</f>
        <v>0.48499999999999999</v>
      </c>
      <c r="E22" t="s">
        <v>73</v>
      </c>
      <c r="F22" s="49">
        <v>2.9775517017157999E-2</v>
      </c>
      <c r="G22" s="49">
        <v>8.0326287299411894E-2</v>
      </c>
      <c r="H22" s="49">
        <v>5.9236934513740798E-2</v>
      </c>
      <c r="I22" s="49">
        <v>2.9189194651464599E-2</v>
      </c>
      <c r="J22" s="49">
        <v>4.05876728689658E-2</v>
      </c>
      <c r="K22" t="s">
        <v>468</v>
      </c>
      <c r="L22" s="49">
        <v>4.2609909786891498E-3</v>
      </c>
      <c r="M22" s="49">
        <v>1.9782715141092099E-2</v>
      </c>
      <c r="N22" s="49">
        <v>9.0403473511995302E-3</v>
      </c>
      <c r="O22" s="49">
        <v>7.6464017815382696E-3</v>
      </c>
      <c r="P22" s="49">
        <v>4.5663741495912697E-3</v>
      </c>
      <c r="Q22" t="s">
        <v>491</v>
      </c>
      <c r="R22" s="172">
        <f t="shared" ref="R22:V27" si="2">L22/F22</f>
        <v>0.14310384522404007</v>
      </c>
      <c r="S22" s="172">
        <f t="shared" si="2"/>
        <v>0.24627946599041853</v>
      </c>
      <c r="T22" s="172">
        <f t="shared" si="2"/>
        <v>0.15261335559324901</v>
      </c>
      <c r="U22" s="172">
        <f t="shared" si="2"/>
        <v>0.2619600120126851</v>
      </c>
      <c r="V22" s="172">
        <f t="shared" si="2"/>
        <v>0.11250642933714036</v>
      </c>
    </row>
    <row r="23" spans="1:22" x14ac:dyDescent="0.3">
      <c r="A23" t="s">
        <v>484</v>
      </c>
      <c r="B23" t="s">
        <v>478</v>
      </c>
      <c r="C23" t="s">
        <v>882</v>
      </c>
      <c r="D23" s="1">
        <f>(0.52+0.6)/2</f>
        <v>0.56000000000000005</v>
      </c>
      <c r="E23" t="s">
        <v>73</v>
      </c>
      <c r="F23" s="49">
        <v>3.2908244555145599E-2</v>
      </c>
      <c r="G23" s="49">
        <v>0.112063761101153</v>
      </c>
      <c r="H23" s="49">
        <v>8.8298411634571805E-2</v>
      </c>
      <c r="I23" s="49">
        <v>4.2769506238455997E-2</v>
      </c>
      <c r="J23" s="49">
        <v>5.9511555349907597E-2</v>
      </c>
      <c r="K23" t="s">
        <v>468</v>
      </c>
      <c r="L23" s="49">
        <v>4.6498150556353798E-3</v>
      </c>
      <c r="M23" s="49">
        <v>2.8503804616995101E-2</v>
      </c>
      <c r="N23" s="49">
        <v>1.41330870990709E-2</v>
      </c>
      <c r="O23" s="49">
        <v>1.0455590924248999E-2</v>
      </c>
      <c r="P23" s="49">
        <v>5.9876580184390696E-3</v>
      </c>
      <c r="Q23" t="s">
        <v>491</v>
      </c>
      <c r="R23" s="172">
        <f t="shared" si="2"/>
        <v>0.14129635653592848</v>
      </c>
      <c r="S23" s="172">
        <f t="shared" si="2"/>
        <v>0.25435345322085423</v>
      </c>
      <c r="T23" s="172">
        <f t="shared" si="2"/>
        <v>0.16006049075448284</v>
      </c>
      <c r="U23" s="172">
        <f t="shared" si="2"/>
        <v>0.24446368087476084</v>
      </c>
      <c r="V23" s="172">
        <f t="shared" si="2"/>
        <v>0.10061336799607551</v>
      </c>
    </row>
    <row r="24" spans="1:22" x14ac:dyDescent="0.3">
      <c r="A24" t="s">
        <v>485</v>
      </c>
      <c r="B24" t="s">
        <v>479</v>
      </c>
      <c r="C24" t="s">
        <v>883</v>
      </c>
      <c r="D24" s="1">
        <f>(0.63+0.69)/2</f>
        <v>0.65999999999999992</v>
      </c>
      <c r="E24" t="s">
        <v>73</v>
      </c>
      <c r="F24" s="49">
        <v>3.1710563538075401E-2</v>
      </c>
      <c r="G24" s="49">
        <v>0.12765322173747901</v>
      </c>
      <c r="H24" s="49">
        <v>0.103691100070414</v>
      </c>
      <c r="I24" s="49">
        <v>4.1181979944309499E-2</v>
      </c>
      <c r="J24" s="49">
        <v>6.7886372946279805E-2</v>
      </c>
      <c r="K24" t="s">
        <v>468</v>
      </c>
      <c r="L24" s="49">
        <v>5.0024213302834603E-3</v>
      </c>
      <c r="M24" s="49">
        <v>3.5513688688561598E-2</v>
      </c>
      <c r="N24" s="49">
        <v>2.0598473257829601E-2</v>
      </c>
      <c r="O24" s="49">
        <v>1.2050823437086E-2</v>
      </c>
      <c r="P24" s="49">
        <v>7.9434997689999103E-3</v>
      </c>
      <c r="Q24" t="s">
        <v>491</v>
      </c>
      <c r="R24" s="172">
        <f t="shared" si="2"/>
        <v>0.15775252067901505</v>
      </c>
      <c r="S24" s="172">
        <f t="shared" si="2"/>
        <v>0.27820440569526789</v>
      </c>
      <c r="T24" s="172">
        <f t="shared" si="2"/>
        <v>0.19865227819785591</v>
      </c>
      <c r="U24" s="172">
        <f t="shared" si="2"/>
        <v>0.29262370224506834</v>
      </c>
      <c r="V24" s="172">
        <f t="shared" si="2"/>
        <v>0.11701169799255297</v>
      </c>
    </row>
    <row r="25" spans="1:22" x14ac:dyDescent="0.3">
      <c r="A25" t="s">
        <v>486</v>
      </c>
      <c r="B25" t="s">
        <v>480</v>
      </c>
      <c r="C25" t="s">
        <v>884</v>
      </c>
      <c r="D25" s="57">
        <f>(0.77+0.9)/2</f>
        <v>0.83499999999999996</v>
      </c>
      <c r="E25" t="s">
        <v>73</v>
      </c>
      <c r="F25" s="49">
        <v>3.2134913386170201E-2</v>
      </c>
      <c r="G25" s="49">
        <v>0.222629393782103</v>
      </c>
      <c r="H25" s="49">
        <v>0.247788642814292</v>
      </c>
      <c r="I25" s="49">
        <v>0.17026426187065999</v>
      </c>
      <c r="J25" s="49">
        <v>0.18137092865705801</v>
      </c>
      <c r="K25" t="s">
        <v>468</v>
      </c>
      <c r="L25" s="49">
        <v>6.6957975442835001E-3</v>
      </c>
      <c r="M25" s="49">
        <v>4.0606055700029599E-2</v>
      </c>
      <c r="N25" s="49">
        <v>4.5518488278441398E-2</v>
      </c>
      <c r="O25" s="49">
        <v>4.1837911865359803E-2</v>
      </c>
      <c r="P25" s="49">
        <v>1.86956878005776E-2</v>
      </c>
      <c r="Q25" t="s">
        <v>491</v>
      </c>
      <c r="R25" s="172">
        <f t="shared" si="2"/>
        <v>0.20836519656421881</v>
      </c>
      <c r="S25" s="172">
        <f t="shared" si="2"/>
        <v>0.18239305695532954</v>
      </c>
      <c r="T25" s="172">
        <f t="shared" si="2"/>
        <v>0.18369884818553103</v>
      </c>
      <c r="U25" s="172">
        <f t="shared" si="2"/>
        <v>0.24572339142515809</v>
      </c>
      <c r="V25" s="172">
        <f t="shared" si="2"/>
        <v>0.10307984823702375</v>
      </c>
    </row>
    <row r="26" spans="1:22" x14ac:dyDescent="0.3">
      <c r="A26" t="s">
        <v>487</v>
      </c>
      <c r="B26" t="s">
        <v>481</v>
      </c>
      <c r="C26" t="s">
        <v>885</v>
      </c>
      <c r="D26" s="1">
        <f>(1.55+1.75)/2</f>
        <v>1.65</v>
      </c>
      <c r="E26" t="s">
        <v>73</v>
      </c>
      <c r="F26" s="49">
        <v>2.2868531927432701E-2</v>
      </c>
      <c r="G26" s="49">
        <v>0.27612975483000102</v>
      </c>
      <c r="H26" s="49">
        <v>0.32663986107093401</v>
      </c>
      <c r="I26" s="49">
        <v>0.12667773768174301</v>
      </c>
      <c r="J26" s="49">
        <v>0.20181927420524801</v>
      </c>
      <c r="K26" t="s">
        <v>468</v>
      </c>
      <c r="L26" s="49">
        <v>8.8805849151225597E-3</v>
      </c>
      <c r="M26" s="49">
        <v>5.9193926871450302E-2</v>
      </c>
      <c r="N26" s="49">
        <v>4.3374065848668299E-2</v>
      </c>
      <c r="O26" s="49">
        <v>4.4856998750972099E-2</v>
      </c>
      <c r="P26" s="49">
        <v>1.81643538376462E-2</v>
      </c>
      <c r="Q26" t="s">
        <v>491</v>
      </c>
      <c r="R26" s="172">
        <f t="shared" si="2"/>
        <v>0.38833209509481287</v>
      </c>
      <c r="S26" s="172">
        <f t="shared" si="2"/>
        <v>0.21436996859644111</v>
      </c>
      <c r="T26" s="172">
        <f t="shared" si="2"/>
        <v>0.13278864896176609</v>
      </c>
      <c r="U26" s="172">
        <f t="shared" si="2"/>
        <v>0.35410325106742857</v>
      </c>
      <c r="V26" s="172">
        <f t="shared" si="2"/>
        <v>9.0003067889210864E-2</v>
      </c>
    </row>
    <row r="27" spans="1:22" x14ac:dyDescent="0.3">
      <c r="A27" t="s">
        <v>488</v>
      </c>
      <c r="B27" t="s">
        <v>482</v>
      </c>
      <c r="C27" t="s">
        <v>886</v>
      </c>
      <c r="D27" s="57">
        <f>(2.08+2.35)/2</f>
        <v>2.2149999999999999</v>
      </c>
      <c r="E27" t="s">
        <v>73</v>
      </c>
      <c r="F27" s="49">
        <v>1.77742274591258E-2</v>
      </c>
      <c r="G27" s="49">
        <v>0.22165161785992199</v>
      </c>
      <c r="H27" s="49">
        <v>0.21559444401407499</v>
      </c>
      <c r="I27" s="49">
        <v>6.9356869970081197E-2</v>
      </c>
      <c r="J27" s="49">
        <v>0.11602556583491699</v>
      </c>
      <c r="K27" t="s">
        <v>468</v>
      </c>
      <c r="L27" s="49">
        <v>7.5335102552711699E-3</v>
      </c>
      <c r="M27" s="49">
        <v>5.6552347064817897E-2</v>
      </c>
      <c r="N27" s="49">
        <v>4.1258079369291698E-2</v>
      </c>
      <c r="O27" s="49">
        <v>2.9640746288314899E-2</v>
      </c>
      <c r="P27" s="49">
        <v>1.1974501987620701E-2</v>
      </c>
      <c r="Q27" t="s">
        <v>491</v>
      </c>
      <c r="R27" s="172">
        <f t="shared" si="2"/>
        <v>0.42384459592381601</v>
      </c>
      <c r="S27" s="172">
        <f t="shared" si="2"/>
        <v>0.2551406915538848</v>
      </c>
      <c r="T27" s="172">
        <f t="shared" si="2"/>
        <v>0.19136893605012467</v>
      </c>
      <c r="U27" s="172">
        <f t="shared" si="2"/>
        <v>0.42736568563577287</v>
      </c>
      <c r="V27" s="172">
        <f t="shared" si="2"/>
        <v>0.10320571937273042</v>
      </c>
    </row>
    <row r="28" spans="1:22" x14ac:dyDescent="0.3">
      <c r="R28" s="103">
        <f>MEDIAN(R22:R27)*100</f>
        <v>18.305885862161691</v>
      </c>
      <c r="S28" s="103">
        <f>MEDIAN(S22:S27)*100</f>
        <v>25.031645960563637</v>
      </c>
      <c r="T28" s="103">
        <f>MEDIAN(T22:T27)*100</f>
        <v>17.187966947000692</v>
      </c>
      <c r="U28" s="103">
        <f>MEDIAN(U22:U27)*100</f>
        <v>27.72918571288767</v>
      </c>
      <c r="V28" s="103">
        <f>MEDIAN(V22:V27)*100</f>
        <v>10.314278380487709</v>
      </c>
    </row>
    <row r="29" spans="1:22" x14ac:dyDescent="0.3">
      <c r="R29" s="181">
        <f>_xlfn.STDEV.S(R22:R27)*100/SQRT(6)</f>
        <v>5.2476054121473057</v>
      </c>
      <c r="S29" s="181">
        <f>_xlfn.STDEV.S(S22:S27)*100/SQRT(6)</f>
        <v>1.4018369869499341</v>
      </c>
      <c r="T29" s="181">
        <f>_xlfn.STDEV.S(T22:T27)*100/SQRT(6)</f>
        <v>1.0409779761792113</v>
      </c>
      <c r="U29" s="181">
        <f>_xlfn.STDEV.S(U22:U27)*100/SQRT(6)</f>
        <v>2.975797329703568</v>
      </c>
      <c r="V29" s="181">
        <f>_xlfn.STDEV.S(V22:V27)*100/SQRT(6)</f>
        <v>0.38710394742734916</v>
      </c>
    </row>
    <row r="30" spans="1:22" x14ac:dyDescent="0.3">
      <c r="F30" t="s">
        <v>406</v>
      </c>
      <c r="G30" t="s">
        <v>407</v>
      </c>
      <c r="H30" t="s">
        <v>408</v>
      </c>
      <c r="I30" t="s">
        <v>409</v>
      </c>
      <c r="J30" t="s">
        <v>410</v>
      </c>
      <c r="L30" t="s">
        <v>406</v>
      </c>
      <c r="M30" t="s">
        <v>407</v>
      </c>
      <c r="N30" t="s">
        <v>408</v>
      </c>
      <c r="O30" t="s">
        <v>409</v>
      </c>
      <c r="P30" t="s">
        <v>410</v>
      </c>
      <c r="R30" t="s">
        <v>406</v>
      </c>
      <c r="S30" t="s">
        <v>407</v>
      </c>
      <c r="T30" t="s">
        <v>408</v>
      </c>
      <c r="U30" t="s">
        <v>409</v>
      </c>
      <c r="V30" t="s">
        <v>410</v>
      </c>
    </row>
    <row r="31" spans="1:22" x14ac:dyDescent="0.3">
      <c r="A31" s="1" t="s">
        <v>489</v>
      </c>
      <c r="B31" s="1" t="s">
        <v>490</v>
      </c>
      <c r="C31" s="1" t="s">
        <v>879</v>
      </c>
      <c r="D31" s="1" t="s">
        <v>874</v>
      </c>
      <c r="F31" s="90" t="s">
        <v>447</v>
      </c>
      <c r="G31" s="91" t="s">
        <v>446</v>
      </c>
      <c r="H31" s="92" t="s">
        <v>448</v>
      </c>
      <c r="I31" s="124" t="s">
        <v>449</v>
      </c>
      <c r="J31" s="123" t="s">
        <v>450</v>
      </c>
      <c r="L31" s="90" t="s">
        <v>447</v>
      </c>
      <c r="M31" s="91" t="s">
        <v>446</v>
      </c>
      <c r="N31" s="92" t="s">
        <v>448</v>
      </c>
      <c r="O31" s="124" t="s">
        <v>449</v>
      </c>
      <c r="P31" s="123" t="s">
        <v>450</v>
      </c>
      <c r="R31" s="90" t="s">
        <v>447</v>
      </c>
      <c r="S31" s="91" t="s">
        <v>446</v>
      </c>
      <c r="T31" s="92" t="s">
        <v>448</v>
      </c>
      <c r="U31" s="124" t="s">
        <v>449</v>
      </c>
      <c r="V31" s="123" t="s">
        <v>450</v>
      </c>
    </row>
    <row r="32" spans="1:22" x14ac:dyDescent="0.3">
      <c r="A32" t="s">
        <v>483</v>
      </c>
      <c r="B32" t="s">
        <v>477</v>
      </c>
      <c r="C32" t="s">
        <v>881</v>
      </c>
      <c r="D32" s="1">
        <f>(0.52+0.45)/2</f>
        <v>0.48499999999999999</v>
      </c>
      <c r="E32" t="s">
        <v>73</v>
      </c>
      <c r="F32" s="49">
        <v>2.04684477787642E-2</v>
      </c>
      <c r="G32" s="49">
        <v>6.8586616523867994E-2</v>
      </c>
      <c r="H32" s="49">
        <v>4.55443472209551E-2</v>
      </c>
      <c r="I32" s="49">
        <v>2.4825601735697402E-2</v>
      </c>
      <c r="J32" s="49">
        <v>3.6449584470606602E-2</v>
      </c>
      <c r="K32" t="s">
        <v>468</v>
      </c>
      <c r="L32" s="49">
        <v>4.9050112941562999E-3</v>
      </c>
      <c r="M32" s="49">
        <v>2.0226226098489199E-2</v>
      </c>
      <c r="N32" s="49">
        <v>8.5701818788337502E-3</v>
      </c>
      <c r="O32" s="49">
        <v>6.64659129774175E-3</v>
      </c>
      <c r="P32" s="49">
        <v>4.59630060542255E-3</v>
      </c>
      <c r="Q32" t="s">
        <v>491</v>
      </c>
      <c r="R32" s="172">
        <f t="shared" ref="R32:V37" si="3">L32/F32</f>
        <v>0.23963767781381048</v>
      </c>
      <c r="S32" s="172">
        <f t="shared" si="3"/>
        <v>0.29490047947547487</v>
      </c>
      <c r="T32" s="172">
        <f t="shared" si="3"/>
        <v>0.18817224094257259</v>
      </c>
      <c r="U32" s="172">
        <f t="shared" si="3"/>
        <v>0.26773132705921232</v>
      </c>
      <c r="V32" s="172">
        <f t="shared" si="3"/>
        <v>0.1261002195821756</v>
      </c>
    </row>
    <row r="33" spans="1:22" x14ac:dyDescent="0.3">
      <c r="A33" t="s">
        <v>484</v>
      </c>
      <c r="B33" t="s">
        <v>478</v>
      </c>
      <c r="C33" t="s">
        <v>882</v>
      </c>
      <c r="D33" s="1">
        <f>(0.52+0.6)/2</f>
        <v>0.56000000000000005</v>
      </c>
      <c r="E33" t="s">
        <v>73</v>
      </c>
      <c r="F33" s="49">
        <v>2.69348116243649E-2</v>
      </c>
      <c r="G33" s="49">
        <v>0.102277925333354</v>
      </c>
      <c r="H33" s="49">
        <v>7.6066601630509004E-2</v>
      </c>
      <c r="I33" s="49">
        <v>4.02647629940402E-2</v>
      </c>
      <c r="J33" s="49">
        <v>5.8293344245053502E-2</v>
      </c>
      <c r="K33" t="s">
        <v>468</v>
      </c>
      <c r="L33" s="49">
        <v>5.8214204601814996E-3</v>
      </c>
      <c r="M33" s="49">
        <v>2.8722386238209201E-2</v>
      </c>
      <c r="N33" s="49">
        <v>1.3530417868812599E-2</v>
      </c>
      <c r="O33" s="49">
        <v>8.8285256694133601E-3</v>
      </c>
      <c r="P33" s="49">
        <v>5.5996555792819803E-3</v>
      </c>
      <c r="Q33" t="s">
        <v>491</v>
      </c>
      <c r="R33" s="172">
        <f t="shared" si="3"/>
        <v>0.21612998603322378</v>
      </c>
      <c r="S33" s="172">
        <f t="shared" si="3"/>
        <v>0.28082683672546593</v>
      </c>
      <c r="T33" s="172">
        <f t="shared" si="3"/>
        <v>0.17787593475696675</v>
      </c>
      <c r="U33" s="172">
        <f t="shared" si="3"/>
        <v>0.2192618312622408</v>
      </c>
      <c r="V33" s="172">
        <f t="shared" si="3"/>
        <v>9.6059947354232303E-2</v>
      </c>
    </row>
    <row r="34" spans="1:22" x14ac:dyDescent="0.3">
      <c r="A34" t="s">
        <v>485</v>
      </c>
      <c r="B34" t="s">
        <v>479</v>
      </c>
      <c r="C34" t="s">
        <v>883</v>
      </c>
      <c r="D34" s="1">
        <f>(0.63+0.69)/2</f>
        <v>0.65999999999999992</v>
      </c>
      <c r="E34" t="s">
        <v>73</v>
      </c>
      <c r="F34" s="49">
        <v>2.5588723150675799E-2</v>
      </c>
      <c r="G34" s="49">
        <v>0.114013993777463</v>
      </c>
      <c r="H34" s="49">
        <v>8.2629567549864696E-2</v>
      </c>
      <c r="I34" s="49">
        <v>3.8200469382575999E-2</v>
      </c>
      <c r="J34" s="49">
        <v>6.5357018945874201E-2</v>
      </c>
      <c r="K34" t="s">
        <v>468</v>
      </c>
      <c r="L34" s="49">
        <v>6.0450951771663496E-3</v>
      </c>
      <c r="M34" s="49">
        <v>3.5101055480455702E-2</v>
      </c>
      <c r="N34" s="49">
        <v>1.8445867994844298E-2</v>
      </c>
      <c r="O34" s="49">
        <v>1.02559188557698E-2</v>
      </c>
      <c r="P34" s="49">
        <v>6.97461854437247E-3</v>
      </c>
      <c r="Q34" t="s">
        <v>491</v>
      </c>
      <c r="R34" s="172">
        <f t="shared" si="3"/>
        <v>0.23624059479523887</v>
      </c>
      <c r="S34" s="172">
        <f t="shared" si="3"/>
        <v>0.30786620411672733</v>
      </c>
      <c r="T34" s="172">
        <f t="shared" si="3"/>
        <v>0.22323568356705628</v>
      </c>
      <c r="U34" s="172">
        <f t="shared" si="3"/>
        <v>0.26847625229567806</v>
      </c>
      <c r="V34" s="172">
        <f t="shared" si="3"/>
        <v>0.10671567731919568</v>
      </c>
    </row>
    <row r="35" spans="1:22" x14ac:dyDescent="0.3">
      <c r="A35" t="s">
        <v>486</v>
      </c>
      <c r="B35" t="s">
        <v>480</v>
      </c>
      <c r="C35" t="s">
        <v>884</v>
      </c>
      <c r="D35" s="1">
        <f>(0.77+0.9)/2</f>
        <v>0.83499999999999996</v>
      </c>
      <c r="E35" t="s">
        <v>73</v>
      </c>
      <c r="F35" s="49">
        <v>3.03876493794389E-2</v>
      </c>
      <c r="G35" s="49">
        <v>0.215847864773032</v>
      </c>
      <c r="H35" s="49">
        <v>0.25392379386643799</v>
      </c>
      <c r="I35" s="49">
        <v>0.161059686998</v>
      </c>
      <c r="J35" s="49">
        <v>0.17849773470754099</v>
      </c>
      <c r="K35" t="s">
        <v>468</v>
      </c>
      <c r="L35" s="49">
        <v>7.0541840355376698E-3</v>
      </c>
      <c r="M35" s="49">
        <v>4.1109347691239202E-2</v>
      </c>
      <c r="N35" s="49">
        <v>4.7300301580755003E-2</v>
      </c>
      <c r="O35" s="49">
        <v>3.6704145364409697E-2</v>
      </c>
      <c r="P35" s="49">
        <v>1.68085692889536E-2</v>
      </c>
      <c r="Q35" t="s">
        <v>491</v>
      </c>
      <c r="R35" s="172">
        <f t="shared" si="3"/>
        <v>0.23213983903311455</v>
      </c>
      <c r="S35" s="172">
        <f t="shared" si="3"/>
        <v>0.19045519738852379</v>
      </c>
      <c r="T35" s="172">
        <f t="shared" si="3"/>
        <v>0.18627754752921896</v>
      </c>
      <c r="U35" s="172">
        <f t="shared" si="3"/>
        <v>0.22789157267433086</v>
      </c>
      <c r="V35" s="172">
        <f t="shared" si="3"/>
        <v>9.416684932441044E-2</v>
      </c>
    </row>
    <row r="36" spans="1:22" x14ac:dyDescent="0.3">
      <c r="A36" t="s">
        <v>487</v>
      </c>
      <c r="B36" t="s">
        <v>481</v>
      </c>
      <c r="C36" t="s">
        <v>885</v>
      </c>
      <c r="D36" s="1">
        <f>(1.55+1.75)/2</f>
        <v>1.65</v>
      </c>
      <c r="E36" t="s">
        <v>73</v>
      </c>
      <c r="F36" s="49">
        <v>1.93553247457697E-2</v>
      </c>
      <c r="G36" s="49">
        <v>0.25060515303830599</v>
      </c>
      <c r="H36" s="49">
        <v>0.27935168584395298</v>
      </c>
      <c r="I36" s="49">
        <v>0.11302797050718701</v>
      </c>
      <c r="J36" s="49">
        <v>0.189197299366623</v>
      </c>
      <c r="K36" t="s">
        <v>468</v>
      </c>
      <c r="L36" s="49">
        <v>1.0090918833428201E-2</v>
      </c>
      <c r="M36" s="49">
        <v>5.39725874234857E-2</v>
      </c>
      <c r="N36" s="49">
        <v>4.1764817139179802E-2</v>
      </c>
      <c r="O36" s="49">
        <v>3.3919825150251298E-2</v>
      </c>
      <c r="P36" s="49">
        <v>1.78187110380481E-2</v>
      </c>
      <c r="Q36" t="s">
        <v>491</v>
      </c>
      <c r="R36" s="172">
        <f t="shared" si="3"/>
        <v>0.52135104763011908</v>
      </c>
      <c r="S36" s="172">
        <f t="shared" si="3"/>
        <v>0.21536902481504749</v>
      </c>
      <c r="T36" s="172">
        <f t="shared" si="3"/>
        <v>0.14950622908540384</v>
      </c>
      <c r="U36" s="172">
        <f t="shared" si="3"/>
        <v>0.30010116078386517</v>
      </c>
      <c r="V36" s="172">
        <f t="shared" si="3"/>
        <v>9.4180578146199304E-2</v>
      </c>
    </row>
    <row r="37" spans="1:22" x14ac:dyDescent="0.3">
      <c r="A37" t="s">
        <v>488</v>
      </c>
      <c r="B37" t="s">
        <v>482</v>
      </c>
      <c r="C37" t="s">
        <v>886</v>
      </c>
      <c r="D37" s="1">
        <f>(2.08+2.35)/2</f>
        <v>2.2149999999999999</v>
      </c>
      <c r="E37" t="s">
        <v>73</v>
      </c>
      <c r="F37" s="49">
        <v>1.44276871455762E-2</v>
      </c>
      <c r="G37" s="49">
        <v>0.19547415169082499</v>
      </c>
      <c r="H37" s="49">
        <v>0.17246668390231401</v>
      </c>
      <c r="I37" s="49">
        <v>6.0860740057872197E-2</v>
      </c>
      <c r="J37" s="49">
        <v>0.109293592523709</v>
      </c>
      <c r="K37" t="s">
        <v>468</v>
      </c>
      <c r="L37" s="49">
        <v>8.3564109932542704E-3</v>
      </c>
      <c r="M37" s="49">
        <v>4.94639940531236E-2</v>
      </c>
      <c r="N37" s="49">
        <v>3.8914750911513502E-2</v>
      </c>
      <c r="O37" s="49">
        <v>2.2747681804287601E-2</v>
      </c>
      <c r="P37" s="49">
        <v>1.3442279036288401E-2</v>
      </c>
      <c r="Q37" t="s">
        <v>491</v>
      </c>
      <c r="R37" s="172">
        <f t="shared" si="3"/>
        <v>0.57919269450034494</v>
      </c>
      <c r="S37" s="172">
        <f t="shared" si="3"/>
        <v>0.2530462141683017</v>
      </c>
      <c r="T37" s="172">
        <f t="shared" si="3"/>
        <v>0.22563633758711921</v>
      </c>
      <c r="U37" s="172">
        <f t="shared" si="3"/>
        <v>0.37376610574660996</v>
      </c>
      <c r="V37" s="172">
        <f t="shared" si="3"/>
        <v>0.12299237975339107</v>
      </c>
    </row>
    <row r="38" spans="1:22" x14ac:dyDescent="0.3">
      <c r="R38" s="103">
        <f>MEDIAN(R32:R37)*100</f>
        <v>23.793913630452469</v>
      </c>
      <c r="S38" s="103">
        <f>MEDIAN(S32:S37)*100</f>
        <v>26.693652544688383</v>
      </c>
      <c r="T38" s="103">
        <f>MEDIAN(T32:T37)*100</f>
        <v>18.722489423589579</v>
      </c>
      <c r="U38" s="103">
        <f>MEDIAN(U32:U37)*100</f>
        <v>26.810378967744519</v>
      </c>
      <c r="V38" s="103">
        <f>MEDIAN(V32:V37)*100</f>
        <v>10.138781233671398</v>
      </c>
    </row>
    <row r="39" spans="1:22" x14ac:dyDescent="0.3">
      <c r="R39" s="181">
        <f>_xlfn.STDEV.S(R32:R37)*100/SQRT(6)</f>
        <v>6.779343515851938</v>
      </c>
      <c r="S39" s="181">
        <f>_xlfn.STDEV.S(S32:S37)*100/SQRT(6)</f>
        <v>1.8945958768686111</v>
      </c>
      <c r="T39" s="181">
        <f>_xlfn.STDEV.S(T32:T37)*100/SQRT(6)</f>
        <v>1.1774830747443013</v>
      </c>
      <c r="U39" s="181">
        <f>_xlfn.STDEV.S(U32:U37)*100/SQRT(6)</f>
        <v>2.2947363141352484</v>
      </c>
      <c r="V39" s="181">
        <f>_xlfn.STDEV.S(V32:V37)*100/SQRT(6)</f>
        <v>0.59689107675541553</v>
      </c>
    </row>
    <row r="40" spans="1:22" x14ac:dyDescent="0.3">
      <c r="F40" t="s">
        <v>411</v>
      </c>
      <c r="G40" t="s">
        <v>412</v>
      </c>
      <c r="H40" t="s">
        <v>413</v>
      </c>
      <c r="I40" t="s">
        <v>414</v>
      </c>
      <c r="J40" t="s">
        <v>415</v>
      </c>
      <c r="L40" t="s">
        <v>411</v>
      </c>
      <c r="M40" t="s">
        <v>412</v>
      </c>
      <c r="N40" t="s">
        <v>413</v>
      </c>
      <c r="O40" t="s">
        <v>414</v>
      </c>
      <c r="P40" t="s">
        <v>415</v>
      </c>
      <c r="R40" t="s">
        <v>411</v>
      </c>
      <c r="S40" t="s">
        <v>412</v>
      </c>
      <c r="T40" t="s">
        <v>413</v>
      </c>
      <c r="U40" t="s">
        <v>414</v>
      </c>
      <c r="V40" t="s">
        <v>415</v>
      </c>
    </row>
    <row r="41" spans="1:22" x14ac:dyDescent="0.3">
      <c r="A41" s="1" t="s">
        <v>489</v>
      </c>
      <c r="B41" s="1" t="s">
        <v>490</v>
      </c>
      <c r="C41" s="1" t="s">
        <v>879</v>
      </c>
      <c r="D41" s="1" t="s">
        <v>874</v>
      </c>
      <c r="F41" s="90" t="s">
        <v>447</v>
      </c>
      <c r="G41" s="91" t="s">
        <v>446</v>
      </c>
      <c r="H41" s="92" t="s">
        <v>448</v>
      </c>
      <c r="I41" s="124" t="s">
        <v>449</v>
      </c>
      <c r="J41" s="123" t="s">
        <v>450</v>
      </c>
      <c r="L41" s="90" t="s">
        <v>447</v>
      </c>
      <c r="M41" s="91" t="s">
        <v>446</v>
      </c>
      <c r="N41" s="92" t="s">
        <v>448</v>
      </c>
      <c r="O41" s="124" t="s">
        <v>449</v>
      </c>
      <c r="P41" s="123" t="s">
        <v>450</v>
      </c>
      <c r="R41" s="90" t="s">
        <v>447</v>
      </c>
      <c r="S41" s="91" t="s">
        <v>446</v>
      </c>
      <c r="T41" s="92" t="s">
        <v>448</v>
      </c>
      <c r="U41" s="124" t="s">
        <v>449</v>
      </c>
      <c r="V41" s="123" t="s">
        <v>450</v>
      </c>
    </row>
    <row r="42" spans="1:22" x14ac:dyDescent="0.3">
      <c r="A42" t="s">
        <v>483</v>
      </c>
      <c r="B42" t="s">
        <v>477</v>
      </c>
      <c r="C42" t="s">
        <v>881</v>
      </c>
      <c r="D42" s="1">
        <f>(0.52+0.45)/2</f>
        <v>0.48499999999999999</v>
      </c>
      <c r="E42" t="s">
        <v>73</v>
      </c>
      <c r="F42" s="49">
        <v>1.5243268011715499E-2</v>
      </c>
      <c r="G42" s="49">
        <v>6.9534696073872193E-2</v>
      </c>
      <c r="H42" s="49">
        <v>4.5686339394591401E-2</v>
      </c>
      <c r="I42" s="49">
        <v>1.9936361817828901E-2</v>
      </c>
      <c r="J42" s="49">
        <v>3.2291846375052502E-2</v>
      </c>
      <c r="K42" t="s">
        <v>468</v>
      </c>
      <c r="L42" s="49">
        <v>3.7616388202955202E-3</v>
      </c>
      <c r="M42" s="49">
        <v>2.31882349396282E-2</v>
      </c>
      <c r="N42" s="49">
        <v>1.07815528922806E-2</v>
      </c>
      <c r="O42" s="49">
        <v>5.0699383341362703E-3</v>
      </c>
      <c r="P42" s="49">
        <v>3.7653980291811099E-3</v>
      </c>
      <c r="Q42" t="s">
        <v>491</v>
      </c>
      <c r="R42" s="172">
        <f t="shared" ref="R42:V47" si="4">L42/F42</f>
        <v>0.24677377694890901</v>
      </c>
      <c r="S42" s="172">
        <f t="shared" si="4"/>
        <v>0.33347718835203521</v>
      </c>
      <c r="T42" s="172">
        <f t="shared" si="4"/>
        <v>0.23599073673118531</v>
      </c>
      <c r="U42" s="172">
        <f t="shared" si="4"/>
        <v>0.25430609558872835</v>
      </c>
      <c r="V42" s="172">
        <f t="shared" si="4"/>
        <v>0.11660522552498326</v>
      </c>
    </row>
    <row r="43" spans="1:22" x14ac:dyDescent="0.3">
      <c r="A43" t="s">
        <v>484</v>
      </c>
      <c r="B43" t="s">
        <v>478</v>
      </c>
      <c r="C43" t="s">
        <v>882</v>
      </c>
      <c r="D43" s="1">
        <f>(0.52+0.6)/2</f>
        <v>0.56000000000000005</v>
      </c>
      <c r="E43" t="s">
        <v>73</v>
      </c>
      <c r="F43" s="49">
        <v>2.0353505091201499E-2</v>
      </c>
      <c r="G43" s="49">
        <v>0.10221485397429</v>
      </c>
      <c r="H43" s="49">
        <v>7.9551108555158498E-2</v>
      </c>
      <c r="I43" s="49">
        <v>3.3413748267158802E-2</v>
      </c>
      <c r="J43" s="49">
        <v>5.2159751030620698E-2</v>
      </c>
      <c r="K43" t="s">
        <v>468</v>
      </c>
      <c r="L43" s="49">
        <v>3.9616639389887997E-3</v>
      </c>
      <c r="M43" s="49">
        <v>3.3343467115059998E-2</v>
      </c>
      <c r="N43" s="49">
        <v>1.76134315075454E-2</v>
      </c>
      <c r="O43" s="49">
        <v>8.4627163736135103E-3</v>
      </c>
      <c r="P43" s="49">
        <v>5.1660451973798401E-3</v>
      </c>
      <c r="Q43" t="s">
        <v>491</v>
      </c>
      <c r="R43" s="172">
        <f t="shared" si="4"/>
        <v>0.19464283528743975</v>
      </c>
      <c r="S43" s="172">
        <f t="shared" si="4"/>
        <v>0.32620960475516453</v>
      </c>
      <c r="T43" s="172">
        <f t="shared" si="4"/>
        <v>0.22141025847971363</v>
      </c>
      <c r="U43" s="172">
        <f t="shared" si="4"/>
        <v>0.25327048931924878</v>
      </c>
      <c r="V43" s="172">
        <f t="shared" si="4"/>
        <v>9.9042750306593333E-2</v>
      </c>
    </row>
    <row r="44" spans="1:22" x14ac:dyDescent="0.3">
      <c r="A44" t="s">
        <v>485</v>
      </c>
      <c r="B44" t="s">
        <v>479</v>
      </c>
      <c r="C44" t="s">
        <v>883</v>
      </c>
      <c r="D44" s="1">
        <f>(0.63+0.69)/2</f>
        <v>0.65999999999999992</v>
      </c>
      <c r="E44" t="s">
        <v>73</v>
      </c>
      <c r="F44" s="49">
        <v>1.9584051510172E-2</v>
      </c>
      <c r="G44" s="49">
        <v>0.11714371483259101</v>
      </c>
      <c r="H44" s="49">
        <v>9.2655274999287093E-2</v>
      </c>
      <c r="I44" s="49">
        <v>3.2054441326678798E-2</v>
      </c>
      <c r="J44" s="49">
        <v>6.09104678478583E-2</v>
      </c>
      <c r="K44" t="s">
        <v>468</v>
      </c>
      <c r="L44" s="49">
        <v>4.17839506063676E-3</v>
      </c>
      <c r="M44" s="49">
        <v>4.1561831583940202E-2</v>
      </c>
      <c r="N44" s="49">
        <v>2.6335098931238199E-2</v>
      </c>
      <c r="O44" s="49">
        <v>9.8596766912799894E-3</v>
      </c>
      <c r="P44" s="49">
        <v>6.6665532257085703E-3</v>
      </c>
      <c r="Q44" t="s">
        <v>491</v>
      </c>
      <c r="R44" s="172">
        <f t="shared" si="4"/>
        <v>0.21335702974772572</v>
      </c>
      <c r="S44" s="172">
        <f t="shared" si="4"/>
        <v>0.3547935255710119</v>
      </c>
      <c r="T44" s="172">
        <f t="shared" si="4"/>
        <v>0.28422665554055965</v>
      </c>
      <c r="U44" s="172">
        <f t="shared" si="4"/>
        <v>0.30759159365144872</v>
      </c>
      <c r="V44" s="172">
        <f t="shared" si="4"/>
        <v>0.10944839961433617</v>
      </c>
    </row>
    <row r="45" spans="1:22" x14ac:dyDescent="0.3">
      <c r="A45" t="s">
        <v>486</v>
      </c>
      <c r="B45" t="s">
        <v>480</v>
      </c>
      <c r="C45" t="s">
        <v>884</v>
      </c>
      <c r="D45" s="1">
        <f>(0.77+0.9)/2</f>
        <v>0.83499999999999996</v>
      </c>
      <c r="E45" t="s">
        <v>73</v>
      </c>
      <c r="F45" s="49">
        <v>2.4278325730334699E-2</v>
      </c>
      <c r="G45" s="49">
        <v>0.20893505331163201</v>
      </c>
      <c r="H45" s="49">
        <v>0.29154801142810999</v>
      </c>
      <c r="I45" s="49">
        <v>0.15045445416834799</v>
      </c>
      <c r="J45" s="49">
        <v>0.16332733133239399</v>
      </c>
      <c r="K45" t="s">
        <v>468</v>
      </c>
      <c r="L45" s="49">
        <v>4.31727912162631E-3</v>
      </c>
      <c r="M45" s="49">
        <v>4.87591582920665E-2</v>
      </c>
      <c r="N45" s="49">
        <v>5.98264931084646E-2</v>
      </c>
      <c r="O45" s="49">
        <v>4.3611254113912E-2</v>
      </c>
      <c r="P45" s="49">
        <v>1.45986452448661E-2</v>
      </c>
      <c r="Q45" t="s">
        <v>491</v>
      </c>
      <c r="R45" s="172">
        <f t="shared" si="4"/>
        <v>0.17782441711917801</v>
      </c>
      <c r="S45" s="172">
        <f t="shared" si="4"/>
        <v>0.2333699277322363</v>
      </c>
      <c r="T45" s="172">
        <f t="shared" si="4"/>
        <v>0.2052028851625923</v>
      </c>
      <c r="U45" s="172">
        <f t="shared" si="4"/>
        <v>0.28986349626521568</v>
      </c>
      <c r="V45" s="172">
        <f t="shared" si="4"/>
        <v>8.9382745225634108E-2</v>
      </c>
    </row>
    <row r="46" spans="1:22" x14ac:dyDescent="0.3">
      <c r="A46" t="s">
        <v>487</v>
      </c>
      <c r="B46" t="s">
        <v>481</v>
      </c>
      <c r="C46" t="s">
        <v>885</v>
      </c>
      <c r="D46" s="1">
        <f>(1.55+1.75)/2</f>
        <v>1.65</v>
      </c>
      <c r="E46" t="s">
        <v>73</v>
      </c>
      <c r="F46" s="49">
        <v>1.2023789937227899E-2</v>
      </c>
      <c r="G46" s="49">
        <v>0.24724096849465199</v>
      </c>
      <c r="H46" s="49">
        <v>0.29413394197189002</v>
      </c>
      <c r="I46" s="49">
        <v>9.7337227356456696E-2</v>
      </c>
      <c r="J46" s="49">
        <v>0.18160069983348301</v>
      </c>
      <c r="K46" t="s">
        <v>468</v>
      </c>
      <c r="L46" s="49">
        <v>4.9635106390389597E-3</v>
      </c>
      <c r="M46" s="49">
        <v>6.1084471064073699E-2</v>
      </c>
      <c r="N46" s="49">
        <v>5.20783174633907E-2</v>
      </c>
      <c r="O46" s="49">
        <v>3.50014823995684E-2</v>
      </c>
      <c r="P46" s="49">
        <v>1.8294860844516401E-2</v>
      </c>
      <c r="Q46" t="s">
        <v>491</v>
      </c>
      <c r="R46" s="172">
        <f t="shared" si="4"/>
        <v>0.41280749788142951</v>
      </c>
      <c r="S46" s="172">
        <f t="shared" si="4"/>
        <v>0.24706451942811816</v>
      </c>
      <c r="T46" s="172">
        <f t="shared" si="4"/>
        <v>0.177056469968256</v>
      </c>
      <c r="U46" s="172">
        <f t="shared" si="4"/>
        <v>0.35958988508466733</v>
      </c>
      <c r="V46" s="172">
        <f t="shared" si="4"/>
        <v>0.10074223756456718</v>
      </c>
    </row>
    <row r="47" spans="1:22" x14ac:dyDescent="0.3">
      <c r="A47" t="s">
        <v>488</v>
      </c>
      <c r="B47" t="s">
        <v>482</v>
      </c>
      <c r="C47" t="s">
        <v>886</v>
      </c>
      <c r="D47" s="1">
        <f>(2.08+2.35)/2</f>
        <v>2.2149999999999999</v>
      </c>
      <c r="E47" t="s">
        <v>73</v>
      </c>
      <c r="F47" s="49">
        <v>8.9062645671618996E-3</v>
      </c>
      <c r="G47" s="49">
        <v>0.19082494000365299</v>
      </c>
      <c r="H47" s="49">
        <v>0.17056433915131</v>
      </c>
      <c r="I47" s="49">
        <v>4.9033387161407697E-2</v>
      </c>
      <c r="J47" s="49">
        <v>0.101521109741685</v>
      </c>
      <c r="K47" t="s">
        <v>468</v>
      </c>
      <c r="L47" s="49">
        <v>4.70512018385139E-3</v>
      </c>
      <c r="M47" s="49">
        <v>5.2927609910976302E-2</v>
      </c>
      <c r="N47" s="49">
        <v>4.3680805357680798E-2</v>
      </c>
      <c r="O47" s="49">
        <v>2.0351046381976799E-2</v>
      </c>
      <c r="P47" s="49">
        <v>1.12551534313046E-2</v>
      </c>
      <c r="Q47" t="s">
        <v>491</v>
      </c>
      <c r="R47" s="172">
        <f t="shared" si="4"/>
        <v>0.52829333199908968</v>
      </c>
      <c r="S47" s="172">
        <f t="shared" si="4"/>
        <v>0.27736212001409827</v>
      </c>
      <c r="T47" s="172">
        <f t="shared" si="4"/>
        <v>0.25609576758557334</v>
      </c>
      <c r="U47" s="172">
        <f t="shared" si="4"/>
        <v>0.41504467792496963</v>
      </c>
      <c r="V47" s="172">
        <f t="shared" si="4"/>
        <v>0.11086515366058086</v>
      </c>
    </row>
    <row r="48" spans="1:22" x14ac:dyDescent="0.3">
      <c r="R48" s="103">
        <f>MEDIAN(R42:R47)*100</f>
        <v>23.006540334831737</v>
      </c>
      <c r="S48" s="103">
        <f>MEDIAN(S42:S47)*100</f>
        <v>30.17858623846314</v>
      </c>
      <c r="T48" s="103">
        <f>MEDIAN(T42:T47)*100</f>
        <v>22.870049760544948</v>
      </c>
      <c r="U48" s="103">
        <f>MEDIAN(U42:U47)*100</f>
        <v>29.87275449583322</v>
      </c>
      <c r="V48" s="103">
        <f>MEDIAN(V42:V47)*100</f>
        <v>10.509531858945168</v>
      </c>
    </row>
    <row r="49" spans="1:22" x14ac:dyDescent="0.3">
      <c r="R49" s="181">
        <f>_xlfn.STDEV.S(R42:R47)*100/SQRT(6)</f>
        <v>5.8050301730393903</v>
      </c>
      <c r="S49" s="181">
        <f>_xlfn.STDEV.S(S42:S47)*100/SQRT(6)</f>
        <v>2.0360178481194269</v>
      </c>
      <c r="T49" s="181">
        <f>_xlfn.STDEV.S(T42:T47)*100/SQRT(6)</f>
        <v>1.5437083133357004</v>
      </c>
      <c r="U49" s="181">
        <f>_xlfn.STDEV.S(U42:U47)*100/SQRT(6)</f>
        <v>2.5923225420307339</v>
      </c>
      <c r="V49" s="181">
        <f>_xlfn.STDEV.S(V42:V47)*100/SQRT(6)</f>
        <v>0.40159390465768613</v>
      </c>
    </row>
    <row r="50" spans="1:22" x14ac:dyDescent="0.3">
      <c r="F50" t="s">
        <v>416</v>
      </c>
      <c r="G50" t="s">
        <v>417</v>
      </c>
      <c r="H50" t="s">
        <v>418</v>
      </c>
      <c r="I50" t="s">
        <v>419</v>
      </c>
      <c r="J50" t="s">
        <v>420</v>
      </c>
      <c r="L50" t="s">
        <v>416</v>
      </c>
      <c r="M50" t="s">
        <v>417</v>
      </c>
      <c r="N50" t="s">
        <v>418</v>
      </c>
      <c r="O50" t="s">
        <v>419</v>
      </c>
      <c r="P50" t="s">
        <v>420</v>
      </c>
      <c r="R50" t="s">
        <v>416</v>
      </c>
      <c r="S50" t="s">
        <v>417</v>
      </c>
      <c r="T50" t="s">
        <v>418</v>
      </c>
      <c r="U50" t="s">
        <v>419</v>
      </c>
      <c r="V50" t="s">
        <v>420</v>
      </c>
    </row>
    <row r="51" spans="1:22" x14ac:dyDescent="0.3">
      <c r="A51" s="1" t="s">
        <v>489</v>
      </c>
      <c r="B51" s="1" t="s">
        <v>490</v>
      </c>
      <c r="C51" s="1" t="s">
        <v>879</v>
      </c>
      <c r="D51" s="1" t="s">
        <v>874</v>
      </c>
      <c r="F51" s="90" t="s">
        <v>447</v>
      </c>
      <c r="G51" s="91" t="s">
        <v>446</v>
      </c>
      <c r="H51" s="92" t="s">
        <v>448</v>
      </c>
      <c r="I51" s="124" t="s">
        <v>449</v>
      </c>
      <c r="J51" s="123" t="s">
        <v>450</v>
      </c>
      <c r="L51" s="90" t="s">
        <v>447</v>
      </c>
      <c r="M51" s="91" t="s">
        <v>446</v>
      </c>
      <c r="N51" s="92" t="s">
        <v>448</v>
      </c>
      <c r="O51" s="124" t="s">
        <v>449</v>
      </c>
      <c r="P51" s="123" t="s">
        <v>450</v>
      </c>
      <c r="R51" s="90" t="s">
        <v>447</v>
      </c>
      <c r="S51" s="91" t="s">
        <v>446</v>
      </c>
      <c r="T51" s="92" t="s">
        <v>448</v>
      </c>
      <c r="U51" s="124" t="s">
        <v>449</v>
      </c>
      <c r="V51" s="123" t="s">
        <v>450</v>
      </c>
    </row>
    <row r="52" spans="1:22" x14ac:dyDescent="0.3">
      <c r="A52" t="s">
        <v>483</v>
      </c>
      <c r="B52" t="s">
        <v>477</v>
      </c>
      <c r="C52" t="s">
        <v>887</v>
      </c>
      <c r="D52" s="1">
        <f>(0.52+0.45)/2</f>
        <v>0.48499999999999999</v>
      </c>
      <c r="E52" t="s">
        <v>73</v>
      </c>
      <c r="F52" s="49">
        <v>2.2995212826076899E-2</v>
      </c>
      <c r="G52" s="49">
        <v>7.1499456733661398E-2</v>
      </c>
      <c r="H52" s="49">
        <v>4.8559689918365297E-2</v>
      </c>
      <c r="I52" s="49">
        <v>2.3985307589778002E-2</v>
      </c>
      <c r="J52" s="49">
        <v>3.6024073621583698E-2</v>
      </c>
      <c r="K52" t="s">
        <v>468</v>
      </c>
      <c r="L52" s="49">
        <v>6.1248653551903504E-3</v>
      </c>
      <c r="M52" s="49">
        <v>2.5029885908391399E-2</v>
      </c>
      <c r="N52" s="49">
        <v>9.8525912234661492E-3</v>
      </c>
      <c r="O52" s="49">
        <v>7.9996539792315698E-3</v>
      </c>
      <c r="P52" s="49">
        <v>4.4119583099798999E-3</v>
      </c>
      <c r="Q52" t="s">
        <v>491</v>
      </c>
      <c r="R52" s="172">
        <f t="shared" ref="R52:V57" si="5">L52/F52</f>
        <v>0.26635393207775254</v>
      </c>
      <c r="S52" s="172">
        <f t="shared" si="5"/>
        <v>0.35007099426823363</v>
      </c>
      <c r="T52" s="172">
        <f t="shared" si="5"/>
        <v>0.2028965020169928</v>
      </c>
      <c r="U52" s="172">
        <f t="shared" si="5"/>
        <v>0.33352309322232093</v>
      </c>
      <c r="V52" s="172">
        <f t="shared" si="5"/>
        <v>0.12247249870532384</v>
      </c>
    </row>
    <row r="53" spans="1:22" x14ac:dyDescent="0.3">
      <c r="A53" t="s">
        <v>484</v>
      </c>
      <c r="B53" t="s">
        <v>478</v>
      </c>
      <c r="C53" t="s">
        <v>888</v>
      </c>
      <c r="D53" s="1">
        <f>(0.52+0.6)/2</f>
        <v>0.56000000000000005</v>
      </c>
      <c r="E53" t="s">
        <v>73</v>
      </c>
      <c r="F53" s="49">
        <v>2.58863234053625E-2</v>
      </c>
      <c r="G53" s="49">
        <v>9.6139393513691496E-2</v>
      </c>
      <c r="H53" s="49">
        <v>7.8304492751791799E-2</v>
      </c>
      <c r="I53" s="49">
        <v>3.5638389513311698E-2</v>
      </c>
      <c r="J53" s="49">
        <v>5.2444853099885801E-2</v>
      </c>
      <c r="K53" t="s">
        <v>468</v>
      </c>
      <c r="L53" s="49">
        <v>6.5942423733869196E-3</v>
      </c>
      <c r="M53" s="49">
        <v>2.9919410972244501E-2</v>
      </c>
      <c r="N53" s="49">
        <v>1.5801658630380098E-2</v>
      </c>
      <c r="O53" s="49">
        <v>1.02387471579008E-2</v>
      </c>
      <c r="P53" s="49">
        <v>5.6934171182275103E-3</v>
      </c>
      <c r="Q53" t="s">
        <v>491</v>
      </c>
      <c r="R53" s="172">
        <f t="shared" si="5"/>
        <v>0.25473846826857166</v>
      </c>
      <c r="S53" s="172">
        <f t="shared" si="5"/>
        <v>0.31120865109247425</v>
      </c>
      <c r="T53" s="172">
        <f t="shared" si="5"/>
        <v>0.20179759902752856</v>
      </c>
      <c r="U53" s="172">
        <f t="shared" si="5"/>
        <v>0.28729545015148367</v>
      </c>
      <c r="V53" s="172">
        <f t="shared" si="5"/>
        <v>0.10856007370988151</v>
      </c>
    </row>
    <row r="54" spans="1:22" x14ac:dyDescent="0.3">
      <c r="A54" t="s">
        <v>485</v>
      </c>
      <c r="B54" t="s">
        <v>479</v>
      </c>
      <c r="C54" t="s">
        <v>889</v>
      </c>
      <c r="D54" s="1">
        <f>(0.63+0.69)/2</f>
        <v>0.65999999999999992</v>
      </c>
      <c r="E54" t="s">
        <v>73</v>
      </c>
      <c r="F54" s="49">
        <v>2.50634338794333E-2</v>
      </c>
      <c r="G54" s="49">
        <v>0.112677263050183</v>
      </c>
      <c r="H54" s="49">
        <v>9.4197641529728898E-2</v>
      </c>
      <c r="I54" s="49">
        <v>3.3907196103553597E-2</v>
      </c>
      <c r="J54" s="49">
        <v>6.2689917840981005E-2</v>
      </c>
      <c r="K54" t="s">
        <v>468</v>
      </c>
      <c r="L54" s="49">
        <v>7.2792488788786299E-3</v>
      </c>
      <c r="M54" s="49">
        <v>3.64968496521424E-2</v>
      </c>
      <c r="N54" s="49">
        <v>2.49909580762093E-2</v>
      </c>
      <c r="O54" s="49">
        <v>1.14346150042057E-2</v>
      </c>
      <c r="P54" s="49">
        <v>7.3694876943705802E-3</v>
      </c>
      <c r="Q54" t="s">
        <v>491</v>
      </c>
      <c r="R54" s="172">
        <f t="shared" si="5"/>
        <v>0.29043302341950356</v>
      </c>
      <c r="S54" s="172">
        <f t="shared" si="5"/>
        <v>0.3239060717678936</v>
      </c>
      <c r="T54" s="172">
        <f t="shared" si="5"/>
        <v>0.26530343722376659</v>
      </c>
      <c r="U54" s="172">
        <f t="shared" si="5"/>
        <v>0.33723269152907964</v>
      </c>
      <c r="V54" s="172">
        <f t="shared" si="5"/>
        <v>0.11755459168193509</v>
      </c>
    </row>
    <row r="55" spans="1:22" x14ac:dyDescent="0.3">
      <c r="A55" t="s">
        <v>486</v>
      </c>
      <c r="B55" t="s">
        <v>480</v>
      </c>
      <c r="C55" t="s">
        <v>890</v>
      </c>
      <c r="D55" s="1">
        <f>(0.77+0.9)/2</f>
        <v>0.83499999999999996</v>
      </c>
      <c r="E55" t="s">
        <v>73</v>
      </c>
      <c r="F55" s="49">
        <v>2.9709413960418499E-2</v>
      </c>
      <c r="G55" s="49">
        <v>0.202875616316608</v>
      </c>
      <c r="H55" s="49">
        <v>0.28963036230275202</v>
      </c>
      <c r="I55" s="49">
        <v>0.165932815024734</v>
      </c>
      <c r="J55" s="49">
        <v>0.165121446859152</v>
      </c>
      <c r="K55" t="s">
        <v>468</v>
      </c>
      <c r="L55" s="49">
        <v>8.7662059507336992E-3</v>
      </c>
      <c r="M55" s="49">
        <v>4.3433822686259602E-2</v>
      </c>
      <c r="N55" s="49">
        <v>5.8490578363624E-2</v>
      </c>
      <c r="O55" s="49">
        <v>4.2483121979551099E-2</v>
      </c>
      <c r="P55" s="49">
        <v>1.7542423834678099E-2</v>
      </c>
      <c r="Q55" t="s">
        <v>491</v>
      </c>
      <c r="R55" s="172">
        <f t="shared" si="5"/>
        <v>0.29506492327357287</v>
      </c>
      <c r="S55" s="172">
        <f t="shared" si="5"/>
        <v>0.21409089704736478</v>
      </c>
      <c r="T55" s="172">
        <f t="shared" si="5"/>
        <v>0.20194905637166422</v>
      </c>
      <c r="U55" s="172">
        <f t="shared" si="5"/>
        <v>0.25602604266804341</v>
      </c>
      <c r="V55" s="172">
        <f t="shared" si="5"/>
        <v>0.10623952350442836</v>
      </c>
    </row>
    <row r="56" spans="1:22" x14ac:dyDescent="0.3">
      <c r="A56" t="s">
        <v>487</v>
      </c>
      <c r="B56" t="s">
        <v>481</v>
      </c>
      <c r="C56" t="s">
        <v>891</v>
      </c>
      <c r="D56" s="1">
        <f>(1.55+1.75)/2</f>
        <v>1.65</v>
      </c>
      <c r="E56" t="s">
        <v>73</v>
      </c>
      <c r="F56" s="49">
        <v>2.3631700616677201E-2</v>
      </c>
      <c r="G56" s="49">
        <v>0.22936080617424201</v>
      </c>
      <c r="H56" s="49">
        <v>0.286085204063665</v>
      </c>
      <c r="I56" s="49">
        <v>0.10469879212659799</v>
      </c>
      <c r="J56" s="49">
        <v>0.17980618175770999</v>
      </c>
      <c r="K56" t="s">
        <v>468</v>
      </c>
      <c r="L56" s="49">
        <v>7.5109856368276197E-3</v>
      </c>
      <c r="M56" s="49">
        <v>4.4926126779901703E-2</v>
      </c>
      <c r="N56" s="49">
        <v>4.7856143631591901E-2</v>
      </c>
      <c r="O56" s="49">
        <v>3.1241854883784E-2</v>
      </c>
      <c r="P56" s="49">
        <v>2.1551372676489499E-2</v>
      </c>
      <c r="Q56" t="s">
        <v>491</v>
      </c>
      <c r="R56" s="172">
        <f t="shared" si="5"/>
        <v>0.31783517228239677</v>
      </c>
      <c r="S56" s="172">
        <f t="shared" si="5"/>
        <v>0.19587534387096631</v>
      </c>
      <c r="T56" s="172">
        <f t="shared" si="5"/>
        <v>0.16727933829441266</v>
      </c>
      <c r="U56" s="172">
        <f t="shared" si="5"/>
        <v>0.29839747192123744</v>
      </c>
      <c r="V56" s="172">
        <f t="shared" si="5"/>
        <v>0.11985890844136891</v>
      </c>
    </row>
    <row r="57" spans="1:22" x14ac:dyDescent="0.3">
      <c r="A57" t="s">
        <v>488</v>
      </c>
      <c r="B57" t="s">
        <v>482</v>
      </c>
      <c r="C57" t="s">
        <v>892</v>
      </c>
      <c r="D57" s="1">
        <f>(2.08+2.35)/2</f>
        <v>2.2149999999999999</v>
      </c>
      <c r="E57" t="s">
        <v>73</v>
      </c>
      <c r="F57" s="49">
        <v>2.0326791997339499E-2</v>
      </c>
      <c r="G57" s="49">
        <v>0.19080834089427501</v>
      </c>
      <c r="H57" s="49">
        <v>0.178873987421722</v>
      </c>
      <c r="I57" s="49">
        <v>5.76834419128422E-2</v>
      </c>
      <c r="J57" s="49">
        <v>0.109237261677885</v>
      </c>
      <c r="K57" t="s">
        <v>468</v>
      </c>
      <c r="L57" s="49">
        <v>5.86815641388376E-3</v>
      </c>
      <c r="M57" s="49">
        <v>5.0012917306656801E-2</v>
      </c>
      <c r="N57" s="49">
        <v>4.4060369451324799E-2</v>
      </c>
      <c r="O57" s="49">
        <v>2.0263586236891801E-2</v>
      </c>
      <c r="P57" s="49">
        <v>1.3589293926913101E-2</v>
      </c>
      <c r="Q57" t="s">
        <v>491</v>
      </c>
      <c r="R57" s="172">
        <f t="shared" si="5"/>
        <v>0.28869072968581672</v>
      </c>
      <c r="S57" s="172">
        <f t="shared" si="5"/>
        <v>0.26211074983545113</v>
      </c>
      <c r="T57" s="172">
        <f t="shared" si="5"/>
        <v>0.24632072044911668</v>
      </c>
      <c r="U57" s="172">
        <f t="shared" si="5"/>
        <v>0.35128947866026128</v>
      </c>
      <c r="V57" s="172">
        <f t="shared" si="5"/>
        <v>0.12440163473691544</v>
      </c>
    </row>
    <row r="58" spans="1:22" x14ac:dyDescent="0.3">
      <c r="R58" s="103">
        <f>MEDIAN(R52:R57)*100</f>
        <v>28.956187655266014</v>
      </c>
      <c r="S58" s="103">
        <f>MEDIAN(S52:S57)*100</f>
        <v>28.665970046396271</v>
      </c>
      <c r="T58" s="103">
        <f>MEDIAN(T52:T57)*100</f>
        <v>20.242277919432851</v>
      </c>
      <c r="U58" s="103">
        <f>MEDIAN(U52:U57)*100</f>
        <v>31.59602825717792</v>
      </c>
      <c r="V58" s="103">
        <f>MEDIAN(V52:V57)*100</f>
        <v>11.8706750061652</v>
      </c>
    </row>
    <row r="59" spans="1:22" x14ac:dyDescent="0.3">
      <c r="R59" s="181">
        <f>_xlfn.STDEV.S(R52:R57)*100/SQRT(6)</f>
        <v>0.91001979809757072</v>
      </c>
      <c r="S59" s="181">
        <f>_xlfn.STDEV.S(S52:S57)*100/SQRT(6)</f>
        <v>2.5473185964633065</v>
      </c>
      <c r="T59" s="181">
        <f>_xlfn.STDEV.S(T52:T57)*100/SQRT(6)</f>
        <v>1.4464329321204514</v>
      </c>
      <c r="U59" s="181">
        <f>_xlfn.STDEV.S(U52:U57)*100/SQRT(6)</f>
        <v>1.4788191452961938</v>
      </c>
      <c r="V59" s="181">
        <f>_xlfn.STDEV.S(V52:V57)*100/SQRT(6)</f>
        <v>0.30486037298028223</v>
      </c>
    </row>
    <row r="60" spans="1:22" x14ac:dyDescent="0.3">
      <c r="F60" t="s">
        <v>421</v>
      </c>
      <c r="G60" t="s">
        <v>422</v>
      </c>
      <c r="H60" t="s">
        <v>423</v>
      </c>
      <c r="I60" t="s">
        <v>424</v>
      </c>
      <c r="J60" t="s">
        <v>425</v>
      </c>
      <c r="L60" t="s">
        <v>421</v>
      </c>
      <c r="M60" t="s">
        <v>422</v>
      </c>
      <c r="N60" t="s">
        <v>423</v>
      </c>
      <c r="O60" t="s">
        <v>424</v>
      </c>
      <c r="P60" t="s">
        <v>425</v>
      </c>
      <c r="R60" t="s">
        <v>421</v>
      </c>
      <c r="S60" t="s">
        <v>422</v>
      </c>
      <c r="T60" t="s">
        <v>423</v>
      </c>
      <c r="U60" t="s">
        <v>424</v>
      </c>
      <c r="V60" t="s">
        <v>425</v>
      </c>
    </row>
    <row r="61" spans="1:22" x14ac:dyDescent="0.3">
      <c r="A61" s="1" t="s">
        <v>489</v>
      </c>
      <c r="B61" s="1" t="s">
        <v>490</v>
      </c>
      <c r="C61" s="1" t="s">
        <v>879</v>
      </c>
      <c r="D61" s="1" t="s">
        <v>874</v>
      </c>
      <c r="F61" s="90" t="s">
        <v>447</v>
      </c>
      <c r="G61" s="91" t="s">
        <v>446</v>
      </c>
      <c r="H61" s="92" t="s">
        <v>448</v>
      </c>
      <c r="I61" s="124" t="s">
        <v>449</v>
      </c>
      <c r="J61" s="123" t="s">
        <v>450</v>
      </c>
      <c r="L61" s="90" t="s">
        <v>447</v>
      </c>
      <c r="M61" s="91" t="s">
        <v>446</v>
      </c>
      <c r="N61" s="92" t="s">
        <v>448</v>
      </c>
      <c r="O61" s="124" t="s">
        <v>449</v>
      </c>
      <c r="P61" s="123" t="s">
        <v>450</v>
      </c>
      <c r="R61" s="90" t="s">
        <v>447</v>
      </c>
      <c r="S61" s="91" t="s">
        <v>446</v>
      </c>
      <c r="T61" s="92" t="s">
        <v>448</v>
      </c>
      <c r="U61" s="124" t="s">
        <v>449</v>
      </c>
      <c r="V61" s="123" t="s">
        <v>450</v>
      </c>
    </row>
    <row r="62" spans="1:22" x14ac:dyDescent="0.3">
      <c r="A62" t="s">
        <v>483</v>
      </c>
      <c r="B62" t="s">
        <v>477</v>
      </c>
      <c r="C62" t="s">
        <v>887</v>
      </c>
      <c r="D62" s="1">
        <f>(0.52+0.45)/2</f>
        <v>0.48499999999999999</v>
      </c>
      <c r="E62" t="s">
        <v>73</v>
      </c>
      <c r="F62" s="49">
        <v>1.8039955994117202E-2</v>
      </c>
      <c r="G62" s="49">
        <v>6.5075801025520699E-2</v>
      </c>
      <c r="H62" s="49">
        <v>3.7212032504395302E-2</v>
      </c>
      <c r="I62" s="49">
        <v>1.9789595322922099E-2</v>
      </c>
      <c r="J62" s="49">
        <v>3.34875870748296E-2</v>
      </c>
      <c r="K62" t="s">
        <v>468</v>
      </c>
      <c r="L62" s="49">
        <v>1.0583602111579301E-2</v>
      </c>
      <c r="M62" s="49">
        <v>2.3897605744225399E-2</v>
      </c>
      <c r="N62" s="49">
        <v>8.9039367303811196E-3</v>
      </c>
      <c r="O62" s="49">
        <v>5.8156889375736197E-3</v>
      </c>
      <c r="P62" s="49">
        <v>6.8175776655501601E-3</v>
      </c>
      <c r="Q62" t="s">
        <v>491</v>
      </c>
      <c r="R62" s="172">
        <f t="shared" ref="R62:V67" si="6">L62/F62</f>
        <v>0.58667560580694289</v>
      </c>
      <c r="S62" s="172">
        <f t="shared" si="6"/>
        <v>0.36722722375485634</v>
      </c>
      <c r="T62" s="172">
        <f t="shared" si="6"/>
        <v>0.23927574311694558</v>
      </c>
      <c r="U62" s="172">
        <f t="shared" si="6"/>
        <v>0.29387609209155291</v>
      </c>
      <c r="V62" s="172">
        <f t="shared" si="6"/>
        <v>0.20358521652563261</v>
      </c>
    </row>
    <row r="63" spans="1:22" x14ac:dyDescent="0.3">
      <c r="A63" t="s">
        <v>484</v>
      </c>
      <c r="B63" t="s">
        <v>478</v>
      </c>
      <c r="C63" t="s">
        <v>888</v>
      </c>
      <c r="D63" s="1">
        <f>(0.52+0.6)/2</f>
        <v>0.56000000000000005</v>
      </c>
      <c r="E63" t="s">
        <v>73</v>
      </c>
      <c r="F63" s="49">
        <v>1.71762339024817E-2</v>
      </c>
      <c r="G63" s="49">
        <v>8.4544982312095299E-2</v>
      </c>
      <c r="H63" s="49">
        <v>6.3250759705508405E-2</v>
      </c>
      <c r="I63" s="49">
        <v>2.78096462842784E-2</v>
      </c>
      <c r="J63" s="49">
        <v>4.47086878259201E-2</v>
      </c>
      <c r="K63" t="s">
        <v>468</v>
      </c>
      <c r="L63" s="49">
        <v>9.0926025999719193E-3</v>
      </c>
      <c r="M63" s="49">
        <v>3.1183218320420699E-2</v>
      </c>
      <c r="N63" s="49">
        <v>1.14663116982297E-2</v>
      </c>
      <c r="O63" s="49">
        <v>7.7618662541100499E-3</v>
      </c>
      <c r="P63" s="49">
        <v>8.9257600073293399E-3</v>
      </c>
      <c r="Q63" t="s">
        <v>491</v>
      </c>
      <c r="R63" s="172">
        <f t="shared" si="6"/>
        <v>0.52937114454747725</v>
      </c>
      <c r="S63" s="172">
        <f t="shared" si="6"/>
        <v>0.36883582523335062</v>
      </c>
      <c r="T63" s="172">
        <f t="shared" si="6"/>
        <v>0.18128338302363692</v>
      </c>
      <c r="U63" s="172">
        <f t="shared" si="6"/>
        <v>0.27910697513970389</v>
      </c>
      <c r="V63" s="172">
        <f t="shared" si="6"/>
        <v>0.19964262968493079</v>
      </c>
    </row>
    <row r="64" spans="1:22" x14ac:dyDescent="0.3">
      <c r="A64" t="s">
        <v>485</v>
      </c>
      <c r="B64" t="s">
        <v>479</v>
      </c>
      <c r="C64" t="s">
        <v>889</v>
      </c>
      <c r="D64" s="1">
        <f>(0.63+0.69)/2</f>
        <v>0.65999999999999992</v>
      </c>
      <c r="E64" t="s">
        <v>73</v>
      </c>
      <c r="F64" s="49">
        <v>1.6553232832040101E-2</v>
      </c>
      <c r="G64" s="49">
        <v>0.101606380994182</v>
      </c>
      <c r="H64" s="49">
        <v>6.2181220545725398E-2</v>
      </c>
      <c r="I64" s="49">
        <v>2.6873949745245901E-2</v>
      </c>
      <c r="J64" s="49">
        <v>5.6456652199771598E-2</v>
      </c>
      <c r="K64" t="s">
        <v>468</v>
      </c>
      <c r="L64" s="49">
        <v>9.8683720148377597E-3</v>
      </c>
      <c r="M64" s="49">
        <v>4.0900317137974297E-2</v>
      </c>
      <c r="N64" s="49">
        <v>1.75317454281981E-2</v>
      </c>
      <c r="O64" s="49">
        <v>8.9830568383879802E-3</v>
      </c>
      <c r="P64" s="49">
        <v>9.0132692203051396E-3</v>
      </c>
      <c r="Q64" t="s">
        <v>491</v>
      </c>
      <c r="R64" s="172">
        <f t="shared" si="6"/>
        <v>0.59615980243670219</v>
      </c>
      <c r="S64" s="172">
        <f t="shared" si="6"/>
        <v>0.4025368952006691</v>
      </c>
      <c r="T64" s="172">
        <f t="shared" si="6"/>
        <v>0.28194598424304018</v>
      </c>
      <c r="U64" s="172">
        <f t="shared" si="6"/>
        <v>0.33426634058423493</v>
      </c>
      <c r="V64" s="172">
        <f t="shared" si="6"/>
        <v>0.15964937468151191</v>
      </c>
    </row>
    <row r="65" spans="1:22" x14ac:dyDescent="0.3">
      <c r="A65" t="s">
        <v>486</v>
      </c>
      <c r="B65" t="s">
        <v>480</v>
      </c>
      <c r="C65" t="s">
        <v>890</v>
      </c>
      <c r="D65" s="1">
        <f>(0.77+0.9)/2</f>
        <v>0.83499999999999996</v>
      </c>
      <c r="E65" t="s">
        <v>73</v>
      </c>
      <c r="F65" s="49">
        <v>2.16063347095512E-2</v>
      </c>
      <c r="G65" s="49">
        <v>0.207494348893285</v>
      </c>
      <c r="H65" s="49">
        <v>0.35232630438293</v>
      </c>
      <c r="I65" s="49">
        <v>0.15227645082549501</v>
      </c>
      <c r="J65" s="49">
        <v>0.17159187730144301</v>
      </c>
      <c r="K65" t="s">
        <v>468</v>
      </c>
      <c r="L65" s="49">
        <v>1.06263445823665E-2</v>
      </c>
      <c r="M65" s="49">
        <v>4.9502007563529397E-2</v>
      </c>
      <c r="N65" s="49">
        <v>6.6405798229376894E-2</v>
      </c>
      <c r="O65" s="49">
        <v>4.2609519957038898E-2</v>
      </c>
      <c r="P65" s="49">
        <v>1.6958759270641301E-2</v>
      </c>
      <c r="Q65" t="s">
        <v>491</v>
      </c>
      <c r="R65" s="172">
        <f t="shared" si="6"/>
        <v>0.49181616064056738</v>
      </c>
      <c r="S65" s="172">
        <f t="shared" si="6"/>
        <v>0.2385703891578678</v>
      </c>
      <c r="T65" s="172">
        <f t="shared" si="6"/>
        <v>0.18847811645991372</v>
      </c>
      <c r="U65" s="172">
        <f t="shared" si="6"/>
        <v>0.27981687073773698</v>
      </c>
      <c r="V65" s="172">
        <f t="shared" si="6"/>
        <v>9.883194669435956E-2</v>
      </c>
    </row>
    <row r="66" spans="1:22" x14ac:dyDescent="0.3">
      <c r="A66" t="s">
        <v>487</v>
      </c>
      <c r="B66" t="s">
        <v>481</v>
      </c>
      <c r="C66" t="s">
        <v>891</v>
      </c>
      <c r="D66" s="1">
        <f>(1.55+1.75)/2</f>
        <v>1.65</v>
      </c>
      <c r="E66" t="s">
        <v>73</v>
      </c>
      <c r="F66" s="49">
        <v>1.60233463160976E-2</v>
      </c>
      <c r="G66" s="49">
        <v>0.21807079857784101</v>
      </c>
      <c r="H66" s="49">
        <v>0.220234279590625</v>
      </c>
      <c r="I66" s="49">
        <v>9.2583889722114399E-2</v>
      </c>
      <c r="J66" s="49">
        <v>0.15855259466913499</v>
      </c>
      <c r="K66" t="s">
        <v>468</v>
      </c>
      <c r="L66" s="49">
        <v>1.1852747175346699E-2</v>
      </c>
      <c r="M66" s="49">
        <v>5.6284936594279002E-2</v>
      </c>
      <c r="N66" s="49">
        <v>3.9760829948771802E-2</v>
      </c>
      <c r="O66" s="49">
        <v>2.8930004008974299E-2</v>
      </c>
      <c r="P66" s="49">
        <v>1.49787383660667E-2</v>
      </c>
      <c r="Q66" t="s">
        <v>491</v>
      </c>
      <c r="R66" s="172">
        <f t="shared" si="6"/>
        <v>0.73971734377600173</v>
      </c>
      <c r="S66" s="172">
        <f t="shared" si="6"/>
        <v>0.25810395963762167</v>
      </c>
      <c r="T66" s="172">
        <f t="shared" si="6"/>
        <v>0.18053878816086155</v>
      </c>
      <c r="U66" s="172">
        <f t="shared" si="6"/>
        <v>0.31247341298584624</v>
      </c>
      <c r="V66" s="172">
        <f t="shared" si="6"/>
        <v>9.4471732848800685E-2</v>
      </c>
    </row>
    <row r="67" spans="1:22" x14ac:dyDescent="0.3">
      <c r="A67" t="s">
        <v>488</v>
      </c>
      <c r="B67" t="s">
        <v>482</v>
      </c>
      <c r="C67" t="s">
        <v>892</v>
      </c>
      <c r="D67" s="1">
        <f>(2.08+2.35)/2</f>
        <v>2.2149999999999999</v>
      </c>
      <c r="E67" t="s">
        <v>73</v>
      </c>
      <c r="F67" s="49">
        <v>1.48123582825073E-2</v>
      </c>
      <c r="G67" s="49">
        <v>0.17894448617257</v>
      </c>
      <c r="H67" s="49">
        <v>0.12028060244538701</v>
      </c>
      <c r="I67" s="49">
        <v>4.9487078398720998E-2</v>
      </c>
      <c r="J67" s="49">
        <v>9.3684966592045393E-2</v>
      </c>
      <c r="K67" t="s">
        <v>468</v>
      </c>
      <c r="L67" s="49">
        <v>1.1866834129927799E-2</v>
      </c>
      <c r="M67" s="49">
        <v>5.4996597870894698E-2</v>
      </c>
      <c r="N67" s="49">
        <v>3.6559675796136698E-2</v>
      </c>
      <c r="O67" s="49">
        <v>1.7417348245784999E-2</v>
      </c>
      <c r="P67" s="49">
        <v>1.11928379411592E-2</v>
      </c>
      <c r="Q67" t="s">
        <v>491</v>
      </c>
      <c r="R67" s="172">
        <f t="shared" si="6"/>
        <v>0.80114414623240471</v>
      </c>
      <c r="S67" s="172">
        <f t="shared" si="6"/>
        <v>0.3073388794883416</v>
      </c>
      <c r="T67" s="172">
        <f t="shared" si="6"/>
        <v>0.30395321483974519</v>
      </c>
      <c r="U67" s="172">
        <f t="shared" si="6"/>
        <v>0.35195749697430417</v>
      </c>
      <c r="V67" s="172">
        <f t="shared" si="6"/>
        <v>0.11947314866320892</v>
      </c>
    </row>
    <row r="68" spans="1:22" x14ac:dyDescent="0.3">
      <c r="K68" s="49"/>
      <c r="R68" s="103">
        <f>MEDIAN(R62:R67)*100</f>
        <v>59.141770412182247</v>
      </c>
      <c r="S68" s="103">
        <f>MEDIAN(S62:S67)*100</f>
        <v>33.728305162159899</v>
      </c>
      <c r="T68" s="103">
        <f>MEDIAN(T62:T67)*100</f>
        <v>21.387692978842963</v>
      </c>
      <c r="U68" s="103">
        <f>MEDIAN(U62:U67)*100</f>
        <v>30.317475253869958</v>
      </c>
      <c r="V68" s="103">
        <f>MEDIAN(V62:V67)*100</f>
        <v>13.956126167236041</v>
      </c>
    </row>
    <row r="69" spans="1:22" x14ac:dyDescent="0.3">
      <c r="R69" s="181">
        <f>_xlfn.STDEV.S(R62:R67)*100/SQRT(6)</f>
        <v>4.9452265390191181</v>
      </c>
      <c r="S69" s="181">
        <f>_xlfn.STDEV.S(S62:S67)*100/SQRT(6)</f>
        <v>2.7058373280754564</v>
      </c>
      <c r="T69" s="181">
        <f>_xlfn.STDEV.S(T62:T67)*100/SQRT(6)</f>
        <v>2.2206513665982173</v>
      </c>
      <c r="U69" s="181">
        <f>_xlfn.STDEV.S(U62:U67)*100/SQRT(6)</f>
        <v>1.2204829179408159</v>
      </c>
      <c r="V69" s="181">
        <f>_xlfn.STDEV.S(V62:V67)*100/SQRT(6)</f>
        <v>1.9969590025923425</v>
      </c>
    </row>
    <row r="70" spans="1:22" x14ac:dyDescent="0.3">
      <c r="F70" t="s">
        <v>426</v>
      </c>
      <c r="G70" t="s">
        <v>427</v>
      </c>
      <c r="H70" t="s">
        <v>428</v>
      </c>
      <c r="I70" t="s">
        <v>429</v>
      </c>
      <c r="J70" t="s">
        <v>430</v>
      </c>
      <c r="L70" t="s">
        <v>426</v>
      </c>
      <c r="M70" t="s">
        <v>427</v>
      </c>
      <c r="N70" t="s">
        <v>428</v>
      </c>
      <c r="O70" t="s">
        <v>429</v>
      </c>
      <c r="P70" t="s">
        <v>430</v>
      </c>
      <c r="R70" t="s">
        <v>426</v>
      </c>
      <c r="S70" t="s">
        <v>427</v>
      </c>
      <c r="T70" t="s">
        <v>428</v>
      </c>
      <c r="U70" t="s">
        <v>429</v>
      </c>
      <c r="V70" t="s">
        <v>430</v>
      </c>
    </row>
    <row r="71" spans="1:22" x14ac:dyDescent="0.3">
      <c r="A71" s="1" t="s">
        <v>489</v>
      </c>
      <c r="B71" s="1" t="s">
        <v>490</v>
      </c>
      <c r="C71" s="1" t="s">
        <v>879</v>
      </c>
      <c r="D71" s="1" t="s">
        <v>874</v>
      </c>
      <c r="F71" s="90" t="s">
        <v>447</v>
      </c>
      <c r="G71" s="91" t="s">
        <v>446</v>
      </c>
      <c r="H71" s="92" t="s">
        <v>448</v>
      </c>
      <c r="I71" s="124" t="s">
        <v>449</v>
      </c>
      <c r="J71" s="123" t="s">
        <v>450</v>
      </c>
      <c r="L71" s="90" t="s">
        <v>447</v>
      </c>
      <c r="M71" s="91" t="s">
        <v>446</v>
      </c>
      <c r="N71" s="92" t="s">
        <v>448</v>
      </c>
      <c r="O71" s="124" t="s">
        <v>449</v>
      </c>
      <c r="P71" s="123" t="s">
        <v>450</v>
      </c>
      <c r="R71" s="90" t="s">
        <v>447</v>
      </c>
      <c r="S71" s="91" t="s">
        <v>446</v>
      </c>
      <c r="T71" s="92" t="s">
        <v>448</v>
      </c>
      <c r="U71" s="124" t="s">
        <v>449</v>
      </c>
      <c r="V71" s="123" t="s">
        <v>450</v>
      </c>
    </row>
    <row r="72" spans="1:22" x14ac:dyDescent="0.3">
      <c r="A72" t="s">
        <v>483</v>
      </c>
      <c r="B72" t="s">
        <v>477</v>
      </c>
      <c r="C72" t="s">
        <v>893</v>
      </c>
      <c r="D72" s="1">
        <v>0.48199999999999998</v>
      </c>
      <c r="E72" t="s">
        <v>73</v>
      </c>
      <c r="F72" s="173">
        <v>1E-3</v>
      </c>
      <c r="G72" s="49">
        <v>5.0845426131834001E-2</v>
      </c>
      <c r="H72" s="49">
        <v>1.46322680138148E-2</v>
      </c>
      <c r="I72" s="173">
        <v>1E-3</v>
      </c>
      <c r="J72" s="49">
        <v>1.0002441289827999E-2</v>
      </c>
      <c r="K72" t="s">
        <v>468</v>
      </c>
      <c r="L72" s="49">
        <v>6.1856430263131298E-3</v>
      </c>
      <c r="M72" s="49">
        <v>3.72415748244318E-2</v>
      </c>
      <c r="N72" s="49">
        <v>1.06132739052623E-2</v>
      </c>
      <c r="O72" s="49">
        <v>7.9244605985450203E-3</v>
      </c>
      <c r="P72" s="49">
        <v>3.56018572429545E-3</v>
      </c>
      <c r="Q72" t="s">
        <v>491</v>
      </c>
      <c r="R72" s="172">
        <f t="shared" ref="R72:V77" si="7">L72/F72</f>
        <v>6.1856430263131301</v>
      </c>
      <c r="S72" s="172">
        <f t="shared" si="7"/>
        <v>0.73244690147488178</v>
      </c>
      <c r="T72" s="172">
        <f t="shared" si="7"/>
        <v>0.72533348181170298</v>
      </c>
      <c r="U72" s="172">
        <f t="shared" si="7"/>
        <v>7.9244605985450205</v>
      </c>
      <c r="V72" s="172">
        <f t="shared" si="7"/>
        <v>0.35593167919075791</v>
      </c>
    </row>
    <row r="73" spans="1:22" x14ac:dyDescent="0.3">
      <c r="A73" t="s">
        <v>484</v>
      </c>
      <c r="B73" t="s">
        <v>478</v>
      </c>
      <c r="C73" t="s">
        <v>894</v>
      </c>
      <c r="D73" s="1">
        <v>0.56100000000000005</v>
      </c>
      <c r="E73" t="s">
        <v>73</v>
      </c>
      <c r="F73" s="49">
        <v>9.8688589306202903E-3</v>
      </c>
      <c r="G73" s="49">
        <v>8.8124445099813806E-2</v>
      </c>
      <c r="H73" s="49">
        <v>5.5317175456264703E-2</v>
      </c>
      <c r="I73" s="49">
        <v>1.8254847580278E-2</v>
      </c>
      <c r="J73" s="49">
        <v>3.7023768439534997E-2</v>
      </c>
      <c r="K73" t="s">
        <v>468</v>
      </c>
      <c r="L73" s="49">
        <v>6.3110531793093803E-3</v>
      </c>
      <c r="M73" s="49">
        <v>4.0970651148927902E-2</v>
      </c>
      <c r="N73" s="49">
        <v>1.4249857124207999E-2</v>
      </c>
      <c r="O73" s="49">
        <v>1.07874927819564E-2</v>
      </c>
      <c r="P73" s="49">
        <v>5.17542010126904E-3</v>
      </c>
      <c r="Q73" t="s">
        <v>491</v>
      </c>
      <c r="R73" s="172">
        <f t="shared" si="7"/>
        <v>0.63949168021117009</v>
      </c>
      <c r="S73" s="172">
        <f t="shared" si="7"/>
        <v>0.46491811781081466</v>
      </c>
      <c r="T73" s="172">
        <f t="shared" si="7"/>
        <v>0.25760276092683604</v>
      </c>
      <c r="U73" s="172">
        <f t="shared" si="7"/>
        <v>0.59093852931485935</v>
      </c>
      <c r="V73" s="172">
        <f t="shared" si="7"/>
        <v>0.1397864215178751</v>
      </c>
    </row>
    <row r="74" spans="1:22" x14ac:dyDescent="0.3">
      <c r="A74" t="s">
        <v>485</v>
      </c>
      <c r="B74" t="s">
        <v>479</v>
      </c>
      <c r="C74" t="s">
        <v>895</v>
      </c>
      <c r="D74" s="1">
        <v>0.65500000000000003</v>
      </c>
      <c r="E74" t="s">
        <v>73</v>
      </c>
      <c r="F74" s="49">
        <v>1.4149853578904701E-2</v>
      </c>
      <c r="G74" s="49">
        <v>0.107061006665449</v>
      </c>
      <c r="H74" s="49">
        <v>5.3127037623618603E-2</v>
      </c>
      <c r="I74" s="49">
        <v>1.8258951249258502E-2</v>
      </c>
      <c r="J74" s="49">
        <v>4.9455065003229201E-2</v>
      </c>
      <c r="K74" t="s">
        <v>468</v>
      </c>
      <c r="L74" s="49">
        <v>6.75680381937369E-3</v>
      </c>
      <c r="M74" s="49">
        <v>5.1450131206047599E-2</v>
      </c>
      <c r="N74" s="49">
        <v>2.0514548076805202E-2</v>
      </c>
      <c r="O74" s="49">
        <v>1.11090650157593E-2</v>
      </c>
      <c r="P74" s="49">
        <v>7.2434003840712398E-3</v>
      </c>
      <c r="Q74" t="s">
        <v>491</v>
      </c>
      <c r="R74" s="172">
        <f t="shared" si="7"/>
        <v>0.47751757865869837</v>
      </c>
      <c r="S74" s="172">
        <f t="shared" si="7"/>
        <v>0.48056834891177719</v>
      </c>
      <c r="T74" s="172">
        <f t="shared" si="7"/>
        <v>0.38614138853631624</v>
      </c>
      <c r="U74" s="172">
        <f t="shared" si="7"/>
        <v>0.60841747502942922</v>
      </c>
      <c r="V74" s="172">
        <f t="shared" si="7"/>
        <v>0.14646427789748689</v>
      </c>
    </row>
    <row r="75" spans="1:22" x14ac:dyDescent="0.3">
      <c r="A75" t="s">
        <v>486</v>
      </c>
      <c r="B75" t="s">
        <v>480</v>
      </c>
      <c r="C75" t="s">
        <v>896</v>
      </c>
      <c r="D75" s="1">
        <v>0.86399999999999999</v>
      </c>
      <c r="E75" t="s">
        <v>73</v>
      </c>
      <c r="F75" s="49">
        <v>1.4025791316592E-2</v>
      </c>
      <c r="G75" s="49">
        <v>0.20592010084009901</v>
      </c>
      <c r="H75" s="49">
        <v>0.36558636066919398</v>
      </c>
      <c r="I75" s="49">
        <v>0.15136901164219899</v>
      </c>
      <c r="J75" s="49">
        <v>0.166336484141174</v>
      </c>
      <c r="K75" t="s">
        <v>468</v>
      </c>
      <c r="L75" s="49">
        <v>6.14730207800461E-3</v>
      </c>
      <c r="M75" s="49">
        <v>5.9656689597931002E-2</v>
      </c>
      <c r="N75" s="49">
        <v>8.1061406312233797E-2</v>
      </c>
      <c r="O75" s="49">
        <v>4.8795329728926397E-2</v>
      </c>
      <c r="P75" s="49">
        <v>1.4442748832805699E-2</v>
      </c>
      <c r="Q75" t="s">
        <v>491</v>
      </c>
      <c r="R75" s="172">
        <f t="shared" si="7"/>
        <v>0.43828557970433907</v>
      </c>
      <c r="S75" s="172">
        <f t="shared" si="7"/>
        <v>0.28970794669654709</v>
      </c>
      <c r="T75" s="172">
        <f t="shared" si="7"/>
        <v>0.22172984288542252</v>
      </c>
      <c r="U75" s="172">
        <f t="shared" si="7"/>
        <v>0.3223600999936973</v>
      </c>
      <c r="V75" s="172">
        <f t="shared" si="7"/>
        <v>8.6828508534229756E-2</v>
      </c>
    </row>
    <row r="76" spans="1:22" x14ac:dyDescent="0.3">
      <c r="A76" t="s">
        <v>487</v>
      </c>
      <c r="B76" t="s">
        <v>481</v>
      </c>
      <c r="C76" t="s">
        <v>897</v>
      </c>
      <c r="D76" s="1">
        <v>1.6140000000000001</v>
      </c>
      <c r="E76" t="s">
        <v>73</v>
      </c>
      <c r="F76" s="49">
        <v>1.34434786850495E-2</v>
      </c>
      <c r="G76" s="49">
        <v>0.22944608153985499</v>
      </c>
      <c r="H76" s="49">
        <v>0.21712094358569101</v>
      </c>
      <c r="I76" s="49">
        <v>8.5050381246783602E-2</v>
      </c>
      <c r="J76" s="49">
        <v>0.16393905655274399</v>
      </c>
      <c r="K76" t="s">
        <v>468</v>
      </c>
      <c r="L76" s="49">
        <v>5.86009486071647E-3</v>
      </c>
      <c r="M76" s="49">
        <v>6.3700579307690103E-2</v>
      </c>
      <c r="N76" s="49">
        <v>4.3288769438388899E-2</v>
      </c>
      <c r="O76" s="49">
        <v>3.0855671248476699E-2</v>
      </c>
      <c r="P76" s="49">
        <v>1.6321852977557099E-2</v>
      </c>
      <c r="Q76" t="s">
        <v>491</v>
      </c>
      <c r="R76" s="172">
        <f t="shared" si="7"/>
        <v>0.43590613694604841</v>
      </c>
      <c r="S76" s="172">
        <f t="shared" si="7"/>
        <v>0.27762766258714799</v>
      </c>
      <c r="T76" s="172">
        <f t="shared" si="7"/>
        <v>0.19937629564189943</v>
      </c>
      <c r="U76" s="172">
        <f t="shared" si="7"/>
        <v>0.36279286225590651</v>
      </c>
      <c r="V76" s="172">
        <f t="shared" si="7"/>
        <v>9.9560491079841495E-2</v>
      </c>
    </row>
    <row r="77" spans="1:22" x14ac:dyDescent="0.3">
      <c r="A77" t="s">
        <v>488</v>
      </c>
      <c r="B77" t="s">
        <v>482</v>
      </c>
      <c r="C77" t="s">
        <v>898</v>
      </c>
      <c r="D77" s="1">
        <v>2.202</v>
      </c>
      <c r="E77" t="s">
        <v>73</v>
      </c>
      <c r="F77" s="49">
        <v>1.14887551989926E-2</v>
      </c>
      <c r="G77" s="49">
        <v>0.18584619032663499</v>
      </c>
      <c r="H77" s="49">
        <v>0.119894501350223</v>
      </c>
      <c r="I77" s="49">
        <v>4.5367490147476798E-2</v>
      </c>
      <c r="J77" s="49">
        <v>9.9556079761848604E-2</v>
      </c>
      <c r="K77" t="s">
        <v>468</v>
      </c>
      <c r="L77" s="49">
        <v>5.1601672042984603E-3</v>
      </c>
      <c r="M77" s="49">
        <v>5.6193620983078299E-2</v>
      </c>
      <c r="N77" s="49">
        <v>3.89041748795345E-2</v>
      </c>
      <c r="O77" s="49">
        <v>1.9723671149819499E-2</v>
      </c>
      <c r="P77" s="49">
        <v>1.10010242795281E-2</v>
      </c>
      <c r="Q77" t="s">
        <v>491</v>
      </c>
      <c r="R77" s="172">
        <f t="shared" si="7"/>
        <v>0.44914937388089993</v>
      </c>
      <c r="S77" s="172">
        <f t="shared" si="7"/>
        <v>0.30236627871851929</v>
      </c>
      <c r="T77" s="172">
        <f t="shared" si="7"/>
        <v>0.32448673159657077</v>
      </c>
      <c r="U77" s="172">
        <f t="shared" si="7"/>
        <v>0.43475341231581155</v>
      </c>
      <c r="V77" s="172">
        <f t="shared" si="7"/>
        <v>0.11050077811263777</v>
      </c>
    </row>
    <row r="78" spans="1:22" x14ac:dyDescent="0.3">
      <c r="R78" s="103">
        <f>MEDIAN(R72:R77)*100</f>
        <v>46.333347626979915</v>
      </c>
      <c r="S78" s="103">
        <f>MEDIAN(S72:S77)*100</f>
        <v>38.364219826466694</v>
      </c>
      <c r="T78" s="103">
        <f>MEDIAN(T72:T77)*100</f>
        <v>29.10447462617034</v>
      </c>
      <c r="U78" s="103">
        <f>MEDIAN(U72:U77)*100</f>
        <v>51.284597081533548</v>
      </c>
      <c r="V78" s="103">
        <f>MEDIAN(V72:V77)*100</f>
        <v>12.514359981525644</v>
      </c>
    </row>
    <row r="79" spans="1:22" x14ac:dyDescent="0.3">
      <c r="R79" s="181">
        <f>_xlfn.STDEV.S(R73:R77)*100/SQRT(6)</f>
        <v>3.5210232345928705</v>
      </c>
      <c r="S79" s="181">
        <f>_xlfn.STDEV.S(S72:S77)*100/SQRT(6)</f>
        <v>7.170902729586512</v>
      </c>
      <c r="T79" s="181">
        <f>_xlfn.STDEV.S(T72:T77)*100/SQRT(6)</f>
        <v>7.9681545773591935</v>
      </c>
      <c r="U79" s="181">
        <f>_xlfn.STDEV.S(U73:U77)*100/SQRT(5)</f>
        <v>5.8365142592491406</v>
      </c>
      <c r="V79" s="181">
        <f>_xlfn.STDEV.S(V72:V77)*100/SQRT(6)</f>
        <v>4.097365252381211</v>
      </c>
    </row>
    <row r="80" spans="1:22" x14ac:dyDescent="0.3">
      <c r="F80" t="s">
        <v>431</v>
      </c>
      <c r="G80" t="s">
        <v>432</v>
      </c>
      <c r="H80" t="s">
        <v>433</v>
      </c>
      <c r="I80" t="s">
        <v>434</v>
      </c>
      <c r="J80" t="s">
        <v>435</v>
      </c>
      <c r="L80" t="s">
        <v>431</v>
      </c>
      <c r="M80" t="s">
        <v>432</v>
      </c>
      <c r="N80" t="s">
        <v>433</v>
      </c>
      <c r="O80" t="s">
        <v>434</v>
      </c>
      <c r="P80" t="s">
        <v>435</v>
      </c>
      <c r="R80" t="s">
        <v>431</v>
      </c>
      <c r="S80" t="s">
        <v>432</v>
      </c>
      <c r="T80" t="s">
        <v>433</v>
      </c>
      <c r="U80" t="s">
        <v>434</v>
      </c>
      <c r="V80" t="s">
        <v>435</v>
      </c>
    </row>
    <row r="81" spans="1:22" x14ac:dyDescent="0.3">
      <c r="A81" s="1" t="s">
        <v>489</v>
      </c>
      <c r="B81" s="1" t="s">
        <v>490</v>
      </c>
      <c r="C81" s="1" t="s">
        <v>879</v>
      </c>
      <c r="D81" s="1" t="s">
        <v>874</v>
      </c>
      <c r="F81" s="90" t="s">
        <v>447</v>
      </c>
      <c r="G81" s="91" t="s">
        <v>446</v>
      </c>
      <c r="H81" s="92" t="s">
        <v>448</v>
      </c>
      <c r="I81" s="124" t="s">
        <v>449</v>
      </c>
      <c r="J81" s="123" t="s">
        <v>450</v>
      </c>
      <c r="L81" s="90" t="s">
        <v>447</v>
      </c>
      <c r="M81" s="91" t="s">
        <v>446</v>
      </c>
      <c r="N81" s="92" t="s">
        <v>448</v>
      </c>
      <c r="O81" s="124" t="s">
        <v>449</v>
      </c>
      <c r="P81" s="123" t="s">
        <v>450</v>
      </c>
      <c r="R81" s="90" t="s">
        <v>447</v>
      </c>
      <c r="S81" s="91" t="s">
        <v>446</v>
      </c>
      <c r="T81" s="92" t="s">
        <v>448</v>
      </c>
      <c r="U81" s="124" t="s">
        <v>449</v>
      </c>
      <c r="V81" s="123" t="s">
        <v>450</v>
      </c>
    </row>
    <row r="82" spans="1:22" x14ac:dyDescent="0.3">
      <c r="A82" t="s">
        <v>483</v>
      </c>
      <c r="B82" t="s">
        <v>477</v>
      </c>
      <c r="C82" t="s">
        <v>893</v>
      </c>
      <c r="D82" s="1">
        <v>0.48199999999999998</v>
      </c>
      <c r="E82" t="s">
        <v>73</v>
      </c>
      <c r="F82" s="49">
        <v>1.4262003537352901E-2</v>
      </c>
      <c r="G82" s="49">
        <v>4.97235465951745E-2</v>
      </c>
      <c r="H82" s="49">
        <v>2.0803717873473401E-2</v>
      </c>
      <c r="I82" s="173">
        <v>1E-3</v>
      </c>
      <c r="J82" s="49">
        <v>1.1037878352065499E-2</v>
      </c>
      <c r="K82" t="s">
        <v>468</v>
      </c>
      <c r="L82" s="49">
        <v>1.3183117314284299E-2</v>
      </c>
      <c r="M82" s="49">
        <v>3.1356600407756799E-2</v>
      </c>
      <c r="N82" s="49">
        <v>1.3275281165416101E-2</v>
      </c>
      <c r="O82" s="49">
        <v>4.7366470791512299E-3</v>
      </c>
      <c r="P82" s="49">
        <v>4.11063636055685E-3</v>
      </c>
      <c r="Q82" t="s">
        <v>491</v>
      </c>
      <c r="R82" s="172">
        <f t="shared" ref="R82:V87" si="8">L82/F82</f>
        <v>0.92435240811412334</v>
      </c>
      <c r="S82" s="172">
        <f t="shared" si="8"/>
        <v>0.63061874212327107</v>
      </c>
      <c r="T82" s="172">
        <f t="shared" si="8"/>
        <v>0.63812061123667085</v>
      </c>
      <c r="U82" s="172">
        <f t="shared" si="8"/>
        <v>4.7366470791512301</v>
      </c>
      <c r="V82" s="172">
        <f t="shared" si="8"/>
        <v>0.37241181950402941</v>
      </c>
    </row>
    <row r="83" spans="1:22" x14ac:dyDescent="0.3">
      <c r="A83" t="s">
        <v>484</v>
      </c>
      <c r="B83" t="s">
        <v>478</v>
      </c>
      <c r="C83" t="s">
        <v>894</v>
      </c>
      <c r="D83" s="1">
        <v>0.56100000000000005</v>
      </c>
      <c r="E83" t="s">
        <v>73</v>
      </c>
      <c r="F83" s="49">
        <v>2.6488744784328298E-2</v>
      </c>
      <c r="G83" s="49">
        <v>8.4250922957554597E-2</v>
      </c>
      <c r="H83" s="49">
        <v>5.9960905440304697E-2</v>
      </c>
      <c r="I83" s="49">
        <v>1.8006039737730201E-2</v>
      </c>
      <c r="J83" s="49">
        <v>3.8013952716845302E-2</v>
      </c>
      <c r="K83" t="s">
        <v>468</v>
      </c>
      <c r="L83" s="49">
        <v>1.3607955607908199E-2</v>
      </c>
      <c r="M83" s="49">
        <v>4.17386331405648E-2</v>
      </c>
      <c r="N83" s="49">
        <v>1.8718390697309201E-2</v>
      </c>
      <c r="O83" s="49">
        <v>7.8746014079144906E-3</v>
      </c>
      <c r="P83" s="49">
        <v>5.6441410112975402E-3</v>
      </c>
      <c r="Q83" t="s">
        <v>491</v>
      </c>
      <c r="R83" s="172">
        <f t="shared" si="8"/>
        <v>0.51372595110505803</v>
      </c>
      <c r="S83" s="172">
        <f t="shared" si="8"/>
        <v>0.49540861601709241</v>
      </c>
      <c r="T83" s="172">
        <f t="shared" si="8"/>
        <v>0.3121765850574868</v>
      </c>
      <c r="U83" s="172">
        <f t="shared" si="8"/>
        <v>0.43733111348265546</v>
      </c>
      <c r="V83" s="172">
        <f t="shared" si="8"/>
        <v>0.14847550985658026</v>
      </c>
    </row>
    <row r="84" spans="1:22" x14ac:dyDescent="0.3">
      <c r="A84" t="s">
        <v>485</v>
      </c>
      <c r="B84" t="s">
        <v>479</v>
      </c>
      <c r="C84" t="s">
        <v>895</v>
      </c>
      <c r="D84" s="1">
        <v>0.65500000000000003</v>
      </c>
      <c r="E84" t="s">
        <v>73</v>
      </c>
      <c r="F84" s="49">
        <v>3.1500239355469299E-2</v>
      </c>
      <c r="G84" s="49">
        <v>0.102990446534747</v>
      </c>
      <c r="H84" s="49">
        <v>6.78388260165914E-2</v>
      </c>
      <c r="I84" s="49">
        <v>1.8409441326129199E-2</v>
      </c>
      <c r="J84" s="49">
        <v>4.9496664800646802E-2</v>
      </c>
      <c r="K84" t="s">
        <v>468</v>
      </c>
      <c r="L84" s="49">
        <v>1.41339206695573E-2</v>
      </c>
      <c r="M84" s="49">
        <v>5.2132452858571002E-2</v>
      </c>
      <c r="N84" s="49">
        <v>2.7909264229418699E-2</v>
      </c>
      <c r="O84" s="49">
        <v>8.0561554386088998E-3</v>
      </c>
      <c r="P84" s="49">
        <v>7.3771837136254901E-3</v>
      </c>
      <c r="Q84" t="s">
        <v>491</v>
      </c>
      <c r="R84" s="172">
        <f t="shared" si="8"/>
        <v>0.44869248484308</v>
      </c>
      <c r="S84" s="172">
        <f t="shared" si="8"/>
        <v>0.50618726894229471</v>
      </c>
      <c r="T84" s="172">
        <f t="shared" si="8"/>
        <v>0.41140547188409343</v>
      </c>
      <c r="U84" s="172">
        <f t="shared" si="8"/>
        <v>0.43760999021597147</v>
      </c>
      <c r="V84" s="172">
        <f t="shared" si="8"/>
        <v>0.14904405667205861</v>
      </c>
    </row>
    <row r="85" spans="1:22" x14ac:dyDescent="0.3">
      <c r="A85" t="s">
        <v>486</v>
      </c>
      <c r="B85" t="s">
        <v>480</v>
      </c>
      <c r="C85" t="s">
        <v>896</v>
      </c>
      <c r="D85" s="1">
        <v>0.86399999999999999</v>
      </c>
      <c r="E85" t="s">
        <v>73</v>
      </c>
      <c r="F85" s="49">
        <v>3.2541331259895397E-2</v>
      </c>
      <c r="G85" s="49">
        <v>0.20063130123484901</v>
      </c>
      <c r="H85" s="49">
        <v>0.32908436611765801</v>
      </c>
      <c r="I85" s="49">
        <v>0.155511190764521</v>
      </c>
      <c r="J85" s="49">
        <v>0.175185793385222</v>
      </c>
      <c r="K85" t="s">
        <v>468</v>
      </c>
      <c r="L85" s="49">
        <v>1.34688016999274E-2</v>
      </c>
      <c r="M85" s="49">
        <v>5.7618934114807098E-2</v>
      </c>
      <c r="N85" s="49">
        <v>7.6185447240611798E-2</v>
      </c>
      <c r="O85" s="49">
        <v>4.7614533078583599E-2</v>
      </c>
      <c r="P85" s="49">
        <v>1.75087378277771E-2</v>
      </c>
      <c r="Q85" t="s">
        <v>491</v>
      </c>
      <c r="R85" s="172">
        <f t="shared" si="8"/>
        <v>0.41389830036015235</v>
      </c>
      <c r="S85" s="172">
        <f t="shared" si="8"/>
        <v>0.28718815937579573</v>
      </c>
      <c r="T85" s="172">
        <f t="shared" si="8"/>
        <v>0.23150734305431303</v>
      </c>
      <c r="U85" s="172">
        <f t="shared" si="8"/>
        <v>0.30618075036595105</v>
      </c>
      <c r="V85" s="172">
        <f t="shared" si="8"/>
        <v>9.9943822438138805E-2</v>
      </c>
    </row>
    <row r="86" spans="1:22" x14ac:dyDescent="0.3">
      <c r="A86" t="s">
        <v>487</v>
      </c>
      <c r="B86" t="s">
        <v>481</v>
      </c>
      <c r="C86" t="s">
        <v>897</v>
      </c>
      <c r="D86" s="1">
        <v>1.6140000000000001</v>
      </c>
      <c r="E86" t="s">
        <v>73</v>
      </c>
      <c r="F86" s="49">
        <v>3.0612660406943701E-2</v>
      </c>
      <c r="G86" s="49">
        <v>0.220066065080565</v>
      </c>
      <c r="H86" s="49">
        <v>0.24877990025095001</v>
      </c>
      <c r="I86" s="49">
        <v>8.5744211676280505E-2</v>
      </c>
      <c r="J86" s="49">
        <v>0.16491907691191199</v>
      </c>
      <c r="K86" t="s">
        <v>468</v>
      </c>
      <c r="L86" s="49">
        <v>1.2648583741896801E-2</v>
      </c>
      <c r="M86" s="49">
        <v>6.7089305340230401E-2</v>
      </c>
      <c r="N86" s="49">
        <v>5.7503484543176699E-2</v>
      </c>
      <c r="O86" s="49">
        <v>2.89195625936314E-2</v>
      </c>
      <c r="P86" s="49">
        <v>1.79732681273095E-2</v>
      </c>
      <c r="Q86" t="s">
        <v>491</v>
      </c>
      <c r="R86" s="172">
        <f t="shared" si="8"/>
        <v>0.41318146066873013</v>
      </c>
      <c r="S86" s="172">
        <f t="shared" si="8"/>
        <v>0.30485983977433945</v>
      </c>
      <c r="T86" s="172">
        <f t="shared" si="8"/>
        <v>0.23114200337395269</v>
      </c>
      <c r="U86" s="172">
        <f t="shared" si="8"/>
        <v>0.33727714125840452</v>
      </c>
      <c r="V86" s="172">
        <f t="shared" si="8"/>
        <v>0.10898234736609361</v>
      </c>
    </row>
    <row r="87" spans="1:22" x14ac:dyDescent="0.3">
      <c r="A87" t="s">
        <v>488</v>
      </c>
      <c r="B87" t="s">
        <v>482</v>
      </c>
      <c r="C87" t="s">
        <v>898</v>
      </c>
      <c r="D87" s="1">
        <v>2.202</v>
      </c>
      <c r="E87" t="s">
        <v>73</v>
      </c>
      <c r="F87" s="49">
        <v>2.6576040005858E-2</v>
      </c>
      <c r="G87" s="49">
        <v>0.17586362423468099</v>
      </c>
      <c r="H87" s="49">
        <v>0.14746157827475101</v>
      </c>
      <c r="I87" s="49">
        <v>4.5253168123410403E-2</v>
      </c>
      <c r="J87" s="49">
        <v>0.10170743319483901</v>
      </c>
      <c r="K87" t="s">
        <v>468</v>
      </c>
      <c r="L87" s="49">
        <v>1.11853602134382E-2</v>
      </c>
      <c r="M87" s="49">
        <v>5.8724892398977803E-2</v>
      </c>
      <c r="N87" s="49">
        <v>4.75687889537727E-2</v>
      </c>
      <c r="O87" s="49">
        <v>1.70382126104364E-2</v>
      </c>
      <c r="P87" s="49">
        <v>1.29444129440943E-2</v>
      </c>
      <c r="Q87" t="s">
        <v>491</v>
      </c>
      <c r="R87" s="172">
        <f t="shared" si="8"/>
        <v>0.42088137325849434</v>
      </c>
      <c r="S87" s="172">
        <f t="shared" si="8"/>
        <v>0.3339229056294919</v>
      </c>
      <c r="T87" s="172">
        <f t="shared" si="8"/>
        <v>0.3225842928735127</v>
      </c>
      <c r="U87" s="172">
        <f t="shared" si="8"/>
        <v>0.37650872451562523</v>
      </c>
      <c r="V87" s="172">
        <f t="shared" si="8"/>
        <v>0.12727106109635991</v>
      </c>
    </row>
    <row r="88" spans="1:22" x14ac:dyDescent="0.3">
      <c r="R88" s="103">
        <f>MEDIAN(R82:R87)*100</f>
        <v>43.478692905078717</v>
      </c>
      <c r="S88" s="103">
        <f>MEDIAN(S82:S87)*100</f>
        <v>41.466576082329212</v>
      </c>
      <c r="T88" s="103">
        <f>MEDIAN(T82:T87)*100</f>
        <v>31.738043896549971</v>
      </c>
      <c r="U88" s="103">
        <f>MEDIAN(U82:U87)*100</f>
        <v>40.691991899914036</v>
      </c>
      <c r="V88" s="103">
        <f>MEDIAN(V82:V87)*100</f>
        <v>13.787328547647009</v>
      </c>
    </row>
    <row r="89" spans="1:22" x14ac:dyDescent="0.3">
      <c r="R89" s="181">
        <f>_xlfn.STDEV.S(R83:R87)*100/SQRT(6)</f>
        <v>1.7387235173960349</v>
      </c>
      <c r="S89" s="181">
        <f>_xlfn.STDEV.S(S82:S87)*100/SQRT(6)</f>
        <v>5.643209619801163</v>
      </c>
      <c r="T89" s="181">
        <f>_xlfn.STDEV.S(T82:T87)*100/SQRT(6)</f>
        <v>6.2387742901565613</v>
      </c>
      <c r="U89" s="181">
        <f>_xlfn.STDEV.S(U83:U87)*100/SQRT(5)</f>
        <v>2.6350801280504781</v>
      </c>
      <c r="V89" s="181">
        <f>_xlfn.STDEV.S(V82:V87)*100/SQRT(6)</f>
        <v>4.1752331219397361</v>
      </c>
    </row>
    <row r="90" spans="1:22" x14ac:dyDescent="0.3">
      <c r="F90" t="s">
        <v>436</v>
      </c>
      <c r="G90" t="s">
        <v>437</v>
      </c>
      <c r="H90" t="s">
        <v>438</v>
      </c>
      <c r="I90" t="s">
        <v>439</v>
      </c>
      <c r="J90" t="s">
        <v>440</v>
      </c>
      <c r="L90" t="s">
        <v>436</v>
      </c>
      <c r="M90" t="s">
        <v>437</v>
      </c>
      <c r="N90" t="s">
        <v>438</v>
      </c>
      <c r="O90" t="s">
        <v>439</v>
      </c>
      <c r="P90" t="s">
        <v>440</v>
      </c>
      <c r="R90" t="s">
        <v>436</v>
      </c>
      <c r="S90" t="s">
        <v>437</v>
      </c>
      <c r="T90" t="s">
        <v>438</v>
      </c>
      <c r="U90" t="s">
        <v>439</v>
      </c>
      <c r="V90" t="s">
        <v>440</v>
      </c>
    </row>
    <row r="91" spans="1:22" x14ac:dyDescent="0.3">
      <c r="A91" s="1" t="s">
        <v>489</v>
      </c>
      <c r="B91" s="1" t="s">
        <v>490</v>
      </c>
      <c r="C91" s="1" t="s">
        <v>879</v>
      </c>
      <c r="D91" s="1" t="s">
        <v>874</v>
      </c>
      <c r="F91" s="90" t="s">
        <v>447</v>
      </c>
      <c r="G91" s="91" t="s">
        <v>446</v>
      </c>
      <c r="H91" s="92" t="s">
        <v>448</v>
      </c>
      <c r="I91" s="124" t="s">
        <v>449</v>
      </c>
      <c r="J91" s="123" t="s">
        <v>450</v>
      </c>
      <c r="L91" s="90" t="s">
        <v>447</v>
      </c>
      <c r="M91" s="91" t="s">
        <v>446</v>
      </c>
      <c r="N91" s="92" t="s">
        <v>448</v>
      </c>
      <c r="O91" s="124" t="s">
        <v>449</v>
      </c>
      <c r="P91" s="123" t="s">
        <v>450</v>
      </c>
      <c r="R91" s="90" t="s">
        <v>447</v>
      </c>
      <c r="S91" s="91" t="s">
        <v>446</v>
      </c>
      <c r="T91" s="92" t="s">
        <v>448</v>
      </c>
      <c r="U91" s="124" t="s">
        <v>449</v>
      </c>
      <c r="V91" s="123" t="s">
        <v>450</v>
      </c>
    </row>
    <row r="92" spans="1:22" x14ac:dyDescent="0.3">
      <c r="A92" t="s">
        <v>483</v>
      </c>
      <c r="B92" t="s">
        <v>492</v>
      </c>
      <c r="C92" t="s">
        <v>899</v>
      </c>
      <c r="D92" s="23">
        <v>0.49</v>
      </c>
      <c r="E92" t="s">
        <v>73</v>
      </c>
      <c r="F92" s="49">
        <v>2.9260571418102899E-2</v>
      </c>
      <c r="G92" s="49">
        <v>7.4062072276795801E-2</v>
      </c>
      <c r="H92" s="49">
        <v>3.4068362338901197E-2</v>
      </c>
      <c r="I92" s="49">
        <v>1.20903444602008E-2</v>
      </c>
      <c r="J92" s="49">
        <v>2.71660921993979E-2</v>
      </c>
      <c r="K92" t="s">
        <v>468</v>
      </c>
      <c r="L92" s="49">
        <v>1.48664149479814E-2</v>
      </c>
      <c r="M92" s="49">
        <v>4.46826751887121E-2</v>
      </c>
      <c r="N92" s="49">
        <v>1.6683972367049899E-2</v>
      </c>
      <c r="O92" s="49">
        <v>6.2246355014089604E-3</v>
      </c>
      <c r="P92" s="49">
        <v>4.6877024447177802E-3</v>
      </c>
      <c r="Q92" t="s">
        <v>491</v>
      </c>
      <c r="R92" s="172">
        <f t="shared" ref="R92:R101" si="9">L92/F92</f>
        <v>0.50806987791030844</v>
      </c>
      <c r="S92" s="172">
        <f t="shared" ref="S92:S101" si="10">M92/G92</f>
        <v>0.60331386653235075</v>
      </c>
      <c r="T92" s="172">
        <f t="shared" ref="T92:T101" si="11">N92/H92</f>
        <v>0.48972040983605453</v>
      </c>
      <c r="U92" s="172">
        <f t="shared" ref="U92:U101" si="12">O92/I92</f>
        <v>0.51484352012461854</v>
      </c>
      <c r="V92" s="172">
        <f t="shared" ref="V92:V101" si="13">P92/J92</f>
        <v>0.17255711312139613</v>
      </c>
    </row>
    <row r="93" spans="1:22" x14ac:dyDescent="0.3">
      <c r="A93" t="s">
        <v>484</v>
      </c>
      <c r="B93" t="s">
        <v>493</v>
      </c>
      <c r="C93" t="s">
        <v>510</v>
      </c>
      <c r="D93" s="23">
        <v>0.56000000000000005</v>
      </c>
      <c r="E93" t="s">
        <v>73</v>
      </c>
      <c r="F93" s="49">
        <v>3.2471114973711801E-2</v>
      </c>
      <c r="G93" s="49">
        <v>9.8386752113271206E-2</v>
      </c>
      <c r="H93" s="49">
        <v>6.6175570121273397E-2</v>
      </c>
      <c r="I93" s="49">
        <v>3.0840749549594999E-2</v>
      </c>
      <c r="J93" s="49">
        <v>4.6820931610213501E-2</v>
      </c>
      <c r="K93" t="s">
        <v>468</v>
      </c>
      <c r="L93" s="49">
        <v>1.4595787964911001E-2</v>
      </c>
      <c r="M93" s="49">
        <v>5.3785605245846697E-2</v>
      </c>
      <c r="N93" s="49">
        <v>2.09803997867932E-2</v>
      </c>
      <c r="O93" s="49">
        <v>9.1164632471766004E-3</v>
      </c>
      <c r="P93" s="49">
        <v>5.8417024356931099E-3</v>
      </c>
      <c r="Q93" t="s">
        <v>491</v>
      </c>
      <c r="R93" s="172">
        <f t="shared" si="9"/>
        <v>0.4495006708801827</v>
      </c>
      <c r="S93" s="172">
        <f t="shared" si="10"/>
        <v>0.54667527985804565</v>
      </c>
      <c r="T93" s="172">
        <f t="shared" si="11"/>
        <v>0.31704146633484992</v>
      </c>
      <c r="U93" s="172">
        <f t="shared" si="12"/>
        <v>0.29559797930709886</v>
      </c>
      <c r="V93" s="172">
        <f t="shared" si="13"/>
        <v>0.12476689879487154</v>
      </c>
    </row>
    <row r="94" spans="1:22" x14ac:dyDescent="0.3">
      <c r="A94" t="s">
        <v>485</v>
      </c>
      <c r="B94" t="s">
        <v>494</v>
      </c>
      <c r="C94" t="s">
        <v>900</v>
      </c>
      <c r="D94" s="1">
        <v>0.66500000000000004</v>
      </c>
      <c r="E94" t="s">
        <v>73</v>
      </c>
      <c r="F94" s="49">
        <v>3.3507418030701099E-2</v>
      </c>
      <c r="G94" s="49">
        <v>0.11315093889595799</v>
      </c>
      <c r="H94" s="49">
        <v>6.7284396864825402E-2</v>
      </c>
      <c r="I94" s="49">
        <v>2.6105756548844401E-2</v>
      </c>
      <c r="J94" s="49">
        <v>5.4065665970543499E-2</v>
      </c>
      <c r="K94" t="s">
        <v>468</v>
      </c>
      <c r="L94" s="49">
        <v>1.43775199334523E-2</v>
      </c>
      <c r="M94" s="49">
        <v>6.4684760099452704E-2</v>
      </c>
      <c r="N94" s="49">
        <v>3.10609292230908E-2</v>
      </c>
      <c r="O94" s="49">
        <v>1.00936382144292E-2</v>
      </c>
      <c r="P94" s="49">
        <v>7.7065641000767801E-3</v>
      </c>
      <c r="Q94" t="s">
        <v>491</v>
      </c>
      <c r="R94" s="172">
        <f t="shared" si="9"/>
        <v>0.42908468567404773</v>
      </c>
      <c r="S94" s="172">
        <f t="shared" si="10"/>
        <v>0.57166790422243141</v>
      </c>
      <c r="T94" s="172">
        <f t="shared" si="11"/>
        <v>0.46163643683233602</v>
      </c>
      <c r="U94" s="172">
        <f t="shared" si="12"/>
        <v>0.38664415626276905</v>
      </c>
      <c r="V94" s="172">
        <f t="shared" si="13"/>
        <v>0.14254081516864203</v>
      </c>
    </row>
    <row r="95" spans="1:22" x14ac:dyDescent="0.3">
      <c r="A95" t="s">
        <v>502</v>
      </c>
      <c r="B95" t="s">
        <v>495</v>
      </c>
      <c r="C95" t="s">
        <v>901</v>
      </c>
      <c r="D95" s="1">
        <v>0.70499999999999996</v>
      </c>
      <c r="E95" t="s">
        <v>73</v>
      </c>
      <c r="F95" s="49">
        <v>3.6846879535108103E-2</v>
      </c>
      <c r="G95" s="49">
        <v>0.137074345745517</v>
      </c>
      <c r="H95" s="49">
        <v>0.118740400849226</v>
      </c>
      <c r="I95" s="49">
        <v>6.4781977163751905E-2</v>
      </c>
      <c r="J95" s="49">
        <v>8.4244883432694206E-2</v>
      </c>
      <c r="K95" t="s">
        <v>468</v>
      </c>
      <c r="L95" s="49">
        <v>1.4611219674570099E-2</v>
      </c>
      <c r="M95" s="49">
        <v>5.9120800306097503E-2</v>
      </c>
      <c r="N95" s="49">
        <v>2.9153494479386598E-2</v>
      </c>
      <c r="O95" s="49">
        <v>1.4398950036049501E-2</v>
      </c>
      <c r="P95" s="49">
        <v>8.3954292624111998E-3</v>
      </c>
      <c r="Q95" t="s">
        <v>491</v>
      </c>
      <c r="R95" s="172">
        <f t="shared" si="9"/>
        <v>0.39653886187698395</v>
      </c>
      <c r="S95" s="172">
        <f t="shared" si="10"/>
        <v>0.43130463242084116</v>
      </c>
      <c r="T95" s="172">
        <f t="shared" si="11"/>
        <v>0.24552295824236836</v>
      </c>
      <c r="U95" s="172">
        <f t="shared" si="12"/>
        <v>0.22226783847076353</v>
      </c>
      <c r="V95" s="172">
        <f t="shared" si="13"/>
        <v>9.9655064145451194E-2</v>
      </c>
    </row>
    <row r="96" spans="1:22" x14ac:dyDescent="0.3">
      <c r="A96" t="s">
        <v>503</v>
      </c>
      <c r="B96" t="s">
        <v>496</v>
      </c>
      <c r="C96" t="s">
        <v>902</v>
      </c>
      <c r="D96" s="1">
        <v>0.74</v>
      </c>
      <c r="E96" t="s">
        <v>73</v>
      </c>
      <c r="F96" s="49">
        <v>3.2135749416857901E-2</v>
      </c>
      <c r="G96" s="49">
        <v>0.174391742168476</v>
      </c>
      <c r="H96" s="49">
        <v>0.238873995392894</v>
      </c>
      <c r="I96" s="49">
        <v>0.146528675905085</v>
      </c>
      <c r="J96" s="49">
        <v>0.13608730683134099</v>
      </c>
      <c r="K96" t="s">
        <v>468</v>
      </c>
      <c r="L96" s="49">
        <v>1.34078445420953E-2</v>
      </c>
      <c r="M96" s="49">
        <v>5.6666163947506301E-2</v>
      </c>
      <c r="N96" s="49">
        <v>5.2704830923489598E-2</v>
      </c>
      <c r="O96" s="49">
        <v>2.9599189612598002E-2</v>
      </c>
      <c r="P96" s="49">
        <v>1.2335963822287001E-2</v>
      </c>
      <c r="Q96" t="s">
        <v>491</v>
      </c>
      <c r="R96" s="172">
        <f t="shared" si="9"/>
        <v>0.41722520200701335</v>
      </c>
      <c r="S96" s="172">
        <f t="shared" si="10"/>
        <v>0.32493605054281971</v>
      </c>
      <c r="T96" s="172">
        <f t="shared" si="11"/>
        <v>0.22063862931920239</v>
      </c>
      <c r="U96" s="172">
        <f t="shared" si="12"/>
        <v>0.2020027099116837</v>
      </c>
      <c r="V96" s="172">
        <f t="shared" si="13"/>
        <v>9.0647424139089661E-2</v>
      </c>
    </row>
    <row r="97" spans="1:22" x14ac:dyDescent="0.3">
      <c r="A97" t="s">
        <v>504</v>
      </c>
      <c r="B97" t="s">
        <v>497</v>
      </c>
      <c r="C97" t="s">
        <v>903</v>
      </c>
      <c r="D97" s="1">
        <v>0.78300000000000003</v>
      </c>
      <c r="E97" t="s">
        <v>73</v>
      </c>
      <c r="F97" s="49">
        <v>3.1441931831989199E-2</v>
      </c>
      <c r="G97" s="49">
        <v>0.189767463007777</v>
      </c>
      <c r="H97" s="49">
        <v>0.28551296261765802</v>
      </c>
      <c r="I97" s="49">
        <v>0.169167953861496</v>
      </c>
      <c r="J97" s="49">
        <v>0.15591035373120901</v>
      </c>
      <c r="K97" t="s">
        <v>468</v>
      </c>
      <c r="L97" s="49">
        <v>1.27082512520971E-2</v>
      </c>
      <c r="M97" s="49">
        <v>6.08709388507735E-2</v>
      </c>
      <c r="N97" s="49">
        <v>6.8755153978962799E-2</v>
      </c>
      <c r="O97" s="49">
        <v>3.5132924540158698E-2</v>
      </c>
      <c r="P97" s="49">
        <v>1.4930714110822099E-2</v>
      </c>
      <c r="Q97" t="s">
        <v>491</v>
      </c>
      <c r="R97" s="172">
        <f t="shared" si="9"/>
        <v>0.40418162980582684</v>
      </c>
      <c r="S97" s="172">
        <f t="shared" si="10"/>
        <v>0.3207659410416363</v>
      </c>
      <c r="T97" s="172">
        <f t="shared" si="11"/>
        <v>0.24081272299722381</v>
      </c>
      <c r="U97" s="172">
        <f t="shared" si="12"/>
        <v>0.20768073230301828</v>
      </c>
      <c r="V97" s="172">
        <f t="shared" si="13"/>
        <v>9.5764737578383011E-2</v>
      </c>
    </row>
    <row r="98" spans="1:22" x14ac:dyDescent="0.3">
      <c r="A98" t="s">
        <v>505</v>
      </c>
      <c r="B98" t="s">
        <v>498</v>
      </c>
      <c r="C98" t="s">
        <v>904</v>
      </c>
      <c r="D98" s="1">
        <v>0.84199999999999997</v>
      </c>
      <c r="E98" t="s">
        <v>73</v>
      </c>
      <c r="F98" s="49">
        <v>3.0868597220281398E-2</v>
      </c>
      <c r="G98" s="49">
        <v>0.192438677819673</v>
      </c>
      <c r="H98" s="49">
        <v>0.30143012627552301</v>
      </c>
      <c r="I98" s="49">
        <v>0.173468581510696</v>
      </c>
      <c r="J98" s="49">
        <v>0.162766500050126</v>
      </c>
      <c r="K98" t="s">
        <v>468</v>
      </c>
      <c r="L98" s="49">
        <v>1.3206052620567199E-2</v>
      </c>
      <c r="M98" s="49">
        <v>6.5918634450100502E-2</v>
      </c>
      <c r="N98" s="49">
        <v>7.4347495792051896E-2</v>
      </c>
      <c r="O98" s="49">
        <v>3.8714438556066301E-2</v>
      </c>
      <c r="P98" s="49">
        <v>1.7290736278850499E-2</v>
      </c>
      <c r="Q98" t="s">
        <v>491</v>
      </c>
      <c r="R98" s="172">
        <f t="shared" si="9"/>
        <v>0.42781511988793941</v>
      </c>
      <c r="S98" s="172">
        <f t="shared" si="10"/>
        <v>0.34254358425737241</v>
      </c>
      <c r="T98" s="172">
        <f t="shared" si="11"/>
        <v>0.24664918769298583</v>
      </c>
      <c r="U98" s="172">
        <f t="shared" si="12"/>
        <v>0.22317838895615333</v>
      </c>
      <c r="V98" s="172">
        <f t="shared" si="13"/>
        <v>0.1062303132003551</v>
      </c>
    </row>
    <row r="99" spans="1:22" x14ac:dyDescent="0.3">
      <c r="A99" t="s">
        <v>506</v>
      </c>
      <c r="B99" t="s">
        <v>499</v>
      </c>
      <c r="C99" t="s">
        <v>905</v>
      </c>
      <c r="D99" s="1">
        <v>0.86499999999999999</v>
      </c>
      <c r="E99" t="s">
        <v>73</v>
      </c>
      <c r="F99" s="49">
        <v>2.8807812633988999E-2</v>
      </c>
      <c r="G99" s="49">
        <v>0.20425947108597201</v>
      </c>
      <c r="H99" s="49">
        <v>0.32407260193304199</v>
      </c>
      <c r="I99" s="49">
        <v>0.18697747720557401</v>
      </c>
      <c r="J99" s="49">
        <v>0.17663598514784401</v>
      </c>
      <c r="K99" t="s">
        <v>468</v>
      </c>
      <c r="L99" s="49">
        <v>1.23918991453278E-2</v>
      </c>
      <c r="M99" s="49">
        <v>6.1554712038106099E-2</v>
      </c>
      <c r="N99" s="49">
        <v>7.2165021597422704E-2</v>
      </c>
      <c r="O99" s="49">
        <v>3.8692067325013201E-2</v>
      </c>
      <c r="P99" s="49">
        <v>1.7878655143264501E-2</v>
      </c>
      <c r="Q99" t="s">
        <v>491</v>
      </c>
      <c r="R99" s="172">
        <f t="shared" si="9"/>
        <v>0.43015758616491329</v>
      </c>
      <c r="S99" s="172">
        <f t="shared" si="10"/>
        <v>0.30135548530916328</v>
      </c>
      <c r="T99" s="172">
        <f t="shared" si="11"/>
        <v>0.22268164962718145</v>
      </c>
      <c r="U99" s="172">
        <f t="shared" si="12"/>
        <v>0.20693437468125037</v>
      </c>
      <c r="V99" s="172">
        <f t="shared" si="13"/>
        <v>0.10121751311489614</v>
      </c>
    </row>
    <row r="100" spans="1:22" x14ac:dyDescent="0.3">
      <c r="A100" t="s">
        <v>507</v>
      </c>
      <c r="B100" t="s">
        <v>500</v>
      </c>
      <c r="C100" t="s">
        <v>906</v>
      </c>
      <c r="D100" s="23">
        <v>1.61</v>
      </c>
      <c r="E100" t="s">
        <v>73</v>
      </c>
      <c r="F100" s="49">
        <v>2.9358090343763101E-2</v>
      </c>
      <c r="G100" s="49">
        <v>0.22400255917190801</v>
      </c>
      <c r="H100" s="49">
        <v>0.240247674586133</v>
      </c>
      <c r="I100" s="49">
        <v>0.110296151387313</v>
      </c>
      <c r="J100" s="49">
        <v>0.16749980145256299</v>
      </c>
      <c r="K100" t="s">
        <v>468</v>
      </c>
      <c r="L100" s="49">
        <v>1.1220145320864501E-2</v>
      </c>
      <c r="M100" s="49">
        <v>6.7524193816000097E-2</v>
      </c>
      <c r="N100" s="49">
        <v>4.8295407296661097E-2</v>
      </c>
      <c r="O100" s="49">
        <v>2.81283359802314E-2</v>
      </c>
      <c r="P100" s="49">
        <v>1.6451102237050801E-2</v>
      </c>
      <c r="Q100" t="s">
        <v>491</v>
      </c>
      <c r="R100" s="172">
        <f t="shared" si="9"/>
        <v>0.38218239638492474</v>
      </c>
      <c r="S100" s="172">
        <f t="shared" si="10"/>
        <v>0.30144384986324863</v>
      </c>
      <c r="T100" s="172">
        <f t="shared" si="11"/>
        <v>0.2010234121094327</v>
      </c>
      <c r="U100" s="172">
        <f t="shared" si="12"/>
        <v>0.25502554374228975</v>
      </c>
      <c r="V100" s="172">
        <f t="shared" si="13"/>
        <v>9.8215652164279479E-2</v>
      </c>
    </row>
    <row r="101" spans="1:22" x14ac:dyDescent="0.3">
      <c r="A101" t="s">
        <v>508</v>
      </c>
      <c r="B101" t="s">
        <v>501</v>
      </c>
      <c r="C101" t="s">
        <v>907</v>
      </c>
      <c r="D101" s="23">
        <v>2.19</v>
      </c>
      <c r="E101" t="s">
        <v>73</v>
      </c>
      <c r="F101" s="49">
        <v>2.52051921602592E-2</v>
      </c>
      <c r="G101" s="49">
        <v>0.17935435738401501</v>
      </c>
      <c r="H101" s="49">
        <v>0.141012421142931</v>
      </c>
      <c r="I101" s="49">
        <v>5.96484024034604E-2</v>
      </c>
      <c r="J101" s="49">
        <v>0.101991549148737</v>
      </c>
      <c r="K101" t="s">
        <v>468</v>
      </c>
      <c r="L101" s="49">
        <v>9.8695446940631204E-3</v>
      </c>
      <c r="M101" s="49">
        <v>5.9947691182005297E-2</v>
      </c>
      <c r="N101" s="49">
        <v>4.2017212224351598E-2</v>
      </c>
      <c r="O101" s="49">
        <v>1.9125714237483101E-2</v>
      </c>
      <c r="P101" s="49">
        <v>1.13262563554547E-2</v>
      </c>
      <c r="Q101" t="s">
        <v>491</v>
      </c>
      <c r="R101" s="172">
        <f t="shared" si="9"/>
        <v>0.39156792105812005</v>
      </c>
      <c r="S101" s="172">
        <f t="shared" si="10"/>
        <v>0.3342416212038356</v>
      </c>
      <c r="T101" s="172">
        <f t="shared" si="11"/>
        <v>0.29796816396594389</v>
      </c>
      <c r="U101" s="172">
        <f t="shared" si="12"/>
        <v>0.32064084647426461</v>
      </c>
      <c r="V101" s="172">
        <f t="shared" si="13"/>
        <v>0.11105092970925776</v>
      </c>
    </row>
    <row r="102" spans="1:22" x14ac:dyDescent="0.3">
      <c r="R102" s="103">
        <f>MEDIAN(R92:R101)*100</f>
        <v>42.252016094747638</v>
      </c>
      <c r="S102" s="103">
        <f>MEDIAN(S92:S101)*100</f>
        <v>33.839260273060404</v>
      </c>
      <c r="T102" s="103">
        <f>MEDIAN(T92:T101)*100</f>
        <v>24.608607296767708</v>
      </c>
      <c r="U102" s="103">
        <f>MEDIAN(U92:U101)*100</f>
        <v>23.910196634922155</v>
      </c>
      <c r="V102" s="103">
        <f>MEDIAN(V92:V101)*100</f>
        <v>10.372391315762561</v>
      </c>
    </row>
    <row r="103" spans="1:22" x14ac:dyDescent="0.3">
      <c r="R103" s="181">
        <f>_xlfn.STDEV.S(R92:R101)*100/SQRT(10)</f>
        <v>1.1444714354087204</v>
      </c>
      <c r="S103" s="181">
        <f>_xlfn.STDEV.S(S92:S101)*100/SQRT(10)</f>
        <v>3.8249158129482441</v>
      </c>
      <c r="T103" s="181">
        <f>_xlfn.STDEV.S(T92:T101)*100/SQRT(10)</f>
        <v>3.2229661474599731</v>
      </c>
      <c r="U103" s="181">
        <f>_xlfn.STDEV.S(U92:U101)*100/SQRT(10)</f>
        <v>3.1995811379096515</v>
      </c>
      <c r="V103" s="181">
        <f>_xlfn.STDEV.S(V92:V101)*100/SQRT(10)</f>
        <v>0.81130805201051714</v>
      </c>
    </row>
    <row r="104" spans="1:22" x14ac:dyDescent="0.3">
      <c r="F104" t="s">
        <v>441</v>
      </c>
      <c r="G104" t="s">
        <v>442</v>
      </c>
      <c r="H104" t="s">
        <v>443</v>
      </c>
      <c r="I104" t="s">
        <v>444</v>
      </c>
      <c r="J104" t="s">
        <v>445</v>
      </c>
      <c r="L104" t="s">
        <v>441</v>
      </c>
      <c r="M104" t="s">
        <v>442</v>
      </c>
      <c r="N104" t="s">
        <v>443</v>
      </c>
      <c r="O104" t="s">
        <v>444</v>
      </c>
      <c r="P104" t="s">
        <v>445</v>
      </c>
      <c r="R104" t="s">
        <v>441</v>
      </c>
      <c r="S104" t="s">
        <v>442</v>
      </c>
      <c r="T104" t="s">
        <v>443</v>
      </c>
      <c r="U104" t="s">
        <v>444</v>
      </c>
      <c r="V104" t="s">
        <v>445</v>
      </c>
    </row>
    <row r="105" spans="1:22" x14ac:dyDescent="0.3">
      <c r="A105" s="1" t="s">
        <v>489</v>
      </c>
      <c r="B105" s="1" t="s">
        <v>490</v>
      </c>
      <c r="C105" s="1" t="s">
        <v>879</v>
      </c>
      <c r="D105" s="1" t="s">
        <v>874</v>
      </c>
      <c r="F105" s="90" t="s">
        <v>447</v>
      </c>
      <c r="G105" s="91" t="s">
        <v>446</v>
      </c>
      <c r="H105" s="92" t="s">
        <v>448</v>
      </c>
      <c r="I105" s="124" t="s">
        <v>449</v>
      </c>
      <c r="J105" s="123" t="s">
        <v>450</v>
      </c>
      <c r="L105" s="90" t="s">
        <v>447</v>
      </c>
      <c r="M105" s="91" t="s">
        <v>446</v>
      </c>
      <c r="N105" s="92" t="s">
        <v>448</v>
      </c>
      <c r="O105" s="124" t="s">
        <v>449</v>
      </c>
      <c r="P105" s="123" t="s">
        <v>450</v>
      </c>
      <c r="R105" s="90" t="s">
        <v>447</v>
      </c>
      <c r="S105" s="91" t="s">
        <v>446</v>
      </c>
      <c r="T105" s="92" t="s">
        <v>448</v>
      </c>
      <c r="U105" s="124" t="s">
        <v>449</v>
      </c>
      <c r="V105" s="123" t="s">
        <v>450</v>
      </c>
    </row>
    <row r="106" spans="1:22" x14ac:dyDescent="0.3">
      <c r="A106" t="s">
        <v>483</v>
      </c>
      <c r="B106" t="s">
        <v>492</v>
      </c>
      <c r="C106" t="s">
        <v>899</v>
      </c>
      <c r="D106" s="23">
        <v>0.49</v>
      </c>
      <c r="E106" t="s">
        <v>73</v>
      </c>
      <c r="F106" s="49">
        <v>6.0593144521295002E-2</v>
      </c>
      <c r="G106" s="49">
        <v>8.3059130141396695E-2</v>
      </c>
      <c r="H106" s="49">
        <v>4.8302454948440203E-2</v>
      </c>
      <c r="I106" s="49">
        <v>2.2411752263962401E-2</v>
      </c>
      <c r="J106" s="49">
        <v>3.4683724785757902E-2</v>
      </c>
      <c r="K106" t="s">
        <v>468</v>
      </c>
      <c r="L106" s="49">
        <v>1.81166977216063E-2</v>
      </c>
      <c r="M106" s="49">
        <v>4.3017514090851E-2</v>
      </c>
      <c r="N106" s="49">
        <v>1.8899915892617102E-2</v>
      </c>
      <c r="O106" s="49">
        <v>6.0680793123143598E-3</v>
      </c>
      <c r="P106" s="49">
        <v>4.2255683462561998E-3</v>
      </c>
      <c r="Q106" t="s">
        <v>491</v>
      </c>
      <c r="R106" s="172">
        <f t="shared" ref="R106:R115" si="14">L106/F106</f>
        <v>0.29898923161578655</v>
      </c>
      <c r="S106" s="172">
        <f t="shared" ref="S106:S115" si="15">M106/G106</f>
        <v>0.51791433425343636</v>
      </c>
      <c r="T106" s="172">
        <f t="shared" ref="T106:T115" si="16">N106/H106</f>
        <v>0.39128271871049947</v>
      </c>
      <c r="U106" s="172">
        <f t="shared" ref="U106:U115" si="17">O106/I106</f>
        <v>0.27075434534727105</v>
      </c>
      <c r="V106" s="172">
        <f t="shared" ref="V106:V115" si="18">P106/J106</f>
        <v>0.12183144608480273</v>
      </c>
    </row>
    <row r="107" spans="1:22" x14ac:dyDescent="0.3">
      <c r="A107" t="s">
        <v>484</v>
      </c>
      <c r="B107" t="s">
        <v>493</v>
      </c>
      <c r="C107" t="s">
        <v>510</v>
      </c>
      <c r="D107" s="23">
        <v>0.56000000000000005</v>
      </c>
      <c r="E107" t="s">
        <v>73</v>
      </c>
      <c r="F107" s="49">
        <v>5.9340177827484498E-2</v>
      </c>
      <c r="G107" s="49">
        <v>9.9951319124780003E-2</v>
      </c>
      <c r="H107" s="49">
        <v>7.4627675337144303E-2</v>
      </c>
      <c r="I107" s="49">
        <v>3.4923294038781298E-2</v>
      </c>
      <c r="J107" s="49">
        <v>4.8243597065821799E-2</v>
      </c>
      <c r="K107" t="s">
        <v>468</v>
      </c>
      <c r="L107" s="49">
        <v>1.7411946291007899E-2</v>
      </c>
      <c r="M107" s="49">
        <v>4.5756044516889798E-2</v>
      </c>
      <c r="N107" s="49">
        <v>2.3796694717649901E-2</v>
      </c>
      <c r="O107" s="49">
        <v>8.2907423987867192E-3</v>
      </c>
      <c r="P107" s="49">
        <v>5.4475802537440601E-3</v>
      </c>
      <c r="Q107" t="s">
        <v>491</v>
      </c>
      <c r="R107" s="172">
        <f t="shared" si="14"/>
        <v>0.2934259203204348</v>
      </c>
      <c r="S107" s="172">
        <f t="shared" si="15"/>
        <v>0.45778329808501672</v>
      </c>
      <c r="T107" s="172">
        <f t="shared" si="16"/>
        <v>0.31887224960638183</v>
      </c>
      <c r="U107" s="172">
        <f t="shared" si="17"/>
        <v>0.23739863684050228</v>
      </c>
      <c r="V107" s="172">
        <f t="shared" si="18"/>
        <v>0.11291820231214478</v>
      </c>
    </row>
    <row r="108" spans="1:22" x14ac:dyDescent="0.3">
      <c r="A108" t="s">
        <v>485</v>
      </c>
      <c r="B108" t="s">
        <v>494</v>
      </c>
      <c r="C108" t="s">
        <v>900</v>
      </c>
      <c r="D108" s="1">
        <v>0.66500000000000004</v>
      </c>
      <c r="E108" t="s">
        <v>73</v>
      </c>
      <c r="F108" s="49">
        <v>5.9107503267544201E-2</v>
      </c>
      <c r="G108" s="49">
        <v>0.11552063235526699</v>
      </c>
      <c r="H108" s="49">
        <v>8.6699601562116896E-2</v>
      </c>
      <c r="I108" s="49">
        <v>2.7480570390183999E-2</v>
      </c>
      <c r="J108" s="49">
        <v>5.42478839539592E-2</v>
      </c>
      <c r="K108" t="s">
        <v>468</v>
      </c>
      <c r="L108" s="49">
        <v>1.8424153347672199E-2</v>
      </c>
      <c r="M108" s="49">
        <v>5.4216158505325601E-2</v>
      </c>
      <c r="N108" s="49">
        <v>3.4538127659949999E-2</v>
      </c>
      <c r="O108" s="49">
        <v>9.2521891975453092E-3</v>
      </c>
      <c r="P108" s="49">
        <v>7.4851726581319604E-3</v>
      </c>
      <c r="Q108" t="s">
        <v>491</v>
      </c>
      <c r="R108" s="172">
        <f t="shared" si="14"/>
        <v>0.31170582970282318</v>
      </c>
      <c r="S108" s="172">
        <f t="shared" si="15"/>
        <v>0.46932013268929873</v>
      </c>
      <c r="T108" s="172">
        <f t="shared" si="16"/>
        <v>0.39836547155530783</v>
      </c>
      <c r="U108" s="172">
        <f t="shared" si="17"/>
        <v>0.33668111928456085</v>
      </c>
      <c r="V108" s="172">
        <f t="shared" si="18"/>
        <v>0.13798091487743028</v>
      </c>
    </row>
    <row r="109" spans="1:22" x14ac:dyDescent="0.3">
      <c r="A109" t="s">
        <v>502</v>
      </c>
      <c r="B109" t="s">
        <v>495</v>
      </c>
      <c r="C109" t="s">
        <v>901</v>
      </c>
      <c r="D109" s="1">
        <v>0.70499999999999996</v>
      </c>
      <c r="E109" t="s">
        <v>73</v>
      </c>
      <c r="F109" s="49">
        <v>6.2222482612216898E-2</v>
      </c>
      <c r="G109" s="49">
        <v>0.136278662212301</v>
      </c>
      <c r="H109" s="49">
        <v>0.128255058356083</v>
      </c>
      <c r="I109" s="49">
        <v>6.3005674955059904E-2</v>
      </c>
      <c r="J109" s="49">
        <v>8.0871565973451701E-2</v>
      </c>
      <c r="K109" t="s">
        <v>468</v>
      </c>
      <c r="L109" s="49">
        <v>1.9037950248318999E-2</v>
      </c>
      <c r="M109" s="49">
        <v>4.74814215100113E-2</v>
      </c>
      <c r="N109" s="49">
        <v>3.47334850849087E-2</v>
      </c>
      <c r="O109" s="49">
        <v>1.30084924534682E-2</v>
      </c>
      <c r="P109" s="49">
        <v>8.3629010433211599E-3</v>
      </c>
      <c r="Q109" t="s">
        <v>491</v>
      </c>
      <c r="R109" s="172">
        <f t="shared" si="14"/>
        <v>0.30596577714469153</v>
      </c>
      <c r="S109" s="172">
        <f t="shared" si="15"/>
        <v>0.34841420321578015</v>
      </c>
      <c r="T109" s="172">
        <f t="shared" si="16"/>
        <v>0.27081571308069446</v>
      </c>
      <c r="U109" s="172">
        <f t="shared" si="17"/>
        <v>0.20646540907222685</v>
      </c>
      <c r="V109" s="172">
        <f t="shared" si="18"/>
        <v>0.10340965879239325</v>
      </c>
    </row>
    <row r="110" spans="1:22" x14ac:dyDescent="0.3">
      <c r="A110" t="s">
        <v>503</v>
      </c>
      <c r="B110" t="s">
        <v>496</v>
      </c>
      <c r="C110" t="s">
        <v>902</v>
      </c>
      <c r="D110" s="1">
        <v>0.74</v>
      </c>
      <c r="E110" t="s">
        <v>73</v>
      </c>
      <c r="F110" s="49">
        <v>5.5225895781401899E-2</v>
      </c>
      <c r="G110" s="49">
        <v>0.16807478310155599</v>
      </c>
      <c r="H110" s="49">
        <v>0.21059681314934101</v>
      </c>
      <c r="I110" s="49">
        <v>0.150498276790969</v>
      </c>
      <c r="J110" s="49">
        <v>0.13127066064654799</v>
      </c>
      <c r="K110" t="s">
        <v>468</v>
      </c>
      <c r="L110" s="49">
        <v>1.7607869171468501E-2</v>
      </c>
      <c r="M110" s="49">
        <v>4.33942255071759E-2</v>
      </c>
      <c r="N110" s="49">
        <v>4.8020104681015703E-2</v>
      </c>
      <c r="O110" s="49">
        <v>3.0374706131399601E-2</v>
      </c>
      <c r="P110" s="49">
        <v>1.24516551890609E-2</v>
      </c>
      <c r="Q110" t="s">
        <v>491</v>
      </c>
      <c r="R110" s="172">
        <f t="shared" si="14"/>
        <v>0.31883356389844564</v>
      </c>
      <c r="S110" s="172">
        <f t="shared" si="15"/>
        <v>0.25818403395443185</v>
      </c>
      <c r="T110" s="172">
        <f t="shared" si="16"/>
        <v>0.22801914218408945</v>
      </c>
      <c r="U110" s="172">
        <f t="shared" si="17"/>
        <v>0.20182760081424603</v>
      </c>
      <c r="V110" s="172">
        <f t="shared" si="18"/>
        <v>9.4854822301744385E-2</v>
      </c>
    </row>
    <row r="111" spans="1:22" x14ac:dyDescent="0.3">
      <c r="A111" t="s">
        <v>504</v>
      </c>
      <c r="B111" t="s">
        <v>497</v>
      </c>
      <c r="C111" t="s">
        <v>903</v>
      </c>
      <c r="D111" s="1">
        <v>0.78300000000000003</v>
      </c>
      <c r="E111" t="s">
        <v>73</v>
      </c>
      <c r="F111" s="49">
        <v>5.46937215805232E-2</v>
      </c>
      <c r="G111" s="49">
        <v>0.18238066975019601</v>
      </c>
      <c r="H111" s="49">
        <v>0.24629213200394001</v>
      </c>
      <c r="I111" s="49">
        <v>0.17639942733250799</v>
      </c>
      <c r="J111" s="49">
        <v>0.15121320723589801</v>
      </c>
      <c r="K111" t="s">
        <v>468</v>
      </c>
      <c r="L111" s="49">
        <v>1.6762845024564901E-2</v>
      </c>
      <c r="M111" s="49">
        <v>4.6125573745243599E-2</v>
      </c>
      <c r="N111" s="49">
        <v>5.80075861501302E-2</v>
      </c>
      <c r="O111" s="49">
        <v>3.7466110598503702E-2</v>
      </c>
      <c r="P111" s="49">
        <v>1.50381783678675E-2</v>
      </c>
      <c r="Q111" t="s">
        <v>491</v>
      </c>
      <c r="R111" s="172">
        <f t="shared" si="14"/>
        <v>0.30648572706623539</v>
      </c>
      <c r="S111" s="172">
        <f t="shared" si="15"/>
        <v>0.2529082375255069</v>
      </c>
      <c r="T111" s="172">
        <f t="shared" si="16"/>
        <v>0.23552350486454937</v>
      </c>
      <c r="U111" s="172">
        <f t="shared" si="17"/>
        <v>0.21239360674273125</v>
      </c>
      <c r="V111" s="172">
        <f t="shared" si="18"/>
        <v>9.9450164722763953E-2</v>
      </c>
    </row>
    <row r="112" spans="1:22" x14ac:dyDescent="0.3">
      <c r="A112" t="s">
        <v>505</v>
      </c>
      <c r="B112" t="s">
        <v>498</v>
      </c>
      <c r="C112" t="s">
        <v>904</v>
      </c>
      <c r="D112" s="1">
        <v>0.84199999999999997</v>
      </c>
      <c r="E112" t="s">
        <v>73</v>
      </c>
      <c r="F112" s="49">
        <v>5.3862917448341097E-2</v>
      </c>
      <c r="G112" s="49">
        <v>0.18618526826314299</v>
      </c>
      <c r="H112" s="49">
        <v>0.26402510290490599</v>
      </c>
      <c r="I112" s="49">
        <v>0.183244166179064</v>
      </c>
      <c r="J112" s="49">
        <v>0.15889673323926601</v>
      </c>
      <c r="K112" t="s">
        <v>468</v>
      </c>
      <c r="L112" s="49">
        <v>1.6815106784832199E-2</v>
      </c>
      <c r="M112" s="49">
        <v>5.1439689900233301E-2</v>
      </c>
      <c r="N112" s="49">
        <v>6.3577432970496797E-2</v>
      </c>
      <c r="O112" s="49">
        <v>4.0691091943728802E-2</v>
      </c>
      <c r="P112" s="49">
        <v>1.7070202931036799E-2</v>
      </c>
      <c r="Q112" t="s">
        <v>491</v>
      </c>
      <c r="R112" s="172">
        <f t="shared" si="14"/>
        <v>0.31218336438903904</v>
      </c>
      <c r="S112" s="172">
        <f t="shared" si="15"/>
        <v>0.27628227721825743</v>
      </c>
      <c r="T112" s="172">
        <f t="shared" si="16"/>
        <v>0.24080071277690401</v>
      </c>
      <c r="U112" s="172">
        <f t="shared" si="17"/>
        <v>0.22205941281626371</v>
      </c>
      <c r="V112" s="172">
        <f t="shared" si="18"/>
        <v>0.10742953982151768</v>
      </c>
    </row>
    <row r="113" spans="1:22" x14ac:dyDescent="0.3">
      <c r="A113" t="s">
        <v>506</v>
      </c>
      <c r="B113" t="s">
        <v>499</v>
      </c>
      <c r="C113" t="s">
        <v>905</v>
      </c>
      <c r="D113" s="1">
        <v>0.86499999999999999</v>
      </c>
      <c r="E113" t="s">
        <v>73</v>
      </c>
      <c r="F113" s="49">
        <v>5.1264796874487803E-2</v>
      </c>
      <c r="G113" s="49">
        <v>0.196120697866491</v>
      </c>
      <c r="H113" s="49">
        <v>0.28261854481957299</v>
      </c>
      <c r="I113" s="49">
        <v>0.19406982565960901</v>
      </c>
      <c r="J113" s="49">
        <v>0.170828386160368</v>
      </c>
      <c r="K113" t="s">
        <v>468</v>
      </c>
      <c r="L113" s="49">
        <v>1.61853107300984E-2</v>
      </c>
      <c r="M113" s="49">
        <v>4.6332179468403102E-2</v>
      </c>
      <c r="N113" s="49">
        <v>6.1800388968314898E-2</v>
      </c>
      <c r="O113" s="49">
        <v>4.0164072241905303E-2</v>
      </c>
      <c r="P113" s="49">
        <v>1.75487939585014E-2</v>
      </c>
      <c r="Q113" t="s">
        <v>491</v>
      </c>
      <c r="R113" s="172">
        <f t="shared" si="14"/>
        <v>0.31571978661546407</v>
      </c>
      <c r="S113" s="172">
        <f t="shared" si="15"/>
        <v>0.2362431909147279</v>
      </c>
      <c r="T113" s="172">
        <f t="shared" si="16"/>
        <v>0.21867067855638772</v>
      </c>
      <c r="U113" s="172">
        <f t="shared" si="17"/>
        <v>0.20695681106217687</v>
      </c>
      <c r="V113" s="172">
        <f t="shared" si="18"/>
        <v>0.1027276224574713</v>
      </c>
    </row>
    <row r="114" spans="1:22" x14ac:dyDescent="0.3">
      <c r="A114" t="s">
        <v>507</v>
      </c>
      <c r="B114" t="s">
        <v>500</v>
      </c>
      <c r="C114" t="s">
        <v>906</v>
      </c>
      <c r="D114" s="23">
        <v>1.61</v>
      </c>
      <c r="E114" t="s">
        <v>73</v>
      </c>
      <c r="F114" s="49">
        <v>4.8684197988867903E-2</v>
      </c>
      <c r="G114" s="49">
        <v>0.22920213766258199</v>
      </c>
      <c r="H114" s="49">
        <v>0.27875968070468399</v>
      </c>
      <c r="I114" s="49">
        <v>0.11118841244012501</v>
      </c>
      <c r="J114" s="49">
        <v>0.16944985345177799</v>
      </c>
      <c r="K114" t="s">
        <v>468</v>
      </c>
      <c r="L114" s="49">
        <v>1.4866287859276701E-2</v>
      </c>
      <c r="M114" s="49">
        <v>6.3414349332682002E-2</v>
      </c>
      <c r="N114" s="49">
        <v>5.4531290335987199E-2</v>
      </c>
      <c r="O114" s="49">
        <v>2.6006698415524901E-2</v>
      </c>
      <c r="P114" s="49">
        <v>1.6341910716938399E-2</v>
      </c>
      <c r="Q114" t="s">
        <v>491</v>
      </c>
      <c r="R114" s="172">
        <f t="shared" si="14"/>
        <v>0.30536166709937412</v>
      </c>
      <c r="S114" s="172">
        <f t="shared" si="15"/>
        <v>0.2766743363713165</v>
      </c>
      <c r="T114" s="172">
        <f t="shared" si="16"/>
        <v>0.19562115366948371</v>
      </c>
      <c r="U114" s="172">
        <f t="shared" si="17"/>
        <v>0.2338975604092694</v>
      </c>
      <c r="V114" s="172">
        <f t="shared" si="18"/>
        <v>9.6440984657381115E-2</v>
      </c>
    </row>
    <row r="115" spans="1:22" x14ac:dyDescent="0.3">
      <c r="A115" t="s">
        <v>508</v>
      </c>
      <c r="B115" t="s">
        <v>501</v>
      </c>
      <c r="C115" t="s">
        <v>907</v>
      </c>
      <c r="D115" s="23">
        <v>2.19</v>
      </c>
      <c r="E115" t="s">
        <v>73</v>
      </c>
      <c r="F115" s="49">
        <v>4.4873679674554599E-2</v>
      </c>
      <c r="G115" s="49">
        <v>0.19473793555014801</v>
      </c>
      <c r="H115" s="49">
        <v>0.183363534120073</v>
      </c>
      <c r="I115" s="49">
        <v>6.2248027136378697E-2</v>
      </c>
      <c r="J115" s="49">
        <v>0.108738136851013</v>
      </c>
      <c r="K115" t="s">
        <v>468</v>
      </c>
      <c r="L115" s="49">
        <v>1.39589617803657E-2</v>
      </c>
      <c r="M115" s="49">
        <v>6.5581874380270994E-2</v>
      </c>
      <c r="N115" s="49">
        <v>4.8122869656886599E-2</v>
      </c>
      <c r="O115" s="49">
        <v>1.7760773950820201E-2</v>
      </c>
      <c r="P115" s="49">
        <v>1.14213424625685E-2</v>
      </c>
      <c r="Q115" t="s">
        <v>491</v>
      </c>
      <c r="R115" s="172">
        <f t="shared" si="14"/>
        <v>0.31107236762402307</v>
      </c>
      <c r="S115" s="172">
        <f t="shared" si="15"/>
        <v>0.33676989639947502</v>
      </c>
      <c r="T115" s="172">
        <f t="shared" si="16"/>
        <v>0.26244514694712429</v>
      </c>
      <c r="U115" s="172">
        <f t="shared" si="17"/>
        <v>0.28532268037842012</v>
      </c>
      <c r="V115" s="172">
        <f t="shared" si="18"/>
        <v>0.10503529666153279</v>
      </c>
    </row>
    <row r="116" spans="1:22" x14ac:dyDescent="0.3">
      <c r="R116" s="103">
        <f>MEDIAN(R106:R115)*100</f>
        <v>30.877904734512924</v>
      </c>
      <c r="S116" s="103">
        <f>MEDIAN(S106:S115)*100</f>
        <v>30.672211638539576</v>
      </c>
      <c r="T116" s="103">
        <f>MEDIAN(T106:T115)*100</f>
        <v>25.162292986201418</v>
      </c>
      <c r="U116" s="103">
        <f>MEDIAN(U106:U115)*100</f>
        <v>22.797848661276653</v>
      </c>
      <c r="V116" s="103">
        <f>MEDIAN(V106:V115)*100</f>
        <v>10.422247772696302</v>
      </c>
    </row>
    <row r="117" spans="1:22" x14ac:dyDescent="0.3">
      <c r="R117" s="181">
        <f>_xlfn.STDEV.S(R106:R115)*100/SQRT(10)</f>
        <v>0.24143492441849154</v>
      </c>
      <c r="S117" s="181">
        <f>_xlfn.STDEV.S(S106:S115)*100/SQRT(10)</f>
        <v>3.2549577125752656</v>
      </c>
      <c r="T117" s="181">
        <f>_xlfn.STDEV.S(T106:T115)*100/SQRT(10)</f>
        <v>2.241996788702366</v>
      </c>
      <c r="U117" s="181">
        <f>_xlfn.STDEV.S(U106:U115)*100/SQRT(10)</f>
        <v>1.3796064492237268</v>
      </c>
      <c r="V117" s="181">
        <f>_xlfn.STDEV.S(V106:V115)*100/SQRT(10)</f>
        <v>0.41518551351554761</v>
      </c>
    </row>
    <row r="118" spans="1:22" x14ac:dyDescent="0.3">
      <c r="M118" s="169">
        <v>1977</v>
      </c>
      <c r="N118" t="s">
        <v>575</v>
      </c>
      <c r="P118" s="12" t="s">
        <v>548</v>
      </c>
    </row>
    <row r="119" spans="1:22" x14ac:dyDescent="0.3">
      <c r="M119" s="170" t="s">
        <v>373</v>
      </c>
      <c r="N119" t="s">
        <v>575</v>
      </c>
      <c r="P119" s="12" t="s">
        <v>543</v>
      </c>
      <c r="R119" s="103">
        <f>MEDIAN(R106:R115,R92:R101,R82:R87,R72:R77,R62:R67,R52:R57,R42:R47,R32:R37,R22:R27,R14:R17,R6:R9)*100</f>
        <v>35.586582360774401</v>
      </c>
      <c r="S119" s="103">
        <f t="shared" ref="S119:V119" si="19">MEDIAN(S106:S115,S92:S101,S82:S87,S72:S77,S62:S67,S52:S57,S42:S47,S32:S37,S22:S27,S14:S17,S6:S9)*100</f>
        <v>30.190506429088394</v>
      </c>
      <c r="T119" s="103">
        <f t="shared" si="19"/>
        <v>22.295866659711887</v>
      </c>
      <c r="U119" s="103">
        <f t="shared" si="19"/>
        <v>29.124359925514199</v>
      </c>
      <c r="V119" s="103">
        <f t="shared" si="19"/>
        <v>10.623491835239173</v>
      </c>
    </row>
    <row r="120" spans="1:22" x14ac:dyDescent="0.3">
      <c r="M120" s="171" t="s">
        <v>388</v>
      </c>
      <c r="N120" t="s">
        <v>575</v>
      </c>
      <c r="P120" s="12" t="s">
        <v>544</v>
      </c>
      <c r="R120" s="57">
        <f>MEDIAN(R14:R17,R6:R9)*100</f>
        <v>17.801861453045113</v>
      </c>
      <c r="S120" s="57">
        <f t="shared" ref="S120:V120" si="20">MEDIAN(S14:S17,S6:S9)*100</f>
        <v>20.964416608265484</v>
      </c>
      <c r="T120" s="57">
        <f t="shared" si="20"/>
        <v>13.833743543673338</v>
      </c>
      <c r="U120" s="57">
        <f t="shared" si="20"/>
        <v>20.426739413023082</v>
      </c>
      <c r="V120" s="57">
        <f t="shared" si="20"/>
        <v>8.7226263647970317</v>
      </c>
    </row>
    <row r="121" spans="1:22" x14ac:dyDescent="0.3">
      <c r="P121" s="12" t="s">
        <v>545</v>
      </c>
      <c r="R121" s="57">
        <f>MEDIAN(R62:R67,R52:R57,R42:R47,R32:R37,R22:R27)*100</f>
        <v>28.956187655266014</v>
      </c>
      <c r="S121" s="57">
        <f t="shared" ref="S121:V121" si="21">MEDIAN(S62:S67,S52:S57,S42:S47,S32:S37,S22:S27)*100</f>
        <v>26.973643492477471</v>
      </c>
      <c r="T121" s="57">
        <f t="shared" si="21"/>
        <v>20.022493861269226</v>
      </c>
      <c r="U121" s="57">
        <f t="shared" si="21"/>
        <v>29.324989716831062</v>
      </c>
      <c r="V121" s="57">
        <f t="shared" si="21"/>
        <v>10.900423666210884</v>
      </c>
    </row>
    <row r="122" spans="1:22" x14ac:dyDescent="0.3">
      <c r="M122" s="170" t="s">
        <v>378</v>
      </c>
      <c r="N122" t="s">
        <v>579</v>
      </c>
      <c r="P122" s="12" t="s">
        <v>546</v>
      </c>
      <c r="R122" s="57">
        <f>MEDIAN(R82:R87,R72:R77)*100</f>
        <v>44.892092936198999</v>
      </c>
      <c r="S122" s="57">
        <f t="shared" ref="S122:V122" si="22">MEDIAN(S82:S87,S72:S77)*100</f>
        <v>39.942051172015326</v>
      </c>
      <c r="T122" s="57">
        <f t="shared" si="22"/>
        <v>31.738043896549971</v>
      </c>
      <c r="U122" s="57">
        <f t="shared" si="22"/>
        <v>43.604226289923353</v>
      </c>
      <c r="V122" s="57">
        <f t="shared" si="22"/>
        <v>13.352874130711751</v>
      </c>
    </row>
    <row r="123" spans="1:22" x14ac:dyDescent="0.3">
      <c r="M123" s="170" t="s">
        <v>380</v>
      </c>
      <c r="N123" t="s">
        <v>579</v>
      </c>
      <c r="P123" s="12" t="s">
        <v>547</v>
      </c>
      <c r="R123" s="57">
        <f>MEDIAN(R106:R115,R92:R101)*100</f>
        <v>35.050798014168514</v>
      </c>
      <c r="S123" s="57">
        <f t="shared" ref="S123:V123" si="23">MEDIAN(S106:S115,S92:S101)*100</f>
        <v>33.550575880165532</v>
      </c>
      <c r="T123" s="57">
        <f t="shared" si="23"/>
        <v>24.608607296767708</v>
      </c>
      <c r="U123" s="57">
        <f t="shared" si="23"/>
        <v>22.853797468271136</v>
      </c>
      <c r="V123" s="57">
        <f t="shared" si="23"/>
        <v>10.422247772696302</v>
      </c>
    </row>
    <row r="124" spans="1:22" x14ac:dyDescent="0.3">
      <c r="P124" s="12" t="s">
        <v>593</v>
      </c>
      <c r="R124" s="57">
        <f>MEDIAN(R106:R115,R42:R47,R6:R9)*100</f>
        <v>30.566372212203284</v>
      </c>
      <c r="S124" s="57">
        <f t="shared" ref="S124:V124" si="24">MEDIAN(S106:S115,S42:S47,S6:S9)*100</f>
        <v>30.17858623846314</v>
      </c>
      <c r="T124" s="57">
        <f t="shared" si="24"/>
        <v>23.17713235243194</v>
      </c>
      <c r="U124" s="57">
        <f t="shared" si="24"/>
        <v>26.253022046799966</v>
      </c>
      <c r="V124" s="57">
        <f t="shared" si="24"/>
        <v>10.173493001101924</v>
      </c>
    </row>
    <row r="125" spans="1:22" x14ac:dyDescent="0.3">
      <c r="M125" s="170" t="s">
        <v>452</v>
      </c>
      <c r="N125" t="s">
        <v>580</v>
      </c>
      <c r="P125" s="12" t="s">
        <v>594</v>
      </c>
      <c r="R125" s="57">
        <f>MEDIAN(R62:R67,R52:R57)*100</f>
        <v>40.482566646148207</v>
      </c>
      <c r="S125" s="57">
        <f t="shared" ref="S125:V125" si="25">MEDIAN(S62:S67,S52:S57)*100</f>
        <v>30.927376529040796</v>
      </c>
      <c r="T125" s="57">
        <f t="shared" si="25"/>
        <v>20.242277919432851</v>
      </c>
      <c r="U125" s="57">
        <f t="shared" si="25"/>
        <v>30.54354424535418</v>
      </c>
      <c r="V125" s="57">
        <f t="shared" si="25"/>
        <v>11.966602855228892</v>
      </c>
    </row>
    <row r="126" spans="1:22" x14ac:dyDescent="0.3">
      <c r="M126" s="170" t="s">
        <v>453</v>
      </c>
      <c r="N126" t="s">
        <v>581</v>
      </c>
      <c r="P126" s="12" t="s">
        <v>595</v>
      </c>
      <c r="R126" s="57">
        <f>MEDIAN(R92:R101,R82:R87,R72:R77)*100</f>
        <v>43.303186155548083</v>
      </c>
      <c r="S126" s="57">
        <f t="shared" ref="S126:V126" si="26">MEDIAN(S92:S101,S82:S87,S72:S77)*100</f>
        <v>33.839260273060404</v>
      </c>
      <c r="T126" s="57">
        <f t="shared" si="26"/>
        <v>27.778546244638996</v>
      </c>
      <c r="U126" s="57">
        <f t="shared" si="26"/>
        <v>35.003500175715551</v>
      </c>
      <c r="V126" s="57">
        <f t="shared" si="26"/>
        <v>11.077585391094777</v>
      </c>
    </row>
    <row r="127" spans="1:22" x14ac:dyDescent="0.3">
      <c r="M127" s="170" t="s">
        <v>454</v>
      </c>
      <c r="N127" t="s">
        <v>581</v>
      </c>
      <c r="O127" s="16" t="s">
        <v>371</v>
      </c>
      <c r="P127" s="12" t="s">
        <v>598</v>
      </c>
      <c r="R127" s="57">
        <f>R38</f>
        <v>23.793913630452469</v>
      </c>
      <c r="S127" s="57">
        <f t="shared" ref="S127:V127" si="27">S38</f>
        <v>26.693652544688383</v>
      </c>
      <c r="T127" s="57">
        <f t="shared" si="27"/>
        <v>18.722489423589579</v>
      </c>
      <c r="U127" s="57">
        <f t="shared" si="27"/>
        <v>26.810378967744519</v>
      </c>
      <c r="V127" s="57">
        <f t="shared" si="27"/>
        <v>10.138781233671398</v>
      </c>
    </row>
    <row r="128" spans="1:22" x14ac:dyDescent="0.3">
      <c r="O128">
        <v>1988</v>
      </c>
      <c r="P128" s="12" t="s">
        <v>596</v>
      </c>
      <c r="R128" s="57">
        <f>R18</f>
        <v>14.489049250543825</v>
      </c>
      <c r="S128" s="57">
        <f t="shared" ref="S128:V128" si="28">S18</f>
        <v>15.535564527330074</v>
      </c>
      <c r="T128" s="57">
        <f t="shared" si="28"/>
        <v>13.833743543673338</v>
      </c>
      <c r="U128" s="57">
        <f t="shared" si="28"/>
        <v>18.710687326859361</v>
      </c>
      <c r="V128" s="57">
        <f t="shared" si="28"/>
        <v>8.7226263647970317</v>
      </c>
    </row>
    <row r="129" spans="13:22" x14ac:dyDescent="0.3">
      <c r="M129" s="170" t="s">
        <v>371</v>
      </c>
      <c r="N129" t="s">
        <v>578</v>
      </c>
      <c r="O129" s="16" t="s">
        <v>369</v>
      </c>
      <c r="P129" s="12" t="s">
        <v>597</v>
      </c>
      <c r="R129" s="57">
        <f>R28</f>
        <v>18.305885862161691</v>
      </c>
      <c r="S129" s="57">
        <f t="shared" ref="S129:V129" si="29">S28</f>
        <v>25.031645960563637</v>
      </c>
      <c r="T129" s="57">
        <f t="shared" si="29"/>
        <v>17.187966947000692</v>
      </c>
      <c r="U129" s="57">
        <f t="shared" si="29"/>
        <v>27.72918571288767</v>
      </c>
      <c r="V129" s="57">
        <f t="shared" si="29"/>
        <v>10.314278380487709</v>
      </c>
    </row>
    <row r="131" spans="13:22" x14ac:dyDescent="0.3">
      <c r="M131" s="170">
        <v>1988</v>
      </c>
      <c r="N131" t="s">
        <v>576</v>
      </c>
    </row>
    <row r="133" spans="13:22" x14ac:dyDescent="0.3">
      <c r="M133" s="170" t="s">
        <v>369</v>
      </c>
      <c r="N133" t="s">
        <v>621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Gráficos</vt:lpstr>
      </vt:variant>
      <vt:variant>
        <vt:i4>6</vt:i4>
      </vt:variant>
    </vt:vector>
  </HeadingPairs>
  <TitlesOfParts>
    <vt:vector size="24" baseType="lpstr">
      <vt:lpstr>Sample_size</vt:lpstr>
      <vt:lpstr>77_Seeds</vt:lpstr>
      <vt:lpstr>88_Seeds</vt:lpstr>
      <vt:lpstr>88T_Seeds</vt:lpstr>
      <vt:lpstr>91T_Seeds</vt:lpstr>
      <vt:lpstr>01T_Seeds</vt:lpstr>
      <vt:lpstr>07E_Seeds</vt:lpstr>
      <vt:lpstr>11E_Seeds</vt:lpstr>
      <vt:lpstr>15O_Seeds</vt:lpstr>
      <vt:lpstr>19O_Seeds</vt:lpstr>
      <vt:lpstr>19M_Seeds</vt:lpstr>
      <vt:lpstr>24M_Seeds</vt:lpstr>
      <vt:lpstr>RRB_all</vt:lpstr>
      <vt:lpstr>RRB_Stats</vt:lpstr>
      <vt:lpstr>RRB_PA_HC</vt:lpstr>
      <vt:lpstr>RRB_PA_Change</vt:lpstr>
      <vt:lpstr>Cumulative</vt:lpstr>
      <vt:lpstr>Spectral</vt:lpstr>
      <vt:lpstr>PA-UA Plot</vt:lpstr>
      <vt:lpstr>PA-UA Plot C</vt:lpstr>
      <vt:lpstr>PA-CV Plot</vt:lpstr>
      <vt:lpstr>PA-CV Plot C</vt:lpstr>
      <vt:lpstr>CV-UA Plot C</vt:lpstr>
      <vt:lpstr>CV-UA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alberto aguirre nieto</dc:creator>
  <cp:lastModifiedBy>daniel alberto aguirre nieto</cp:lastModifiedBy>
  <dcterms:created xsi:type="dcterms:W3CDTF">2024-02-15T20:06:04Z</dcterms:created>
  <dcterms:modified xsi:type="dcterms:W3CDTF">2024-09-18T14:58:40Z</dcterms:modified>
</cp:coreProperties>
</file>